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ynaldi\Klien Audit\Client 2024\PT Indo American Seafoods Tbk dan Entitas Anak\Form 5000 Reporting\Draft FInal\"/>
    </mc:Choice>
  </mc:AlternateContent>
  <xr:revisionPtr revIDLastSave="0" documentId="13_ncr:1_{94E29D43-CB14-4E11-9E34-4AF5362E9240}" xr6:coauthVersionLast="47" xr6:coauthVersionMax="47" xr10:uidLastSave="{00000000-0000-0000-0000-000000000000}"/>
  <bookViews>
    <workbookView xWindow="-110" yWindow="-110" windowWidth="19420" windowHeight="10300" firstSheet="16" activeTab="16" xr2:uid="{7F7E1052-23FE-475B-BF46-183CFE2A1FFE}"/>
  </bookViews>
  <sheets>
    <sheet name="ELIM Juni 23" sheetId="11" state="hidden" r:id="rId1"/>
    <sheet name="ELIM &amp; CAJE Juni 24" sheetId="9" state="hidden" r:id="rId2"/>
    <sheet name="ELIM &amp; CAJE Sept 23" sheetId="43" state="hidden" r:id="rId3"/>
    <sheet name="LPK Analysis" sheetId="18" r:id="rId4"/>
    <sheet name="PL-Analysis" sheetId="45" r:id="rId5"/>
    <sheet name="CF Analysis" sheetId="46" r:id="rId6"/>
    <sheet name="RASIO KEUANGAN" sheetId="47" r:id="rId7"/>
    <sheet name="Rasio DSCR" sheetId="51" r:id="rId8"/>
    <sheet name="Sheet1" sheetId="44" state="hidden" r:id="rId9"/>
    <sheet name="KK CF Konsol Juni 24" sheetId="19" state="hidden" r:id="rId10"/>
    <sheet name="ELIM &amp; CAJE Des 24" sheetId="50" r:id="rId11"/>
    <sheet name="ELIM &amp; CAJE Sept 24" sheetId="42" state="hidden" r:id="rId12"/>
    <sheet name="DTA Konsol" sheetId="55" r:id="rId13"/>
    <sheet name="DTA ISP" sheetId="59" r:id="rId14"/>
    <sheet name="DTA IAS" sheetId="60" r:id="rId15"/>
    <sheet name="IPK IAS" sheetId="56" r:id="rId16"/>
    <sheet name="WS Konsol" sheetId="1" r:id="rId17"/>
    <sheet name="IPK ISP" sheetId="57" r:id="rId18"/>
    <sheet name="IPK Konsol " sheetId="58" r:id="rId19"/>
    <sheet name="BS Konsol-Des 24" sheetId="21" r:id="rId20"/>
    <sheet name="PL Konsol" sheetId="3" r:id="rId21"/>
    <sheet name="LPE Konsol Des 24" sheetId="17" r:id="rId22"/>
    <sheet name="Sheet2" sheetId="53" r:id="rId23"/>
    <sheet name="BS Konsol" sheetId="2" state="hidden" r:id="rId24"/>
    <sheet name="CF Konsol" sheetId="5" r:id="rId25"/>
    <sheet name="WP CF-Direct 23" sheetId="52" state="hidden" r:id="rId26"/>
    <sheet name="CF 2024" sheetId="54" state="hidden" r:id="rId27"/>
    <sheet name="KK CF Des 24" sheetId="48" r:id="rId28"/>
    <sheet name="KK CF Konsol Sept 24" sheetId="22" state="hidden" r:id="rId29"/>
    <sheet name="KK CF Konsol Sept 23" sheetId="23" state="hidden" r:id="rId30"/>
    <sheet name="KK CF Des 23" sheetId="49" state="hidden" r:id="rId31"/>
    <sheet name="KK CF Konsol Juni 23" sheetId="20" state="hidden" r:id="rId32"/>
    <sheet name="COGS" sheetId="12" r:id="rId33"/>
    <sheet name="Aset Biologis" sheetId="33" r:id="rId34"/>
    <sheet name="Resiko Keuangan " sheetId="15" r:id="rId35"/>
    <sheet name="Hutang Bank" sheetId="13" r:id="rId36"/>
    <sheet name="LPE Konsol" sheetId="4" state="hidden" r:id="rId37"/>
    <sheet name="Segmen Geografis" sheetId="16" r:id="rId38"/>
    <sheet name="Ketegori-Instrumen Keu" sheetId="14" r:id="rId39"/>
    <sheet name="LPS" sheetId="10" r:id="rId40"/>
    <sheet name="5. Kas &amp; Bank " sheetId="24" r:id="rId41"/>
    <sheet name="6. Piutang Usaha" sheetId="25" r:id="rId42"/>
    <sheet name="7. Piutang Lain-Lain" sheetId="27" r:id="rId43"/>
    <sheet name="8. Uang Muka " sheetId="32" r:id="rId44"/>
    <sheet name="9. Aset Tetap" sheetId="26" r:id="rId45"/>
    <sheet name="Aset Hak Guna" sheetId="28" r:id="rId46"/>
    <sheet name="Utang Usaha" sheetId="29" r:id="rId47"/>
    <sheet name="Utang Lain-Lain" sheetId="30" r:id="rId48"/>
    <sheet name="Beban Akrual " sheetId="31" r:id="rId49"/>
    <sheet name="Utang Pembelian Aset Tetap " sheetId="34" r:id="rId50"/>
    <sheet name="Liabilitas Sewa pd Phk Berelasi" sheetId="35" r:id="rId51"/>
    <sheet name="Utang Bank " sheetId="36" r:id="rId52"/>
    <sheet name="Liabilitas IPK" sheetId="37" r:id="rId53"/>
    <sheet name="Beban Penjualan " sheetId="38" r:id="rId54"/>
    <sheet name="Beban Umum &amp; Adm" sheetId="39" r:id="rId55"/>
    <sheet name="Pendapatan (Beban) Lainnya" sheetId="40" r:id="rId56"/>
    <sheet name="Beban Bunga dan Keuangan " sheetId="41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</externalReferences>
  <definedNames>
    <definedName name="\a">[1]JUL!#REF!</definedName>
    <definedName name="\APR">#REF!</definedName>
    <definedName name="\AUG">#REF!</definedName>
    <definedName name="\b">[2]T.B!#REF!</definedName>
    <definedName name="\BCYTD">'[3]CF WORKSHEET'!#REF!</definedName>
    <definedName name="\BRYTD">#REF!</definedName>
    <definedName name="\BSYTD">#REF!</definedName>
    <definedName name="\BTWO">#REF!</definedName>
    <definedName name="\BUYTD">#REF!</definedName>
    <definedName name="\C">#REF!</definedName>
    <definedName name="\CTWO">#REF!</definedName>
    <definedName name="\d">[2]T.B!#REF!</definedName>
    <definedName name="\DEC">#REF!</definedName>
    <definedName name="\DTWO">#REF!</definedName>
    <definedName name="\E">[4]SMITH!#REF!</definedName>
    <definedName name="\F">[4]SMITH!#REF!</definedName>
    <definedName name="\FEB">#REF!</definedName>
    <definedName name="\JAN">#REF!</definedName>
    <definedName name="\m">[2]T.B!#REF!</definedName>
    <definedName name="\MAR">#REF!</definedName>
    <definedName name="\MAY">#REF!</definedName>
    <definedName name="\NOV">#REF!</definedName>
    <definedName name="\OCT">#REF!</definedName>
    <definedName name="\p">#REF!</definedName>
    <definedName name="\r">#REF!</definedName>
    <definedName name="\s">#REF!</definedName>
    <definedName name="\SEP">#REF!</definedName>
    <definedName name="\T">'[3]CF WORKSHEET'!#REF!</definedName>
    <definedName name="\T2">'[5]ban-ling'!#REF!</definedName>
    <definedName name="\u">#REF!</definedName>
    <definedName name="\Z">#REF!</definedName>
    <definedName name="___________DAT1">[6]K.6DEPOSIT!#REF!</definedName>
    <definedName name="__________DAT1">[6]K.6DEPOSIT!#REF!</definedName>
    <definedName name="__________xlnm.Print_Titles_1">#REF!</definedName>
    <definedName name="_________DAT1">[6]K.6DEPOSIT!#REF!</definedName>
    <definedName name="_________KD1">#REF!</definedName>
    <definedName name="_________KD2">#REF!</definedName>
    <definedName name="_________KD3">#REF!</definedName>
    <definedName name="_________KD4">#REF!</definedName>
    <definedName name="_________KD5">#REF!</definedName>
    <definedName name="_________KE1">#REF!</definedName>
    <definedName name="_________KE2">#REF!</definedName>
    <definedName name="_________KE3">#REF!</definedName>
    <definedName name="_________KE4">#REF!</definedName>
    <definedName name="_________KE5">#REF!</definedName>
    <definedName name="_________KF1">#REF!</definedName>
    <definedName name="_________KF2">#REF!</definedName>
    <definedName name="_________KF3">#REF!</definedName>
    <definedName name="_________KF4">#REF!</definedName>
    <definedName name="_________KF5">#REF!</definedName>
    <definedName name="_________KG1">#REF!</definedName>
    <definedName name="_________KG2">#REF!</definedName>
    <definedName name="_________KG3">#REF!</definedName>
    <definedName name="_________KG4">#REF!</definedName>
    <definedName name="_________KG5">#REF!</definedName>
    <definedName name="_________mm02">#REF!</definedName>
    <definedName name="_________mm2">#REF!</definedName>
    <definedName name="_________Nop98" hidden="1">#REF!</definedName>
    <definedName name="_________PL1">#REF!</definedName>
    <definedName name="_________PL2">#REF!</definedName>
    <definedName name="_________PL3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xlnm.Print_Titles_1">#REF!</definedName>
    <definedName name="________DAT1">[6]K.6DEPOSIT!#REF!</definedName>
    <definedName name="________KD1">#REF!</definedName>
    <definedName name="________KD2">#REF!</definedName>
    <definedName name="________KD3">#REF!</definedName>
    <definedName name="________KD4">#REF!</definedName>
    <definedName name="________KD5">#REF!</definedName>
    <definedName name="________KE1">#REF!</definedName>
    <definedName name="________KE2">#REF!</definedName>
    <definedName name="________KE3">#REF!</definedName>
    <definedName name="________KE4">#REF!</definedName>
    <definedName name="________KE5">#REF!</definedName>
    <definedName name="________KF1">#REF!</definedName>
    <definedName name="________KF2">#REF!</definedName>
    <definedName name="________KF3">#REF!</definedName>
    <definedName name="________KF4">#REF!</definedName>
    <definedName name="________KF5">#REF!</definedName>
    <definedName name="________KG1">#REF!</definedName>
    <definedName name="________KG2">#REF!</definedName>
    <definedName name="________KG3">#REF!</definedName>
    <definedName name="________KG4">#REF!</definedName>
    <definedName name="________KG5">#REF!</definedName>
    <definedName name="________mm02">#REF!</definedName>
    <definedName name="________mm2">#REF!</definedName>
    <definedName name="________Nop98" hidden="1">#REF!</definedName>
    <definedName name="________PL1">#REF!</definedName>
    <definedName name="________PL2">#REF!</definedName>
    <definedName name="________PL3">#REF!</definedName>
    <definedName name="________poc01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Ph21">#REF!</definedName>
    <definedName name="________PPH23">#REF!</definedName>
    <definedName name="________PPh26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xlnm.Print_Titles_1">#REF!</definedName>
    <definedName name="_______DAT1">[6]K.6DEPOSIT!#REF!</definedName>
    <definedName name="_______KD1">#REF!</definedName>
    <definedName name="_______KD2">#REF!</definedName>
    <definedName name="_______KD3">#REF!</definedName>
    <definedName name="_______KD4">#REF!</definedName>
    <definedName name="_______KD5">#REF!</definedName>
    <definedName name="_______KE1">#REF!</definedName>
    <definedName name="_______KE2">#REF!</definedName>
    <definedName name="_______KE3">#REF!</definedName>
    <definedName name="_______KE4">#REF!</definedName>
    <definedName name="_______KE5">#REF!</definedName>
    <definedName name="_______KF1">#REF!</definedName>
    <definedName name="_______KF2">#REF!</definedName>
    <definedName name="_______KF3">#REF!</definedName>
    <definedName name="_______KF4">#REF!</definedName>
    <definedName name="_______KF5">#REF!</definedName>
    <definedName name="_______KG1">#REF!</definedName>
    <definedName name="_______KG2">#REF!</definedName>
    <definedName name="_______KG3">#REF!</definedName>
    <definedName name="_______KG4">#REF!</definedName>
    <definedName name="_______KG5">#REF!</definedName>
    <definedName name="_______mm02">#REF!</definedName>
    <definedName name="_______mm2">#REF!</definedName>
    <definedName name="_______Nop98" hidden="1">#REF!</definedName>
    <definedName name="_______PL1">#REF!</definedName>
    <definedName name="_______PL2">#REF!</definedName>
    <definedName name="_______PL3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Ph21">#REF!</definedName>
    <definedName name="_______PPH23">#REF!</definedName>
    <definedName name="_______PPh26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xlnm.Print_Titles_1">#REF!</definedName>
    <definedName name="______DAT1">[7]K.6DEPOSIT!#REF!</definedName>
    <definedName name="______DAT2">#REF!</definedName>
    <definedName name="______DAT3">#REF!</definedName>
    <definedName name="______DAT4">#REF!</definedName>
    <definedName name="______DAT5">#REF!</definedName>
    <definedName name="______KD1">#REF!</definedName>
    <definedName name="______KD2">#REF!</definedName>
    <definedName name="______KD3">#REF!</definedName>
    <definedName name="______KD4">#REF!</definedName>
    <definedName name="______KD5">#REF!</definedName>
    <definedName name="______KE1">#REF!</definedName>
    <definedName name="______KE2">#REF!</definedName>
    <definedName name="______KE3">#REF!</definedName>
    <definedName name="______KE4">#REF!</definedName>
    <definedName name="______KE5">#REF!</definedName>
    <definedName name="______Key1" hidden="1">#REF!</definedName>
    <definedName name="______Key2" hidden="1">#REF!</definedName>
    <definedName name="______KF1">#REF!</definedName>
    <definedName name="______KF2">#REF!</definedName>
    <definedName name="______KF3">#REF!</definedName>
    <definedName name="______KF4">#REF!</definedName>
    <definedName name="______KF5">#REF!</definedName>
    <definedName name="______KG1">#REF!</definedName>
    <definedName name="______KG2">#REF!</definedName>
    <definedName name="______KG3">#REF!</definedName>
    <definedName name="______KG4">#REF!</definedName>
    <definedName name="______KG5">#REF!</definedName>
    <definedName name="______mm02">#REF!</definedName>
    <definedName name="______mm2">#REF!</definedName>
    <definedName name="______Nop98" hidden="1">#REF!</definedName>
    <definedName name="______PL1">#REF!</definedName>
    <definedName name="______PL2">#REF!</definedName>
    <definedName name="______PL3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Ph21">#REF!</definedName>
    <definedName name="______PPH23">#REF!</definedName>
    <definedName name="______PPh26">#REF!</definedName>
    <definedName name="______ri68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xlnm.Print_Titles_1">#REF!</definedName>
    <definedName name="_____DAT1">[7]K.6DEPOSIT!#REF!</definedName>
    <definedName name="_____DAT2">#REF!</definedName>
    <definedName name="_____DAT3">#REF!</definedName>
    <definedName name="_____DAT4">#REF!</definedName>
    <definedName name="_____DAT5">#REF!</definedName>
    <definedName name="_____KD1">#REF!</definedName>
    <definedName name="_____KD2">#REF!</definedName>
    <definedName name="_____KD3">#REF!</definedName>
    <definedName name="_____KD4">#REF!</definedName>
    <definedName name="_____KD5">#REF!</definedName>
    <definedName name="_____KE1">#REF!</definedName>
    <definedName name="_____KE2">#REF!</definedName>
    <definedName name="_____KE3">#REF!</definedName>
    <definedName name="_____KE4">#REF!</definedName>
    <definedName name="_____KE5">#REF!</definedName>
    <definedName name="_____Key1" hidden="1">#REF!</definedName>
    <definedName name="_____Key2" hidden="1">#REF!</definedName>
    <definedName name="_____KF1">#REF!</definedName>
    <definedName name="_____KF2">#REF!</definedName>
    <definedName name="_____KF3">#REF!</definedName>
    <definedName name="_____KF4">#REF!</definedName>
    <definedName name="_____KF5">#REF!</definedName>
    <definedName name="_____KG1">#REF!</definedName>
    <definedName name="_____KG2">#REF!</definedName>
    <definedName name="_____KG3">#REF!</definedName>
    <definedName name="_____KG4">#REF!</definedName>
    <definedName name="_____KG5">#REF!</definedName>
    <definedName name="_____mm02">#REF!</definedName>
    <definedName name="_____mm2">#REF!</definedName>
    <definedName name="_____Nop98" hidden="1">#REF!</definedName>
    <definedName name="_____PL1">#REF!</definedName>
    <definedName name="_____PL2">#REF!</definedName>
    <definedName name="_____PL3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Ph21">#REF!</definedName>
    <definedName name="_____PPH23">#REF!</definedName>
    <definedName name="_____PPh26">#REF!</definedName>
    <definedName name="_____ri68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xlnm.Print_Titles_1">#REF!</definedName>
    <definedName name="____ALZ1">#REF!</definedName>
    <definedName name="____CSO58">#REF!</definedName>
    <definedName name="____CSO80">#REF!</definedName>
    <definedName name="____DAT1">[8]K.6DEPOSIT!#REF!</definedName>
    <definedName name="____DAT2">#REF!</definedName>
    <definedName name="____DAT3">#REF!</definedName>
    <definedName name="____DAT4">#REF!</definedName>
    <definedName name="____DAT5">#REF!</definedName>
    <definedName name="____KD1">#REF!</definedName>
    <definedName name="____KD2">#REF!</definedName>
    <definedName name="____KD3">#REF!</definedName>
    <definedName name="____KD4">#REF!</definedName>
    <definedName name="____KD5">#REF!</definedName>
    <definedName name="____KE1">#REF!</definedName>
    <definedName name="____KE2">#REF!</definedName>
    <definedName name="____KE3">#REF!</definedName>
    <definedName name="____KE4">#REF!</definedName>
    <definedName name="____KE5">#REF!</definedName>
    <definedName name="____Key1" hidden="1">#REF!</definedName>
    <definedName name="____Key2" hidden="1">#REF!</definedName>
    <definedName name="____KF1">#REF!</definedName>
    <definedName name="____KF2">#REF!</definedName>
    <definedName name="____KF3">#REF!</definedName>
    <definedName name="____KF4">#REF!</definedName>
    <definedName name="____KF5">#REF!</definedName>
    <definedName name="____KG1">#REF!</definedName>
    <definedName name="____KG2">#REF!</definedName>
    <definedName name="____KG3">#REF!</definedName>
    <definedName name="____KG4">#REF!</definedName>
    <definedName name="____KG5">#REF!</definedName>
    <definedName name="____KM2">#REF!</definedName>
    <definedName name="____MAC1">#REF!</definedName>
    <definedName name="____MAC2">#REF!</definedName>
    <definedName name="____mm02">#REF!</definedName>
    <definedName name="____mm2">#REF!</definedName>
    <definedName name="____Nop98" hidden="1">#REF!</definedName>
    <definedName name="____PL1">#REF!</definedName>
    <definedName name="____PL2">#REF!</definedName>
    <definedName name="____PL3">#REF!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Ph21">#REF!</definedName>
    <definedName name="____PPH23">#REF!</definedName>
    <definedName name="____PPh26">#REF!</definedName>
    <definedName name="____ri68">#REF!</definedName>
    <definedName name="____tmi93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_xlnm.Print_Titles_1">#REF!</definedName>
    <definedName name="___A70000">[9]CPIS!#REF!</definedName>
    <definedName name="___A90000">[9]CPIS!#REF!</definedName>
    <definedName name="___A99999">[9]CPIS!#REF!</definedName>
    <definedName name="___ALZ1">#REF!</definedName>
    <definedName name="___CSO58">#REF!</definedName>
    <definedName name="___CSO80">#REF!</definedName>
    <definedName name="___DAT1">[8]K.6DEPOSIT!#REF!</definedName>
    <definedName name="___DAT2">#REF!</definedName>
    <definedName name="___DAT3">#REF!</definedName>
    <definedName name="___DAT4">#REF!</definedName>
    <definedName name="___DAT5">#REF!</definedName>
    <definedName name="___KD1">#REF!</definedName>
    <definedName name="___KD2">#REF!</definedName>
    <definedName name="___KD3">#REF!</definedName>
    <definedName name="___KD4">#REF!</definedName>
    <definedName name="___KD5">#REF!</definedName>
    <definedName name="___KE1">#REF!</definedName>
    <definedName name="___KE2">#REF!</definedName>
    <definedName name="___KE3">#REF!</definedName>
    <definedName name="___KE4">#REF!</definedName>
    <definedName name="___KE5">#REF!</definedName>
    <definedName name="___Key1" hidden="1">#REF!</definedName>
    <definedName name="___Key2" hidden="1">#REF!</definedName>
    <definedName name="___KF1">#REF!</definedName>
    <definedName name="___KF2">#REF!</definedName>
    <definedName name="___KF3">#REF!</definedName>
    <definedName name="___KF4">#REF!</definedName>
    <definedName name="___KF5">#REF!</definedName>
    <definedName name="___KG1">#REF!</definedName>
    <definedName name="___KG2">#REF!</definedName>
    <definedName name="___KG3">#REF!</definedName>
    <definedName name="___KG4">#REF!</definedName>
    <definedName name="___KG5">#REF!</definedName>
    <definedName name="___KM2">#REF!</definedName>
    <definedName name="___MAC1">#REF!</definedName>
    <definedName name="___MAC2">#REF!</definedName>
    <definedName name="___mm02">#REF!</definedName>
    <definedName name="___mm2">#REF!</definedName>
    <definedName name="___Nop98" hidden="1">#REF!</definedName>
    <definedName name="___PL1">#REF!</definedName>
    <definedName name="___PL2">#REF!</definedName>
    <definedName name="___PL3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Ph21">#REF!</definedName>
    <definedName name="___PPH23">#REF!</definedName>
    <definedName name="___PPh26">#REF!</definedName>
    <definedName name="___ri68">#REF!</definedName>
    <definedName name="___TB12">NA()</definedName>
    <definedName name="___tmi93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xlnm.Print_Titles_1">#REF!</definedName>
    <definedName name="__123Graph_A" hidden="1">[10]MOTO!#REF!</definedName>
    <definedName name="__123Graph_A95内製工場" hidden="1">'[11]01重点管理ｴﾘｱ'!#REF!</definedName>
    <definedName name="__123Graph_ACURRENT" hidden="1">'[12]0220'!#REF!</definedName>
    <definedName name="__123Graph_B" hidden="1">[5]cf9900!#REF!</definedName>
    <definedName name="__123Graph_C" hidden="1">[5]cf9900!#REF!</definedName>
    <definedName name="__123Graph_D" hidden="1">[5]cf9900!#REF!</definedName>
    <definedName name="__123Graph_E" hidden="1">[5]cf9900!#REF!</definedName>
    <definedName name="__123Graph_F" hidden="1">[5]cf9900!#REF!</definedName>
    <definedName name="__123Graph_X" hidden="1">[10]MOTO!#REF!</definedName>
    <definedName name="__123Graph_X95内製工場" hidden="1">'[11]01重点管理ｴﾘｱ'!#REF!</definedName>
    <definedName name="__A70000">[9]CPIS!#REF!</definedName>
    <definedName name="__A90000">[9]CPIS!#REF!</definedName>
    <definedName name="__A99999">[9]CPIS!#REF!</definedName>
    <definedName name="__ALZ1">#REF!</definedName>
    <definedName name="__aug05">[13]aug!$B$4:$P$196</definedName>
    <definedName name="__CSO58">#REF!</definedName>
    <definedName name="__CSO80">#REF!</definedName>
    <definedName name="__DAT1">[8]K.6DEPOSIT!#REF!</definedName>
    <definedName name="__DAT2">#REF!</definedName>
    <definedName name="__DAT3">#REF!</definedName>
    <definedName name="__DAT4">#REF!</definedName>
    <definedName name="__DAT5">#REF!</definedName>
    <definedName name="__Dep2002">'[14]KU-Ajt''03'!$Y$7:$Y$1331</definedName>
    <definedName name="__KD1">#REF!</definedName>
    <definedName name="__KD2">#REF!</definedName>
    <definedName name="__KD3">#REF!</definedName>
    <definedName name="__KD4">#REF!</definedName>
    <definedName name="__KD5">#REF!</definedName>
    <definedName name="__KE1">#REF!</definedName>
    <definedName name="__KE2">#REF!</definedName>
    <definedName name="__KE3">#REF!</definedName>
    <definedName name="__KE4">#REF!</definedName>
    <definedName name="__KE5">#REF!</definedName>
    <definedName name="__Key1" hidden="1">#REF!</definedName>
    <definedName name="__Key2" hidden="1">#REF!</definedName>
    <definedName name="__KF1">#REF!</definedName>
    <definedName name="__KF2">#REF!</definedName>
    <definedName name="__KF3">#REF!</definedName>
    <definedName name="__KF4">#REF!</definedName>
    <definedName name="__KF5">#REF!</definedName>
    <definedName name="__KG1">#REF!</definedName>
    <definedName name="__KG2">#REF!</definedName>
    <definedName name="__KG3">#REF!</definedName>
    <definedName name="__KG4">#REF!</definedName>
    <definedName name="__KG5">#REF!</definedName>
    <definedName name="__KM2">#REF!</definedName>
    <definedName name="__kmt1">[15]KmtNaik!$A$5:$L$115</definedName>
    <definedName name="__MAC1">#REF!</definedName>
    <definedName name="__MAC2">#REF!</definedName>
    <definedName name="__mei05">[13]mei!$B$4:$O$198</definedName>
    <definedName name="__mm02">#REF!</definedName>
    <definedName name="__mm2">#REF!</definedName>
    <definedName name="__NBV2001">'[14]KU-Ajt''03'!$Q$7:$Q$906</definedName>
    <definedName name="__NBV2002">'[14]KU-Ajt''03'!$P$7:$P$906</definedName>
    <definedName name="__NBV2003">'[14]KU-Ajt''03'!$O$7:$O$906</definedName>
    <definedName name="__Nop98" hidden="1">#REF!</definedName>
    <definedName name="__PL1">#REF!</definedName>
    <definedName name="__PL2">#REF!</definedName>
    <definedName name="__PL3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Ph21">#REF!</definedName>
    <definedName name="__PPH23">#REF!</definedName>
    <definedName name="__PPh26">#REF!</definedName>
    <definedName name="__ri68">#REF!</definedName>
    <definedName name="__TB12">NA()</definedName>
    <definedName name="__tmi93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DV2001">'[14]KU-Ajt''03'!$R$7:$R$906</definedName>
    <definedName name="__WDV2002">'[14]KU-Ajt''03'!$U$7:$U$906</definedName>
    <definedName name="__WDV2003">'[16]KU-Ajt''03'!$AA$7:$AA$934</definedName>
    <definedName name="__xlnm.Print_Titles_1">#REF!</definedName>
    <definedName name="_1">#REF!</definedName>
    <definedName name="_1_1721">#REF!</definedName>
    <definedName name="_1_5_97">#REF!</definedName>
    <definedName name="_15">#REF!</definedName>
    <definedName name="_15_2">#REF!</definedName>
    <definedName name="_1B">#REF!</definedName>
    <definedName name="_1B1">'[17]SCH 1B'!#REF!</definedName>
    <definedName name="_1B2">[18]YEPACK!#REF!</definedName>
    <definedName name="_1B3">[18]YEPACK!#REF!</definedName>
    <definedName name="_1K">#REF!</definedName>
    <definedName name="_1P">#REF!</definedName>
    <definedName name="_1WP">#REF!</definedName>
    <definedName name="_2">#REF!</definedName>
    <definedName name="_2930">'[19]2930'!$A$1:$J$30</definedName>
    <definedName name="_2933">'[19]2933'!$A$1:$J$57</definedName>
    <definedName name="_2K">#REF!</definedName>
    <definedName name="_3">#REF!</definedName>
    <definedName name="_4">#REF!</definedName>
    <definedName name="_7">#N/A</definedName>
    <definedName name="_96">#N/A</definedName>
    <definedName name="_962">#N/A</definedName>
    <definedName name="_a1">#REF!</definedName>
    <definedName name="_a10">'[20]412'!$J$411</definedName>
    <definedName name="_a11">#REF!</definedName>
    <definedName name="_a12">#REF!</definedName>
    <definedName name="_a14">'[21]5'!$G$10</definedName>
    <definedName name="_a15">#REF!</definedName>
    <definedName name="_a16">#REF!</definedName>
    <definedName name="_a17">#REF!</definedName>
    <definedName name="_a18">#REF!</definedName>
    <definedName name="_a19">'[21]5'!$G$11</definedName>
    <definedName name="_a2">#REF!</definedName>
    <definedName name="_a20">#REF!</definedName>
    <definedName name="_a21">#REF!</definedName>
    <definedName name="_a22">'[20]412'!$J$418</definedName>
    <definedName name="_a23">'[20]412'!$J$406</definedName>
    <definedName name="_a24">'[20]412'!$J$21</definedName>
    <definedName name="_a25">#REF!</definedName>
    <definedName name="_a26">#REF!</definedName>
    <definedName name="_a27">#REF!</definedName>
    <definedName name="_a28">#REF!</definedName>
    <definedName name="_a29">[20]SELISIHKURSSOURCE!$D$899</definedName>
    <definedName name="_a3">'[20]412'!$J$447</definedName>
    <definedName name="_a30">[20]SELISIHKURSSOURCE!$D$787</definedName>
    <definedName name="_a31">#REF!</definedName>
    <definedName name="_a32">#REF!</definedName>
    <definedName name="_a33">#REF!</definedName>
    <definedName name="_a34" hidden="1">#REF!</definedName>
    <definedName name="_a35">'[20]412'!$J$410</definedName>
    <definedName name="_a36">#REF!</definedName>
    <definedName name="_a37">#REF!</definedName>
    <definedName name="_a38">#REF!</definedName>
    <definedName name="_a39">#REF!</definedName>
    <definedName name="_a4" hidden="1">#REF!</definedName>
    <definedName name="_a40">'[21]5'!$G$12</definedName>
    <definedName name="_a41">#REF!</definedName>
    <definedName name="_a42">#REF!</definedName>
    <definedName name="_a43">#REF!</definedName>
    <definedName name="_a5">#REF!</definedName>
    <definedName name="_a6">#REF!</definedName>
    <definedName name="_a7">'[22]412src2'!$B$771</definedName>
    <definedName name="_A70000">[9]CPIS!#REF!</definedName>
    <definedName name="_a8">[20]SELISIHKURSSOURCE!$D$930</definedName>
    <definedName name="_a9">[20]SELISIHKURSSOURCE!$D$868</definedName>
    <definedName name="_A90000">[9]CPIS!#REF!</definedName>
    <definedName name="_A99999">[9]CPIS!#REF!</definedName>
    <definedName name="_ALZ1">#REF!</definedName>
    <definedName name="_apa1">'[23]AA.1.1 BNI'!$A$15:$E$54</definedName>
    <definedName name="_apa2">'[23]AA.1.1 BNI'!$A$14:$E$14</definedName>
    <definedName name="_asu1">#REF!</definedName>
    <definedName name="_asu3">#REF!</definedName>
    <definedName name="_aug05">[13]aug!$B$4:$P$196</definedName>
    <definedName name="_bpp2">#REF!</definedName>
    <definedName name="_bpp3">#REF!</definedName>
    <definedName name="_CSO58">#REF!</definedName>
    <definedName name="_CSO80">#REF!</definedName>
    <definedName name="_DAT1">[8]K.6DEPOSIT!#REF!</definedName>
    <definedName name="_DAT10">#REF!</definedName>
    <definedName name="_DAT11">#REF!</definedName>
    <definedName name="_dat110">'[23]AA.1.1 BNI'!$F$15:$F$54</definedName>
    <definedName name="_DAT2">#REF!</definedName>
    <definedName name="_DAT3">'[24]AA.1 BNI'!#REF!</definedName>
    <definedName name="_DAT4">#REF!</definedName>
    <definedName name="_dat40">'[23]AA.1.1 BNI'!$C$15:$C$54</definedName>
    <definedName name="_DAT5">'[24]AA.1 BNI'!#REF!</definedName>
    <definedName name="_dat50">'[23]AA.1.1 BNI'!#REF!</definedName>
    <definedName name="_DAT6">#REF!</definedName>
    <definedName name="_dat60">'[23]AA.1.1 BNI'!$D$15:$D$54</definedName>
    <definedName name="_DAT7">'[24]AA.1 BNI'!#REF!</definedName>
    <definedName name="_dat70">'[23]AA.1.1 BNI'!#REF!</definedName>
    <definedName name="_DAT8">#REF!</definedName>
    <definedName name="_dat80">'[23]AA.1.1 BNI'!$E$15:$E$54</definedName>
    <definedName name="_DAT9">#REF!</definedName>
    <definedName name="_dat90">'[23]AA.1.1 BNI'!$G$15:$G$54</definedName>
    <definedName name="_Dep2002">'[14]KU-Ajt''03'!$Y$7:$Y$1331</definedName>
    <definedName name="_feb226">[25]Sheet1!$D$7</definedName>
    <definedName name="_feb404">[25]Sheet1!$B$7</definedName>
    <definedName name="_Fill" hidden="1">#REF!</definedName>
    <definedName name="_xlnm._FilterDatabase" localSheetId="54" hidden="1">'Beban Umum &amp; Adm'!$C$5:$K$35</definedName>
    <definedName name="_xlnm._FilterDatabase">#REF!</definedName>
    <definedName name="_Hlk161234006" localSheetId="32">COGS!#REF!</definedName>
    <definedName name="_Hlk161234107" localSheetId="32">COGS!#REF!</definedName>
    <definedName name="_k2">#REF!</definedName>
    <definedName name="_KD1">#REF!</definedName>
    <definedName name="_KD2">#REF!</definedName>
    <definedName name="_KD3">#REF!</definedName>
    <definedName name="_KD4">#REF!</definedName>
    <definedName name="_KD5">#REF!</definedName>
    <definedName name="_KE1">#REF!</definedName>
    <definedName name="_KE2">#REF!</definedName>
    <definedName name="_KE3">#REF!</definedName>
    <definedName name="_KE4">#REF!</definedName>
    <definedName name="_KE5">#REF!</definedName>
    <definedName name="_Key1" hidden="1">#REF!</definedName>
    <definedName name="_Key2" hidden="1">'[26]NH-Badan'!#REF!</definedName>
    <definedName name="_Key3" hidden="1">#REF!</definedName>
    <definedName name="_KF1">#REF!</definedName>
    <definedName name="_KF2">#REF!</definedName>
    <definedName name="_KF3">#REF!</definedName>
    <definedName name="_KF4">#REF!</definedName>
    <definedName name="_KF5">#REF!</definedName>
    <definedName name="_KG1">#REF!</definedName>
    <definedName name="_KG2">#REF!</definedName>
    <definedName name="_KG3">#REF!</definedName>
    <definedName name="_KG4">#REF!</definedName>
    <definedName name="_KG5">#REF!</definedName>
    <definedName name="_KM2">#REF!</definedName>
    <definedName name="_kmt1">#REF!</definedName>
    <definedName name="_kmt2">#REF!</definedName>
    <definedName name="_KOP1">#REF!</definedName>
    <definedName name="_KOP2">#N/A</definedName>
    <definedName name="_LAM1">#REF!</definedName>
    <definedName name="_LP2">#REF!</definedName>
    <definedName name="_m30">[27]s40!#REF!</definedName>
    <definedName name="_MAC1">#REF!</definedName>
    <definedName name="_MAC2">#REF!</definedName>
    <definedName name="_MatInverse_In" hidden="1">[28]Surgical!$Q$11:$V$16</definedName>
    <definedName name="_MatInverse_Out" hidden="1">[28]Surgical!$Q$18:$V$23</definedName>
    <definedName name="_MatMult_A" hidden="1">[28]Surgical!$Q$18:$V$23</definedName>
    <definedName name="_MatMult_AxB" hidden="1">[28]Surgical!$P$18:$P$23</definedName>
    <definedName name="_MatMult_B" hidden="1">[28]Surgical!$N$11:$N$16</definedName>
    <definedName name="_mei05">[13]mei!$B$4:$O$198</definedName>
    <definedName name="_mm02">#REF!</definedName>
    <definedName name="_mm2">#REF!</definedName>
    <definedName name="_NBV2001">'[14]KU-Ajt''03'!$Q$7:$Q$906</definedName>
    <definedName name="_NBV2002">'[14]KU-Ajt''03'!$P$7:$P$906</definedName>
    <definedName name="_NBV2003">'[14]KU-Ajt''03'!$O$7:$O$906</definedName>
    <definedName name="_NH23">#REF!</definedName>
    <definedName name="_Nop98" hidden="1">#REF!</definedName>
    <definedName name="_NTREST">[29]TARIP!$B$3:$C$63</definedName>
    <definedName name="_Order1" hidden="1">255</definedName>
    <definedName name="_Order2" hidden="1">0</definedName>
    <definedName name="_p">NA()</definedName>
    <definedName name="_PL1">#REF!</definedName>
    <definedName name="_PL2">#REF!</definedName>
    <definedName name="_PL3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Ph21">#REF!</definedName>
    <definedName name="_PPH23">#REF!</definedName>
    <definedName name="_PPh26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i68">#REF!</definedName>
    <definedName name="_RL1">#REF!</definedName>
    <definedName name="_RL2">#REF!</definedName>
    <definedName name="_RSE3">'[30]MUS Calculations COGS '!$M$3512</definedName>
    <definedName name="_s1">[1]JUL!#REF!</definedName>
    <definedName name="_s10">'[20]412src2'!$B$390</definedName>
    <definedName name="_s11" hidden="1">#REF!</definedName>
    <definedName name="_s12">#REF!</definedName>
    <definedName name="_s13">#REF!</definedName>
    <definedName name="_s14">'[20]412src2'!$B$771</definedName>
    <definedName name="_s15">#REF!</definedName>
    <definedName name="_s16">'[31]Customize Your Invoice'!$G$22:$G$25</definedName>
    <definedName name="_s17">#REF!</definedName>
    <definedName name="_s18">#REF!</definedName>
    <definedName name="_s19">#REF!</definedName>
    <definedName name="_s2">#REF!</definedName>
    <definedName name="_s20">#REF!</definedName>
    <definedName name="_s21">#REF!</definedName>
    <definedName name="_s22">#REF!</definedName>
    <definedName name="_s23">[32]GLdownload!#REF!</definedName>
    <definedName name="_s24">#REF!</definedName>
    <definedName name="_s25">#REF!</definedName>
    <definedName name="_s26">[32]GLdownload!#REF!</definedName>
    <definedName name="_s27">[32]GLdownload!#REF!</definedName>
    <definedName name="_s28">[32]GLdownload!#REF!</definedName>
    <definedName name="_s296">#REF!</definedName>
    <definedName name="_s3">#REF!</definedName>
    <definedName name="_s30">#REF!</definedName>
    <definedName name="_s31">[32]GLdownload!#REF!</definedName>
    <definedName name="_s32">#REF!</definedName>
    <definedName name="_s33">#REF!</definedName>
    <definedName name="_s34">#REF!</definedName>
    <definedName name="_s35">#REF!</definedName>
    <definedName name="_s36">[31]Invoice!$F$38</definedName>
    <definedName name="_s37">#REF!</definedName>
    <definedName name="_s38">'[21]5'!$I$5</definedName>
    <definedName name="_s39">'[20]412'!$J$525</definedName>
    <definedName name="_s4">#REF!</definedName>
    <definedName name="_s40">#REF!</definedName>
    <definedName name="_s41">[33]SELISIHKURSSOURCE!$D$930</definedName>
    <definedName name="_s42">#REF!</definedName>
    <definedName name="_s43">#REF!</definedName>
    <definedName name="_s44">'[33]412'!$J$447</definedName>
    <definedName name="_s45">#REF!</definedName>
    <definedName name="_s46">#REF!</definedName>
    <definedName name="_s47">#REF!</definedName>
    <definedName name="_s48">#REF!</definedName>
    <definedName name="_s49">#REF!</definedName>
    <definedName name="_s5">#REF!</definedName>
    <definedName name="_s50">#REF!</definedName>
    <definedName name="_s51">#REF!</definedName>
    <definedName name="_s52">#REF!</definedName>
    <definedName name="_s53">#REF!</definedName>
    <definedName name="_s54">#REF!</definedName>
    <definedName name="_s55">'[20]412'!$J$447</definedName>
    <definedName name="_s56" hidden="1">#REF!</definedName>
    <definedName name="_s57">#REF!</definedName>
    <definedName name="_s58">#REF!</definedName>
    <definedName name="_s59">'[22]412src2'!$B$771</definedName>
    <definedName name="_s6" hidden="1">#REF!</definedName>
    <definedName name="_s60">[20]SELISIHKURSSOURCE!$D$930</definedName>
    <definedName name="_s61">'[20]412'!$J$411</definedName>
    <definedName name="_s62">#REF!</definedName>
    <definedName name="_s63">#REF!</definedName>
    <definedName name="_s65">'[21]5'!$G$10</definedName>
    <definedName name="_s66">#REF!</definedName>
    <definedName name="_s67">#REF!</definedName>
    <definedName name="_s68">#REF!</definedName>
    <definedName name="_s69">#REF!</definedName>
    <definedName name="_s7" hidden="1">#REF!</definedName>
    <definedName name="_s70">'[21]5'!$G$11</definedName>
    <definedName name="_s71">#REF!</definedName>
    <definedName name="_s72">#REF!</definedName>
    <definedName name="_s73">'[20]412'!$J$418</definedName>
    <definedName name="_s74">#REF!</definedName>
    <definedName name="_s75">'[20]412'!$J$406</definedName>
    <definedName name="_s76">'[20]412'!$J$21</definedName>
    <definedName name="_s77">#REF!</definedName>
    <definedName name="_s78">#REF!</definedName>
    <definedName name="_s79">#REF!</definedName>
    <definedName name="_s8" hidden="1">#REF!</definedName>
    <definedName name="_s80">#REF!</definedName>
    <definedName name="_s81">[20]SELISIHKURSSOURCE!$D$899</definedName>
    <definedName name="_s82">[20]SELISIHKURSSOURCE!$D$787</definedName>
    <definedName name="_s83">#REF!</definedName>
    <definedName name="_s84">#REF!</definedName>
    <definedName name="_s85">#REF!</definedName>
    <definedName name="_s86" hidden="1">#REF!</definedName>
    <definedName name="_s87">'[20]412'!$J$410</definedName>
    <definedName name="_s88">#REF!</definedName>
    <definedName name="_s89">#REF!</definedName>
    <definedName name="_s9">#REF!</definedName>
    <definedName name="_s90">#REF!</definedName>
    <definedName name="_s91">#REF!</definedName>
    <definedName name="_s92">'[21]5'!$G$12</definedName>
    <definedName name="_s93">#REF!</definedName>
    <definedName name="_s94">#REF!</definedName>
    <definedName name="_Sort" hidden="1">#REF!</definedName>
    <definedName name="_SP1">#REF!</definedName>
    <definedName name="_SP2">#REF!</definedName>
    <definedName name="_TB12">#N/A</definedName>
    <definedName name="_TB96">#REF!</definedName>
    <definedName name="_TGL1">#REF!</definedName>
    <definedName name="_TGL2">#REF!</definedName>
    <definedName name="_tmi93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DV2001">'[14]KU-Ajt''03'!$R$7:$R$906</definedName>
    <definedName name="_WDV2002">'[14]KU-Ajt''03'!$U$7:$U$906</definedName>
    <definedName name="_WDV2003">'[16]KU-Ajt''03'!$AA$7:$AA$934</definedName>
    <definedName name="_wl1">#REF!</definedName>
    <definedName name="_WP1">#REF!</definedName>
    <definedName name="_z1">#REF!</definedName>
    <definedName name="_z10">#REF!</definedName>
    <definedName name="_z11">'[31]Customize Your Invoice'!$G$22:$G$25</definedName>
    <definedName name="_z12">#REF!</definedName>
    <definedName name="_z13">#REF!</definedName>
    <definedName name="_z14">#REF!</definedName>
    <definedName name="_z15">#REF!</definedName>
    <definedName name="_z16">#REF!</definedName>
    <definedName name="_z17">#REF!</definedName>
    <definedName name="_z18">[32]GLdownload!#REF!</definedName>
    <definedName name="_z19">#REF!</definedName>
    <definedName name="_z2" hidden="1">#REF!</definedName>
    <definedName name="_z20">#REF!</definedName>
    <definedName name="_z21">[32]GLdownload!#REF!</definedName>
    <definedName name="_z22">[32]GLdownload!#REF!</definedName>
    <definedName name="_z23">[32]GLdownload!#REF!</definedName>
    <definedName name="_z25">#REF!</definedName>
    <definedName name="_z26">#REF!</definedName>
    <definedName name="_z27">#REF!</definedName>
    <definedName name="_z28">'[21]5'!$I$5</definedName>
    <definedName name="_z29">'[20]412'!$J$525</definedName>
    <definedName name="_z3" hidden="1">#REF!</definedName>
    <definedName name="_z30">#REF!</definedName>
    <definedName name="_z31">[33]SELISIHKURSSOURCE!$D$930</definedName>
    <definedName name="_z32">#REF!</definedName>
    <definedName name="_z333">#REF!</definedName>
    <definedName name="_z34">#REF!</definedName>
    <definedName name="_z35">'[33]412'!$J$447</definedName>
    <definedName name="_z36">#REF!</definedName>
    <definedName name="_z37">#REF!</definedName>
    <definedName name="_z38">#REF!</definedName>
    <definedName name="_z39">#REF!</definedName>
    <definedName name="_z4" hidden="1">#REF!</definedName>
    <definedName name="_z40">#REF!</definedName>
    <definedName name="_z41">#REF!</definedName>
    <definedName name="_z42">#REF!</definedName>
    <definedName name="_z43">#REF!</definedName>
    <definedName name="_z44">#REF!</definedName>
    <definedName name="_z45">#REF!</definedName>
    <definedName name="_z46">'[20]412'!$J$447</definedName>
    <definedName name="_z47" hidden="1">#REF!</definedName>
    <definedName name="_z48">#REF!</definedName>
    <definedName name="_z49">#REF!</definedName>
    <definedName name="_z5">#REF!</definedName>
    <definedName name="_z50">'[22]412src2'!$B$771</definedName>
    <definedName name="_z51">[20]SELISIHKURSSOURCE!$D$930</definedName>
    <definedName name="_z52">[20]SELISIHKURSSOURCE!$D$868</definedName>
    <definedName name="_z53">'[20]412'!$J$411</definedName>
    <definedName name="_z54">#REF!</definedName>
    <definedName name="_z55">#REF!</definedName>
    <definedName name="_z57">'[21]5'!$G$10</definedName>
    <definedName name="_z58">#REF!</definedName>
    <definedName name="_z59">#REF!</definedName>
    <definedName name="_z6">'[20]412src2'!$B$390</definedName>
    <definedName name="_z60">#REF!</definedName>
    <definedName name="_z61">#REF!</definedName>
    <definedName name="_z62">'[21]5'!$G$11</definedName>
    <definedName name="_z63">#REF!</definedName>
    <definedName name="_z64">#REF!</definedName>
    <definedName name="_z65">'[20]412'!$J$418</definedName>
    <definedName name="_z68">#REF!</definedName>
    <definedName name="_z69">'[20]412'!$J$406</definedName>
    <definedName name="_z7">#REF!</definedName>
    <definedName name="_z70">'[20]412'!$J$21</definedName>
    <definedName name="_z71">#REF!</definedName>
    <definedName name="_z72">#REF!</definedName>
    <definedName name="_z73">#REF!</definedName>
    <definedName name="_z74">#REF!</definedName>
    <definedName name="_z75">[20]SELISIHKURSSOURCE!$D$899</definedName>
    <definedName name="_z76">[20]SELISIHKURSSOURCE!$D$787</definedName>
    <definedName name="_z77" hidden="1">#REF!</definedName>
    <definedName name="_z78">#REF!</definedName>
    <definedName name="_z781">#REF!</definedName>
    <definedName name="_z782">'[20]412'!$J$410</definedName>
    <definedName name="_z79">#REF!</definedName>
    <definedName name="_z8">#REF!</definedName>
    <definedName name="_z80">#REF!</definedName>
    <definedName name="_z81" hidden="1">#REF!</definedName>
    <definedName name="_z82">#REF!</definedName>
    <definedName name="_z83">#REF!</definedName>
    <definedName name="_z84">#REF!</definedName>
    <definedName name="_z85">'[21]5'!$G$12</definedName>
    <definedName name="_z86">#REF!</definedName>
    <definedName name="_z87">#REF!</definedName>
    <definedName name="_z88">#REF!</definedName>
    <definedName name="_z9">'[20]412src2'!$B$771</definedName>
    <definedName name="a" hidden="1">{#N/A,#N/A,FALSE,"DATA"}</definedName>
    <definedName name="a._Penjualan">'[34]412src2'!$B$390</definedName>
    <definedName name="A\">#N/A</definedName>
    <definedName name="A_">NA()</definedName>
    <definedName name="A_002">#REF!</definedName>
    <definedName name="A_006">#REF!</definedName>
    <definedName name="A_016">#REF!</definedName>
    <definedName name="A_024">#REF!</definedName>
    <definedName name="A_028">#REF!</definedName>
    <definedName name="A_031">#REF!</definedName>
    <definedName name="A_033">#REF!</definedName>
    <definedName name="A_034">#REF!</definedName>
    <definedName name="A_043">#REF!</definedName>
    <definedName name="A_046">#REF!</definedName>
    <definedName name="A_1">#REF!</definedName>
    <definedName name="A011prn">#REF!</definedName>
    <definedName name="A011src">#REF!</definedName>
    <definedName name="A021prn">#REF!</definedName>
    <definedName name="A021src">#REF!</definedName>
    <definedName name="A022prn">#REF!</definedName>
    <definedName name="A022src">#REF!</definedName>
    <definedName name="A04xprn">#REF!</definedName>
    <definedName name="A04xsrc">#REF!</definedName>
    <definedName name="A051prn">#REF!</definedName>
    <definedName name="A051src">#REF!</definedName>
    <definedName name="A061prn">#REF!</definedName>
    <definedName name="A061src">#REF!</definedName>
    <definedName name="ＡＡ">#REF!</definedName>
    <definedName name="AAA">#REF!</definedName>
    <definedName name="aaaa">'[36]PC IDR (1101)'!#REF!</definedName>
    <definedName name="aaaaa">[37]Sheet2!$E$217</definedName>
    <definedName name="aaaaaaa">#REF!</definedName>
    <definedName name="aaaaaaaa">[37]Sheet2!$E$202</definedName>
    <definedName name="aaaaaaaaaa">#REF!</definedName>
    <definedName name="AB">#REF!</definedName>
    <definedName name="abc">#REF!</definedName>
    <definedName name="abs">#REF!</definedName>
    <definedName name="ACC">[38]ACC.CODE!$A$2:$B$260</definedName>
    <definedName name="Acc_Dep_1.10.02">'[14]KU-Ajt''03'!$K$7:$K$906</definedName>
    <definedName name="Acc_Dep_30.9.02">'[14]KU-Ajt''03'!$N$7:$N$906</definedName>
    <definedName name="AccRef">[39]Ref!$A$3:$B$129</definedName>
    <definedName name="accrual">#REF!</definedName>
    <definedName name="accrual2">[40]GeneralInfo!$F$19</definedName>
    <definedName name="ACCRUEDEXPENSE">#REF!</definedName>
    <definedName name="AcctPeriod">1202</definedName>
    <definedName name="accumdeprbegbalBuildingsandimprovements">#REF!</definedName>
    <definedName name="accumdeprbegbalCIP">#REF!</definedName>
    <definedName name="accumdeprbegbalfurniture_Fixture">#REF!</definedName>
    <definedName name="accumdeprbegbalLandandlandrights">#REF!</definedName>
    <definedName name="accumdeprbegbalLandimprovements">#REF!</definedName>
    <definedName name="accumdeprbegbalLease">#REF!</definedName>
    <definedName name="accumdeprbegbalMachineryandequipment">#REF!</definedName>
    <definedName name="accumdeprbegbalMatureplantations">#REF!</definedName>
    <definedName name="accumdeprbegbalOfficeequipment">#REF!</definedName>
    <definedName name="accumdeprbegbalTelecommunicationsequipment">#REF!</definedName>
    <definedName name="accumdeprbegbalTransportationequipment">#REF!</definedName>
    <definedName name="ACT">#REF!</definedName>
    <definedName name="AcTable">[41]table!$C$4:$D$110</definedName>
    <definedName name="ad">[40]GeneralInfo!$I$7</definedName>
    <definedName name="ADADA">#REF!</definedName>
    <definedName name="adddd">'[42]5'!$I$5</definedName>
    <definedName name="Addition">'[14]KU-Ajt''03'!$I$7:$I$906</definedName>
    <definedName name="ADDPAININCAPITAL">#REF!</definedName>
    <definedName name="ADDRESS">#REF!</definedName>
    <definedName name="address01">#REF!</definedName>
    <definedName name="address02">#REF!</definedName>
    <definedName name="address03">#REF!</definedName>
    <definedName name="address2">[40]GeneralInfo!$I$6</definedName>
    <definedName name="adik">#REF!</definedName>
    <definedName name="Adj.">'[14]KU-Ajt''03'!$G$7:$G$906</definedName>
    <definedName name="ADJUSTMENT0708" hidden="1">#REF!</definedName>
    <definedName name="ADVANCEFORSALE">#REF!</definedName>
    <definedName name="ADVANCES">#REF!</definedName>
    <definedName name="ADVFORACQUISITIONOFINVESTMENT">#REF!</definedName>
    <definedName name="afdaf">#REF!</definedName>
    <definedName name="afr">#REF!</definedName>
    <definedName name="ag" hidden="1">#REF!</definedName>
    <definedName name="agil">[37]Sheet2!$E$166</definedName>
    <definedName name="AGT">#REF!</definedName>
    <definedName name="AICO">#REF!</definedName>
    <definedName name="AJE">#REF!</definedName>
    <definedName name="AJEDEBET">#REF!</definedName>
    <definedName name="AJEKREDIT">#REF!</definedName>
    <definedName name="ak" hidden="1">#REF!</definedName>
    <definedName name="AKT">#REF!</definedName>
    <definedName name="Aktiva">#REF!</definedName>
    <definedName name="aktiva_lain_lain">#REF!</definedName>
    <definedName name="aku">'[43]DATA WP'!$E$5</definedName>
    <definedName name="Akun">#REF!</definedName>
    <definedName name="AL">#REF!</definedName>
    <definedName name="Alamat">#REF!</definedName>
    <definedName name="alfa">#REF!</definedName>
    <definedName name="All">[44]LOOKUP!$I$53:$L$64</definedName>
    <definedName name="ALNT">#REF!</definedName>
    <definedName name="ALP">#REF!</definedName>
    <definedName name="ALPCV">#REF!</definedName>
    <definedName name="ALPZ">#REF!</definedName>
    <definedName name="alshgkjahga">#REF!</definedName>
    <definedName name="ALZ">#REF!</definedName>
    <definedName name="ALZT">#REF!</definedName>
    <definedName name="AMA">#REF!</definedName>
    <definedName name="AMB">#REF!</definedName>
    <definedName name="American_Express_Bank">#REF!</definedName>
    <definedName name="AN">#REF!</definedName>
    <definedName name="ANCER">#REF!</definedName>
    <definedName name="anie">#REF!</definedName>
    <definedName name="ANT">#REF!</definedName>
    <definedName name="ANW">#REF!</definedName>
    <definedName name="ap">#N/A</definedName>
    <definedName name="apa">'[23]AA.1.1 BNI'!$G$14:$H$14</definedName>
    <definedName name="APAFFBB">'[45]SE-C'!#REF!</definedName>
    <definedName name="APDEFERREDTAX">#REF!</definedName>
    <definedName name="APINTERCOMPANYACCOUNT">#REF!</definedName>
    <definedName name="APMINORITYINTEREST">#REF!</definedName>
    <definedName name="APOTHRELATED">#REF!</definedName>
    <definedName name="APOTHTHIRD">#REF!</definedName>
    <definedName name="apprl">#REF!</definedName>
    <definedName name="APR">#REF!</definedName>
    <definedName name="april">[13]aprl!$B$4:$O$198</definedName>
    <definedName name="APSUBSBB">'[45]SE-C'!#REF!</definedName>
    <definedName name="APTRADRELATED">#REF!</definedName>
    <definedName name="APTRADTHIRD">#REF!</definedName>
    <definedName name="AR_1">#REF!</definedName>
    <definedName name="AR_2">#REF!</definedName>
    <definedName name="ARA_Threshold">#REF!</definedName>
    <definedName name="ARA_Threshold_1">#REF!</definedName>
    <definedName name="ARAFFBB">'[45]SE-C'!#REF!</definedName>
    <definedName name="Area_stampa_MI">#REF!</definedName>
    <definedName name="AROTHRELATED">#REF!</definedName>
    <definedName name="AROTHTHIRD">#REF!</definedName>
    <definedName name="ARP_Threshold">#REF!</definedName>
    <definedName name="ARP_Threshold_1">#REF!</definedName>
    <definedName name="ARSUBSBB">'[45]SE-C'!#REF!</definedName>
    <definedName name="ARSUBSCON">'[45]SE-C'!#REF!</definedName>
    <definedName name="ARTRADRELATED">#REF!</definedName>
    <definedName name="ARTRADTHIRD">#REF!</definedName>
    <definedName name="AS" hidden="1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#REF!</definedName>
    <definedName name="asda">#REF!</definedName>
    <definedName name="asddd">#REF!</definedName>
    <definedName name="asdfg" hidden="1">#REF!</definedName>
    <definedName name="Asdimuk2">#REF!</definedName>
    <definedName name="ASSET">#REF!</definedName>
    <definedName name="AssetStatus">[46]AssetStatus!$A$3:$A$11</definedName>
    <definedName name="AssetType">[46]AssetType!$A$3:$A$63</definedName>
    <definedName name="ASSETUNDERCAPITALLEASE">#REF!</definedName>
    <definedName name="asu">#REF!</definedName>
    <definedName name="AT">#REF!</definedName>
    <definedName name="ATMR_Ago">#REF!</definedName>
    <definedName name="ATMR_Bank">#REF!</definedName>
    <definedName name="ATMR_Now">#REF!</definedName>
    <definedName name="au">#REF!</definedName>
    <definedName name="AUD">#REF!</definedName>
    <definedName name="Aug">[44]LOOKUP!$I$53:$L$64</definedName>
    <definedName name="auug">#REF!</definedName>
    <definedName name="auuuu">#REF!</definedName>
    <definedName name="average">#REF!</definedName>
    <definedName name="AX">#REF!</definedName>
    <definedName name="AYA">#REF!</definedName>
    <definedName name="AYB">#REF!</definedName>
    <definedName name="b">[47]Marshal!#REF!</definedName>
    <definedName name="b._Penjualan_yang_tidak_dilaporkan">'[34]412src2'!$B$771</definedName>
    <definedName name="B.1">#REF!</definedName>
    <definedName name="B2_Page1">#REF!</definedName>
    <definedName name="B3_Page1">#REF!</definedName>
    <definedName name="B4_Page1">#REF!</definedName>
    <definedName name="B4_Page2">#REF!</definedName>
    <definedName name="B4_Page3">#REF!</definedName>
    <definedName name="B4_Page4">#REF!</definedName>
    <definedName name="BA">#REF!</definedName>
    <definedName name="BADDEBT">[48]Marshal!#REF!</definedName>
    <definedName name="bag">[49]bag!$B$6:$C$196</definedName>
    <definedName name="balancesheets">#REF!</definedName>
    <definedName name="balmfCurrentAssets">#REF!</definedName>
    <definedName name="balmfCurrentLiabilities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NG">#N/A</definedName>
    <definedName name="bank">#REF!</definedName>
    <definedName name="BANKCHARGES">#REF!</definedName>
    <definedName name="baru" hidden="1">#REF!</definedName>
    <definedName name="baru2" hidden="1">#REF!</definedName>
    <definedName name="baru3" hidden="1">#REF!</definedName>
    <definedName name="bb" hidden="1">#REF!</definedName>
    <definedName name="BBB">#REF!</definedName>
    <definedName name="BBT">#REF!</definedName>
    <definedName name="BD_50">#REF!</definedName>
    <definedName name="BE">#REF!</definedName>
    <definedName name="bEAmASUK">#REF!</definedName>
    <definedName name="BeritaAcara">#REF!</definedName>
    <definedName name="beta">#REF!</definedName>
    <definedName name="BF">'[50]Dati base'!$D$56</definedName>
    <definedName name="BG_Del" hidden="1">15</definedName>
    <definedName name="BG_Ins" hidden="1">4</definedName>
    <definedName name="BG_Mod" hidden="1">6</definedName>
    <definedName name="BI">'[51]Customize Your Purchase Order'!$F$27</definedName>
    <definedName name="Biaya_ATK___IT_Dept.">#REF!</definedName>
    <definedName name="Biaya_Maintenance_Perangkat_IT">#REF!</definedName>
    <definedName name="BID">#REF!</definedName>
    <definedName name="BIK">#REF!</definedName>
    <definedName name="bikexpenses">[52]Marshal!#REF!</definedName>
    <definedName name="bikexpenses_1">[53]Marshal!#REF!</definedName>
    <definedName name="BILANG">[54]RUMUS!$A$1:$B$1000</definedName>
    <definedName name="bingung">#REF!</definedName>
    <definedName name="bins2">#REF!</definedName>
    <definedName name="bintinv">[37]Sheet2!$E$202</definedName>
    <definedName name="bintoth">#REF!</definedName>
    <definedName name="BJTdata">#REF!</definedName>
    <definedName name="Blok">#REF!</definedName>
    <definedName name="bluemail">OFFSET('[55]PROJ CASH'!$C$20:$AB$20,(Chart3-1)*13,0,,Month+14)</definedName>
    <definedName name="BMA">#REF!</definedName>
    <definedName name="BMB">#REF!</definedName>
    <definedName name="BMS">#REF!</definedName>
    <definedName name="bns">#REF!</definedName>
    <definedName name="BOI">'[56]License BOI'!$B$3:$B$4,'[56]License BOI'!$B$6:$B$11,'[56]License BOI'!$B$13:$B$17,'[56]License BOI'!$B$19,'[56]License BOI'!$B$21,'[56]License BOI'!$B$23:$B$33,'[56]License BOI'!$B$35:$B$38,'[56]License BOI'!$B$40:$B$42,'[56]License BOI'!$B$44:$B$45</definedName>
    <definedName name="BONDPAYABLE">#REF!</definedName>
    <definedName name="bonus">#REF!</definedName>
    <definedName name="BOOKSHEET">#REF!</definedName>
    <definedName name="bookyear">#REF!</definedName>
    <definedName name="bpd">#REF!</definedName>
    <definedName name="BreakPoint">'[55]Cover Sheet'!#REF!</definedName>
    <definedName name="BS_Mat">#REF!</definedName>
    <definedName name="BSDT1">#REF!</definedName>
    <definedName name="BSDT2">#REF!</definedName>
    <definedName name="BT">[57]s!#REF!</definedName>
    <definedName name="BTL">#REF!</definedName>
    <definedName name="budget_3">'[58]3(bsheet)'!#REF!</definedName>
    <definedName name="BULAN">#REF!</definedName>
    <definedName name="BULAN_1">[59]LOOKUP!$I$53:$L$64</definedName>
    <definedName name="BULAN_10">[60]LOOKUP!$I$53:$L$64</definedName>
    <definedName name="BULAN_7">[60]LOOKUP!$I$53:$L$64</definedName>
    <definedName name="BULAN_8">[60]LOOKUP!$I$53:$L$64</definedName>
    <definedName name="bunos">#REF!</definedName>
    <definedName name="businesstype">#REF!</definedName>
    <definedName name="BYA">#REF!</definedName>
    <definedName name="BYB">#REF!</definedName>
    <definedName name="C_">#REF!</definedName>
    <definedName name="C_\PPH21\GAJI">#REF!</definedName>
    <definedName name="cabio1">'[61]Base Data'!$C$6</definedName>
    <definedName name="CAD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aforward">#REF!</definedName>
    <definedName name="calendar">#REF!</definedName>
    <definedName name="cambio1">'[50]Dati base'!$C$6</definedName>
    <definedName name="cambio2">'[62]Dati base'!$C$7</definedName>
    <definedName name="CAPGAINS">'[63]Marshal -1'!#REF!</definedName>
    <definedName name="CAPLOSS">#REF!</definedName>
    <definedName name="CAPPAIDINEXCESSOFPARVALUE">#REF!</definedName>
    <definedName name="CAR_Ago">#REF!</definedName>
    <definedName name="CAR_Bank">#REF!</definedName>
    <definedName name="CAR_Now">#REF!</definedName>
    <definedName name="cash">#REF!</definedName>
    <definedName name="Cash_FCast1">'[55]Cover Sheet'!#REF!</definedName>
    <definedName name="Cash_FCast2">'[55]Cover Sheet'!#REF!</definedName>
    <definedName name="Cash_NetFlow1">'[55]Cover Sheet'!#REF!</definedName>
    <definedName name="Cash_NetFlow2">'[55]Cover Sheet'!#REF!</definedName>
    <definedName name="Cash_Period">'[55]Cover Sheet'!#REF!</definedName>
    <definedName name="Cash_RepEnt1">'[55]Cover Sheet'!#REF!</definedName>
    <definedName name="Cash_RepEnt2">'[55]Cover Sheet'!#REF!</definedName>
    <definedName name="CASHTIMEDEPOSIT">#REF!</definedName>
    <definedName name="Cathay_Pacific">#REF!</definedName>
    <definedName name="ＣＣ">'[65]CIVIC 1.6L(7ｶ国MA輸出)ｺｽﾄ'!$X$57</definedName>
    <definedName name="ccc">#REF!</definedName>
    <definedName name="cccccc">[66]Sheet2!$E$202</definedName>
    <definedName name="CE">#REF!</definedName>
    <definedName name="CF_Date2">'[55]Cover Sheet'!#REF!</definedName>
    <definedName name="CF_Date3">'[55]Cover Sheet'!#REF!</definedName>
    <definedName name="CH">#REF!</definedName>
    <definedName name="Chart1">[55]PRO!$L$7</definedName>
    <definedName name="Chart2">[55]PRO!$L$23</definedName>
    <definedName name="Chart3">[55]PRO!$L$39</definedName>
    <definedName name="Chart4">[55]PRO!$L$55</definedName>
    <definedName name="CHF">#REF!</definedName>
    <definedName name="cip">#REF!</definedName>
    <definedName name="ClaimNo">#REF!</definedName>
    <definedName name="Class">'[46]Asset Class'!$A$2:$A$18</definedName>
    <definedName name="CLIENT_NAME">#REF!</definedName>
    <definedName name="co_data">#REF!</definedName>
    <definedName name="co_name">[67]co_data!$G$5</definedName>
    <definedName name="COA">#REF!</definedName>
    <definedName name="code">[68]CODE!$A$1:$E$69</definedName>
    <definedName name="CODEACCOUNTT">[69]CODE!$A$10:$D$492</definedName>
    <definedName name="COGS">[52]Marshal!#REF!</definedName>
    <definedName name="COGS_1">[53]Marshal!#REF!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>[70]GLdownload!#REF!</definedName>
    <definedName name="Col_InputValue">#REF!</definedName>
    <definedName name="Col_JnlNo">#REF!</definedName>
    <definedName name="Col_MntValue">[70]GLdownload!#REF!</definedName>
    <definedName name="Col_OCo">[70]GLdownload!#REF!</definedName>
    <definedName name="Col_OLoc">[70]GLdownload!#REF!</definedName>
    <definedName name="Col_Ref1">#REF!</definedName>
    <definedName name="Col_Ref2">#REF!</definedName>
    <definedName name="Col_TrnNo">[70]GLdownload!#REF!</definedName>
    <definedName name="Col_User">#REF!</definedName>
    <definedName name="Col_VouNo">#REF!</definedName>
    <definedName name="Col_YTDValue">#REF!</definedName>
    <definedName name="comb">#REF!</definedName>
    <definedName name="comb_1">#REF!</definedName>
    <definedName name="comb1">[71]adj!$A$8:$K$391</definedName>
    <definedName name="comb12">#N/A</definedName>
    <definedName name="comb6">#N/A</definedName>
    <definedName name="COMMSTOCKSUBSCRIPTIONRECEIVABLE">#REF!</definedName>
    <definedName name="companyofficer">#REF!</definedName>
    <definedName name="Compare_LR">#REF!</definedName>
    <definedName name="computer">#REF!</definedName>
    <definedName name="Connected">[72]Param!$M$43</definedName>
    <definedName name="CONVERTIBLENOTES">#REF!</definedName>
    <definedName name="cooperation">#REF!</definedName>
    <definedName name="copy">#REF!</definedName>
    <definedName name="Corporate">#REF!</definedName>
    <definedName name="Cost">'[46]Cost Center'!$A$3:$A$26</definedName>
    <definedName name="Cost_1.10.02">'[14]KU-Ajt''03'!$F$7:$F$906</definedName>
    <definedName name="Cost_30.9.03">'[14]KU-Ajt''03'!$J$7:$J$906</definedName>
    <definedName name="costbegbalBuildingsandimprovements">#REF!</definedName>
    <definedName name="costbegbalCIP">#REF!</definedName>
    <definedName name="costbegbalfurniture_Fixture">#REF!</definedName>
    <definedName name="costbegbalLandandlandrights">#REF!</definedName>
    <definedName name="costbegbalLandimprovements">#REF!</definedName>
    <definedName name="costbegbalLease">#REF!</definedName>
    <definedName name="costbegbalMachineryandequipment">#REF!</definedName>
    <definedName name="costbegbalMatureplantations">#REF!</definedName>
    <definedName name="costbegbalOfficeequipment">#REF!</definedName>
    <definedName name="costbegbalTelecommunicationsequipment">#REF!</definedName>
    <definedName name="costbegbalTransportationequipment">#REF!</definedName>
    <definedName name="cours">#REF!</definedName>
    <definedName name="CPF_1">'[55]Cover Sheet'!#REF!</definedName>
    <definedName name="CPF_2">'[55]Cover Sheet'!#REF!</definedName>
    <definedName name="CPF_3">'[55]Cover Sheet'!#REF!</definedName>
    <definedName name="CPF_4">'[55]Cover Sheet'!#REF!</definedName>
    <definedName name="CPF_5">'[55]Cover Sheet'!#REF!</definedName>
    <definedName name="CPF_6">'[55]Cover Sheet'!#REF!</definedName>
    <definedName name="_xlnm.Criteria">#REF!</definedName>
    <definedName name="CS">#REF!</definedName>
    <definedName name="csDesignMode">1</definedName>
    <definedName name="ctg">[15]CAD!$B$5:$AN$40</definedName>
    <definedName name="cth">[15]CAD!$B$45:$AN$80</definedName>
    <definedName name="CTR_CTR">#REF!</definedName>
    <definedName name="Curr">#REF!</definedName>
    <definedName name="Current">#REF!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rrView">#REF!</definedName>
    <definedName name="CUS">#REF!</definedName>
    <definedName name="CUST">#REF!</definedName>
    <definedName name="CUSTOM">#REF!</definedName>
    <definedName name="Customer">[73]Sheet3!$A$4:$A$53</definedName>
    <definedName name="CUSTOMERDEPOSIT">#REF!</definedName>
    <definedName name="CV">#REF!</definedName>
    <definedName name="CVT">#REF!</definedName>
    <definedName name="d" hidden="1">#REF!</definedName>
    <definedName name="da" hidden="1">[74]adj!#REF!</definedName>
    <definedName name="daafsa">#REF!</definedName>
    <definedName name="DAD">#REF!</definedName>
    <definedName name="dads">#REF!</definedName>
    <definedName name="daftar">[75]daftar!$B$3:$C$748</definedName>
    <definedName name="DALL">#REF!</definedName>
    <definedName name="DALLA">#N/A</definedName>
    <definedName name="DALLN">#N/A</definedName>
    <definedName name="DAT1_1">[6]K.6DEPOSIT!#REF!</definedName>
    <definedName name="DATA">#REF!</definedName>
    <definedName name="DATA_WP">#REF!</definedName>
    <definedName name="data65">[64]Invoice!$F$38</definedName>
    <definedName name="data84">'[76]Purchase Order (2)'!$E$40</definedName>
    <definedName name="_xlnm.Database">#REF!</definedName>
    <definedName name="Database_MI">#REF!</definedName>
    <definedName name="DATABASE1">'[77]INCOME 2007'!#REF!</definedName>
    <definedName name="DataNama">'[78]5'!$I$5</definedName>
    <definedName name="datastart">#REF!</definedName>
    <definedName name="DATE">#REF!</definedName>
    <definedName name="DBAPASSWORD">[79]Config!$B$3</definedName>
    <definedName name="DBASID">[79]Config!$B$4</definedName>
    <definedName name="DBAUSER">[79]Config!$B$2</definedName>
    <definedName name="dbm">#REF!</definedName>
    <definedName name="DCUNEARNED1">#REF!</definedName>
    <definedName name="DCUNEARNED2">#REF!</definedName>
    <definedName name="ＤＤ">#REF!</definedName>
    <definedName name="ddd" hidden="1">#REF!</definedName>
    <definedName name="DDFFFF">#REF!</definedName>
    <definedName name="ddfs">#REF!</definedName>
    <definedName name="DDN">#REF!</definedName>
    <definedName name="DDT">#REF!</definedName>
    <definedName name="DDX">#REF!</definedName>
    <definedName name="DE">#REF!</definedName>
    <definedName name="Debet">'[34]412'!$J$525</definedName>
    <definedName name="DEBTOR">'[80]Account Code'!#REF!:'[80]Account Code'!$B$43</definedName>
    <definedName name="DEBTOR_1">'[80]Account Code'!#REF!:'[80]Account Code'!$B$43</definedName>
    <definedName name="DEBTOR98">'[81]Account Code'!$A$2:$B$42</definedName>
    <definedName name="deee">#REF!</definedName>
    <definedName name="DEFERREDGAINONSALE">#REF!</definedName>
    <definedName name="DEFERREDTAX">#REF!</definedName>
    <definedName name="DEL_CB003">#REF!</definedName>
    <definedName name="DEL_CTR">#REF!</definedName>
    <definedName name="dep">#REF!</definedName>
    <definedName name="Dependen">[82]Sheet2!$B$2:$B$6</definedName>
    <definedName name="DEPN">#REF!</definedName>
    <definedName name="Depre">'[46]Depre. Key'!$A$3:$A$6</definedName>
    <definedName name="depreciation">[52]Marshal!#REF!</definedName>
    <definedName name="depreciation_1">[53]Marshal!#REF!</definedName>
    <definedName name="DEPRECIATION0">#REF!</definedName>
    <definedName name="depreciationcalculation">#REF!</definedName>
    <definedName name="Depreop">#REF!</definedName>
    <definedName name="Deprepro">#REF!</definedName>
    <definedName name="DEPRESIASI">#REF!</definedName>
    <definedName name="des">'[83]Client AJE'!$Q$10:$T$706</definedName>
    <definedName name="desember">#REF!</definedName>
    <definedName name="desember_1">#REF!</definedName>
    <definedName name="desember_2">#REF!</definedName>
    <definedName name="Detail_Training">#REF!</definedName>
    <definedName name="dfasfda">#REF!</definedName>
    <definedName name="dfgdfg">[33]SELISIHKURSSOURCE!$D$930</definedName>
    <definedName name="dfj">'[84]Customize Your Purchase Order'!$E$25</definedName>
    <definedName name="dflt2">'[76]Customize Your Purchase Order'!$F$23</definedName>
    <definedName name="dflt3">'[76]Customize Your Purchase Order'!$F$24</definedName>
    <definedName name="dflt4">'[76]Customize Your Purchase Order'!$E$25</definedName>
    <definedName name="dflt5">'[76]Customize Your Purchase Order'!$F$27</definedName>
    <definedName name="dflt6">'[76]Customize Your Purchase Order'!$F$28</definedName>
    <definedName name="dflt7">'[76]Customize Your Purchase Order'!$E$29</definedName>
    <definedName name="dflt8">'[51]Customize Your Purchase Order'!$F$28</definedName>
    <definedName name="DFUNEARNED1">#REF!</definedName>
    <definedName name="DFUNEARNED2">#REF!</definedName>
    <definedName name="dibilang">[54]RUMUS!$A$1:$B$1000</definedName>
    <definedName name="DIFFINVALUEOFTRANSACTIONWITHUCC">#REF!</definedName>
    <definedName name="DIFFRESULTFROMEQUITYTRANSACTIONOFSUBS">#REF!</definedName>
    <definedName name="DIFFRESULTFROMFOREXTRANSLATION">#REF!</definedName>
    <definedName name="DINO">#REF!</definedName>
    <definedName name="Direktur" hidden="1">#REF!</definedName>
    <definedName name="discount_rate">#REF!</definedName>
    <definedName name="Disposal">'[14]KU-Ajt''03'!$H$7:$H$906</definedName>
    <definedName name="dividend">[52]Marshal!#REF!</definedName>
    <definedName name="dividend_1">[53]Marshal!#REF!</definedName>
    <definedName name="DIVIDENPAYABLE">#REF!</definedName>
    <definedName name="DKHSP">#REF!</definedName>
    <definedName name="DONATIONS">#REF!</definedName>
    <definedName name="DPP">[85]s20!#REF!</definedName>
    <definedName name="dq">#REF!</definedName>
    <definedName name="dsf">#REF!</definedName>
    <definedName name="dsfff">#REF!</definedName>
    <definedName name="dt">[86]rate!$B$3:$B$24</definedName>
    <definedName name="DUEFROMAFFBB">'[45]SE-C'!#REF!</definedName>
    <definedName name="DUEFROMAFFCO">#REF!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AFFBB">'[45]SE-C'!#REF!</definedName>
    <definedName name="DUETOAFFCO">#REF!</definedName>
    <definedName name="DUETOCOUNTERPART">#REF!</definedName>
    <definedName name="DUETOPLASMAPROJECT">#REF!</definedName>
    <definedName name="DUETOSTOCKHOLDER">#REF!</definedName>
    <definedName name="DUETOSTOCKSUBSBB">'[45]SE-C'!#REF!</definedName>
    <definedName name="E">#REF!</definedName>
    <definedName name="ebittax">[87]Attachement!$G$89</definedName>
    <definedName name="EBS">[88]CODE!$A$1:$E$21</definedName>
    <definedName name="EBT">[89]Marshal!$E$236</definedName>
    <definedName name="Edi">#REF!</definedName>
    <definedName name="EE">#REF!</definedName>
    <definedName name="EF">#REF!</definedName>
    <definedName name="EG">#REF!</definedName>
    <definedName name="ege">#REF!</definedName>
    <definedName name="egt">#REF!</definedName>
    <definedName name="egte">#REF!</definedName>
    <definedName name="egw">#REF!</definedName>
    <definedName name="ehhyer">'[90]412'!$J$411</definedName>
    <definedName name="EI">'[50]Dati base'!$D$53</definedName>
    <definedName name="emaiL">OFFSET('[55]PROJ CASH'!$C$20:$AB$20,(Chart3-1)*13,0,,Month+14)</definedName>
    <definedName name="Employee">[91]Recap!$C$5:$C$32</definedName>
    <definedName name="enam">#REF!</definedName>
    <definedName name="end">[92]Daftar!$Q$15</definedName>
    <definedName name="endyear">#REF!</definedName>
    <definedName name="english">#REF!</definedName>
    <definedName name="ENTERTAIN">#REF!</definedName>
    <definedName name="Entity">#REF!</definedName>
    <definedName name="Entity_Names">[93]Ranges!$C$5:$C$63</definedName>
    <definedName name="EO">'[50]Dati base'!$D$54</definedName>
    <definedName name="EQUITY">[94]แผนรวม!$J$165:$J$166</definedName>
    <definedName name="ERASE3">[95]JVFORM!#REF!</definedName>
    <definedName name="ERASE4">[95]JVFORM!#REF!</definedName>
    <definedName name="erher">[90]SELISIHKURSSOURCE!$D$930</definedName>
    <definedName name="escalation">#REF!</definedName>
    <definedName name="etge">#REF!</definedName>
    <definedName name="etherh">[90]SELISIHKURSSOURCE!$D$868</definedName>
    <definedName name="EUR">#REF!</definedName>
    <definedName name="ewf">#REF!</definedName>
    <definedName name="ExactAddinConnection" hidden="1">"412"</definedName>
    <definedName name="ExactAddinConnection.412" hidden="1">"EXACT-SERVER;412;Teddy;1"</definedName>
    <definedName name="ExactAddinConnection.998" hidden="1">"wong109178-1;998;chey109859;1"</definedName>
    <definedName name="ExactAddinReports" hidden="1">24</definedName>
    <definedName name="excahnge2">'[96]Base Data'!$C$7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29">#REF!</definedName>
    <definedName name="Excel_BuiltIn__FilterDatabase_7">[97]Adj!#REF!</definedName>
    <definedName name="Excel_BuiltIn_Criteria">#REF!</definedName>
    <definedName name="Excel_BuiltIn_Database">#REF!</definedName>
    <definedName name="Excel_BuiltIn_Database_1">#REF!</definedName>
    <definedName name="Excel_BuiltIn_Extract">#REF!</definedName>
    <definedName name="Excel_BuiltIn_Print_Area">#REF!</definedName>
    <definedName name="Excel_BuiltIn_Print_Area_1">[98]JAN!#REF!</definedName>
    <definedName name="Excel_BuiltIn_Print_Area_10">#REF!</definedName>
    <definedName name="Excel_BuiltIn_Print_Area_11">#REF!</definedName>
    <definedName name="Excel_BuiltIn_Print_Area_14">#REF!</definedName>
    <definedName name="Excel_BuiltIn_Print_Area_15">#REF!</definedName>
    <definedName name="Excel_BuiltIn_Print_Area_15_1">"$#REF!.$A$1:$K$36"</definedName>
    <definedName name="Excel_BuiltIn_Print_Area_15_1_1">"$#REF!.$A$1:$G$142"</definedName>
    <definedName name="Excel_BuiltIn_Print_Area_16">"$#REF!.$A$1:$K$36"</definedName>
    <definedName name="Excel_BuiltIn_Print_Area_16_1">"$#REF!.$A$1:$L$54"</definedName>
    <definedName name="Excel_BuiltIn_Print_Area_17">#REF!</definedName>
    <definedName name="Excel_BuiltIn_Print_Area_17_1">"$#REF!.$A$1:$I$55"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7">[97]Adj!#REF!</definedName>
    <definedName name="Excel_BuiltIn_Print_Area_8">#REF!</definedName>
    <definedName name="Excel_BuiltIn_Print_Titles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OFBOOKVALUEOVERCOST">#REF!</definedName>
    <definedName name="EXCESSOFCONSTRUCTIONOVERCLAIM">#REF!</definedName>
    <definedName name="exchange">'[96]Base Data'!$C$6</definedName>
    <definedName name="exit">#REF!</definedName>
    <definedName name="exittaxtotal">#REF!</definedName>
    <definedName name="EXN">#REF!</definedName>
    <definedName name="EXP_CB003">#REF!</definedName>
    <definedName name="EXPSUM">#REF!</definedName>
    <definedName name="exrate">#REF!</definedName>
    <definedName name="_xlnm.Extract">'[99]NRClajur-jkt'!#REF!</definedName>
    <definedName name="ExYTDA">#N/A</definedName>
    <definedName name="ExYTDAv">INDEX('[55]Exchange Rates'!$C$16:$N$16,Month)</definedName>
    <definedName name="f">#REF!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A">#REF!</definedName>
    <definedName name="FA1ACCUMDEPR">#REF!</definedName>
    <definedName name="FA1CARRYINGVALUE">#REF!</definedName>
    <definedName name="FA2ACCUMDEPR">#REF!</definedName>
    <definedName name="FA2CARRYINGVALUE">#REF!</definedName>
    <definedName name="fasd">#REF!</definedName>
    <definedName name="fcastPeriod">#REF!</definedName>
    <definedName name="fd" hidden="1">#REF!</definedName>
    <definedName name="FEB">#REF!</definedName>
    <definedName name="febru">[13]feb!$B$4:$CD$199</definedName>
    <definedName name="februar">#REF!</definedName>
    <definedName name="FF">#REF!</definedName>
    <definedName name="fge" hidden="1">#REF!</definedName>
    <definedName name="fifo">#REF!</definedName>
    <definedName name="fill" hidden="1">#REF!</definedName>
    <definedName name="FIN">#REF!</definedName>
    <definedName name="Finance">#REF!</definedName>
    <definedName name="FIOS_V_REPORT_D2">#REF!</definedName>
    <definedName name="fiscalprofits">[52]Marshal!#REF!</definedName>
    <definedName name="fiscalprofits_1">[53]Marshal!#REF!</definedName>
    <definedName name="Fiscloss">#REF!</definedName>
    <definedName name="Fiskal" hidden="1">#REF!</definedName>
    <definedName name="FIVEPLAN">#REF!</definedName>
    <definedName name="FixAss">#REF!</definedName>
    <definedName name="FixedAsset">#REF!</definedName>
    <definedName name="FIXK">#REF!</definedName>
    <definedName name="FN">#REF!</definedName>
    <definedName name="ＦＯ">#REF!</definedName>
    <definedName name="FO_Insp._Leader">#REF!</definedName>
    <definedName name="FO_Insp._Leader_1">#REF!</definedName>
    <definedName name="FO_Insp._Leader_2">#REF!</definedName>
    <definedName name="FOCI_ROY">'[55]Cover Sheet'!#REF!</definedName>
    <definedName name="FOCO_ROY">'[55]Cover Sheet'!#REF!</definedName>
    <definedName name="FOREX">#REF!</definedName>
    <definedName name="FORM">#REF!</definedName>
    <definedName name="FORMULA">#REF!</definedName>
    <definedName name="foundation">#REF!</definedName>
    <definedName name="fuck">#REF!</definedName>
    <definedName name="fuck_1">#REF!</definedName>
    <definedName name="fuck_2">#REF!</definedName>
    <definedName name="FULL" hidden="1">[100]p.mgmt!#REF!</definedName>
    <definedName name="fxrate">#REF!</definedName>
    <definedName name="g">#N/A</definedName>
    <definedName name="G_Cells">#REF!</definedName>
    <definedName name="GA">#REF!</definedName>
    <definedName name="gafeb">[101]febgj!$A$2:$J$6161</definedName>
    <definedName name="gains">[52]Marshal!#REF!</definedName>
    <definedName name="gains_1">[53]Marshal!#REF!</definedName>
    <definedName name="Gaji">#REF!</definedName>
    <definedName name="GAM">#REF!</definedName>
    <definedName name="gama">#REF!</definedName>
    <definedName name="GARIS">#REF!</definedName>
    <definedName name="GASBUMI12">#REF!</definedName>
    <definedName name="GBP">#REF!</definedName>
    <definedName name="ge">#REF!</definedName>
    <definedName name="GENERALEXP.">#REF!</definedName>
    <definedName name="GENJOIN">#REF!</definedName>
    <definedName name="GENKOMU">#REF!</definedName>
    <definedName name="GENMORTA">#REF!</definedName>
    <definedName name="gergr">#REF!</definedName>
    <definedName name="gewg">'[102]5'!$I$5</definedName>
    <definedName name="gfhdgf" hidden="1">#REF!</definedName>
    <definedName name="GG">#REF!</definedName>
    <definedName name="gge">[103]Invoice!$F$38</definedName>
    <definedName name="ggg">#REF!</definedName>
    <definedName name="gggggg">#REF!</definedName>
    <definedName name="gghh">#REF!</definedName>
    <definedName name="gjkhbl" hidden="1">#REF!</definedName>
    <definedName name="gl">#REF!</definedName>
    <definedName name="glu">#REF!</definedName>
    <definedName name="GM">#REF!</definedName>
    <definedName name="goodwill">#REF!</definedName>
    <definedName name="grab" hidden="1">[104]Vendors!#REF!</definedName>
    <definedName name="Graph">-OFFSET('[55]PROJ CASH'!$C$18:$AB$18,(Chart2-1)*13,0,,Month+14)</definedName>
    <definedName name="Graph1In">OFFSET('[55]PROJ CASH'!$C$14:$AB$14,(Chart1-1)*13,0,,Month+14)</definedName>
    <definedName name="Graph1Net">OFFSET('[55]PROJ CASH'!$C$20:$AB$20,(Chart1-1)*13,0,,Month+14)</definedName>
    <definedName name="Graph1Out">-OFFSET('[55]PROJ CASH'!$C$18:$AB$18,(Chart1-1)*13,0,,Month+14)</definedName>
    <definedName name="Graph2In">OFFSET('[55]PROJ CASH'!$C$14:$AB$14,(Chart2-1)*13,0,,Month+14)</definedName>
    <definedName name="Graph2Net">OFFSET('[55]PROJ CASH'!$C$20:$AB$20,(Chart2-1)*13,0,,Month+14)</definedName>
    <definedName name="Graph2Out">-OFFSET('[55]PROJ CASH'!$C$18:$AB$18,(Chart2-1)*13,0,,Month+14)</definedName>
    <definedName name="Graph3In">OFFSET('[55]PROJ CASH'!$C$14:$AB$14,(Chart3-1)*13,0,,Month+14)</definedName>
    <definedName name="Graph3Net">OFFSET('[55]PROJ CASH'!$C$20:$AB$20,(Chart3-1)*13,0,,Month+14)</definedName>
    <definedName name="Graph3Out">-OFFSET('[55]PROJ CASH'!$C$18:$AB$18,(Chart3-1)*13,0,,Month+14)</definedName>
    <definedName name="Graph4In">OFFSET('[55]PROJ CASH'!$C$14:$AB$14,(Chart4-1)*13,0,,Month+14)</definedName>
    <definedName name="Graph4Net">OFFSET('[55]PROJ CASH'!$C$20:$AB$20,(Chart4-1)*13,0,,Month+14)</definedName>
    <definedName name="Graph4Out">-OFFSET('[55]PROJ CASH'!$C$18:$AB$18,(Chart4-1)*13,0,,Month+14)</definedName>
    <definedName name="graph5out">#N/A</definedName>
    <definedName name="graphb" hidden="1">[104]Vendors!#REF!</definedName>
    <definedName name="gre">#REF!</definedName>
    <definedName name="grer">#REF!</definedName>
    <definedName name="grgr">#REF!</definedName>
    <definedName name="grgyh">#REF!</definedName>
    <definedName name="GROSS">[94]แผนรวม!$J$133</definedName>
    <definedName name="grr">#REF!</definedName>
    <definedName name="gsd">#REF!</definedName>
    <definedName name="gsdger">'[103]Customize Your Invoice'!$G$22:$G$25</definedName>
    <definedName name="gseg">#REF!</definedName>
    <definedName name="guj">#REF!</definedName>
    <definedName name="gwer">#REF!</definedName>
    <definedName name="H">[105]HPP_18_!#REF!</definedName>
    <definedName name="H_27">[106]HPP_20_!#REF!</definedName>
    <definedName name="H_29">[107]HPP_19_!#REF!</definedName>
    <definedName name="H_30">[107]HPP_19_!#REF!</definedName>
    <definedName name="HandCharges">#REF!</definedName>
    <definedName name="harga">[108]harga!$A$2:$B$639</definedName>
    <definedName name="HASIL">#REF!</definedName>
    <definedName name="HEADER">#REF!</definedName>
    <definedName name="herhre">#REF!</definedName>
    <definedName name="herhrehr">#REF!</definedName>
    <definedName name="Herland">'[19]2934'!$A$1:$I$43</definedName>
    <definedName name="hghghg">'[33]412'!$J$447</definedName>
    <definedName name="hh" hidden="1">#REF!</definedName>
    <definedName name="ＨＨＨ">#REF!</definedName>
    <definedName name="hitung">[109]hitung!$B$2:$C$699</definedName>
    <definedName name="hjj">#REF!</definedName>
    <definedName name="HKD">#REF!</definedName>
    <definedName name="hmhk">#REF!</definedName>
    <definedName name="home">#REF!</definedName>
    <definedName name="homeaddress">#REF!</definedName>
    <definedName name="homephone">#REF!</definedName>
    <definedName name="hreerhr">#REF!</definedName>
    <definedName name="hreher">#REF!</definedName>
    <definedName name="hrehr">#REF!</definedName>
    <definedName name="hrerh">#REF!</definedName>
    <definedName name="hrhrh">#REF!</definedName>
    <definedName name="hush">#REF!</definedName>
    <definedName name="ia">#REF!</definedName>
    <definedName name="ia_1">#REF!</definedName>
    <definedName name="ibn">#REF!</definedName>
    <definedName name="ic">'[51]Customize Your Purchase Order'!$E$25</definedName>
    <definedName name="IDR">#REF!</definedName>
    <definedName name="IDRList">[110]Table!$J$3:$J$32</definedName>
    <definedName name="IE">#REF!</definedName>
    <definedName name="ii">#REF!</definedName>
    <definedName name="iii">#REF!</definedName>
    <definedName name="ijk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mel">OFFSET('[55]PROJ CASH'!$C$20:$AB$20,(Chart4-1)*13,0,,Month+14)</definedName>
    <definedName name="IMMATUREPLANTATION">#REF!</definedName>
    <definedName name="Impor__2__Query">#REF!</definedName>
    <definedName name="ＩＮ">#REF!</definedName>
    <definedName name="inboundincomes">#REF!</definedName>
    <definedName name="INDEKS">#REF!</definedName>
    <definedName name="indonesian">#REF!</definedName>
    <definedName name="industry">#REF!</definedName>
    <definedName name="INI">#REF!</definedName>
    <definedName name="INPUT">#REF!</definedName>
    <definedName name="INR">#REF!</definedName>
    <definedName name="INST">#REF!</definedName>
    <definedName name="installment">#REF!</definedName>
    <definedName name="instrefs">[55]PRO!#REF!</definedName>
    <definedName name="INSW">#REF!</definedName>
    <definedName name="interest">[52]Marshal!#REF!</definedName>
    <definedName name="interest_1">[53]Marshal!#REF!</definedName>
    <definedName name="InternsList">[111]Table!$J$41:$J$43</definedName>
    <definedName name="INTONLOAN">#REF!</definedName>
    <definedName name="INV">#REF!</definedName>
    <definedName name="inv.pabrik">#REF!</definedName>
    <definedName name="INVENTORIES">#REF!</definedName>
    <definedName name="investmentfund">#REF!</definedName>
    <definedName name="INVESTMENTINSHAREOFSTOCKS">#REF!</definedName>
    <definedName name="irrc">[52]Marshal!#REF!</definedName>
    <definedName name="irrc_1">[53]Marshal!#REF!</definedName>
    <definedName name="IRRSC">#REF!</definedName>
    <definedName name="IRRSC_1">'[112]P&amp;L98'!#REF!</definedName>
    <definedName name="istft">#REF!</definedName>
    <definedName name="istft_1">[53]Marshal!#REF!</definedName>
    <definedName name="j">[18]YEPACK!#REF!</definedName>
    <definedName name="jak">#REF!</definedName>
    <definedName name="Jakarta_Int_l_School">#REF!</definedName>
    <definedName name="JAMUAN_MAKAN">#REF!</definedName>
    <definedName name="JAN">#REF!</definedName>
    <definedName name="januar">#REF!</definedName>
    <definedName name="januari">[13]jan!$B$4:$Q$198</definedName>
    <definedName name="JE">#REF!</definedName>
    <definedName name="JFKIJDEFKOD">#REF!</definedName>
    <definedName name="ＪＪ">#REF!</definedName>
    <definedName name="jjj">#REF!</definedName>
    <definedName name="jjjj">#REF!</definedName>
    <definedName name="JK">#REF!</definedName>
    <definedName name="JKT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Jmlbulan">#REF!</definedName>
    <definedName name="JNS">#REF!</definedName>
    <definedName name="jnu">#REF!</definedName>
    <definedName name="JobType">[113]Table!$L$2:$L$4</definedName>
    <definedName name="JOHNSON">#REF!</definedName>
    <definedName name="johnsonn">#REF!</definedName>
    <definedName name="joints_dayC2">#REF!</definedName>
    <definedName name="joints_daysemac">#REF!</definedName>
    <definedName name="Journal_Details">#REF!</definedName>
    <definedName name="Journal_Headers">#REF!</definedName>
    <definedName name="JPY">#REF!</definedName>
    <definedName name="jt">#REF!</definedName>
    <definedName name="JUAL">#N/A</definedName>
    <definedName name="JudulKKP">#REF!</definedName>
    <definedName name="jug">#REF!</definedName>
    <definedName name="JUL">'[114]KAS $'!#REF!</definedName>
    <definedName name="jule">#REF!</definedName>
    <definedName name="juli05">[13]jul!$B$4:$N$197</definedName>
    <definedName name="july">[115]july!#REF!</definedName>
    <definedName name="july_1">[116]july!#REF!</definedName>
    <definedName name="JUMLAH">#REF!</definedName>
    <definedName name="JUMLAH_BULANAN">#REF!</definedName>
    <definedName name="JUN">#REF!</definedName>
    <definedName name="june">[115]june!#REF!</definedName>
    <definedName name="june_1">[116]june!#REF!</definedName>
    <definedName name="juni05">[13]jun!$B$4:$Q$198</definedName>
    <definedName name="JURNALDEBET">#REF!</definedName>
    <definedName name="JURNALKREDIT">#REF!</definedName>
    <definedName name="JWB">#REF!</definedName>
    <definedName name="K">#REF!</definedName>
    <definedName name="K1_">#REF!</definedName>
    <definedName name="K2_">#REF!</definedName>
    <definedName name="KA">#REF!</definedName>
    <definedName name="KALAP">#REF!</definedName>
    <definedName name="kantor">#REF!</definedName>
    <definedName name="kantor1">#REF!</definedName>
    <definedName name="kantor2">#REF!</definedName>
    <definedName name="KAS">#REF!</definedName>
    <definedName name="KAU">#REF!</definedName>
    <definedName name="KAULAP">#REF!</definedName>
    <definedName name="KBAcc_Dep_1.10.02">'[14]KB-Ajt''03'!$K$7:$K$552</definedName>
    <definedName name="KBAcc_Dep_30.9.02">'[14]KB-Ajt''03'!$N$7:$N$552</definedName>
    <definedName name="KBAddition">'[14]KB-Ajt''03'!$I$7:$I$552</definedName>
    <definedName name="KBAdj.">'[14]KB-Ajt''03'!$G$7:$G$552</definedName>
    <definedName name="KBCost_1.10.02">'[14]KB-Ajt''03'!$F$7:$F$552</definedName>
    <definedName name="KBCost_30.9.03">'[14]KB-Ajt''03'!$J$7:$J$552</definedName>
    <definedName name="KBDep2002">'[14]KB-Ajt''03'!$Y$7:$Y$438</definedName>
    <definedName name="KBDisposal">'[14]KB-Ajt''03'!$H$7:$H$552</definedName>
    <definedName name="KBNBV2001">'[14]KB-Ajt''03'!$Q$7:$Q$552</definedName>
    <definedName name="KBNBV2002">'[14]KB-Ajt''03'!$P$7:$P$552</definedName>
    <definedName name="KBNBV2003">'[14]KB-Ajt''03'!$O$7:$O$552</definedName>
    <definedName name="KBSUSUT2002">'[14]KB-Ajt''03'!$T$7:$T$552</definedName>
    <definedName name="KBSUSUT2003">'[16]KB-Ajt''03'!$Z$7:$Z$221</definedName>
    <definedName name="KBTYPE">'[14]KB-Ajt''03'!$X$7:$X$552</definedName>
    <definedName name="KBWDV2001">'[14]KB-Ajt''03'!$R$7:$R$552</definedName>
    <definedName name="KBWDV2002">'[14]KB-Ajt''03'!$U$7:$U$552</definedName>
    <definedName name="KBWDV2003">'[16]KB-Ajt''03'!$AA$7:$AA$221</definedName>
    <definedName name="KBYear_Dpr">'[14]KB-Ajt''03'!$M$7:$M$552</definedName>
    <definedName name="Kd_Sup_SMP">[117]Supplier!$B$5:$B$263</definedName>
    <definedName name="Kd_Supp">[118]Supplier!$B$5:$B$263</definedName>
    <definedName name="keb">#REF!</definedName>
    <definedName name="KELUARDEBET">#REF!</definedName>
    <definedName name="KELUARKREDIT">#REF!</definedName>
    <definedName name="KET">#REF!</definedName>
    <definedName name="Ketua">'[119]KKP-II.2.2.1.2'!$J$214</definedName>
    <definedName name="kewajiban_lain_lain">#REF!</definedName>
    <definedName name="KEY_DATAS">'[120]JAN 2001'!#REF!</definedName>
    <definedName name="KF">'[121]Base Data'!$D$55</definedName>
    <definedName name="kjh" hidden="1">'[122]101.00'!#REF!</definedName>
    <definedName name="kk">'[123]Table Array'!$B$3:$C$24</definedName>
    <definedName name="KKD">'[124]Credit-22'!#REF!</definedName>
    <definedName name="Kkp_Modal">#REF!</definedName>
    <definedName name="KKPindukuyan">'[125]2934'!$A$1:$I$43</definedName>
    <definedName name="klien">#REF!</definedName>
    <definedName name="klu">'[126]Master File (2)'!$A$2:$C$2797</definedName>
    <definedName name="KM">#REF!</definedName>
    <definedName name="kmt">[15]KmtLevel!$A$5:$L$115</definedName>
    <definedName name="kmtRP">#REF!</definedName>
    <definedName name="KO">#REF!</definedName>
    <definedName name="KODE">[127]K!$A$6:$A$147</definedName>
    <definedName name="kodeagu">[128]Agu!$M:$M</definedName>
    <definedName name="kodeapr">[128]Apr!$M:$M</definedName>
    <definedName name="kodedes">[128]Des!$M:$M</definedName>
    <definedName name="kodejan">[128]Jan!$M:$M</definedName>
    <definedName name="kodejul">[128]Jul!$M:$M</definedName>
    <definedName name="kodejun">[128]Jun!$M:$M</definedName>
    <definedName name="kodemar">[128]Mar!$M:$M</definedName>
    <definedName name="kodemei">[128]Mei!$M:$M</definedName>
    <definedName name="kodenov">[128]Nov!$M:$M</definedName>
    <definedName name="kodeokt">[128]Okt!$M:$M</definedName>
    <definedName name="kodepeb">[128]Peb!$M:$M</definedName>
    <definedName name="kodesep">[128]Sep!$M:$M</definedName>
    <definedName name="KOKJN">#REF!</definedName>
    <definedName name="KOLRMS">#REF!</definedName>
    <definedName name="kom_komitment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n">#REF!</definedName>
    <definedName name="KONTINJENSI">#REF!</definedName>
    <definedName name="kop">'[129]Biaya Departemen'!$A$1:$E$4</definedName>
    <definedName name="kopRIN">#REF!</definedName>
    <definedName name="KOTA">#REF!</definedName>
    <definedName name="KPMM_Ago">#REF!</definedName>
    <definedName name="KPMM_Bank">#REF!</definedName>
    <definedName name="KPMM_Now">#REF!</definedName>
    <definedName name="KPP">#REF!</definedName>
    <definedName name="Kredit">'[34]412'!$J$447</definedName>
    <definedName name="KSAcc_Dep_1.10.02">'[14]KS-Ajt''03'!$K$8:$K$871</definedName>
    <definedName name="KSAcc_Dep_30.9.02">'[14]KS-Ajt''03'!$N$8:$N$871</definedName>
    <definedName name="KSAddition">'[14]KS-Ajt''03'!$I$8:$I$871</definedName>
    <definedName name="KSAdj.">'[14]KS-Ajt''03'!$G$8:$G$871</definedName>
    <definedName name="KSCost_1.10.02">'[14]KS-Ajt''03'!$F$8:$F$871</definedName>
    <definedName name="KSCost_30.9.03">'[14]KS-Ajt''03'!$J$8:$J$871</definedName>
    <definedName name="KSDep2002">'[14]KS-Ajt''03'!$Y$8:$Y$513</definedName>
    <definedName name="KSDisposal">'[14]KS-Ajt''03'!$H$8:$H$871</definedName>
    <definedName name="KSL_LAINNYA">#REF!</definedName>
    <definedName name="KSNBV2001">'[14]KS-Ajt''03'!$Q$8:$Q$871</definedName>
    <definedName name="KSNBV2002">'[14]KS-Ajt''03'!$P$8:$P$871</definedName>
    <definedName name="KSNBV2003">'[14]KS-Ajt''03'!$O$8:$O$871</definedName>
    <definedName name="KSSUSUT2002">'[14]KS-Ajt''03'!$T$8:$T$871</definedName>
    <definedName name="KSSUSUT2003">'[16]KS-Ajt''03'!$Z$8:$Z$929</definedName>
    <definedName name="KSTYPE">'[14]KS-Ajt''03'!$X$8:$X$871</definedName>
    <definedName name="KSWDV2001">'[14]KS-Ajt''03'!$R$8:$R$871</definedName>
    <definedName name="KSWDV2002">'[14]KS-Ajt''03'!$U$8:$U$871</definedName>
    <definedName name="KSWDV2003">'[16]KS-Ajt''03'!$AA$8:$AA$929</definedName>
    <definedName name="KSYear_Dpr">'[14]KS-Ajt''03'!$M$8:$M$871</definedName>
    <definedName name="KTAcc_Dep_1.10.02">'[14]KT-Ajt''03'!$K$7:$K$263</definedName>
    <definedName name="KTAcc_Dep_30.9.02">'[14]KT-Ajt''03'!$N$7:$N$263</definedName>
    <definedName name="KTAddition">'[14]KT-Ajt''03'!$I$7:$I$263</definedName>
    <definedName name="KTAdj.">'[14]KT-Ajt''03'!$G$7:$G$263</definedName>
    <definedName name="KTCost_1.10.02">'[14]KT-Ajt''03'!$F$7:$F$429</definedName>
    <definedName name="KTCost_30.9.03">'[14]KT-Ajt''03'!$J$7:$J$263</definedName>
    <definedName name="KTDep2002">'[14]KT-Ajt''03'!$Y$7:$Y$479</definedName>
    <definedName name="KTDisposal">'[14]KT-Ajt''03'!$H$7:$H$263</definedName>
    <definedName name="KTNBV2001">'[14]KT-Ajt''03'!$Q$7:$Q$263</definedName>
    <definedName name="KTNBV2002">'[14]KT-Ajt''03'!$P$7:$P$263</definedName>
    <definedName name="KTNBV2003">'[14]KT-Ajt''03'!$O$7:$O$263</definedName>
    <definedName name="KTSUSUT2002">'[14]KT-Ajt''03'!$T$7:$T$263</definedName>
    <definedName name="KTSUSUT2003">'[16]KT-Ajt''03'!$Z$7:$Z$229</definedName>
    <definedName name="KTTYPE">'[14]KT-Ajt''03'!$X$7:$X$263</definedName>
    <definedName name="KTWDV2001">'[14]KT-Ajt''03'!$R$7:$R$263</definedName>
    <definedName name="KTWDV2002">'[14]KT-Ajt''03'!$U$7:$U$263</definedName>
    <definedName name="KTWDV2003">'[16]KT-Ajt''03'!$AA$7:$AA$229</definedName>
    <definedName name="KTYear_Dpr">'[14]KT-Ajt''03'!$M$7:$M$263</definedName>
    <definedName name="KU_WESEL">#REF!</definedName>
    <definedName name="Kualitas">#REF!</definedName>
    <definedName name="KUALITAS_AKTIVA_PRODUKTIF">#REF!</definedName>
    <definedName name="KURS">[130]a!$A$2:$C$346</definedName>
    <definedName name="kurs1">[131]KURS!$A$2:$B$500</definedName>
    <definedName name="KursSales" hidden="1">#REF!</definedName>
    <definedName name="KURSSS">#REF!</definedName>
    <definedName name="l" hidden="1">#REF!</definedName>
    <definedName name="L_Adjust">[132]Links!$H:$H</definedName>
    <definedName name="L_AJE_Tot">[132]Links!$G:$G</definedName>
    <definedName name="L_CY_End">[132]Links!$J:$J</definedName>
    <definedName name="L_PY_End">[132]Links!$K:$K</definedName>
    <definedName name="L_RJE_Tot">[132]Links!$I:$I</definedName>
    <definedName name="LAB">#REF!</definedName>
    <definedName name="LABA">#REF!</definedName>
    <definedName name="LABARUGI05">#REF!</definedName>
    <definedName name="LAM1A">#REF!</definedName>
    <definedName name="LAM3A1">#REF!</definedName>
    <definedName name="lam3a2">#REF!</definedName>
    <definedName name="Lamp_Modal">#REF!</definedName>
    <definedName name="Lamp_Rentabilitas">#REF!</definedName>
    <definedName name="lamppembr">#REF!</definedName>
    <definedName name="laybarge">'[50]Dati base'!$B$11</definedName>
    <definedName name="LBU_Neraca">#REF!</definedName>
    <definedName name="ＬＤ">'[133]MK(7ｶ国+5,7,12万台)'!$X$58</definedName>
    <definedName name="LedgerOverallExport">#REF!</definedName>
    <definedName name="lembar">#REF!</definedName>
    <definedName name="lemhit">#REF!</definedName>
    <definedName name="LH">#REF!</definedName>
    <definedName name="LIAB">#REF!</definedName>
    <definedName name="LIABFORRETIREMENTBENEFIT">#REF!</definedName>
    <definedName name="LIKUIDITAS">#REF!</definedName>
    <definedName name="lilik">'[134]412src2'!$B$771</definedName>
    <definedName name="lima">#REF!</definedName>
    <definedName name="LINK">#REF!</definedName>
    <definedName name="List_Aktivitas">'[135]Tabel Data'!$E$5:$E$1010</definedName>
    <definedName name="List_Equipment">'[136]Tabel Data'!$C$5:$C$1010</definedName>
    <definedName name="List_Owner">'[135]Tabel Data'!$G$5:$G$1010</definedName>
    <definedName name="List_Tangki">'[136]Tabel Data'!$B$5:$B$1010</definedName>
    <definedName name="List_Warehouse">'[135]Tabel Data'!$H$5:$H$1009</definedName>
    <definedName name="listbulan">[92]Daftar!$P$3:$P$14</definedName>
    <definedName name="listpph">[37]Sheet2!$E$217</definedName>
    <definedName name="lk">#REF!</definedName>
    <definedName name="ll">#REF!</definedName>
    <definedName name="lld">#REF!</definedName>
    <definedName name="ＬＬＬ">#REF!</definedName>
    <definedName name="LocalDBase">"\\NSWMPT03\E&amp;C HO\MGT REPORTING\CONP"</definedName>
    <definedName name="location">#REF!</definedName>
    <definedName name="LOList">[111]Table!$J$3:$J$10</definedName>
    <definedName name="Long_Term_Debt">[34]SELISIHKURSSOURCE!$D$930</definedName>
    <definedName name="Long_Term_Loan_BOTM">[34]SELISIHKURSSOURCE!$D$868</definedName>
    <definedName name="LONGTERMRECEIVABLE">#REF!</definedName>
    <definedName name="LOOKUP1">#REF!</definedName>
    <definedName name="LOOKUP2">'[137]RIG 134-ASSETS APR 97'!#REF!</definedName>
    <definedName name="LOOKUP3">'[137]RIG 027-ASSETS-AFTER 30 JUN 97'!#REF!</definedName>
    <definedName name="LOOKUP4">#REF!</definedName>
    <definedName name="lossonfadisposal">[52]Marshal!#REF!</definedName>
    <definedName name="lossonfadisposal_1">[53]Marshal!#REF!</definedName>
    <definedName name="LPGSALUR12">#REF!</definedName>
    <definedName name="LR">#REF!</definedName>
    <definedName name="LS">'[51]Customize Your Purchase Order'!$E$29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ti" hidden="1">{#N/A,#N/A,FALSE,"MATERIAL"}</definedName>
    <definedName name="LTL">'[34]412'!$J$411</definedName>
    <definedName name="LUARUSAHA05">#REF!</definedName>
    <definedName name="m">'[138]Account Code'!$A$2:$B$42</definedName>
    <definedName name="M_Cells">#REF!</definedName>
    <definedName name="MACROS">#REF!</definedName>
    <definedName name="MAKRO">#N/A</definedName>
    <definedName name="MANAJEMEN">#REF!</definedName>
    <definedName name="manual">#REF!</definedName>
    <definedName name="MAP">#REF!</definedName>
    <definedName name="MAR">#REF!</definedName>
    <definedName name="maret">[13]mart!$B$4:$O$198</definedName>
    <definedName name="martt">#REF!</definedName>
    <definedName name="Master_Namabank">#REF!</definedName>
    <definedName name="Master_Posisi1">#REF!</definedName>
    <definedName name="mcmaclma" hidden="1">#REF!</definedName>
    <definedName name="MCRCOL">#REF!</definedName>
    <definedName name="MedClaimNo">#REF!</definedName>
    <definedName name="Medical">#REF!</definedName>
    <definedName name="MEI">#REF!</definedName>
    <definedName name="meliya">[139]Adj!#REF!</definedName>
    <definedName name="meyi">#REF!</definedName>
    <definedName name="MgmtFees">#REF!</definedName>
    <definedName name="MID003_LBU11_Garansi_yang_Diberikan">#REF!</definedName>
    <definedName name="milano_rprt_constn_actll_mhrs">'[140]Constn &amp; Install - LEV.4'!$95:$95,'[140]Constn &amp; Install - LEV.4'!$70:$70,'[140]Constn &amp; Install - LEV.4'!$46:$46</definedName>
    <definedName name="milano_rprt_projmgmt_actl_mhrs">'[140]LEV.4 Project Managem'!#REF!,'[140]LEV.4 Project Managem'!#REF!,'[140]LEV.4 Project Managem'!#REF!,'[140]LEV.4 Project Managem'!#REF!</definedName>
    <definedName name="MINOLTA">#REF!</definedName>
    <definedName name="MKLAP">#REF!</definedName>
    <definedName name="mn" hidden="1">{#N/A,#N/A,FALSE,"MATERIAL"}</definedName>
    <definedName name="Mo">'[141]Monthly RecapLO'!$C$6:$C$13</definedName>
    <definedName name="MOD">#REF!</definedName>
    <definedName name="Modal_Ago">#REF!</definedName>
    <definedName name="Modal_Inti_Ago">#REF!</definedName>
    <definedName name="Modal_Inti_Bank">#REF!</definedName>
    <definedName name="Modal_Inti_Now">#REF!</definedName>
    <definedName name="Modal_Now">#REF!</definedName>
    <definedName name="Modal_Pelengkap_Ago">#REF!</definedName>
    <definedName name="Modal_pelengkap_Now">#REF!</definedName>
    <definedName name="Mode">#REF!</definedName>
    <definedName name="MoList">'[142]Monthly Recap'!$C$6:$C$36</definedName>
    <definedName name="money">#REF!</definedName>
    <definedName name="Month">#REF!</definedName>
    <definedName name="monthly25">[143]Marshal!$H$195</definedName>
    <definedName name="monthlypph25">[52]Marshal!#REF!</definedName>
    <definedName name="monthlypph25_1">[53]Marshal!#REF!</definedName>
    <definedName name="morbid">[15]KmtLevel!$AB$5:$AT$105</definedName>
    <definedName name="morbid1">#REF!</definedName>
    <definedName name="morbid2">#REF!</definedName>
    <definedName name="mp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4_13Month">#REF!</definedName>
    <definedName name="MR4_Cash_Net">#REF!</definedName>
    <definedName name="MR4_Cash_Pos">#REF!</definedName>
    <definedName name="MR4_CC_4">'[55]Cover Sheet'!#REF!</definedName>
    <definedName name="MR4_CC_6">'[55]Cover Sheet'!#REF!</definedName>
    <definedName name="MR4_MR5_1b">'[55]Cover Sheet'!#REF!</definedName>
    <definedName name="MR4_MR5_2b">'[55]Cover Sheet'!#REF!</definedName>
    <definedName name="MR4_MR5_3b">'[55]Cover Sheet'!#REF!</definedName>
    <definedName name="MR4_MR5_4a">'[55]Cover Sheet'!#REF!</definedName>
    <definedName name="MR4_MR5_4b">'[55]Cover Sheet'!#REF!</definedName>
    <definedName name="MR4_MR5_5b">'[55]Cover Sheet'!#REF!</definedName>
    <definedName name="MR4_MR5_6a">'[55]Cover Sheet'!#REF!</definedName>
    <definedName name="MR4_MR5_6b">'[55]Cover Sheet'!#REF!</definedName>
    <definedName name="MR4_MR5_7b">'[55]Cover Sheet'!#REF!</definedName>
    <definedName name="MR4_MR9_1a">'[55]Cover Sheet'!#REF!</definedName>
    <definedName name="MR4_MR9_1b">'[55]Cover Sheet'!#REF!</definedName>
    <definedName name="MR4_MR9_1c">'[55]Cover Sheet'!#REF!</definedName>
    <definedName name="MR4_MR9_1d">'[55]Cover Sheet'!#REF!</definedName>
    <definedName name="MR4_MR9_2a">'[55]Cover Sheet'!#REF!</definedName>
    <definedName name="MR4_MR9_2b">'[55]Cover Sheet'!#REF!</definedName>
    <definedName name="MR4_MR9_2c">'[55]Cover Sheet'!#REF!</definedName>
    <definedName name="MR4_MR9_2d">'[55]Cover Sheet'!#REF!</definedName>
    <definedName name="MR4_MR9_6a">'[55]Cover Sheet'!#REF!</definedName>
    <definedName name="MR4_MR9_6b">'[55]Cover Sheet'!#REF!</definedName>
    <definedName name="MR4_MR9_6c">'[55]Cover Sheet'!#REF!</definedName>
    <definedName name="MR4_MR9_6d">'[55]Cover Sheet'!#REF!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>'[55]Cover Sheet'!#REF!</definedName>
    <definedName name="MR5_Depn_TMM_Bud">'[55]Cover Sheet'!#REF!</definedName>
    <definedName name="MR5_Depn_WY_Bud">'[55]Cover Sheet'!#REF!</definedName>
    <definedName name="MR5_Depn_WY_TF">'[55]Cover Sheet'!#REF!</definedName>
    <definedName name="MR5_Depn_YTD_Act">'[55]Cover Sheet'!#REF!</definedName>
    <definedName name="MR5_Depn_YTD_Bud">'[55]Cover Sheet'!#REF!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csh1">#REF!</definedName>
    <definedName name="MRcsh2">#REF!</definedName>
    <definedName name="mul">#REF!</definedName>
    <definedName name="MV">#REF!</definedName>
    <definedName name="myBatas">'[144]B1 Data'!#REF!</definedName>
    <definedName name="myPilih">'[144]B1 Data'!#REF!</definedName>
    <definedName name="MYR">#REF!</definedName>
    <definedName name="N">#REF!</definedName>
    <definedName name="Na_Sup_SMP">[117]Supplier!$F$5:$F$263</definedName>
    <definedName name="Na_Supp">[118]Supplier!$F$5:$F$263</definedName>
    <definedName name="NAGASEJPN">#REF!</definedName>
    <definedName name="NAGASESIN">#REF!</definedName>
    <definedName name="nai">#REF!</definedName>
    <definedName name="nai_1">[53]Marshal!#REF!</definedName>
    <definedName name="Nama">#REF!</definedName>
    <definedName name="Nama_Pemotong">#REF!</definedName>
    <definedName name="NAMA_PERKIRAAN">#REF!</definedName>
    <definedName name="NAMA_WP">#REF!</definedName>
    <definedName name="NAMA1">#REF!</definedName>
    <definedName name="NAMA2">#REF!</definedName>
    <definedName name="name">[145]GeneralInfo!$I$5</definedName>
    <definedName name="NAME1">#REF!</definedName>
    <definedName name="names">[146]GeneralInfo!$I$5</definedName>
    <definedName name="NEGATIF">'[147]tabel nilai'!$D$2:$E$37</definedName>
    <definedName name="NERACA05">#REF!</definedName>
    <definedName name="NERACA1">#REF!</definedName>
    <definedName name="NERACA2">#REF!</definedName>
    <definedName name="netincome">#REF!</definedName>
    <definedName name="new">[148]TBM!#REF!</definedName>
    <definedName name="nilaiagu">[128]Agu!$H:$H</definedName>
    <definedName name="nilaiapr">[128]Apr!$H:$H</definedName>
    <definedName name="nilaides">[128]Des!$H:$H</definedName>
    <definedName name="nilaijan">[128]Jan!$H:$H</definedName>
    <definedName name="nilaijul">[128]Jul!$H:$H</definedName>
    <definedName name="nilaijun">[128]Jun!$H:$H</definedName>
    <definedName name="nilaimar">[128]Mar!$H:$H</definedName>
    <definedName name="nilaimei">[128]Mei!$H:$H</definedName>
    <definedName name="nilainov">[128]Nov!$H:$H</definedName>
    <definedName name="nilaiokt">[128]Okt!$H:$H</definedName>
    <definedName name="nilaipeb">[128]Peb!$H:$H</definedName>
    <definedName name="nilaisep">[128]Sep!$H:$H</definedName>
    <definedName name="nn">#REF!</definedName>
    <definedName name="nnn">[149]NOTHIT!$Q$1:$Z$61</definedName>
    <definedName name="no">#REF!</definedName>
    <definedName name="No_PV_BV">'[118]BANK IDR'!$D$7:$D$214</definedName>
    <definedName name="NONDED">#REF!</definedName>
    <definedName name="NONE">#REF!</definedName>
    <definedName name="NOP">#REF!</definedName>
    <definedName name="NOTESPAYABLE">#REF!</definedName>
    <definedName name="NOTH">#REF!</definedName>
    <definedName name="nothit">#REF!</definedName>
    <definedName name="NoUrut">#REF!</definedName>
    <definedName name="NPWP">#REF!</definedName>
    <definedName name="npwp01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0">#REF!</definedName>
    <definedName name="npwp11">#REF!</definedName>
    <definedName name="NPWPALL">'[150]Permanent info'!$W$5</definedName>
    <definedName name="nrc_papi">#REF!</definedName>
    <definedName name="nspadm1">[37]Sheet2!$E$63</definedName>
    <definedName name="nspadm2">#REF!</definedName>
    <definedName name="nspers1">[151]GL!$E$68</definedName>
    <definedName name="NT_JHT">[152]TARIF!$BK$2:$BL$12</definedName>
    <definedName name="NT_REST">[152]TARIF!$B$3:$C$63</definedName>
    <definedName name="NT_THT">[152]TARIF!$W$3:$BH$39</definedName>
    <definedName name="NTJHT">[29]TARIP!$BK$2:$BL$12</definedName>
    <definedName name="NTTHT">[29]TARIP!$W$3:$BH$39</definedName>
    <definedName name="nuj">#REF!</definedName>
    <definedName name="O">#REF!</definedName>
    <definedName name="obj.21">#REF!</definedName>
    <definedName name="obyek">#REF!</definedName>
    <definedName name="october">#REF!</definedName>
    <definedName name="OD">#REF!</definedName>
    <definedName name="OF">#REF!</definedName>
    <definedName name="OFFICE">'[153]ADD-DISP-OTHER'!#REF!</definedName>
    <definedName name="OfficeList">[111]Table!$J$12:$J$38</definedName>
    <definedName name="officephone">#REF!</definedName>
    <definedName name="offset">#REF!</definedName>
    <definedName name="OKT">#REF!</definedName>
    <definedName name="oktobe">#REF!</definedName>
    <definedName name="oktober">[13]oct!$B$4:$N$194</definedName>
    <definedName name="old">'[154]Permanent info'!$E$7</definedName>
    <definedName name="OLE_LINK14" localSheetId="32">COGS!#REF!</definedName>
    <definedName name="OLE_LINK15" localSheetId="32">COGS!#REF!</definedName>
    <definedName name="OLE_LINK3" localSheetId="32">COGS!#REF!</definedName>
    <definedName name="OM">#REF!</definedName>
    <definedName name="OreType">[155]OreType!$B$2:$D$29</definedName>
    <definedName name="OreTypeSelect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">[48]Marshal!#REF!</definedName>
    <definedName name="OTHEREXP">#REF!</definedName>
    <definedName name="OTHEREXP_1">'[112]P&amp;L98'!#REF!</definedName>
    <definedName name="otherexpenses">[52]Marshal!#REF!</definedName>
    <definedName name="otherexpenses_1">[53]Marshal!#REF!</definedName>
    <definedName name="OTHERINCOME">'[63]Marshal -1'!#REF!</definedName>
    <definedName name="OTHERINCOME_1">'[112]P&amp;L98'!#REF!</definedName>
    <definedName name="otherincomes">[52]Marshal!#REF!</definedName>
    <definedName name="otherincomes_1">[53]Marshal!#REF!</definedName>
    <definedName name="others">#REF!</definedName>
    <definedName name="othertype">#REF!</definedName>
    <definedName name="OTHGUARANTEELC">#REF!</definedName>
    <definedName name="OTHLOANTOEMPLOYEE">#REF!</definedName>
    <definedName name="OTHOTHER">#REF!</definedName>
    <definedName name="OTHPREOPERATINGEXPENSE">#REF!</definedName>
    <definedName name="OTHRESTRICTEDFUND">#REF!</definedName>
    <definedName name="OTHSECURITYDEPOSIT">#REF!</definedName>
    <definedName name="OTHSEEDLING">#REF!</definedName>
    <definedName name="OTHTAXREFUND">#REF!</definedName>
    <definedName name="outboundincomes">#REF!</definedName>
    <definedName name="OUTPUT">#REF!</definedName>
    <definedName name="overpaidtax">#REF!</definedName>
    <definedName name="Overtime">#REF!</definedName>
    <definedName name="OWNERPASSWORD">[79]Config!$C$3</definedName>
    <definedName name="OWNERSID">[79]Config!$C$4</definedName>
    <definedName name="OWNERUSER">[79]Config!$C$2</definedName>
    <definedName name="p">[156]GeneralInfo!$I$6</definedName>
    <definedName name="ＰＡ">#REF!</definedName>
    <definedName name="Packaging">#REF!</definedName>
    <definedName name="PAGEALL">#REF!</definedName>
    <definedName name="PAGEBS">#REF!</definedName>
    <definedName name="PAGEIS">#REF!</definedName>
    <definedName name="PAIDUPCAPITAL">#REF!</definedName>
    <definedName name="PAS">#REF!</definedName>
    <definedName name="PASALSTP">#REF!</definedName>
    <definedName name="paymentdatepph29">#REF!</definedName>
    <definedName name="PC">#REF!</definedName>
    <definedName name="PE">#REF!</definedName>
    <definedName name="Pelunasan">'[34]412'!$J$418</definedName>
    <definedName name="pemb.">#REF!</definedName>
    <definedName name="Pemeriksa">'[119]KKP-II.2.2.1.2'!$J$213</definedName>
    <definedName name="penawaran" hidden="1">[157]analis!#REF!</definedName>
    <definedName name="penj">[37]Sheet2!$E$217</definedName>
    <definedName name="Penjualan">'[34]412'!$J$406</definedName>
    <definedName name="pensionfund">#REF!</definedName>
    <definedName name="PeNUTup">#REF!</definedName>
    <definedName name="PENY">#REF!</definedName>
    <definedName name="Penyertaan_Ago">#REF!</definedName>
    <definedName name="Penyertaan_Bank">#REF!</definedName>
    <definedName name="Penyertaan_Now">#REF!</definedName>
    <definedName name="penyu" hidden="1">#REF!</definedName>
    <definedName name="Penyusutan">#REF!</definedName>
    <definedName name="Period">[110]Table!$A$2:$A$13</definedName>
    <definedName name="PERIOD_END">#REF!</definedName>
    <definedName name="PeriodsInYear">[158]pl!#REF!</definedName>
    <definedName name="PERMODALAN">#REF!</definedName>
    <definedName name="pers3">#REF!</definedName>
    <definedName name="PERSONELCOST">#REF!</definedName>
    <definedName name="PERSONELCOST_1">'[112]P&amp;L98'!#REF!</definedName>
    <definedName name="personnelcost">[52]Marshal!#REF!</definedName>
    <definedName name="personnelcost_1">[53]Marshal!#REF!</definedName>
    <definedName name="Perusahaan">#REF!</definedName>
    <definedName name="pes">[159]Rasio!#REF!</definedName>
    <definedName name="PETTYCASH">#REF!</definedName>
    <definedName name="ＰＨ">#REF!</definedName>
    <definedName name="pi">#REF!</definedName>
    <definedName name="PIB_PPN_Query">#REF!</definedName>
    <definedName name="PIT">#REF!</definedName>
    <definedName name="Piutang">'[34]412'!$J$21</definedName>
    <definedName name="piutush">#REF!</definedName>
    <definedName name="pjk">#REF!</definedName>
    <definedName name="pk">#REF!</definedName>
    <definedName name="PKBN">[160]TBM!#REF!</definedName>
    <definedName name="PKP">#REF!</definedName>
    <definedName name="PL">#REF!</definedName>
    <definedName name="pl_jkt">#REF!</definedName>
    <definedName name="PL_Mat">#REF!</definedName>
    <definedName name="PL_SBY">#REF!</definedName>
    <definedName name="PLANT_I">#REF!</definedName>
    <definedName name="plc" hidden="1">#REF!</definedName>
    <definedName name="PLTI">[160]TBM!#REF!</definedName>
    <definedName name="PN">#REF!</definedName>
    <definedName name="PNSPrice">#REF!</definedName>
    <definedName name="PO">'[51]Customize Your Purchase Order'!$F$28</definedName>
    <definedName name="POMAcc_Dep_1.10.02">'[14]Mill-Ajt''03'!$J$9:$J$629</definedName>
    <definedName name="POMAcc_Dep_30.9.02">'[14]Mill-Ajt''03'!$M$9:$M$629</definedName>
    <definedName name="POMAddition">'[14]Mill-Ajt''03'!$H$9:$H$629</definedName>
    <definedName name="POMAddition1">'[16]Mill-Ajt''03'!$G$9:$G$652</definedName>
    <definedName name="POMAdj.">'[14]Mill-Ajt''03'!$F$9:$F$629</definedName>
    <definedName name="POMCost_1.10.02">'[14]Mill-Ajt''03'!$E$9:$E$629</definedName>
    <definedName name="POMCost_30.9.03">'[14]Mill-Ajt''03'!$I$9:$I$629</definedName>
    <definedName name="POMDep2002">'[14]Mill-Ajt''03'!$X$9:$X$931</definedName>
    <definedName name="POMDisposal">'[14]Mill-Ajt''03'!$G$9:$G$629</definedName>
    <definedName name="POMDisposal1">'[16]Mill-Ajt''03'!$H$9:$H$652</definedName>
    <definedName name="POMNBV2001">'[14]Mill-Ajt''03'!$P$9:$P$629</definedName>
    <definedName name="POMNBV2002">'[14]Mill-Ajt''03'!$O$9:$O$629</definedName>
    <definedName name="POMNBV2003">'[14]Mill-Ajt''03'!$N$9:$N$629</definedName>
    <definedName name="POMSUSUT2002">'[14]Mill-Ajt''03'!$S$9:$S$629</definedName>
    <definedName name="POMSUSUT2003">'[16]Mill-Ajt''03'!$Y$9:$Y$913</definedName>
    <definedName name="POMTYPE">'[14]Mill-Ajt''03'!$W$9:$W$629</definedName>
    <definedName name="POMWDV2001">'[14]Mill-Ajt''03'!$Q$9:$Q$629</definedName>
    <definedName name="POMWDV2002">'[14]Mill-Ajt''03'!$T$9:$T$629</definedName>
    <definedName name="POMWDV2003">'[16]Mill-Ajt''03'!$Z$9:$Z$913</definedName>
    <definedName name="POMYear_Dpr">'[14]Mill-Ajt''03'!$L$9:$L$629</definedName>
    <definedName name="POS">#REF!</definedName>
    <definedName name="POSITIF">'[147]tabel nilai'!$A$2:$B$37</definedName>
    <definedName name="Postage">#REF!</definedName>
    <definedName name="ＰＰ">#REF!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HPS24">'[161]F1771-V'!$R$31</definedName>
    <definedName name="PPN">#REF!</definedName>
    <definedName name="ppp">#REF!</definedName>
    <definedName name="pr">[15]Rekap!$H$7:$P$42</definedName>
    <definedName name="Prd">#REF!</definedName>
    <definedName name="PREOP">#REF!</definedName>
    <definedName name="PREPAIDEXPENSES">#REF!</definedName>
    <definedName name="PREPAIDTAX">#REF!</definedName>
    <definedName name="PREPARED_BY">#REF!</definedName>
    <definedName name="PREPARED_DATE">#REF!</definedName>
    <definedName name="Prepayment">#REF!</definedName>
    <definedName name="President">#REF!</definedName>
    <definedName name="Pri">#REF!</definedName>
    <definedName name="PRINT">#REF!</definedName>
    <definedName name="_xlnm.Print_Area">#N/A</definedName>
    <definedName name="Print_Area_MI">#REF!</definedName>
    <definedName name="Print_Area_MI_8">#REF!</definedName>
    <definedName name="Print_Area_MI_8_15">"$#REF!.$B$2:$K$36"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_xlnm.Print_Titles">#REF!</definedName>
    <definedName name="Print_Titles_MI">#REF!</definedName>
    <definedName name="Print_Titles_MI_1">#REF!</definedName>
    <definedName name="Print_Titles_MI_2">#REF!</definedName>
    <definedName name="Print_Titles_MI_3">#REF!</definedName>
    <definedName name="Print_Titles_MI_4">#REF!</definedName>
    <definedName name="Print_Titles_MI_5">#REF!</definedName>
    <definedName name="Print_Titles_MI_6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1">#REF!</definedName>
    <definedName name="PrintArea">#REF!</definedName>
    <definedName name="Prior">#REF!</definedName>
    <definedName name="PRN">#REF!</definedName>
    <definedName name="PRNT3">[2]T.B!#REF!</definedName>
    <definedName name="PRNT4">[2]T.B!#REF!</definedName>
    <definedName name="PRNT5">[2]T.B!#REF!</definedName>
    <definedName name="PROD">#REF!</definedName>
    <definedName name="ProductionSuppl.">#REF!</definedName>
    <definedName name="PROJECT">'[62]Dati base'!$B$2</definedName>
    <definedName name="project_life">#REF!</definedName>
    <definedName name="PROJECTINPROGRESS">#REF!</definedName>
    <definedName name="Property">#REF!</definedName>
    <definedName name="PROSES">#REF!</definedName>
    <definedName name="PROVISION">[48]Marshal!#REF!</definedName>
    <definedName name="provisions">[52]Marshal!#REF!</definedName>
    <definedName name="provisions_1">[53]Marshal!#REF!</definedName>
    <definedName name="proxy">#REF!</definedName>
    <definedName name="pt">#REF!</definedName>
    <definedName name="PTBJdata">#REF!</definedName>
    <definedName name="PTCDI_111601">#REF!</definedName>
    <definedName name="PTCDI_111602">#REF!</definedName>
    <definedName name="PTCDI_115111">#REF!</definedName>
    <definedName name="PTCDI_211101">#REF!</definedName>
    <definedName name="PTetap">#REF!</definedName>
    <definedName name="PTKP">'[162]kkp pph 21'!#REF!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>[15]KmtLevel!$M$5:$Z$115</definedName>
    <definedName name="pvfp1">[15]KmtNaik!$M$5:$Q$61</definedName>
    <definedName name="q">[163]Marshal!#REF!</definedName>
    <definedName name="Q_gaji122002">#REF!</definedName>
    <definedName name="ＱＥ">#REF!</definedName>
    <definedName name="qq">[1]JUL!#REF!</definedName>
    <definedName name="qweqwe">#REF!</definedName>
    <definedName name="range">[159]Rasio!#REF!</definedName>
    <definedName name="RATE">#REF!</definedName>
    <definedName name="RATE0503">#REF!</definedName>
    <definedName name="rate1">'[96]Base Data'!$C$6</definedName>
    <definedName name="RATE1003">#REF!</definedName>
    <definedName name="rate2">'[96]Base Data'!$C$7</definedName>
    <definedName name="RawMaterial">#REF!</definedName>
    <definedName name="rc_code">[164]SCORE_RC_Code!$B$8:$C$271</definedName>
    <definedName name="rcar">#REF!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Reasons">[165]Table!$A$2:$A$11</definedName>
    <definedName name="RecAs">#REF!</definedName>
    <definedName name="RecDate">#REF!</definedName>
    <definedName name="RecDryW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Iron">#REF!</definedName>
    <definedName name="RecLotNo">#REF!</definedName>
    <definedName name="RecName">#REF!</definedName>
    <definedName name="_xlnm.Recorder">#REF!</definedName>
    <definedName name="RecOreType">#REF!</definedName>
    <definedName name="recsal" hidden="1">[166]FA1999!$B$44:$B$54</definedName>
    <definedName name="RecTa2O5">#REF!</definedName>
    <definedName name="RecTin">#REF!</definedName>
    <definedName name="RecWetWt">#REF!</definedName>
    <definedName name="redd">[32]GLdownload!#REF!</definedName>
    <definedName name="Ref_currency">'[167]Base Data'!$B$5</definedName>
    <definedName name="refund">#REF!</definedName>
    <definedName name="reghergh">#REF!</definedName>
    <definedName name="RegNo">[113]DailyOvertime!$C:$C</definedName>
    <definedName name="Rekap" hidden="1">#REF!</definedName>
    <definedName name="REKONLIPPO">#REF!</definedName>
    <definedName name="REKONSBI">#REF!</definedName>
    <definedName name="Relocation">#REF!</definedName>
    <definedName name="rentals">[52]Marshal!#REF!</definedName>
    <definedName name="rentals_1">[53]Marshal!#REF!</definedName>
    <definedName name="Repair">#REF!</definedName>
    <definedName name="Report">#REF!</definedName>
    <definedName name="Report1.Range">#N/A</definedName>
    <definedName name="Report21.Range">#REF!</definedName>
    <definedName name="Report24.Range">#REF!</definedName>
    <definedName name="Report3.Range">#N/A</definedName>
    <definedName name="Report6.Range">#N/A</definedName>
    <definedName name="Report8.Range">#N/A</definedName>
    <definedName name="ReqAs">#REF!</definedName>
    <definedName name="ReqDate">#REF!</definedName>
    <definedName name="ReqDryWt">#REF!</definedName>
    <definedName name="ReqFe">#REF!</definedName>
    <definedName name="ReqIron">#REF!</definedName>
    <definedName name="ReqLotNo">#REF!</definedName>
    <definedName name="ReqName">#REF!</definedName>
    <definedName name="ReqOreType">#REF!</definedName>
    <definedName name="ReqSn">#REF!</definedName>
    <definedName name="ReqTa2O5">#REF!</definedName>
    <definedName name="ReqTin">#REF!</definedName>
    <definedName name="ReqWetWt">#REF!</definedName>
    <definedName name="resona" hidden="1">#REF!</definedName>
    <definedName name="Retail">#REF!</definedName>
    <definedName name="RETAINEDEARNINGS">#REF!</definedName>
    <definedName name="REVENUE">#REF!</definedName>
    <definedName name="RF">#REF!</definedName>
    <definedName name="rgrg">'[90]412'!$J$525</definedName>
    <definedName name="rheher">#REF!</definedName>
    <definedName name="rhehre">'[90]412'!$J$447</definedName>
    <definedName name="ria">#REF!</definedName>
    <definedName name="rl_komperatif">#REF!</definedName>
    <definedName name="RL_PAPI">#REF!</definedName>
    <definedName name="RLA">[168]Sheet2!$E$239</definedName>
    <definedName name="RMTB">#REF!</definedName>
    <definedName name="Rosita_Hariani">#REF!</definedName>
    <definedName name="Rosita_Hariani_1">#REF!</definedName>
    <definedName name="royalties">[52]Marshal!#REF!</definedName>
    <definedName name="royalties_1">[53]Marshal!#REF!</definedName>
    <definedName name="RPIPPI">#REF!</definedName>
    <definedName name="RPIPPI_1">#REF!</definedName>
    <definedName name="RR">#REF!</definedName>
    <definedName name="rrr">#REF!</definedName>
    <definedName name="rrrrrr" hidden="1">#REF!</definedName>
    <definedName name="RUGI_LABA">#REF!</definedName>
    <definedName name="RUGILABA1">#REF!</definedName>
    <definedName name="RUGILABA2">#REF!</definedName>
    <definedName name="RUMUS">[169]NPWP!$B$2:$G$495</definedName>
    <definedName name="RUMUSDASAR">#REF!</definedName>
    <definedName name="rupiah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djust_GT_1">#REF!</definedName>
    <definedName name="S_AJE_Tot">#REF!</definedName>
    <definedName name="S_AJE_Tot_Data">#REF!</definedName>
    <definedName name="S_AJE_Tot_GT">#REF!</definedName>
    <definedName name="S_AJE_Tot_GT_1">#REF!</definedName>
    <definedName name="S_CompNum">#REF!</definedName>
    <definedName name="S_CompNum_1">#REF!</definedName>
    <definedName name="S_CY_Beg">#REF!</definedName>
    <definedName name="S_CY_Beg_Data">#REF!</definedName>
    <definedName name="S_CY_Beg_GT">#REF!</definedName>
    <definedName name="S_CY_Beg_GT_1">#REF!</definedName>
    <definedName name="S_CY_End">#REF!</definedName>
    <definedName name="S_CY_End_Data">#REF!</definedName>
    <definedName name="S_CY_End_GT">#REF!</definedName>
    <definedName name="S_CY_End_GT_1">#REF!</definedName>
    <definedName name="S_Diff_Amt">#REF!</definedName>
    <definedName name="S_Diff_Amt_1">#REF!</definedName>
    <definedName name="S_Diff_Pct">#REF!</definedName>
    <definedName name="S_Diff_Pct_1">#REF!</definedName>
    <definedName name="S_GrpNum">#REF!</definedName>
    <definedName name="S_Headings">#REF!</definedName>
    <definedName name="S_KeyValue">#REF!</definedName>
    <definedName name="S_KeyValue_1">#REF!</definedName>
    <definedName name="S_PY_End">#REF!</definedName>
    <definedName name="S_PY_End_1">#REF!</definedName>
    <definedName name="S_PY_End_Data">#REF!</definedName>
    <definedName name="S_PY_End_Data_1">#REF!</definedName>
    <definedName name="S_PY_End_GT">#REF!</definedName>
    <definedName name="S_PY_End_GT_1">#REF!</definedName>
    <definedName name="S_RJE_Tot">#REF!</definedName>
    <definedName name="S_RJE_Tot_Data">#REF!</definedName>
    <definedName name="S_RJE_Tot_GT">#REF!</definedName>
    <definedName name="S_RJE_Tot_GT_1">#REF!</definedName>
    <definedName name="S_RowNum">#REF!</definedName>
    <definedName name="s40acf">[85]s40!#REF!</definedName>
    <definedName name="s40affte">[85]s40!#REF!</definedName>
    <definedName name="s40all">[85]s40!#REF!</definedName>
    <definedName name="s40apaacc">[85]s40!#REF!</definedName>
    <definedName name="s40apm">[85]s40!#REF!</definedName>
    <definedName name="s40asl">[85]s40!#REF!</definedName>
    <definedName name="s47df">#REF!</definedName>
    <definedName name="saaa">#REF!</definedName>
    <definedName name="sad">#REF!</definedName>
    <definedName name="Salary">#REF!</definedName>
    <definedName name="SALDO">#N/A</definedName>
    <definedName name="SALDOIDR">[69]CODE!$B$10:$D$492</definedName>
    <definedName name="SALDOUSD">[69]CODE!$B$10:$C$493</definedName>
    <definedName name="SALES">'[170]APRIL''02'!#REF!</definedName>
    <definedName name="SALES_1">'[171]APRIL''02'!#REF!</definedName>
    <definedName name="sby">#REF!</definedName>
    <definedName name="SBY_AMT">#REF!</definedName>
    <definedName name="SBY_AMT_NR">#REF!</definedName>
    <definedName name="SBY_AMT_R">#REF!</definedName>
    <definedName name="sby_bal">#REF!</definedName>
    <definedName name="SCH12NEW">[172]SCH12!#REF!</definedName>
    <definedName name="sd">#REF!</definedName>
    <definedName name="sdfsd">#REF!</definedName>
    <definedName name="secondbarge">'[167]Base Data'!$F$11</definedName>
    <definedName name="SECURITIESPAYABLE">#REF!</definedName>
    <definedName name="semua">#REF!</definedName>
    <definedName name="SEP">#REF!</definedName>
    <definedName name="Sept" hidden="1">[74]adj!#REF!</definedName>
    <definedName name="septem">#REF!</definedName>
    <definedName name="september">[13]sept!$B$4:$P$195</definedName>
    <definedName name="service">#REF!</definedName>
    <definedName name="sew">#REF!</definedName>
    <definedName name="SF">'[61]Base Data'!$D$55</definedName>
    <definedName name="sfsdf">#REF!</definedName>
    <definedName name="SGD">#REF!</definedName>
    <definedName name="sgs">#REF!</definedName>
    <definedName name="sh" hidden="1">{#N/A,#N/A,FALSE,"MATERIAL"}</definedName>
    <definedName name="ShipmentHeadings">#REF!,#REF!,#REF!,#REF!,#REF!,#REF!,#REF!,#REF!,#REF!,#REF!,#REF!,#REF!,#REF!,#REF!,#REF!,#REF!,#REF!,#REF!</definedName>
    <definedName name="Short_Term_Loan_MBB_I">[34]SELISIHKURSSOURCE!$D$899</definedName>
    <definedName name="Short_Term_Loan_MBB_II">[34]SELISIHKURSSOURCE!$D$787</definedName>
    <definedName name="SHORTERMINVESTMENT">#REF!</definedName>
    <definedName name="SHORTERMLOAN">#REF!</definedName>
    <definedName name="signdate">#REF!</definedName>
    <definedName name="signername">#REF!</definedName>
    <definedName name="signplace">#REF!</definedName>
    <definedName name="single">#REF!</definedName>
    <definedName name="sip">[148]TBM!#REF!</definedName>
    <definedName name="SJIPPI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lm">#REF!</definedName>
    <definedName name="SM">'[50]Dati base'!$D$55</definedName>
    <definedName name="so">#REF!</definedName>
    <definedName name="SONYIND">#REF!</definedName>
    <definedName name="sop">#REF!</definedName>
    <definedName name="Sort" hidden="1">#REF!</definedName>
    <definedName name="SOSHIN">#REF!</definedName>
    <definedName name="SP">#REF!</definedName>
    <definedName name="SPEC">#REF!</definedName>
    <definedName name="ss" hidden="1">{#N/A,#N/A,FALSE,"MATERIAL"}</definedName>
    <definedName name="ssp" hidden="1">#REF!</definedName>
    <definedName name="ssppph29">#REF!</definedName>
    <definedName name="STAFFWELFARE">#REF!</definedName>
    <definedName name="STANDARD_ROW">#REF!</definedName>
    <definedName name="STANDARD_ROW_1">#REF!</definedName>
    <definedName name="start">[92]Daftar!$P$15</definedName>
    <definedName name="startyear">#REF!</definedName>
    <definedName name="Stationaries">#REF!</definedName>
    <definedName name="Status">'[173]Lamp-14(Manajemen)'!#REF!</definedName>
    <definedName name="Status_kary">[82]Sheet2!$A$2:$A$6</definedName>
    <definedName name="sterling_1">'[174]1(pandl)'!#REF!</definedName>
    <definedName name="sterling_10">'[174]10(admin)'!#REF!</definedName>
    <definedName name="sterling_11">'[174]11(Total OHeads)'!#REF!</definedName>
    <definedName name="sterling_12">'[174]12-13(int&amp;nonop)'!#REF!</definedName>
    <definedName name="sterling_14">'[174]14(capex)'!#REF!</definedName>
    <definedName name="sterling_15">'[174]15(interco loans)'!#REF!</definedName>
    <definedName name="sterling_16">'[174]16(interco trading)'!#REF!</definedName>
    <definedName name="sterling_17">'[174]17-18(odebtsocreds)'!#REF!</definedName>
    <definedName name="sterling_19">'[174]19(oinfo)'!#REF!</definedName>
    <definedName name="sterling_2">'[174]2(Interco Sales)'!#REF!</definedName>
    <definedName name="sterling_3">'[58]3(bsheet)'!#REF!</definedName>
    <definedName name="sterling_4">'[174]4(cash)'!#REF!</definedName>
    <definedName name="sterling_5">'[174]5(indcos)'!#REF!</definedName>
    <definedName name="sterling_6">'[174]6(prodn)'!#REF!</definedName>
    <definedName name="sterling_7">'[174]7(Eng)'!#REF!</definedName>
    <definedName name="sterling_8">'[174]8(Opad)'!#REF!</definedName>
    <definedName name="sterling_9">'[174]9(s&amp;m)'!#REF!</definedName>
    <definedName name="STFTI">'[63]Marshal -1'!#REF!</definedName>
    <definedName name="STL">'[34]412'!$J$410</definedName>
    <definedName name="stnk">#REF!</definedName>
    <definedName name="stp">#REF!</definedName>
    <definedName name="strip">[175]NPV!$I$9</definedName>
    <definedName name="SubAssetType">[46]AssetType!$B$3:$B$250</definedName>
    <definedName name="subtotal1">#REF!</definedName>
    <definedName name="subtotal2">#REF!</definedName>
    <definedName name="SUMBERNAMA">#REF!</definedName>
    <definedName name="SUMBERNPWP">#REF!</definedName>
    <definedName name="SUMBERTAHUN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pplier">[176]Base!$B:$D</definedName>
    <definedName name="SUPPLIES">#REF!</definedName>
    <definedName name="SUSUT">#REF!</definedName>
    <definedName name="SUSUT2002">'[14]KU-Ajt''03'!$T$7:$T$906</definedName>
    <definedName name="SUSUT2003">'[16]KU-Ajt''03'!$Z$7:$Z$934</definedName>
    <definedName name="T">#REF!</definedName>
    <definedName name="T_ACCOUNT">#REF!</definedName>
    <definedName name="tabel">[177]Interdata!$A$2:$F$446</definedName>
    <definedName name="TABEL_1">'[162]kkp pph 21'!#REF!</definedName>
    <definedName name="TAGIHAN_LAINNYA">#REF!</definedName>
    <definedName name="TAHUN">'[78]5'!$G$12</definedName>
    <definedName name="TAX">#REF!</definedName>
    <definedName name="taxableincome">[52]Marshal!#REF!</definedName>
    <definedName name="taxableincome_1">[53]Marshal!#REF!</definedName>
    <definedName name="taxdue">[52]Marshal!#REF!</definedName>
    <definedName name="taxdue_1">[53]Marshal!#REF!</definedName>
    <definedName name="taxdueorpaidabroad">#REF!</definedName>
    <definedName name="TAXESPAYABLE">#REF!</definedName>
    <definedName name="taxlosstotal">#REF!</definedName>
    <definedName name="TB">[178]TB!$A$7:$H$210</definedName>
    <definedName name="TBAPLIKASI">#REF!</definedName>
    <definedName name="tbl_HO_PL___Expenses">#REF!</definedName>
    <definedName name="TBM">#REF!</definedName>
    <definedName name="TC">#REF!</definedName>
    <definedName name="TCN">'[50]Dati base'!$D$57</definedName>
    <definedName name="ted">[179]Table!$A$2:$A$11</definedName>
    <definedName name="Telephone">#REF!</definedName>
    <definedName name="telp">[37]Sheet2!$E$166</definedName>
    <definedName name="TERBILANG">#REF!</definedName>
    <definedName name="TERIMADEBET">#REF!</definedName>
    <definedName name="TERIMAKREDIT">#REF!</definedName>
    <definedName name="tes">#REF!</definedName>
    <definedName name="TEST0">#REF!</definedName>
    <definedName name="test00">'[23]AA.1.1 BNI'!$A$15:$H$54</definedName>
    <definedName name="TESTHKEY">[6]K.6DEPOSIT!#REF!</definedName>
    <definedName name="TESTHKEY_1">[6]K.6DEPOSIT!#REF!</definedName>
    <definedName name="testing">#REF!</definedName>
    <definedName name="TESTKEYS">#REF!</definedName>
    <definedName name="TESTVKEY">[6]K.6DEPOSIT!#REF!</definedName>
    <definedName name="TESTVKEY_1">[6]K.6DEPOSIT!#REF!</definedName>
    <definedName name="tet">'[179]Monthly RecapLO'!$C$6:$C$13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'[180]PVDBO (8%)'!#REF!</definedName>
    <definedName name="TextRefCopy7">#REF!</definedName>
    <definedName name="TextRefCopy8">#REF!</definedName>
    <definedName name="TextRefCopyRangeCount" hidden="1">7</definedName>
    <definedName name="TF">#REF!</definedName>
    <definedName name="Tgl_BV">'[118]BANK IDR'!$A$7:$A$214</definedName>
    <definedName name="TGLIPPI">#REF!</definedName>
    <definedName name="ＴＨ">#REF!</definedName>
    <definedName name="THB">#REF!</definedName>
    <definedName name="thrhtr">#REF!</definedName>
    <definedName name="tht">#REF!</definedName>
    <definedName name="Time">#REF!</definedName>
    <definedName name="Time_Names">[93]Ranges!$H$5:$H$17</definedName>
    <definedName name="TITLE">#REF!</definedName>
    <definedName name="tiva">#REF!</definedName>
    <definedName name="todate">#REF!</definedName>
    <definedName name="topmanager">#REF!</definedName>
    <definedName name="Total_DLK_Rutin">#REF!</definedName>
    <definedName name="TOTAL_KOREKSI">#REF!</definedName>
    <definedName name="Total_Population2">'[30]MUS Calculations COGS '!$I$3512</definedName>
    <definedName name="TRADING">#REF!</definedName>
    <definedName name="Transport">#REF!</definedName>
    <definedName name="TRAVELLING">#REF!</definedName>
    <definedName name="TS">#REF!</definedName>
    <definedName name="tt">#REF!</definedName>
    <definedName name="TTA">[94]แผนรวม!$J$153</definedName>
    <definedName name="ＴＴＴ">#REF!</definedName>
    <definedName name="tujuh">#REF!</definedName>
    <definedName name="tukiDATA">#REF!</definedName>
    <definedName name="turnover">[52]Marshal!#REF!</definedName>
    <definedName name="turnover_1">[53]Marshal!#REF!</definedName>
    <definedName name="TYPE">'[14]KU-Ajt''03'!$X$7:$X$906</definedName>
    <definedName name="U">#N/A</definedName>
    <definedName name="um">#REF!</definedName>
    <definedName name="UMURLAP">#REF!</definedName>
    <definedName name="uncollectibles">[52]Marshal!#REF!</definedName>
    <definedName name="uncollectibles_1">[53]Marshal!#REF!</definedName>
    <definedName name="UNEARNEDINCOME">#REF!</definedName>
    <definedName name="unit">[101]tm_unit_kerja!$A$2:$B$1675</definedName>
    <definedName name="Unocal_Indonesia_Company">#REF!</definedName>
    <definedName name="UnrealisedExchg.">#REF!</definedName>
    <definedName name="UNREALIZEDPROFIT">#REF!</definedName>
    <definedName name="UP">#REF!</definedName>
    <definedName name="Upkeep">#REF!</definedName>
    <definedName name="URAIAN">#REF!</definedName>
    <definedName name="usd">#REF!</definedName>
    <definedName name="USDList">[110]Table!$L$3:$L$5</definedName>
    <definedName name="USERPASSWORD">[79]Config!$D$3</definedName>
    <definedName name="USERSID">[79]Config!$D$4</definedName>
    <definedName name="USERUSER">[79]Config!$D$2</definedName>
    <definedName name="utility">#REF!</definedName>
    <definedName name="uuu">#REF!</definedName>
    <definedName name="V">#REF!</definedName>
    <definedName name="V_Lists">[181]V_List!$A$2:$F$110</definedName>
    <definedName name="VALLAP">#REF!</definedName>
    <definedName name="valuta1">'[62]Dati base'!$B$6</definedName>
    <definedName name="valuta2">'[62]Dati base'!$B$7</definedName>
    <definedName name="valuta3">'[62]Dati base'!$B$5</definedName>
    <definedName name="vc">#REF!</definedName>
    <definedName name="Version">#REF!</definedName>
    <definedName name="Version_Names">[93]Ranges!$L$5:$L$20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iew">#REF!</definedName>
    <definedName name="VMA">#REF!</definedName>
    <definedName name="VMB">#REF!</definedName>
    <definedName name="VT">#REF!</definedName>
    <definedName name="ＶＶ">'[65]CIVIC 1.6L(7ｶ国MA輸出)ｺｽﾄ'!$X$59</definedName>
    <definedName name="VYA">#REF!</definedName>
    <definedName name="VYB">#REF!</definedName>
    <definedName name="WaterElec.">#REF!</definedName>
    <definedName name="wetw">#REF!</definedName>
    <definedName name="WhTAx">#REF!</definedName>
    <definedName name="wl0">#REF!</definedName>
    <definedName name="wp">[182]MFWP!$A$2:$D$2726</definedName>
    <definedName name="wrn.ACCOUNT._.PAYABLE." hidden="1">{#N/A,#N/A,FALSE,"MATERIAL"}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data." hidden="1">{#N/A,#N/A,FALSE,"DATA"}</definedName>
    <definedName name="wrn.GRF_1." hidden="1">{"VISTA_1",#N/A,FALSE,"GRAFO"}</definedName>
    <definedName name="wrn.INPUT." hidden="1">{#N/A,#N/A,FALSE,"12MFC"}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pag_1." hidden="1">{#N/A,#N/A,FALSE,"COPERTINA"}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si">'[51]Customize Your Purchase Order'!$F$23</definedName>
    <definedName name="ＷＷ">'[65]CIVIC 1.6L(7ｶ国MA輸出)ｺｽﾄ'!$X$54</definedName>
    <definedName name="wwf">#REF!</definedName>
    <definedName name="X">'[183]Account Code'!$A$2:$B$42</definedName>
    <definedName name="xa">#REF!</definedName>
    <definedName name="xd">'[20]412'!$J$525</definedName>
    <definedName name="xe">#REF!</definedName>
    <definedName name="xf">#REF!</definedName>
    <definedName name="xg">[33]SELISIHKURSSOURCE!$D$930</definedName>
    <definedName name="xh">#REF!</definedName>
    <definedName name="xi">#REF!</definedName>
    <definedName name="xj">#REF!</definedName>
    <definedName name="xk">'[33]412'!$J$447</definedName>
    <definedName name="xo">#REF!</definedName>
    <definedName name="xp">[31]Invoice!$F$38</definedName>
    <definedName name="xq">[32]GLdownload!#REF!</definedName>
    <definedName name="xr">#REF!</definedName>
    <definedName name="XREF_COLUMN_1" hidden="1">#REF!</definedName>
    <definedName name="XRefActiveRow" hidden="1">#REF!</definedName>
    <definedName name="XRefColumnsCount" hidden="1">1</definedName>
    <definedName name="XRefPaste1" hidden="1">#REF!</definedName>
    <definedName name="XRefPaste1Row" hidden="1">#REF!</definedName>
    <definedName name="XRefPasteRangeCount" hidden="1">1</definedName>
    <definedName name="xs">'[21]5'!$I$5</definedName>
    <definedName name="xt">[32]GLdownload!#REF!</definedName>
    <definedName name="xu">#REF!</definedName>
    <definedName name="xw">[32]GLdownload!#REF!</definedName>
    <definedName name="ＸＸ">'[65]CIVIC 1.6L(7ｶ国MA輸出)ｺｽﾄ'!$X$56</definedName>
    <definedName name="XXXXXXXXXXXXX">'[174]19(oinfo)'!#REF!</definedName>
    <definedName name="XXXXXXXXXXXXXXXXXXXXXXXX">'[174]2(Interco Sales)'!#REF!</definedName>
    <definedName name="xy">#REF!</definedName>
    <definedName name="xz">[32]GLdownload!#REF!</definedName>
    <definedName name="xzx">#REF!</definedName>
    <definedName name="y">#REF!</definedName>
    <definedName name="Year_Dpr">'[14]KU-Ajt''03'!$M$7:$M$906</definedName>
    <definedName name="year01">#REF!</definedName>
    <definedName name="year02">#REF!</definedName>
    <definedName name="year03">#REF!</definedName>
    <definedName name="year04">#REF!</definedName>
    <definedName name="Yes">[165]Table!$L$2</definedName>
    <definedName name="yield">#REF!</definedName>
    <definedName name="YOS">#REF!</definedName>
    <definedName name="YOSHINO">#REF!</definedName>
    <definedName name="YRPL">[85]s20!#REF!</definedName>
    <definedName name="Z">'[183]Account Code'!$A$2:$B$42</definedName>
    <definedName name="za">#REF!</definedName>
    <definedName name="zd">#REF!</definedName>
    <definedName name="ze" hidden="1">#REF!</definedName>
    <definedName name="zf">'[31]Customize Your Invoice'!$G$22:$G$25</definedName>
    <definedName name="zg">#REF!</definedName>
    <definedName name="zh">#REF!</definedName>
    <definedName name="zi" hidden="1">#REF!</definedName>
    <definedName name="zj">#REF!</definedName>
    <definedName name="zk">#REF!</definedName>
    <definedName name="zl">#REF!</definedName>
    <definedName name="zm">#REF!</definedName>
    <definedName name="zn">#REF!</definedName>
    <definedName name="zo">#REF!</definedName>
    <definedName name="zp">#REF!</definedName>
    <definedName name="zq">#REF!</definedName>
    <definedName name="zr" hidden="1">#REF!</definedName>
    <definedName name="zs">'[20]412src2'!$B$771</definedName>
    <definedName name="zt">#REF!</definedName>
    <definedName name="zu">'[20]412src2'!$B$390</definedName>
    <definedName name="zv">[32]GLdownload!#REF!</definedName>
    <definedName name="zw" hidden="1">#REF!</definedName>
    <definedName name="zx">#REF!</definedName>
    <definedName name="ＺＺ">'[65]CIVIC 1.6L(7ｶ国MA輸出)ｺｽﾄ'!$X$58</definedName>
    <definedName name="ZZAT">#REF!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  <definedName name="zzz">#REF!</definedName>
    <definedName name="zzzzzzzzzzzzzzzzzzzzzzzzzzzzzzzzzzzzzzzzzzzzzzc">#REF!</definedName>
    <definedName name="うう">'[184]CIVIC 1.7L(7ｶ国MA輸出)GKN同一'!$X$59</definedName>
    <definedName name="カナ">#REF!</definedName>
    <definedName name="さささ">'[184]CIVIC 1.7L(7ｶ国MA輸出)GKN同一'!$X$57</definedName>
    <definedName name="タイ">#REF!</definedName>
    <definedName name="たたた">'[184]CIVIC 1.7L(7ｶ国MA輸出)GKN同一'!$X$58</definedName>
    <definedName name="てて">'[184]CIVIC 1.7L(7ｶ国MA輸出)GKN同一'!$X$55</definedName>
    <definedName name="ととと">'[184]CIVIC 1.7L(7ｶ国MA輸出)GKN同一'!$X$56</definedName>
    <definedName name="ぬぬ">'[184]CIVIC 1.7L(7ｶ国MA輸出)GKN同一'!$X$54</definedName>
    <definedName name="ぱき">#REF!</definedName>
    <definedName name="一般">#REF!</definedName>
    <definedName name="一般寡婦">#REF!</definedName>
    <definedName name="一般扶養">#REF!</definedName>
    <definedName name="一般障害">#REF!</definedName>
    <definedName name="七十九期">#REF!</definedName>
    <definedName name="中国">#REF!</definedName>
    <definedName name="中大量">#REF!</definedName>
    <definedName name="中量">#REF!</definedName>
    <definedName name="五十音">'[185]date nama'!$A$1:$BI$1</definedName>
    <definedName name="休出手当率">#REF!</definedName>
    <definedName name="住宅">#REF!</definedName>
    <definedName name="住所">#REF!</definedName>
    <definedName name="住所2">#REF!</definedName>
    <definedName name="保険">'[186]MK(W L,D)ｺｽﾄ'!$T$8</definedName>
    <definedName name="備考1">#REF!</definedName>
    <definedName name="備考2">#REF!</definedName>
    <definedName name="備考3">#REF!</definedName>
    <definedName name="備考4">#REF!</definedName>
    <definedName name="八十一期">#REF!</definedName>
    <definedName name="八十期">#REF!</definedName>
    <definedName name="労働保険率">#REF!</definedName>
    <definedName name="勤労学生">#REF!</definedName>
    <definedName name="同居特別障害">#REF!</definedName>
    <definedName name="同居老親">#REF!</definedName>
    <definedName name="地37">[187]TB!#REF!</definedName>
    <definedName name="基礎">#REF!</definedName>
    <definedName name="基礎DATA">#REF!</definedName>
    <definedName name="基礎控除">#REF!</definedName>
    <definedName name="大量">#REF!</definedName>
    <definedName name="委託研究費">'[186]MK(W L,D)ｺｽﾄ'!$T$7</definedName>
    <definedName name="定率">#REF!</definedName>
    <definedName name="定率減税率">#REF!</definedName>
    <definedName name="寡夫">#REF!</definedName>
    <definedName name="少中量">#REF!</definedName>
    <definedName name="少量">#REF!</definedName>
    <definedName name="年調計算">#REF!</definedName>
    <definedName name="所得控除">#REF!</definedName>
    <definedName name="所得税">#REF!</definedName>
    <definedName name="振込口座">#REF!</definedName>
    <definedName name="控除">#REF!</definedName>
    <definedName name="損保">#REF!</definedName>
    <definedName name="支払金額">#REF!</definedName>
    <definedName name="料率表">#REF!</definedName>
    <definedName name="本人一般障害">#REF!</definedName>
    <definedName name="本人特別障害">#REF!</definedName>
    <definedName name="本社管理費">'[186]MK(W L,D)ｺｽﾄ'!$T$6</definedName>
    <definedName name="極小量">#REF!</definedName>
    <definedName name="残業手当率">#REF!</definedName>
    <definedName name="氏名">#REF!</definedName>
    <definedName name="源泉税">#REF!</definedName>
    <definedName name="特別">#REF!</definedName>
    <definedName name="特別寡婦">#REF!</definedName>
    <definedName name="特別障害">#REF!</definedName>
    <definedName name="特配1">#REF!</definedName>
    <definedName name="特配2">#REF!</definedName>
    <definedName name="現地">#REF!</definedName>
    <definedName name="現地諸掛かり">'[186]MK(W L,D)ｺｽﾄ'!$T$11</definedName>
    <definedName name="現地諸掛りⅡ">'[186]MK(W L,D)ｺｽﾄ'!$T$13</definedName>
    <definedName name="生保">#REF!</definedName>
    <definedName name="生命保険">#REF!</definedName>
    <definedName name="生年">#REF!</definedName>
    <definedName name="短期損保">#REF!</definedName>
    <definedName name="社保">#REF!</definedName>
    <definedName name="秒">#REF!</definedName>
    <definedName name="税額">#REF!</definedName>
    <definedName name="稼働率ア">#REF!</definedName>
    <definedName name="端数">#REF!</definedName>
    <definedName name="給与所得控除">#REF!</definedName>
    <definedName name="給与所得控除後">#REF!</definedName>
    <definedName name="給与控除">#REF!</definedName>
    <definedName name="老人">#REF!</definedName>
    <definedName name="老年者">#REF!</definedName>
    <definedName name="老親">#REF!</definedName>
    <definedName name="課税対象">#REF!</definedName>
    <definedName name="諸掛かり">#REF!</definedName>
    <definedName name="賞与">#REF!</definedName>
    <definedName name="賞与0">#REF!</definedName>
    <definedName name="賞与1">#REF!</definedName>
    <definedName name="賞与2">#REF!</definedName>
    <definedName name="賞与3">#REF!</definedName>
    <definedName name="賞与4">#REF!</definedName>
    <definedName name="賞与介護率">#REF!</definedName>
    <definedName name="賞与健保上限">#REF!</definedName>
    <definedName name="賞与健保介護率">#REF!</definedName>
    <definedName name="賞与健保率">#REF!</definedName>
    <definedName name="賞与厚生上限">#REF!</definedName>
    <definedName name="賞与厚生率">#REF!</definedName>
    <definedName name="配偶_扶養">#REF!</definedName>
    <definedName name="配偶者">#REF!</definedName>
    <definedName name="長期損保">#REF!</definedName>
    <definedName name="関税">#REF!</definedName>
    <definedName name="関税Ⅰ">'[186]MK(W L,D)ｺｽﾄ'!$T$9</definedName>
    <definedName name="関税アイコ">'[186]MK(W L,D)ｺｽﾄ'!$T$10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" i="21" l="1"/>
  <c r="AB17" i="21"/>
  <c r="AB14" i="21"/>
  <c r="AB20" i="21"/>
  <c r="G56" i="21" l="1"/>
  <c r="V15" i="48"/>
  <c r="V7" i="48"/>
  <c r="G23" i="21"/>
  <c r="G21" i="21"/>
  <c r="N727" i="1"/>
  <c r="M730" i="1"/>
  <c r="W11" i="12"/>
  <c r="V11" i="12"/>
  <c r="E8" i="12"/>
  <c r="U9" i="12" s="1"/>
  <c r="O52" i="3"/>
  <c r="E9" i="12" l="1"/>
  <c r="E11" i="12" s="1"/>
  <c r="E13" i="12" s="1"/>
  <c r="E15" i="12" s="1"/>
  <c r="E73" i="12" s="1"/>
  <c r="D465" i="1" l="1"/>
  <c r="D401" i="1"/>
  <c r="D761" i="1"/>
  <c r="AF23" i="13" l="1"/>
  <c r="AE23" i="13"/>
  <c r="AG23" i="13" s="1"/>
  <c r="E25" i="13"/>
  <c r="AE25" i="13" s="1"/>
  <c r="Y39" i="48"/>
  <c r="D25" i="13"/>
  <c r="C25" i="13"/>
  <c r="N680" i="1" l="1"/>
  <c r="D638" i="1" l="1"/>
  <c r="D727" i="1"/>
  <c r="R28" i="48" l="1"/>
  <c r="AE63" i="21"/>
  <c r="H240" i="1" l="1"/>
  <c r="F12" i="55"/>
  <c r="G11" i="55"/>
  <c r="F11" i="55"/>
  <c r="H16" i="60" l="1"/>
  <c r="J14" i="59" l="1"/>
  <c r="BJ191" i="1" l="1"/>
  <c r="L46" i="25" l="1"/>
  <c r="G8" i="40"/>
  <c r="H743" i="1" l="1"/>
  <c r="M743" i="1" s="1"/>
  <c r="E12" i="40" s="1"/>
  <c r="E732" i="1" l="1"/>
  <c r="D732" i="1"/>
  <c r="H732" i="1" s="1"/>
  <c r="H300" i="1"/>
  <c r="M300" i="1" s="1"/>
  <c r="M732" i="1" l="1"/>
  <c r="E120" i="29"/>
  <c r="E536" i="1"/>
  <c r="H103" i="1" l="1"/>
  <c r="M103" i="1" s="1"/>
  <c r="N735" i="1" l="1"/>
  <c r="G765" i="1" l="1"/>
  <c r="G16" i="1"/>
  <c r="F763" i="1"/>
  <c r="G763" i="1" s="1"/>
  <c r="F760" i="1"/>
  <c r="G760" i="1" s="1"/>
  <c r="F757" i="1"/>
  <c r="G757" i="1" s="1"/>
  <c r="F755" i="1"/>
  <c r="G755" i="1" s="1"/>
  <c r="F753" i="1"/>
  <c r="F750" i="1"/>
  <c r="G750" i="1" s="1"/>
  <c r="F749" i="1"/>
  <c r="G749" i="1" s="1"/>
  <c r="F748" i="1"/>
  <c r="F742" i="1"/>
  <c r="F741" i="1"/>
  <c r="F740" i="1"/>
  <c r="F739" i="1"/>
  <c r="F738" i="1"/>
  <c r="F737" i="1"/>
  <c r="F736" i="1"/>
  <c r="F735" i="1"/>
  <c r="F734" i="1"/>
  <c r="F732" i="1"/>
  <c r="F731" i="1"/>
  <c r="G731" i="1" s="1"/>
  <c r="F729" i="1"/>
  <c r="F728" i="1"/>
  <c r="F727" i="1"/>
  <c r="F723" i="1"/>
  <c r="G723" i="1" s="1"/>
  <c r="F722" i="1"/>
  <c r="G722" i="1" s="1"/>
  <c r="F718" i="1"/>
  <c r="F717" i="1"/>
  <c r="F716" i="1"/>
  <c r="F714" i="1"/>
  <c r="F713" i="1"/>
  <c r="F711" i="1"/>
  <c r="F710" i="1"/>
  <c r="F709" i="1"/>
  <c r="F708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2" i="1"/>
  <c r="F691" i="1"/>
  <c r="F690" i="1"/>
  <c r="F689" i="1"/>
  <c r="F688" i="1"/>
  <c r="F687" i="1"/>
  <c r="F686" i="1"/>
  <c r="F685" i="1"/>
  <c r="F684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G663" i="1" s="1"/>
  <c r="F661" i="1"/>
  <c r="F659" i="1"/>
  <c r="F658" i="1"/>
  <c r="F657" i="1"/>
  <c r="F656" i="1"/>
  <c r="F655" i="1"/>
  <c r="F653" i="1"/>
  <c r="F652" i="1"/>
  <c r="F651" i="1"/>
  <c r="F650" i="1"/>
  <c r="F649" i="1"/>
  <c r="F648" i="1"/>
  <c r="F647" i="1"/>
  <c r="F646" i="1"/>
  <c r="F645" i="1"/>
  <c r="F643" i="1"/>
  <c r="G643" i="1" s="1"/>
  <c r="F642" i="1"/>
  <c r="G642" i="1" s="1"/>
  <c r="F638" i="1"/>
  <c r="F637" i="1"/>
  <c r="F636" i="1"/>
  <c r="F635" i="1"/>
  <c r="F634" i="1"/>
  <c r="F633" i="1"/>
  <c r="F632" i="1"/>
  <c r="F631" i="1"/>
  <c r="F629" i="1"/>
  <c r="F628" i="1"/>
  <c r="F627" i="1"/>
  <c r="F626" i="1"/>
  <c r="F625" i="1"/>
  <c r="F622" i="1"/>
  <c r="F621" i="1"/>
  <c r="F620" i="1"/>
  <c r="F618" i="1"/>
  <c r="F617" i="1"/>
  <c r="F615" i="1"/>
  <c r="F614" i="1"/>
  <c r="F613" i="1"/>
  <c r="F612" i="1"/>
  <c r="F611" i="1"/>
  <c r="F609" i="1"/>
  <c r="F608" i="1"/>
  <c r="F607" i="1"/>
  <c r="F606" i="1"/>
  <c r="F605" i="1"/>
  <c r="F604" i="1"/>
  <c r="G604" i="1" s="1"/>
  <c r="F603" i="1"/>
  <c r="G603" i="1" s="1"/>
  <c r="F602" i="1"/>
  <c r="G602" i="1" s="1"/>
  <c r="F600" i="1"/>
  <c r="F599" i="1"/>
  <c r="F598" i="1"/>
  <c r="F597" i="1"/>
  <c r="F596" i="1"/>
  <c r="F595" i="1"/>
  <c r="F594" i="1"/>
  <c r="F593" i="1"/>
  <c r="G593" i="1" s="1"/>
  <c r="F592" i="1"/>
  <c r="G592" i="1" s="1"/>
  <c r="F591" i="1"/>
  <c r="F590" i="1"/>
  <c r="F589" i="1"/>
  <c r="F588" i="1"/>
  <c r="F585" i="1"/>
  <c r="F584" i="1"/>
  <c r="G584" i="1" s="1"/>
  <c r="F583" i="1"/>
  <c r="G583" i="1" s="1"/>
  <c r="F582" i="1"/>
  <c r="F581" i="1"/>
  <c r="F580" i="1"/>
  <c r="F579" i="1"/>
  <c r="F578" i="1"/>
  <c r="F577" i="1"/>
  <c r="F576" i="1"/>
  <c r="F575" i="1"/>
  <c r="G575" i="1" s="1"/>
  <c r="F574" i="1"/>
  <c r="G574" i="1" s="1"/>
  <c r="F573" i="1"/>
  <c r="G573" i="1" s="1"/>
  <c r="F571" i="1"/>
  <c r="F569" i="1"/>
  <c r="F568" i="1"/>
  <c r="F567" i="1"/>
  <c r="G567" i="1" s="1"/>
  <c r="F566" i="1"/>
  <c r="G566" i="1" s="1"/>
  <c r="F564" i="1"/>
  <c r="F560" i="1"/>
  <c r="F558" i="1"/>
  <c r="F556" i="1"/>
  <c r="G556" i="1" s="1"/>
  <c r="F555" i="1"/>
  <c r="G555" i="1" s="1"/>
  <c r="F553" i="1"/>
  <c r="G553" i="1" s="1"/>
  <c r="F552" i="1"/>
  <c r="G552" i="1" s="1"/>
  <c r="F551" i="1"/>
  <c r="F550" i="1"/>
  <c r="F548" i="1"/>
  <c r="F547" i="1"/>
  <c r="F546" i="1"/>
  <c r="F544" i="1"/>
  <c r="G544" i="1" s="1"/>
  <c r="F543" i="1"/>
  <c r="G543" i="1" s="1"/>
  <c r="F541" i="1"/>
  <c r="G541" i="1" s="1"/>
  <c r="F540" i="1"/>
  <c r="G540" i="1" s="1"/>
  <c r="F537" i="1"/>
  <c r="G537" i="1" s="1"/>
  <c r="F535" i="1"/>
  <c r="F533" i="1"/>
  <c r="F530" i="1"/>
  <c r="G530" i="1" s="1"/>
  <c r="F528" i="1"/>
  <c r="G528" i="1" s="1"/>
  <c r="F527" i="1"/>
  <c r="F526" i="1"/>
  <c r="G526" i="1" s="1"/>
  <c r="F524" i="1"/>
  <c r="G524" i="1" s="1"/>
  <c r="F521" i="1"/>
  <c r="G521" i="1" s="1"/>
  <c r="F519" i="1"/>
  <c r="F518" i="1"/>
  <c r="F517" i="1"/>
  <c r="F516" i="1"/>
  <c r="F515" i="1"/>
  <c r="F514" i="1"/>
  <c r="G514" i="1" s="1"/>
  <c r="F513" i="1"/>
  <c r="G513" i="1" s="1"/>
  <c r="F512" i="1"/>
  <c r="F511" i="1"/>
  <c r="F510" i="1"/>
  <c r="F509" i="1"/>
  <c r="F508" i="1"/>
  <c r="F507" i="1"/>
  <c r="G507" i="1" s="1"/>
  <c r="F503" i="1"/>
  <c r="F502" i="1"/>
  <c r="F501" i="1"/>
  <c r="F500" i="1"/>
  <c r="F499" i="1"/>
  <c r="F498" i="1"/>
  <c r="G498" i="1" s="1"/>
  <c r="F496" i="1"/>
  <c r="F495" i="1"/>
  <c r="G495" i="1" s="1"/>
  <c r="F493" i="1"/>
  <c r="F492" i="1"/>
  <c r="F491" i="1"/>
  <c r="F490" i="1"/>
  <c r="F489" i="1"/>
  <c r="F488" i="1"/>
  <c r="F487" i="1"/>
  <c r="F486" i="1"/>
  <c r="G486" i="1" s="1"/>
  <c r="F485" i="1"/>
  <c r="G485" i="1" s="1"/>
  <c r="F484" i="1"/>
  <c r="F483" i="1"/>
  <c r="G483" i="1" s="1"/>
  <c r="F482" i="1"/>
  <c r="G482" i="1" s="1"/>
  <c r="F479" i="1"/>
  <c r="G479" i="1" s="1"/>
  <c r="F478" i="1"/>
  <c r="G478" i="1" s="1"/>
  <c r="F477" i="1"/>
  <c r="G477" i="1" s="1"/>
  <c r="F475" i="1"/>
  <c r="G475" i="1" s="1"/>
  <c r="F473" i="1"/>
  <c r="F472" i="1"/>
  <c r="F471" i="1"/>
  <c r="G471" i="1" s="1"/>
  <c r="F469" i="1"/>
  <c r="F468" i="1"/>
  <c r="G468" i="1" s="1"/>
  <c r="F466" i="1"/>
  <c r="G466" i="1" s="1"/>
  <c r="F464" i="1"/>
  <c r="F463" i="1"/>
  <c r="F462" i="1"/>
  <c r="F461" i="1"/>
  <c r="F460" i="1"/>
  <c r="F459" i="1"/>
  <c r="F458" i="1"/>
  <c r="F457" i="1"/>
  <c r="F454" i="1"/>
  <c r="G454" i="1" s="1"/>
  <c r="F452" i="1"/>
  <c r="F450" i="1"/>
  <c r="F449" i="1"/>
  <c r="F448" i="1"/>
  <c r="F447" i="1"/>
  <c r="F446" i="1"/>
  <c r="F445" i="1"/>
  <c r="F444" i="1"/>
  <c r="F443" i="1"/>
  <c r="F442" i="1"/>
  <c r="F440" i="1"/>
  <c r="F439" i="1"/>
  <c r="F437" i="1"/>
  <c r="F436" i="1"/>
  <c r="F435" i="1"/>
  <c r="F434" i="1"/>
  <c r="G434" i="1" s="1"/>
  <c r="F432" i="1"/>
  <c r="F431" i="1"/>
  <c r="F430" i="1"/>
  <c r="F429" i="1"/>
  <c r="F428" i="1"/>
  <c r="F427" i="1"/>
  <c r="F426" i="1"/>
  <c r="F425" i="1"/>
  <c r="F424" i="1"/>
  <c r="F423" i="1"/>
  <c r="G423" i="1" s="1"/>
  <c r="F421" i="1"/>
  <c r="G421" i="1" s="1"/>
  <c r="F420" i="1"/>
  <c r="F419" i="1"/>
  <c r="F418" i="1"/>
  <c r="G418" i="1" s="1"/>
  <c r="F416" i="1"/>
  <c r="F413" i="1"/>
  <c r="F412" i="1"/>
  <c r="F411" i="1"/>
  <c r="F410" i="1"/>
  <c r="F409" i="1"/>
  <c r="F408" i="1"/>
  <c r="F407" i="1"/>
  <c r="F406" i="1"/>
  <c r="F405" i="1"/>
  <c r="F404" i="1"/>
  <c r="F402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3" i="1"/>
  <c r="F332" i="1"/>
  <c r="F330" i="1"/>
  <c r="F329" i="1"/>
  <c r="F328" i="1"/>
  <c r="F327" i="1"/>
  <c r="F326" i="1"/>
  <c r="F325" i="1"/>
  <c r="F323" i="1"/>
  <c r="F322" i="1"/>
  <c r="F321" i="1"/>
  <c r="F320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1" i="1"/>
  <c r="F299" i="1"/>
  <c r="F298" i="1"/>
  <c r="F297" i="1"/>
  <c r="F296" i="1"/>
  <c r="F295" i="1"/>
  <c r="F294" i="1"/>
  <c r="F293" i="1"/>
  <c r="F292" i="1"/>
  <c r="F291" i="1"/>
  <c r="F290" i="1"/>
  <c r="F289" i="1"/>
  <c r="G289" i="1" s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G259" i="1" s="1"/>
  <c r="F258" i="1"/>
  <c r="G258" i="1" s="1"/>
  <c r="F257" i="1"/>
  <c r="G257" i="1" s="1"/>
  <c r="F256" i="1"/>
  <c r="G256" i="1" s="1"/>
  <c r="F253" i="1"/>
  <c r="G253" i="1" s="1"/>
  <c r="F251" i="1"/>
  <c r="G251" i="1" s="1"/>
  <c r="F250" i="1"/>
  <c r="F249" i="1"/>
  <c r="G249" i="1" s="1"/>
  <c r="F247" i="1"/>
  <c r="F246" i="1"/>
  <c r="G246" i="1" s="1"/>
  <c r="F243" i="1"/>
  <c r="G243" i="1" s="1"/>
  <c r="F242" i="1"/>
  <c r="F241" i="1"/>
  <c r="F239" i="1"/>
  <c r="F238" i="1"/>
  <c r="G238" i="1" s="1"/>
  <c r="F237" i="1"/>
  <c r="G237" i="1" s="1"/>
  <c r="F234" i="1"/>
  <c r="G234" i="1" s="1"/>
  <c r="F233" i="1"/>
  <c r="G233" i="1" s="1"/>
  <c r="F231" i="1"/>
  <c r="G231" i="1" s="1"/>
  <c r="F230" i="1"/>
  <c r="G230" i="1" s="1"/>
  <c r="F228" i="1"/>
  <c r="G228" i="1" s="1"/>
  <c r="F227" i="1"/>
  <c r="F226" i="1"/>
  <c r="G226" i="1" s="1"/>
  <c r="F225" i="1"/>
  <c r="G225" i="1" s="1"/>
  <c r="F224" i="1"/>
  <c r="G224" i="1" s="1"/>
  <c r="F222" i="1"/>
  <c r="G222" i="1" s="1"/>
  <c r="F221" i="1"/>
  <c r="F220" i="1"/>
  <c r="G220" i="1" s="1"/>
  <c r="F217" i="1"/>
  <c r="F216" i="1"/>
  <c r="F215" i="1"/>
  <c r="G215" i="1" s="1"/>
  <c r="F213" i="1"/>
  <c r="F212" i="1"/>
  <c r="F210" i="1"/>
  <c r="F209" i="1"/>
  <c r="F208" i="1"/>
  <c r="F207" i="1"/>
  <c r="F206" i="1"/>
  <c r="F204" i="1"/>
  <c r="F202" i="1"/>
  <c r="G202" i="1" s="1"/>
  <c r="F200" i="1"/>
  <c r="F199" i="1"/>
  <c r="F198" i="1"/>
  <c r="F197" i="1"/>
  <c r="F196" i="1"/>
  <c r="F195" i="1"/>
  <c r="F194" i="1"/>
  <c r="F193" i="1"/>
  <c r="F191" i="1"/>
  <c r="F189" i="1"/>
  <c r="F188" i="1"/>
  <c r="G188" i="1" s="1"/>
  <c r="F186" i="1"/>
  <c r="F185" i="1"/>
  <c r="F184" i="1"/>
  <c r="F183" i="1"/>
  <c r="G183" i="1" s="1"/>
  <c r="F181" i="1"/>
  <c r="F180" i="1"/>
  <c r="F179" i="1"/>
  <c r="G179" i="1" s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G163" i="1" s="1"/>
  <c r="F162" i="1"/>
  <c r="G162" i="1" s="1"/>
  <c r="F161" i="1"/>
  <c r="F160" i="1"/>
  <c r="F158" i="1"/>
  <c r="G158" i="1" s="1"/>
  <c r="F157" i="1"/>
  <c r="F156" i="1"/>
  <c r="F155" i="1"/>
  <c r="F154" i="1"/>
  <c r="F153" i="1"/>
  <c r="F152" i="1"/>
  <c r="F151" i="1"/>
  <c r="F150" i="1"/>
  <c r="F148" i="1"/>
  <c r="G148" i="1" s="1"/>
  <c r="F146" i="1"/>
  <c r="G146" i="1" s="1"/>
  <c r="F145" i="1"/>
  <c r="F144" i="1"/>
  <c r="F143" i="1"/>
  <c r="F142" i="1"/>
  <c r="F141" i="1"/>
  <c r="F140" i="1"/>
  <c r="F139" i="1"/>
  <c r="G139" i="1" s="1"/>
  <c r="F137" i="1"/>
  <c r="F136" i="1"/>
  <c r="G136" i="1" s="1"/>
  <c r="F135" i="1"/>
  <c r="G135" i="1" s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G117" i="1" s="1"/>
  <c r="F116" i="1"/>
  <c r="G116" i="1" s="1"/>
  <c r="F114" i="1"/>
  <c r="G114" i="1" s="1"/>
  <c r="F113" i="1"/>
  <c r="F112" i="1"/>
  <c r="G112" i="1" s="1"/>
  <c r="F110" i="1"/>
  <c r="G110" i="1" s="1"/>
  <c r="F108" i="1"/>
  <c r="F107" i="1"/>
  <c r="F106" i="1"/>
  <c r="G106" i="1" s="1"/>
  <c r="F104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5" i="1"/>
  <c r="G75" i="1" s="1"/>
  <c r="F74" i="1"/>
  <c r="G74" i="1" s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G54" i="1" s="1"/>
  <c r="F53" i="1"/>
  <c r="G53" i="1" s="1"/>
  <c r="F49" i="1"/>
  <c r="G49" i="1" s="1"/>
  <c r="F47" i="1"/>
  <c r="G47" i="1" s="1"/>
  <c r="F46" i="1"/>
  <c r="G46" i="1" s="1"/>
  <c r="F45" i="1"/>
  <c r="G45" i="1" s="1"/>
  <c r="F44" i="1"/>
  <c r="F43" i="1"/>
  <c r="F42" i="1"/>
  <c r="G42" i="1" s="1"/>
  <c r="F41" i="1"/>
  <c r="F40" i="1"/>
  <c r="F39" i="1"/>
  <c r="F38" i="1"/>
  <c r="F37" i="1"/>
  <c r="F36" i="1"/>
  <c r="F35" i="1"/>
  <c r="F34" i="1"/>
  <c r="G34" i="1" s="1"/>
  <c r="F33" i="1"/>
  <c r="F32" i="1"/>
  <c r="F31" i="1"/>
  <c r="F29" i="1"/>
  <c r="G29" i="1" s="1"/>
  <c r="F26" i="1"/>
  <c r="F25" i="1"/>
  <c r="F24" i="1"/>
  <c r="F23" i="1"/>
  <c r="F22" i="1"/>
  <c r="F21" i="1"/>
  <c r="G21" i="1" s="1"/>
  <c r="F20" i="1"/>
  <c r="G20" i="1" s="1"/>
  <c r="F19" i="1"/>
  <c r="G19" i="1" s="1"/>
  <c r="E733" i="1"/>
  <c r="E744" i="1" s="1"/>
  <c r="D211" i="1"/>
  <c r="F211" i="1" s="1"/>
  <c r="F205" i="1"/>
  <c r="D203" i="1"/>
  <c r="F203" i="1" s="1"/>
  <c r="E214" i="1"/>
  <c r="E557" i="1" l="1"/>
  <c r="F557" i="1" s="1"/>
  <c r="H227" i="1" l="1"/>
  <c r="E229" i="1"/>
  <c r="D229" i="1"/>
  <c r="F229" i="1" l="1"/>
  <c r="M227" i="1"/>
  <c r="M229" i="1" s="1"/>
  <c r="G227" i="1"/>
  <c r="H229" i="1"/>
  <c r="O22" i="12"/>
  <c r="O84" i="12"/>
  <c r="O83" i="12"/>
  <c r="E84" i="12"/>
  <c r="E83" i="12"/>
  <c r="M84" i="12"/>
  <c r="K84" i="12"/>
  <c r="I84" i="12"/>
  <c r="G84" i="12"/>
  <c r="M83" i="12"/>
  <c r="K83" i="12"/>
  <c r="I83" i="12"/>
  <c r="G83" i="12"/>
  <c r="E28" i="12"/>
  <c r="V9" i="48" l="1"/>
  <c r="G229" i="1"/>
  <c r="D147" i="1"/>
  <c r="C62" i="13" l="1"/>
  <c r="D62" i="13"/>
  <c r="E62" i="13"/>
  <c r="F62" i="13"/>
  <c r="AL737" i="1"/>
  <c r="E15" i="25"/>
  <c r="E14" i="25"/>
  <c r="G16" i="27"/>
  <c r="E15" i="27" s="1"/>
  <c r="E18" i="27" s="1"/>
  <c r="G18" i="27" l="1"/>
  <c r="G76" i="25"/>
  <c r="AL726" i="1"/>
  <c r="AI730" i="1"/>
  <c r="AL727" i="1" s="1"/>
  <c r="E50" i="36" l="1"/>
  <c r="E51" i="36" s="1"/>
  <c r="E32" i="36"/>
  <c r="E31" i="36"/>
  <c r="E30" i="36"/>
  <c r="E29" i="36"/>
  <c r="E27" i="36"/>
  <c r="E33" i="36" l="1"/>
  <c r="E34" i="36" s="1"/>
  <c r="D762" i="1"/>
  <c r="F69" i="58" l="1"/>
  <c r="F70" i="58"/>
  <c r="F68" i="58"/>
  <c r="D70" i="58"/>
  <c r="D69" i="58"/>
  <c r="D68" i="58"/>
  <c r="F43" i="58"/>
  <c r="F44" i="58"/>
  <c r="F42" i="58"/>
  <c r="D44" i="58"/>
  <c r="D43" i="58"/>
  <c r="D42" i="58"/>
  <c r="D24" i="58"/>
  <c r="D23" i="58"/>
  <c r="F43" i="60"/>
  <c r="D43" i="60"/>
  <c r="F42" i="60"/>
  <c r="D42" i="60"/>
  <c r="F41" i="60"/>
  <c r="D41" i="60"/>
  <c r="F40" i="60"/>
  <c r="D40" i="60"/>
  <c r="F39" i="60"/>
  <c r="D39" i="60"/>
  <c r="H32" i="60"/>
  <c r="F32" i="60"/>
  <c r="D32" i="60"/>
  <c r="J30" i="60"/>
  <c r="D13" i="60" s="1"/>
  <c r="J29" i="60"/>
  <c r="D12" i="60" s="1"/>
  <c r="J12" i="60" s="1"/>
  <c r="J28" i="60"/>
  <c r="D11" i="60" s="1"/>
  <c r="F13" i="60"/>
  <c r="F13" i="55" s="1"/>
  <c r="F15" i="55" s="1"/>
  <c r="H11" i="60"/>
  <c r="H15" i="60" l="1"/>
  <c r="H17" i="60" s="1"/>
  <c r="H11" i="55"/>
  <c r="J13" i="60"/>
  <c r="F15" i="60"/>
  <c r="D15" i="60"/>
  <c r="J32" i="60"/>
  <c r="J11" i="60"/>
  <c r="J15" i="60" l="1"/>
  <c r="M14" i="57"/>
  <c r="N14" i="57" s="1"/>
  <c r="M13" i="57"/>
  <c r="N13" i="57" s="1"/>
  <c r="H16" i="59"/>
  <c r="F16" i="59"/>
  <c r="J13" i="59"/>
  <c r="J12" i="59"/>
  <c r="I16" i="56"/>
  <c r="J22" i="56" s="1"/>
  <c r="I14" i="56"/>
  <c r="I13" i="56"/>
  <c r="I21" i="56" s="1"/>
  <c r="H24" i="57"/>
  <c r="H23" i="57"/>
  <c r="D30" i="56"/>
  <c r="F16" i="56"/>
  <c r="I12" i="56" s="1"/>
  <c r="F30" i="58"/>
  <c r="D30" i="58"/>
  <c r="J22" i="58"/>
  <c r="I21" i="58"/>
  <c r="F16" i="58"/>
  <c r="I12" i="58" s="1"/>
  <c r="I18" i="58" s="1"/>
  <c r="D12" i="57"/>
  <c r="D12" i="58" s="1"/>
  <c r="D9" i="57"/>
  <c r="D9" i="58" s="1"/>
  <c r="J22" i="57"/>
  <c r="I21" i="57"/>
  <c r="J23" i="57" l="1"/>
  <c r="J23" i="58"/>
  <c r="I18" i="56"/>
  <c r="J16" i="59"/>
  <c r="D16" i="59"/>
  <c r="J23" i="56"/>
  <c r="F30" i="56"/>
  <c r="D7" i="56"/>
  <c r="D16" i="56" s="1"/>
  <c r="D7" i="58"/>
  <c r="D16" i="58" s="1"/>
  <c r="D30" i="57" l="1"/>
  <c r="F30" i="57"/>
  <c r="F16" i="57"/>
  <c r="D7" i="57" s="1"/>
  <c r="D16" i="57" s="1"/>
  <c r="I12" i="57" l="1"/>
  <c r="I18" i="57" s="1"/>
  <c r="H15" i="55"/>
  <c r="D42" i="55"/>
  <c r="D41" i="55"/>
  <c r="D39" i="55"/>
  <c r="D13" i="55"/>
  <c r="J13" i="55" s="1"/>
  <c r="D12" i="55"/>
  <c r="J12" i="55" s="1"/>
  <c r="D11" i="55"/>
  <c r="J11" i="55" s="1"/>
  <c r="J32" i="55"/>
  <c r="H32" i="55"/>
  <c r="F32" i="55"/>
  <c r="D32" i="55"/>
  <c r="J15" i="55" l="1"/>
  <c r="D15" i="55"/>
  <c r="D63" i="54" l="1"/>
  <c r="D62" i="54"/>
  <c r="D61" i="54"/>
  <c r="D60" i="54"/>
  <c r="D59" i="54"/>
  <c r="D58" i="54"/>
  <c r="D57" i="54"/>
  <c r="D56" i="54"/>
  <c r="AF55" i="54"/>
  <c r="D55" i="54" s="1"/>
  <c r="D52" i="54"/>
  <c r="D51" i="54"/>
  <c r="D50" i="54"/>
  <c r="D49" i="54"/>
  <c r="D47" i="54"/>
  <c r="D41" i="54"/>
  <c r="D40" i="54"/>
  <c r="D39" i="54"/>
  <c r="D37" i="54"/>
  <c r="D36" i="54"/>
  <c r="D35" i="54"/>
  <c r="D34" i="54"/>
  <c r="D33" i="54"/>
  <c r="D32" i="54"/>
  <c r="D31" i="54"/>
  <c r="D30" i="54"/>
  <c r="D29" i="54"/>
  <c r="D27" i="54"/>
  <c r="D20" i="54"/>
  <c r="D18" i="54"/>
  <c r="D14" i="54"/>
  <c r="D13" i="54"/>
  <c r="AB8" i="54"/>
  <c r="AB71" i="54" s="1"/>
  <c r="U8" i="54"/>
  <c r="U15" i="54" s="1"/>
  <c r="R8" i="54"/>
  <c r="R71" i="54" s="1"/>
  <c r="N8" i="54"/>
  <c r="N71" i="54" s="1"/>
  <c r="G5" i="53"/>
  <c r="H5" i="53" s="1"/>
  <c r="H4" i="53"/>
  <c r="U71" i="54" l="1"/>
  <c r="AJ17" i="54" l="1"/>
  <c r="AL16" i="54"/>
  <c r="AJ16" i="54"/>
  <c r="AL17" i="54"/>
  <c r="O28" i="54" l="1"/>
  <c r="D16" i="54"/>
  <c r="AE54" i="54"/>
  <c r="D28" i="54" l="1"/>
  <c r="BJ623" i="1" l="1"/>
  <c r="BJ705" i="1" l="1"/>
  <c r="F43" i="55" s="1"/>
  <c r="E109" i="1"/>
  <c r="F109" i="1" s="1"/>
  <c r="BJ373" i="1" l="1"/>
  <c r="H3" i="50" l="1"/>
  <c r="BJ533" i="1" l="1"/>
  <c r="G18" i="41"/>
  <c r="G17" i="41"/>
  <c r="G16" i="41"/>
  <c r="G15" i="41"/>
  <c r="G14" i="41"/>
  <c r="G13" i="41"/>
  <c r="G12" i="41"/>
  <c r="G11" i="41"/>
  <c r="G10" i="41"/>
  <c r="G9" i="41"/>
  <c r="G8" i="41"/>
  <c r="G7" i="41"/>
  <c r="BJ727" i="1"/>
  <c r="G13" i="40"/>
  <c r="G9" i="40"/>
  <c r="G7" i="40"/>
  <c r="G35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6" i="39"/>
  <c r="C34" i="39"/>
  <c r="G14" i="40" l="1"/>
  <c r="G19" i="41"/>
  <c r="G36" i="39"/>
  <c r="BH9" i="48" l="1"/>
  <c r="BG9" i="48"/>
  <c r="I508" i="1"/>
  <c r="J508" i="1"/>
  <c r="F30" i="50"/>
  <c r="A34" i="50"/>
  <c r="K513" i="1" s="1"/>
  <c r="G34" i="50"/>
  <c r="L513" i="1" s="1"/>
  <c r="J5" i="1"/>
  <c r="I515" i="1" l="1"/>
  <c r="J515" i="1"/>
  <c r="Q69" i="52"/>
  <c r="E61" i="52"/>
  <c r="E60" i="52"/>
  <c r="E59" i="52"/>
  <c r="E58" i="52"/>
  <c r="E57" i="52"/>
  <c r="E56" i="52"/>
  <c r="E55" i="52"/>
  <c r="E54" i="52"/>
  <c r="E53" i="52"/>
  <c r="E50" i="52"/>
  <c r="E49" i="52"/>
  <c r="E48" i="52"/>
  <c r="E47" i="52"/>
  <c r="E46" i="52"/>
  <c r="E45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19" i="52" s="1"/>
  <c r="E17" i="52"/>
  <c r="E12" i="52"/>
  <c r="AJ7" i="52"/>
  <c r="AI7" i="52"/>
  <c r="AF7" i="52"/>
  <c r="AE7" i="52"/>
  <c r="AB7" i="52"/>
  <c r="AA7" i="52"/>
  <c r="Y7" i="52"/>
  <c r="U7" i="52"/>
  <c r="T7" i="52"/>
  <c r="S7" i="52"/>
  <c r="P7" i="52"/>
  <c r="O7" i="52"/>
  <c r="M7" i="52"/>
  <c r="K7" i="52"/>
  <c r="J7" i="52"/>
  <c r="I7" i="52"/>
  <c r="G7" i="52"/>
  <c r="AL7" i="52" s="1"/>
  <c r="AK7" i="52" s="1"/>
  <c r="AH7" i="52" s="1"/>
  <c r="AG7" i="52" s="1"/>
  <c r="AD7" i="52" s="1"/>
  <c r="AC7" i="52" s="1"/>
  <c r="E761" i="1"/>
  <c r="F761" i="1" s="1"/>
  <c r="E758" i="1"/>
  <c r="F758" i="1" s="1"/>
  <c r="F752" i="1"/>
  <c r="E751" i="1"/>
  <c r="F751" i="1" s="1"/>
  <c r="E693" i="1"/>
  <c r="E480" i="1"/>
  <c r="F240" i="1"/>
  <c r="E42" i="52" l="1"/>
  <c r="AC14" i="52"/>
  <c r="AC69" i="52" s="1"/>
  <c r="AK16" i="52"/>
  <c r="AK69" i="52" s="1"/>
  <c r="AD52" i="52"/>
  <c r="E52" i="52" s="1"/>
  <c r="AH18" i="52"/>
  <c r="E18" i="52" s="1"/>
  <c r="AL16" i="52"/>
  <c r="AL69" i="52" s="1"/>
  <c r="J16" i="52"/>
  <c r="J69" i="52" s="1"/>
  <c r="P16" i="52"/>
  <c r="P69" i="52" s="1"/>
  <c r="Y16" i="52"/>
  <c r="Y69" i="52" s="1"/>
  <c r="AF14" i="52"/>
  <c r="AF69" i="52" s="1"/>
  <c r="G11" i="52"/>
  <c r="M16" i="52"/>
  <c r="M69" i="52" s="1"/>
  <c r="T16" i="52"/>
  <c r="T69" i="52" s="1"/>
  <c r="AB51" i="52"/>
  <c r="E51" i="52" s="1"/>
  <c r="AJ16" i="52"/>
  <c r="AJ69" i="52" s="1"/>
  <c r="AG14" i="52"/>
  <c r="AG69" i="52" s="1"/>
  <c r="I14" i="52"/>
  <c r="I69" i="52" s="1"/>
  <c r="O16" i="52"/>
  <c r="O69" i="52" s="1"/>
  <c r="U16" i="52"/>
  <c r="U69" i="52" s="1"/>
  <c r="AE11" i="52"/>
  <c r="AE69" i="52" s="1"/>
  <c r="AM6" i="52"/>
  <c r="K16" i="52"/>
  <c r="K69" i="52" s="1"/>
  <c r="S16" i="52"/>
  <c r="S69" i="52" s="1"/>
  <c r="AA16" i="52"/>
  <c r="AA69" i="52" s="1"/>
  <c r="AI16" i="52"/>
  <c r="AI69" i="52" s="1"/>
  <c r="W7" i="52"/>
  <c r="W69" i="52" s="1"/>
  <c r="X7" i="52"/>
  <c r="L7" i="52"/>
  <c r="V7" i="52"/>
  <c r="Z7" i="52"/>
  <c r="AB69" i="52" l="1"/>
  <c r="E63" i="52"/>
  <c r="AD69" i="52"/>
  <c r="E11" i="52"/>
  <c r="Z15" i="52"/>
  <c r="E15" i="52" s="1"/>
  <c r="V16" i="52"/>
  <c r="V69" i="52" s="1"/>
  <c r="R7" i="52"/>
  <c r="E3" i="52"/>
  <c r="G69" i="52"/>
  <c r="AH69" i="52"/>
  <c r="H7" i="52"/>
  <c r="X16" i="52"/>
  <c r="X69" i="52" s="1"/>
  <c r="L16" i="52"/>
  <c r="L69" i="52" s="1"/>
  <c r="R14" i="52" l="1"/>
  <c r="E14" i="52" s="1"/>
  <c r="H16" i="52"/>
  <c r="E16" i="52" s="1"/>
  <c r="Z69" i="52"/>
  <c r="H69" i="52" l="1"/>
  <c r="E21" i="52"/>
  <c r="E65" i="52" s="1"/>
  <c r="E69" i="52" s="1"/>
  <c r="E73" i="52" s="1"/>
  <c r="R69" i="52"/>
  <c r="D693" i="1" l="1"/>
  <c r="F693" i="1" s="1"/>
  <c r="D480" i="1"/>
  <c r="F480" i="1" s="1"/>
  <c r="E455" i="1" l="1"/>
  <c r="F451" i="1" l="1"/>
  <c r="D455" i="1"/>
  <c r="F455" i="1" s="1"/>
  <c r="D438" i="1"/>
  <c r="F438" i="1" s="1"/>
  <c r="F542" i="1"/>
  <c r="F76" i="1"/>
  <c r="F545" i="1" l="1"/>
  <c r="H451" i="1" l="1"/>
  <c r="H157" i="1"/>
  <c r="E401" i="1"/>
  <c r="F401" i="1" s="1"/>
  <c r="E149" i="1"/>
  <c r="M157" i="1" l="1"/>
  <c r="G157" i="1"/>
  <c r="M451" i="1"/>
  <c r="G451" i="1"/>
  <c r="E28" i="1"/>
  <c r="F28" i="1" s="1"/>
  <c r="E30" i="1"/>
  <c r="F30" i="1" s="1"/>
  <c r="F660" i="1"/>
  <c r="D654" i="1"/>
  <c r="F654" i="1" s="1"/>
  <c r="D644" i="1"/>
  <c r="F644" i="1" s="1"/>
  <c r="D348" i="1"/>
  <c r="D149" i="1"/>
  <c r="F149" i="1" s="1"/>
  <c r="G15" i="50"/>
  <c r="K578" i="1"/>
  <c r="L578" i="1"/>
  <c r="J548" i="1"/>
  <c r="I546" i="1"/>
  <c r="I545" i="1"/>
  <c r="J546" i="1"/>
  <c r="J545" i="1"/>
  <c r="I28" i="50"/>
  <c r="D105" i="1" l="1"/>
  <c r="F77" i="1"/>
  <c r="L558" i="1"/>
  <c r="E624" i="1"/>
  <c r="F624" i="1" s="1"/>
  <c r="E630" i="1"/>
  <c r="F630" i="1" s="1"/>
  <c r="E465" i="1"/>
  <c r="F465" i="1" s="1"/>
  <c r="E456" i="1"/>
  <c r="F456" i="1" s="1"/>
  <c r="E334" i="1"/>
  <c r="F334" i="1" s="1"/>
  <c r="G12" i="50" l="1"/>
  <c r="D467" i="1" l="1"/>
  <c r="I430" i="1" l="1"/>
  <c r="J430" i="1"/>
  <c r="G9" i="50"/>
  <c r="F549" i="1"/>
  <c r="L129" i="1" l="1"/>
  <c r="K108" i="1"/>
  <c r="L109" i="1"/>
  <c r="I419" i="1"/>
  <c r="J419" i="1"/>
  <c r="I420" i="1"/>
  <c r="J420" i="1"/>
  <c r="L108" i="1"/>
  <c r="D375" i="1"/>
  <c r="F375" i="1" s="1"/>
  <c r="H104" i="1"/>
  <c r="E105" i="1"/>
  <c r="F105" i="1" s="1"/>
  <c r="I42" i="50"/>
  <c r="A42" i="50"/>
  <c r="K636" i="1" s="1"/>
  <c r="L522" i="1"/>
  <c r="J522" i="1"/>
  <c r="F37" i="50"/>
  <c r="A37" i="50"/>
  <c r="M104" i="1" l="1"/>
  <c r="G104" i="1"/>
  <c r="J728" i="1"/>
  <c r="J7" i="1" s="1"/>
  <c r="F3" i="50"/>
  <c r="G2" i="50" s="1"/>
  <c r="L636" i="1"/>
  <c r="I3" i="50"/>
  <c r="I522" i="1"/>
  <c r="G31" i="50"/>
  <c r="L512" i="1" s="1"/>
  <c r="A31" i="50"/>
  <c r="K512" i="1" s="1"/>
  <c r="G18" i="50"/>
  <c r="E192" i="1"/>
  <c r="F192" i="1" s="1"/>
  <c r="E190" i="1"/>
  <c r="F190" i="1" s="1"/>
  <c r="E27" i="1"/>
  <c r="F27" i="1" s="1"/>
  <c r="D15" i="1"/>
  <c r="F15" i="1" s="1"/>
  <c r="E725" i="1"/>
  <c r="E730" i="1" s="1"/>
  <c r="F715" i="1"/>
  <c r="E712" i="1"/>
  <c r="F712" i="1" s="1"/>
  <c r="E707" i="1"/>
  <c r="E623" i="1"/>
  <c r="E619" i="1"/>
  <c r="F619" i="1" s="1"/>
  <c r="E616" i="1"/>
  <c r="F616" i="1" s="1"/>
  <c r="E610" i="1"/>
  <c r="F610" i="1" s="1"/>
  <c r="E587" i="1"/>
  <c r="F587" i="1" s="1"/>
  <c r="E586" i="1"/>
  <c r="F586" i="1" s="1"/>
  <c r="D244" i="1"/>
  <c r="F244" i="1" s="1"/>
  <c r="E235" i="1"/>
  <c r="F235" i="1" s="1"/>
  <c r="E232" i="1"/>
  <c r="E159" i="1"/>
  <c r="F159" i="1" s="1"/>
  <c r="E147" i="1"/>
  <c r="F147" i="1" s="1"/>
  <c r="E348" i="1"/>
  <c r="F348" i="1" s="1"/>
  <c r="E324" i="1"/>
  <c r="F324" i="1" s="1"/>
  <c r="E319" i="1"/>
  <c r="E302" i="1"/>
  <c r="E288" i="1"/>
  <c r="E504" i="1"/>
  <c r="H729" i="1"/>
  <c r="H697" i="1"/>
  <c r="H637" i="1"/>
  <c r="E467" i="1"/>
  <c r="F467" i="1" s="1"/>
  <c r="F707" i="1" l="1"/>
  <c r="E719" i="1"/>
  <c r="F725" i="1"/>
  <c r="E745" i="1"/>
  <c r="E44" i="25"/>
  <c r="M729" i="1"/>
  <c r="E11" i="40" s="1"/>
  <c r="G729" i="1"/>
  <c r="M637" i="1"/>
  <c r="G637" i="1"/>
  <c r="M697" i="1"/>
  <c r="E34" i="39" s="1"/>
  <c r="G697" i="1"/>
  <c r="E236" i="1"/>
  <c r="F232" i="1"/>
  <c r="E417" i="1"/>
  <c r="F302" i="1"/>
  <c r="L221" i="1"/>
  <c r="L7" i="1" s="1"/>
  <c r="G3" i="50"/>
  <c r="H2" i="50" s="1"/>
  <c r="G1" i="50" s="1"/>
  <c r="D245" i="1"/>
  <c r="E639" i="1"/>
  <c r="H411" i="1"/>
  <c r="H410" i="1"/>
  <c r="M410" i="1" l="1"/>
  <c r="E115" i="29" s="1"/>
  <c r="G410" i="1"/>
  <c r="M411" i="1"/>
  <c r="G411" i="1"/>
  <c r="H161" i="1"/>
  <c r="H71" i="1"/>
  <c r="D48" i="1"/>
  <c r="D18" i="1"/>
  <c r="D319" i="1"/>
  <c r="F319" i="1" s="1"/>
  <c r="F623" i="1"/>
  <c r="F532" i="1"/>
  <c r="D522" i="1"/>
  <c r="F522" i="1" s="1"/>
  <c r="D415" i="1"/>
  <c r="D414" i="1"/>
  <c r="F414" i="1" s="1"/>
  <c r="D403" i="1"/>
  <c r="D331" i="1"/>
  <c r="F331" i="1" s="1"/>
  <c r="D441" i="1"/>
  <c r="F441" i="1" s="1"/>
  <c r="F733" i="1"/>
  <c r="F726" i="1"/>
  <c r="D724" i="1"/>
  <c r="F724" i="1" s="1"/>
  <c r="D683" i="1"/>
  <c r="F683" i="1" s="1"/>
  <c r="H144" i="1"/>
  <c r="G144" i="1" s="1"/>
  <c r="H416" i="1"/>
  <c r="H413" i="1"/>
  <c r="H412" i="1"/>
  <c r="H409" i="1"/>
  <c r="H408" i="1"/>
  <c r="H407" i="1"/>
  <c r="H406" i="1"/>
  <c r="H405" i="1"/>
  <c r="H404" i="1"/>
  <c r="D111" i="1"/>
  <c r="AI111" i="1"/>
  <c r="D115" i="1"/>
  <c r="D138" i="1"/>
  <c r="D177" i="1"/>
  <c r="H176" i="1"/>
  <c r="AX8" i="48"/>
  <c r="AT8" i="48"/>
  <c r="AI48" i="1"/>
  <c r="M405" i="1" l="1"/>
  <c r="G405" i="1"/>
  <c r="M409" i="1"/>
  <c r="G409" i="1"/>
  <c r="M71" i="1"/>
  <c r="G71" i="1"/>
  <c r="M176" i="1"/>
  <c r="G176" i="1"/>
  <c r="M406" i="1"/>
  <c r="G406" i="1"/>
  <c r="M412" i="1"/>
  <c r="E116" i="29" s="1"/>
  <c r="G412" i="1"/>
  <c r="M161" i="1"/>
  <c r="G161" i="1"/>
  <c r="M407" i="1"/>
  <c r="G407" i="1"/>
  <c r="M413" i="1"/>
  <c r="G413" i="1"/>
  <c r="M404" i="1"/>
  <c r="G404" i="1"/>
  <c r="M408" i="1"/>
  <c r="G408" i="1"/>
  <c r="M416" i="1"/>
  <c r="E119" i="29" s="1"/>
  <c r="G416" i="1"/>
  <c r="H415" i="1"/>
  <c r="M415" i="1" s="1"/>
  <c r="E118" i="29" s="1"/>
  <c r="F415" i="1"/>
  <c r="H403" i="1"/>
  <c r="M403" i="1" s="1"/>
  <c r="E114" i="29" s="1"/>
  <c r="F403" i="1"/>
  <c r="G403" i="1" s="1"/>
  <c r="H414" i="1"/>
  <c r="M414" i="1" s="1"/>
  <c r="E117" i="29" s="1"/>
  <c r="D52" i="1"/>
  <c r="D417" i="1"/>
  <c r="F417" i="1" s="1"/>
  <c r="G414" i="1" l="1"/>
  <c r="G415" i="1"/>
  <c r="E27" i="47"/>
  <c r="D27" i="47"/>
  <c r="C9" i="51"/>
  <c r="E9" i="51"/>
  <c r="D9" i="51"/>
  <c r="E22" i="51"/>
  <c r="D22" i="51"/>
  <c r="C22" i="51"/>
  <c r="E19" i="51"/>
  <c r="E18" i="51"/>
  <c r="D18" i="51"/>
  <c r="D19" i="51"/>
  <c r="C19" i="51"/>
  <c r="C18" i="51"/>
  <c r="E17" i="51"/>
  <c r="D17" i="51"/>
  <c r="C17" i="51"/>
  <c r="E16" i="51"/>
  <c r="E8" i="51" s="1"/>
  <c r="D16" i="51"/>
  <c r="D8" i="51" s="1"/>
  <c r="C16" i="51"/>
  <c r="C8" i="51" s="1"/>
  <c r="L12" i="46" l="1"/>
  <c r="Q12" i="46" s="1"/>
  <c r="K31" i="45"/>
  <c r="P31" i="45" s="1"/>
  <c r="K29" i="45"/>
  <c r="P29" i="45" s="1"/>
  <c r="K23" i="45"/>
  <c r="P23" i="45" s="1"/>
  <c r="L10" i="45"/>
  <c r="Q10" i="45" s="1"/>
  <c r="G28" i="45"/>
  <c r="F28" i="45"/>
  <c r="E28" i="45"/>
  <c r="J58" i="18"/>
  <c r="O58" i="18" s="1"/>
  <c r="J47" i="18"/>
  <c r="J18" i="18"/>
  <c r="O18" i="18" s="1"/>
  <c r="K10" i="18"/>
  <c r="P10" i="18" s="1"/>
  <c r="C14" i="18"/>
  <c r="J14" i="18" s="1"/>
  <c r="O14" i="18" s="1"/>
  <c r="J28" i="50"/>
  <c r="J22" i="50"/>
  <c r="J23" i="50" s="1"/>
  <c r="J24" i="50" s="1"/>
  <c r="J25" i="50" s="1"/>
  <c r="J18" i="50"/>
  <c r="A18" i="50"/>
  <c r="K221" i="1" s="1"/>
  <c r="J15" i="50"/>
  <c r="A15" i="50"/>
  <c r="J12" i="50"/>
  <c r="A12" i="50"/>
  <c r="K109" i="1" s="1"/>
  <c r="J9" i="50"/>
  <c r="A9" i="50"/>
  <c r="K129" i="1" s="1"/>
  <c r="B42" i="49"/>
  <c r="B41" i="49"/>
  <c r="B40" i="49"/>
  <c r="B37" i="49"/>
  <c r="B33" i="49"/>
  <c r="B29" i="49"/>
  <c r="B32" i="49"/>
  <c r="B31" i="49"/>
  <c r="B30" i="49"/>
  <c r="B18" i="49"/>
  <c r="B17" i="49"/>
  <c r="B16" i="49"/>
  <c r="AZ20" i="49"/>
  <c r="B20" i="49" s="1"/>
  <c r="AX15" i="49"/>
  <c r="AV15" i="49"/>
  <c r="AV14" i="49"/>
  <c r="AL610" i="1"/>
  <c r="AL665" i="1" s="1"/>
  <c r="AX14" i="49" s="1"/>
  <c r="AI21" i="49"/>
  <c r="B21" i="49" s="1"/>
  <c r="AL7" i="49" l="1"/>
  <c r="O34" i="12"/>
  <c r="O8" i="12"/>
  <c r="AI601" i="1" l="1"/>
  <c r="AF42" i="12" l="1"/>
  <c r="AF24" i="12"/>
  <c r="AF12" i="12" l="1"/>
  <c r="O55" i="12"/>
  <c r="AI639" i="1"/>
  <c r="O75" i="12" s="1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4" i="12"/>
  <c r="O51" i="12"/>
  <c r="O43" i="12"/>
  <c r="O42" i="12"/>
  <c r="O39" i="12"/>
  <c r="O38" i="12"/>
  <c r="O24" i="12"/>
  <c r="O21" i="12"/>
  <c r="O12" i="12"/>
  <c r="O10" i="12"/>
  <c r="O7" i="12"/>
  <c r="O31" i="12"/>
  <c r="E129" i="29"/>
  <c r="E128" i="29"/>
  <c r="E127" i="29"/>
  <c r="E126" i="29"/>
  <c r="E125" i="29"/>
  <c r="E124" i="29"/>
  <c r="E26" i="33"/>
  <c r="E10" i="33" s="1"/>
  <c r="O54" i="49"/>
  <c r="AQ28" i="49"/>
  <c r="AO9" i="49"/>
  <c r="AO54" i="49" s="1"/>
  <c r="AJ9" i="49"/>
  <c r="AB9" i="49"/>
  <c r="Z9" i="49"/>
  <c r="W9" i="49"/>
  <c r="T9" i="49"/>
  <c r="T54" i="49" s="1"/>
  <c r="Q9" i="49"/>
  <c r="P9" i="49"/>
  <c r="L9" i="49"/>
  <c r="K9" i="49"/>
  <c r="G9" i="49"/>
  <c r="F9" i="49"/>
  <c r="AT8" i="49"/>
  <c r="AT7" i="49" s="1"/>
  <c r="AT9" i="49" s="1"/>
  <c r="AS8" i="49"/>
  <c r="AS9" i="49" s="1"/>
  <c r="AS15" i="49" s="1"/>
  <c r="N8" i="49"/>
  <c r="N9" i="49" s="1"/>
  <c r="AQ7" i="49"/>
  <c r="F25" i="13"/>
  <c r="AF25" i="13" s="1"/>
  <c r="O58" i="48"/>
  <c r="B40" i="48"/>
  <c r="B34" i="48"/>
  <c r="B31" i="48"/>
  <c r="B30" i="48"/>
  <c r="B29" i="48"/>
  <c r="B19" i="48"/>
  <c r="B18" i="48"/>
  <c r="B17" i="48"/>
  <c r="B16" i="48"/>
  <c r="BG58" i="48"/>
  <c r="AW9" i="48"/>
  <c r="AW58" i="48" s="1"/>
  <c r="AV9" i="48"/>
  <c r="AV42" i="48" s="1"/>
  <c r="AR9" i="48"/>
  <c r="AR58" i="48" s="1"/>
  <c r="AI9" i="48"/>
  <c r="AH9" i="48"/>
  <c r="AC9" i="48"/>
  <c r="AA9" i="48"/>
  <c r="X9" i="48"/>
  <c r="T9" i="48"/>
  <c r="T58" i="48" s="1"/>
  <c r="S9" i="48"/>
  <c r="Q9" i="48"/>
  <c r="P9" i="48"/>
  <c r="N9" i="48"/>
  <c r="G9" i="48"/>
  <c r="F9" i="48"/>
  <c r="AT9" i="48"/>
  <c r="AT14" i="48" s="1"/>
  <c r="AX7" i="48"/>
  <c r="AX9" i="48" s="1"/>
  <c r="U87" i="17"/>
  <c r="I82" i="17"/>
  <c r="U82" i="17" s="1"/>
  <c r="O44" i="12" l="1"/>
  <c r="O87" i="12" s="1"/>
  <c r="AF13" i="12"/>
  <c r="O72" i="12"/>
  <c r="O76" i="12" s="1"/>
  <c r="O9" i="12"/>
  <c r="O11" i="12" s="1"/>
  <c r="O13" i="12" s="1"/>
  <c r="O15" i="12" s="1"/>
  <c r="O23" i="12"/>
  <c r="O25" i="12" s="1"/>
  <c r="O88" i="12" s="1"/>
  <c r="AQ54" i="49"/>
  <c r="AF43" i="12"/>
  <c r="AF25" i="12"/>
  <c r="AT28" i="49"/>
  <c r="B28" i="49" s="1"/>
  <c r="N13" i="49"/>
  <c r="F12" i="49"/>
  <c r="F54" i="49" s="1"/>
  <c r="G14" i="49"/>
  <c r="B14" i="49" s="1"/>
  <c r="K13" i="49"/>
  <c r="K54" i="49" s="1"/>
  <c r="L13" i="49"/>
  <c r="L54" i="49" s="1"/>
  <c r="P13" i="49"/>
  <c r="P54" i="49" s="1"/>
  <c r="Q13" i="49"/>
  <c r="Q54" i="49" s="1"/>
  <c r="W13" i="49"/>
  <c r="W54" i="49" s="1"/>
  <c r="Z13" i="49"/>
  <c r="Z54" i="49" s="1"/>
  <c r="AB12" i="49"/>
  <c r="AB54" i="49" s="1"/>
  <c r="AJ43" i="49"/>
  <c r="AJ54" i="49" s="1"/>
  <c r="B32" i="48"/>
  <c r="F31" i="5" s="1"/>
  <c r="AX28" i="48"/>
  <c r="AX58" i="48" s="1"/>
  <c r="F12" i="48"/>
  <c r="F58" i="48" s="1"/>
  <c r="G14" i="48"/>
  <c r="N13" i="48"/>
  <c r="N58" i="48" s="1"/>
  <c r="P13" i="48"/>
  <c r="P58" i="48" s="1"/>
  <c r="Q13" i="48"/>
  <c r="Q58" i="48" s="1"/>
  <c r="S28" i="48"/>
  <c r="X13" i="48"/>
  <c r="X58" i="48" s="1"/>
  <c r="AA13" i="48"/>
  <c r="AA58" i="48" s="1"/>
  <c r="AC12" i="48"/>
  <c r="AC58" i="48" s="1"/>
  <c r="AH15" i="48"/>
  <c r="AH58" i="48" s="1"/>
  <c r="AI13" i="48"/>
  <c r="AI58" i="48" s="1"/>
  <c r="BH13" i="48"/>
  <c r="BH58" i="48" s="1"/>
  <c r="O73" i="12" l="1"/>
  <c r="O86" i="12"/>
  <c r="O90" i="12" s="1"/>
  <c r="N54" i="49"/>
  <c r="G54" i="49"/>
  <c r="B34" i="49"/>
  <c r="AT54" i="49"/>
  <c r="B28" i="48"/>
  <c r="S58" i="48"/>
  <c r="G58" i="48"/>
  <c r="F30" i="5" l="1"/>
  <c r="G74" i="21"/>
  <c r="G73" i="21" s="1"/>
  <c r="E762" i="1"/>
  <c r="F762" i="1" s="1"/>
  <c r="F534" i="1"/>
  <c r="H761" i="1"/>
  <c r="G761" i="1" s="1"/>
  <c r="E759" i="1"/>
  <c r="D759" i="1"/>
  <c r="D531" i="1" s="1"/>
  <c r="F531" i="1" s="1"/>
  <c r="H758" i="1"/>
  <c r="E754" i="1"/>
  <c r="D754" i="1"/>
  <c r="H753" i="1"/>
  <c r="H752" i="1"/>
  <c r="H751" i="1"/>
  <c r="H748" i="1"/>
  <c r="G748" i="1" s="1"/>
  <c r="H742" i="1"/>
  <c r="H741" i="1"/>
  <c r="H740" i="1"/>
  <c r="H739" i="1"/>
  <c r="H738" i="1"/>
  <c r="H737" i="1"/>
  <c r="H736" i="1"/>
  <c r="H735" i="1"/>
  <c r="H734" i="1"/>
  <c r="G732" i="1"/>
  <c r="H728" i="1"/>
  <c r="H727" i="1"/>
  <c r="H726" i="1"/>
  <c r="H725" i="1"/>
  <c r="G725" i="1" s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6" i="1"/>
  <c r="H695" i="1"/>
  <c r="H694" i="1"/>
  <c r="H693" i="1"/>
  <c r="H692" i="1"/>
  <c r="H691" i="1"/>
  <c r="H690" i="1"/>
  <c r="H689" i="1"/>
  <c r="H687" i="1"/>
  <c r="H686" i="1"/>
  <c r="H685" i="1"/>
  <c r="H684" i="1"/>
  <c r="H683" i="1"/>
  <c r="H682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G665" i="1" s="1"/>
  <c r="H664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E662" i="1"/>
  <c r="E720" i="1" s="1"/>
  <c r="H638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09" i="1"/>
  <c r="H608" i="1"/>
  <c r="H607" i="1"/>
  <c r="H606" i="1"/>
  <c r="H605" i="1"/>
  <c r="G605" i="1" s="1"/>
  <c r="H600" i="1"/>
  <c r="H599" i="1"/>
  <c r="H598" i="1"/>
  <c r="H597" i="1"/>
  <c r="H596" i="1"/>
  <c r="H595" i="1"/>
  <c r="H594" i="1"/>
  <c r="H591" i="1"/>
  <c r="H590" i="1"/>
  <c r="H589" i="1"/>
  <c r="H588" i="1"/>
  <c r="H587" i="1"/>
  <c r="H586" i="1"/>
  <c r="H585" i="1"/>
  <c r="H582" i="1"/>
  <c r="H581" i="1"/>
  <c r="H580" i="1"/>
  <c r="H579" i="1"/>
  <c r="E601" i="1"/>
  <c r="H577" i="1"/>
  <c r="H576" i="1"/>
  <c r="G576" i="1" s="1"/>
  <c r="H571" i="1"/>
  <c r="E570" i="1"/>
  <c r="E572" i="1" s="1"/>
  <c r="H568" i="1"/>
  <c r="G568" i="1" s="1"/>
  <c r="D559" i="1"/>
  <c r="H558" i="1"/>
  <c r="H551" i="1"/>
  <c r="H550" i="1"/>
  <c r="H549" i="1"/>
  <c r="H548" i="1"/>
  <c r="H547" i="1"/>
  <c r="H546" i="1"/>
  <c r="G546" i="1" s="1"/>
  <c r="H545" i="1"/>
  <c r="E554" i="1"/>
  <c r="H535" i="1"/>
  <c r="E529" i="1"/>
  <c r="D529" i="1"/>
  <c r="H527" i="1"/>
  <c r="G527" i="1" s="1"/>
  <c r="E520" i="1"/>
  <c r="D520" i="1"/>
  <c r="H519" i="1"/>
  <c r="H518" i="1"/>
  <c r="H517" i="1"/>
  <c r="H516" i="1"/>
  <c r="H515" i="1"/>
  <c r="H512" i="1"/>
  <c r="H511" i="1"/>
  <c r="H510" i="1"/>
  <c r="H509" i="1"/>
  <c r="H508" i="1"/>
  <c r="G508" i="1" s="1"/>
  <c r="D504" i="1"/>
  <c r="F504" i="1" s="1"/>
  <c r="H503" i="1"/>
  <c r="H502" i="1"/>
  <c r="H501" i="1"/>
  <c r="H500" i="1"/>
  <c r="H499" i="1"/>
  <c r="G499" i="1" s="1"/>
  <c r="E497" i="1"/>
  <c r="D497" i="1"/>
  <c r="H496" i="1"/>
  <c r="G496" i="1" s="1"/>
  <c r="E494" i="1"/>
  <c r="D494" i="1"/>
  <c r="H493" i="1"/>
  <c r="H492" i="1"/>
  <c r="H491" i="1"/>
  <c r="H490" i="1"/>
  <c r="H489" i="1"/>
  <c r="H488" i="1"/>
  <c r="H487" i="1"/>
  <c r="H484" i="1"/>
  <c r="G484" i="1" s="1"/>
  <c r="E481" i="1"/>
  <c r="D481" i="1"/>
  <c r="F481" i="1" s="1"/>
  <c r="H480" i="1"/>
  <c r="G480" i="1" s="1"/>
  <c r="E474" i="1"/>
  <c r="D474" i="1"/>
  <c r="H473" i="1"/>
  <c r="H472" i="1"/>
  <c r="G472" i="1" s="1"/>
  <c r="E470" i="1"/>
  <c r="D470" i="1"/>
  <c r="H469" i="1"/>
  <c r="G469" i="1" s="1"/>
  <c r="H465" i="1"/>
  <c r="H464" i="1"/>
  <c r="H463" i="1"/>
  <c r="H462" i="1"/>
  <c r="H461" i="1"/>
  <c r="H459" i="1"/>
  <c r="H458" i="1"/>
  <c r="H457" i="1"/>
  <c r="H456" i="1"/>
  <c r="D453" i="1"/>
  <c r="H452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7" i="1"/>
  <c r="H436" i="1"/>
  <c r="H435" i="1"/>
  <c r="G435" i="1" s="1"/>
  <c r="D433" i="1"/>
  <c r="H432" i="1"/>
  <c r="H431" i="1"/>
  <c r="H429" i="1"/>
  <c r="H428" i="1"/>
  <c r="H427" i="1"/>
  <c r="H426" i="1"/>
  <c r="H425" i="1"/>
  <c r="H424" i="1"/>
  <c r="G424" i="1" s="1"/>
  <c r="H402" i="1"/>
  <c r="G402" i="1" s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G331" i="1" s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299" i="1"/>
  <c r="H298" i="1"/>
  <c r="H297" i="1"/>
  <c r="H296" i="1"/>
  <c r="H295" i="1"/>
  <c r="H294" i="1"/>
  <c r="H293" i="1"/>
  <c r="H292" i="1"/>
  <c r="H291" i="1"/>
  <c r="H290" i="1"/>
  <c r="G290" i="1" s="1"/>
  <c r="D288" i="1"/>
  <c r="F288" i="1" s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G260" i="1" s="1"/>
  <c r="E252" i="1"/>
  <c r="D252" i="1"/>
  <c r="F252" i="1" s="1"/>
  <c r="H250" i="1"/>
  <c r="G250" i="1" s="1"/>
  <c r="E248" i="1"/>
  <c r="D248" i="1"/>
  <c r="H247" i="1"/>
  <c r="G247" i="1" s="1"/>
  <c r="H244" i="1"/>
  <c r="H242" i="1"/>
  <c r="H241" i="1"/>
  <c r="D236" i="1"/>
  <c r="F236" i="1" s="1"/>
  <c r="H235" i="1"/>
  <c r="E223" i="1"/>
  <c r="D223" i="1"/>
  <c r="H221" i="1"/>
  <c r="G221" i="1" s="1"/>
  <c r="E218" i="1"/>
  <c r="D218" i="1"/>
  <c r="H217" i="1"/>
  <c r="H216" i="1"/>
  <c r="G216" i="1" s="1"/>
  <c r="H213" i="1"/>
  <c r="H212" i="1"/>
  <c r="H211" i="1"/>
  <c r="H210" i="1"/>
  <c r="H209" i="1"/>
  <c r="H208" i="1"/>
  <c r="H207" i="1"/>
  <c r="H206" i="1"/>
  <c r="H204" i="1"/>
  <c r="D201" i="1"/>
  <c r="H200" i="1"/>
  <c r="H199" i="1"/>
  <c r="H198" i="1"/>
  <c r="H197" i="1"/>
  <c r="H196" i="1"/>
  <c r="H195" i="1"/>
  <c r="H194" i="1"/>
  <c r="H193" i="1"/>
  <c r="H192" i="1"/>
  <c r="H191" i="1"/>
  <c r="H189" i="1"/>
  <c r="G189" i="1" s="1"/>
  <c r="E187" i="1"/>
  <c r="D187" i="1"/>
  <c r="H186" i="1"/>
  <c r="H185" i="1"/>
  <c r="H184" i="1"/>
  <c r="G184" i="1" s="1"/>
  <c r="D182" i="1"/>
  <c r="H181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0" i="1"/>
  <c r="H159" i="1"/>
  <c r="H156" i="1"/>
  <c r="H155" i="1"/>
  <c r="H154" i="1"/>
  <c r="H153" i="1"/>
  <c r="H152" i="1"/>
  <c r="H151" i="1"/>
  <c r="H150" i="1"/>
  <c r="E177" i="1"/>
  <c r="F177" i="1" s="1"/>
  <c r="H145" i="1"/>
  <c r="H143" i="1"/>
  <c r="H142" i="1"/>
  <c r="H140" i="1"/>
  <c r="G140" i="1" s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G118" i="1" s="1"/>
  <c r="H107" i="1"/>
  <c r="G107" i="1" s="1"/>
  <c r="H73" i="1"/>
  <c r="H72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8" i="1"/>
  <c r="G78" i="1" s="1"/>
  <c r="H76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G57" i="1" s="1"/>
  <c r="H56" i="1"/>
  <c r="H55" i="1"/>
  <c r="M50" i="1"/>
  <c r="M51" i="1" s="1"/>
  <c r="H50" i="1"/>
  <c r="H51" i="1" s="1"/>
  <c r="E50" i="1"/>
  <c r="E51" i="1" s="1"/>
  <c r="D50" i="1"/>
  <c r="M47" i="1"/>
  <c r="E38" i="24" s="1"/>
  <c r="M46" i="1"/>
  <c r="H44" i="1"/>
  <c r="H43" i="1"/>
  <c r="M42" i="1"/>
  <c r="E32" i="24" s="1"/>
  <c r="H41" i="1"/>
  <c r="H40" i="1"/>
  <c r="H39" i="1"/>
  <c r="H38" i="1"/>
  <c r="H37" i="1"/>
  <c r="H36" i="1"/>
  <c r="H35" i="1"/>
  <c r="H33" i="1"/>
  <c r="H32" i="1"/>
  <c r="H31" i="1"/>
  <c r="H30" i="1"/>
  <c r="M29" i="1"/>
  <c r="H28" i="1"/>
  <c r="E48" i="1"/>
  <c r="F48" i="1" s="1"/>
  <c r="H27" i="1"/>
  <c r="H26" i="1"/>
  <c r="H25" i="1"/>
  <c r="H24" i="1"/>
  <c r="H23" i="1"/>
  <c r="M21" i="1"/>
  <c r="E18" i="1"/>
  <c r="F18" i="1" s="1"/>
  <c r="H17" i="1"/>
  <c r="E9" i="1"/>
  <c r="H9" i="1" s="1"/>
  <c r="M9" i="1" s="1"/>
  <c r="F187" i="1" l="1"/>
  <c r="F223" i="1"/>
  <c r="F248" i="1"/>
  <c r="F470" i="1"/>
  <c r="F474" i="1"/>
  <c r="F497" i="1"/>
  <c r="F759" i="1"/>
  <c r="M442" i="1"/>
  <c r="G442" i="1"/>
  <c r="M446" i="1"/>
  <c r="G446" i="1"/>
  <c r="M450" i="1"/>
  <c r="G450" i="1"/>
  <c r="M26" i="1"/>
  <c r="G26" i="1"/>
  <c r="M33" i="1"/>
  <c r="E18" i="24" s="1"/>
  <c r="G33" i="1"/>
  <c r="M38" i="1"/>
  <c r="E28" i="24" s="1"/>
  <c r="G38" i="1"/>
  <c r="M58" i="1"/>
  <c r="E20" i="25" s="1"/>
  <c r="G58" i="1"/>
  <c r="M62" i="1"/>
  <c r="G62" i="1"/>
  <c r="M66" i="1"/>
  <c r="G66" i="1"/>
  <c r="M70" i="1"/>
  <c r="G70" i="1"/>
  <c r="M81" i="1"/>
  <c r="E41" i="25" s="1"/>
  <c r="G81" i="1"/>
  <c r="M85" i="1"/>
  <c r="G85" i="1"/>
  <c r="M89" i="1"/>
  <c r="E36" i="25" s="1"/>
  <c r="G89" i="1"/>
  <c r="M93" i="1"/>
  <c r="G93" i="1"/>
  <c r="M97" i="1"/>
  <c r="G97" i="1"/>
  <c r="M101" i="1"/>
  <c r="E38" i="25" s="1"/>
  <c r="G101" i="1"/>
  <c r="M121" i="1"/>
  <c r="G121" i="1"/>
  <c r="M125" i="1"/>
  <c r="G125" i="1"/>
  <c r="M129" i="1"/>
  <c r="G129" i="1"/>
  <c r="M133" i="1"/>
  <c r="E29" i="27" s="1"/>
  <c r="G133" i="1"/>
  <c r="M143" i="1"/>
  <c r="G143" i="1"/>
  <c r="M151" i="1"/>
  <c r="G151" i="1"/>
  <c r="M155" i="1"/>
  <c r="G155" i="1"/>
  <c r="M164" i="1"/>
  <c r="E15" i="32" s="1"/>
  <c r="G164" i="1"/>
  <c r="M168" i="1"/>
  <c r="G168" i="1"/>
  <c r="M172" i="1"/>
  <c r="G172" i="1"/>
  <c r="M181" i="1"/>
  <c r="G181" i="1"/>
  <c r="M186" i="1"/>
  <c r="E30" i="27" s="1"/>
  <c r="G186" i="1"/>
  <c r="M191" i="1"/>
  <c r="O191" i="1" s="1"/>
  <c r="G191" i="1"/>
  <c r="M195" i="1"/>
  <c r="O195" i="1" s="1"/>
  <c r="G195" i="1"/>
  <c r="M199" i="1"/>
  <c r="O199" i="1" s="1"/>
  <c r="G199" i="1"/>
  <c r="M206" i="1"/>
  <c r="O206" i="1" s="1"/>
  <c r="G206" i="1"/>
  <c r="M210" i="1"/>
  <c r="O210" i="1" s="1"/>
  <c r="G210" i="1"/>
  <c r="M262" i="1"/>
  <c r="G262" i="1"/>
  <c r="M266" i="1"/>
  <c r="G266" i="1"/>
  <c r="M270" i="1"/>
  <c r="G270" i="1"/>
  <c r="M274" i="1"/>
  <c r="G27" i="36" s="1"/>
  <c r="G274" i="1"/>
  <c r="M278" i="1"/>
  <c r="G32" i="36" s="1"/>
  <c r="G278" i="1"/>
  <c r="M282" i="1"/>
  <c r="E13" i="36" s="1"/>
  <c r="G282" i="1"/>
  <c r="M286" i="1"/>
  <c r="E17" i="36" s="1"/>
  <c r="G286" i="1"/>
  <c r="M291" i="1"/>
  <c r="E7" i="29" s="1"/>
  <c r="G291" i="1"/>
  <c r="M295" i="1"/>
  <c r="E11" i="29" s="1"/>
  <c r="G295" i="1"/>
  <c r="M299" i="1"/>
  <c r="E15" i="29" s="1"/>
  <c r="G299" i="1"/>
  <c r="M305" i="1"/>
  <c r="E20" i="29" s="1"/>
  <c r="G305" i="1"/>
  <c r="M309" i="1"/>
  <c r="E24" i="29" s="1"/>
  <c r="G309" i="1"/>
  <c r="M313" i="1"/>
  <c r="E28" i="29" s="1"/>
  <c r="G313" i="1"/>
  <c r="M318" i="1"/>
  <c r="E33" i="29" s="1"/>
  <c r="G318" i="1"/>
  <c r="M322" i="1"/>
  <c r="E37" i="29" s="1"/>
  <c r="G322" i="1"/>
  <c r="M326" i="1"/>
  <c r="E41" i="29" s="1"/>
  <c r="G326" i="1"/>
  <c r="M330" i="1"/>
  <c r="E45" i="29" s="1"/>
  <c r="G330" i="1"/>
  <c r="M334" i="1"/>
  <c r="E49" i="29" s="1"/>
  <c r="G334" i="1"/>
  <c r="M338" i="1"/>
  <c r="G338" i="1"/>
  <c r="M342" i="1"/>
  <c r="E57" i="29" s="1"/>
  <c r="G342" i="1"/>
  <c r="M346" i="1"/>
  <c r="E61" i="29" s="1"/>
  <c r="G346" i="1"/>
  <c r="M350" i="1"/>
  <c r="E65" i="29" s="1"/>
  <c r="G350" i="1"/>
  <c r="M354" i="1"/>
  <c r="E69" i="29" s="1"/>
  <c r="G354" i="1"/>
  <c r="M358" i="1"/>
  <c r="E73" i="29" s="1"/>
  <c r="G358" i="1"/>
  <c r="M362" i="1"/>
  <c r="E77" i="29" s="1"/>
  <c r="G362" i="1"/>
  <c r="M366" i="1"/>
  <c r="E81" i="29" s="1"/>
  <c r="G366" i="1"/>
  <c r="M370" i="1"/>
  <c r="E85" i="29" s="1"/>
  <c r="G370" i="1"/>
  <c r="M374" i="1"/>
  <c r="E89" i="29" s="1"/>
  <c r="G374" i="1"/>
  <c r="M378" i="1"/>
  <c r="E93" i="29" s="1"/>
  <c r="G378" i="1"/>
  <c r="M382" i="1"/>
  <c r="E99" i="29" s="1"/>
  <c r="G382" i="1"/>
  <c r="M386" i="1"/>
  <c r="E100" i="29" s="1"/>
  <c r="G386" i="1"/>
  <c r="M390" i="1"/>
  <c r="E104" i="29" s="1"/>
  <c r="G390" i="1"/>
  <c r="M394" i="1"/>
  <c r="E108" i="29" s="1"/>
  <c r="G394" i="1"/>
  <c r="M398" i="1"/>
  <c r="E112" i="29" s="1"/>
  <c r="G398" i="1"/>
  <c r="M427" i="1"/>
  <c r="G427" i="1"/>
  <c r="M432" i="1"/>
  <c r="G432" i="1"/>
  <c r="M437" i="1"/>
  <c r="G437" i="1"/>
  <c r="M457" i="1"/>
  <c r="G457" i="1"/>
  <c r="M462" i="1"/>
  <c r="G462" i="1"/>
  <c r="M473" i="1"/>
  <c r="G473" i="1"/>
  <c r="M488" i="1"/>
  <c r="G488" i="1"/>
  <c r="M492" i="1"/>
  <c r="G492" i="1"/>
  <c r="M500" i="1"/>
  <c r="G500" i="1"/>
  <c r="M511" i="1"/>
  <c r="K81" i="17" s="1"/>
  <c r="U81" i="17" s="1"/>
  <c r="G511" i="1"/>
  <c r="M517" i="1"/>
  <c r="G517" i="1"/>
  <c r="M535" i="1"/>
  <c r="G535" i="1"/>
  <c r="M547" i="1"/>
  <c r="G547" i="1"/>
  <c r="M551" i="1"/>
  <c r="G551" i="1"/>
  <c r="M582" i="1"/>
  <c r="G582" i="1"/>
  <c r="M588" i="1"/>
  <c r="G588" i="1"/>
  <c r="M594" i="1"/>
  <c r="G594" i="1"/>
  <c r="M598" i="1"/>
  <c r="G598" i="1"/>
  <c r="M606" i="1"/>
  <c r="G606" i="1"/>
  <c r="M611" i="1"/>
  <c r="G611" i="1"/>
  <c r="M615" i="1"/>
  <c r="G615" i="1"/>
  <c r="M619" i="1"/>
  <c r="E56" i="12" s="1"/>
  <c r="G619" i="1"/>
  <c r="M624" i="1"/>
  <c r="E61" i="12" s="1"/>
  <c r="G624" i="1"/>
  <c r="M628" i="1"/>
  <c r="E63" i="12" s="1"/>
  <c r="G628" i="1"/>
  <c r="M632" i="1"/>
  <c r="E67" i="12" s="1"/>
  <c r="G632" i="1"/>
  <c r="M636" i="1"/>
  <c r="E70" i="12" s="1"/>
  <c r="G636" i="1"/>
  <c r="M646" i="1"/>
  <c r="E8" i="38" s="1"/>
  <c r="G646" i="1"/>
  <c r="M650" i="1"/>
  <c r="E12" i="38" s="1"/>
  <c r="G650" i="1"/>
  <c r="M654" i="1"/>
  <c r="E16" i="38" s="1"/>
  <c r="G654" i="1"/>
  <c r="M658" i="1"/>
  <c r="E20" i="38" s="1"/>
  <c r="G658" i="1"/>
  <c r="M664" i="1"/>
  <c r="G664" i="1"/>
  <c r="M668" i="1"/>
  <c r="G668" i="1"/>
  <c r="M672" i="1"/>
  <c r="E7" i="39" s="1"/>
  <c r="G672" i="1"/>
  <c r="M676" i="1"/>
  <c r="E11" i="39" s="1"/>
  <c r="G676" i="1"/>
  <c r="M680" i="1"/>
  <c r="E15" i="39" s="1"/>
  <c r="G680" i="1"/>
  <c r="M685" i="1"/>
  <c r="E20" i="39" s="1"/>
  <c r="G685" i="1"/>
  <c r="M690" i="1"/>
  <c r="E25" i="39" s="1"/>
  <c r="G690" i="1"/>
  <c r="M694" i="1"/>
  <c r="E29" i="39" s="1"/>
  <c r="G694" i="1"/>
  <c r="M699" i="1"/>
  <c r="G699" i="1"/>
  <c r="M703" i="1"/>
  <c r="G703" i="1"/>
  <c r="M707" i="1"/>
  <c r="G707" i="1"/>
  <c r="M711" i="1"/>
  <c r="G711" i="1"/>
  <c r="M715" i="1"/>
  <c r="E20" i="28" s="1"/>
  <c r="G715" i="1"/>
  <c r="M737" i="1"/>
  <c r="E13" i="41" s="1"/>
  <c r="G737" i="1"/>
  <c r="M741" i="1"/>
  <c r="E17" i="41" s="1"/>
  <c r="G741" i="1"/>
  <c r="M752" i="1"/>
  <c r="G752" i="1"/>
  <c r="M758" i="1"/>
  <c r="F41" i="55" s="1"/>
  <c r="G758" i="1"/>
  <c r="M23" i="1"/>
  <c r="G23" i="1"/>
  <c r="M27" i="1"/>
  <c r="E16" i="24" s="1"/>
  <c r="G27" i="1"/>
  <c r="M30" i="1"/>
  <c r="G30" i="1"/>
  <c r="M35" i="1"/>
  <c r="G35" i="1"/>
  <c r="M39" i="1"/>
  <c r="E33" i="24" s="1"/>
  <c r="G39" i="1"/>
  <c r="M43" i="1"/>
  <c r="E29" i="24" s="1"/>
  <c r="G43" i="1"/>
  <c r="M55" i="1"/>
  <c r="G55" i="1"/>
  <c r="M59" i="1"/>
  <c r="G59" i="1"/>
  <c r="M63" i="1"/>
  <c r="G63" i="1"/>
  <c r="M67" i="1"/>
  <c r="G67" i="1"/>
  <c r="M76" i="1"/>
  <c r="G76" i="1"/>
  <c r="M82" i="1"/>
  <c r="E30" i="25" s="1"/>
  <c r="G82" i="1"/>
  <c r="M86" i="1"/>
  <c r="E35" i="25" s="1"/>
  <c r="G86" i="1"/>
  <c r="M90" i="1"/>
  <c r="E32" i="25" s="1"/>
  <c r="G90" i="1"/>
  <c r="M94" i="1"/>
  <c r="G94" i="1"/>
  <c r="M98" i="1"/>
  <c r="E37" i="25" s="1"/>
  <c r="G98" i="1"/>
  <c r="M102" i="1"/>
  <c r="G102" i="1"/>
  <c r="M122" i="1"/>
  <c r="G122" i="1"/>
  <c r="M126" i="1"/>
  <c r="G126" i="1"/>
  <c r="M130" i="1"/>
  <c r="G130" i="1"/>
  <c r="M134" i="1"/>
  <c r="G134" i="1"/>
  <c r="M145" i="1"/>
  <c r="V24" i="12" s="1"/>
  <c r="G145" i="1"/>
  <c r="M152" i="1"/>
  <c r="G152" i="1"/>
  <c r="M156" i="1"/>
  <c r="G156" i="1"/>
  <c r="M165" i="1"/>
  <c r="G165" i="1"/>
  <c r="M169" i="1"/>
  <c r="G169" i="1"/>
  <c r="M173" i="1"/>
  <c r="G173" i="1"/>
  <c r="M192" i="1"/>
  <c r="O192" i="1" s="1"/>
  <c r="G192" i="1"/>
  <c r="M196" i="1"/>
  <c r="O196" i="1" s="1"/>
  <c r="G196" i="1"/>
  <c r="M200" i="1"/>
  <c r="O200" i="1" s="1"/>
  <c r="G200" i="1"/>
  <c r="M207" i="1"/>
  <c r="O207" i="1" s="1"/>
  <c r="G207" i="1"/>
  <c r="M211" i="1"/>
  <c r="O211" i="1" s="1"/>
  <c r="G211" i="1"/>
  <c r="M217" i="1"/>
  <c r="G217" i="1"/>
  <c r="M241" i="1"/>
  <c r="G241" i="1"/>
  <c r="M263" i="1"/>
  <c r="G263" i="1"/>
  <c r="M267" i="1"/>
  <c r="G267" i="1"/>
  <c r="M271" i="1"/>
  <c r="G271" i="1"/>
  <c r="M275" i="1"/>
  <c r="G29" i="36" s="1"/>
  <c r="G275" i="1"/>
  <c r="M279" i="1"/>
  <c r="G279" i="1"/>
  <c r="M283" i="1"/>
  <c r="G283" i="1"/>
  <c r="M287" i="1"/>
  <c r="G287" i="1"/>
  <c r="M292" i="1"/>
  <c r="E8" i="29" s="1"/>
  <c r="G292" i="1"/>
  <c r="M296" i="1"/>
  <c r="E12" i="29" s="1"/>
  <c r="G296" i="1"/>
  <c r="M302" i="1"/>
  <c r="E17" i="29" s="1"/>
  <c r="G302" i="1"/>
  <c r="M306" i="1"/>
  <c r="E21" i="29" s="1"/>
  <c r="G306" i="1"/>
  <c r="M310" i="1"/>
  <c r="E25" i="29" s="1"/>
  <c r="G310" i="1"/>
  <c r="M314" i="1"/>
  <c r="E29" i="29" s="1"/>
  <c r="G314" i="1"/>
  <c r="M319" i="1"/>
  <c r="E34" i="29" s="1"/>
  <c r="G319" i="1"/>
  <c r="M323" i="1"/>
  <c r="E38" i="29" s="1"/>
  <c r="G323" i="1"/>
  <c r="M327" i="1"/>
  <c r="E42" i="29" s="1"/>
  <c r="G327" i="1"/>
  <c r="M335" i="1"/>
  <c r="E50" i="29" s="1"/>
  <c r="G335" i="1"/>
  <c r="M339" i="1"/>
  <c r="E54" i="29" s="1"/>
  <c r="G339" i="1"/>
  <c r="M343" i="1"/>
  <c r="E58" i="29" s="1"/>
  <c r="G343" i="1"/>
  <c r="M347" i="1"/>
  <c r="E62" i="29" s="1"/>
  <c r="G347" i="1"/>
  <c r="M351" i="1"/>
  <c r="E66" i="29" s="1"/>
  <c r="G351" i="1"/>
  <c r="M355" i="1"/>
  <c r="E70" i="29" s="1"/>
  <c r="G355" i="1"/>
  <c r="M359" i="1"/>
  <c r="E74" i="29" s="1"/>
  <c r="G359" i="1"/>
  <c r="M363" i="1"/>
  <c r="E78" i="29" s="1"/>
  <c r="G363" i="1"/>
  <c r="M367" i="1"/>
  <c r="E82" i="29" s="1"/>
  <c r="G367" i="1"/>
  <c r="M371" i="1"/>
  <c r="E86" i="29" s="1"/>
  <c r="G371" i="1"/>
  <c r="M375" i="1"/>
  <c r="E90" i="29" s="1"/>
  <c r="G375" i="1"/>
  <c r="M379" i="1"/>
  <c r="E94" i="29" s="1"/>
  <c r="G379" i="1"/>
  <c r="M383" i="1"/>
  <c r="G383" i="1"/>
  <c r="M387" i="1"/>
  <c r="E101" i="29" s="1"/>
  <c r="G387" i="1"/>
  <c r="M391" i="1"/>
  <c r="E105" i="29" s="1"/>
  <c r="G391" i="1"/>
  <c r="M395" i="1"/>
  <c r="E109" i="29" s="1"/>
  <c r="G395" i="1"/>
  <c r="M399" i="1"/>
  <c r="E113" i="29" s="1"/>
  <c r="G399" i="1"/>
  <c r="M428" i="1"/>
  <c r="G428" i="1"/>
  <c r="M439" i="1"/>
  <c r="G439" i="1"/>
  <c r="M443" i="1"/>
  <c r="G443" i="1"/>
  <c r="M447" i="1"/>
  <c r="G447" i="1"/>
  <c r="M452" i="1"/>
  <c r="G452" i="1"/>
  <c r="M458" i="1"/>
  <c r="E11" i="31" s="1"/>
  <c r="G458" i="1"/>
  <c r="M463" i="1"/>
  <c r="E10" i="34" s="1"/>
  <c r="G463" i="1"/>
  <c r="M489" i="1"/>
  <c r="G489" i="1"/>
  <c r="M493" i="1"/>
  <c r="G493" i="1"/>
  <c r="M501" i="1"/>
  <c r="E8" i="30" s="1"/>
  <c r="G501" i="1"/>
  <c r="M512" i="1"/>
  <c r="J4" i="1" s="1"/>
  <c r="J6" i="1" s="1"/>
  <c r="G512" i="1"/>
  <c r="M518" i="1"/>
  <c r="G518" i="1"/>
  <c r="M548" i="1"/>
  <c r="G548" i="1"/>
  <c r="M558" i="1"/>
  <c r="G558" i="1"/>
  <c r="M571" i="1"/>
  <c r="E24" i="12" s="1"/>
  <c r="G571" i="1"/>
  <c r="M579" i="1"/>
  <c r="G579" i="1"/>
  <c r="M585" i="1"/>
  <c r="G585" i="1"/>
  <c r="M589" i="1"/>
  <c r="G589" i="1"/>
  <c r="M595" i="1"/>
  <c r="G595" i="1"/>
  <c r="M599" i="1"/>
  <c r="G599" i="1"/>
  <c r="M607" i="1"/>
  <c r="E57" i="12" s="1"/>
  <c r="G607" i="1"/>
  <c r="M612" i="1"/>
  <c r="G612" i="1"/>
  <c r="M616" i="1"/>
  <c r="G616" i="1"/>
  <c r="M620" i="1"/>
  <c r="G620" i="1"/>
  <c r="M625" i="1"/>
  <c r="E62" i="12" s="1"/>
  <c r="G625" i="1"/>
  <c r="M629" i="1"/>
  <c r="E64" i="12" s="1"/>
  <c r="G629" i="1"/>
  <c r="M633" i="1"/>
  <c r="E68" i="12" s="1"/>
  <c r="G633" i="1"/>
  <c r="M638" i="1"/>
  <c r="E71" i="12" s="1"/>
  <c r="G638" i="1"/>
  <c r="M647" i="1"/>
  <c r="E9" i="38" s="1"/>
  <c r="G647" i="1"/>
  <c r="M651" i="1"/>
  <c r="E13" i="38" s="1"/>
  <c r="G651" i="1"/>
  <c r="M655" i="1"/>
  <c r="E17" i="38" s="1"/>
  <c r="G655" i="1"/>
  <c r="M659" i="1"/>
  <c r="E21" i="38" s="1"/>
  <c r="G659" i="1"/>
  <c r="M669" i="1"/>
  <c r="G669" i="1"/>
  <c r="M673" i="1"/>
  <c r="E8" i="39" s="1"/>
  <c r="G673" i="1"/>
  <c r="M677" i="1"/>
  <c r="E12" i="39" s="1"/>
  <c r="G677" i="1"/>
  <c r="M682" i="1"/>
  <c r="E17" i="39" s="1"/>
  <c r="G682" i="1"/>
  <c r="M686" i="1"/>
  <c r="E21" i="39" s="1"/>
  <c r="G686" i="1"/>
  <c r="M691" i="1"/>
  <c r="E26" i="39" s="1"/>
  <c r="G691" i="1"/>
  <c r="M695" i="1"/>
  <c r="E30" i="39" s="1"/>
  <c r="G695" i="1"/>
  <c r="M700" i="1"/>
  <c r="G700" i="1"/>
  <c r="M704" i="1"/>
  <c r="G704" i="1"/>
  <c r="M708" i="1"/>
  <c r="G708" i="1"/>
  <c r="M712" i="1"/>
  <c r="G712" i="1"/>
  <c r="M716" i="1"/>
  <c r="G716" i="1"/>
  <c r="M726" i="1"/>
  <c r="E9" i="40" s="1"/>
  <c r="G726" i="1"/>
  <c r="M734" i="1"/>
  <c r="E10" i="41" s="1"/>
  <c r="G734" i="1"/>
  <c r="M738" i="1"/>
  <c r="E14" i="41" s="1"/>
  <c r="G738" i="1"/>
  <c r="M742" i="1"/>
  <c r="E18" i="41" s="1"/>
  <c r="G742" i="1"/>
  <c r="M753" i="1"/>
  <c r="G753" i="1"/>
  <c r="M17" i="1"/>
  <c r="G17" i="1"/>
  <c r="M24" i="1"/>
  <c r="G24" i="1"/>
  <c r="M31" i="1"/>
  <c r="E19" i="24" s="1"/>
  <c r="G31" i="1"/>
  <c r="M36" i="1"/>
  <c r="G36" i="1"/>
  <c r="M40" i="1"/>
  <c r="E30" i="24" s="1"/>
  <c r="G40" i="1"/>
  <c r="M44" i="1"/>
  <c r="G44" i="1"/>
  <c r="M56" i="1"/>
  <c r="G56" i="1"/>
  <c r="M60" i="1"/>
  <c r="G60" i="1"/>
  <c r="M64" i="1"/>
  <c r="G64" i="1"/>
  <c r="M68" i="1"/>
  <c r="G68" i="1"/>
  <c r="M83" i="1"/>
  <c r="E42" i="25" s="1"/>
  <c r="G83" i="1"/>
  <c r="M87" i="1"/>
  <c r="G87" i="1"/>
  <c r="M91" i="1"/>
  <c r="G91" i="1"/>
  <c r="M95" i="1"/>
  <c r="G95" i="1"/>
  <c r="M99" i="1"/>
  <c r="E33" i="25" s="1"/>
  <c r="G99" i="1"/>
  <c r="M72" i="1"/>
  <c r="E21" i="25" s="1"/>
  <c r="G72" i="1"/>
  <c r="M119" i="1"/>
  <c r="G119" i="1"/>
  <c r="M123" i="1"/>
  <c r="G123" i="1"/>
  <c r="M127" i="1"/>
  <c r="G127" i="1"/>
  <c r="M131" i="1"/>
  <c r="G131" i="1"/>
  <c r="M153" i="1"/>
  <c r="G153" i="1"/>
  <c r="M159" i="1"/>
  <c r="G159" i="1"/>
  <c r="M166" i="1"/>
  <c r="G166" i="1"/>
  <c r="M170" i="1"/>
  <c r="G170" i="1"/>
  <c r="M174" i="1"/>
  <c r="E9" i="32" s="1"/>
  <c r="G174" i="1"/>
  <c r="M193" i="1"/>
  <c r="O193" i="1" s="1"/>
  <c r="G193" i="1"/>
  <c r="M197" i="1"/>
  <c r="O197" i="1" s="1"/>
  <c r="G197" i="1"/>
  <c r="M208" i="1"/>
  <c r="O208" i="1" s="1"/>
  <c r="G208" i="1"/>
  <c r="M212" i="1"/>
  <c r="O212" i="1" s="1"/>
  <c r="G212" i="1"/>
  <c r="M242" i="1"/>
  <c r="G242" i="1"/>
  <c r="M264" i="1"/>
  <c r="G264" i="1"/>
  <c r="M268" i="1"/>
  <c r="G268" i="1"/>
  <c r="M272" i="1"/>
  <c r="G272" i="1"/>
  <c r="M276" i="1"/>
  <c r="G276" i="1"/>
  <c r="M280" i="1"/>
  <c r="G280" i="1"/>
  <c r="M284" i="1"/>
  <c r="E18" i="36" s="1"/>
  <c r="G284" i="1"/>
  <c r="M293" i="1"/>
  <c r="E9" i="29" s="1"/>
  <c r="G293" i="1"/>
  <c r="M297" i="1"/>
  <c r="E13" i="29" s="1"/>
  <c r="G297" i="1"/>
  <c r="M303" i="1"/>
  <c r="E18" i="29" s="1"/>
  <c r="G303" i="1"/>
  <c r="M307" i="1"/>
  <c r="E22" i="29" s="1"/>
  <c r="G307" i="1"/>
  <c r="M311" i="1"/>
  <c r="E26" i="29" s="1"/>
  <c r="G311" i="1"/>
  <c r="M315" i="1"/>
  <c r="E30" i="29" s="1"/>
  <c r="G315" i="1"/>
  <c r="M320" i="1"/>
  <c r="E35" i="29" s="1"/>
  <c r="G320" i="1"/>
  <c r="M324" i="1"/>
  <c r="E39" i="29" s="1"/>
  <c r="G324" i="1"/>
  <c r="M328" i="1"/>
  <c r="E43" i="29" s="1"/>
  <c r="G328" i="1"/>
  <c r="M332" i="1"/>
  <c r="E47" i="29" s="1"/>
  <c r="G332" i="1"/>
  <c r="M336" i="1"/>
  <c r="E51" i="29" s="1"/>
  <c r="G336" i="1"/>
  <c r="M340" i="1"/>
  <c r="E55" i="29" s="1"/>
  <c r="G340" i="1"/>
  <c r="M344" i="1"/>
  <c r="E59" i="29" s="1"/>
  <c r="G344" i="1"/>
  <c r="M348" i="1"/>
  <c r="E63" i="29" s="1"/>
  <c r="G348" i="1"/>
  <c r="M352" i="1"/>
  <c r="E67" i="29" s="1"/>
  <c r="G352" i="1"/>
  <c r="M356" i="1"/>
  <c r="E71" i="29" s="1"/>
  <c r="G356" i="1"/>
  <c r="M360" i="1"/>
  <c r="E75" i="29" s="1"/>
  <c r="G360" i="1"/>
  <c r="M364" i="1"/>
  <c r="E79" i="29" s="1"/>
  <c r="G364" i="1"/>
  <c r="M368" i="1"/>
  <c r="E83" i="29" s="1"/>
  <c r="G368" i="1"/>
  <c r="M372" i="1"/>
  <c r="E87" i="29" s="1"/>
  <c r="G372" i="1"/>
  <c r="M376" i="1"/>
  <c r="E91" i="29" s="1"/>
  <c r="G376" i="1"/>
  <c r="M380" i="1"/>
  <c r="E95" i="29" s="1"/>
  <c r="G380" i="1"/>
  <c r="M384" i="1"/>
  <c r="E97" i="29" s="1"/>
  <c r="G384" i="1"/>
  <c r="M388" i="1"/>
  <c r="E102" i="29" s="1"/>
  <c r="G388" i="1"/>
  <c r="M392" i="1"/>
  <c r="E106" i="29" s="1"/>
  <c r="G392" i="1"/>
  <c r="M396" i="1"/>
  <c r="E110" i="29" s="1"/>
  <c r="G396" i="1"/>
  <c r="M400" i="1"/>
  <c r="E121" i="29" s="1"/>
  <c r="G400" i="1"/>
  <c r="M425" i="1"/>
  <c r="G425" i="1"/>
  <c r="M429" i="1"/>
  <c r="G429" i="1"/>
  <c r="M440" i="1"/>
  <c r="G440" i="1"/>
  <c r="M444" i="1"/>
  <c r="G444" i="1"/>
  <c r="M448" i="1"/>
  <c r="G448" i="1"/>
  <c r="M459" i="1"/>
  <c r="E10" i="31" s="1"/>
  <c r="G459" i="1"/>
  <c r="M464" i="1"/>
  <c r="E12" i="31" s="1"/>
  <c r="G464" i="1"/>
  <c r="M490" i="1"/>
  <c r="G490" i="1"/>
  <c r="M502" i="1"/>
  <c r="G502" i="1"/>
  <c r="M509" i="1"/>
  <c r="I77" i="17" s="1"/>
  <c r="G509" i="1"/>
  <c r="M515" i="1"/>
  <c r="G515" i="1"/>
  <c r="M519" i="1"/>
  <c r="G519" i="1"/>
  <c r="M545" i="1"/>
  <c r="G545" i="1"/>
  <c r="M549" i="1"/>
  <c r="G549" i="1"/>
  <c r="M580" i="1"/>
  <c r="G580" i="1"/>
  <c r="M586" i="1"/>
  <c r="G586" i="1"/>
  <c r="M590" i="1"/>
  <c r="G590" i="1"/>
  <c r="M596" i="1"/>
  <c r="G596" i="1"/>
  <c r="M600" i="1"/>
  <c r="E43" i="12" s="1"/>
  <c r="G600" i="1"/>
  <c r="M608" i="1"/>
  <c r="G608" i="1"/>
  <c r="M613" i="1"/>
  <c r="G613" i="1"/>
  <c r="M617" i="1"/>
  <c r="G617" i="1"/>
  <c r="M621" i="1"/>
  <c r="G621" i="1"/>
  <c r="M626" i="1"/>
  <c r="E54" i="12" s="1"/>
  <c r="G626" i="1"/>
  <c r="M630" i="1"/>
  <c r="E65" i="12" s="1"/>
  <c r="G630" i="1"/>
  <c r="M634" i="1"/>
  <c r="G634" i="1"/>
  <c r="M648" i="1"/>
  <c r="E10" i="38" s="1"/>
  <c r="G648" i="1"/>
  <c r="M652" i="1"/>
  <c r="E14" i="38" s="1"/>
  <c r="G652" i="1"/>
  <c r="M656" i="1"/>
  <c r="E18" i="38" s="1"/>
  <c r="G656" i="1"/>
  <c r="M660" i="1"/>
  <c r="E22" i="38" s="1"/>
  <c r="G660" i="1"/>
  <c r="M666" i="1"/>
  <c r="G666" i="1"/>
  <c r="M670" i="1"/>
  <c r="G670" i="1"/>
  <c r="M674" i="1"/>
  <c r="E9" i="39" s="1"/>
  <c r="G674" i="1"/>
  <c r="M678" i="1"/>
  <c r="E13" i="39" s="1"/>
  <c r="G678" i="1"/>
  <c r="M683" i="1"/>
  <c r="E18" i="39" s="1"/>
  <c r="G683" i="1"/>
  <c r="M687" i="1"/>
  <c r="E22" i="39" s="1"/>
  <c r="G687" i="1"/>
  <c r="M692" i="1"/>
  <c r="E27" i="39" s="1"/>
  <c r="G692" i="1"/>
  <c r="M696" i="1"/>
  <c r="E31" i="39" s="1"/>
  <c r="G696" i="1"/>
  <c r="M701" i="1"/>
  <c r="G701" i="1"/>
  <c r="M705" i="1"/>
  <c r="G705" i="1"/>
  <c r="M709" i="1"/>
  <c r="G709" i="1"/>
  <c r="M713" i="1"/>
  <c r="G713" i="1"/>
  <c r="M717" i="1"/>
  <c r="G717" i="1"/>
  <c r="M727" i="1"/>
  <c r="G727" i="1"/>
  <c r="M735" i="1"/>
  <c r="E11" i="41" s="1"/>
  <c r="G735" i="1"/>
  <c r="M739" i="1"/>
  <c r="G739" i="1"/>
  <c r="M25" i="1"/>
  <c r="G25" i="1"/>
  <c r="M28" i="1"/>
  <c r="E17" i="24" s="1"/>
  <c r="G28" i="1"/>
  <c r="M32" i="1"/>
  <c r="E20" i="24" s="1"/>
  <c r="G32" i="1"/>
  <c r="M37" i="1"/>
  <c r="E27" i="24" s="1"/>
  <c r="G37" i="1"/>
  <c r="M41" i="1"/>
  <c r="E31" i="24" s="1"/>
  <c r="G41" i="1"/>
  <c r="M61" i="1"/>
  <c r="G61" i="1"/>
  <c r="M65" i="1"/>
  <c r="G65" i="1"/>
  <c r="M69" i="1"/>
  <c r="G69" i="1"/>
  <c r="M80" i="1"/>
  <c r="E31" i="25" s="1"/>
  <c r="G80" i="1"/>
  <c r="M84" i="1"/>
  <c r="G84" i="1"/>
  <c r="M88" i="1"/>
  <c r="G88" i="1"/>
  <c r="M92" i="1"/>
  <c r="G92" i="1"/>
  <c r="M96" i="1"/>
  <c r="G96" i="1"/>
  <c r="M100" i="1"/>
  <c r="E34" i="25" s="1"/>
  <c r="G100" i="1"/>
  <c r="M73" i="1"/>
  <c r="E23" i="25" s="1"/>
  <c r="G73" i="1"/>
  <c r="M120" i="1"/>
  <c r="G120" i="1"/>
  <c r="M124" i="1"/>
  <c r="G124" i="1"/>
  <c r="M128" i="1"/>
  <c r="G128" i="1"/>
  <c r="M132" i="1"/>
  <c r="E10" i="27" s="1"/>
  <c r="G132" i="1"/>
  <c r="M142" i="1"/>
  <c r="G142" i="1"/>
  <c r="M150" i="1"/>
  <c r="G150" i="1"/>
  <c r="M154" i="1"/>
  <c r="G154" i="1"/>
  <c r="M160" i="1"/>
  <c r="G160" i="1"/>
  <c r="M167" i="1"/>
  <c r="G167" i="1"/>
  <c r="M171" i="1"/>
  <c r="G171" i="1"/>
  <c r="M175" i="1"/>
  <c r="G175" i="1"/>
  <c r="M185" i="1"/>
  <c r="E31" i="27" s="1"/>
  <c r="G185" i="1"/>
  <c r="M194" i="1"/>
  <c r="O194" i="1" s="1"/>
  <c r="G194" i="1"/>
  <c r="M198" i="1"/>
  <c r="O198" i="1" s="1"/>
  <c r="G198" i="1"/>
  <c r="M204" i="1"/>
  <c r="O204" i="1" s="1"/>
  <c r="G204" i="1"/>
  <c r="M209" i="1"/>
  <c r="O209" i="1" s="1"/>
  <c r="G209" i="1"/>
  <c r="M213" i="1"/>
  <c r="O213" i="1" s="1"/>
  <c r="G213" i="1"/>
  <c r="M235" i="1"/>
  <c r="E8" i="28" s="1"/>
  <c r="G235" i="1"/>
  <c r="M244" i="1"/>
  <c r="G244" i="1"/>
  <c r="M261" i="1"/>
  <c r="G261" i="1"/>
  <c r="M265" i="1"/>
  <c r="G265" i="1"/>
  <c r="M269" i="1"/>
  <c r="G269" i="1"/>
  <c r="M273" i="1"/>
  <c r="G273" i="1"/>
  <c r="M277" i="1"/>
  <c r="G277" i="1"/>
  <c r="M281" i="1"/>
  <c r="E12" i="36" s="1"/>
  <c r="G281" i="1"/>
  <c r="M285" i="1"/>
  <c r="E16" i="36" s="1"/>
  <c r="G285" i="1"/>
  <c r="M294" i="1"/>
  <c r="E10" i="29" s="1"/>
  <c r="G294" i="1"/>
  <c r="M298" i="1"/>
  <c r="E14" i="29" s="1"/>
  <c r="G298" i="1"/>
  <c r="M304" i="1"/>
  <c r="E19" i="29" s="1"/>
  <c r="G304" i="1"/>
  <c r="M308" i="1"/>
  <c r="E23" i="29" s="1"/>
  <c r="G308" i="1"/>
  <c r="M312" i="1"/>
  <c r="E27" i="29" s="1"/>
  <c r="G312" i="1"/>
  <c r="M316" i="1"/>
  <c r="E31" i="29" s="1"/>
  <c r="G316" i="1"/>
  <c r="M321" i="1"/>
  <c r="E36" i="29" s="1"/>
  <c r="G321" i="1"/>
  <c r="M325" i="1"/>
  <c r="E40" i="29" s="1"/>
  <c r="G325" i="1"/>
  <c r="M329" i="1"/>
  <c r="E44" i="29" s="1"/>
  <c r="G329" i="1"/>
  <c r="M333" i="1"/>
  <c r="E48" i="29" s="1"/>
  <c r="G333" i="1"/>
  <c r="M337" i="1"/>
  <c r="E52" i="29" s="1"/>
  <c r="G337" i="1"/>
  <c r="M341" i="1"/>
  <c r="E56" i="29" s="1"/>
  <c r="G341" i="1"/>
  <c r="M345" i="1"/>
  <c r="E60" i="29" s="1"/>
  <c r="G345" i="1"/>
  <c r="M349" i="1"/>
  <c r="E64" i="29" s="1"/>
  <c r="G349" i="1"/>
  <c r="M353" i="1"/>
  <c r="E68" i="29" s="1"/>
  <c r="G353" i="1"/>
  <c r="M357" i="1"/>
  <c r="E72" i="29" s="1"/>
  <c r="G357" i="1"/>
  <c r="M361" i="1"/>
  <c r="E76" i="29" s="1"/>
  <c r="G361" i="1"/>
  <c r="M365" i="1"/>
  <c r="E80" i="29" s="1"/>
  <c r="G365" i="1"/>
  <c r="M369" i="1"/>
  <c r="E84" i="29" s="1"/>
  <c r="G369" i="1"/>
  <c r="M373" i="1"/>
  <c r="E88" i="29" s="1"/>
  <c r="G373" i="1"/>
  <c r="M377" i="1"/>
  <c r="E92" i="29" s="1"/>
  <c r="G377" i="1"/>
  <c r="M381" i="1"/>
  <c r="E96" i="29" s="1"/>
  <c r="G381" i="1"/>
  <c r="M385" i="1"/>
  <c r="E98" i="29" s="1"/>
  <c r="G385" i="1"/>
  <c r="M389" i="1"/>
  <c r="E103" i="29" s="1"/>
  <c r="G389" i="1"/>
  <c r="M393" i="1"/>
  <c r="E107" i="29" s="1"/>
  <c r="G393" i="1"/>
  <c r="M397" i="1"/>
  <c r="E111" i="29" s="1"/>
  <c r="G397" i="1"/>
  <c r="M401" i="1"/>
  <c r="E122" i="29" s="1"/>
  <c r="G401" i="1"/>
  <c r="M426" i="1"/>
  <c r="G426" i="1"/>
  <c r="M431" i="1"/>
  <c r="G431" i="1"/>
  <c r="M436" i="1"/>
  <c r="G436" i="1"/>
  <c r="M441" i="1"/>
  <c r="G441" i="1"/>
  <c r="M445" i="1"/>
  <c r="G445" i="1"/>
  <c r="M449" i="1"/>
  <c r="G449" i="1"/>
  <c r="M456" i="1"/>
  <c r="E9" i="31" s="1"/>
  <c r="G456" i="1"/>
  <c r="M461" i="1"/>
  <c r="G461" i="1"/>
  <c r="M465" i="1"/>
  <c r="E13" i="31" s="1"/>
  <c r="G465" i="1"/>
  <c r="M487" i="1"/>
  <c r="G487" i="1"/>
  <c r="M491" i="1"/>
  <c r="G491" i="1"/>
  <c r="M503" i="1"/>
  <c r="G503" i="1"/>
  <c r="M510" i="1"/>
  <c r="K80" i="17" s="1"/>
  <c r="G510" i="1"/>
  <c r="M516" i="1"/>
  <c r="G516" i="1"/>
  <c r="M550" i="1"/>
  <c r="G550" i="1"/>
  <c r="M577" i="1"/>
  <c r="G577" i="1"/>
  <c r="M581" i="1"/>
  <c r="G581" i="1"/>
  <c r="M587" i="1"/>
  <c r="G587" i="1"/>
  <c r="M591" i="1"/>
  <c r="E39" i="12" s="1"/>
  <c r="G591" i="1"/>
  <c r="M597" i="1"/>
  <c r="G597" i="1"/>
  <c r="M609" i="1"/>
  <c r="G609" i="1"/>
  <c r="M614" i="1"/>
  <c r="G614" i="1"/>
  <c r="M618" i="1"/>
  <c r="G618" i="1"/>
  <c r="M622" i="1"/>
  <c r="E60" i="12" s="1"/>
  <c r="G622" i="1"/>
  <c r="M627" i="1"/>
  <c r="E59" i="12" s="1"/>
  <c r="G627" i="1"/>
  <c r="M631" i="1"/>
  <c r="E66" i="12" s="1"/>
  <c r="G631" i="1"/>
  <c r="M635" i="1"/>
  <c r="E58" i="12" s="1"/>
  <c r="G635" i="1"/>
  <c r="M645" i="1"/>
  <c r="E7" i="38" s="1"/>
  <c r="G645" i="1"/>
  <c r="M649" i="1"/>
  <c r="E11" i="38" s="1"/>
  <c r="G649" i="1"/>
  <c r="M653" i="1"/>
  <c r="E15" i="38" s="1"/>
  <c r="G653" i="1"/>
  <c r="M657" i="1"/>
  <c r="E19" i="38" s="1"/>
  <c r="G657" i="1"/>
  <c r="M661" i="1"/>
  <c r="E23" i="38" s="1"/>
  <c r="G661" i="1"/>
  <c r="M667" i="1"/>
  <c r="G667" i="1"/>
  <c r="M671" i="1"/>
  <c r="G671" i="1"/>
  <c r="M675" i="1"/>
  <c r="E10" i="39" s="1"/>
  <c r="G675" i="1"/>
  <c r="M679" i="1"/>
  <c r="E14" i="39" s="1"/>
  <c r="G679" i="1"/>
  <c r="M684" i="1"/>
  <c r="E19" i="39" s="1"/>
  <c r="G684" i="1"/>
  <c r="M689" i="1"/>
  <c r="E24" i="39" s="1"/>
  <c r="G689" i="1"/>
  <c r="M693" i="1"/>
  <c r="E28" i="39" s="1"/>
  <c r="G693" i="1"/>
  <c r="M698" i="1"/>
  <c r="G698" i="1"/>
  <c r="M702" i="1"/>
  <c r="G702" i="1"/>
  <c r="M706" i="1"/>
  <c r="G706" i="1"/>
  <c r="M710" i="1"/>
  <c r="G710" i="1"/>
  <c r="M714" i="1"/>
  <c r="G714" i="1"/>
  <c r="M718" i="1"/>
  <c r="G718" i="1"/>
  <c r="M728" i="1"/>
  <c r="E13" i="40" s="1"/>
  <c r="G728" i="1"/>
  <c r="M736" i="1"/>
  <c r="E12" i="41" s="1"/>
  <c r="G736" i="1"/>
  <c r="M740" i="1"/>
  <c r="E16" i="41" s="1"/>
  <c r="G740" i="1"/>
  <c r="M751" i="1"/>
  <c r="G751" i="1"/>
  <c r="D51" i="1"/>
  <c r="F51" i="1" s="1"/>
  <c r="G51" i="1" s="1"/>
  <c r="F50" i="1"/>
  <c r="G50" i="1" s="1"/>
  <c r="F218" i="1"/>
  <c r="F494" i="1"/>
  <c r="F529" i="1"/>
  <c r="D561" i="1"/>
  <c r="F754" i="1"/>
  <c r="F520" i="1"/>
  <c r="AQ7" i="48"/>
  <c r="AQ9" i="48" s="1"/>
  <c r="AQ46" i="48" s="1"/>
  <c r="B46" i="48" s="1"/>
  <c r="F54" i="5" s="1"/>
  <c r="D505" i="1"/>
  <c r="D536" i="1"/>
  <c r="F536" i="1" s="1"/>
  <c r="H531" i="1"/>
  <c r="G531" i="1" s="1"/>
  <c r="E505" i="1"/>
  <c r="M78" i="1"/>
  <c r="E29" i="25" s="1"/>
  <c r="M725" i="1"/>
  <c r="M402" i="1"/>
  <c r="E123" i="29" s="1"/>
  <c r="M331" i="1"/>
  <c r="E52" i="1"/>
  <c r="F52" i="1" s="1"/>
  <c r="H15" i="1"/>
  <c r="G15" i="1" s="1"/>
  <c r="H22" i="1"/>
  <c r="G22" i="1" s="1"/>
  <c r="M57" i="1"/>
  <c r="H77" i="1"/>
  <c r="G77" i="1" s="1"/>
  <c r="H79" i="1"/>
  <c r="M107" i="1"/>
  <c r="H108" i="1"/>
  <c r="E111" i="1"/>
  <c r="F111" i="1" s="1"/>
  <c r="H109" i="1"/>
  <c r="E115" i="1"/>
  <c r="F115" i="1" s="1"/>
  <c r="H113" i="1"/>
  <c r="G113" i="1" s="1"/>
  <c r="M118" i="1"/>
  <c r="E138" i="1"/>
  <c r="F138" i="1" s="1"/>
  <c r="H137" i="1"/>
  <c r="G137" i="1" s="1"/>
  <c r="M140" i="1"/>
  <c r="H141" i="1"/>
  <c r="G141" i="1" s="1"/>
  <c r="M144" i="1"/>
  <c r="V12" i="12" s="1"/>
  <c r="H149" i="1"/>
  <c r="E182" i="1"/>
  <c r="F182" i="1" s="1"/>
  <c r="H180" i="1"/>
  <c r="G180" i="1" s="1"/>
  <c r="H187" i="1"/>
  <c r="G187" i="1" s="1"/>
  <c r="M184" i="1"/>
  <c r="M189" i="1"/>
  <c r="O189" i="1" s="1"/>
  <c r="E201" i="1"/>
  <c r="E219" i="1" s="1"/>
  <c r="H190" i="1"/>
  <c r="G190" i="1" s="1"/>
  <c r="H203" i="1"/>
  <c r="G203" i="1" s="1"/>
  <c r="D214" i="1"/>
  <c r="H205" i="1"/>
  <c r="H218" i="1"/>
  <c r="M216" i="1"/>
  <c r="H223" i="1"/>
  <c r="M221" i="1"/>
  <c r="M223" i="1" s="1"/>
  <c r="H232" i="1"/>
  <c r="G232" i="1" s="1"/>
  <c r="H239" i="1"/>
  <c r="G239" i="1" s="1"/>
  <c r="E245" i="1"/>
  <c r="F245" i="1" s="1"/>
  <c r="H248" i="1"/>
  <c r="G248" i="1" s="1"/>
  <c r="M247" i="1"/>
  <c r="M248" i="1" s="1"/>
  <c r="H252" i="1"/>
  <c r="G252" i="1" s="1"/>
  <c r="M250" i="1"/>
  <c r="M252" i="1" s="1"/>
  <c r="H288" i="1"/>
  <c r="G288" i="1" s="1"/>
  <c r="M260" i="1"/>
  <c r="M290" i="1"/>
  <c r="H301" i="1"/>
  <c r="G301" i="1" s="1"/>
  <c r="H317" i="1"/>
  <c r="D422" i="1"/>
  <c r="H419" i="1"/>
  <c r="G419" i="1" s="1"/>
  <c r="E422" i="1"/>
  <c r="H420" i="1"/>
  <c r="M424" i="1"/>
  <c r="E433" i="1"/>
  <c r="F433" i="1" s="1"/>
  <c r="H430" i="1"/>
  <c r="G430" i="1" s="1"/>
  <c r="M435" i="1"/>
  <c r="E453" i="1"/>
  <c r="F453" i="1" s="1"/>
  <c r="H438" i="1"/>
  <c r="G438" i="1" s="1"/>
  <c r="H455" i="1"/>
  <c r="G455" i="1" s="1"/>
  <c r="H460" i="1"/>
  <c r="H470" i="1"/>
  <c r="M469" i="1"/>
  <c r="M470" i="1" s="1"/>
  <c r="H474" i="1"/>
  <c r="G474" i="1" s="1"/>
  <c r="M472" i="1"/>
  <c r="H481" i="1"/>
  <c r="G481" i="1" s="1"/>
  <c r="M480" i="1"/>
  <c r="M481" i="1" s="1"/>
  <c r="G76" i="21" s="1"/>
  <c r="D17" i="58" s="1"/>
  <c r="D18" i="58" s="1"/>
  <c r="H494" i="1"/>
  <c r="M484" i="1"/>
  <c r="H497" i="1"/>
  <c r="M496" i="1"/>
  <c r="M497" i="1" s="1"/>
  <c r="H504" i="1"/>
  <c r="G504" i="1" s="1"/>
  <c r="M499" i="1"/>
  <c r="H520" i="1"/>
  <c r="M508" i="1"/>
  <c r="H522" i="1"/>
  <c r="G522" i="1" s="1"/>
  <c r="H529" i="1"/>
  <c r="M527" i="1"/>
  <c r="M529" i="1" s="1"/>
  <c r="H532" i="1"/>
  <c r="G532" i="1" s="1"/>
  <c r="H533" i="1"/>
  <c r="D554" i="1"/>
  <c r="F554" i="1" s="1"/>
  <c r="H542" i="1"/>
  <c r="G542" i="1" s="1"/>
  <c r="E559" i="1"/>
  <c r="E561" i="1" s="1"/>
  <c r="E563" i="1" s="1"/>
  <c r="E565" i="1" s="1"/>
  <c r="H557" i="1"/>
  <c r="G557" i="1" s="1"/>
  <c r="H564" i="1"/>
  <c r="H560" i="1"/>
  <c r="M568" i="1"/>
  <c r="E21" i="12" s="1"/>
  <c r="M576" i="1"/>
  <c r="D601" i="1"/>
  <c r="F601" i="1" s="1"/>
  <c r="H578" i="1"/>
  <c r="G578" i="1" s="1"/>
  <c r="M605" i="1"/>
  <c r="H610" i="1"/>
  <c r="G610" i="1" s="1"/>
  <c r="D639" i="1"/>
  <c r="F639" i="1" s="1"/>
  <c r="H623" i="1"/>
  <c r="D662" i="1"/>
  <c r="F662" i="1" s="1"/>
  <c r="H644" i="1"/>
  <c r="G644" i="1" s="1"/>
  <c r="M665" i="1"/>
  <c r="D719" i="1"/>
  <c r="F719" i="1" s="1"/>
  <c r="H681" i="1"/>
  <c r="G681" i="1" s="1"/>
  <c r="H688" i="1"/>
  <c r="D730" i="1"/>
  <c r="F730" i="1" s="1"/>
  <c r="H724" i="1"/>
  <c r="D744" i="1"/>
  <c r="F744" i="1" s="1"/>
  <c r="H733" i="1"/>
  <c r="H754" i="1"/>
  <c r="M748" i="1"/>
  <c r="H759" i="1"/>
  <c r="G759" i="1" s="1"/>
  <c r="H762" i="1"/>
  <c r="G762" i="1" s="1"/>
  <c r="M761" i="1"/>
  <c r="M42" i="3" s="1"/>
  <c r="M288" i="1" l="1"/>
  <c r="G497" i="1"/>
  <c r="E18" i="28"/>
  <c r="E14" i="36"/>
  <c r="E15" i="15"/>
  <c r="G223" i="1"/>
  <c r="E15" i="41"/>
  <c r="E53" i="29"/>
  <c r="N300" i="1"/>
  <c r="G733" i="1"/>
  <c r="H744" i="1"/>
  <c r="G744" i="1" s="1"/>
  <c r="E10" i="40"/>
  <c r="E7" i="41"/>
  <c r="O751" i="1"/>
  <c r="F39" i="55"/>
  <c r="N739" i="1"/>
  <c r="G470" i="1"/>
  <c r="M218" i="1"/>
  <c r="O235" i="1"/>
  <c r="L29" i="24"/>
  <c r="M26" i="3"/>
  <c r="F16" i="55" s="1"/>
  <c r="F17" i="55" s="1"/>
  <c r="AP7" i="48"/>
  <c r="AP9" i="48" s="1"/>
  <c r="AP45" i="48" s="1"/>
  <c r="B45" i="48" s="1"/>
  <c r="F52" i="5" s="1"/>
  <c r="V25" i="12"/>
  <c r="E15" i="24"/>
  <c r="G61" i="21"/>
  <c r="C39" i="18" s="1"/>
  <c r="AN7" i="48"/>
  <c r="E19" i="36"/>
  <c r="G529" i="1"/>
  <c r="G31" i="36"/>
  <c r="E18" i="15"/>
  <c r="G99" i="21"/>
  <c r="AF6" i="54" s="1"/>
  <c r="G98" i="21"/>
  <c r="AM7" i="48" s="1"/>
  <c r="E33" i="39"/>
  <c r="G20" i="21"/>
  <c r="M6" i="54" s="1"/>
  <c r="E19" i="25"/>
  <c r="BJ60" i="1"/>
  <c r="E69" i="12"/>
  <c r="E10" i="25"/>
  <c r="BJ56" i="1"/>
  <c r="AO7" i="48"/>
  <c r="AO9" i="48" s="1"/>
  <c r="AO44" i="48" s="1"/>
  <c r="B44" i="48" s="1"/>
  <c r="F50" i="5" s="1"/>
  <c r="O509" i="1"/>
  <c r="O511" i="1" s="1"/>
  <c r="G64" i="21"/>
  <c r="Z7" i="48" s="1"/>
  <c r="E40" i="25"/>
  <c r="G30" i="36"/>
  <c r="E38" i="12"/>
  <c r="E32" i="39"/>
  <c r="E8" i="15"/>
  <c r="C8" i="15" s="1"/>
  <c r="M759" i="1"/>
  <c r="M41" i="3" s="1"/>
  <c r="M83" i="17" s="1"/>
  <c r="E19" i="32"/>
  <c r="BK705" i="1"/>
  <c r="D43" i="55" s="1"/>
  <c r="BK727" i="1"/>
  <c r="E15" i="36"/>
  <c r="G494" i="1"/>
  <c r="E14" i="24"/>
  <c r="B18" i="51"/>
  <c r="E35" i="39"/>
  <c r="F42" i="55"/>
  <c r="E76" i="25"/>
  <c r="BB15" i="48"/>
  <c r="O610" i="1"/>
  <c r="E42" i="12"/>
  <c r="E43" i="25"/>
  <c r="H730" i="1"/>
  <c r="G730" i="1" s="1"/>
  <c r="G724" i="1"/>
  <c r="F7" i="1"/>
  <c r="M623" i="1"/>
  <c r="E55" i="12" s="1"/>
  <c r="G623" i="1"/>
  <c r="M560" i="1"/>
  <c r="E10" i="12" s="1"/>
  <c r="G560" i="1"/>
  <c r="H177" i="1"/>
  <c r="G177" i="1" s="1"/>
  <c r="G149" i="1"/>
  <c r="M108" i="1"/>
  <c r="G108" i="1"/>
  <c r="M688" i="1"/>
  <c r="E23" i="39" s="1"/>
  <c r="G688" i="1"/>
  <c r="E6" i="39"/>
  <c r="M564" i="1"/>
  <c r="E14" i="12" s="1"/>
  <c r="G564" i="1"/>
  <c r="M504" i="1"/>
  <c r="M494" i="1"/>
  <c r="M474" i="1"/>
  <c r="M460" i="1"/>
  <c r="O462" i="1" s="1"/>
  <c r="E8" i="31" s="1"/>
  <c r="G460" i="1"/>
  <c r="M420" i="1"/>
  <c r="G420" i="1"/>
  <c r="M317" i="1"/>
  <c r="E32" i="29" s="1"/>
  <c r="G317" i="1"/>
  <c r="E26" i="24"/>
  <c r="L30" i="24" s="1"/>
  <c r="L32" i="24" s="1"/>
  <c r="G520" i="1"/>
  <c r="M533" i="1"/>
  <c r="G533" i="1"/>
  <c r="M240" i="1"/>
  <c r="G240" i="1"/>
  <c r="M205" i="1"/>
  <c r="O205" i="1" s="1"/>
  <c r="G205" i="1"/>
  <c r="M109" i="1"/>
  <c r="O109" i="1" s="1"/>
  <c r="G109" i="1"/>
  <c r="M79" i="1"/>
  <c r="E39" i="25" s="1"/>
  <c r="G79" i="1"/>
  <c r="F505" i="1"/>
  <c r="G754" i="1"/>
  <c r="G218" i="1"/>
  <c r="D219" i="1"/>
  <c r="F214" i="1"/>
  <c r="F559" i="1"/>
  <c r="D476" i="1"/>
  <c r="F422" i="1"/>
  <c r="F561" i="1"/>
  <c r="H562" i="1"/>
  <c r="M562" i="1" s="1"/>
  <c r="E12" i="12" s="1"/>
  <c r="V13" i="12" s="1"/>
  <c r="F562" i="1"/>
  <c r="F201" i="1"/>
  <c r="H534" i="1"/>
  <c r="F40" i="55"/>
  <c r="AD6" i="54"/>
  <c r="H16" i="55"/>
  <c r="H17" i="55" s="1"/>
  <c r="M531" i="1"/>
  <c r="D720" i="1"/>
  <c r="F720" i="1" s="1"/>
  <c r="E178" i="1"/>
  <c r="H105" i="1"/>
  <c r="G105" i="1" s="1"/>
  <c r="E8" i="41"/>
  <c r="O737" i="1"/>
  <c r="M19" i="3" s="1"/>
  <c r="H417" i="1"/>
  <c r="G417" i="1" s="1"/>
  <c r="E46" i="29"/>
  <c r="AQ58" i="48"/>
  <c r="D563" i="1"/>
  <c r="M520" i="1"/>
  <c r="C51" i="18"/>
  <c r="AL7" i="48"/>
  <c r="C19" i="18"/>
  <c r="J19" i="18" s="1"/>
  <c r="O19" i="18" s="1"/>
  <c r="E7" i="35"/>
  <c r="G63" i="21"/>
  <c r="M187" i="1"/>
  <c r="G28" i="21" s="1"/>
  <c r="E28" i="27"/>
  <c r="E32" i="27" s="1"/>
  <c r="M762" i="1"/>
  <c r="D27" i="45"/>
  <c r="K27" i="45" s="1"/>
  <c r="P27" i="45" s="1"/>
  <c r="M754" i="1"/>
  <c r="M25" i="3"/>
  <c r="E10" i="30"/>
  <c r="G72" i="21"/>
  <c r="M733" i="1"/>
  <c r="M724" i="1"/>
  <c r="D745" i="1"/>
  <c r="F745" i="1" s="1"/>
  <c r="M681" i="1"/>
  <c r="E16" i="39" s="1"/>
  <c r="H719" i="1"/>
  <c r="G719" i="1" s="1"/>
  <c r="H662" i="1"/>
  <c r="G662" i="1" s="1"/>
  <c r="M644" i="1"/>
  <c r="M610" i="1"/>
  <c r="H639" i="1"/>
  <c r="G639" i="1" s="1"/>
  <c r="M578" i="1"/>
  <c r="E34" i="12" s="1"/>
  <c r="H601" i="1"/>
  <c r="G601" i="1" s="1"/>
  <c r="D570" i="1"/>
  <c r="H569" i="1"/>
  <c r="G569" i="1" s="1"/>
  <c r="H559" i="1"/>
  <c r="H561" i="1" s="1"/>
  <c r="M557" i="1"/>
  <c r="E640" i="1"/>
  <c r="E641" i="1" s="1"/>
  <c r="E721" i="1" s="1"/>
  <c r="E746" i="1" s="1"/>
  <c r="E756" i="1" s="1"/>
  <c r="E523" i="1" s="1"/>
  <c r="H554" i="1"/>
  <c r="M542" i="1"/>
  <c r="M554" i="1" s="1"/>
  <c r="M11" i="3" s="1"/>
  <c r="M532" i="1"/>
  <c r="N535" i="1" s="1"/>
  <c r="M522" i="1"/>
  <c r="H505" i="1"/>
  <c r="H467" i="1"/>
  <c r="G467" i="1" s="1"/>
  <c r="M455" i="1"/>
  <c r="M438" i="1"/>
  <c r="BE21" i="48" s="1"/>
  <c r="H453" i="1"/>
  <c r="G453" i="1" s="1"/>
  <c r="M430" i="1"/>
  <c r="M433" i="1" s="1"/>
  <c r="H433" i="1"/>
  <c r="G433" i="1" s="1"/>
  <c r="H422" i="1"/>
  <c r="M419" i="1"/>
  <c r="M301" i="1"/>
  <c r="E476" i="1"/>
  <c r="E506" i="1" s="1"/>
  <c r="H245" i="1"/>
  <c r="G245" i="1" s="1"/>
  <c r="M239" i="1"/>
  <c r="H236" i="1"/>
  <c r="G236" i="1" s="1"/>
  <c r="M232" i="1"/>
  <c r="H214" i="1"/>
  <c r="M203" i="1"/>
  <c r="O203" i="1" s="1"/>
  <c r="M190" i="1"/>
  <c r="H201" i="1"/>
  <c r="E254" i="1"/>
  <c r="H182" i="1"/>
  <c r="G182" i="1" s="1"/>
  <c r="M180" i="1"/>
  <c r="M182" i="1" s="1"/>
  <c r="M149" i="1"/>
  <c r="M141" i="1"/>
  <c r="V42" i="12" s="1"/>
  <c r="H147" i="1"/>
  <c r="G147" i="1" s="1"/>
  <c r="M137" i="1"/>
  <c r="G15" i="21" s="1"/>
  <c r="I6" i="54" s="1"/>
  <c r="H138" i="1"/>
  <c r="G138" i="1" s="1"/>
  <c r="H115" i="1"/>
  <c r="G115" i="1" s="1"/>
  <c r="M113" i="1"/>
  <c r="E53" i="25" s="1"/>
  <c r="H111" i="1"/>
  <c r="G111" i="1" s="1"/>
  <c r="M77" i="1"/>
  <c r="O105" i="1" s="1"/>
  <c r="N107" i="1" s="1"/>
  <c r="O114" i="1" s="1"/>
  <c r="H48" i="1"/>
  <c r="G48" i="1" s="1"/>
  <c r="M22" i="1"/>
  <c r="H18" i="1"/>
  <c r="G18" i="1" s="1"/>
  <c r="M15" i="1"/>
  <c r="M18" i="1" s="1"/>
  <c r="D178" i="1"/>
  <c r="P401" i="1"/>
  <c r="P317" i="1"/>
  <c r="H6" i="54" l="1"/>
  <c r="AE6" i="54"/>
  <c r="O727" i="1"/>
  <c r="AK7" i="48"/>
  <c r="AP6" i="54"/>
  <c r="AP8" i="54" s="1"/>
  <c r="AP17" i="54" s="1"/>
  <c r="AP71" i="54" s="1"/>
  <c r="BE7" i="48"/>
  <c r="AP58" i="48"/>
  <c r="E10" i="15"/>
  <c r="C10" i="15" s="1"/>
  <c r="C12" i="15" s="1"/>
  <c r="D20" i="45"/>
  <c r="K20" i="45" s="1"/>
  <c r="P20" i="45" s="1"/>
  <c r="BF7" i="48"/>
  <c r="BF9" i="48" s="1"/>
  <c r="BF15" i="48" s="1"/>
  <c r="AO6" i="54"/>
  <c r="AO8" i="54" s="1"/>
  <c r="AO17" i="54" s="1"/>
  <c r="AO71" i="54" s="1"/>
  <c r="AA6" i="54"/>
  <c r="E9" i="41"/>
  <c r="M744" i="1"/>
  <c r="M30" i="36"/>
  <c r="E8" i="40"/>
  <c r="M111" i="1"/>
  <c r="G13" i="21" s="1"/>
  <c r="G6" i="54" s="1"/>
  <c r="G554" i="1"/>
  <c r="M505" i="1"/>
  <c r="E20" i="36"/>
  <c r="E35" i="36" s="1"/>
  <c r="E36" i="36" s="1"/>
  <c r="M245" i="1"/>
  <c r="G37" i="21" s="1"/>
  <c r="J16" i="55" s="1"/>
  <c r="J17" i="55" s="1"/>
  <c r="M422" i="1"/>
  <c r="C57" i="18"/>
  <c r="G7" i="1"/>
  <c r="C36" i="15"/>
  <c r="I36" i="15" s="1"/>
  <c r="C15" i="15"/>
  <c r="C18" i="15" s="1"/>
  <c r="C73" i="15"/>
  <c r="I73" i="15" s="1"/>
  <c r="M105" i="1"/>
  <c r="K7" i="48"/>
  <c r="G55" i="21"/>
  <c r="C41" i="18"/>
  <c r="F178" i="1"/>
  <c r="E44" i="12"/>
  <c r="E87" i="12" s="1"/>
  <c r="V43" i="12"/>
  <c r="G562" i="1"/>
  <c r="AI6" i="54"/>
  <c r="AI8" i="54" s="1"/>
  <c r="AI12" i="54" s="1"/>
  <c r="AI71" i="54" s="1"/>
  <c r="BK623" i="1"/>
  <c r="AZ15" i="48"/>
  <c r="B19" i="51"/>
  <c r="H563" i="1"/>
  <c r="H565" i="1" s="1"/>
  <c r="G214" i="1"/>
  <c r="G201" i="1"/>
  <c r="M138" i="1"/>
  <c r="G561" i="1"/>
  <c r="G505" i="1"/>
  <c r="G422" i="1"/>
  <c r="H219" i="1"/>
  <c r="H254" i="1" s="1"/>
  <c r="E36" i="39"/>
  <c r="O665" i="1"/>
  <c r="BB14" i="48" s="1"/>
  <c r="M417" i="1"/>
  <c r="M534" i="1"/>
  <c r="O533" i="1" s="1"/>
  <c r="G534" i="1"/>
  <c r="G559" i="1"/>
  <c r="F476" i="1"/>
  <c r="D565" i="1"/>
  <c r="F565" i="1" s="1"/>
  <c r="F563" i="1"/>
  <c r="D506" i="1"/>
  <c r="F506" i="1" s="1"/>
  <c r="D572" i="1"/>
  <c r="F572" i="1" s="1"/>
  <c r="F570" i="1"/>
  <c r="D254" i="1"/>
  <c r="F254" i="1" s="1"/>
  <c r="F219" i="1"/>
  <c r="H536" i="1"/>
  <c r="G536" i="1" s="1"/>
  <c r="E28" i="25"/>
  <c r="M453" i="1"/>
  <c r="G57" i="21" s="1"/>
  <c r="AC6" i="54" s="1"/>
  <c r="AH3" i="1"/>
  <c r="M201" i="1"/>
  <c r="O190" i="1"/>
  <c r="M18" i="3"/>
  <c r="E16" i="40" s="1"/>
  <c r="C46" i="18"/>
  <c r="X6" i="54"/>
  <c r="AN6" i="54"/>
  <c r="AN8" i="54" s="1"/>
  <c r="E22" i="41"/>
  <c r="E19" i="41"/>
  <c r="H720" i="1"/>
  <c r="G720" i="1" s="1"/>
  <c r="M177" i="1"/>
  <c r="G18" i="21"/>
  <c r="L6" i="54" s="1"/>
  <c r="E6" i="38"/>
  <c r="E24" i="38" s="1"/>
  <c r="M662" i="1"/>
  <c r="BD7" i="48"/>
  <c r="BD9" i="48" s="1"/>
  <c r="BD20" i="48" s="1"/>
  <c r="B20" i="48" s="1"/>
  <c r="F19" i="5" s="1"/>
  <c r="D16" i="45"/>
  <c r="E16" i="29"/>
  <c r="E130" i="29" s="1"/>
  <c r="H476" i="1"/>
  <c r="H506" i="1" s="1"/>
  <c r="M601" i="1"/>
  <c r="E46" i="12" s="1"/>
  <c r="M719" i="1"/>
  <c r="M17" i="3" s="1"/>
  <c r="AO58" i="48"/>
  <c r="H52" i="1"/>
  <c r="U77" i="17"/>
  <c r="H7" i="48"/>
  <c r="M48" i="1"/>
  <c r="M52" i="1" s="1"/>
  <c r="E13" i="24"/>
  <c r="E51" i="12"/>
  <c r="E72" i="12" s="1"/>
  <c r="AZ14" i="48"/>
  <c r="D19" i="45"/>
  <c r="BE9" i="48"/>
  <c r="G71" i="21"/>
  <c r="E255" i="1"/>
  <c r="E4" i="1" s="1"/>
  <c r="M115" i="1"/>
  <c r="E70" i="25"/>
  <c r="M147" i="1"/>
  <c r="G16" i="21" s="1"/>
  <c r="H745" i="1"/>
  <c r="G745" i="1" s="1"/>
  <c r="E17" i="33"/>
  <c r="V30" i="12"/>
  <c r="V31" i="12" s="1"/>
  <c r="G17" i="21"/>
  <c r="K6" i="54" s="1"/>
  <c r="M467" i="1"/>
  <c r="E7" i="31"/>
  <c r="D10" i="45"/>
  <c r="AY7" i="48"/>
  <c r="AY9" i="48" s="1"/>
  <c r="AY12" i="48" s="1"/>
  <c r="AY58" i="48" s="1"/>
  <c r="M236" i="1"/>
  <c r="G33" i="21" s="1"/>
  <c r="P6" i="54" s="1"/>
  <c r="E7" i="28"/>
  <c r="E7" i="40"/>
  <c r="E14" i="40" s="1"/>
  <c r="C40" i="18"/>
  <c r="C74" i="15"/>
  <c r="I74" i="15" s="1"/>
  <c r="C40" i="15"/>
  <c r="I40" i="15" s="1"/>
  <c r="E9" i="24"/>
  <c r="M559" i="1"/>
  <c r="M561" i="1" s="1"/>
  <c r="M563" i="1" s="1"/>
  <c r="M565" i="1" s="1"/>
  <c r="E17" i="12" s="1"/>
  <c r="E7" i="12"/>
  <c r="M639" i="1"/>
  <c r="E75" i="12" s="1"/>
  <c r="C56" i="18"/>
  <c r="M214" i="1"/>
  <c r="E764" i="1"/>
  <c r="M569" i="1"/>
  <c r="H570" i="1"/>
  <c r="H572" i="1" s="1"/>
  <c r="I66" i="17"/>
  <c r="W7" i="48" l="1"/>
  <c r="C24" i="18"/>
  <c r="W6" i="54"/>
  <c r="M55" i="3"/>
  <c r="Q6" i="54"/>
  <c r="G52" i="21"/>
  <c r="V6" i="54" s="1"/>
  <c r="D26" i="45"/>
  <c r="AQ6" i="54"/>
  <c r="AQ8" i="54" s="1"/>
  <c r="AQ17" i="54" s="1"/>
  <c r="AQ71" i="54" s="1"/>
  <c r="C37" i="15"/>
  <c r="I37" i="15" s="1"/>
  <c r="AB55" i="21"/>
  <c r="F26" i="13"/>
  <c r="F27" i="13" s="1"/>
  <c r="J6" i="54"/>
  <c r="C20" i="15"/>
  <c r="C25" i="14"/>
  <c r="S6" i="54"/>
  <c r="E21" i="36"/>
  <c r="C72" i="15"/>
  <c r="I72" i="15" s="1"/>
  <c r="I76" i="15" s="1"/>
  <c r="C33" i="18"/>
  <c r="Y7" i="48"/>
  <c r="M178" i="1"/>
  <c r="E525" i="1"/>
  <c r="E538" i="1" s="1"/>
  <c r="E539" i="1" s="1"/>
  <c r="E5" i="1" s="1"/>
  <c r="E47" i="12"/>
  <c r="G572" i="1"/>
  <c r="D255" i="1"/>
  <c r="G254" i="1"/>
  <c r="G563" i="1"/>
  <c r="G219" i="1"/>
  <c r="H640" i="1"/>
  <c r="H641" i="1" s="1"/>
  <c r="H721" i="1" s="1"/>
  <c r="E17" i="40"/>
  <c r="G570" i="1"/>
  <c r="G565" i="1"/>
  <c r="N533" i="1"/>
  <c r="H178" i="1"/>
  <c r="G178" i="1" s="1"/>
  <c r="G52" i="1"/>
  <c r="M536" i="1"/>
  <c r="G102" i="21" s="1"/>
  <c r="G476" i="1"/>
  <c r="D640" i="1"/>
  <c r="D641" i="1" s="1"/>
  <c r="M219" i="1"/>
  <c r="G29" i="21" s="1"/>
  <c r="G39" i="21" s="1"/>
  <c r="G506" i="1"/>
  <c r="AM6" i="54"/>
  <c r="AM8" i="54" s="1"/>
  <c r="AM17" i="54" s="1"/>
  <c r="AM71" i="54" s="1"/>
  <c r="D15" i="45"/>
  <c r="K15" i="45" s="1"/>
  <c r="P15" i="45" s="1"/>
  <c r="E18" i="12"/>
  <c r="E86" i="12"/>
  <c r="C35" i="18"/>
  <c r="E23" i="41"/>
  <c r="AJ7" i="48"/>
  <c r="AF7" i="48"/>
  <c r="Y6" i="54"/>
  <c r="D14" i="45"/>
  <c r="K14" i="45" s="1"/>
  <c r="P14" i="45" s="1"/>
  <c r="AL6" i="54"/>
  <c r="AL8" i="54" s="1"/>
  <c r="AL15" i="54" s="1"/>
  <c r="AL71" i="54" s="1"/>
  <c r="AN19" i="54"/>
  <c r="D19" i="54" s="1"/>
  <c r="BE15" i="48"/>
  <c r="BE58" i="48" s="1"/>
  <c r="E7" i="48"/>
  <c r="O110" i="1"/>
  <c r="E131" i="29"/>
  <c r="E12" i="15"/>
  <c r="E20" i="15" s="1"/>
  <c r="C11" i="14"/>
  <c r="C12" i="18"/>
  <c r="J12" i="18" s="1"/>
  <c r="O12" i="18" s="1"/>
  <c r="BC7" i="48"/>
  <c r="BC9" i="48" s="1"/>
  <c r="BC13" i="48" s="1"/>
  <c r="BC58" i="48" s="1"/>
  <c r="K16" i="45"/>
  <c r="P16" i="45" s="1"/>
  <c r="B16" i="51"/>
  <c r="B8" i="51" s="1"/>
  <c r="BB7" i="48"/>
  <c r="BB9" i="48" s="1"/>
  <c r="BB13" i="48" s="1"/>
  <c r="BB58" i="48" s="1"/>
  <c r="M745" i="1"/>
  <c r="G14" i="21"/>
  <c r="E37" i="39"/>
  <c r="G11" i="21"/>
  <c r="M720" i="1"/>
  <c r="M16" i="3"/>
  <c r="AK6" i="54" s="1"/>
  <c r="AK8" i="54" s="1"/>
  <c r="AK17" i="54" s="1"/>
  <c r="AK71" i="54" s="1"/>
  <c r="C34" i="18"/>
  <c r="AD7" i="48"/>
  <c r="C24" i="14"/>
  <c r="C45" i="18"/>
  <c r="C52" i="18" s="1"/>
  <c r="G80" i="21"/>
  <c r="C16" i="18"/>
  <c r="J16" i="18" s="1"/>
  <c r="O16" i="18" s="1"/>
  <c r="L7" i="48"/>
  <c r="C13" i="18"/>
  <c r="J13" i="18" s="1"/>
  <c r="O13" i="18" s="1"/>
  <c r="C14" i="14"/>
  <c r="I7" i="48"/>
  <c r="C23" i="18"/>
  <c r="U7" i="48"/>
  <c r="M570" i="1"/>
  <c r="M572" i="1" s="1"/>
  <c r="M640" i="1" s="1"/>
  <c r="O641" i="1" s="1"/>
  <c r="E22" i="12"/>
  <c r="E23" i="12" s="1"/>
  <c r="E25" i="12" s="1"/>
  <c r="E88" i="12" s="1"/>
  <c r="E25" i="38"/>
  <c r="C21" i="14"/>
  <c r="C33" i="15"/>
  <c r="AB7" i="48"/>
  <c r="C17" i="18"/>
  <c r="J17" i="18" s="1"/>
  <c r="O17" i="18" s="1"/>
  <c r="M7" i="48"/>
  <c r="C27" i="47"/>
  <c r="B22" i="51"/>
  <c r="K10" i="45"/>
  <c r="P10" i="45" s="1"/>
  <c r="E76" i="12"/>
  <c r="K19" i="45"/>
  <c r="P19" i="45" s="1"/>
  <c r="B17" i="51"/>
  <c r="C15" i="18"/>
  <c r="J15" i="18" s="1"/>
  <c r="O15" i="18" s="1"/>
  <c r="J7" i="48"/>
  <c r="M476" i="1"/>
  <c r="M506" i="1" s="1"/>
  <c r="S95" i="21"/>
  <c r="AS7" i="48" l="1"/>
  <c r="M96" i="17"/>
  <c r="U83" i="17"/>
  <c r="C30" i="18"/>
  <c r="AD52" i="21"/>
  <c r="G66" i="21"/>
  <c r="G82" i="21" s="1"/>
  <c r="K26" i="45"/>
  <c r="P26" i="45" s="1"/>
  <c r="D28" i="45"/>
  <c r="K28" i="45" s="1"/>
  <c r="P28" i="45" s="1"/>
  <c r="F255" i="1"/>
  <c r="D4" i="1"/>
  <c r="C76" i="15"/>
  <c r="F640" i="1"/>
  <c r="G640" i="1" s="1"/>
  <c r="C59" i="18"/>
  <c r="M254" i="1"/>
  <c r="M255" i="1" s="1"/>
  <c r="H255" i="1"/>
  <c r="D721" i="1"/>
  <c r="F641" i="1"/>
  <c r="G641" i="1" s="1"/>
  <c r="E90" i="12"/>
  <c r="AN71" i="54"/>
  <c r="D74" i="54"/>
  <c r="E6" i="54"/>
  <c r="C11" i="18"/>
  <c r="J11" i="18" s="1"/>
  <c r="O11" i="18" s="1"/>
  <c r="F6" i="54"/>
  <c r="F5" i="52"/>
  <c r="F7" i="52" s="1"/>
  <c r="F69" i="52" s="1"/>
  <c r="H746" i="1"/>
  <c r="H756" i="1" s="1"/>
  <c r="D7" i="48"/>
  <c r="C12" i="14"/>
  <c r="C27" i="14"/>
  <c r="C28" i="14" s="1"/>
  <c r="R7" i="48"/>
  <c r="C22" i="18"/>
  <c r="C25" i="18" s="1"/>
  <c r="C42" i="18"/>
  <c r="C53" i="18" s="1"/>
  <c r="E59" i="15"/>
  <c r="I59" i="15" s="1"/>
  <c r="D13" i="45"/>
  <c r="K13" i="45" s="1"/>
  <c r="P13" i="45" s="1"/>
  <c r="BA7" i="48"/>
  <c r="BA9" i="48" s="1"/>
  <c r="BA15" i="48" s="1"/>
  <c r="M21" i="3"/>
  <c r="B2" i="48"/>
  <c r="B61" i="48"/>
  <c r="C7" i="48"/>
  <c r="C10" i="18"/>
  <c r="C9" i="14"/>
  <c r="F76" i="5"/>
  <c r="AC23" i="21"/>
  <c r="M641" i="1"/>
  <c r="M721" i="1" s="1"/>
  <c r="M12" i="3"/>
  <c r="AJ6" i="54" s="1"/>
  <c r="C42" i="15"/>
  <c r="I33" i="15"/>
  <c r="I42" i="15" s="1"/>
  <c r="P644" i="1"/>
  <c r="P455" i="1"/>
  <c r="P393" i="1"/>
  <c r="G255" i="1" l="1"/>
  <c r="O6" i="54"/>
  <c r="H4" i="1"/>
  <c r="N255" i="1"/>
  <c r="N254" i="1" s="1"/>
  <c r="M4" i="1"/>
  <c r="F721" i="1"/>
  <c r="G721" i="1" s="1"/>
  <c r="D746" i="1"/>
  <c r="AJ8" i="54"/>
  <c r="E2" i="52"/>
  <c r="E4" i="52" s="1"/>
  <c r="AM5" i="52"/>
  <c r="AM7" i="52" s="1"/>
  <c r="C16" i="14"/>
  <c r="C17" i="14" s="1"/>
  <c r="H764" i="1"/>
  <c r="H523" i="1"/>
  <c r="H525" i="1" s="1"/>
  <c r="H538" i="1" s="1"/>
  <c r="M746" i="1"/>
  <c r="M756" i="1" s="1"/>
  <c r="M764" i="1" s="1"/>
  <c r="C2" i="48"/>
  <c r="C23" i="47"/>
  <c r="J10" i="18"/>
  <c r="O10" i="18" s="1"/>
  <c r="C20" i="18"/>
  <c r="G117" i="21"/>
  <c r="G42" i="21"/>
  <c r="B1" i="48"/>
  <c r="D11" i="45"/>
  <c r="AZ7" i="48"/>
  <c r="AZ9" i="48" s="1"/>
  <c r="AZ13" i="48" s="1"/>
  <c r="AZ58" i="48" s="1"/>
  <c r="M14" i="3"/>
  <c r="M23" i="3" s="1"/>
  <c r="M35" i="3" s="1"/>
  <c r="M50" i="3" s="1"/>
  <c r="Q558" i="1"/>
  <c r="Q442" i="1"/>
  <c r="Q342" i="1"/>
  <c r="D756" i="1" l="1"/>
  <c r="F746" i="1"/>
  <c r="G746" i="1" s="1"/>
  <c r="AJ15" i="54"/>
  <c r="C1" i="48"/>
  <c r="H539" i="1"/>
  <c r="M523" i="1"/>
  <c r="M525" i="1" s="1"/>
  <c r="AD3" i="3"/>
  <c r="U80" i="17"/>
  <c r="K11" i="45"/>
  <c r="P11" i="45" s="1"/>
  <c r="D12" i="45"/>
  <c r="G118" i="21"/>
  <c r="C22" i="47"/>
  <c r="C26" i="18"/>
  <c r="Q693" i="1"/>
  <c r="Q334" i="1"/>
  <c r="Q319" i="1"/>
  <c r="H5" i="1" l="1"/>
  <c r="H6" i="1" s="1"/>
  <c r="F756" i="1"/>
  <c r="G756" i="1" s="1"/>
  <c r="D523" i="1"/>
  <c r="D764" i="1"/>
  <c r="F764" i="1" s="1"/>
  <c r="G764" i="1" s="1"/>
  <c r="AJ71" i="54"/>
  <c r="M538" i="1"/>
  <c r="M539" i="1" s="1"/>
  <c r="M5" i="1" s="1"/>
  <c r="M6" i="1" s="1"/>
  <c r="M29" i="3"/>
  <c r="M30" i="3" s="1"/>
  <c r="C10" i="47"/>
  <c r="D17" i="45"/>
  <c r="D22" i="45" s="1"/>
  <c r="D25" i="45" s="1"/>
  <c r="B25" i="51"/>
  <c r="C15" i="47"/>
  <c r="P383" i="1"/>
  <c r="AO645" i="1"/>
  <c r="D525" i="1" l="1"/>
  <c r="F523" i="1"/>
  <c r="G523" i="1" s="1"/>
  <c r="B15" i="51"/>
  <c r="C11" i="47"/>
  <c r="C9" i="47"/>
  <c r="C7" i="47"/>
  <c r="D30" i="45"/>
  <c r="BG694" i="1"/>
  <c r="D538" i="1" l="1"/>
  <c r="F525" i="1"/>
  <c r="G525" i="1" s="1"/>
  <c r="M57" i="3"/>
  <c r="E23" i="10"/>
  <c r="Q84" i="17"/>
  <c r="B13" i="51"/>
  <c r="B26" i="51"/>
  <c r="AL693" i="1"/>
  <c r="Q726" i="1"/>
  <c r="D539" i="1" l="1"/>
  <c r="F538" i="1"/>
  <c r="G538" i="1" s="1"/>
  <c r="E30" i="10"/>
  <c r="M52" i="3" s="1"/>
  <c r="U84" i="17"/>
  <c r="B14" i="51"/>
  <c r="B23" i="51" s="1"/>
  <c r="C12" i="47" s="1"/>
  <c r="G120" i="21" s="1"/>
  <c r="B7" i="51"/>
  <c r="B11" i="51" s="1"/>
  <c r="C18" i="47" s="1"/>
  <c r="M24" i="46"/>
  <c r="R24" i="46" s="1"/>
  <c r="L24" i="46"/>
  <c r="Q24" i="46" s="1"/>
  <c r="M22" i="46"/>
  <c r="R22" i="46" s="1"/>
  <c r="L22" i="46"/>
  <c r="Q22" i="46" s="1"/>
  <c r="M20" i="46"/>
  <c r="R20" i="46" s="1"/>
  <c r="L20" i="46"/>
  <c r="Q20" i="46" s="1"/>
  <c r="M18" i="46"/>
  <c r="R18" i="46" s="1"/>
  <c r="L18" i="46"/>
  <c r="Q18" i="46" s="1"/>
  <c r="M15" i="46"/>
  <c r="R15" i="46" s="1"/>
  <c r="L15" i="46"/>
  <c r="Q15" i="46" s="1"/>
  <c r="M12" i="46"/>
  <c r="R12" i="46" s="1"/>
  <c r="J29" i="45"/>
  <c r="J27" i="45"/>
  <c r="J22" i="45"/>
  <c r="J20" i="45"/>
  <c r="C26" i="45"/>
  <c r="C25" i="45"/>
  <c r="B26" i="45"/>
  <c r="B25" i="45"/>
  <c r="M31" i="45"/>
  <c r="R31" i="45" s="1"/>
  <c r="M29" i="45"/>
  <c r="R29" i="45" s="1"/>
  <c r="M27" i="45"/>
  <c r="R27" i="45" s="1"/>
  <c r="M23" i="45"/>
  <c r="R23" i="45" s="1"/>
  <c r="M20" i="45"/>
  <c r="R20" i="45" s="1"/>
  <c r="M19" i="45"/>
  <c r="R19" i="45" s="1"/>
  <c r="M16" i="45"/>
  <c r="R16" i="45" s="1"/>
  <c r="M15" i="45"/>
  <c r="R15" i="45" s="1"/>
  <c r="M14" i="45"/>
  <c r="R14" i="45" s="1"/>
  <c r="M13" i="45"/>
  <c r="R13" i="45" s="1"/>
  <c r="M11" i="45"/>
  <c r="R11" i="45" s="1"/>
  <c r="G12" i="45"/>
  <c r="F10" i="47" s="1"/>
  <c r="I58" i="18"/>
  <c r="N58" i="18" s="1"/>
  <c r="B14" i="18"/>
  <c r="D5" i="1" l="1"/>
  <c r="D6" i="1" s="1"/>
  <c r="F539" i="1"/>
  <c r="G539" i="1" s="1"/>
  <c r="J25" i="45"/>
  <c r="J26" i="45"/>
  <c r="G17" i="45"/>
  <c r="G22" i="45" s="1"/>
  <c r="G25" i="45" s="1"/>
  <c r="L11" i="45"/>
  <c r="Q11" i="45" s="1"/>
  <c r="L13" i="45"/>
  <c r="Q13" i="45" s="1"/>
  <c r="L14" i="45"/>
  <c r="Q14" i="45" s="1"/>
  <c r="L15" i="45"/>
  <c r="Q15" i="45" s="1"/>
  <c r="L16" i="45"/>
  <c r="Q16" i="45" s="1"/>
  <c r="L19" i="45"/>
  <c r="Q19" i="45" s="1"/>
  <c r="L20" i="45"/>
  <c r="Q20" i="45" s="1"/>
  <c r="L23" i="45"/>
  <c r="Q23" i="45" s="1"/>
  <c r="J23" i="45"/>
  <c r="L27" i="45"/>
  <c r="Q27" i="45" s="1"/>
  <c r="L29" i="45"/>
  <c r="Q29" i="45" s="1"/>
  <c r="L31" i="45"/>
  <c r="Q31" i="45" s="1"/>
  <c r="J31" i="45"/>
  <c r="E12" i="45"/>
  <c r="F12" i="45"/>
  <c r="M10" i="45"/>
  <c r="R10" i="45" s="1"/>
  <c r="L26" i="45"/>
  <c r="Q26" i="45" s="1"/>
  <c r="M28" i="45"/>
  <c r="R28" i="45" s="1"/>
  <c r="M26" i="45"/>
  <c r="R26" i="45" s="1"/>
  <c r="G30" i="45" l="1"/>
  <c r="F11" i="47"/>
  <c r="E15" i="51"/>
  <c r="F9" i="47"/>
  <c r="F17" i="45"/>
  <c r="F22" i="45" s="1"/>
  <c r="E28" i="47"/>
  <c r="E10" i="47"/>
  <c r="D28" i="47"/>
  <c r="D10" i="47"/>
  <c r="C28" i="47"/>
  <c r="E17" i="45"/>
  <c r="E22" i="45" s="1"/>
  <c r="K12" i="45"/>
  <c r="P12" i="45" s="1"/>
  <c r="L28" i="45"/>
  <c r="Q28" i="45" s="1"/>
  <c r="M12" i="45"/>
  <c r="R12" i="45" s="1"/>
  <c r="L12" i="45"/>
  <c r="Q12" i="45" s="1"/>
  <c r="E13" i="51" l="1"/>
  <c r="K22" i="45"/>
  <c r="P22" i="45" s="1"/>
  <c r="K17" i="45"/>
  <c r="P17" i="45" s="1"/>
  <c r="L17" i="45"/>
  <c r="Q17" i="45" s="1"/>
  <c r="M17" i="45"/>
  <c r="R17" i="45" s="1"/>
  <c r="E14" i="51" l="1"/>
  <c r="E23" i="51" s="1"/>
  <c r="F12" i="47" s="1"/>
  <c r="E7" i="51"/>
  <c r="F25" i="45"/>
  <c r="M22" i="45"/>
  <c r="R22" i="45" s="1"/>
  <c r="E25" i="45"/>
  <c r="L22" i="45"/>
  <c r="Q22" i="45" s="1"/>
  <c r="E10" i="51" l="1"/>
  <c r="F17" i="47" s="1"/>
  <c r="E11" i="51"/>
  <c r="F18" i="47" s="1"/>
  <c r="E11" i="47"/>
  <c r="D15" i="51"/>
  <c r="D13" i="51" s="1"/>
  <c r="E29" i="47"/>
  <c r="E9" i="47"/>
  <c r="D29" i="47"/>
  <c r="C15" i="51"/>
  <c r="C13" i="51" s="1"/>
  <c r="C29" i="47"/>
  <c r="K25" i="45"/>
  <c r="P25" i="45" s="1"/>
  <c r="D11" i="47"/>
  <c r="D9" i="47"/>
  <c r="E30" i="45"/>
  <c r="K30" i="45" s="1"/>
  <c r="P30" i="45" s="1"/>
  <c r="L25" i="45"/>
  <c r="Q25" i="45" s="1"/>
  <c r="F30" i="45"/>
  <c r="M30" i="45" s="1"/>
  <c r="R30" i="45" s="1"/>
  <c r="M25" i="45"/>
  <c r="R25" i="45" s="1"/>
  <c r="D14" i="51" l="1"/>
  <c r="D23" i="51" s="1"/>
  <c r="E12" i="47" s="1"/>
  <c r="D7" i="51"/>
  <c r="C14" i="51"/>
  <c r="C23" i="51" s="1"/>
  <c r="D12" i="47" s="1"/>
  <c r="Q120" i="21" s="1"/>
  <c r="C7" i="51"/>
  <c r="L30" i="45"/>
  <c r="Q30" i="45" s="1"/>
  <c r="D10" i="51" l="1"/>
  <c r="E17" i="47" s="1"/>
  <c r="D11" i="51"/>
  <c r="E18" i="47" s="1"/>
  <c r="C10" i="51"/>
  <c r="D17" i="47" s="1"/>
  <c r="C11" i="51"/>
  <c r="D18" i="47" s="1"/>
  <c r="G122" i="29"/>
  <c r="C4" i="44" l="1"/>
  <c r="C5" i="44"/>
  <c r="C6" i="44"/>
  <c r="B7" i="44"/>
  <c r="C7" i="44" s="1"/>
  <c r="P542" i="1" l="1"/>
  <c r="C113" i="29" l="1"/>
  <c r="C112" i="29"/>
  <c r="C111" i="29"/>
  <c r="C110" i="29"/>
  <c r="C109" i="29"/>
  <c r="C97" i="29"/>
  <c r="C98" i="29"/>
  <c r="V522" i="1" l="1"/>
  <c r="G35" i="42"/>
  <c r="T73" i="1" s="1"/>
  <c r="P144" i="1"/>
  <c r="P77" i="1"/>
  <c r="P105" i="1" s="1"/>
  <c r="R511" i="1"/>
  <c r="W511" i="1" s="1"/>
  <c r="AQ7" i="22" l="1"/>
  <c r="P681" i="1"/>
  <c r="P522" i="1"/>
  <c r="P562" i="1"/>
  <c r="L62" i="13" l="1"/>
  <c r="X38" i="23" s="1"/>
  <c r="K62" i="13"/>
  <c r="M53" i="13"/>
  <c r="N53" i="13" l="1"/>
  <c r="N62" i="13" s="1"/>
  <c r="M62" i="13"/>
  <c r="X37" i="23" s="1"/>
  <c r="AR109" i="1"/>
  <c r="AR108" i="1"/>
  <c r="AP419" i="1"/>
  <c r="AP420" i="1"/>
  <c r="AQ419" i="1"/>
  <c r="AQ420" i="1"/>
  <c r="G14" i="43"/>
  <c r="AS109" i="1" s="1"/>
  <c r="G11" i="43"/>
  <c r="AS108" i="1" s="1"/>
  <c r="Q401" i="1" l="1"/>
  <c r="Q733" i="1"/>
  <c r="P733" i="1"/>
  <c r="P726" i="1"/>
  <c r="R726" i="1" s="1"/>
  <c r="Q724" i="1"/>
  <c r="P724" i="1"/>
  <c r="Q715" i="1"/>
  <c r="Q708" i="1"/>
  <c r="Q707" i="1"/>
  <c r="P707" i="1"/>
  <c r="Q688" i="1"/>
  <c r="P660" i="1"/>
  <c r="Q660" i="1"/>
  <c r="Q654" i="1"/>
  <c r="P654" i="1"/>
  <c r="Q647" i="1"/>
  <c r="Q644" i="1"/>
  <c r="Q630" i="1"/>
  <c r="Q624" i="1"/>
  <c r="P623" i="1"/>
  <c r="Q623" i="1"/>
  <c r="Q619" i="1"/>
  <c r="Q616" i="1"/>
  <c r="Q610" i="1"/>
  <c r="Q600" i="1"/>
  <c r="P600" i="1"/>
  <c r="P597" i="1"/>
  <c r="Q596" i="1"/>
  <c r="Q595" i="1"/>
  <c r="Q591" i="1"/>
  <c r="Q587" i="1"/>
  <c r="Q586" i="1"/>
  <c r="Q578" i="1"/>
  <c r="P578" i="1"/>
  <c r="P571" i="1"/>
  <c r="Q562" i="1"/>
  <c r="P560" i="1"/>
  <c r="Q557" i="1"/>
  <c r="Q559" i="1" s="1"/>
  <c r="Q549" i="1"/>
  <c r="P545" i="1"/>
  <c r="Q545" i="1"/>
  <c r="Q542" i="1"/>
  <c r="Q535" i="1"/>
  <c r="Q534" i="1"/>
  <c r="Q533" i="1"/>
  <c r="P532" i="1"/>
  <c r="Q522" i="1"/>
  <c r="Q460" i="1"/>
  <c r="Q438" i="1"/>
  <c r="Q430" i="1"/>
  <c r="Q420" i="1"/>
  <c r="P419" i="1"/>
  <c r="Q399" i="1"/>
  <c r="Q398" i="1"/>
  <c r="Q393" i="1"/>
  <c r="P384" i="1"/>
  <c r="P348" i="1"/>
  <c r="Q348" i="1"/>
  <c r="P331" i="1"/>
  <c r="Q324" i="1"/>
  <c r="P319" i="1"/>
  <c r="Q317" i="1"/>
  <c r="Q311" i="1"/>
  <c r="Q304" i="1"/>
  <c r="Q303" i="1"/>
  <c r="Q302" i="1"/>
  <c r="Q301" i="1"/>
  <c r="P244" i="1"/>
  <c r="P241" i="1"/>
  <c r="Q240" i="1"/>
  <c r="P239" i="1"/>
  <c r="Q235" i="1"/>
  <c r="Q232" i="1"/>
  <c r="Q212" i="1"/>
  <c r="Q210" i="1"/>
  <c r="Q205" i="1"/>
  <c r="P211" i="1"/>
  <c r="P208" i="1"/>
  <c r="P206" i="1"/>
  <c r="P205" i="1"/>
  <c r="P175" i="1"/>
  <c r="P149" i="1"/>
  <c r="I28" i="12" l="1"/>
  <c r="I22" i="33"/>
  <c r="I21" i="33"/>
  <c r="I26" i="33"/>
  <c r="I10" i="33" s="1"/>
  <c r="I29" i="12" s="1"/>
  <c r="I16" i="33" l="1"/>
  <c r="I22" i="38"/>
  <c r="C22" i="38"/>
  <c r="N25" i="13"/>
  <c r="M25" i="13"/>
  <c r="L25" i="13"/>
  <c r="K25" i="13"/>
  <c r="Y39" i="22" l="1"/>
  <c r="Y38" i="22"/>
  <c r="S25" i="13"/>
  <c r="T25" i="13"/>
  <c r="U25" i="13"/>
  <c r="AQ9" i="22"/>
  <c r="AP430" i="1"/>
  <c r="AQ430" i="1"/>
  <c r="G8" i="43"/>
  <c r="AS129" i="1" s="1"/>
  <c r="P342" i="1"/>
  <c r="AM401" i="1"/>
  <c r="AM105" i="1"/>
  <c r="AM111" i="1"/>
  <c r="B38" i="48" l="1"/>
  <c r="AQ46" i="22"/>
  <c r="AP522" i="1"/>
  <c r="AQ522" i="1"/>
  <c r="AQ728" i="1"/>
  <c r="AS578" i="1"/>
  <c r="AS558" i="1"/>
  <c r="AP546" i="1"/>
  <c r="AQ546" i="1"/>
  <c r="AQ548" i="1"/>
  <c r="AP545" i="1"/>
  <c r="AQ545" i="1"/>
  <c r="F42" i="5" l="1"/>
  <c r="B46" i="22"/>
  <c r="H54" i="5" s="1"/>
  <c r="AQ58" i="22"/>
  <c r="S522" i="1"/>
  <c r="T522" i="1"/>
  <c r="J31" i="42"/>
  <c r="V512" i="1" s="1"/>
  <c r="S546" i="1"/>
  <c r="T546" i="1"/>
  <c r="U578" i="1"/>
  <c r="V578" i="1"/>
  <c r="V558" i="1"/>
  <c r="S728" i="1"/>
  <c r="T728" i="1"/>
  <c r="S548" i="1"/>
  <c r="T548" i="1"/>
  <c r="T545" i="1"/>
  <c r="S545" i="1"/>
  <c r="I27" i="43"/>
  <c r="AS512" i="1" s="1"/>
  <c r="A27" i="43"/>
  <c r="AR512" i="1" s="1"/>
  <c r="J23" i="43"/>
  <c r="J24" i="43" s="1"/>
  <c r="A23" i="43"/>
  <c r="A24" i="43" s="1"/>
  <c r="J17" i="43"/>
  <c r="J18" i="43" s="1"/>
  <c r="J19" i="43" s="1"/>
  <c r="J20" i="43" s="1"/>
  <c r="A17" i="43"/>
  <c r="J14" i="43"/>
  <c r="A14" i="43"/>
  <c r="J11" i="43"/>
  <c r="A11" i="43"/>
  <c r="J8" i="43"/>
  <c r="A8" i="43"/>
  <c r="AR129" i="1" s="1"/>
  <c r="A18" i="43" l="1"/>
  <c r="AP728" i="1"/>
  <c r="S515" i="1"/>
  <c r="T515" i="1"/>
  <c r="S430" i="1"/>
  <c r="S420" i="1"/>
  <c r="T420" i="1"/>
  <c r="S419" i="1"/>
  <c r="T419" i="1"/>
  <c r="V129" i="1"/>
  <c r="H12" i="42"/>
  <c r="V109" i="1" s="1"/>
  <c r="H15" i="42"/>
  <c r="V108" i="1" s="1"/>
  <c r="B35" i="42"/>
  <c r="B31" i="42"/>
  <c r="U512" i="1" s="1"/>
  <c r="K28" i="42"/>
  <c r="K22" i="42"/>
  <c r="K23" i="42" s="1"/>
  <c r="K24" i="42" s="1"/>
  <c r="K25" i="42" s="1"/>
  <c r="K18" i="42"/>
  <c r="H18" i="42"/>
  <c r="V221" i="1" s="1"/>
  <c r="B18" i="42"/>
  <c r="U221" i="1" s="1"/>
  <c r="K15" i="42"/>
  <c r="B15" i="42"/>
  <c r="U108" i="1" s="1"/>
  <c r="K12" i="42"/>
  <c r="B12" i="42"/>
  <c r="U109" i="1" s="1"/>
  <c r="K9" i="42"/>
  <c r="B9" i="42"/>
  <c r="U129" i="1" s="1"/>
  <c r="G8" i="42"/>
  <c r="T430" i="1" s="1"/>
  <c r="Q204" i="1"/>
  <c r="Q203" i="1"/>
  <c r="Q192" i="1"/>
  <c r="Q190" i="1"/>
  <c r="Q181" i="1"/>
  <c r="Q180" i="1"/>
  <c r="Q159" i="1"/>
  <c r="Q149" i="1"/>
  <c r="Q143" i="1"/>
  <c r="P145" i="1"/>
  <c r="P143" i="1"/>
  <c r="P141" i="1"/>
  <c r="Q137" i="1"/>
  <c r="Q113" i="1"/>
  <c r="Q109" i="1"/>
  <c r="P108" i="1"/>
  <c r="Q90" i="1"/>
  <c r="Q79" i="1"/>
  <c r="P22" i="1"/>
  <c r="P38" i="1"/>
  <c r="P37" i="1"/>
  <c r="P27" i="1"/>
  <c r="P23" i="1"/>
  <c r="P15" i="1"/>
  <c r="Q30" i="1"/>
  <c r="Q35" i="1"/>
  <c r="Q28" i="1"/>
  <c r="Q27" i="1"/>
  <c r="R401" i="1"/>
  <c r="W401" i="1" s="1"/>
  <c r="A19" i="43" l="1"/>
  <c r="A20" i="43" s="1"/>
  <c r="AP548" i="1"/>
  <c r="R440" i="1"/>
  <c r="W440" i="1" s="1"/>
  <c r="R400" i="1"/>
  <c r="W400" i="1" s="1"/>
  <c r="R399" i="1"/>
  <c r="W399" i="1" s="1"/>
  <c r="R398" i="1"/>
  <c r="W398" i="1" s="1"/>
  <c r="R397" i="1"/>
  <c r="W397" i="1" s="1"/>
  <c r="R396" i="1"/>
  <c r="W396" i="1" s="1"/>
  <c r="R395" i="1"/>
  <c r="W395" i="1" s="1"/>
  <c r="AN467" i="1" l="1"/>
  <c r="AO421" i="1"/>
  <c r="AT421" i="1" s="1"/>
  <c r="AN422" i="1"/>
  <c r="AO396" i="1"/>
  <c r="AT396" i="1" s="1"/>
  <c r="AO395" i="1"/>
  <c r="AT395" i="1" s="1"/>
  <c r="R660" i="1"/>
  <c r="W660" i="1" s="1"/>
  <c r="P569" i="1"/>
  <c r="P564" i="1"/>
  <c r="R510" i="1"/>
  <c r="W510" i="1" s="1"/>
  <c r="R509" i="1"/>
  <c r="W509" i="1" s="1"/>
  <c r="R385" i="1"/>
  <c r="W385" i="1" s="1"/>
  <c r="R386" i="1"/>
  <c r="W386" i="1" s="1"/>
  <c r="R384" i="1"/>
  <c r="W384" i="1" s="1"/>
  <c r="R383" i="1"/>
  <c r="W383" i="1" s="1"/>
  <c r="R175" i="1"/>
  <c r="W175" i="1" s="1"/>
  <c r="R100" i="1"/>
  <c r="W100" i="1" s="1"/>
  <c r="R33" i="1"/>
  <c r="W33" i="1" s="1"/>
  <c r="R32" i="1"/>
  <c r="W32" i="1" s="1"/>
  <c r="R31" i="1"/>
  <c r="W31" i="1" s="1"/>
  <c r="AM569" i="1"/>
  <c r="AM564" i="1"/>
  <c r="AO135" i="1"/>
  <c r="AT135" i="1" s="1"/>
  <c r="I69" i="17" l="1"/>
  <c r="U69" i="17" s="1"/>
  <c r="AO7" i="22"/>
  <c r="AO9" i="22" s="1"/>
  <c r="AO44" i="22" s="1"/>
  <c r="B44" i="22" s="1"/>
  <c r="H50" i="5" s="1"/>
  <c r="X509" i="1"/>
  <c r="X511" i="1" s="1"/>
  <c r="AP7" i="22"/>
  <c r="AP9" i="22" s="1"/>
  <c r="K65" i="17"/>
  <c r="G22" i="38"/>
  <c r="I31" i="12"/>
  <c r="C18" i="41"/>
  <c r="C17" i="41"/>
  <c r="C16" i="41"/>
  <c r="C15" i="41"/>
  <c r="C14" i="41"/>
  <c r="C13" i="41"/>
  <c r="C12" i="41"/>
  <c r="C11" i="41"/>
  <c r="C10" i="41"/>
  <c r="C9" i="41"/>
  <c r="C8" i="41"/>
  <c r="C7" i="41"/>
  <c r="C13" i="40"/>
  <c r="C9" i="40"/>
  <c r="C8" i="40"/>
  <c r="C7" i="40"/>
  <c r="C35" i="39"/>
  <c r="C33" i="39"/>
  <c r="C30" i="39"/>
  <c r="C31" i="39"/>
  <c r="C32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23" i="38"/>
  <c r="C21" i="38"/>
  <c r="C20" i="38"/>
  <c r="C19" i="38"/>
  <c r="C18" i="38"/>
  <c r="C17" i="38"/>
  <c r="C16" i="38"/>
  <c r="C15" i="38"/>
  <c r="C14" i="38"/>
  <c r="C12" i="38"/>
  <c r="C11" i="38"/>
  <c r="C10" i="38"/>
  <c r="C9" i="38"/>
  <c r="C8" i="38"/>
  <c r="C7" i="38"/>
  <c r="C6" i="38"/>
  <c r="G33" i="37"/>
  <c r="E33" i="37"/>
  <c r="G16" i="37"/>
  <c r="G50" i="36"/>
  <c r="G51" i="36" s="1"/>
  <c r="I50" i="36"/>
  <c r="I51" i="36" s="1"/>
  <c r="I33" i="36"/>
  <c r="I20" i="36"/>
  <c r="G19" i="36"/>
  <c r="C19" i="36"/>
  <c r="G18" i="36"/>
  <c r="C18" i="36"/>
  <c r="G17" i="36"/>
  <c r="G16" i="36"/>
  <c r="G15" i="36"/>
  <c r="G14" i="36"/>
  <c r="G13" i="36"/>
  <c r="G12" i="36"/>
  <c r="G33" i="36" l="1"/>
  <c r="G34" i="36" s="1"/>
  <c r="AO58" i="22"/>
  <c r="AP45" i="22"/>
  <c r="B45" i="22" s="1"/>
  <c r="H52" i="5" s="1"/>
  <c r="G20" i="36"/>
  <c r="E8" i="37"/>
  <c r="E16" i="37" s="1"/>
  <c r="E17" i="37" s="1"/>
  <c r="I35" i="36"/>
  <c r="G10" i="34"/>
  <c r="G11" i="34" s="1"/>
  <c r="G12" i="31"/>
  <c r="G11" i="31"/>
  <c r="G9" i="31"/>
  <c r="G7" i="31"/>
  <c r="G20" i="32"/>
  <c r="G16" i="32"/>
  <c r="G35" i="36" l="1"/>
  <c r="G36" i="36" s="1"/>
  <c r="AP58" i="22"/>
  <c r="G14" i="31"/>
  <c r="G11" i="32"/>
  <c r="G22" i="32" s="1"/>
  <c r="K26" i="33"/>
  <c r="G26" i="33"/>
  <c r="G10" i="33" s="1"/>
  <c r="G29" i="12" s="1"/>
  <c r="K16" i="33"/>
  <c r="G10" i="30"/>
  <c r="G8" i="30"/>
  <c r="G121" i="29"/>
  <c r="G143" i="29"/>
  <c r="E143" i="29"/>
  <c r="G7" i="29"/>
  <c r="G129" i="29"/>
  <c r="G128" i="29"/>
  <c r="G127" i="29"/>
  <c r="G126" i="29"/>
  <c r="G125" i="29"/>
  <c r="G124" i="29"/>
  <c r="G123" i="29"/>
  <c r="G108" i="29"/>
  <c r="G107" i="29"/>
  <c r="G106" i="29"/>
  <c r="G105" i="29"/>
  <c r="G104" i="29"/>
  <c r="G103" i="29"/>
  <c r="G102" i="29"/>
  <c r="G101" i="29"/>
  <c r="G99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82" i="29"/>
  <c r="G81" i="29"/>
  <c r="G80" i="29"/>
  <c r="G79" i="29"/>
  <c r="G78" i="29"/>
  <c r="G77" i="29"/>
  <c r="G76" i="29"/>
  <c r="G75" i="29"/>
  <c r="G74" i="29"/>
  <c r="G73" i="29"/>
  <c r="G72" i="29"/>
  <c r="G71" i="29"/>
  <c r="G70" i="29"/>
  <c r="G69" i="29"/>
  <c r="G68" i="29"/>
  <c r="G67" i="29"/>
  <c r="G66" i="29"/>
  <c r="G65" i="29"/>
  <c r="G64" i="29"/>
  <c r="G63" i="29"/>
  <c r="G62" i="29"/>
  <c r="G61" i="29"/>
  <c r="G60" i="29"/>
  <c r="G59" i="29"/>
  <c r="G58" i="29"/>
  <c r="G57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C129" i="29"/>
  <c r="C128" i="29"/>
  <c r="C127" i="29"/>
  <c r="C126" i="29"/>
  <c r="C125" i="29"/>
  <c r="C124" i="29"/>
  <c r="C123" i="29"/>
  <c r="C122" i="29"/>
  <c r="C121" i="29"/>
  <c r="C108" i="29"/>
  <c r="C107" i="29"/>
  <c r="C106" i="29"/>
  <c r="C105" i="29"/>
  <c r="C104" i="29"/>
  <c r="C103" i="29"/>
  <c r="C102" i="29"/>
  <c r="C101" i="29"/>
  <c r="C100" i="29"/>
  <c r="C99" i="29"/>
  <c r="C96" i="29"/>
  <c r="C95" i="29"/>
  <c r="C94" i="29"/>
  <c r="C93" i="29"/>
  <c r="C92" i="29"/>
  <c r="C91" i="29"/>
  <c r="C90" i="29"/>
  <c r="C89" i="29"/>
  <c r="C88" i="29"/>
  <c r="C87" i="29"/>
  <c r="C86" i="29"/>
  <c r="C85" i="29"/>
  <c r="C84" i="29"/>
  <c r="C83" i="29"/>
  <c r="C82" i="29"/>
  <c r="C81" i="29"/>
  <c r="C80" i="29"/>
  <c r="C79" i="29"/>
  <c r="C78" i="29"/>
  <c r="C77" i="29"/>
  <c r="C76" i="29"/>
  <c r="C75" i="29"/>
  <c r="C74" i="29"/>
  <c r="C73" i="29"/>
  <c r="C72" i="29"/>
  <c r="C71" i="29"/>
  <c r="C70" i="29"/>
  <c r="C69" i="29"/>
  <c r="C68" i="29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G20" i="28"/>
  <c r="G18" i="28"/>
  <c r="G8" i="28"/>
  <c r="G7" i="28"/>
  <c r="G9" i="28" l="1"/>
  <c r="G11" i="30"/>
  <c r="G12" i="30" s="1"/>
  <c r="G13" i="30" s="1"/>
  <c r="G21" i="28"/>
  <c r="G22" i="28" s="1"/>
  <c r="G7" i="33"/>
  <c r="G28" i="12" s="1"/>
  <c r="G31" i="12" s="1"/>
  <c r="E7" i="33"/>
  <c r="G130" i="29"/>
  <c r="G16" i="33" l="1"/>
  <c r="E31" i="12"/>
  <c r="E16" i="33"/>
  <c r="E18" i="33" s="1"/>
  <c r="G31" i="27"/>
  <c r="G30" i="27"/>
  <c r="G29" i="27"/>
  <c r="G28" i="27"/>
  <c r="AI105" i="1"/>
  <c r="G10" i="27"/>
  <c r="G11" i="27" s="1"/>
  <c r="G20" i="27" s="1"/>
  <c r="G77" i="25"/>
  <c r="E75" i="25" s="1"/>
  <c r="G70" i="25"/>
  <c r="E67" i="25"/>
  <c r="J67" i="25" s="1"/>
  <c r="G67" i="25"/>
  <c r="G53" i="25"/>
  <c r="G46" i="25"/>
  <c r="G21" i="25"/>
  <c r="G39" i="25"/>
  <c r="G38" i="25"/>
  <c r="G37" i="25"/>
  <c r="G36" i="25"/>
  <c r="G35" i="25"/>
  <c r="G30" i="25"/>
  <c r="G29" i="25"/>
  <c r="G28" i="25"/>
  <c r="G23" i="25"/>
  <c r="G20" i="25"/>
  <c r="G19" i="25"/>
  <c r="G10" i="25"/>
  <c r="G12" i="25" s="1"/>
  <c r="G38" i="24"/>
  <c r="G40" i="24" s="1"/>
  <c r="G33" i="24"/>
  <c r="G32" i="24"/>
  <c r="G31" i="24"/>
  <c r="G30" i="24"/>
  <c r="G29" i="24"/>
  <c r="G28" i="24"/>
  <c r="G27" i="24"/>
  <c r="G26" i="24"/>
  <c r="G20" i="24"/>
  <c r="G19" i="24"/>
  <c r="G18" i="24"/>
  <c r="G17" i="24"/>
  <c r="G16" i="24"/>
  <c r="G15" i="24"/>
  <c r="G14" i="24"/>
  <c r="G13" i="24"/>
  <c r="N29" i="24" l="1"/>
  <c r="G25" i="25"/>
  <c r="G23" i="24"/>
  <c r="G35" i="24"/>
  <c r="L35" i="24" s="1"/>
  <c r="G32" i="27"/>
  <c r="G48" i="25"/>
  <c r="E77" i="12"/>
  <c r="G71" i="25"/>
  <c r="L67" i="25"/>
  <c r="U15" i="10"/>
  <c r="AQ7" i="23"/>
  <c r="O54" i="23"/>
  <c r="B42" i="23"/>
  <c r="B41" i="23"/>
  <c r="B40" i="23"/>
  <c r="B37" i="23"/>
  <c r="J42" i="5" s="1"/>
  <c r="B33" i="23"/>
  <c r="B32" i="23"/>
  <c r="B31" i="23"/>
  <c r="B30" i="23"/>
  <c r="B29" i="23"/>
  <c r="AQ28" i="23"/>
  <c r="AQ54" i="23" s="1"/>
  <c r="B18" i="23"/>
  <c r="B17" i="23"/>
  <c r="B16" i="23"/>
  <c r="BB9" i="23"/>
  <c r="AO9" i="23"/>
  <c r="AO54" i="23" s="1"/>
  <c r="AJ9" i="23"/>
  <c r="AB9" i="23"/>
  <c r="Z9" i="23"/>
  <c r="W9" i="23"/>
  <c r="T9" i="23"/>
  <c r="T54" i="23" s="1"/>
  <c r="Q9" i="23"/>
  <c r="P9" i="23"/>
  <c r="L9" i="23"/>
  <c r="K9" i="23"/>
  <c r="G9" i="23"/>
  <c r="F9" i="23"/>
  <c r="AT8" i="23"/>
  <c r="AT7" i="23" s="1"/>
  <c r="AT9" i="23" s="1"/>
  <c r="AS8" i="23"/>
  <c r="AS9" i="23" s="1"/>
  <c r="AS15" i="23" s="1"/>
  <c r="N8" i="23"/>
  <c r="N9" i="23" s="1"/>
  <c r="P58" i="22"/>
  <c r="B43" i="22"/>
  <c r="B40" i="22"/>
  <c r="B38" i="22"/>
  <c r="B34" i="22"/>
  <c r="B31" i="22"/>
  <c r="B30" i="22"/>
  <c r="B29" i="22"/>
  <c r="B21" i="22"/>
  <c r="H18" i="5" s="1"/>
  <c r="B19" i="22"/>
  <c r="B18" i="22"/>
  <c r="B17" i="22"/>
  <c r="B16" i="22"/>
  <c r="BC15" i="22"/>
  <c r="BF13" i="22"/>
  <c r="BG9" i="22"/>
  <c r="BF9" i="22"/>
  <c r="AW9" i="22"/>
  <c r="AW58" i="22" s="1"/>
  <c r="AV9" i="22"/>
  <c r="AV42" i="22" s="1"/>
  <c r="AR9" i="22"/>
  <c r="AR58" i="22" s="1"/>
  <c r="AI9" i="22"/>
  <c r="AH9" i="22"/>
  <c r="AC9" i="22"/>
  <c r="AA9" i="22"/>
  <c r="X9" i="22"/>
  <c r="U9" i="22"/>
  <c r="U58" i="22" s="1"/>
  <c r="T9" i="22"/>
  <c r="R9" i="22"/>
  <c r="Q9" i="22"/>
  <c r="O9" i="22"/>
  <c r="H9" i="22"/>
  <c r="G9" i="22"/>
  <c r="AX8" i="22"/>
  <c r="AX7" i="22" s="1"/>
  <c r="AX9" i="22" s="1"/>
  <c r="AT8" i="22"/>
  <c r="AT9" i="22" s="1"/>
  <c r="AT14" i="22" s="1"/>
  <c r="U73" i="17"/>
  <c r="U66" i="17"/>
  <c r="I101" i="17"/>
  <c r="K101" i="17"/>
  <c r="O101" i="17"/>
  <c r="S101" i="17"/>
  <c r="U101" i="17"/>
  <c r="S49" i="17"/>
  <c r="Q49" i="17"/>
  <c r="G50" i="25" l="1"/>
  <c r="G54" i="25" s="1"/>
  <c r="BF58" i="22"/>
  <c r="H42" i="5"/>
  <c r="N13" i="23"/>
  <c r="N54" i="23" s="1"/>
  <c r="AT28" i="23"/>
  <c r="F12" i="23"/>
  <c r="F54" i="23" s="1"/>
  <c r="G14" i="23"/>
  <c r="K13" i="23"/>
  <c r="K54" i="23" s="1"/>
  <c r="L13" i="23"/>
  <c r="L54" i="23" s="1"/>
  <c r="P13" i="23"/>
  <c r="P54" i="23" s="1"/>
  <c r="Q13" i="23"/>
  <c r="Q54" i="23" s="1"/>
  <c r="W13" i="23"/>
  <c r="W54" i="23" s="1"/>
  <c r="Z13" i="23"/>
  <c r="Z54" i="23" s="1"/>
  <c r="AB12" i="23"/>
  <c r="AB54" i="23" s="1"/>
  <c r="AJ43" i="23"/>
  <c r="AJ54" i="23" s="1"/>
  <c r="BB13" i="23"/>
  <c r="BB54" i="23" s="1"/>
  <c r="AX28" i="22"/>
  <c r="AX58" i="22" s="1"/>
  <c r="G12" i="22"/>
  <c r="G58" i="22" s="1"/>
  <c r="H14" i="22"/>
  <c r="O13" i="22"/>
  <c r="O58" i="22" s="1"/>
  <c r="Q13" i="22"/>
  <c r="Q58" i="22" s="1"/>
  <c r="R13" i="22"/>
  <c r="R58" i="22" s="1"/>
  <c r="T28" i="22"/>
  <c r="X13" i="22"/>
  <c r="X58" i="22" s="1"/>
  <c r="AA13" i="22"/>
  <c r="AA58" i="22" s="1"/>
  <c r="AC12" i="22"/>
  <c r="AC58" i="22" s="1"/>
  <c r="AH15" i="22"/>
  <c r="AH58" i="22" s="1"/>
  <c r="AI13" i="22"/>
  <c r="AI58" i="22" s="1"/>
  <c r="BG13" i="22"/>
  <c r="BG58" i="22" s="1"/>
  <c r="AN762" i="1"/>
  <c r="AM762" i="1"/>
  <c r="AO761" i="1"/>
  <c r="AN759" i="1"/>
  <c r="AM759" i="1"/>
  <c r="AO758" i="1"/>
  <c r="AN754" i="1"/>
  <c r="AM754" i="1"/>
  <c r="AO753" i="1"/>
  <c r="AT753" i="1" s="1"/>
  <c r="AO752" i="1"/>
  <c r="AT752" i="1" s="1"/>
  <c r="AO751" i="1"/>
  <c r="AT751" i="1" s="1"/>
  <c r="AO748" i="1"/>
  <c r="AN744" i="1"/>
  <c r="AM744" i="1"/>
  <c r="AO742" i="1"/>
  <c r="AT742" i="1" s="1"/>
  <c r="K18" i="41" s="1"/>
  <c r="AO741" i="1"/>
  <c r="AT741" i="1" s="1"/>
  <c r="AO740" i="1"/>
  <c r="AT740" i="1" s="1"/>
  <c r="K16" i="41" s="1"/>
  <c r="AO739" i="1"/>
  <c r="AT739" i="1" s="1"/>
  <c r="K15" i="41" s="1"/>
  <c r="AO738" i="1"/>
  <c r="AT738" i="1" s="1"/>
  <c r="K14" i="41" s="1"/>
  <c r="AO737" i="1"/>
  <c r="AT737" i="1" s="1"/>
  <c r="AO736" i="1"/>
  <c r="AT736" i="1" s="1"/>
  <c r="K12" i="41" s="1"/>
  <c r="AO735" i="1"/>
  <c r="AT735" i="1" s="1"/>
  <c r="K11" i="41" s="1"/>
  <c r="AO734" i="1"/>
  <c r="AT734" i="1" s="1"/>
  <c r="K10" i="41" s="1"/>
  <c r="AO733" i="1"/>
  <c r="AT733" i="1" s="1"/>
  <c r="K9" i="41" s="1"/>
  <c r="AO732" i="1"/>
  <c r="AN730" i="1"/>
  <c r="AM730" i="1"/>
  <c r="AM745" i="1" s="1"/>
  <c r="AO728" i="1"/>
  <c r="AT728" i="1" s="1"/>
  <c r="K13" i="40" s="1"/>
  <c r="AO727" i="1"/>
  <c r="AT727" i="1" s="1"/>
  <c r="K7" i="41" s="1"/>
  <c r="AO726" i="1"/>
  <c r="AT726" i="1" s="1"/>
  <c r="K9" i="40" s="1"/>
  <c r="AO725" i="1"/>
  <c r="AT725" i="1" s="1"/>
  <c r="K8" i="40" s="1"/>
  <c r="AO724" i="1"/>
  <c r="AN719" i="1"/>
  <c r="AM719" i="1"/>
  <c r="AO718" i="1"/>
  <c r="AT718" i="1" s="1"/>
  <c r="AO717" i="1"/>
  <c r="AT717" i="1" s="1"/>
  <c r="AO716" i="1"/>
  <c r="AT716" i="1" s="1"/>
  <c r="AO715" i="1"/>
  <c r="AT715" i="1" s="1"/>
  <c r="K35" i="39" s="1"/>
  <c r="AO714" i="1"/>
  <c r="AT714" i="1" s="1"/>
  <c r="AO713" i="1"/>
  <c r="AT713" i="1" s="1"/>
  <c r="AO712" i="1"/>
  <c r="AT712" i="1" s="1"/>
  <c r="AO711" i="1"/>
  <c r="AT711" i="1" s="1"/>
  <c r="AO710" i="1"/>
  <c r="AT710" i="1" s="1"/>
  <c r="AO709" i="1"/>
  <c r="AT709" i="1" s="1"/>
  <c r="AO708" i="1"/>
  <c r="AT708" i="1" s="1"/>
  <c r="AO707" i="1"/>
  <c r="AT707" i="1" s="1"/>
  <c r="AO706" i="1"/>
  <c r="AT706" i="1" s="1"/>
  <c r="AO705" i="1"/>
  <c r="AT705" i="1" s="1"/>
  <c r="AO704" i="1"/>
  <c r="AT704" i="1" s="1"/>
  <c r="AO703" i="1"/>
  <c r="AT703" i="1" s="1"/>
  <c r="AO702" i="1"/>
  <c r="AT702" i="1" s="1"/>
  <c r="AO701" i="1"/>
  <c r="AT701" i="1" s="1"/>
  <c r="AO700" i="1"/>
  <c r="AT700" i="1" s="1"/>
  <c r="AO699" i="1"/>
  <c r="AT699" i="1" s="1"/>
  <c r="AO698" i="1"/>
  <c r="AT698" i="1" s="1"/>
  <c r="AO696" i="1"/>
  <c r="AT696" i="1" s="1"/>
  <c r="K31" i="39" s="1"/>
  <c r="AO695" i="1"/>
  <c r="AT695" i="1" s="1"/>
  <c r="K30" i="39" s="1"/>
  <c r="AO694" i="1"/>
  <c r="AT694" i="1" s="1"/>
  <c r="K29" i="39" s="1"/>
  <c r="AO693" i="1"/>
  <c r="AT693" i="1" s="1"/>
  <c r="K28" i="39" s="1"/>
  <c r="AO692" i="1"/>
  <c r="AT692" i="1" s="1"/>
  <c r="K27" i="39" s="1"/>
  <c r="AO691" i="1"/>
  <c r="AT691" i="1" s="1"/>
  <c r="K26" i="39" s="1"/>
  <c r="AO690" i="1"/>
  <c r="AT690" i="1" s="1"/>
  <c r="K25" i="39" s="1"/>
  <c r="AO689" i="1"/>
  <c r="AT689" i="1" s="1"/>
  <c r="K24" i="39" s="1"/>
  <c r="AO688" i="1"/>
  <c r="AT688" i="1" s="1"/>
  <c r="K23" i="39" s="1"/>
  <c r="AO687" i="1"/>
  <c r="AT687" i="1" s="1"/>
  <c r="K22" i="39" s="1"/>
  <c r="AO686" i="1"/>
  <c r="AT686" i="1" s="1"/>
  <c r="K21" i="39" s="1"/>
  <c r="AO685" i="1"/>
  <c r="AT685" i="1" s="1"/>
  <c r="K20" i="39" s="1"/>
  <c r="AO684" i="1"/>
  <c r="AT684" i="1" s="1"/>
  <c r="K19" i="39" s="1"/>
  <c r="AO683" i="1"/>
  <c r="AT683" i="1" s="1"/>
  <c r="K18" i="39" s="1"/>
  <c r="AO682" i="1"/>
  <c r="AT682" i="1" s="1"/>
  <c r="K17" i="39" s="1"/>
  <c r="AO681" i="1"/>
  <c r="AT681" i="1" s="1"/>
  <c r="K16" i="39" s="1"/>
  <c r="AO680" i="1"/>
  <c r="AT680" i="1" s="1"/>
  <c r="K15" i="39" s="1"/>
  <c r="AO679" i="1"/>
  <c r="AT679" i="1" s="1"/>
  <c r="K14" i="39" s="1"/>
  <c r="AO678" i="1"/>
  <c r="AT678" i="1" s="1"/>
  <c r="K13" i="39" s="1"/>
  <c r="AO677" i="1"/>
  <c r="AT677" i="1" s="1"/>
  <c r="K12" i="39" s="1"/>
  <c r="AO676" i="1"/>
  <c r="AT676" i="1" s="1"/>
  <c r="K11" i="39" s="1"/>
  <c r="AO675" i="1"/>
  <c r="AT675" i="1" s="1"/>
  <c r="K10" i="39" s="1"/>
  <c r="AO674" i="1"/>
  <c r="AT674" i="1" s="1"/>
  <c r="K9" i="39" s="1"/>
  <c r="AO673" i="1"/>
  <c r="AT673" i="1" s="1"/>
  <c r="K8" i="39" s="1"/>
  <c r="AO672" i="1"/>
  <c r="AT672" i="1" s="1"/>
  <c r="K7" i="39" s="1"/>
  <c r="AO671" i="1"/>
  <c r="AT671" i="1" s="1"/>
  <c r="AO670" i="1"/>
  <c r="AT670" i="1" s="1"/>
  <c r="AO669" i="1"/>
  <c r="AT669" i="1" s="1"/>
  <c r="AO668" i="1"/>
  <c r="AT668" i="1" s="1"/>
  <c r="AO667" i="1"/>
  <c r="AT667" i="1" s="1"/>
  <c r="AO666" i="1"/>
  <c r="AT666" i="1" s="1"/>
  <c r="AO665" i="1"/>
  <c r="AO664" i="1"/>
  <c r="AT664" i="1" s="1"/>
  <c r="AN662" i="1"/>
  <c r="AN720" i="1" s="1"/>
  <c r="AM662" i="1"/>
  <c r="AM720" i="1" s="1"/>
  <c r="AO661" i="1"/>
  <c r="AT661" i="1" s="1"/>
  <c r="I23" i="38" s="1"/>
  <c r="AO659" i="1"/>
  <c r="AT659" i="1" s="1"/>
  <c r="I21" i="38" s="1"/>
  <c r="AO658" i="1"/>
  <c r="AT658" i="1" s="1"/>
  <c r="I20" i="38" s="1"/>
  <c r="AO657" i="1"/>
  <c r="AT657" i="1" s="1"/>
  <c r="I19" i="38" s="1"/>
  <c r="AO656" i="1"/>
  <c r="AT656" i="1" s="1"/>
  <c r="I18" i="38" s="1"/>
  <c r="AO655" i="1"/>
  <c r="AT655" i="1" s="1"/>
  <c r="I17" i="38" s="1"/>
  <c r="AO654" i="1"/>
  <c r="AT654" i="1" s="1"/>
  <c r="I16" i="38" s="1"/>
  <c r="AO653" i="1"/>
  <c r="AT653" i="1" s="1"/>
  <c r="I15" i="38" s="1"/>
  <c r="AO652" i="1"/>
  <c r="AT652" i="1" s="1"/>
  <c r="I14" i="38" s="1"/>
  <c r="AO651" i="1"/>
  <c r="AT651" i="1" s="1"/>
  <c r="I13" i="38" s="1"/>
  <c r="AO650" i="1"/>
  <c r="AT650" i="1" s="1"/>
  <c r="I12" i="38" s="1"/>
  <c r="AO649" i="1"/>
  <c r="AT649" i="1" s="1"/>
  <c r="I11" i="38" s="1"/>
  <c r="AO648" i="1"/>
  <c r="AT648" i="1" s="1"/>
  <c r="I10" i="38" s="1"/>
  <c r="AO647" i="1"/>
  <c r="AT647" i="1" s="1"/>
  <c r="I9" i="38" s="1"/>
  <c r="AO646" i="1"/>
  <c r="AT646" i="1" s="1"/>
  <c r="I8" i="38" s="1"/>
  <c r="AT645" i="1"/>
  <c r="I7" i="38" s="1"/>
  <c r="AO644" i="1"/>
  <c r="AN639" i="1"/>
  <c r="AM639" i="1"/>
  <c r="AO638" i="1"/>
  <c r="AT638" i="1" s="1"/>
  <c r="I71" i="12" s="1"/>
  <c r="AO636" i="1"/>
  <c r="AT636" i="1" s="1"/>
  <c r="I70" i="12" s="1"/>
  <c r="AO635" i="1"/>
  <c r="AT635" i="1" s="1"/>
  <c r="I58" i="12" s="1"/>
  <c r="AO634" i="1"/>
  <c r="AT634" i="1" s="1"/>
  <c r="AO633" i="1"/>
  <c r="AT633" i="1" s="1"/>
  <c r="I68" i="12" s="1"/>
  <c r="AO632" i="1"/>
  <c r="AT632" i="1" s="1"/>
  <c r="I67" i="12" s="1"/>
  <c r="AO631" i="1"/>
  <c r="AT631" i="1" s="1"/>
  <c r="I66" i="12" s="1"/>
  <c r="AO630" i="1"/>
  <c r="AT630" i="1" s="1"/>
  <c r="I65" i="12" s="1"/>
  <c r="AO629" i="1"/>
  <c r="AT629" i="1" s="1"/>
  <c r="I64" i="12" s="1"/>
  <c r="AO628" i="1"/>
  <c r="AT628" i="1" s="1"/>
  <c r="I63" i="12" s="1"/>
  <c r="AO627" i="1"/>
  <c r="AT627" i="1" s="1"/>
  <c r="I59" i="12" s="1"/>
  <c r="AO626" i="1"/>
  <c r="AT626" i="1" s="1"/>
  <c r="I54" i="12" s="1"/>
  <c r="AO625" i="1"/>
  <c r="AT625" i="1" s="1"/>
  <c r="I62" i="12" s="1"/>
  <c r="AO624" i="1"/>
  <c r="AT624" i="1" s="1"/>
  <c r="I61" i="12" s="1"/>
  <c r="AO623" i="1"/>
  <c r="AT623" i="1" s="1"/>
  <c r="AO622" i="1"/>
  <c r="AT622" i="1" s="1"/>
  <c r="I60" i="12" s="1"/>
  <c r="AO621" i="1"/>
  <c r="AT621" i="1" s="1"/>
  <c r="AO620" i="1"/>
  <c r="AT620" i="1" s="1"/>
  <c r="AO619" i="1"/>
  <c r="AT619" i="1" s="1"/>
  <c r="I56" i="12" s="1"/>
  <c r="AO618" i="1"/>
  <c r="AT618" i="1" s="1"/>
  <c r="AO617" i="1"/>
  <c r="AT617" i="1" s="1"/>
  <c r="AO616" i="1"/>
  <c r="AT616" i="1" s="1"/>
  <c r="I69" i="12" s="1"/>
  <c r="AO615" i="1"/>
  <c r="AT615" i="1" s="1"/>
  <c r="AO614" i="1"/>
  <c r="AT614" i="1" s="1"/>
  <c r="AO613" i="1"/>
  <c r="AT613" i="1" s="1"/>
  <c r="AO612" i="1"/>
  <c r="AT612" i="1" s="1"/>
  <c r="AO611" i="1"/>
  <c r="AT611" i="1" s="1"/>
  <c r="AO610" i="1"/>
  <c r="AT610" i="1" s="1"/>
  <c r="AO609" i="1"/>
  <c r="AT609" i="1" s="1"/>
  <c r="AO608" i="1"/>
  <c r="AT608" i="1" s="1"/>
  <c r="AO607" i="1"/>
  <c r="AT607" i="1" s="1"/>
  <c r="I57" i="12" s="1"/>
  <c r="AO606" i="1"/>
  <c r="AT606" i="1" s="1"/>
  <c r="AO605" i="1"/>
  <c r="AN601" i="1"/>
  <c r="AM601" i="1"/>
  <c r="AO600" i="1"/>
  <c r="AT600" i="1" s="1"/>
  <c r="I43" i="12" s="1"/>
  <c r="I87" i="12" s="1"/>
  <c r="AO599" i="1"/>
  <c r="AT599" i="1" s="1"/>
  <c r="AO598" i="1"/>
  <c r="AT598" i="1" s="1"/>
  <c r="AO597" i="1"/>
  <c r="AT597" i="1" s="1"/>
  <c r="AO596" i="1"/>
  <c r="AT596" i="1" s="1"/>
  <c r="AO595" i="1"/>
  <c r="AT595" i="1" s="1"/>
  <c r="AO594" i="1"/>
  <c r="AT594" i="1" s="1"/>
  <c r="AO591" i="1"/>
  <c r="AT591" i="1" s="1"/>
  <c r="I39" i="12" s="1"/>
  <c r="AO590" i="1"/>
  <c r="AT590" i="1" s="1"/>
  <c r="AO589" i="1"/>
  <c r="AT589" i="1" s="1"/>
  <c r="AO588" i="1"/>
  <c r="AT588" i="1" s="1"/>
  <c r="AO587" i="1"/>
  <c r="AT587" i="1" s="1"/>
  <c r="AO586" i="1"/>
  <c r="AT586" i="1" s="1"/>
  <c r="AO585" i="1"/>
  <c r="AT585" i="1" s="1"/>
  <c r="AO583" i="1"/>
  <c r="AT583" i="1" s="1"/>
  <c r="AO582" i="1"/>
  <c r="AT582" i="1" s="1"/>
  <c r="AO581" i="1"/>
  <c r="AT581" i="1" s="1"/>
  <c r="AO580" i="1"/>
  <c r="AT580" i="1" s="1"/>
  <c r="AO579" i="1"/>
  <c r="AT579" i="1" s="1"/>
  <c r="AO578" i="1"/>
  <c r="AT578" i="1" s="1"/>
  <c r="AO577" i="1"/>
  <c r="AT577" i="1" s="1"/>
  <c r="AO576" i="1"/>
  <c r="AO571" i="1"/>
  <c r="AT571" i="1" s="1"/>
  <c r="I24" i="12" s="1"/>
  <c r="I88" i="12" s="1"/>
  <c r="AN570" i="1"/>
  <c r="AN572" i="1" s="1"/>
  <c r="AM570" i="1"/>
  <c r="AM572" i="1" s="1"/>
  <c r="AO569" i="1"/>
  <c r="AT569" i="1" s="1"/>
  <c r="I22" i="12" s="1"/>
  <c r="AO568" i="1"/>
  <c r="AO564" i="1"/>
  <c r="AT564" i="1" s="1"/>
  <c r="I14" i="12" s="1"/>
  <c r="I86" i="12" s="1"/>
  <c r="AO562" i="1"/>
  <c r="AT562" i="1" s="1"/>
  <c r="I12" i="12" s="1"/>
  <c r="AO560" i="1"/>
  <c r="AT560" i="1" s="1"/>
  <c r="I10" i="12" s="1"/>
  <c r="AN559" i="1"/>
  <c r="AN561" i="1" s="1"/>
  <c r="AN563" i="1" s="1"/>
  <c r="AN565" i="1" s="1"/>
  <c r="AM559" i="1"/>
  <c r="AM561" i="1" s="1"/>
  <c r="AM563" i="1" s="1"/>
  <c r="AM565" i="1" s="1"/>
  <c r="AO558" i="1"/>
  <c r="AT558" i="1" s="1"/>
  <c r="I8" i="12" s="1"/>
  <c r="AO557" i="1"/>
  <c r="AN554" i="1"/>
  <c r="AM554" i="1"/>
  <c r="AO551" i="1"/>
  <c r="AT551" i="1" s="1"/>
  <c r="AO550" i="1"/>
  <c r="AT550" i="1" s="1"/>
  <c r="AO549" i="1"/>
  <c r="AT549" i="1" s="1"/>
  <c r="AO548" i="1"/>
  <c r="AT548" i="1" s="1"/>
  <c r="AO547" i="1"/>
  <c r="AT547" i="1" s="1"/>
  <c r="AO546" i="1"/>
  <c r="AO545" i="1"/>
  <c r="AT545" i="1" s="1"/>
  <c r="AO542" i="1"/>
  <c r="AN536" i="1"/>
  <c r="AM536" i="1"/>
  <c r="AO535" i="1"/>
  <c r="AT535" i="1" s="1"/>
  <c r="AO534" i="1"/>
  <c r="AT534" i="1" s="1"/>
  <c r="AO533" i="1"/>
  <c r="AT533" i="1" s="1"/>
  <c r="AO532" i="1"/>
  <c r="AN529" i="1"/>
  <c r="AM529" i="1"/>
  <c r="AO527" i="1"/>
  <c r="AO522" i="1"/>
  <c r="AN520" i="1"/>
  <c r="AM520" i="1"/>
  <c r="AO519" i="1"/>
  <c r="AT519" i="1" s="1"/>
  <c r="AO518" i="1"/>
  <c r="AT518" i="1" s="1"/>
  <c r="AO517" i="1"/>
  <c r="AT517" i="1" s="1"/>
  <c r="AO516" i="1"/>
  <c r="AT516" i="1" s="1"/>
  <c r="AO515" i="1"/>
  <c r="AT515" i="1" s="1"/>
  <c r="AO512" i="1"/>
  <c r="AT512" i="1" s="1"/>
  <c r="K99" i="21" s="1"/>
  <c r="AN7" i="23" s="1"/>
  <c r="AO508" i="1"/>
  <c r="AN504" i="1"/>
  <c r="AM504" i="1"/>
  <c r="AO503" i="1"/>
  <c r="AT503" i="1" s="1"/>
  <c r="AO502" i="1"/>
  <c r="AT502" i="1" s="1"/>
  <c r="AO501" i="1"/>
  <c r="AT501" i="1" s="1"/>
  <c r="AO500" i="1"/>
  <c r="AT500" i="1" s="1"/>
  <c r="AO499" i="1"/>
  <c r="AN497" i="1"/>
  <c r="AM497" i="1"/>
  <c r="AO496" i="1"/>
  <c r="AN494" i="1"/>
  <c r="AM494" i="1"/>
  <c r="AO493" i="1"/>
  <c r="AT493" i="1" s="1"/>
  <c r="AO492" i="1"/>
  <c r="AT492" i="1" s="1"/>
  <c r="AO491" i="1"/>
  <c r="AT491" i="1" s="1"/>
  <c r="AO490" i="1"/>
  <c r="AT490" i="1" s="1"/>
  <c r="AO489" i="1"/>
  <c r="AT489" i="1" s="1"/>
  <c r="AO488" i="1"/>
  <c r="AT488" i="1" s="1"/>
  <c r="AO487" i="1"/>
  <c r="AT487" i="1" s="1"/>
  <c r="AO484" i="1"/>
  <c r="AN481" i="1"/>
  <c r="AM481" i="1"/>
  <c r="AO480" i="1"/>
  <c r="AN474" i="1"/>
  <c r="AM474" i="1"/>
  <c r="AO473" i="1"/>
  <c r="AT473" i="1" s="1"/>
  <c r="AO472" i="1"/>
  <c r="AN470" i="1"/>
  <c r="AM470" i="1"/>
  <c r="AO469" i="1"/>
  <c r="AM467" i="1"/>
  <c r="AO466" i="1"/>
  <c r="AT466" i="1" s="1"/>
  <c r="AO465" i="1"/>
  <c r="AT465" i="1" s="1"/>
  <c r="AO464" i="1"/>
  <c r="AT464" i="1" s="1"/>
  <c r="AO463" i="1"/>
  <c r="AT463" i="1" s="1"/>
  <c r="AO462" i="1"/>
  <c r="AT462" i="1" s="1"/>
  <c r="AO461" i="1"/>
  <c r="AT461" i="1" s="1"/>
  <c r="AO460" i="1"/>
  <c r="AT460" i="1" s="1"/>
  <c r="AO459" i="1"/>
  <c r="AT459" i="1" s="1"/>
  <c r="AO458" i="1"/>
  <c r="AT458" i="1" s="1"/>
  <c r="AO457" i="1"/>
  <c r="AT457" i="1" s="1"/>
  <c r="AO456" i="1"/>
  <c r="AT456" i="1" s="1"/>
  <c r="AO455" i="1"/>
  <c r="AN453" i="1"/>
  <c r="AM453" i="1"/>
  <c r="AO452" i="1"/>
  <c r="AT452" i="1" s="1"/>
  <c r="AO450" i="1"/>
  <c r="AT450" i="1" s="1"/>
  <c r="AO449" i="1"/>
  <c r="AT449" i="1" s="1"/>
  <c r="AO448" i="1"/>
  <c r="AT448" i="1" s="1"/>
  <c r="AO447" i="1"/>
  <c r="AT447" i="1" s="1"/>
  <c r="AO446" i="1"/>
  <c r="AT446" i="1" s="1"/>
  <c r="AO445" i="1"/>
  <c r="AT445" i="1" s="1"/>
  <c r="AO444" i="1"/>
  <c r="AT444" i="1" s="1"/>
  <c r="AO443" i="1"/>
  <c r="AT443" i="1" s="1"/>
  <c r="AO442" i="1"/>
  <c r="AT442" i="1" s="1"/>
  <c r="AO441" i="1"/>
  <c r="AT441" i="1" s="1"/>
  <c r="AO439" i="1"/>
  <c r="AT439" i="1" s="1"/>
  <c r="AO438" i="1"/>
  <c r="AT438" i="1" s="1"/>
  <c r="AO437" i="1"/>
  <c r="AT437" i="1" s="1"/>
  <c r="AO436" i="1"/>
  <c r="AT436" i="1" s="1"/>
  <c r="AO435" i="1"/>
  <c r="AN433" i="1"/>
  <c r="AM433" i="1"/>
  <c r="AO432" i="1"/>
  <c r="AT432" i="1" s="1"/>
  <c r="AO431" i="1"/>
  <c r="AT431" i="1" s="1"/>
  <c r="AO430" i="1"/>
  <c r="AT430" i="1" s="1"/>
  <c r="AO429" i="1"/>
  <c r="AT429" i="1" s="1"/>
  <c r="AO428" i="1"/>
  <c r="AT428" i="1" s="1"/>
  <c r="AO427" i="1"/>
  <c r="AT427" i="1" s="1"/>
  <c r="AO426" i="1"/>
  <c r="AT426" i="1" s="1"/>
  <c r="AO425" i="1"/>
  <c r="AT425" i="1" s="1"/>
  <c r="AO424" i="1"/>
  <c r="AM422" i="1"/>
  <c r="AO420" i="1"/>
  <c r="AT420" i="1" s="1"/>
  <c r="AO419" i="1"/>
  <c r="AN417" i="1"/>
  <c r="AO409" i="1"/>
  <c r="AT409" i="1" s="1"/>
  <c r="AO408" i="1"/>
  <c r="AT408" i="1" s="1"/>
  <c r="AO407" i="1"/>
  <c r="AT407" i="1" s="1"/>
  <c r="AO406" i="1"/>
  <c r="AT406" i="1" s="1"/>
  <c r="AO405" i="1"/>
  <c r="AT405" i="1" s="1"/>
  <c r="AO404" i="1"/>
  <c r="AT404" i="1" s="1"/>
  <c r="AO402" i="1"/>
  <c r="AT402" i="1" s="1"/>
  <c r="AO400" i="1"/>
  <c r="AT400" i="1" s="1"/>
  <c r="AO394" i="1"/>
  <c r="AT394" i="1" s="1"/>
  <c r="AO393" i="1"/>
  <c r="AT393" i="1" s="1"/>
  <c r="AO392" i="1"/>
  <c r="AT392" i="1" s="1"/>
  <c r="AO391" i="1"/>
  <c r="AT391" i="1" s="1"/>
  <c r="AO390" i="1"/>
  <c r="AT390" i="1" s="1"/>
  <c r="AO389" i="1"/>
  <c r="AT389" i="1" s="1"/>
  <c r="AO388" i="1"/>
  <c r="AT388" i="1" s="1"/>
  <c r="AO387" i="1"/>
  <c r="AT387" i="1" s="1"/>
  <c r="AO386" i="1"/>
  <c r="AT386" i="1" s="1"/>
  <c r="AO382" i="1"/>
  <c r="AT382" i="1" s="1"/>
  <c r="AO381" i="1"/>
  <c r="AT381" i="1" s="1"/>
  <c r="AO380" i="1"/>
  <c r="AT380" i="1" s="1"/>
  <c r="AO379" i="1"/>
  <c r="AT379" i="1" s="1"/>
  <c r="AO378" i="1"/>
  <c r="AT378" i="1" s="1"/>
  <c r="AO377" i="1"/>
  <c r="AT377" i="1" s="1"/>
  <c r="AO376" i="1"/>
  <c r="AT376" i="1" s="1"/>
  <c r="AO375" i="1"/>
  <c r="AT375" i="1" s="1"/>
  <c r="AO374" i="1"/>
  <c r="AT374" i="1" s="1"/>
  <c r="AO373" i="1"/>
  <c r="AT373" i="1" s="1"/>
  <c r="AO372" i="1"/>
  <c r="AT372" i="1" s="1"/>
  <c r="AO371" i="1"/>
  <c r="AT371" i="1" s="1"/>
  <c r="AO370" i="1"/>
  <c r="AT370" i="1" s="1"/>
  <c r="AO369" i="1"/>
  <c r="AT369" i="1" s="1"/>
  <c r="AO368" i="1"/>
  <c r="AT368" i="1" s="1"/>
  <c r="AO367" i="1"/>
  <c r="AT367" i="1" s="1"/>
  <c r="AO366" i="1"/>
  <c r="AT366" i="1" s="1"/>
  <c r="AO365" i="1"/>
  <c r="AT365" i="1" s="1"/>
  <c r="AO364" i="1"/>
  <c r="AT364" i="1" s="1"/>
  <c r="AO363" i="1"/>
  <c r="AT363" i="1" s="1"/>
  <c r="AO362" i="1"/>
  <c r="AT362" i="1" s="1"/>
  <c r="AO361" i="1"/>
  <c r="AT361" i="1" s="1"/>
  <c r="AO360" i="1"/>
  <c r="AT360" i="1" s="1"/>
  <c r="AO359" i="1"/>
  <c r="AT359" i="1" s="1"/>
  <c r="AO358" i="1"/>
  <c r="AT358" i="1" s="1"/>
  <c r="AO357" i="1"/>
  <c r="AT357" i="1" s="1"/>
  <c r="AO356" i="1"/>
  <c r="AT356" i="1" s="1"/>
  <c r="AO355" i="1"/>
  <c r="AT355" i="1" s="1"/>
  <c r="AO354" i="1"/>
  <c r="AT354" i="1" s="1"/>
  <c r="AO353" i="1"/>
  <c r="AT353" i="1" s="1"/>
  <c r="AO352" i="1"/>
  <c r="AT352" i="1" s="1"/>
  <c r="AO351" i="1"/>
  <c r="AT351" i="1" s="1"/>
  <c r="AO350" i="1"/>
  <c r="AT350" i="1" s="1"/>
  <c r="AO349" i="1"/>
  <c r="AT349" i="1" s="1"/>
  <c r="AO348" i="1"/>
  <c r="AT348" i="1" s="1"/>
  <c r="AO347" i="1"/>
  <c r="AT347" i="1" s="1"/>
  <c r="AO346" i="1"/>
  <c r="AT346" i="1" s="1"/>
  <c r="AO345" i="1"/>
  <c r="AT345" i="1" s="1"/>
  <c r="AO344" i="1"/>
  <c r="AT344" i="1" s="1"/>
  <c r="AO343" i="1"/>
  <c r="AT343" i="1" s="1"/>
  <c r="AO342" i="1"/>
  <c r="AT342" i="1" s="1"/>
  <c r="AO341" i="1"/>
  <c r="AT341" i="1" s="1"/>
  <c r="AO340" i="1"/>
  <c r="AT340" i="1" s="1"/>
  <c r="AO339" i="1"/>
  <c r="AT339" i="1" s="1"/>
  <c r="AO338" i="1"/>
  <c r="AT338" i="1" s="1"/>
  <c r="AO337" i="1"/>
  <c r="AT337" i="1" s="1"/>
  <c r="AO336" i="1"/>
  <c r="AT336" i="1" s="1"/>
  <c r="AO335" i="1"/>
  <c r="AT335" i="1" s="1"/>
  <c r="AO334" i="1"/>
  <c r="AT334" i="1" s="1"/>
  <c r="AO333" i="1"/>
  <c r="AT333" i="1" s="1"/>
  <c r="AO332" i="1"/>
  <c r="AT332" i="1" s="1"/>
  <c r="AO331" i="1"/>
  <c r="AT331" i="1" s="1"/>
  <c r="AO330" i="1"/>
  <c r="AT330" i="1" s="1"/>
  <c r="AO329" i="1"/>
  <c r="AT329" i="1" s="1"/>
  <c r="AO328" i="1"/>
  <c r="AT328" i="1" s="1"/>
  <c r="AO327" i="1"/>
  <c r="AT327" i="1" s="1"/>
  <c r="AO326" i="1"/>
  <c r="AT326" i="1" s="1"/>
  <c r="AO325" i="1"/>
  <c r="AT325" i="1" s="1"/>
  <c r="AO324" i="1"/>
  <c r="AT324" i="1" s="1"/>
  <c r="AO323" i="1"/>
  <c r="AT323" i="1" s="1"/>
  <c r="AO322" i="1"/>
  <c r="AT322" i="1" s="1"/>
  <c r="AO321" i="1"/>
  <c r="AT321" i="1" s="1"/>
  <c r="AO320" i="1"/>
  <c r="AT320" i="1" s="1"/>
  <c r="AO319" i="1"/>
  <c r="AT319" i="1" s="1"/>
  <c r="AO318" i="1"/>
  <c r="AT318" i="1" s="1"/>
  <c r="AO317" i="1"/>
  <c r="AT317" i="1" s="1"/>
  <c r="AO316" i="1"/>
  <c r="AT316" i="1" s="1"/>
  <c r="AO315" i="1"/>
  <c r="AT315" i="1" s="1"/>
  <c r="AO314" i="1"/>
  <c r="AT314" i="1" s="1"/>
  <c r="AO313" i="1"/>
  <c r="AT313" i="1" s="1"/>
  <c r="AO312" i="1"/>
  <c r="AT312" i="1" s="1"/>
  <c r="AO311" i="1"/>
  <c r="AT311" i="1" s="1"/>
  <c r="AO310" i="1"/>
  <c r="AT310" i="1" s="1"/>
  <c r="AO309" i="1"/>
  <c r="AT309" i="1" s="1"/>
  <c r="AO308" i="1"/>
  <c r="AT308" i="1" s="1"/>
  <c r="AO307" i="1"/>
  <c r="AT307" i="1" s="1"/>
  <c r="AO306" i="1"/>
  <c r="AT306" i="1" s="1"/>
  <c r="AO305" i="1"/>
  <c r="AT305" i="1" s="1"/>
  <c r="AO304" i="1"/>
  <c r="AT304" i="1" s="1"/>
  <c r="AO303" i="1"/>
  <c r="AT303" i="1" s="1"/>
  <c r="AO302" i="1"/>
  <c r="AT302" i="1" s="1"/>
  <c r="AO301" i="1"/>
  <c r="AT301" i="1" s="1"/>
  <c r="AO299" i="1"/>
  <c r="AT299" i="1" s="1"/>
  <c r="AO298" i="1"/>
  <c r="AT298" i="1" s="1"/>
  <c r="AO297" i="1"/>
  <c r="AT297" i="1" s="1"/>
  <c r="AO296" i="1"/>
  <c r="AT296" i="1" s="1"/>
  <c r="AO295" i="1"/>
  <c r="AT295" i="1" s="1"/>
  <c r="AO294" i="1"/>
  <c r="AT294" i="1" s="1"/>
  <c r="AO293" i="1"/>
  <c r="AT293" i="1" s="1"/>
  <c r="AO292" i="1"/>
  <c r="AT292" i="1" s="1"/>
  <c r="AO291" i="1"/>
  <c r="AT291" i="1" s="1"/>
  <c r="AO290" i="1"/>
  <c r="AN288" i="1"/>
  <c r="AM288" i="1"/>
  <c r="AO287" i="1"/>
  <c r="AT287" i="1" s="1"/>
  <c r="AO286" i="1"/>
  <c r="AT286" i="1" s="1"/>
  <c r="AO285" i="1"/>
  <c r="AT285" i="1" s="1"/>
  <c r="AO284" i="1"/>
  <c r="AT284" i="1" s="1"/>
  <c r="AO283" i="1"/>
  <c r="AT283" i="1" s="1"/>
  <c r="AO282" i="1"/>
  <c r="AT282" i="1" s="1"/>
  <c r="AO281" i="1"/>
  <c r="AT281" i="1" s="1"/>
  <c r="AO280" i="1"/>
  <c r="AT280" i="1" s="1"/>
  <c r="AO279" i="1"/>
  <c r="AT279" i="1" s="1"/>
  <c r="AO278" i="1"/>
  <c r="AT278" i="1" s="1"/>
  <c r="AO277" i="1"/>
  <c r="AT277" i="1" s="1"/>
  <c r="AO276" i="1"/>
  <c r="AT276" i="1" s="1"/>
  <c r="AO275" i="1"/>
  <c r="AT275" i="1" s="1"/>
  <c r="AO274" i="1"/>
  <c r="AT274" i="1" s="1"/>
  <c r="AO273" i="1"/>
  <c r="AT273" i="1" s="1"/>
  <c r="AO272" i="1"/>
  <c r="AT272" i="1" s="1"/>
  <c r="AO271" i="1"/>
  <c r="AT271" i="1" s="1"/>
  <c r="AO270" i="1"/>
  <c r="AT270" i="1" s="1"/>
  <c r="AO269" i="1"/>
  <c r="AT269" i="1" s="1"/>
  <c r="AO268" i="1"/>
  <c r="AT268" i="1" s="1"/>
  <c r="AO267" i="1"/>
  <c r="AT267" i="1" s="1"/>
  <c r="AO266" i="1"/>
  <c r="AT266" i="1" s="1"/>
  <c r="AO265" i="1"/>
  <c r="AT265" i="1" s="1"/>
  <c r="AO264" i="1"/>
  <c r="AT264" i="1" s="1"/>
  <c r="AO263" i="1"/>
  <c r="AT263" i="1" s="1"/>
  <c r="AO262" i="1"/>
  <c r="AT262" i="1" s="1"/>
  <c r="AO261" i="1"/>
  <c r="AT261" i="1" s="1"/>
  <c r="AO260" i="1"/>
  <c r="AN252" i="1"/>
  <c r="AM252" i="1"/>
  <c r="AO250" i="1"/>
  <c r="AN248" i="1"/>
  <c r="AM248" i="1"/>
  <c r="AO247" i="1"/>
  <c r="AN245" i="1"/>
  <c r="AM245" i="1"/>
  <c r="AO244" i="1"/>
  <c r="AT244" i="1" s="1"/>
  <c r="AO242" i="1"/>
  <c r="AT242" i="1" s="1"/>
  <c r="AO241" i="1"/>
  <c r="AT241" i="1" s="1"/>
  <c r="AO240" i="1"/>
  <c r="AT240" i="1" s="1"/>
  <c r="AO239" i="1"/>
  <c r="AN236" i="1"/>
  <c r="AM236" i="1"/>
  <c r="AO235" i="1"/>
  <c r="AT235" i="1" s="1"/>
  <c r="AO232" i="1"/>
  <c r="AN223" i="1"/>
  <c r="AM223" i="1"/>
  <c r="AO221" i="1"/>
  <c r="AN218" i="1"/>
  <c r="AM218" i="1"/>
  <c r="AO217" i="1"/>
  <c r="AT217" i="1" s="1"/>
  <c r="AO216" i="1"/>
  <c r="AN214" i="1"/>
  <c r="AM214" i="1"/>
  <c r="AO213" i="1"/>
  <c r="AT213" i="1" s="1"/>
  <c r="AO212" i="1"/>
  <c r="AT212" i="1" s="1"/>
  <c r="AO211" i="1"/>
  <c r="AT211" i="1" s="1"/>
  <c r="AO210" i="1"/>
  <c r="AT210" i="1" s="1"/>
  <c r="AO209" i="1"/>
  <c r="AT209" i="1" s="1"/>
  <c r="AO208" i="1"/>
  <c r="AT208" i="1" s="1"/>
  <c r="AO207" i="1"/>
  <c r="AT207" i="1" s="1"/>
  <c r="AO206" i="1"/>
  <c r="AT206" i="1" s="1"/>
  <c r="AO205" i="1"/>
  <c r="AT205" i="1" s="1"/>
  <c r="AO204" i="1"/>
  <c r="AT204" i="1" s="1"/>
  <c r="AO203" i="1"/>
  <c r="AN201" i="1"/>
  <c r="AM201" i="1"/>
  <c r="AO200" i="1"/>
  <c r="AT200" i="1" s="1"/>
  <c r="AO199" i="1"/>
  <c r="AT199" i="1" s="1"/>
  <c r="AO198" i="1"/>
  <c r="AT198" i="1" s="1"/>
  <c r="AO197" i="1"/>
  <c r="AT197" i="1" s="1"/>
  <c r="AO196" i="1"/>
  <c r="AT196" i="1" s="1"/>
  <c r="AO195" i="1"/>
  <c r="AT195" i="1" s="1"/>
  <c r="AO194" i="1"/>
  <c r="AT194" i="1" s="1"/>
  <c r="AO193" i="1"/>
  <c r="AT193" i="1" s="1"/>
  <c r="AO192" i="1"/>
  <c r="AT192" i="1" s="1"/>
  <c r="AO191" i="1"/>
  <c r="AT191" i="1" s="1"/>
  <c r="AO190" i="1"/>
  <c r="AT190" i="1" s="1"/>
  <c r="AO189" i="1"/>
  <c r="AN187" i="1"/>
  <c r="AM187" i="1"/>
  <c r="AO186" i="1"/>
  <c r="AT186" i="1" s="1"/>
  <c r="AO185" i="1"/>
  <c r="AT185" i="1" s="1"/>
  <c r="AO184" i="1"/>
  <c r="AN182" i="1"/>
  <c r="AM182" i="1"/>
  <c r="AO181" i="1"/>
  <c r="AT181" i="1" s="1"/>
  <c r="AO180" i="1"/>
  <c r="AN177" i="1"/>
  <c r="AM177" i="1"/>
  <c r="AO174" i="1"/>
  <c r="AT174" i="1" s="1"/>
  <c r="AO173" i="1"/>
  <c r="AT173" i="1" s="1"/>
  <c r="AO172" i="1"/>
  <c r="AT172" i="1" s="1"/>
  <c r="AO171" i="1"/>
  <c r="AT171" i="1" s="1"/>
  <c r="AO170" i="1"/>
  <c r="AT170" i="1" s="1"/>
  <c r="AO169" i="1"/>
  <c r="AT169" i="1" s="1"/>
  <c r="AO168" i="1"/>
  <c r="AT168" i="1" s="1"/>
  <c r="AO167" i="1"/>
  <c r="AT167" i="1" s="1"/>
  <c r="AO166" i="1"/>
  <c r="AT166" i="1" s="1"/>
  <c r="AO165" i="1"/>
  <c r="AT165" i="1" s="1"/>
  <c r="AO164" i="1"/>
  <c r="AT164" i="1" s="1"/>
  <c r="AO160" i="1"/>
  <c r="AT160" i="1" s="1"/>
  <c r="AO159" i="1"/>
  <c r="AT159" i="1" s="1"/>
  <c r="AO156" i="1"/>
  <c r="AT156" i="1" s="1"/>
  <c r="AO155" i="1"/>
  <c r="AT155" i="1" s="1"/>
  <c r="AO154" i="1"/>
  <c r="AT154" i="1" s="1"/>
  <c r="AO153" i="1"/>
  <c r="AT153" i="1" s="1"/>
  <c r="AO152" i="1"/>
  <c r="AT152" i="1" s="1"/>
  <c r="AO151" i="1"/>
  <c r="AT151" i="1" s="1"/>
  <c r="AO150" i="1"/>
  <c r="AT150" i="1" s="1"/>
  <c r="AO149" i="1"/>
  <c r="AM147" i="1"/>
  <c r="AO145" i="1"/>
  <c r="AT145" i="1" s="1"/>
  <c r="Z24" i="12" s="1"/>
  <c r="AO143" i="1"/>
  <c r="AT143" i="1" s="1"/>
  <c r="AO142" i="1"/>
  <c r="AT142" i="1" s="1"/>
  <c r="AO141" i="1"/>
  <c r="AT141" i="1" s="1"/>
  <c r="AO140" i="1"/>
  <c r="AN138" i="1"/>
  <c r="AM138" i="1"/>
  <c r="AO137" i="1"/>
  <c r="AT137" i="1" s="1"/>
  <c r="AO134" i="1"/>
  <c r="AT134" i="1" s="1"/>
  <c r="AO133" i="1"/>
  <c r="AT133" i="1" s="1"/>
  <c r="AO132" i="1"/>
  <c r="AT132" i="1" s="1"/>
  <c r="AO131" i="1"/>
  <c r="AT131" i="1" s="1"/>
  <c r="AO130" i="1"/>
  <c r="AT130" i="1" s="1"/>
  <c r="AO129" i="1"/>
  <c r="AT129" i="1" s="1"/>
  <c r="AO128" i="1"/>
  <c r="AT128" i="1" s="1"/>
  <c r="AO127" i="1"/>
  <c r="AT127" i="1" s="1"/>
  <c r="AO126" i="1"/>
  <c r="AT126" i="1" s="1"/>
  <c r="AO125" i="1"/>
  <c r="AT125" i="1" s="1"/>
  <c r="AO124" i="1"/>
  <c r="AT124" i="1" s="1"/>
  <c r="AO123" i="1"/>
  <c r="AT123" i="1" s="1"/>
  <c r="AO122" i="1"/>
  <c r="AT122" i="1" s="1"/>
  <c r="AO121" i="1"/>
  <c r="AT121" i="1" s="1"/>
  <c r="AO120" i="1"/>
  <c r="AT120" i="1" s="1"/>
  <c r="AO119" i="1"/>
  <c r="AT119" i="1" s="1"/>
  <c r="AO118" i="1"/>
  <c r="AN115" i="1"/>
  <c r="AM115" i="1"/>
  <c r="AO113" i="1"/>
  <c r="AN111" i="1"/>
  <c r="AO109" i="1"/>
  <c r="AT109" i="1" s="1"/>
  <c r="AO108" i="1"/>
  <c r="AT108" i="1" s="1"/>
  <c r="AO107" i="1"/>
  <c r="AN105" i="1"/>
  <c r="AO73" i="1"/>
  <c r="AT73" i="1" s="1"/>
  <c r="AO72" i="1"/>
  <c r="AT72" i="1" s="1"/>
  <c r="AO102" i="1"/>
  <c r="AT102" i="1" s="1"/>
  <c r="AO101" i="1"/>
  <c r="AT101" i="1" s="1"/>
  <c r="AO99" i="1"/>
  <c r="AT99" i="1" s="1"/>
  <c r="AO98" i="1"/>
  <c r="AT98" i="1" s="1"/>
  <c r="AO97" i="1"/>
  <c r="AT97" i="1" s="1"/>
  <c r="AO96" i="1"/>
  <c r="AT96" i="1" s="1"/>
  <c r="AO95" i="1"/>
  <c r="AT95" i="1" s="1"/>
  <c r="AO94" i="1"/>
  <c r="AT94" i="1" s="1"/>
  <c r="AO93" i="1"/>
  <c r="AT93" i="1" s="1"/>
  <c r="AO92" i="1"/>
  <c r="AT92" i="1" s="1"/>
  <c r="AO91" i="1"/>
  <c r="AT91" i="1" s="1"/>
  <c r="AO90" i="1"/>
  <c r="AT90" i="1" s="1"/>
  <c r="AO89" i="1"/>
  <c r="AT89" i="1" s="1"/>
  <c r="AO88" i="1"/>
  <c r="AT88" i="1" s="1"/>
  <c r="AO87" i="1"/>
  <c r="AT87" i="1" s="1"/>
  <c r="AO86" i="1"/>
  <c r="AT86" i="1" s="1"/>
  <c r="AO85" i="1"/>
  <c r="AT85" i="1" s="1"/>
  <c r="AO84" i="1"/>
  <c r="AT84" i="1" s="1"/>
  <c r="AO83" i="1"/>
  <c r="AT83" i="1" s="1"/>
  <c r="AO82" i="1"/>
  <c r="AT82" i="1" s="1"/>
  <c r="AO81" i="1"/>
  <c r="AT81" i="1" s="1"/>
  <c r="AO80" i="1"/>
  <c r="AT80" i="1" s="1"/>
  <c r="AO79" i="1"/>
  <c r="AT79" i="1" s="1"/>
  <c r="AO78" i="1"/>
  <c r="AT78" i="1" s="1"/>
  <c r="AO77" i="1"/>
  <c r="AT77" i="1" s="1"/>
  <c r="AO76" i="1"/>
  <c r="AT76" i="1" s="1"/>
  <c r="AO70" i="1"/>
  <c r="AT70" i="1" s="1"/>
  <c r="AO69" i="1"/>
  <c r="AT69" i="1" s="1"/>
  <c r="AO68" i="1"/>
  <c r="AT68" i="1" s="1"/>
  <c r="AO67" i="1"/>
  <c r="AT67" i="1" s="1"/>
  <c r="AO66" i="1"/>
  <c r="AT66" i="1" s="1"/>
  <c r="AO65" i="1"/>
  <c r="AT65" i="1" s="1"/>
  <c r="AO64" i="1"/>
  <c r="AT64" i="1" s="1"/>
  <c r="AO63" i="1"/>
  <c r="AT63" i="1" s="1"/>
  <c r="AO62" i="1"/>
  <c r="AT62" i="1" s="1"/>
  <c r="AO61" i="1"/>
  <c r="AT61" i="1" s="1"/>
  <c r="AO60" i="1"/>
  <c r="AT60" i="1" s="1"/>
  <c r="AO59" i="1"/>
  <c r="AT59" i="1" s="1"/>
  <c r="AO58" i="1"/>
  <c r="AT58" i="1" s="1"/>
  <c r="AO57" i="1"/>
  <c r="AO56" i="1"/>
  <c r="AT56" i="1" s="1"/>
  <c r="AO55" i="1"/>
  <c r="AT55" i="1" s="1"/>
  <c r="AT50" i="1"/>
  <c r="AT51" i="1" s="1"/>
  <c r="AO50" i="1"/>
  <c r="AO51" i="1" s="1"/>
  <c r="AN50" i="1"/>
  <c r="AN51" i="1" s="1"/>
  <c r="AM50" i="1"/>
  <c r="AM51" i="1" s="1"/>
  <c r="AN48" i="1"/>
  <c r="AM48" i="1"/>
  <c r="AO47" i="1"/>
  <c r="AT47" i="1" s="1"/>
  <c r="AO46" i="1"/>
  <c r="AT46" i="1" s="1"/>
  <c r="AO44" i="1"/>
  <c r="AT44" i="1" s="1"/>
  <c r="AO43" i="1"/>
  <c r="AT43" i="1" s="1"/>
  <c r="AO42" i="1"/>
  <c r="AT42" i="1" s="1"/>
  <c r="AO41" i="1"/>
  <c r="AT41" i="1" s="1"/>
  <c r="AO40" i="1"/>
  <c r="AT40" i="1" s="1"/>
  <c r="AO39" i="1"/>
  <c r="AT39" i="1" s="1"/>
  <c r="AO38" i="1"/>
  <c r="AT38" i="1" s="1"/>
  <c r="AO37" i="1"/>
  <c r="AT37" i="1" s="1"/>
  <c r="AO36" i="1"/>
  <c r="AT36" i="1" s="1"/>
  <c r="AO35" i="1"/>
  <c r="AT35" i="1" s="1"/>
  <c r="AO32" i="1"/>
  <c r="AT32" i="1" s="1"/>
  <c r="AO31" i="1"/>
  <c r="AT31" i="1" s="1"/>
  <c r="AO30" i="1"/>
  <c r="AT30" i="1" s="1"/>
  <c r="AO29" i="1"/>
  <c r="AT29" i="1" s="1"/>
  <c r="AO28" i="1"/>
  <c r="AT28" i="1" s="1"/>
  <c r="AO27" i="1"/>
  <c r="AT27" i="1" s="1"/>
  <c r="AO26" i="1"/>
  <c r="AT26" i="1" s="1"/>
  <c r="AO25" i="1"/>
  <c r="AT25" i="1" s="1"/>
  <c r="AO24" i="1"/>
  <c r="AT24" i="1" s="1"/>
  <c r="AO23" i="1"/>
  <c r="AT23" i="1" s="1"/>
  <c r="AO22" i="1"/>
  <c r="AT22" i="1" s="1"/>
  <c r="AO21" i="1"/>
  <c r="AM18" i="1"/>
  <c r="AO15" i="1"/>
  <c r="AN9" i="1"/>
  <c r="AO9" i="1" s="1"/>
  <c r="AT9" i="1" s="1"/>
  <c r="H52" i="3"/>
  <c r="I46" i="21"/>
  <c r="I74" i="21"/>
  <c r="I73" i="21" s="1"/>
  <c r="Q762" i="1"/>
  <c r="P762" i="1"/>
  <c r="R761" i="1"/>
  <c r="Q759" i="1"/>
  <c r="P759" i="1"/>
  <c r="R758" i="1"/>
  <c r="Q754" i="1"/>
  <c r="P754" i="1"/>
  <c r="R753" i="1"/>
  <c r="W753" i="1" s="1"/>
  <c r="R752" i="1"/>
  <c r="W752" i="1" s="1"/>
  <c r="R751" i="1"/>
  <c r="W751" i="1" s="1"/>
  <c r="R748" i="1"/>
  <c r="Q744" i="1"/>
  <c r="P744" i="1"/>
  <c r="R742" i="1"/>
  <c r="W742" i="1" s="1"/>
  <c r="I18" i="41" s="1"/>
  <c r="R741" i="1"/>
  <c r="W741" i="1" s="1"/>
  <c r="R740" i="1"/>
  <c r="W740" i="1" s="1"/>
  <c r="I16" i="41" s="1"/>
  <c r="R739" i="1"/>
  <c r="W739" i="1" s="1"/>
  <c r="I15" i="41" s="1"/>
  <c r="R738" i="1"/>
  <c r="W738" i="1" s="1"/>
  <c r="I14" i="41" s="1"/>
  <c r="R737" i="1"/>
  <c r="W737" i="1" s="1"/>
  <c r="R736" i="1"/>
  <c r="W736" i="1" s="1"/>
  <c r="R735" i="1"/>
  <c r="W735" i="1" s="1"/>
  <c r="I11" i="41" s="1"/>
  <c r="R734" i="1"/>
  <c r="W734" i="1" s="1"/>
  <c r="I10" i="41" s="1"/>
  <c r="R733" i="1"/>
  <c r="W733" i="1" s="1"/>
  <c r="I9" i="41" s="1"/>
  <c r="R732" i="1"/>
  <c r="P730" i="1"/>
  <c r="R727" i="1"/>
  <c r="W727" i="1" s="1"/>
  <c r="I7" i="41" s="1"/>
  <c r="W726" i="1"/>
  <c r="I9" i="40" s="1"/>
  <c r="R725" i="1"/>
  <c r="W725" i="1" s="1"/>
  <c r="I8" i="40" s="1"/>
  <c r="R724" i="1"/>
  <c r="Q719" i="1"/>
  <c r="P719" i="1"/>
  <c r="R718" i="1"/>
  <c r="W718" i="1" s="1"/>
  <c r="R717" i="1"/>
  <c r="W717" i="1" s="1"/>
  <c r="R716" i="1"/>
  <c r="W716" i="1" s="1"/>
  <c r="R715" i="1"/>
  <c r="W715" i="1" s="1"/>
  <c r="R714" i="1"/>
  <c r="W714" i="1" s="1"/>
  <c r="R713" i="1"/>
  <c r="W713" i="1" s="1"/>
  <c r="R712" i="1"/>
  <c r="W712" i="1" s="1"/>
  <c r="R711" i="1"/>
  <c r="W711" i="1" s="1"/>
  <c r="R710" i="1"/>
  <c r="W710" i="1" s="1"/>
  <c r="R709" i="1"/>
  <c r="W709" i="1" s="1"/>
  <c r="R708" i="1"/>
  <c r="W708" i="1" s="1"/>
  <c r="R707" i="1"/>
  <c r="W707" i="1" s="1"/>
  <c r="R706" i="1"/>
  <c r="W706" i="1" s="1"/>
  <c r="R705" i="1"/>
  <c r="W705" i="1" s="1"/>
  <c r="R704" i="1"/>
  <c r="W704" i="1" s="1"/>
  <c r="R703" i="1"/>
  <c r="W703" i="1" s="1"/>
  <c r="R702" i="1"/>
  <c r="W702" i="1" s="1"/>
  <c r="R701" i="1"/>
  <c r="W701" i="1" s="1"/>
  <c r="R700" i="1"/>
  <c r="W700" i="1" s="1"/>
  <c r="R699" i="1"/>
  <c r="W699" i="1" s="1"/>
  <c r="R698" i="1"/>
  <c r="W698" i="1" s="1"/>
  <c r="R696" i="1"/>
  <c r="W696" i="1" s="1"/>
  <c r="I31" i="39" s="1"/>
  <c r="R695" i="1"/>
  <c r="W695" i="1" s="1"/>
  <c r="I30" i="39" s="1"/>
  <c r="R694" i="1"/>
  <c r="W694" i="1" s="1"/>
  <c r="I29" i="39" s="1"/>
  <c r="R693" i="1"/>
  <c r="W693" i="1" s="1"/>
  <c r="R692" i="1"/>
  <c r="W692" i="1" s="1"/>
  <c r="I27" i="39" s="1"/>
  <c r="R691" i="1"/>
  <c r="W691" i="1" s="1"/>
  <c r="I26" i="39" s="1"/>
  <c r="R690" i="1"/>
  <c r="W690" i="1" s="1"/>
  <c r="I25" i="39" s="1"/>
  <c r="R689" i="1"/>
  <c r="W689" i="1" s="1"/>
  <c r="I24" i="39" s="1"/>
  <c r="R688" i="1"/>
  <c r="W688" i="1" s="1"/>
  <c r="I23" i="39" s="1"/>
  <c r="R687" i="1"/>
  <c r="W687" i="1" s="1"/>
  <c r="I22" i="39" s="1"/>
  <c r="R686" i="1"/>
  <c r="W686" i="1" s="1"/>
  <c r="I21" i="39" s="1"/>
  <c r="R685" i="1"/>
  <c r="W685" i="1" s="1"/>
  <c r="I20" i="39" s="1"/>
  <c r="R684" i="1"/>
  <c r="W684" i="1" s="1"/>
  <c r="I19" i="39" s="1"/>
  <c r="R683" i="1"/>
  <c r="W683" i="1" s="1"/>
  <c r="I18" i="39" s="1"/>
  <c r="R682" i="1"/>
  <c r="W682" i="1" s="1"/>
  <c r="I17" i="39" s="1"/>
  <c r="R681" i="1"/>
  <c r="W681" i="1" s="1"/>
  <c r="I16" i="39" s="1"/>
  <c r="R680" i="1"/>
  <c r="W680" i="1" s="1"/>
  <c r="I15" i="39" s="1"/>
  <c r="R679" i="1"/>
  <c r="W679" i="1" s="1"/>
  <c r="I14" i="39" s="1"/>
  <c r="R678" i="1"/>
  <c r="W678" i="1" s="1"/>
  <c r="I13" i="39" s="1"/>
  <c r="R677" i="1"/>
  <c r="W677" i="1" s="1"/>
  <c r="I12" i="39" s="1"/>
  <c r="R676" i="1"/>
  <c r="W676" i="1" s="1"/>
  <c r="I11" i="39" s="1"/>
  <c r="R675" i="1"/>
  <c r="W675" i="1" s="1"/>
  <c r="I10" i="39" s="1"/>
  <c r="R674" i="1"/>
  <c r="W674" i="1" s="1"/>
  <c r="I9" i="39" s="1"/>
  <c r="R673" i="1"/>
  <c r="W673" i="1" s="1"/>
  <c r="I8" i="39" s="1"/>
  <c r="R672" i="1"/>
  <c r="W672" i="1" s="1"/>
  <c r="I7" i="39" s="1"/>
  <c r="R671" i="1"/>
  <c r="W671" i="1" s="1"/>
  <c r="R670" i="1"/>
  <c r="W670" i="1" s="1"/>
  <c r="R669" i="1"/>
  <c r="W669" i="1" s="1"/>
  <c r="R668" i="1"/>
  <c r="W668" i="1" s="1"/>
  <c r="R667" i="1"/>
  <c r="W667" i="1" s="1"/>
  <c r="R666" i="1"/>
  <c r="W666" i="1" s="1"/>
  <c r="R665" i="1"/>
  <c r="R664" i="1"/>
  <c r="W664" i="1" s="1"/>
  <c r="Q662" i="1"/>
  <c r="Q720" i="1" s="1"/>
  <c r="P662" i="1"/>
  <c r="P720" i="1" s="1"/>
  <c r="R661" i="1"/>
  <c r="W661" i="1" s="1"/>
  <c r="G23" i="38" s="1"/>
  <c r="R659" i="1"/>
  <c r="W659" i="1" s="1"/>
  <c r="G21" i="38" s="1"/>
  <c r="R658" i="1"/>
  <c r="W658" i="1" s="1"/>
  <c r="R657" i="1"/>
  <c r="W657" i="1" s="1"/>
  <c r="R656" i="1"/>
  <c r="W656" i="1" s="1"/>
  <c r="R655" i="1"/>
  <c r="W655" i="1" s="1"/>
  <c r="R654" i="1"/>
  <c r="W654" i="1" s="1"/>
  <c r="R653" i="1"/>
  <c r="W653" i="1" s="1"/>
  <c r="R652" i="1"/>
  <c r="W652" i="1" s="1"/>
  <c r="R651" i="1"/>
  <c r="W651" i="1" s="1"/>
  <c r="R650" i="1"/>
  <c r="W650" i="1" s="1"/>
  <c r="G12" i="38" s="1"/>
  <c r="R649" i="1"/>
  <c r="W649" i="1" s="1"/>
  <c r="R648" i="1"/>
  <c r="W648" i="1" s="1"/>
  <c r="R647" i="1"/>
  <c r="W647" i="1" s="1"/>
  <c r="R646" i="1"/>
  <c r="W646" i="1" s="1"/>
  <c r="G8" i="38" s="1"/>
  <c r="R645" i="1"/>
  <c r="W645" i="1" s="1"/>
  <c r="R644" i="1"/>
  <c r="Q639" i="1"/>
  <c r="P639" i="1"/>
  <c r="R638" i="1"/>
  <c r="W638" i="1" s="1"/>
  <c r="G71" i="12" s="1"/>
  <c r="R636" i="1"/>
  <c r="W636" i="1" s="1"/>
  <c r="G70" i="12" s="1"/>
  <c r="R635" i="1"/>
  <c r="W635" i="1" s="1"/>
  <c r="G58" i="12" s="1"/>
  <c r="R634" i="1"/>
  <c r="W634" i="1" s="1"/>
  <c r="R633" i="1"/>
  <c r="W633" i="1" s="1"/>
  <c r="G68" i="12" s="1"/>
  <c r="R632" i="1"/>
  <c r="W632" i="1" s="1"/>
  <c r="G67" i="12" s="1"/>
  <c r="R631" i="1"/>
  <c r="W631" i="1" s="1"/>
  <c r="G66" i="12" s="1"/>
  <c r="R630" i="1"/>
  <c r="W630" i="1" s="1"/>
  <c r="G65" i="12" s="1"/>
  <c r="R629" i="1"/>
  <c r="W629" i="1" s="1"/>
  <c r="G64" i="12" s="1"/>
  <c r="R628" i="1"/>
  <c r="W628" i="1" s="1"/>
  <c r="G63" i="12" s="1"/>
  <c r="R627" i="1"/>
  <c r="W627" i="1" s="1"/>
  <c r="G59" i="12" s="1"/>
  <c r="R626" i="1"/>
  <c r="W626" i="1" s="1"/>
  <c r="G54" i="12" s="1"/>
  <c r="R625" i="1"/>
  <c r="W625" i="1" s="1"/>
  <c r="G62" i="12" s="1"/>
  <c r="R624" i="1"/>
  <c r="W624" i="1" s="1"/>
  <c r="G61" i="12" s="1"/>
  <c r="R623" i="1"/>
  <c r="W623" i="1" s="1"/>
  <c r="R622" i="1"/>
  <c r="W622" i="1" s="1"/>
  <c r="G60" i="12" s="1"/>
  <c r="R621" i="1"/>
  <c r="W621" i="1" s="1"/>
  <c r="R620" i="1"/>
  <c r="W620" i="1" s="1"/>
  <c r="R619" i="1"/>
  <c r="W619" i="1" s="1"/>
  <c r="R618" i="1"/>
  <c r="W618" i="1" s="1"/>
  <c r="R617" i="1"/>
  <c r="W617" i="1" s="1"/>
  <c r="R616" i="1"/>
  <c r="W616" i="1" s="1"/>
  <c r="R615" i="1"/>
  <c r="W615" i="1" s="1"/>
  <c r="R614" i="1"/>
  <c r="W614" i="1" s="1"/>
  <c r="R613" i="1"/>
  <c r="W613" i="1" s="1"/>
  <c r="R612" i="1"/>
  <c r="W612" i="1" s="1"/>
  <c r="R611" i="1"/>
  <c r="W611" i="1" s="1"/>
  <c r="R610" i="1"/>
  <c r="W610" i="1" s="1"/>
  <c r="R609" i="1"/>
  <c r="W609" i="1" s="1"/>
  <c r="R608" i="1"/>
  <c r="W608" i="1" s="1"/>
  <c r="R607" i="1"/>
  <c r="W607" i="1" s="1"/>
  <c r="G57" i="12" s="1"/>
  <c r="R606" i="1"/>
  <c r="W606" i="1" s="1"/>
  <c r="R605" i="1"/>
  <c r="P601" i="1"/>
  <c r="R600" i="1"/>
  <c r="W600" i="1" s="1"/>
  <c r="G43" i="12" s="1"/>
  <c r="G87" i="12" s="1"/>
  <c r="R599" i="1"/>
  <c r="W599" i="1" s="1"/>
  <c r="R598" i="1"/>
  <c r="W598" i="1" s="1"/>
  <c r="R597" i="1"/>
  <c r="W597" i="1" s="1"/>
  <c r="R596" i="1"/>
  <c r="W596" i="1" s="1"/>
  <c r="R595" i="1"/>
  <c r="W595" i="1" s="1"/>
  <c r="R594" i="1"/>
  <c r="W594" i="1" s="1"/>
  <c r="R591" i="1"/>
  <c r="W591" i="1" s="1"/>
  <c r="G39" i="12" s="1"/>
  <c r="R590" i="1"/>
  <c r="W590" i="1" s="1"/>
  <c r="R589" i="1"/>
  <c r="W589" i="1" s="1"/>
  <c r="R588" i="1"/>
  <c r="W588" i="1" s="1"/>
  <c r="R587" i="1"/>
  <c r="W587" i="1" s="1"/>
  <c r="R585" i="1"/>
  <c r="W585" i="1" s="1"/>
  <c r="R582" i="1"/>
  <c r="W582" i="1" s="1"/>
  <c r="R581" i="1"/>
  <c r="W581" i="1" s="1"/>
  <c r="R580" i="1"/>
  <c r="W580" i="1" s="1"/>
  <c r="R579" i="1"/>
  <c r="W579" i="1" s="1"/>
  <c r="R578" i="1"/>
  <c r="W578" i="1" s="1"/>
  <c r="R577" i="1"/>
  <c r="W577" i="1" s="1"/>
  <c r="R576" i="1"/>
  <c r="R571" i="1"/>
  <c r="W571" i="1" s="1"/>
  <c r="G24" i="12" s="1"/>
  <c r="G88" i="12" s="1"/>
  <c r="Q570" i="1"/>
  <c r="Q572" i="1" s="1"/>
  <c r="P570" i="1"/>
  <c r="P572" i="1" s="1"/>
  <c r="R569" i="1"/>
  <c r="W569" i="1" s="1"/>
  <c r="G22" i="12" s="1"/>
  <c r="R568" i="1"/>
  <c r="R564" i="1"/>
  <c r="W564" i="1" s="1"/>
  <c r="G14" i="12" s="1"/>
  <c r="G86" i="12" s="1"/>
  <c r="R562" i="1"/>
  <c r="W562" i="1" s="1"/>
  <c r="G12" i="12" s="1"/>
  <c r="R560" i="1"/>
  <c r="W560" i="1" s="1"/>
  <c r="G10" i="12" s="1"/>
  <c r="Q561" i="1"/>
  <c r="Q563" i="1" s="1"/>
  <c r="Q565" i="1" s="1"/>
  <c r="P559" i="1"/>
  <c r="P561" i="1" s="1"/>
  <c r="P563" i="1" s="1"/>
  <c r="P565" i="1" s="1"/>
  <c r="R558" i="1"/>
  <c r="W558" i="1" s="1"/>
  <c r="G8" i="12" s="1"/>
  <c r="R557" i="1"/>
  <c r="P554" i="1"/>
  <c r="O554" i="1" s="1"/>
  <c r="R551" i="1"/>
  <c r="W551" i="1" s="1"/>
  <c r="R550" i="1"/>
  <c r="W550" i="1" s="1"/>
  <c r="R549" i="1"/>
  <c r="W549" i="1" s="1"/>
  <c r="R548" i="1"/>
  <c r="W548" i="1" s="1"/>
  <c r="R546" i="1"/>
  <c r="R545" i="1"/>
  <c r="W545" i="1" s="1"/>
  <c r="R542" i="1"/>
  <c r="Q536" i="1"/>
  <c r="P536" i="1"/>
  <c r="R535" i="1"/>
  <c r="W535" i="1" s="1"/>
  <c r="R534" i="1"/>
  <c r="W534" i="1" s="1"/>
  <c r="R533" i="1"/>
  <c r="W533" i="1" s="1"/>
  <c r="R532" i="1"/>
  <c r="Q529" i="1"/>
  <c r="P529" i="1"/>
  <c r="R527" i="1"/>
  <c r="R522" i="1"/>
  <c r="Q520" i="1"/>
  <c r="P520" i="1"/>
  <c r="R519" i="1"/>
  <c r="W519" i="1" s="1"/>
  <c r="R518" i="1"/>
  <c r="W518" i="1" s="1"/>
  <c r="R517" i="1"/>
  <c r="W517" i="1" s="1"/>
  <c r="R516" i="1"/>
  <c r="W516" i="1" s="1"/>
  <c r="R515" i="1"/>
  <c r="W515" i="1" s="1"/>
  <c r="R512" i="1"/>
  <c r="W512" i="1" s="1"/>
  <c r="R508" i="1"/>
  <c r="Q504" i="1"/>
  <c r="P504" i="1"/>
  <c r="R503" i="1"/>
  <c r="W503" i="1" s="1"/>
  <c r="R502" i="1"/>
  <c r="W502" i="1" s="1"/>
  <c r="R501" i="1"/>
  <c r="W501" i="1" s="1"/>
  <c r="R500" i="1"/>
  <c r="W500" i="1" s="1"/>
  <c r="R499" i="1"/>
  <c r="Q497" i="1"/>
  <c r="P497" i="1"/>
  <c r="R496" i="1"/>
  <c r="Q494" i="1"/>
  <c r="P494" i="1"/>
  <c r="R493" i="1"/>
  <c r="W493" i="1" s="1"/>
  <c r="R492" i="1"/>
  <c r="W492" i="1" s="1"/>
  <c r="R491" i="1"/>
  <c r="W491" i="1" s="1"/>
  <c r="R490" i="1"/>
  <c r="W490" i="1" s="1"/>
  <c r="R489" i="1"/>
  <c r="W489" i="1" s="1"/>
  <c r="R488" i="1"/>
  <c r="W488" i="1" s="1"/>
  <c r="R487" i="1"/>
  <c r="W487" i="1" s="1"/>
  <c r="R484" i="1"/>
  <c r="Q481" i="1"/>
  <c r="P481" i="1"/>
  <c r="R480" i="1"/>
  <c r="Q474" i="1"/>
  <c r="P474" i="1"/>
  <c r="R473" i="1"/>
  <c r="W473" i="1" s="1"/>
  <c r="R472" i="1"/>
  <c r="Q470" i="1"/>
  <c r="P470" i="1"/>
  <c r="R469" i="1"/>
  <c r="Q467" i="1"/>
  <c r="P467" i="1"/>
  <c r="R465" i="1"/>
  <c r="W465" i="1" s="1"/>
  <c r="R464" i="1"/>
  <c r="W464" i="1" s="1"/>
  <c r="R463" i="1"/>
  <c r="W463" i="1" s="1"/>
  <c r="R462" i="1"/>
  <c r="W462" i="1" s="1"/>
  <c r="R461" i="1"/>
  <c r="W461" i="1" s="1"/>
  <c r="R460" i="1"/>
  <c r="W460" i="1" s="1"/>
  <c r="R459" i="1"/>
  <c r="W459" i="1" s="1"/>
  <c r="R458" i="1"/>
  <c r="W458" i="1" s="1"/>
  <c r="R457" i="1"/>
  <c r="W457" i="1" s="1"/>
  <c r="R456" i="1"/>
  <c r="W456" i="1" s="1"/>
  <c r="R455" i="1"/>
  <c r="Q453" i="1"/>
  <c r="P453" i="1"/>
  <c r="R452" i="1"/>
  <c r="W452" i="1" s="1"/>
  <c r="R450" i="1"/>
  <c r="W450" i="1" s="1"/>
  <c r="R449" i="1"/>
  <c r="W449" i="1" s="1"/>
  <c r="R448" i="1"/>
  <c r="W448" i="1" s="1"/>
  <c r="R447" i="1"/>
  <c r="W447" i="1" s="1"/>
  <c r="R446" i="1"/>
  <c r="W446" i="1" s="1"/>
  <c r="R445" i="1"/>
  <c r="W445" i="1" s="1"/>
  <c r="R444" i="1"/>
  <c r="W444" i="1" s="1"/>
  <c r="R443" i="1"/>
  <c r="W443" i="1" s="1"/>
  <c r="R442" i="1"/>
  <c r="W442" i="1" s="1"/>
  <c r="R441" i="1"/>
  <c r="W441" i="1" s="1"/>
  <c r="R439" i="1"/>
  <c r="W439" i="1" s="1"/>
  <c r="R438" i="1"/>
  <c r="W438" i="1" s="1"/>
  <c r="R437" i="1"/>
  <c r="W437" i="1" s="1"/>
  <c r="R436" i="1"/>
  <c r="W436" i="1" s="1"/>
  <c r="R435" i="1"/>
  <c r="Q433" i="1"/>
  <c r="P433" i="1"/>
  <c r="R432" i="1"/>
  <c r="W432" i="1" s="1"/>
  <c r="R431" i="1"/>
  <c r="W431" i="1" s="1"/>
  <c r="R430" i="1"/>
  <c r="W430" i="1" s="1"/>
  <c r="R429" i="1"/>
  <c r="W429" i="1" s="1"/>
  <c r="R428" i="1"/>
  <c r="W428" i="1" s="1"/>
  <c r="R427" i="1"/>
  <c r="W427" i="1" s="1"/>
  <c r="R426" i="1"/>
  <c r="W426" i="1" s="1"/>
  <c r="R425" i="1"/>
  <c r="W425" i="1" s="1"/>
  <c r="R424" i="1"/>
  <c r="Q422" i="1"/>
  <c r="P422" i="1"/>
  <c r="R420" i="1"/>
  <c r="W420" i="1" s="1"/>
  <c r="R419" i="1"/>
  <c r="Q417" i="1"/>
  <c r="R402" i="1"/>
  <c r="W402" i="1" s="1"/>
  <c r="R394" i="1"/>
  <c r="W394" i="1" s="1"/>
  <c r="R393" i="1"/>
  <c r="W393" i="1" s="1"/>
  <c r="R392" i="1"/>
  <c r="W392" i="1" s="1"/>
  <c r="R391" i="1"/>
  <c r="W391" i="1" s="1"/>
  <c r="R390" i="1"/>
  <c r="W390" i="1" s="1"/>
  <c r="R389" i="1"/>
  <c r="W389" i="1" s="1"/>
  <c r="R388" i="1"/>
  <c r="W388" i="1" s="1"/>
  <c r="R387" i="1"/>
  <c r="W387" i="1" s="1"/>
  <c r="R382" i="1"/>
  <c r="W382" i="1" s="1"/>
  <c r="R381" i="1"/>
  <c r="W381" i="1" s="1"/>
  <c r="R380" i="1"/>
  <c r="W380" i="1" s="1"/>
  <c r="R379" i="1"/>
  <c r="W379" i="1" s="1"/>
  <c r="R378" i="1"/>
  <c r="W378" i="1" s="1"/>
  <c r="R377" i="1"/>
  <c r="W377" i="1" s="1"/>
  <c r="R376" i="1"/>
  <c r="W376" i="1" s="1"/>
  <c r="R375" i="1"/>
  <c r="W375" i="1" s="1"/>
  <c r="R374" i="1"/>
  <c r="W374" i="1" s="1"/>
  <c r="R373" i="1"/>
  <c r="W373" i="1" s="1"/>
  <c r="R372" i="1"/>
  <c r="W372" i="1" s="1"/>
  <c r="R371" i="1"/>
  <c r="W371" i="1" s="1"/>
  <c r="R370" i="1"/>
  <c r="W370" i="1" s="1"/>
  <c r="R369" i="1"/>
  <c r="W369" i="1" s="1"/>
  <c r="R368" i="1"/>
  <c r="W368" i="1" s="1"/>
  <c r="R367" i="1"/>
  <c r="W367" i="1" s="1"/>
  <c r="R366" i="1"/>
  <c r="W366" i="1" s="1"/>
  <c r="R365" i="1"/>
  <c r="W365" i="1" s="1"/>
  <c r="R364" i="1"/>
  <c r="W364" i="1" s="1"/>
  <c r="R363" i="1"/>
  <c r="W363" i="1" s="1"/>
  <c r="R362" i="1"/>
  <c r="W362" i="1" s="1"/>
  <c r="R361" i="1"/>
  <c r="W361" i="1" s="1"/>
  <c r="R360" i="1"/>
  <c r="W360" i="1" s="1"/>
  <c r="R359" i="1"/>
  <c r="W359" i="1" s="1"/>
  <c r="R358" i="1"/>
  <c r="W358" i="1" s="1"/>
  <c r="R357" i="1"/>
  <c r="W357" i="1" s="1"/>
  <c r="R356" i="1"/>
  <c r="W356" i="1" s="1"/>
  <c r="R355" i="1"/>
  <c r="W355" i="1" s="1"/>
  <c r="R354" i="1"/>
  <c r="W354" i="1" s="1"/>
  <c r="R353" i="1"/>
  <c r="W353" i="1" s="1"/>
  <c r="R352" i="1"/>
  <c r="W352" i="1" s="1"/>
  <c r="R351" i="1"/>
  <c r="W351" i="1" s="1"/>
  <c r="R350" i="1"/>
  <c r="W350" i="1" s="1"/>
  <c r="R349" i="1"/>
  <c r="W349" i="1" s="1"/>
  <c r="R348" i="1"/>
  <c r="W348" i="1" s="1"/>
  <c r="R347" i="1"/>
  <c r="W347" i="1" s="1"/>
  <c r="R346" i="1"/>
  <c r="W346" i="1" s="1"/>
  <c r="R345" i="1"/>
  <c r="W345" i="1" s="1"/>
  <c r="R344" i="1"/>
  <c r="W344" i="1" s="1"/>
  <c r="R343" i="1"/>
  <c r="W343" i="1" s="1"/>
  <c r="R342" i="1"/>
  <c r="W342" i="1" s="1"/>
  <c r="R341" i="1"/>
  <c r="W341" i="1" s="1"/>
  <c r="R340" i="1"/>
  <c r="W340" i="1" s="1"/>
  <c r="R339" i="1"/>
  <c r="W339" i="1" s="1"/>
  <c r="R338" i="1"/>
  <c r="W338" i="1" s="1"/>
  <c r="R337" i="1"/>
  <c r="W337" i="1" s="1"/>
  <c r="R336" i="1"/>
  <c r="W336" i="1" s="1"/>
  <c r="R335" i="1"/>
  <c r="W335" i="1" s="1"/>
  <c r="R334" i="1"/>
  <c r="W334" i="1" s="1"/>
  <c r="R333" i="1"/>
  <c r="W333" i="1" s="1"/>
  <c r="R332" i="1"/>
  <c r="W332" i="1" s="1"/>
  <c r="R331" i="1"/>
  <c r="W331" i="1" s="1"/>
  <c r="R330" i="1"/>
  <c r="W330" i="1" s="1"/>
  <c r="R329" i="1"/>
  <c r="W329" i="1" s="1"/>
  <c r="R328" i="1"/>
  <c r="W328" i="1" s="1"/>
  <c r="R327" i="1"/>
  <c r="W327" i="1" s="1"/>
  <c r="R326" i="1"/>
  <c r="W326" i="1" s="1"/>
  <c r="R325" i="1"/>
  <c r="W325" i="1" s="1"/>
  <c r="R324" i="1"/>
  <c r="W324" i="1" s="1"/>
  <c r="R323" i="1"/>
  <c r="W323" i="1" s="1"/>
  <c r="R322" i="1"/>
  <c r="W322" i="1" s="1"/>
  <c r="R321" i="1"/>
  <c r="W321" i="1" s="1"/>
  <c r="R320" i="1"/>
  <c r="W320" i="1" s="1"/>
  <c r="R319" i="1"/>
  <c r="W319" i="1" s="1"/>
  <c r="R318" i="1"/>
  <c r="W318" i="1" s="1"/>
  <c r="R317" i="1"/>
  <c r="W317" i="1" s="1"/>
  <c r="R316" i="1"/>
  <c r="W316" i="1" s="1"/>
  <c r="R315" i="1"/>
  <c r="W315" i="1" s="1"/>
  <c r="R314" i="1"/>
  <c r="W314" i="1" s="1"/>
  <c r="R313" i="1"/>
  <c r="W313" i="1" s="1"/>
  <c r="R312" i="1"/>
  <c r="W312" i="1" s="1"/>
  <c r="R311" i="1"/>
  <c r="W311" i="1" s="1"/>
  <c r="R310" i="1"/>
  <c r="W310" i="1" s="1"/>
  <c r="R309" i="1"/>
  <c r="W309" i="1" s="1"/>
  <c r="R308" i="1"/>
  <c r="W308" i="1" s="1"/>
  <c r="R307" i="1"/>
  <c r="W307" i="1" s="1"/>
  <c r="R306" i="1"/>
  <c r="W306" i="1" s="1"/>
  <c r="R305" i="1"/>
  <c r="W305" i="1" s="1"/>
  <c r="R304" i="1"/>
  <c r="W304" i="1" s="1"/>
  <c r="R303" i="1"/>
  <c r="W303" i="1" s="1"/>
  <c r="R302" i="1"/>
  <c r="W302" i="1" s="1"/>
  <c r="R301" i="1"/>
  <c r="W301" i="1" s="1"/>
  <c r="R299" i="1"/>
  <c r="W299" i="1" s="1"/>
  <c r="R298" i="1"/>
  <c r="W298" i="1" s="1"/>
  <c r="R297" i="1"/>
  <c r="W297" i="1" s="1"/>
  <c r="R296" i="1"/>
  <c r="W296" i="1" s="1"/>
  <c r="R295" i="1"/>
  <c r="W295" i="1" s="1"/>
  <c r="R294" i="1"/>
  <c r="W294" i="1" s="1"/>
  <c r="R293" i="1"/>
  <c r="W293" i="1" s="1"/>
  <c r="R292" i="1"/>
  <c r="W292" i="1" s="1"/>
  <c r="R291" i="1"/>
  <c r="W291" i="1" s="1"/>
  <c r="R290" i="1"/>
  <c r="Q288" i="1"/>
  <c r="P288" i="1"/>
  <c r="G21" i="36" s="1"/>
  <c r="R287" i="1"/>
  <c r="W287" i="1" s="1"/>
  <c r="R286" i="1"/>
  <c r="W286" i="1" s="1"/>
  <c r="R285" i="1"/>
  <c r="W285" i="1" s="1"/>
  <c r="R284" i="1"/>
  <c r="W284" i="1" s="1"/>
  <c r="R283" i="1"/>
  <c r="W283" i="1" s="1"/>
  <c r="R282" i="1"/>
  <c r="W282" i="1" s="1"/>
  <c r="R281" i="1"/>
  <c r="W281" i="1" s="1"/>
  <c r="R280" i="1"/>
  <c r="W280" i="1" s="1"/>
  <c r="R279" i="1"/>
  <c r="W279" i="1" s="1"/>
  <c r="R278" i="1"/>
  <c r="W278" i="1" s="1"/>
  <c r="I64" i="21" s="1"/>
  <c r="R277" i="1"/>
  <c r="W277" i="1" s="1"/>
  <c r="R276" i="1"/>
  <c r="W276" i="1" s="1"/>
  <c r="R275" i="1"/>
  <c r="W275" i="1" s="1"/>
  <c r="R274" i="1"/>
  <c r="W274" i="1" s="1"/>
  <c r="R273" i="1"/>
  <c r="W273" i="1" s="1"/>
  <c r="R272" i="1"/>
  <c r="W272" i="1" s="1"/>
  <c r="R271" i="1"/>
  <c r="W271" i="1" s="1"/>
  <c r="R270" i="1"/>
  <c r="W270" i="1" s="1"/>
  <c r="R269" i="1"/>
  <c r="W269" i="1" s="1"/>
  <c r="R268" i="1"/>
  <c r="W268" i="1" s="1"/>
  <c r="R267" i="1"/>
  <c r="W267" i="1" s="1"/>
  <c r="R266" i="1"/>
  <c r="W266" i="1" s="1"/>
  <c r="R265" i="1"/>
  <c r="W265" i="1" s="1"/>
  <c r="R264" i="1"/>
  <c r="W264" i="1" s="1"/>
  <c r="R263" i="1"/>
  <c r="W263" i="1" s="1"/>
  <c r="R262" i="1"/>
  <c r="W262" i="1" s="1"/>
  <c r="R261" i="1"/>
  <c r="W261" i="1" s="1"/>
  <c r="R260" i="1"/>
  <c r="Q252" i="1"/>
  <c r="P252" i="1"/>
  <c r="R250" i="1"/>
  <c r="Q248" i="1"/>
  <c r="P248" i="1"/>
  <c r="R247" i="1"/>
  <c r="Q245" i="1"/>
  <c r="P245" i="1"/>
  <c r="R244" i="1"/>
  <c r="W244" i="1" s="1"/>
  <c r="R242" i="1"/>
  <c r="W242" i="1" s="1"/>
  <c r="R241" i="1"/>
  <c r="W241" i="1" s="1"/>
  <c r="R240" i="1"/>
  <c r="W240" i="1" s="1"/>
  <c r="R239" i="1"/>
  <c r="Q236" i="1"/>
  <c r="P236" i="1"/>
  <c r="R235" i="1"/>
  <c r="W235" i="1" s="1"/>
  <c r="R232" i="1"/>
  <c r="Q223" i="1"/>
  <c r="P223" i="1"/>
  <c r="R221" i="1"/>
  <c r="Q218" i="1"/>
  <c r="P218" i="1"/>
  <c r="R217" i="1"/>
  <c r="W217" i="1" s="1"/>
  <c r="R216" i="1"/>
  <c r="Q214" i="1"/>
  <c r="P214" i="1"/>
  <c r="R213" i="1"/>
  <c r="W213" i="1" s="1"/>
  <c r="X213" i="1" s="1"/>
  <c r="R212" i="1"/>
  <c r="W212" i="1" s="1"/>
  <c r="X212" i="1" s="1"/>
  <c r="R211" i="1"/>
  <c r="W211" i="1" s="1"/>
  <c r="X211" i="1" s="1"/>
  <c r="R210" i="1"/>
  <c r="W210" i="1" s="1"/>
  <c r="X210" i="1" s="1"/>
  <c r="R209" i="1"/>
  <c r="W209" i="1" s="1"/>
  <c r="X209" i="1" s="1"/>
  <c r="R208" i="1"/>
  <c r="W208" i="1" s="1"/>
  <c r="X208" i="1" s="1"/>
  <c r="R207" i="1"/>
  <c r="W207" i="1" s="1"/>
  <c r="X207" i="1" s="1"/>
  <c r="R206" i="1"/>
  <c r="W206" i="1" s="1"/>
  <c r="X206" i="1" s="1"/>
  <c r="R205" i="1"/>
  <c r="W205" i="1" s="1"/>
  <c r="X205" i="1" s="1"/>
  <c r="R204" i="1"/>
  <c r="W204" i="1" s="1"/>
  <c r="X204" i="1" s="1"/>
  <c r="R203" i="1"/>
  <c r="Q201" i="1"/>
  <c r="P201" i="1"/>
  <c r="R200" i="1"/>
  <c r="W200" i="1" s="1"/>
  <c r="R199" i="1"/>
  <c r="W199" i="1" s="1"/>
  <c r="R198" i="1"/>
  <c r="W198" i="1" s="1"/>
  <c r="R197" i="1"/>
  <c r="W197" i="1" s="1"/>
  <c r="R196" i="1"/>
  <c r="W196" i="1" s="1"/>
  <c r="R195" i="1"/>
  <c r="W195" i="1" s="1"/>
  <c r="R194" i="1"/>
  <c r="W194" i="1" s="1"/>
  <c r="R193" i="1"/>
  <c r="W193" i="1" s="1"/>
  <c r="R192" i="1"/>
  <c r="W192" i="1" s="1"/>
  <c r="R191" i="1"/>
  <c r="W191" i="1" s="1"/>
  <c r="R190" i="1"/>
  <c r="W190" i="1" s="1"/>
  <c r="R189" i="1"/>
  <c r="Q187" i="1"/>
  <c r="P187" i="1"/>
  <c r="R186" i="1"/>
  <c r="W186" i="1" s="1"/>
  <c r="R185" i="1"/>
  <c r="W185" i="1" s="1"/>
  <c r="R184" i="1"/>
  <c r="Q182" i="1"/>
  <c r="P182" i="1"/>
  <c r="R181" i="1"/>
  <c r="W181" i="1" s="1"/>
  <c r="R180" i="1"/>
  <c r="Q177" i="1"/>
  <c r="P177" i="1"/>
  <c r="R174" i="1"/>
  <c r="W174" i="1" s="1"/>
  <c r="E11" i="32" s="1"/>
  <c r="R173" i="1"/>
  <c r="W173" i="1" s="1"/>
  <c r="R172" i="1"/>
  <c r="W172" i="1" s="1"/>
  <c r="R171" i="1"/>
  <c r="W171" i="1" s="1"/>
  <c r="R170" i="1"/>
  <c r="W170" i="1" s="1"/>
  <c r="R169" i="1"/>
  <c r="W169" i="1" s="1"/>
  <c r="R168" i="1"/>
  <c r="W168" i="1" s="1"/>
  <c r="R167" i="1"/>
  <c r="W167" i="1" s="1"/>
  <c r="R166" i="1"/>
  <c r="W166" i="1" s="1"/>
  <c r="R165" i="1"/>
  <c r="W165" i="1" s="1"/>
  <c r="R164" i="1"/>
  <c r="W164" i="1" s="1"/>
  <c r="E16" i="32" s="1"/>
  <c r="R160" i="1"/>
  <c r="W160" i="1" s="1"/>
  <c r="R159" i="1"/>
  <c r="W159" i="1" s="1"/>
  <c r="R156" i="1"/>
  <c r="W156" i="1" s="1"/>
  <c r="R155" i="1"/>
  <c r="W155" i="1" s="1"/>
  <c r="R154" i="1"/>
  <c r="W154" i="1" s="1"/>
  <c r="R153" i="1"/>
  <c r="W153" i="1" s="1"/>
  <c r="R152" i="1"/>
  <c r="W152" i="1" s="1"/>
  <c r="R151" i="1"/>
  <c r="W151" i="1" s="1"/>
  <c r="R150" i="1"/>
  <c r="W150" i="1" s="1"/>
  <c r="R149" i="1"/>
  <c r="Q147" i="1"/>
  <c r="P147" i="1"/>
  <c r="O147" i="1" s="1"/>
  <c r="R145" i="1"/>
  <c r="W145" i="1" s="1"/>
  <c r="X24" i="12" s="1"/>
  <c r="R144" i="1"/>
  <c r="W144" i="1" s="1"/>
  <c r="X12" i="12" s="1"/>
  <c r="R143" i="1"/>
  <c r="W143" i="1" s="1"/>
  <c r="R142" i="1"/>
  <c r="W142" i="1" s="1"/>
  <c r="R141" i="1"/>
  <c r="W141" i="1" s="1"/>
  <c r="R140" i="1"/>
  <c r="Q138" i="1"/>
  <c r="P138" i="1"/>
  <c r="R137" i="1"/>
  <c r="W137" i="1" s="1"/>
  <c r="R134" i="1"/>
  <c r="W134" i="1" s="1"/>
  <c r="R133" i="1"/>
  <c r="W133" i="1" s="1"/>
  <c r="R132" i="1"/>
  <c r="W132" i="1" s="1"/>
  <c r="R131" i="1"/>
  <c r="W131" i="1" s="1"/>
  <c r="R130" i="1"/>
  <c r="W130" i="1" s="1"/>
  <c r="R129" i="1"/>
  <c r="W129" i="1" s="1"/>
  <c r="R128" i="1"/>
  <c r="W128" i="1" s="1"/>
  <c r="R127" i="1"/>
  <c r="W127" i="1" s="1"/>
  <c r="R126" i="1"/>
  <c r="W126" i="1" s="1"/>
  <c r="R125" i="1"/>
  <c r="W125" i="1" s="1"/>
  <c r="R124" i="1"/>
  <c r="W124" i="1" s="1"/>
  <c r="R123" i="1"/>
  <c r="W123" i="1" s="1"/>
  <c r="R122" i="1"/>
  <c r="W122" i="1" s="1"/>
  <c r="R121" i="1"/>
  <c r="W121" i="1" s="1"/>
  <c r="R120" i="1"/>
  <c r="W120" i="1" s="1"/>
  <c r="R119" i="1"/>
  <c r="W119" i="1" s="1"/>
  <c r="R118" i="1"/>
  <c r="Q115" i="1"/>
  <c r="P115" i="1"/>
  <c r="R113" i="1"/>
  <c r="Q111" i="1"/>
  <c r="P111" i="1"/>
  <c r="R109" i="1"/>
  <c r="W109" i="1" s="1"/>
  <c r="R108" i="1"/>
  <c r="W108" i="1" s="1"/>
  <c r="R107" i="1"/>
  <c r="R72" i="1"/>
  <c r="W72" i="1" s="1"/>
  <c r="R102" i="1"/>
  <c r="W102" i="1" s="1"/>
  <c r="R101" i="1"/>
  <c r="W101" i="1" s="1"/>
  <c r="R99" i="1"/>
  <c r="W99" i="1" s="1"/>
  <c r="R98" i="1"/>
  <c r="W98" i="1" s="1"/>
  <c r="R97" i="1"/>
  <c r="W97" i="1" s="1"/>
  <c r="R96" i="1"/>
  <c r="W96" i="1" s="1"/>
  <c r="R95" i="1"/>
  <c r="W95" i="1" s="1"/>
  <c r="R94" i="1"/>
  <c r="W94" i="1" s="1"/>
  <c r="R93" i="1"/>
  <c r="W93" i="1" s="1"/>
  <c r="R92" i="1"/>
  <c r="W92" i="1" s="1"/>
  <c r="R91" i="1"/>
  <c r="W91" i="1" s="1"/>
  <c r="R90" i="1"/>
  <c r="W90" i="1" s="1"/>
  <c r="R89" i="1"/>
  <c r="W89" i="1" s="1"/>
  <c r="R88" i="1"/>
  <c r="W88" i="1" s="1"/>
  <c r="R87" i="1"/>
  <c r="W87" i="1" s="1"/>
  <c r="R86" i="1"/>
  <c r="W86" i="1" s="1"/>
  <c r="R85" i="1"/>
  <c r="W85" i="1" s="1"/>
  <c r="R84" i="1"/>
  <c r="W84" i="1" s="1"/>
  <c r="R83" i="1"/>
  <c r="W83" i="1" s="1"/>
  <c r="R82" i="1"/>
  <c r="W82" i="1" s="1"/>
  <c r="R81" i="1"/>
  <c r="W81" i="1" s="1"/>
  <c r="R80" i="1"/>
  <c r="W80" i="1" s="1"/>
  <c r="R79" i="1"/>
  <c r="W79" i="1" s="1"/>
  <c r="R78" i="1"/>
  <c r="W78" i="1" s="1"/>
  <c r="R77" i="1"/>
  <c r="W77" i="1" s="1"/>
  <c r="R76" i="1"/>
  <c r="W76" i="1" s="1"/>
  <c r="R70" i="1"/>
  <c r="W70" i="1" s="1"/>
  <c r="R69" i="1"/>
  <c r="W69" i="1" s="1"/>
  <c r="R68" i="1"/>
  <c r="W68" i="1" s="1"/>
  <c r="R67" i="1"/>
  <c r="W67" i="1" s="1"/>
  <c r="R66" i="1"/>
  <c r="W66" i="1" s="1"/>
  <c r="R65" i="1"/>
  <c r="W65" i="1" s="1"/>
  <c r="R64" i="1"/>
  <c r="W64" i="1" s="1"/>
  <c r="R63" i="1"/>
  <c r="W63" i="1" s="1"/>
  <c r="R62" i="1"/>
  <c r="W62" i="1" s="1"/>
  <c r="R61" i="1"/>
  <c r="W61" i="1" s="1"/>
  <c r="R60" i="1"/>
  <c r="W60" i="1" s="1"/>
  <c r="R59" i="1"/>
  <c r="W59" i="1" s="1"/>
  <c r="R58" i="1"/>
  <c r="W58" i="1" s="1"/>
  <c r="R57" i="1"/>
  <c r="R56" i="1"/>
  <c r="W56" i="1" s="1"/>
  <c r="E12" i="25" s="1"/>
  <c r="R55" i="1"/>
  <c r="W55" i="1" s="1"/>
  <c r="W50" i="1"/>
  <c r="W51" i="1" s="1"/>
  <c r="R50" i="1"/>
  <c r="R51" i="1" s="1"/>
  <c r="Q50" i="1"/>
  <c r="Q51" i="1" s="1"/>
  <c r="P50" i="1"/>
  <c r="P51" i="1" s="1"/>
  <c r="Q48" i="1"/>
  <c r="P48" i="1"/>
  <c r="W47" i="1"/>
  <c r="W46" i="1"/>
  <c r="R44" i="1"/>
  <c r="W44" i="1" s="1"/>
  <c r="R43" i="1"/>
  <c r="W43" i="1" s="1"/>
  <c r="W42" i="1"/>
  <c r="R41" i="1"/>
  <c r="W41" i="1" s="1"/>
  <c r="R40" i="1"/>
  <c r="W40" i="1" s="1"/>
  <c r="R39" i="1"/>
  <c r="W39" i="1" s="1"/>
  <c r="R38" i="1"/>
  <c r="W38" i="1" s="1"/>
  <c r="R37" i="1"/>
  <c r="W37" i="1" s="1"/>
  <c r="R36" i="1"/>
  <c r="W36" i="1" s="1"/>
  <c r="R35" i="1"/>
  <c r="W35" i="1" s="1"/>
  <c r="R30" i="1"/>
  <c r="W30" i="1" s="1"/>
  <c r="W29" i="1"/>
  <c r="R28" i="1"/>
  <c r="W28" i="1" s="1"/>
  <c r="R27" i="1"/>
  <c r="W27" i="1" s="1"/>
  <c r="R26" i="1"/>
  <c r="W26" i="1" s="1"/>
  <c r="R25" i="1"/>
  <c r="W25" i="1" s="1"/>
  <c r="R24" i="1"/>
  <c r="W24" i="1" s="1"/>
  <c r="R23" i="1"/>
  <c r="W23" i="1" s="1"/>
  <c r="R22" i="1"/>
  <c r="W21" i="1"/>
  <c r="Q18" i="1"/>
  <c r="Q52" i="1" s="1"/>
  <c r="R17" i="1"/>
  <c r="W17" i="1" s="1"/>
  <c r="Q9" i="1"/>
  <c r="R9" i="1" s="1"/>
  <c r="W9" i="1" s="1"/>
  <c r="BF20" i="19"/>
  <c r="BF21" i="19" s="1"/>
  <c r="BF25" i="19"/>
  <c r="BF26" i="19" s="1"/>
  <c r="BF35" i="19"/>
  <c r="BF31" i="19"/>
  <c r="AL452" i="1"/>
  <c r="AL283" i="1"/>
  <c r="P745" i="1" l="1"/>
  <c r="AN745" i="1"/>
  <c r="AO422" i="1"/>
  <c r="G90" i="12"/>
  <c r="I90" i="12"/>
  <c r="X13" i="12"/>
  <c r="AM219" i="1"/>
  <c r="AM254" i="1" s="1"/>
  <c r="P505" i="1"/>
  <c r="BF36" i="19"/>
  <c r="BF37" i="19" s="1"/>
  <c r="AN640" i="1"/>
  <c r="AN641" i="1" s="1"/>
  <c r="AN721" i="1" s="1"/>
  <c r="AN746" i="1" s="1"/>
  <c r="AN756" i="1" s="1"/>
  <c r="P640" i="1"/>
  <c r="P641" i="1" s="1"/>
  <c r="P721" i="1" s="1"/>
  <c r="P746" i="1" s="1"/>
  <c r="P756" i="1" s="1"/>
  <c r="P764" i="1" s="1"/>
  <c r="AN219" i="1"/>
  <c r="AN254" i="1" s="1"/>
  <c r="AN476" i="1"/>
  <c r="AI21" i="23"/>
  <c r="AM505" i="1"/>
  <c r="X25" i="12"/>
  <c r="Q219" i="1"/>
  <c r="Q254" i="1" s="1"/>
  <c r="G42" i="12"/>
  <c r="X610" i="1"/>
  <c r="I42" i="12"/>
  <c r="K32" i="39"/>
  <c r="Q505" i="1"/>
  <c r="G69" i="12"/>
  <c r="Z25" i="12"/>
  <c r="AN505" i="1"/>
  <c r="I20" i="21"/>
  <c r="B19" i="18" s="1"/>
  <c r="P219" i="1"/>
  <c r="P254" i="1" s="1"/>
  <c r="R15" i="15"/>
  <c r="P15" i="15" s="1"/>
  <c r="P18" i="15" s="1"/>
  <c r="I32" i="39"/>
  <c r="AM52" i="1"/>
  <c r="AM178" i="1" s="1"/>
  <c r="Z42" i="12"/>
  <c r="AM640" i="1"/>
  <c r="AM641" i="1" s="1"/>
  <c r="AM721" i="1" s="1"/>
  <c r="AM746" i="1" s="1"/>
  <c r="AM756" i="1" s="1"/>
  <c r="AU610" i="1"/>
  <c r="E40" i="24"/>
  <c r="D7" i="22"/>
  <c r="D9" i="22" s="1"/>
  <c r="X42" i="12"/>
  <c r="X235" i="1"/>
  <c r="X462" i="1"/>
  <c r="AN7" i="22"/>
  <c r="I99" i="21"/>
  <c r="G7" i="38"/>
  <c r="G9" i="38"/>
  <c r="G10" i="38"/>
  <c r="G11" i="38"/>
  <c r="G13" i="38"/>
  <c r="G14" i="38"/>
  <c r="G15" i="38"/>
  <c r="G16" i="38"/>
  <c r="G17" i="38"/>
  <c r="G18" i="38"/>
  <c r="G19" i="38"/>
  <c r="G20" i="38"/>
  <c r="K20" i="21"/>
  <c r="S7" i="23" s="1"/>
  <c r="AZ20" i="23"/>
  <c r="Z7" i="22"/>
  <c r="B41" i="18"/>
  <c r="I28" i="39"/>
  <c r="I13" i="41"/>
  <c r="K15" i="21"/>
  <c r="I7" i="23" s="1"/>
  <c r="AU462" i="1"/>
  <c r="K61" i="21"/>
  <c r="I51" i="12"/>
  <c r="AV14" i="23"/>
  <c r="I55" i="12"/>
  <c r="AV15" i="23"/>
  <c r="K33" i="39"/>
  <c r="AX15" i="23"/>
  <c r="I33" i="39"/>
  <c r="BB15" i="22"/>
  <c r="G51" i="12"/>
  <c r="AZ14" i="22"/>
  <c r="G55" i="12"/>
  <c r="AZ15" i="22"/>
  <c r="I12" i="41"/>
  <c r="K13" i="41"/>
  <c r="R8" i="15"/>
  <c r="P8" i="15" s="1"/>
  <c r="E35" i="24"/>
  <c r="R10" i="15"/>
  <c r="P10" i="15" s="1"/>
  <c r="I15" i="21"/>
  <c r="B13" i="18" s="1"/>
  <c r="E11" i="27"/>
  <c r="E20" i="27" s="1"/>
  <c r="E20" i="32"/>
  <c r="E22" i="32" s="1"/>
  <c r="Q476" i="1"/>
  <c r="I61" i="21"/>
  <c r="B39" i="18" s="1"/>
  <c r="E11" i="34"/>
  <c r="G56" i="12"/>
  <c r="I35" i="39"/>
  <c r="I17" i="41"/>
  <c r="I38" i="12"/>
  <c r="K17" i="41"/>
  <c r="G54" i="23"/>
  <c r="B28" i="23"/>
  <c r="AT54" i="23"/>
  <c r="B28" i="22"/>
  <c r="T58" i="22"/>
  <c r="H58" i="22"/>
  <c r="AT15" i="1"/>
  <c r="AN18" i="1"/>
  <c r="AN52" i="1" s="1"/>
  <c r="AO17" i="1"/>
  <c r="AO48" i="1"/>
  <c r="AT21" i="1"/>
  <c r="AT48" i="1" s="1"/>
  <c r="AO105" i="1"/>
  <c r="AT57" i="1"/>
  <c r="AT105" i="1" s="1"/>
  <c r="AO111" i="1"/>
  <c r="AT107" i="1"/>
  <c r="AT111" i="1" s="1"/>
  <c r="K13" i="21" s="1"/>
  <c r="E7" i="23" s="1"/>
  <c r="AO115" i="1"/>
  <c r="AT113" i="1"/>
  <c r="AT115" i="1" s="1"/>
  <c r="AO138" i="1"/>
  <c r="AT118" i="1"/>
  <c r="AT138" i="1" s="1"/>
  <c r="AT140" i="1"/>
  <c r="AN147" i="1"/>
  <c r="AO144" i="1"/>
  <c r="AO177" i="1"/>
  <c r="AT149" i="1"/>
  <c r="K18" i="21" s="1"/>
  <c r="AO182" i="1"/>
  <c r="AT180" i="1"/>
  <c r="AT182" i="1" s="1"/>
  <c r="AO187" i="1"/>
  <c r="AT184" i="1"/>
  <c r="AT187" i="1" s="1"/>
  <c r="K28" i="21" s="1"/>
  <c r="H7" i="23" s="1"/>
  <c r="AO201" i="1"/>
  <c r="AT189" i="1"/>
  <c r="AT201" i="1" s="1"/>
  <c r="AO214" i="1"/>
  <c r="AT203" i="1"/>
  <c r="AT214" i="1" s="1"/>
  <c r="AO218" i="1"/>
  <c r="AT216" i="1"/>
  <c r="AT218" i="1" s="1"/>
  <c r="AO223" i="1"/>
  <c r="AT221" i="1"/>
  <c r="AT223" i="1" s="1"/>
  <c r="AO236" i="1"/>
  <c r="AT232" i="1"/>
  <c r="AT236" i="1" s="1"/>
  <c r="K33" i="21" s="1"/>
  <c r="U7" i="23" s="1"/>
  <c r="AO245" i="1"/>
  <c r="AT239" i="1"/>
  <c r="AT245" i="1" s="1"/>
  <c r="K37" i="21" s="1"/>
  <c r="V7" i="23" s="1"/>
  <c r="AO248" i="1"/>
  <c r="AT247" i="1"/>
  <c r="AT248" i="1" s="1"/>
  <c r="AO252" i="1"/>
  <c r="AT250" i="1"/>
  <c r="AT252" i="1" s="1"/>
  <c r="AO288" i="1"/>
  <c r="AT260" i="1"/>
  <c r="AT288" i="1" s="1"/>
  <c r="K55" i="21" s="1"/>
  <c r="AT290" i="1"/>
  <c r="AM417" i="1"/>
  <c r="AM476" i="1" s="1"/>
  <c r="AO401" i="1"/>
  <c r="AT419" i="1"/>
  <c r="AT422" i="1" s="1"/>
  <c r="AO433" i="1"/>
  <c r="AT424" i="1"/>
  <c r="K72" i="21" s="1"/>
  <c r="AO453" i="1"/>
  <c r="AT435" i="1"/>
  <c r="AT453" i="1" s="1"/>
  <c r="K57" i="21" s="1"/>
  <c r="AO467" i="1"/>
  <c r="AT455" i="1"/>
  <c r="AT467" i="1" s="1"/>
  <c r="AO470" i="1"/>
  <c r="AT469" i="1"/>
  <c r="AT470" i="1" s="1"/>
  <c r="AO474" i="1"/>
  <c r="AT472" i="1"/>
  <c r="K64" i="21" s="1"/>
  <c r="AO481" i="1"/>
  <c r="AT480" i="1"/>
  <c r="AT481" i="1" s="1"/>
  <c r="K76" i="21" s="1"/>
  <c r="AO494" i="1"/>
  <c r="AT484" i="1"/>
  <c r="AO497" i="1"/>
  <c r="AT496" i="1"/>
  <c r="AT497" i="1" s="1"/>
  <c r="K75" i="21" s="1"/>
  <c r="AL7" i="23" s="1"/>
  <c r="AO504" i="1"/>
  <c r="AT499" i="1"/>
  <c r="AT504" i="1" s="1"/>
  <c r="AO520" i="1"/>
  <c r="AT508" i="1"/>
  <c r="AT522" i="1"/>
  <c r="AO529" i="1"/>
  <c r="AT527" i="1"/>
  <c r="AT529" i="1" s="1"/>
  <c r="AO536" i="1"/>
  <c r="AT532" i="1"/>
  <c r="AT536" i="1" s="1"/>
  <c r="K102" i="21" s="1"/>
  <c r="AO554" i="1"/>
  <c r="AT542" i="1"/>
  <c r="AT554" i="1" s="1"/>
  <c r="H11" i="3" s="1"/>
  <c r="AO559" i="1"/>
  <c r="AO561" i="1" s="1"/>
  <c r="AO563" i="1" s="1"/>
  <c r="AO565" i="1" s="1"/>
  <c r="AT557" i="1"/>
  <c r="AO570" i="1"/>
  <c r="AO572" i="1" s="1"/>
  <c r="AT568" i="1"/>
  <c r="AO601" i="1"/>
  <c r="AT576" i="1"/>
  <c r="I34" i="12" s="1"/>
  <c r="AO639" i="1"/>
  <c r="AT605" i="1"/>
  <c r="AT639" i="1" s="1"/>
  <c r="I75" i="12" s="1"/>
  <c r="AO662" i="1"/>
  <c r="AT644" i="1"/>
  <c r="AO719" i="1"/>
  <c r="AT665" i="1"/>
  <c r="AO730" i="1"/>
  <c r="AT724" i="1"/>
  <c r="AO744" i="1"/>
  <c r="AT732" i="1"/>
  <c r="AU737" i="1" s="1"/>
  <c r="AO754" i="1"/>
  <c r="AT748" i="1"/>
  <c r="AO759" i="1"/>
  <c r="AT758" i="1"/>
  <c r="AT759" i="1" s="1"/>
  <c r="AO762" i="1"/>
  <c r="AT761" i="1"/>
  <c r="AT762" i="1" s="1"/>
  <c r="P18" i="1"/>
  <c r="P52" i="1" s="1"/>
  <c r="P178" i="1" s="1"/>
  <c r="R15" i="1"/>
  <c r="R48" i="1"/>
  <c r="W22" i="1"/>
  <c r="W57" i="1"/>
  <c r="Q105" i="1"/>
  <c r="Q178" i="1" s="1"/>
  <c r="R73" i="1"/>
  <c r="R111" i="1"/>
  <c r="W107" i="1"/>
  <c r="R115" i="1"/>
  <c r="W113" i="1"/>
  <c r="R138" i="1"/>
  <c r="W118" i="1"/>
  <c r="W138" i="1" s="1"/>
  <c r="R147" i="1"/>
  <c r="W140" i="1"/>
  <c r="W147" i="1" s="1"/>
  <c r="I16" i="21" s="1"/>
  <c r="B15" i="18" s="1"/>
  <c r="R177" i="1"/>
  <c r="W149" i="1"/>
  <c r="R182" i="1"/>
  <c r="W180" i="1"/>
  <c r="W182" i="1" s="1"/>
  <c r="G17" i="33" s="1"/>
  <c r="G18" i="33" s="1"/>
  <c r="R187" i="1"/>
  <c r="W184" i="1"/>
  <c r="R201" i="1"/>
  <c r="W189" i="1"/>
  <c r="W201" i="1" s="1"/>
  <c r="R214" i="1"/>
  <c r="W203" i="1"/>
  <c r="R218" i="1"/>
  <c r="W216" i="1"/>
  <c r="W218" i="1" s="1"/>
  <c r="R223" i="1"/>
  <c r="W221" i="1"/>
  <c r="W223" i="1" s="1"/>
  <c r="R236" i="1"/>
  <c r="W232" i="1"/>
  <c r="R245" i="1"/>
  <c r="W239" i="1"/>
  <c r="W245" i="1" s="1"/>
  <c r="I37" i="21" s="1"/>
  <c r="W7" i="22" s="1"/>
  <c r="R248" i="1"/>
  <c r="W247" i="1"/>
  <c r="W248" i="1" s="1"/>
  <c r="R252" i="1"/>
  <c r="W250" i="1"/>
  <c r="W252" i="1" s="1"/>
  <c r="R288" i="1"/>
  <c r="W260" i="1"/>
  <c r="W288" i="1" s="1"/>
  <c r="I55" i="21" s="1"/>
  <c r="B33" i="18" s="1"/>
  <c r="W290" i="1"/>
  <c r="P417" i="1"/>
  <c r="P476" i="1" s="1"/>
  <c r="R422" i="1"/>
  <c r="W419" i="1"/>
  <c r="W422" i="1" s="1"/>
  <c r="R433" i="1"/>
  <c r="W424" i="1"/>
  <c r="E11" i="30" s="1"/>
  <c r="E12" i="30" s="1"/>
  <c r="E13" i="30" s="1"/>
  <c r="R453" i="1"/>
  <c r="W435" i="1"/>
  <c r="W453" i="1" s="1"/>
  <c r="I57" i="21" s="1"/>
  <c r="R467" i="1"/>
  <c r="W455" i="1"/>
  <c r="R470" i="1"/>
  <c r="W469" i="1"/>
  <c r="W470" i="1" s="1"/>
  <c r="R474" i="1"/>
  <c r="W472" i="1"/>
  <c r="W474" i="1" s="1"/>
  <c r="R481" i="1"/>
  <c r="W480" i="1"/>
  <c r="W481" i="1" s="1"/>
  <c r="R494" i="1"/>
  <c r="W484" i="1"/>
  <c r="W494" i="1" s="1"/>
  <c r="R497" i="1"/>
  <c r="W496" i="1"/>
  <c r="W497" i="1" s="1"/>
  <c r="R504" i="1"/>
  <c r="W499" i="1"/>
  <c r="W504" i="1" s="1"/>
  <c r="I71" i="21" s="1"/>
  <c r="R520" i="1"/>
  <c r="W508" i="1"/>
  <c r="I98" i="21" s="1"/>
  <c r="W522" i="1"/>
  <c r="R529" i="1"/>
  <c r="W527" i="1"/>
  <c r="W529" i="1" s="1"/>
  <c r="R536" i="1"/>
  <c r="W532" i="1"/>
  <c r="W536" i="1" s="1"/>
  <c r="I102" i="21" s="1"/>
  <c r="B59" i="18" s="1"/>
  <c r="W542" i="1"/>
  <c r="Q554" i="1"/>
  <c r="R547" i="1"/>
  <c r="R559" i="1"/>
  <c r="R561" i="1" s="1"/>
  <c r="R563" i="1" s="1"/>
  <c r="R565" i="1" s="1"/>
  <c r="W557" i="1"/>
  <c r="R570" i="1"/>
  <c r="R572" i="1" s="1"/>
  <c r="W568" i="1"/>
  <c r="W576" i="1"/>
  <c r="G34" i="12" s="1"/>
  <c r="Q601" i="1"/>
  <c r="Q640" i="1" s="1"/>
  <c r="R586" i="1"/>
  <c r="R639" i="1"/>
  <c r="W605" i="1"/>
  <c r="W639" i="1" s="1"/>
  <c r="G75" i="12" s="1"/>
  <c r="R662" i="1"/>
  <c r="W644" i="1"/>
  <c r="R719" i="1"/>
  <c r="W665" i="1"/>
  <c r="W719" i="1" s="1"/>
  <c r="W724" i="1"/>
  <c r="I7" i="40" s="1"/>
  <c r="Q730" i="1"/>
  <c r="Q745" i="1" s="1"/>
  <c r="R728" i="1"/>
  <c r="R744" i="1"/>
  <c r="W732" i="1"/>
  <c r="X737" i="1" s="1"/>
  <c r="F19" i="3" s="1"/>
  <c r="R754" i="1"/>
  <c r="W748" i="1"/>
  <c r="R759" i="1"/>
  <c r="W758" i="1"/>
  <c r="W759" i="1" s="1"/>
  <c r="R762" i="1"/>
  <c r="W761" i="1"/>
  <c r="W762" i="1" s="1"/>
  <c r="AL285" i="1"/>
  <c r="AL235" i="1"/>
  <c r="AK213" i="1"/>
  <c r="AK212" i="1"/>
  <c r="AK211" i="1"/>
  <c r="AK210" i="1"/>
  <c r="AK209" i="1"/>
  <c r="AK208" i="1"/>
  <c r="AK207" i="1"/>
  <c r="AK206" i="1"/>
  <c r="AK205" i="1"/>
  <c r="AK204" i="1"/>
  <c r="AK203" i="1"/>
  <c r="Q506" i="1" l="1"/>
  <c r="P506" i="1"/>
  <c r="AM255" i="1"/>
  <c r="AM4" i="1" s="1"/>
  <c r="X665" i="1"/>
  <c r="BB14" i="22" s="1"/>
  <c r="B57" i="18"/>
  <c r="W111" i="1"/>
  <c r="I13" i="21" s="1"/>
  <c r="B12" i="18" s="1"/>
  <c r="R18" i="15"/>
  <c r="I72" i="12"/>
  <c r="I76" i="12" s="1"/>
  <c r="X43" i="12"/>
  <c r="P523" i="1"/>
  <c r="P525" i="1" s="1"/>
  <c r="P538" i="1" s="1"/>
  <c r="P539" i="1" s="1"/>
  <c r="P5" i="1" s="1"/>
  <c r="AN506" i="1"/>
  <c r="Q255" i="1"/>
  <c r="Q4" i="1" s="1"/>
  <c r="AM506" i="1"/>
  <c r="J7" i="22"/>
  <c r="AU665" i="1"/>
  <c r="AX14" i="23" s="1"/>
  <c r="B28" i="45"/>
  <c r="B30" i="45" s="1"/>
  <c r="Z43" i="12"/>
  <c r="AM764" i="1"/>
  <c r="AM523" i="1"/>
  <c r="AN764" i="1"/>
  <c r="AN523" i="1"/>
  <c r="AN525" i="1" s="1"/>
  <c r="AN538" i="1" s="1"/>
  <c r="P255" i="1"/>
  <c r="P4" i="1" s="1"/>
  <c r="E14" i="14"/>
  <c r="L7" i="22"/>
  <c r="B56" i="18"/>
  <c r="AM7" i="22"/>
  <c r="W214" i="1"/>
  <c r="W219" i="1" s="1"/>
  <c r="X203" i="1"/>
  <c r="C28" i="45"/>
  <c r="C30" i="45" s="1"/>
  <c r="H19" i="3"/>
  <c r="AZ7" i="23" s="1"/>
  <c r="AZ9" i="23" s="1"/>
  <c r="AU7" i="23"/>
  <c r="AU9" i="23" s="1"/>
  <c r="AU12" i="23" s="1"/>
  <c r="AU54" i="23" s="1"/>
  <c r="C10" i="45"/>
  <c r="I17" i="33"/>
  <c r="I18" i="33" s="1"/>
  <c r="K17" i="21"/>
  <c r="G72" i="12"/>
  <c r="G76" i="12" s="1"/>
  <c r="K56" i="21"/>
  <c r="AC7" i="23" s="1"/>
  <c r="D15" i="22"/>
  <c r="D32" i="22"/>
  <c r="B32" i="22" s="1"/>
  <c r="H31" i="5" s="1"/>
  <c r="AJ7" i="22"/>
  <c r="B35" i="18"/>
  <c r="AP7" i="23"/>
  <c r="K71" i="21"/>
  <c r="AT494" i="1"/>
  <c r="AT505" i="1" s="1"/>
  <c r="K74" i="21"/>
  <c r="AK7" i="23"/>
  <c r="AT474" i="1"/>
  <c r="K63" i="21"/>
  <c r="AF7" i="23" s="1"/>
  <c r="AI7" i="23"/>
  <c r="K14" i="21"/>
  <c r="D7" i="23" s="1"/>
  <c r="K7" i="22"/>
  <c r="U65" i="17"/>
  <c r="AS7" i="22"/>
  <c r="W467" i="1"/>
  <c r="I56" i="21" s="1"/>
  <c r="B34" i="18" s="1"/>
  <c r="E14" i="31"/>
  <c r="E15" i="31" s="1"/>
  <c r="H30" i="5"/>
  <c r="AT754" i="1"/>
  <c r="H25" i="3"/>
  <c r="W744" i="1"/>
  <c r="I8" i="41"/>
  <c r="I19" i="41" s="1"/>
  <c r="F17" i="3"/>
  <c r="I6" i="39"/>
  <c r="I36" i="39" s="1"/>
  <c r="I37" i="39" s="1"/>
  <c r="W662" i="1"/>
  <c r="W720" i="1" s="1"/>
  <c r="G6" i="38"/>
  <c r="G24" i="38" s="1"/>
  <c r="W570" i="1"/>
  <c r="W572" i="1" s="1"/>
  <c r="G21" i="12"/>
  <c r="G23" i="12" s="1"/>
  <c r="G25" i="12" s="1"/>
  <c r="W559" i="1"/>
  <c r="W561" i="1" s="1"/>
  <c r="W563" i="1" s="1"/>
  <c r="W565" i="1" s="1"/>
  <c r="G17" i="12" s="1"/>
  <c r="G7" i="12"/>
  <c r="G9" i="12" s="1"/>
  <c r="G11" i="12" s="1"/>
  <c r="I76" i="21"/>
  <c r="I63" i="21"/>
  <c r="E8" i="35"/>
  <c r="E12" i="35" s="1"/>
  <c r="N26" i="13"/>
  <c r="N27" i="13" s="1"/>
  <c r="W236" i="1"/>
  <c r="I33" i="21" s="1"/>
  <c r="E9" i="28"/>
  <c r="E10" i="28" s="1"/>
  <c r="W187" i="1"/>
  <c r="I28" i="21" s="1"/>
  <c r="I7" i="22" s="1"/>
  <c r="I17" i="21"/>
  <c r="X30" i="12"/>
  <c r="X31" i="12" s="1"/>
  <c r="W115" i="1"/>
  <c r="E71" i="25"/>
  <c r="W48" i="1"/>
  <c r="E23" i="24"/>
  <c r="E42" i="24" s="1"/>
  <c r="AT744" i="1"/>
  <c r="K8" i="41"/>
  <c r="K19" i="41" s="1"/>
  <c r="AT730" i="1"/>
  <c r="K7" i="40"/>
  <c r="K14" i="40" s="1"/>
  <c r="AT719" i="1"/>
  <c r="H17" i="3" s="1"/>
  <c r="K6" i="39"/>
  <c r="K36" i="39" s="1"/>
  <c r="AT601" i="1"/>
  <c r="I46" i="12" s="1"/>
  <c r="I44" i="12"/>
  <c r="Z30" i="12"/>
  <c r="Z31" i="12" s="1"/>
  <c r="E21" i="28"/>
  <c r="E22" i="28" s="1"/>
  <c r="AK7" i="22"/>
  <c r="P73" i="15"/>
  <c r="V73" i="15" s="1"/>
  <c r="P36" i="15"/>
  <c r="V36" i="15" s="1"/>
  <c r="P12" i="15"/>
  <c r="P20" i="15" s="1"/>
  <c r="R12" i="15"/>
  <c r="AT662" i="1"/>
  <c r="H16" i="3" s="1"/>
  <c r="I6" i="38"/>
  <c r="I24" i="38" s="1"/>
  <c r="AT570" i="1"/>
  <c r="AT572" i="1" s="1"/>
  <c r="I21" i="12"/>
  <c r="I23" i="12" s="1"/>
  <c r="I25" i="12" s="1"/>
  <c r="AT559" i="1"/>
  <c r="AT561" i="1" s="1"/>
  <c r="AT563" i="1" s="1"/>
  <c r="AT565" i="1" s="1"/>
  <c r="I17" i="12" s="1"/>
  <c r="I7" i="12"/>
  <c r="AT520" i="1"/>
  <c r="K98" i="21"/>
  <c r="AT433" i="1"/>
  <c r="K29" i="21"/>
  <c r="K39" i="21" s="1"/>
  <c r="AT177" i="1"/>
  <c r="M7" i="23"/>
  <c r="B34" i="23"/>
  <c r="J30" i="5"/>
  <c r="J37" i="5" s="1"/>
  <c r="C15" i="46" s="1"/>
  <c r="Y7" i="22"/>
  <c r="E25" i="14"/>
  <c r="AO745" i="1"/>
  <c r="AO720" i="1"/>
  <c r="AO640" i="1"/>
  <c r="AO641" i="1" s="1"/>
  <c r="AO505" i="1"/>
  <c r="AT401" i="1"/>
  <c r="AT417" i="1" s="1"/>
  <c r="K52" i="21" s="1"/>
  <c r="AO417" i="1"/>
  <c r="AO476" i="1" s="1"/>
  <c r="AT219" i="1"/>
  <c r="AT254" i="1" s="1"/>
  <c r="AO219" i="1"/>
  <c r="AO254" i="1" s="1"/>
  <c r="AT144" i="1"/>
  <c r="Z12" i="12" s="1"/>
  <c r="Z13" i="12" s="1"/>
  <c r="AO147" i="1"/>
  <c r="AT17" i="1"/>
  <c r="AT18" i="1" s="1"/>
  <c r="AT52" i="1" s="1"/>
  <c r="AO18" i="1"/>
  <c r="AO52" i="1" s="1"/>
  <c r="AN178" i="1"/>
  <c r="AN255" i="1" s="1"/>
  <c r="AN4" i="1" s="1"/>
  <c r="W754" i="1"/>
  <c r="F25" i="3"/>
  <c r="W520" i="1"/>
  <c r="W433" i="1"/>
  <c r="I72" i="21"/>
  <c r="W177" i="1"/>
  <c r="I18" i="21"/>
  <c r="W728" i="1"/>
  <c r="I13" i="40" s="1"/>
  <c r="I14" i="40" s="1"/>
  <c r="R730" i="1"/>
  <c r="R745" i="1" s="1"/>
  <c r="R720" i="1"/>
  <c r="W586" i="1"/>
  <c r="G38" i="12" s="1"/>
  <c r="G44" i="12" s="1"/>
  <c r="R601" i="1"/>
  <c r="R640" i="1" s="1"/>
  <c r="W547" i="1"/>
  <c r="W554" i="1" s="1"/>
  <c r="O644" i="1" s="1"/>
  <c r="R554" i="1"/>
  <c r="Q641" i="1"/>
  <c r="Q721" i="1" s="1"/>
  <c r="Q746" i="1" s="1"/>
  <c r="Q756" i="1" s="1"/>
  <c r="W505" i="1"/>
  <c r="R505" i="1"/>
  <c r="R417" i="1"/>
  <c r="R476" i="1" s="1"/>
  <c r="W417" i="1"/>
  <c r="I52" i="21" s="1"/>
  <c r="P33" i="15" s="1"/>
  <c r="R219" i="1"/>
  <c r="R254" i="1" s="1"/>
  <c r="W73" i="1"/>
  <c r="W105" i="1" s="1"/>
  <c r="R105" i="1"/>
  <c r="R18" i="1"/>
  <c r="W15" i="1"/>
  <c r="W18" i="1" s="1"/>
  <c r="Z728" i="1"/>
  <c r="AC578" i="1"/>
  <c r="AB578" i="1"/>
  <c r="AD726" i="1"/>
  <c r="AE726" i="1"/>
  <c r="L47" i="18"/>
  <c r="K47" i="18"/>
  <c r="I47" i="18"/>
  <c r="AD21" i="16"/>
  <c r="AD11" i="16"/>
  <c r="AF21" i="16"/>
  <c r="Y6" i="16"/>
  <c r="W6" i="16"/>
  <c r="S18" i="16"/>
  <c r="Q18" i="16"/>
  <c r="S17" i="16"/>
  <c r="Q17" i="16"/>
  <c r="Q7" i="16"/>
  <c r="S6" i="16"/>
  <c r="S11" i="16" s="1"/>
  <c r="Q6" i="16"/>
  <c r="K31" i="12"/>
  <c r="O86" i="21"/>
  <c r="AD23" i="16" l="1"/>
  <c r="Q11" i="16"/>
  <c r="S22" i="16"/>
  <c r="S24" i="16" s="1"/>
  <c r="Q22" i="16"/>
  <c r="Q24" i="16" s="1"/>
  <c r="E43" i="24"/>
  <c r="E51" i="24"/>
  <c r="E11" i="14"/>
  <c r="R20" i="15"/>
  <c r="I29" i="21"/>
  <c r="B22" i="18" s="1"/>
  <c r="AN539" i="1"/>
  <c r="AN5" i="1" s="1"/>
  <c r="AN6" i="1" s="1"/>
  <c r="J28" i="45"/>
  <c r="F7" i="22"/>
  <c r="J30" i="45"/>
  <c r="AT745" i="1"/>
  <c r="P6" i="1"/>
  <c r="W254" i="1"/>
  <c r="K66" i="21"/>
  <c r="AO721" i="1"/>
  <c r="AO746" i="1" s="1"/>
  <c r="AO756" i="1" s="1"/>
  <c r="AO764" i="1" s="1"/>
  <c r="I80" i="21"/>
  <c r="AO506" i="1"/>
  <c r="E24" i="14"/>
  <c r="C16" i="45"/>
  <c r="AD7" i="22"/>
  <c r="W601" i="1"/>
  <c r="G46" i="12" s="1"/>
  <c r="G47" i="12" s="1"/>
  <c r="R641" i="1"/>
  <c r="R721" i="1" s="1"/>
  <c r="R746" i="1" s="1"/>
  <c r="R756" i="1" s="1"/>
  <c r="R764" i="1" s="1"/>
  <c r="W476" i="1"/>
  <c r="W506" i="1" s="1"/>
  <c r="W730" i="1"/>
  <c r="X727" i="1" s="1"/>
  <c r="F18" i="3" s="1"/>
  <c r="AT147" i="1"/>
  <c r="K16" i="21" s="1"/>
  <c r="J7" i="23" s="1"/>
  <c r="AT476" i="1"/>
  <c r="AT506" i="1" s="1"/>
  <c r="AT720" i="1"/>
  <c r="K37" i="39"/>
  <c r="R506" i="1"/>
  <c r="AO178" i="1"/>
  <c r="AO255" i="1" s="1"/>
  <c r="AO4" i="1" s="1"/>
  <c r="AT640" i="1"/>
  <c r="I25" i="38"/>
  <c r="G25" i="38"/>
  <c r="AM525" i="1"/>
  <c r="AM538" i="1" s="1"/>
  <c r="AM539" i="1" s="1"/>
  <c r="AM5" i="1" s="1"/>
  <c r="AM6" i="1" s="1"/>
  <c r="AO523" i="1"/>
  <c r="AO525" i="1" s="1"/>
  <c r="AO538" i="1" s="1"/>
  <c r="AF6" i="16"/>
  <c r="AF11" i="16" s="1"/>
  <c r="AF23" i="16" s="1"/>
  <c r="K73" i="21"/>
  <c r="K80" i="21" s="1"/>
  <c r="E48" i="25"/>
  <c r="E25" i="25"/>
  <c r="F11" i="3"/>
  <c r="B10" i="45" s="1"/>
  <c r="J10" i="45" s="1"/>
  <c r="O10" i="45" s="1"/>
  <c r="O645" i="1"/>
  <c r="O647" i="1"/>
  <c r="O648" i="1"/>
  <c r="O649" i="1"/>
  <c r="O651" i="1"/>
  <c r="O652" i="1"/>
  <c r="O653" i="1"/>
  <c r="O654" i="1"/>
  <c r="O655" i="1"/>
  <c r="O656" i="1"/>
  <c r="O657" i="1"/>
  <c r="O658" i="1"/>
  <c r="O660" i="1"/>
  <c r="X660" i="1"/>
  <c r="X645" i="1"/>
  <c r="X647" i="1"/>
  <c r="X648" i="1"/>
  <c r="X649" i="1"/>
  <c r="X651" i="1"/>
  <c r="X652" i="1"/>
  <c r="X653" i="1"/>
  <c r="X654" i="1"/>
  <c r="X655" i="1"/>
  <c r="X656" i="1"/>
  <c r="X657" i="1"/>
  <c r="X658" i="1"/>
  <c r="X644" i="1"/>
  <c r="I9" i="12"/>
  <c r="I11" i="12" s="1"/>
  <c r="I13" i="12" s="1"/>
  <c r="I15" i="12" s="1"/>
  <c r="I18" i="12" s="1"/>
  <c r="AU727" i="1"/>
  <c r="H18" i="3" s="1"/>
  <c r="AY7" i="23" s="1"/>
  <c r="AY9" i="23" s="1"/>
  <c r="AY15" i="23" s="1"/>
  <c r="AY54" i="23" s="1"/>
  <c r="BA7" i="23"/>
  <c r="BA9" i="23" s="1"/>
  <c r="BA15" i="23" s="1"/>
  <c r="BA54" i="23" s="1"/>
  <c r="C19" i="45"/>
  <c r="B16" i="45"/>
  <c r="BD7" i="22"/>
  <c r="BD9" i="22" s="1"/>
  <c r="BD20" i="22" s="1"/>
  <c r="B20" i="22" s="1"/>
  <c r="H19" i="5" s="1"/>
  <c r="N7" i="22"/>
  <c r="B17" i="18"/>
  <c r="M7" i="22"/>
  <c r="B16" i="18"/>
  <c r="V7" i="22"/>
  <c r="B23" i="18"/>
  <c r="AX7" i="23"/>
  <c r="AX9" i="23" s="1"/>
  <c r="C14" i="45"/>
  <c r="AL7" i="22"/>
  <c r="B51" i="18"/>
  <c r="F16" i="3"/>
  <c r="B30" i="18"/>
  <c r="AW7" i="23"/>
  <c r="AW9" i="23" s="1"/>
  <c r="AW15" i="23" s="1"/>
  <c r="C13" i="45"/>
  <c r="BE7" i="22"/>
  <c r="BE9" i="22" s="1"/>
  <c r="BE15" i="22" s="1"/>
  <c r="BE58" i="22" s="1"/>
  <c r="B19" i="45"/>
  <c r="BB7" i="22"/>
  <c r="BB9" i="22" s="1"/>
  <c r="B14" i="45"/>
  <c r="AG7" i="23"/>
  <c r="Y7" i="23"/>
  <c r="R7" i="23"/>
  <c r="AE7" i="23"/>
  <c r="R52" i="1"/>
  <c r="R178" i="1" s="1"/>
  <c r="R255" i="1" s="1"/>
  <c r="R4" i="1" s="1"/>
  <c r="W52" i="1"/>
  <c r="W178" i="1" s="1"/>
  <c r="I14" i="21"/>
  <c r="E7" i="22" s="1"/>
  <c r="V33" i="15"/>
  <c r="I47" i="12"/>
  <c r="P72" i="15"/>
  <c r="P37" i="15"/>
  <c r="P74" i="15"/>
  <c r="V74" i="15" s="1"/>
  <c r="P40" i="15"/>
  <c r="V40" i="15" s="1"/>
  <c r="G13" i="12"/>
  <c r="G15" i="12" s="1"/>
  <c r="G73" i="12" s="1"/>
  <c r="AM7" i="23"/>
  <c r="AD7" i="23"/>
  <c r="AA7" i="23"/>
  <c r="K11" i="21"/>
  <c r="I66" i="21"/>
  <c r="AB7" i="22"/>
  <c r="E21" i="14"/>
  <c r="Q764" i="1"/>
  <c r="Q523" i="1"/>
  <c r="U120" i="21"/>
  <c r="S120" i="21"/>
  <c r="U119" i="21"/>
  <c r="S119" i="21"/>
  <c r="U118" i="21"/>
  <c r="S118" i="21"/>
  <c r="U105" i="21"/>
  <c r="U107" i="21" s="1"/>
  <c r="S104" i="21"/>
  <c r="Q104" i="21" s="1"/>
  <c r="AH7" i="54" s="1"/>
  <c r="AH6" i="54" s="1"/>
  <c r="AH8" i="54" s="1"/>
  <c r="AH54" i="54" s="1"/>
  <c r="O104" i="21"/>
  <c r="M101" i="21"/>
  <c r="S99" i="21"/>
  <c r="Q99" i="21"/>
  <c r="AF7" i="54" s="1"/>
  <c r="AF8" i="54" s="1"/>
  <c r="Q98" i="21"/>
  <c r="AE7" i="54" s="1"/>
  <c r="AE8" i="54" s="1"/>
  <c r="U74" i="21"/>
  <c r="S74" i="21"/>
  <c r="Q74" i="21"/>
  <c r="U72" i="21"/>
  <c r="S72" i="21"/>
  <c r="L46" i="18" s="1"/>
  <c r="Q46" i="18" s="1"/>
  <c r="Q72" i="21"/>
  <c r="X7" i="54" s="1"/>
  <c r="X8" i="54" s="1"/>
  <c r="X15" i="54" s="1"/>
  <c r="X71" i="54" s="1"/>
  <c r="U64" i="21"/>
  <c r="S64" i="21"/>
  <c r="Q64" i="21"/>
  <c r="T7" i="54" s="1"/>
  <c r="T8" i="54" s="1"/>
  <c r="T48" i="54" s="1"/>
  <c r="T71" i="54" s="1"/>
  <c r="U61" i="21"/>
  <c r="S61" i="21"/>
  <c r="Q61" i="21"/>
  <c r="U20" i="21"/>
  <c r="S20" i="21"/>
  <c r="Q20" i="21"/>
  <c r="M7" i="54" s="1"/>
  <c r="M8" i="54" s="1"/>
  <c r="M15" i="54" s="1"/>
  <c r="M71" i="54" s="1"/>
  <c r="U18" i="21"/>
  <c r="S18" i="21"/>
  <c r="Q18" i="21"/>
  <c r="L7" i="54" s="1"/>
  <c r="L8" i="54" s="1"/>
  <c r="L17" i="54" s="1"/>
  <c r="L71" i="54" s="1"/>
  <c r="U15" i="21"/>
  <c r="S15" i="21"/>
  <c r="Q15" i="21"/>
  <c r="I7" i="54" s="1"/>
  <c r="I8" i="54" s="1"/>
  <c r="I12" i="54" s="1"/>
  <c r="I71" i="54" s="1"/>
  <c r="AT178" i="1" l="1"/>
  <c r="AT255" i="1" s="1"/>
  <c r="AT4" i="1" s="1"/>
  <c r="J16" i="45"/>
  <c r="O16" i="45" s="1"/>
  <c r="AK8" i="48"/>
  <c r="AK9" i="48" s="1"/>
  <c r="AK43" i="48" s="1"/>
  <c r="B43" i="48" s="1"/>
  <c r="F48" i="5" s="1"/>
  <c r="AA7" i="54"/>
  <c r="AA8" i="54" s="1"/>
  <c r="AE17" i="54"/>
  <c r="AE71" i="54" s="1"/>
  <c r="AF53" i="54"/>
  <c r="D53" i="54" s="1"/>
  <c r="AH71" i="54"/>
  <c r="D54" i="54"/>
  <c r="R59" i="15"/>
  <c r="V59" i="15" s="1"/>
  <c r="S7" i="22"/>
  <c r="K82" i="21"/>
  <c r="I39" i="21"/>
  <c r="I11" i="21"/>
  <c r="H76" i="5" s="1"/>
  <c r="W255" i="1"/>
  <c r="W4" i="1" s="1"/>
  <c r="E12" i="14"/>
  <c r="B2" i="22"/>
  <c r="I82" i="21"/>
  <c r="AY7" i="22"/>
  <c r="AY9" i="22" s="1"/>
  <c r="AY12" i="22" s="1"/>
  <c r="AY58" i="22" s="1"/>
  <c r="J19" i="45"/>
  <c r="O19" i="45" s="1"/>
  <c r="AO539" i="1"/>
  <c r="AO5" i="1" s="1"/>
  <c r="AO6" i="1" s="1"/>
  <c r="E27" i="14"/>
  <c r="E28" i="14" s="1"/>
  <c r="W640" i="1"/>
  <c r="G77" i="12" s="1"/>
  <c r="W745" i="1"/>
  <c r="I73" i="12"/>
  <c r="I77" i="12" s="1"/>
  <c r="K104" i="21"/>
  <c r="AR7" i="23" s="1"/>
  <c r="AU8" i="48"/>
  <c r="AR7" i="49"/>
  <c r="G104" i="21"/>
  <c r="G105" i="21" s="1"/>
  <c r="M104" i="21"/>
  <c r="Z8" i="48"/>
  <c r="Z9" i="48" s="1"/>
  <c r="Y7" i="49"/>
  <c r="K8" i="48"/>
  <c r="K9" i="48" s="1"/>
  <c r="K13" i="48" s="1"/>
  <c r="K58" i="48" s="1"/>
  <c r="S7" i="49"/>
  <c r="AG7" i="49"/>
  <c r="AN8" i="48"/>
  <c r="AN9" i="48" s="1"/>
  <c r="AN7" i="49"/>
  <c r="C15" i="45"/>
  <c r="M8" i="48"/>
  <c r="M9" i="48" s="1"/>
  <c r="M15" i="48" s="1"/>
  <c r="M58" i="48" s="1"/>
  <c r="M7" i="49"/>
  <c r="AE8" i="48"/>
  <c r="AE9" i="48" s="1"/>
  <c r="AE13" i="48" s="1"/>
  <c r="AE58" i="48" s="1"/>
  <c r="AD7" i="49"/>
  <c r="I8" i="48"/>
  <c r="I9" i="48" s="1"/>
  <c r="I13" i="48" s="1"/>
  <c r="I58" i="48" s="1"/>
  <c r="I7" i="49"/>
  <c r="AM8" i="48"/>
  <c r="AM9" i="48" s="1"/>
  <c r="AM7" i="49"/>
  <c r="H12" i="3"/>
  <c r="AT641" i="1"/>
  <c r="AT721" i="1" s="1"/>
  <c r="AT746" i="1" s="1"/>
  <c r="AT756" i="1" s="1"/>
  <c r="K46" i="18"/>
  <c r="P46" i="18" s="1"/>
  <c r="J46" i="18"/>
  <c r="O46" i="18" s="1"/>
  <c r="I104" i="21"/>
  <c r="B61" i="18" s="1"/>
  <c r="E50" i="25"/>
  <c r="J50" i="25" s="1"/>
  <c r="B11" i="18"/>
  <c r="B13" i="45"/>
  <c r="J13" i="45" s="1"/>
  <c r="O13" i="45" s="1"/>
  <c r="BA7" i="22"/>
  <c r="BA9" i="22" s="1"/>
  <c r="BA15" i="22" s="1"/>
  <c r="B15" i="45"/>
  <c r="F21" i="3"/>
  <c r="J14" i="45"/>
  <c r="O14" i="45" s="1"/>
  <c r="X7" i="23"/>
  <c r="K23" i="21"/>
  <c r="K42" i="21" s="1"/>
  <c r="J76" i="5"/>
  <c r="B57" i="23"/>
  <c r="AH7" i="23"/>
  <c r="N63" i="13"/>
  <c r="N64" i="13" s="1"/>
  <c r="G18" i="12"/>
  <c r="V37" i="15"/>
  <c r="V42" i="15" s="1"/>
  <c r="P42" i="15"/>
  <c r="P76" i="15"/>
  <c r="V72" i="15"/>
  <c r="V76" i="15" s="1"/>
  <c r="BC7" i="22"/>
  <c r="BC9" i="22" s="1"/>
  <c r="C7" i="23"/>
  <c r="B1" i="23" s="1"/>
  <c r="Q525" i="1"/>
  <c r="R523" i="1"/>
  <c r="R525" i="1" s="1"/>
  <c r="R538" i="1" s="1"/>
  <c r="R539" i="1" s="1"/>
  <c r="R5" i="1" s="1"/>
  <c r="R6" i="1" s="1"/>
  <c r="AL105" i="1"/>
  <c r="B10" i="18" l="1"/>
  <c r="I10" i="18" s="1"/>
  <c r="N10" i="18" s="1"/>
  <c r="F12" i="3"/>
  <c r="F14" i="3" s="1"/>
  <c r="AA3" i="3" s="1"/>
  <c r="B39" i="48"/>
  <c r="F43" i="5" s="1"/>
  <c r="Z15" i="48"/>
  <c r="E9" i="14"/>
  <c r="E16" i="14" s="1"/>
  <c r="E17" i="14" s="1"/>
  <c r="C7" i="22"/>
  <c r="B1" i="22" s="1"/>
  <c r="I23" i="21"/>
  <c r="I117" i="21" s="1"/>
  <c r="B61" i="22"/>
  <c r="AF71" i="54"/>
  <c r="C2" i="22"/>
  <c r="AA17" i="54"/>
  <c r="AA71" i="54" s="1"/>
  <c r="AK58" i="48"/>
  <c r="W641" i="1"/>
  <c r="W721" i="1" s="1"/>
  <c r="W746" i="1" s="1"/>
  <c r="W756" i="1" s="1"/>
  <c r="W764" i="1" s="1"/>
  <c r="AU7" i="22"/>
  <c r="J15" i="45"/>
  <c r="O15" i="45" s="1"/>
  <c r="B11" i="45"/>
  <c r="B12" i="45" s="1"/>
  <c r="F23" i="3"/>
  <c r="B20" i="18"/>
  <c r="AZ7" i="22"/>
  <c r="AZ9" i="22" s="1"/>
  <c r="B2" i="23"/>
  <c r="AT523" i="1"/>
  <c r="AT525" i="1" s="1"/>
  <c r="AT764" i="1"/>
  <c r="C61" i="18"/>
  <c r="AU7" i="48"/>
  <c r="AV7" i="23"/>
  <c r="C11" i="45"/>
  <c r="C12" i="45" s="1"/>
  <c r="C17" i="45" s="1"/>
  <c r="C21" i="45" s="1"/>
  <c r="AN42" i="48"/>
  <c r="AN58" i="48" s="1"/>
  <c r="AM42" i="48"/>
  <c r="E54" i="25"/>
  <c r="AU476" i="1"/>
  <c r="AU478" i="1" s="1"/>
  <c r="C1" i="23"/>
  <c r="BC13" i="22"/>
  <c r="BC58" i="22" s="1"/>
  <c r="Q538" i="1"/>
  <c r="Q539" i="1" s="1"/>
  <c r="Q5" i="1" s="1"/>
  <c r="Q6" i="1" s="1"/>
  <c r="AE522" i="1"/>
  <c r="AC522" i="1"/>
  <c r="AC73" i="1"/>
  <c r="B35" i="9"/>
  <c r="S25" i="17"/>
  <c r="S16" i="17"/>
  <c r="S35" i="17"/>
  <c r="Y601" i="1"/>
  <c r="I42" i="21" l="1"/>
  <c r="C62" i="18"/>
  <c r="C65" i="18" s="1"/>
  <c r="W523" i="1"/>
  <c r="W525" i="1" s="1"/>
  <c r="W538" i="1" s="1"/>
  <c r="W539" i="1" s="1"/>
  <c r="W5" i="1" s="1"/>
  <c r="W6" i="1" s="1"/>
  <c r="BH7" i="22"/>
  <c r="BI7" i="22" s="1"/>
  <c r="BJ7" i="22" s="1"/>
  <c r="J11" i="45"/>
  <c r="O11" i="45" s="1"/>
  <c r="B3" i="22"/>
  <c r="B42" i="48"/>
  <c r="AV9" i="23"/>
  <c r="B3" i="23"/>
  <c r="AU9" i="48"/>
  <c r="AU14" i="48" s="1"/>
  <c r="B14" i="48" s="1"/>
  <c r="F14" i="5" s="1"/>
  <c r="B3" i="48"/>
  <c r="BI7" i="48"/>
  <c r="BJ7" i="48" s="1"/>
  <c r="BK7" i="48" s="1"/>
  <c r="K105" i="21"/>
  <c r="K107" i="21" s="1"/>
  <c r="K110" i="21" s="1"/>
  <c r="AT538" i="1"/>
  <c r="AT539" i="1" s="1"/>
  <c r="B9" i="51"/>
  <c r="B10" i="51" s="1"/>
  <c r="C17" i="47" s="1"/>
  <c r="I113" i="21"/>
  <c r="AM58" i="48"/>
  <c r="G107" i="21"/>
  <c r="G110" i="21" s="1"/>
  <c r="J12" i="45"/>
  <c r="O12" i="45" s="1"/>
  <c r="B17" i="45"/>
  <c r="C1" i="22"/>
  <c r="AU506" i="1"/>
  <c r="AU507" i="1" s="1"/>
  <c r="C2" i="23"/>
  <c r="Z73" i="1"/>
  <c r="S44" i="17"/>
  <c r="K44" i="17"/>
  <c r="Q44" i="17"/>
  <c r="B42" i="20"/>
  <c r="B41" i="20"/>
  <c r="B37" i="20"/>
  <c r="N42" i="5" s="1"/>
  <c r="B33" i="20"/>
  <c r="B32" i="20"/>
  <c r="B31" i="20"/>
  <c r="B30" i="20"/>
  <c r="B29" i="20"/>
  <c r="B18" i="20"/>
  <c r="B17" i="20"/>
  <c r="B16" i="20"/>
  <c r="I105" i="21" l="1"/>
  <c r="I107" i="21" s="1"/>
  <c r="G119" i="21"/>
  <c r="G113" i="21"/>
  <c r="C8" i="47"/>
  <c r="B28" i="51"/>
  <c r="B29" i="51" s="1"/>
  <c r="C66" i="18"/>
  <c r="C71" i="18" s="1"/>
  <c r="C16" i="47"/>
  <c r="C3" i="23"/>
  <c r="K113" i="21"/>
  <c r="AT5" i="1"/>
  <c r="AT6" i="1" s="1"/>
  <c r="C3" i="48"/>
  <c r="B21" i="45"/>
  <c r="J17" i="45"/>
  <c r="O17" i="45" s="1"/>
  <c r="AD29" i="13"/>
  <c r="AC29" i="13"/>
  <c r="AB29" i="13"/>
  <c r="AA29" i="13"/>
  <c r="B62" i="18" l="1"/>
  <c r="C3" i="22"/>
  <c r="I110" i="21"/>
  <c r="AT7" i="20"/>
  <c r="AT8" i="20"/>
  <c r="AS8" i="20"/>
  <c r="AS9" i="20" s="1"/>
  <c r="AS15" i="20" s="1"/>
  <c r="O54" i="20"/>
  <c r="AQ28" i="20"/>
  <c r="BB9" i="20"/>
  <c r="AO9" i="20"/>
  <c r="AO54" i="20" s="1"/>
  <c r="AJ9" i="20"/>
  <c r="AB9" i="20"/>
  <c r="W9" i="20"/>
  <c r="T9" i="20"/>
  <c r="T54" i="20" s="1"/>
  <c r="Q9" i="20"/>
  <c r="P9" i="20"/>
  <c r="L9" i="20"/>
  <c r="K9" i="20"/>
  <c r="G9" i="20"/>
  <c r="F9" i="20"/>
  <c r="N8" i="20"/>
  <c r="AQ7" i="20"/>
  <c r="Z9" i="20"/>
  <c r="N7" i="20"/>
  <c r="A2" i="20"/>
  <c r="P61" i="5"/>
  <c r="AR9" i="19"/>
  <c r="AR41" i="19" s="1"/>
  <c r="AP8" i="19"/>
  <c r="AT9" i="20" l="1"/>
  <c r="N9" i="20"/>
  <c r="N13" i="20" s="1"/>
  <c r="AQ54" i="20"/>
  <c r="Z13" i="20"/>
  <c r="Z54" i="20" s="1"/>
  <c r="B40" i="20"/>
  <c r="AT28" i="20"/>
  <c r="B28" i="20" s="1"/>
  <c r="N30" i="5" s="1"/>
  <c r="N37" i="5" s="1"/>
  <c r="F12" i="20"/>
  <c r="F54" i="20" s="1"/>
  <c r="G14" i="20"/>
  <c r="K13" i="20"/>
  <c r="K54" i="20" s="1"/>
  <c r="L13" i="20"/>
  <c r="L54" i="20" s="1"/>
  <c r="P13" i="20"/>
  <c r="P54" i="20" s="1"/>
  <c r="Q13" i="20"/>
  <c r="Q54" i="20" s="1"/>
  <c r="W13" i="20"/>
  <c r="W54" i="20" s="1"/>
  <c r="AB12" i="20"/>
  <c r="AB54" i="20" s="1"/>
  <c r="AJ43" i="20"/>
  <c r="AJ54" i="20" s="1"/>
  <c r="BB13" i="20"/>
  <c r="BB54" i="20" s="1"/>
  <c r="N54" i="20" l="1"/>
  <c r="G54" i="20"/>
  <c r="B34" i="20"/>
  <c r="AT54" i="20"/>
  <c r="BE654" i="1" l="1"/>
  <c r="AY15" i="19"/>
  <c r="BB13" i="19" l="1"/>
  <c r="AT8" i="19"/>
  <c r="O54" i="19"/>
  <c r="B42" i="19"/>
  <c r="B39" i="19"/>
  <c r="B37" i="19"/>
  <c r="L42" i="5" s="1"/>
  <c r="B33" i="19"/>
  <c r="B32" i="19"/>
  <c r="B31" i="19"/>
  <c r="B30" i="19"/>
  <c r="B29" i="19"/>
  <c r="B18" i="19"/>
  <c r="B17" i="19"/>
  <c r="B16" i="19"/>
  <c r="BB9" i="19"/>
  <c r="BB54" i="19" s="1"/>
  <c r="AP9" i="19"/>
  <c r="AP14" i="19" s="1"/>
  <c r="AN9" i="19"/>
  <c r="AN54" i="19" s="1"/>
  <c r="AB9" i="19"/>
  <c r="Z9" i="19"/>
  <c r="W9" i="19"/>
  <c r="T9" i="19"/>
  <c r="T54" i="19" s="1"/>
  <c r="S9" i="19"/>
  <c r="Q9" i="19"/>
  <c r="P9" i="19"/>
  <c r="N9" i="19"/>
  <c r="G9" i="19"/>
  <c r="F9" i="19"/>
  <c r="AS9" i="19"/>
  <c r="AS54" i="19" s="1"/>
  <c r="BC9" i="19"/>
  <c r="AT7" i="19"/>
  <c r="AT9" i="19" s="1"/>
  <c r="AH9" i="19"/>
  <c r="AG9" i="19"/>
  <c r="T76" i="5"/>
  <c r="V69" i="5"/>
  <c r="V43" i="5"/>
  <c r="V42" i="5"/>
  <c r="R61" i="5"/>
  <c r="V30" i="5"/>
  <c r="T37" i="5"/>
  <c r="R37" i="5"/>
  <c r="P37" i="5"/>
  <c r="V28" i="5"/>
  <c r="V19" i="5"/>
  <c r="V18" i="5"/>
  <c r="V15" i="5"/>
  <c r="V14" i="5"/>
  <c r="V12" i="5"/>
  <c r="V11" i="5"/>
  <c r="T16" i="5"/>
  <c r="T22" i="5" s="1"/>
  <c r="R16" i="5"/>
  <c r="R22" i="5" s="1"/>
  <c r="P16" i="5"/>
  <c r="P22" i="5" s="1"/>
  <c r="V37" i="5" l="1"/>
  <c r="V16" i="5"/>
  <c r="V22" i="5" s="1"/>
  <c r="V61" i="5"/>
  <c r="AG15" i="19"/>
  <c r="AG54" i="19" s="1"/>
  <c r="AH13" i="19"/>
  <c r="AH54" i="19" s="1"/>
  <c r="AT28" i="19"/>
  <c r="AT54" i="19" s="1"/>
  <c r="BC13" i="19"/>
  <c r="BC54" i="19" s="1"/>
  <c r="F12" i="19"/>
  <c r="F54" i="19" s="1"/>
  <c r="G14" i="19"/>
  <c r="N13" i="19"/>
  <c r="N54" i="19" s="1"/>
  <c r="P13" i="19"/>
  <c r="P54" i="19" s="1"/>
  <c r="Q13" i="19"/>
  <c r="Q54" i="19" s="1"/>
  <c r="S28" i="19"/>
  <c r="W13" i="19"/>
  <c r="W54" i="19" s="1"/>
  <c r="Z13" i="19"/>
  <c r="Z54" i="19" s="1"/>
  <c r="AB12" i="19"/>
  <c r="AB54" i="19" s="1"/>
  <c r="P65" i="5"/>
  <c r="R65" i="5"/>
  <c r="T65" i="5"/>
  <c r="V65" i="5" l="1"/>
  <c r="V73" i="5" s="1"/>
  <c r="V77" i="5" s="1"/>
  <c r="B28" i="19"/>
  <c r="S54" i="19"/>
  <c r="G54" i="19"/>
  <c r="B19" i="19"/>
  <c r="T73" i="5"/>
  <c r="R69" i="5" s="1"/>
  <c r="B34" i="19" l="1"/>
  <c r="L30" i="5"/>
  <c r="L37" i="5" s="1"/>
  <c r="T77" i="5"/>
  <c r="R73" i="5" l="1"/>
  <c r="P69" i="5" l="1"/>
  <c r="P73" i="5" s="1"/>
  <c r="L69" i="5" s="1"/>
  <c r="R77" i="5"/>
  <c r="Z547" i="1"/>
  <c r="Y105" i="1" l="1"/>
  <c r="AI542" i="1" l="1"/>
  <c r="P105" i="2"/>
  <c r="Q16" i="17"/>
  <c r="U61" i="17" l="1"/>
  <c r="U55" i="17"/>
  <c r="AZ522" i="1"/>
  <c r="AY522" i="1"/>
  <c r="I27" i="11"/>
  <c r="BB512" i="1" s="1"/>
  <c r="A27" i="11"/>
  <c r="BA512" i="1" s="1"/>
  <c r="J31" i="9" l="1"/>
  <c r="AE512" i="1" s="1"/>
  <c r="B31" i="9"/>
  <c r="AD512" i="1" s="1"/>
  <c r="I18" i="18" l="1"/>
  <c r="N18" i="18" s="1"/>
  <c r="F62" i="18"/>
  <c r="E62" i="18"/>
  <c r="D62" i="18"/>
  <c r="J62" i="18" s="1"/>
  <c r="O62" i="18" s="1"/>
  <c r="F61" i="18"/>
  <c r="E61" i="18"/>
  <c r="D61" i="18"/>
  <c r="J61" i="18" s="1"/>
  <c r="O61" i="18" s="1"/>
  <c r="F59" i="18"/>
  <c r="E59" i="18"/>
  <c r="D59" i="18"/>
  <c r="J59" i="18" s="1"/>
  <c r="O59" i="18" s="1"/>
  <c r="F58" i="18"/>
  <c r="E58" i="18"/>
  <c r="F57" i="18"/>
  <c r="E57" i="18"/>
  <c r="L57" i="18" s="1"/>
  <c r="Q57" i="18" s="1"/>
  <c r="D57" i="18"/>
  <c r="J57" i="18" s="1"/>
  <c r="O57" i="18" s="1"/>
  <c r="F56" i="18"/>
  <c r="E56" i="18"/>
  <c r="D56" i="18"/>
  <c r="J56" i="18" s="1"/>
  <c r="O56" i="18" s="1"/>
  <c r="L51" i="18"/>
  <c r="Q51" i="18" s="1"/>
  <c r="J51" i="18"/>
  <c r="O51" i="18" s="1"/>
  <c r="J50" i="18"/>
  <c r="O50" i="18" s="1"/>
  <c r="L49" i="18"/>
  <c r="Q49" i="18" s="1"/>
  <c r="J49" i="18"/>
  <c r="O49" i="18" s="1"/>
  <c r="J48" i="18"/>
  <c r="O48" i="18" s="1"/>
  <c r="L41" i="18"/>
  <c r="Q41" i="18" s="1"/>
  <c r="J41" i="18"/>
  <c r="O41" i="18" s="1"/>
  <c r="L40" i="18"/>
  <c r="Q40" i="18" s="1"/>
  <c r="J40" i="18"/>
  <c r="O40" i="18" s="1"/>
  <c r="F39" i="18"/>
  <c r="L39" i="18" s="1"/>
  <c r="Q39" i="18" s="1"/>
  <c r="J39" i="18"/>
  <c r="O39" i="18" s="1"/>
  <c r="L35" i="18"/>
  <c r="Q35" i="18" s="1"/>
  <c r="J35" i="18"/>
  <c r="O35" i="18" s="1"/>
  <c r="L34" i="18"/>
  <c r="Q34" i="18" s="1"/>
  <c r="J34" i="18"/>
  <c r="O34" i="18" s="1"/>
  <c r="L33" i="18"/>
  <c r="Q33" i="18" s="1"/>
  <c r="J33" i="18"/>
  <c r="O33" i="18" s="1"/>
  <c r="L32" i="18"/>
  <c r="Q32" i="18" s="1"/>
  <c r="O32" i="18"/>
  <c r="L31" i="18"/>
  <c r="Q31" i="18" s="1"/>
  <c r="O31" i="18"/>
  <c r="J30" i="18"/>
  <c r="O30" i="18" s="1"/>
  <c r="E24" i="18"/>
  <c r="D24" i="18"/>
  <c r="J24" i="18" s="1"/>
  <c r="O24" i="18" s="1"/>
  <c r="E23" i="18"/>
  <c r="D23" i="18"/>
  <c r="J23" i="18" s="1"/>
  <c r="O23" i="18" s="1"/>
  <c r="E22" i="18"/>
  <c r="D22" i="18"/>
  <c r="J22" i="18" s="1"/>
  <c r="O22" i="18" s="1"/>
  <c r="L19" i="18"/>
  <c r="Q19" i="18" s="1"/>
  <c r="K19" i="18"/>
  <c r="P19" i="18" s="1"/>
  <c r="L18" i="18"/>
  <c r="Q18" i="18" s="1"/>
  <c r="K18" i="18"/>
  <c r="P18" i="18" s="1"/>
  <c r="K17" i="18"/>
  <c r="P17" i="18" s="1"/>
  <c r="K16" i="18"/>
  <c r="P16" i="18" s="1"/>
  <c r="L15" i="18"/>
  <c r="Q15" i="18" s="1"/>
  <c r="K15" i="18"/>
  <c r="P15" i="18" s="1"/>
  <c r="L14" i="18"/>
  <c r="Q14" i="18" s="1"/>
  <c r="K14" i="18"/>
  <c r="P14" i="18" s="1"/>
  <c r="L13" i="18"/>
  <c r="Q13" i="18" s="1"/>
  <c r="K13" i="18"/>
  <c r="P13" i="18" s="1"/>
  <c r="L12" i="18"/>
  <c r="Q12" i="18" s="1"/>
  <c r="K12" i="18"/>
  <c r="P12" i="18" s="1"/>
  <c r="L11" i="18"/>
  <c r="Q11" i="18" s="1"/>
  <c r="K11" i="18"/>
  <c r="P11" i="18" s="1"/>
  <c r="F20" i="18"/>
  <c r="F42" i="18" l="1"/>
  <c r="L62" i="18"/>
  <c r="Q62" i="18" s="1"/>
  <c r="F65" i="18"/>
  <c r="F8" i="47" s="1"/>
  <c r="L58" i="18"/>
  <c r="Q58" i="18" s="1"/>
  <c r="L61" i="18"/>
  <c r="Q61" i="18" s="1"/>
  <c r="L59" i="18"/>
  <c r="Q59" i="18" s="1"/>
  <c r="F23" i="47"/>
  <c r="F22" i="47"/>
  <c r="I48" i="18"/>
  <c r="N48" i="18" s="1"/>
  <c r="K23" i="18"/>
  <c r="P23" i="18" s="1"/>
  <c r="K24" i="18"/>
  <c r="P24" i="18" s="1"/>
  <c r="K31" i="18"/>
  <c r="P31" i="18" s="1"/>
  <c r="I31" i="18"/>
  <c r="N31" i="18" s="1"/>
  <c r="K32" i="18"/>
  <c r="P32" i="18" s="1"/>
  <c r="I32" i="18"/>
  <c r="N32" i="18" s="1"/>
  <c r="K33" i="18"/>
  <c r="P33" i="18" s="1"/>
  <c r="K34" i="18"/>
  <c r="P34" i="18" s="1"/>
  <c r="K35" i="18"/>
  <c r="P35" i="18" s="1"/>
  <c r="K39" i="18"/>
  <c r="P39" i="18" s="1"/>
  <c r="K40" i="18"/>
  <c r="P40" i="18" s="1"/>
  <c r="K41" i="18"/>
  <c r="P41" i="18" s="1"/>
  <c r="K49" i="18"/>
  <c r="P49" i="18" s="1"/>
  <c r="I49" i="18"/>
  <c r="N49" i="18" s="1"/>
  <c r="K50" i="18"/>
  <c r="P50" i="18" s="1"/>
  <c r="I50" i="18"/>
  <c r="N50" i="18" s="1"/>
  <c r="K51" i="18"/>
  <c r="P51" i="18" s="1"/>
  <c r="K57" i="18"/>
  <c r="P57" i="18" s="1"/>
  <c r="K58" i="18"/>
  <c r="P58" i="18" s="1"/>
  <c r="K59" i="18"/>
  <c r="P59" i="18" s="1"/>
  <c r="K61" i="18"/>
  <c r="P61" i="18" s="1"/>
  <c r="K62" i="18"/>
  <c r="P62" i="18" s="1"/>
  <c r="D20" i="18"/>
  <c r="H10" i="18"/>
  <c r="E20" i="18"/>
  <c r="L10" i="18"/>
  <c r="Q10" i="18" s="1"/>
  <c r="L16" i="18"/>
  <c r="Q16" i="18" s="1"/>
  <c r="H16" i="18"/>
  <c r="L17" i="18"/>
  <c r="Q17" i="18" s="1"/>
  <c r="H17" i="18"/>
  <c r="D25" i="18"/>
  <c r="J25" i="18" s="1"/>
  <c r="O25" i="18" s="1"/>
  <c r="K22" i="18"/>
  <c r="P22" i="18" s="1"/>
  <c r="E25" i="18"/>
  <c r="D42" i="18"/>
  <c r="K30" i="18"/>
  <c r="P30" i="18" s="1"/>
  <c r="E42" i="18"/>
  <c r="E23" i="47" s="1"/>
  <c r="L30" i="18"/>
  <c r="Q30" i="18" s="1"/>
  <c r="K48" i="18"/>
  <c r="P48" i="18" s="1"/>
  <c r="L48" i="18"/>
  <c r="Q48" i="18" s="1"/>
  <c r="D65" i="18"/>
  <c r="K56" i="18"/>
  <c r="P56" i="18" s="1"/>
  <c r="E65" i="18"/>
  <c r="L56" i="18"/>
  <c r="Q56" i="18" s="1"/>
  <c r="E28" i="51" l="1"/>
  <c r="E29" i="51" s="1"/>
  <c r="J42" i="18"/>
  <c r="O42" i="18" s="1"/>
  <c r="D23" i="47"/>
  <c r="D22" i="47"/>
  <c r="J20" i="18"/>
  <c r="O20" i="18" s="1"/>
  <c r="E22" i="47"/>
  <c r="L65" i="18"/>
  <c r="Q65" i="18" s="1"/>
  <c r="D28" i="51"/>
  <c r="D29" i="51" s="1"/>
  <c r="E8" i="47"/>
  <c r="J65" i="18"/>
  <c r="O65" i="18" s="1"/>
  <c r="C28" i="51"/>
  <c r="C29" i="51" s="1"/>
  <c r="D8" i="47"/>
  <c r="K65" i="18"/>
  <c r="P65" i="18" s="1"/>
  <c r="L42" i="18"/>
  <c r="Q42" i="18" s="1"/>
  <c r="K42" i="18"/>
  <c r="P42" i="18" s="1"/>
  <c r="K25" i="18"/>
  <c r="P25" i="18" s="1"/>
  <c r="E26" i="18"/>
  <c r="L20" i="18"/>
  <c r="Q20" i="18" s="1"/>
  <c r="D26" i="18"/>
  <c r="K20" i="18"/>
  <c r="P20" i="18" s="1"/>
  <c r="H20" i="18"/>
  <c r="J26" i="18" l="1"/>
  <c r="O26" i="18" s="1"/>
  <c r="D30" i="47"/>
  <c r="C30" i="47"/>
  <c r="C25" i="51"/>
  <c r="C26" i="51" s="1"/>
  <c r="D7" i="47"/>
  <c r="D25" i="51"/>
  <c r="D26" i="51" s="1"/>
  <c r="E7" i="47"/>
  <c r="K26" i="18"/>
  <c r="P26" i="18" s="1"/>
  <c r="AA522" i="1" l="1"/>
  <c r="AA512" i="1"/>
  <c r="Q35" i="17" l="1"/>
  <c r="S26" i="17"/>
  <c r="O21" i="17"/>
  <c r="O104" i="17" s="1"/>
  <c r="K21" i="17"/>
  <c r="K104" i="17" s="1"/>
  <c r="I21" i="17"/>
  <c r="I104" i="17" s="1"/>
  <c r="U16" i="17"/>
  <c r="Q2" i="17"/>
  <c r="I27" i="17" l="1"/>
  <c r="I53" i="17" s="1"/>
  <c r="I89" i="17" s="1"/>
  <c r="K27" i="17"/>
  <c r="K53" i="17" s="1"/>
  <c r="K89" i="17" s="1"/>
  <c r="Y18" i="16"/>
  <c r="Y17" i="16"/>
  <c r="W18" i="16"/>
  <c r="W17" i="16"/>
  <c r="Y11" i="16"/>
  <c r="W7" i="16"/>
  <c r="W11" i="16" s="1"/>
  <c r="M22" i="16"/>
  <c r="K22" i="16"/>
  <c r="M11" i="16"/>
  <c r="K11" i="16"/>
  <c r="F22" i="16"/>
  <c r="D22" i="16"/>
  <c r="F11" i="16"/>
  <c r="D11" i="16"/>
  <c r="W22" i="16" l="1"/>
  <c r="I96" i="17"/>
  <c r="Y22" i="16"/>
  <c r="Y24" i="16" s="1"/>
  <c r="I51" i="17"/>
  <c r="I98" i="17" s="1"/>
  <c r="K51" i="17"/>
  <c r="K98" i="17" s="1"/>
  <c r="I37" i="17"/>
  <c r="I75" i="17"/>
  <c r="I97" i="17" s="1"/>
  <c r="K37" i="17"/>
  <c r="W24" i="16"/>
  <c r="K96" i="17" l="1"/>
  <c r="K75" i="17"/>
  <c r="K97" i="17" s="1"/>
  <c r="I63" i="17"/>
  <c r="K63" i="17"/>
  <c r="V25" i="13"/>
  <c r="Z586" i="1" l="1"/>
  <c r="M31" i="12"/>
  <c r="AV401" i="1" l="1"/>
  <c r="AV467" i="1"/>
  <c r="AW601" i="1"/>
  <c r="AX583" i="1"/>
  <c r="AV601" i="1"/>
  <c r="AW744" i="1"/>
  <c r="AV744" i="1"/>
  <c r="AW730" i="1"/>
  <c r="AV730" i="1"/>
  <c r="AW719" i="1"/>
  <c r="AV719" i="1"/>
  <c r="AW662" i="1"/>
  <c r="AV662" i="1"/>
  <c r="AW639" i="1"/>
  <c r="AV639" i="1"/>
  <c r="AW570" i="1"/>
  <c r="AW572" i="1" s="1"/>
  <c r="AV570" i="1"/>
  <c r="AV572" i="1" s="1"/>
  <c r="AW559" i="1"/>
  <c r="AW561" i="1" s="1"/>
  <c r="AW563" i="1" s="1"/>
  <c r="AW565" i="1" s="1"/>
  <c r="AV559" i="1"/>
  <c r="AV561" i="1" s="1"/>
  <c r="AV563" i="1" s="1"/>
  <c r="AV565" i="1" s="1"/>
  <c r="O19" i="3"/>
  <c r="AL730" i="1"/>
  <c r="AZ7" i="49" l="1"/>
  <c r="AZ9" i="49" s="1"/>
  <c r="AZ15" i="49" s="1"/>
  <c r="G22" i="41"/>
  <c r="G23" i="41" s="1"/>
  <c r="AV640" i="1"/>
  <c r="AW640" i="1"/>
  <c r="AV720" i="1"/>
  <c r="AW720" i="1"/>
  <c r="AV745" i="1"/>
  <c r="AW745" i="1"/>
  <c r="BC583" i="1"/>
  <c r="J104" i="2" l="1"/>
  <c r="AR7" i="20" s="1"/>
  <c r="BB578" i="1"/>
  <c r="BB558" i="1"/>
  <c r="AZ728" i="1"/>
  <c r="AZ548" i="1"/>
  <c r="AZ546" i="1"/>
  <c r="AY546" i="1"/>
  <c r="AZ545" i="1"/>
  <c r="AY545" i="1"/>
  <c r="A23" i="11"/>
  <c r="A17" i="11"/>
  <c r="AY728" i="1" s="1"/>
  <c r="J23" i="11"/>
  <c r="J17" i="11"/>
  <c r="J18" i="11" s="1"/>
  <c r="J19" i="11" s="1"/>
  <c r="J20" i="11" s="1"/>
  <c r="AZ420" i="1"/>
  <c r="AY420" i="1"/>
  <c r="G14" i="11"/>
  <c r="BB108" i="1" s="1"/>
  <c r="J14" i="11"/>
  <c r="A14" i="11"/>
  <c r="BA108" i="1" s="1"/>
  <c r="AZ419" i="1"/>
  <c r="AY419" i="1"/>
  <c r="G11" i="11"/>
  <c r="BB109" i="1" s="1"/>
  <c r="J11" i="11"/>
  <c r="A11" i="11"/>
  <c r="BA109" i="1" s="1"/>
  <c r="AY430" i="1"/>
  <c r="AZ430" i="1"/>
  <c r="G8" i="11"/>
  <c r="BB129" i="1" s="1"/>
  <c r="J8" i="11"/>
  <c r="A8" i="11"/>
  <c r="BA129" i="1" s="1"/>
  <c r="J53" i="2"/>
  <c r="Y15" i="1"/>
  <c r="Y401" i="1"/>
  <c r="J91" i="2"/>
  <c r="AX409" i="1"/>
  <c r="AX408" i="1"/>
  <c r="BC408" i="1" s="1"/>
  <c r="AX407" i="1"/>
  <c r="BC407" i="1" s="1"/>
  <c r="AX406" i="1"/>
  <c r="BC406" i="1" s="1"/>
  <c r="AX143" i="1"/>
  <c r="BC143" i="1" s="1"/>
  <c r="AW144" i="1"/>
  <c r="AW147" i="1" s="1"/>
  <c r="AW105" i="1"/>
  <c r="AW17" i="1"/>
  <c r="AW18" i="1" s="1"/>
  <c r="BC409" i="1"/>
  <c r="AX466" i="1"/>
  <c r="BC466" i="1" s="1"/>
  <c r="AX405" i="1"/>
  <c r="BC405" i="1" s="1"/>
  <c r="AX404" i="1"/>
  <c r="BC404" i="1" s="1"/>
  <c r="AV417" i="1"/>
  <c r="AV245" i="1"/>
  <c r="AV105" i="1"/>
  <c r="AV111" i="1"/>
  <c r="AV48" i="1"/>
  <c r="AW762" i="1"/>
  <c r="AV762" i="1"/>
  <c r="AX761" i="1"/>
  <c r="H42" i="3" s="1"/>
  <c r="AW759" i="1"/>
  <c r="AV759" i="1"/>
  <c r="AX758" i="1"/>
  <c r="AW754" i="1"/>
  <c r="AV754" i="1"/>
  <c r="AX753" i="1"/>
  <c r="AX752" i="1"/>
  <c r="BC752" i="1" s="1"/>
  <c r="AX751" i="1"/>
  <c r="BC751" i="1" s="1"/>
  <c r="AX748" i="1"/>
  <c r="AX742" i="1"/>
  <c r="BC742" i="1" s="1"/>
  <c r="AX741" i="1"/>
  <c r="AX740" i="1"/>
  <c r="BC740" i="1" s="1"/>
  <c r="AX739" i="1"/>
  <c r="BC739" i="1" s="1"/>
  <c r="AX738" i="1"/>
  <c r="BC738" i="1" s="1"/>
  <c r="AX737" i="1"/>
  <c r="BC737" i="1" s="1"/>
  <c r="AX736" i="1"/>
  <c r="BC736" i="1" s="1"/>
  <c r="AX735" i="1"/>
  <c r="BC735" i="1" s="1"/>
  <c r="AX734" i="1"/>
  <c r="BC734" i="1" s="1"/>
  <c r="AX733" i="1"/>
  <c r="BC733" i="1" s="1"/>
  <c r="AX732" i="1"/>
  <c r="AX728" i="1"/>
  <c r="AX727" i="1"/>
  <c r="BC727" i="1" s="1"/>
  <c r="AX726" i="1"/>
  <c r="BC726" i="1" s="1"/>
  <c r="AX725" i="1"/>
  <c r="BC725" i="1" s="1"/>
  <c r="AX724" i="1"/>
  <c r="AX718" i="1"/>
  <c r="BC718" i="1" s="1"/>
  <c r="AX717" i="1"/>
  <c r="BC717" i="1" s="1"/>
  <c r="AX716" i="1"/>
  <c r="BC716" i="1" s="1"/>
  <c r="AX715" i="1"/>
  <c r="BC715" i="1" s="1"/>
  <c r="AX714" i="1"/>
  <c r="BC714" i="1" s="1"/>
  <c r="AX713" i="1"/>
  <c r="BC713" i="1" s="1"/>
  <c r="AX712" i="1"/>
  <c r="BC712" i="1" s="1"/>
  <c r="AX711" i="1"/>
  <c r="BC711" i="1" s="1"/>
  <c r="AX710" i="1"/>
  <c r="BC710" i="1" s="1"/>
  <c r="AX709" i="1"/>
  <c r="BC709" i="1" s="1"/>
  <c r="AX708" i="1"/>
  <c r="BC708" i="1" s="1"/>
  <c r="AX707" i="1"/>
  <c r="BC707" i="1" s="1"/>
  <c r="AX706" i="1"/>
  <c r="BC706" i="1" s="1"/>
  <c r="AX705" i="1"/>
  <c r="BC705" i="1" s="1"/>
  <c r="AX704" i="1"/>
  <c r="BC704" i="1" s="1"/>
  <c r="AX703" i="1"/>
  <c r="BC703" i="1" s="1"/>
  <c r="AX702" i="1"/>
  <c r="BC702" i="1" s="1"/>
  <c r="AX701" i="1"/>
  <c r="BC701" i="1" s="1"/>
  <c r="AX700" i="1"/>
  <c r="BC700" i="1" s="1"/>
  <c r="AX699" i="1"/>
  <c r="BC699" i="1" s="1"/>
  <c r="AX698" i="1"/>
  <c r="BC698" i="1" s="1"/>
  <c r="AX696" i="1"/>
  <c r="BC696" i="1" s="1"/>
  <c r="AX695" i="1"/>
  <c r="BC695" i="1" s="1"/>
  <c r="AX694" i="1"/>
  <c r="BC694" i="1" s="1"/>
  <c r="AX693" i="1"/>
  <c r="BC693" i="1" s="1"/>
  <c r="AX692" i="1"/>
  <c r="BC692" i="1" s="1"/>
  <c r="AX691" i="1"/>
  <c r="BC691" i="1" s="1"/>
  <c r="AX690" i="1"/>
  <c r="BC690" i="1" s="1"/>
  <c r="AX689" i="1"/>
  <c r="BC689" i="1" s="1"/>
  <c r="AX688" i="1"/>
  <c r="BC688" i="1" s="1"/>
  <c r="AX687" i="1"/>
  <c r="BC687" i="1" s="1"/>
  <c r="AX686" i="1"/>
  <c r="BC686" i="1" s="1"/>
  <c r="AX685" i="1"/>
  <c r="BC685" i="1" s="1"/>
  <c r="AX684" i="1"/>
  <c r="BC684" i="1" s="1"/>
  <c r="AX683" i="1"/>
  <c r="BC683" i="1" s="1"/>
  <c r="AX682" i="1"/>
  <c r="BC682" i="1" s="1"/>
  <c r="AX681" i="1"/>
  <c r="BC681" i="1" s="1"/>
  <c r="AX680" i="1"/>
  <c r="BC680" i="1" s="1"/>
  <c r="AX679" i="1"/>
  <c r="BC679" i="1" s="1"/>
  <c r="AX678" i="1"/>
  <c r="BC678" i="1" s="1"/>
  <c r="AX677" i="1"/>
  <c r="BC677" i="1" s="1"/>
  <c r="AX676" i="1"/>
  <c r="BC676" i="1" s="1"/>
  <c r="AX675" i="1"/>
  <c r="BC675" i="1" s="1"/>
  <c r="AX674" i="1"/>
  <c r="BC674" i="1" s="1"/>
  <c r="AX673" i="1"/>
  <c r="BC673" i="1" s="1"/>
  <c r="AX672" i="1"/>
  <c r="BC672" i="1" s="1"/>
  <c r="AX671" i="1"/>
  <c r="BC671" i="1" s="1"/>
  <c r="AX670" i="1"/>
  <c r="BC670" i="1" s="1"/>
  <c r="AX669" i="1"/>
  <c r="BC669" i="1" s="1"/>
  <c r="AX668" i="1"/>
  <c r="BC668" i="1" s="1"/>
  <c r="AX667" i="1"/>
  <c r="BC667" i="1" s="1"/>
  <c r="AX666" i="1"/>
  <c r="BC666" i="1" s="1"/>
  <c r="AX665" i="1"/>
  <c r="AX664" i="1"/>
  <c r="BC664" i="1" s="1"/>
  <c r="AX661" i="1"/>
  <c r="BC661" i="1" s="1"/>
  <c r="AX659" i="1"/>
  <c r="BC659" i="1" s="1"/>
  <c r="AX658" i="1"/>
  <c r="BC658" i="1" s="1"/>
  <c r="AX657" i="1"/>
  <c r="BC657" i="1" s="1"/>
  <c r="AX656" i="1"/>
  <c r="BC656" i="1" s="1"/>
  <c r="AX655" i="1"/>
  <c r="BC655" i="1" s="1"/>
  <c r="AX654" i="1"/>
  <c r="BC654" i="1" s="1"/>
  <c r="AX653" i="1"/>
  <c r="BC653" i="1" s="1"/>
  <c r="AX652" i="1"/>
  <c r="BC652" i="1" s="1"/>
  <c r="AX651" i="1"/>
  <c r="BC651" i="1" s="1"/>
  <c r="AX650" i="1"/>
  <c r="BC650" i="1" s="1"/>
  <c r="AX649" i="1"/>
  <c r="BC649" i="1" s="1"/>
  <c r="AX648" i="1"/>
  <c r="BC648" i="1" s="1"/>
  <c r="AX647" i="1"/>
  <c r="BC647" i="1" s="1"/>
  <c r="AX646" i="1"/>
  <c r="BC646" i="1" s="1"/>
  <c r="AX645" i="1"/>
  <c r="BC645" i="1" s="1"/>
  <c r="AX644" i="1"/>
  <c r="AX638" i="1"/>
  <c r="BC638" i="1" s="1"/>
  <c r="M71" i="12" s="1"/>
  <c r="AX636" i="1"/>
  <c r="BC636" i="1" s="1"/>
  <c r="M70" i="12" s="1"/>
  <c r="AX635" i="1"/>
  <c r="BC635" i="1" s="1"/>
  <c r="M58" i="12" s="1"/>
  <c r="AX634" i="1"/>
  <c r="BC634" i="1" s="1"/>
  <c r="AX633" i="1"/>
  <c r="BC633" i="1" s="1"/>
  <c r="M68" i="12" s="1"/>
  <c r="AX632" i="1"/>
  <c r="BC632" i="1" s="1"/>
  <c r="M67" i="12" s="1"/>
  <c r="AX631" i="1"/>
  <c r="BC631" i="1" s="1"/>
  <c r="M66" i="12" s="1"/>
  <c r="AX630" i="1"/>
  <c r="BC630" i="1" s="1"/>
  <c r="M65" i="12" s="1"/>
  <c r="AX629" i="1"/>
  <c r="BC629" i="1" s="1"/>
  <c r="M64" i="12" s="1"/>
  <c r="AX628" i="1"/>
  <c r="BC628" i="1" s="1"/>
  <c r="M63" i="12" s="1"/>
  <c r="AX627" i="1"/>
  <c r="BC627" i="1" s="1"/>
  <c r="M59" i="12" s="1"/>
  <c r="AX626" i="1"/>
  <c r="BC626" i="1" s="1"/>
  <c r="M54" i="12" s="1"/>
  <c r="AX625" i="1"/>
  <c r="BC625" i="1" s="1"/>
  <c r="M62" i="12" s="1"/>
  <c r="AX624" i="1"/>
  <c r="BC624" i="1" s="1"/>
  <c r="M61" i="12" s="1"/>
  <c r="AX623" i="1"/>
  <c r="BC623" i="1" s="1"/>
  <c r="AX622" i="1"/>
  <c r="BC622" i="1" s="1"/>
  <c r="M60" i="12" s="1"/>
  <c r="AX621" i="1"/>
  <c r="BC621" i="1" s="1"/>
  <c r="AX620" i="1"/>
  <c r="BC620" i="1" s="1"/>
  <c r="AX619" i="1"/>
  <c r="BC619" i="1" s="1"/>
  <c r="M56" i="12" s="1"/>
  <c r="AX618" i="1"/>
  <c r="BC618" i="1" s="1"/>
  <c r="AX617" i="1"/>
  <c r="BC617" i="1" s="1"/>
  <c r="AX616" i="1"/>
  <c r="BC616" i="1" s="1"/>
  <c r="AX615" i="1"/>
  <c r="BC615" i="1" s="1"/>
  <c r="AX614" i="1"/>
  <c r="BC614" i="1" s="1"/>
  <c r="AX613" i="1"/>
  <c r="BC613" i="1" s="1"/>
  <c r="AX612" i="1"/>
  <c r="BC612" i="1" s="1"/>
  <c r="AX611" i="1"/>
  <c r="BC611" i="1" s="1"/>
  <c r="AX610" i="1"/>
  <c r="BC610" i="1" s="1"/>
  <c r="AX609" i="1"/>
  <c r="BC609" i="1" s="1"/>
  <c r="AX608" i="1"/>
  <c r="BC608" i="1" s="1"/>
  <c r="AX607" i="1"/>
  <c r="BC607" i="1" s="1"/>
  <c r="M57" i="12" s="1"/>
  <c r="AX606" i="1"/>
  <c r="BC606" i="1" s="1"/>
  <c r="AX605" i="1"/>
  <c r="AX600" i="1"/>
  <c r="BC600" i="1" s="1"/>
  <c r="M43" i="12" s="1"/>
  <c r="M87" i="12" s="1"/>
  <c r="AX599" i="1"/>
  <c r="BC599" i="1" s="1"/>
  <c r="AX598" i="1"/>
  <c r="BC598" i="1" s="1"/>
  <c r="AX597" i="1"/>
  <c r="BC597" i="1" s="1"/>
  <c r="AX596" i="1"/>
  <c r="BC596" i="1" s="1"/>
  <c r="AX595" i="1"/>
  <c r="BC595" i="1" s="1"/>
  <c r="AX594" i="1"/>
  <c r="BC594" i="1" s="1"/>
  <c r="AX591" i="1"/>
  <c r="BC591" i="1" s="1"/>
  <c r="M39" i="12" s="1"/>
  <c r="AX590" i="1"/>
  <c r="BC590" i="1" s="1"/>
  <c r="AX589" i="1"/>
  <c r="BC589" i="1" s="1"/>
  <c r="AX588" i="1"/>
  <c r="BC588" i="1" s="1"/>
  <c r="AX587" i="1"/>
  <c r="BC587" i="1" s="1"/>
  <c r="AX586" i="1"/>
  <c r="BC586" i="1" s="1"/>
  <c r="AX585" i="1"/>
  <c r="BC585" i="1" s="1"/>
  <c r="AX582" i="1"/>
  <c r="BC582" i="1" s="1"/>
  <c r="AX581" i="1"/>
  <c r="BC581" i="1" s="1"/>
  <c r="AX580" i="1"/>
  <c r="BC580" i="1" s="1"/>
  <c r="AX579" i="1"/>
  <c r="BC579" i="1" s="1"/>
  <c r="AX578" i="1"/>
  <c r="BC578" i="1" s="1"/>
  <c r="AX577" i="1"/>
  <c r="BC577" i="1" s="1"/>
  <c r="AX576" i="1"/>
  <c r="AX571" i="1"/>
  <c r="BC571" i="1" s="1"/>
  <c r="M24" i="12" s="1"/>
  <c r="M88" i="12" s="1"/>
  <c r="AX569" i="1"/>
  <c r="BC569" i="1" s="1"/>
  <c r="M22" i="12" s="1"/>
  <c r="AX568" i="1"/>
  <c r="AX564" i="1"/>
  <c r="BC564" i="1" s="1"/>
  <c r="M14" i="12" s="1"/>
  <c r="M86" i="12" s="1"/>
  <c r="AX562" i="1"/>
  <c r="BC562" i="1" s="1"/>
  <c r="M12" i="12" s="1"/>
  <c r="AX560" i="1"/>
  <c r="BC560" i="1" s="1"/>
  <c r="M10" i="12" s="1"/>
  <c r="AX558" i="1"/>
  <c r="AX557" i="1"/>
  <c r="AW554" i="1"/>
  <c r="AW641" i="1" s="1"/>
  <c r="AW721" i="1" s="1"/>
  <c r="AW746" i="1" s="1"/>
  <c r="AV554" i="1"/>
  <c r="AX551" i="1"/>
  <c r="BC551" i="1" s="1"/>
  <c r="AX550" i="1"/>
  <c r="BC550" i="1" s="1"/>
  <c r="AX549" i="1"/>
  <c r="BC549" i="1" s="1"/>
  <c r="AX548" i="1"/>
  <c r="AX547" i="1"/>
  <c r="BC547" i="1" s="1"/>
  <c r="AX546" i="1"/>
  <c r="AX545" i="1"/>
  <c r="AX542" i="1"/>
  <c r="AW536" i="1"/>
  <c r="AV536" i="1"/>
  <c r="AX535" i="1"/>
  <c r="BC535" i="1" s="1"/>
  <c r="AX534" i="1"/>
  <c r="BC534" i="1" s="1"/>
  <c r="AX533" i="1"/>
  <c r="BC533" i="1" s="1"/>
  <c r="AX532" i="1"/>
  <c r="AW529" i="1"/>
  <c r="AV529" i="1"/>
  <c r="AX527" i="1"/>
  <c r="AX522" i="1"/>
  <c r="AW520" i="1"/>
  <c r="AV520" i="1"/>
  <c r="AX519" i="1"/>
  <c r="BC519" i="1" s="1"/>
  <c r="AX518" i="1"/>
  <c r="BC518" i="1" s="1"/>
  <c r="AX517" i="1"/>
  <c r="BC517" i="1" s="1"/>
  <c r="AX516" i="1"/>
  <c r="BC516" i="1" s="1"/>
  <c r="AX515" i="1"/>
  <c r="BC515" i="1" s="1"/>
  <c r="AX512" i="1"/>
  <c r="BC512" i="1" s="1"/>
  <c r="AX508" i="1"/>
  <c r="AW504" i="1"/>
  <c r="AV504" i="1"/>
  <c r="AX503" i="1"/>
  <c r="BC503" i="1" s="1"/>
  <c r="AX502" i="1"/>
  <c r="BC502" i="1" s="1"/>
  <c r="AX501" i="1"/>
  <c r="BC501" i="1" s="1"/>
  <c r="AX500" i="1"/>
  <c r="BC500" i="1" s="1"/>
  <c r="AX499" i="1"/>
  <c r="AW497" i="1"/>
  <c r="AV497" i="1"/>
  <c r="AX496" i="1"/>
  <c r="AW494" i="1"/>
  <c r="AV494" i="1"/>
  <c r="AX493" i="1"/>
  <c r="BC493" i="1" s="1"/>
  <c r="AX492" i="1"/>
  <c r="BC492" i="1" s="1"/>
  <c r="AX491" i="1"/>
  <c r="BC491" i="1" s="1"/>
  <c r="AX490" i="1"/>
  <c r="BC490" i="1" s="1"/>
  <c r="AX489" i="1"/>
  <c r="BC489" i="1" s="1"/>
  <c r="AX488" i="1"/>
  <c r="BC488" i="1" s="1"/>
  <c r="AX487" i="1"/>
  <c r="BC487" i="1" s="1"/>
  <c r="AX484" i="1"/>
  <c r="AW481" i="1"/>
  <c r="AV481" i="1"/>
  <c r="AX480" i="1"/>
  <c r="AW474" i="1"/>
  <c r="AV474" i="1"/>
  <c r="AX473" i="1"/>
  <c r="BC473" i="1" s="1"/>
  <c r="AX472" i="1"/>
  <c r="AW470" i="1"/>
  <c r="AV470" i="1"/>
  <c r="AX469" i="1"/>
  <c r="AW467" i="1"/>
  <c r="AX465" i="1"/>
  <c r="BC465" i="1" s="1"/>
  <c r="AX464" i="1"/>
  <c r="BC464" i="1" s="1"/>
  <c r="AX463" i="1"/>
  <c r="BC463" i="1" s="1"/>
  <c r="AX462" i="1"/>
  <c r="BC462" i="1" s="1"/>
  <c r="AX461" i="1"/>
  <c r="BC461" i="1" s="1"/>
  <c r="AX460" i="1"/>
  <c r="BC460" i="1" s="1"/>
  <c r="AX459" i="1"/>
  <c r="BC459" i="1" s="1"/>
  <c r="AX458" i="1"/>
  <c r="BC458" i="1" s="1"/>
  <c r="AX457" i="1"/>
  <c r="BC457" i="1" s="1"/>
  <c r="AX456" i="1"/>
  <c r="BC456" i="1" s="1"/>
  <c r="AX455" i="1"/>
  <c r="AW453" i="1"/>
  <c r="AV453" i="1"/>
  <c r="AX452" i="1"/>
  <c r="BC452" i="1" s="1"/>
  <c r="AX450" i="1"/>
  <c r="BC450" i="1" s="1"/>
  <c r="AX449" i="1"/>
  <c r="BC449" i="1" s="1"/>
  <c r="AX448" i="1"/>
  <c r="BC448" i="1" s="1"/>
  <c r="AX447" i="1"/>
  <c r="BC447" i="1" s="1"/>
  <c r="AX446" i="1"/>
  <c r="BC446" i="1" s="1"/>
  <c r="AX445" i="1"/>
  <c r="BC445" i="1" s="1"/>
  <c r="AX444" i="1"/>
  <c r="BC444" i="1" s="1"/>
  <c r="AX443" i="1"/>
  <c r="BC443" i="1" s="1"/>
  <c r="AX442" i="1"/>
  <c r="BC442" i="1" s="1"/>
  <c r="AX441" i="1"/>
  <c r="BC441" i="1" s="1"/>
  <c r="AX439" i="1"/>
  <c r="BC439" i="1" s="1"/>
  <c r="AX438" i="1"/>
  <c r="BC438" i="1" s="1"/>
  <c r="AX437" i="1"/>
  <c r="BC437" i="1" s="1"/>
  <c r="AX436" i="1"/>
  <c r="BC436" i="1" s="1"/>
  <c r="AX435" i="1"/>
  <c r="AW433" i="1"/>
  <c r="AV433" i="1"/>
  <c r="AX432" i="1"/>
  <c r="BC432" i="1" s="1"/>
  <c r="AX431" i="1"/>
  <c r="BC431" i="1" s="1"/>
  <c r="AX430" i="1"/>
  <c r="AX429" i="1"/>
  <c r="BC429" i="1" s="1"/>
  <c r="AX428" i="1"/>
  <c r="BC428" i="1" s="1"/>
  <c r="AX427" i="1"/>
  <c r="BC427" i="1" s="1"/>
  <c r="AX426" i="1"/>
  <c r="BC426" i="1" s="1"/>
  <c r="AX425" i="1"/>
  <c r="BC425" i="1" s="1"/>
  <c r="AX424" i="1"/>
  <c r="AW422" i="1"/>
  <c r="AV422" i="1"/>
  <c r="AX420" i="1"/>
  <c r="AX419" i="1"/>
  <c r="AW417" i="1"/>
  <c r="AX402" i="1"/>
  <c r="BC402" i="1" s="1"/>
  <c r="AX400" i="1"/>
  <c r="BC400" i="1" s="1"/>
  <c r="AX394" i="1"/>
  <c r="BC394" i="1" s="1"/>
  <c r="AX393" i="1"/>
  <c r="BC393" i="1" s="1"/>
  <c r="AX392" i="1"/>
  <c r="BC392" i="1" s="1"/>
  <c r="AX391" i="1"/>
  <c r="BC391" i="1" s="1"/>
  <c r="AX390" i="1"/>
  <c r="BC390" i="1" s="1"/>
  <c r="AX389" i="1"/>
  <c r="BC389" i="1" s="1"/>
  <c r="AX388" i="1"/>
  <c r="BC388" i="1" s="1"/>
  <c r="AX387" i="1"/>
  <c r="BC387" i="1" s="1"/>
  <c r="AX386" i="1"/>
  <c r="BC386" i="1" s="1"/>
  <c r="AX382" i="1"/>
  <c r="BC382" i="1" s="1"/>
  <c r="AX381" i="1"/>
  <c r="BC381" i="1" s="1"/>
  <c r="AX380" i="1"/>
  <c r="BC380" i="1" s="1"/>
  <c r="AX379" i="1"/>
  <c r="BC379" i="1" s="1"/>
  <c r="AX378" i="1"/>
  <c r="BC378" i="1" s="1"/>
  <c r="AX377" i="1"/>
  <c r="BC377" i="1" s="1"/>
  <c r="AX376" i="1"/>
  <c r="BC376" i="1" s="1"/>
  <c r="AX375" i="1"/>
  <c r="BC375" i="1" s="1"/>
  <c r="AX374" i="1"/>
  <c r="BC374" i="1" s="1"/>
  <c r="AX373" i="1"/>
  <c r="BC373" i="1" s="1"/>
  <c r="AX372" i="1"/>
  <c r="BC372" i="1" s="1"/>
  <c r="AX371" i="1"/>
  <c r="BC371" i="1" s="1"/>
  <c r="AX370" i="1"/>
  <c r="BC370" i="1" s="1"/>
  <c r="AX369" i="1"/>
  <c r="BC369" i="1" s="1"/>
  <c r="AX368" i="1"/>
  <c r="BC368" i="1" s="1"/>
  <c r="AX367" i="1"/>
  <c r="BC367" i="1" s="1"/>
  <c r="AX366" i="1"/>
  <c r="BC366" i="1" s="1"/>
  <c r="AX365" i="1"/>
  <c r="BC365" i="1" s="1"/>
  <c r="AX364" i="1"/>
  <c r="BC364" i="1" s="1"/>
  <c r="AX363" i="1"/>
  <c r="BC363" i="1" s="1"/>
  <c r="AX362" i="1"/>
  <c r="BC362" i="1" s="1"/>
  <c r="AX361" i="1"/>
  <c r="BC361" i="1" s="1"/>
  <c r="AX360" i="1"/>
  <c r="BC360" i="1" s="1"/>
  <c r="AX359" i="1"/>
  <c r="BC359" i="1" s="1"/>
  <c r="AX358" i="1"/>
  <c r="BC358" i="1" s="1"/>
  <c r="AX357" i="1"/>
  <c r="BC357" i="1" s="1"/>
  <c r="AX356" i="1"/>
  <c r="BC356" i="1" s="1"/>
  <c r="AX355" i="1"/>
  <c r="BC355" i="1" s="1"/>
  <c r="AX354" i="1"/>
  <c r="BC354" i="1" s="1"/>
  <c r="AX353" i="1"/>
  <c r="BC353" i="1" s="1"/>
  <c r="AX352" i="1"/>
  <c r="BC352" i="1" s="1"/>
  <c r="AX351" i="1"/>
  <c r="BC351" i="1" s="1"/>
  <c r="AX350" i="1"/>
  <c r="BC350" i="1" s="1"/>
  <c r="AX349" i="1"/>
  <c r="BC349" i="1" s="1"/>
  <c r="AX348" i="1"/>
  <c r="BC348" i="1" s="1"/>
  <c r="AX347" i="1"/>
  <c r="BC347" i="1" s="1"/>
  <c r="AX346" i="1"/>
  <c r="BC346" i="1" s="1"/>
  <c r="AX345" i="1"/>
  <c r="BC345" i="1" s="1"/>
  <c r="AX344" i="1"/>
  <c r="BC344" i="1" s="1"/>
  <c r="AX343" i="1"/>
  <c r="BC343" i="1" s="1"/>
  <c r="AX342" i="1"/>
  <c r="BC342" i="1" s="1"/>
  <c r="AX341" i="1"/>
  <c r="BC341" i="1" s="1"/>
  <c r="AX340" i="1"/>
  <c r="BC340" i="1" s="1"/>
  <c r="AX339" i="1"/>
  <c r="BC339" i="1" s="1"/>
  <c r="AX338" i="1"/>
  <c r="BC338" i="1" s="1"/>
  <c r="AX337" i="1"/>
  <c r="BC337" i="1" s="1"/>
  <c r="AX336" i="1"/>
  <c r="BC336" i="1" s="1"/>
  <c r="AX335" i="1"/>
  <c r="BC335" i="1" s="1"/>
  <c r="AX334" i="1"/>
  <c r="BC334" i="1" s="1"/>
  <c r="AX333" i="1"/>
  <c r="BC333" i="1" s="1"/>
  <c r="AX332" i="1"/>
  <c r="BC332" i="1" s="1"/>
  <c r="AX331" i="1"/>
  <c r="BC331" i="1" s="1"/>
  <c r="AX330" i="1"/>
  <c r="BC330" i="1" s="1"/>
  <c r="AX329" i="1"/>
  <c r="BC329" i="1" s="1"/>
  <c r="AX328" i="1"/>
  <c r="BC328" i="1" s="1"/>
  <c r="AX327" i="1"/>
  <c r="BC327" i="1" s="1"/>
  <c r="AX326" i="1"/>
  <c r="BC326" i="1" s="1"/>
  <c r="AX325" i="1"/>
  <c r="BC325" i="1" s="1"/>
  <c r="AX324" i="1"/>
  <c r="BC324" i="1" s="1"/>
  <c r="AX323" i="1"/>
  <c r="BC323" i="1" s="1"/>
  <c r="AX322" i="1"/>
  <c r="BC322" i="1" s="1"/>
  <c r="AX321" i="1"/>
  <c r="BC321" i="1" s="1"/>
  <c r="AX320" i="1"/>
  <c r="BC320" i="1" s="1"/>
  <c r="AX319" i="1"/>
  <c r="BC319" i="1" s="1"/>
  <c r="AX318" i="1"/>
  <c r="BC318" i="1" s="1"/>
  <c r="AX317" i="1"/>
  <c r="BC317" i="1" s="1"/>
  <c r="AX316" i="1"/>
  <c r="BC316" i="1" s="1"/>
  <c r="AX315" i="1"/>
  <c r="BC315" i="1" s="1"/>
  <c r="AX314" i="1"/>
  <c r="BC314" i="1" s="1"/>
  <c r="AX313" i="1"/>
  <c r="BC313" i="1" s="1"/>
  <c r="AX312" i="1"/>
  <c r="BC312" i="1" s="1"/>
  <c r="AX311" i="1"/>
  <c r="BC311" i="1" s="1"/>
  <c r="AX310" i="1"/>
  <c r="BC310" i="1" s="1"/>
  <c r="AX309" i="1"/>
  <c r="BC309" i="1" s="1"/>
  <c r="AX308" i="1"/>
  <c r="BC308" i="1" s="1"/>
  <c r="AX307" i="1"/>
  <c r="BC307" i="1" s="1"/>
  <c r="AX306" i="1"/>
  <c r="BC306" i="1" s="1"/>
  <c r="AX305" i="1"/>
  <c r="BC305" i="1" s="1"/>
  <c r="AX304" i="1"/>
  <c r="BC304" i="1" s="1"/>
  <c r="AX303" i="1"/>
  <c r="BC303" i="1" s="1"/>
  <c r="AX302" i="1"/>
  <c r="BC302" i="1" s="1"/>
  <c r="AX301" i="1"/>
  <c r="BC301" i="1" s="1"/>
  <c r="AX299" i="1"/>
  <c r="BC299" i="1" s="1"/>
  <c r="AX298" i="1"/>
  <c r="BC298" i="1" s="1"/>
  <c r="AX297" i="1"/>
  <c r="BC297" i="1" s="1"/>
  <c r="AX296" i="1"/>
  <c r="BC296" i="1" s="1"/>
  <c r="AX295" i="1"/>
  <c r="BC295" i="1" s="1"/>
  <c r="AX294" i="1"/>
  <c r="BC294" i="1" s="1"/>
  <c r="AX293" i="1"/>
  <c r="BC293" i="1" s="1"/>
  <c r="AX292" i="1"/>
  <c r="BC292" i="1" s="1"/>
  <c r="AX291" i="1"/>
  <c r="BC291" i="1" s="1"/>
  <c r="AX290" i="1"/>
  <c r="AW288" i="1"/>
  <c r="AV288" i="1"/>
  <c r="AX287" i="1"/>
  <c r="BC287" i="1" s="1"/>
  <c r="AX286" i="1"/>
  <c r="BC286" i="1" s="1"/>
  <c r="AX285" i="1"/>
  <c r="BC285" i="1" s="1"/>
  <c r="AX284" i="1"/>
  <c r="BC284" i="1" s="1"/>
  <c r="AX283" i="1"/>
  <c r="BC283" i="1" s="1"/>
  <c r="AX282" i="1"/>
  <c r="BC282" i="1" s="1"/>
  <c r="AX281" i="1"/>
  <c r="BC281" i="1" s="1"/>
  <c r="AX280" i="1"/>
  <c r="BC280" i="1" s="1"/>
  <c r="AX279" i="1"/>
  <c r="BC279" i="1" s="1"/>
  <c r="AX278" i="1"/>
  <c r="BC278" i="1" s="1"/>
  <c r="AX277" i="1"/>
  <c r="BC277" i="1" s="1"/>
  <c r="AX276" i="1"/>
  <c r="BC276" i="1" s="1"/>
  <c r="AX275" i="1"/>
  <c r="BC275" i="1" s="1"/>
  <c r="AX274" i="1"/>
  <c r="BC274" i="1" s="1"/>
  <c r="AX273" i="1"/>
  <c r="BC273" i="1" s="1"/>
  <c r="AX272" i="1"/>
  <c r="BC272" i="1" s="1"/>
  <c r="AX271" i="1"/>
  <c r="BC271" i="1" s="1"/>
  <c r="AX270" i="1"/>
  <c r="BC270" i="1" s="1"/>
  <c r="AX269" i="1"/>
  <c r="BC269" i="1" s="1"/>
  <c r="AX268" i="1"/>
  <c r="BC268" i="1" s="1"/>
  <c r="AX267" i="1"/>
  <c r="BC267" i="1" s="1"/>
  <c r="AX266" i="1"/>
  <c r="BC266" i="1" s="1"/>
  <c r="AX265" i="1"/>
  <c r="BC265" i="1" s="1"/>
  <c r="AX264" i="1"/>
  <c r="BC264" i="1" s="1"/>
  <c r="AX263" i="1"/>
  <c r="BC263" i="1" s="1"/>
  <c r="AX262" i="1"/>
  <c r="BC262" i="1" s="1"/>
  <c r="AX261" i="1"/>
  <c r="BC261" i="1" s="1"/>
  <c r="AX260" i="1"/>
  <c r="AW252" i="1"/>
  <c r="AV252" i="1"/>
  <c r="AX250" i="1"/>
  <c r="AW248" i="1"/>
  <c r="AV248" i="1"/>
  <c r="AX247" i="1"/>
  <c r="AW245" i="1"/>
  <c r="AX244" i="1"/>
  <c r="BC244" i="1" s="1"/>
  <c r="AX242" i="1"/>
  <c r="BC242" i="1" s="1"/>
  <c r="AX241" i="1"/>
  <c r="BC241" i="1" s="1"/>
  <c r="AX240" i="1"/>
  <c r="BC240" i="1" s="1"/>
  <c r="AX239" i="1"/>
  <c r="AW236" i="1"/>
  <c r="AV236" i="1"/>
  <c r="AX235" i="1"/>
  <c r="BC235" i="1" s="1"/>
  <c r="AX232" i="1"/>
  <c r="AW223" i="1"/>
  <c r="AV223" i="1"/>
  <c r="AX221" i="1"/>
  <c r="AW218" i="1"/>
  <c r="AV218" i="1"/>
  <c r="AX217" i="1"/>
  <c r="BC217" i="1" s="1"/>
  <c r="AX216" i="1"/>
  <c r="AW214" i="1"/>
  <c r="AV214" i="1"/>
  <c r="AX213" i="1"/>
  <c r="BC213" i="1" s="1"/>
  <c r="AX212" i="1"/>
  <c r="BC212" i="1" s="1"/>
  <c r="AX211" i="1"/>
  <c r="BC211" i="1" s="1"/>
  <c r="AX210" i="1"/>
  <c r="BC210" i="1" s="1"/>
  <c r="AX209" i="1"/>
  <c r="BC209" i="1" s="1"/>
  <c r="AX208" i="1"/>
  <c r="BC208" i="1" s="1"/>
  <c r="AX207" i="1"/>
  <c r="BC207" i="1" s="1"/>
  <c r="AX206" i="1"/>
  <c r="BC206" i="1" s="1"/>
  <c r="AX205" i="1"/>
  <c r="BC205" i="1" s="1"/>
  <c r="AX204" i="1"/>
  <c r="BC204" i="1" s="1"/>
  <c r="AX203" i="1"/>
  <c r="AW201" i="1"/>
  <c r="AV201" i="1"/>
  <c r="AX200" i="1"/>
  <c r="BC200" i="1" s="1"/>
  <c r="AX199" i="1"/>
  <c r="BC199" i="1" s="1"/>
  <c r="AX198" i="1"/>
  <c r="BC198" i="1" s="1"/>
  <c r="AX197" i="1"/>
  <c r="BC197" i="1" s="1"/>
  <c r="AX196" i="1"/>
  <c r="BC196" i="1" s="1"/>
  <c r="AX195" i="1"/>
  <c r="BC195" i="1" s="1"/>
  <c r="AX194" i="1"/>
  <c r="BC194" i="1" s="1"/>
  <c r="AX193" i="1"/>
  <c r="BC193" i="1" s="1"/>
  <c r="AX192" i="1"/>
  <c r="BC192" i="1" s="1"/>
  <c r="AX191" i="1"/>
  <c r="BC191" i="1" s="1"/>
  <c r="AX190" i="1"/>
  <c r="BC190" i="1" s="1"/>
  <c r="AX189" i="1"/>
  <c r="AW187" i="1"/>
  <c r="AV187" i="1"/>
  <c r="AX186" i="1"/>
  <c r="BC186" i="1" s="1"/>
  <c r="AX185" i="1"/>
  <c r="BC185" i="1" s="1"/>
  <c r="AX184" i="1"/>
  <c r="AW182" i="1"/>
  <c r="AV182" i="1"/>
  <c r="AX181" i="1"/>
  <c r="BC181" i="1" s="1"/>
  <c r="AX180" i="1"/>
  <c r="AW177" i="1"/>
  <c r="AV177" i="1"/>
  <c r="AX174" i="1"/>
  <c r="BC174" i="1" s="1"/>
  <c r="AX173" i="1"/>
  <c r="BC173" i="1" s="1"/>
  <c r="AX172" i="1"/>
  <c r="BC172" i="1" s="1"/>
  <c r="AX171" i="1"/>
  <c r="BC171" i="1" s="1"/>
  <c r="AX170" i="1"/>
  <c r="BC170" i="1" s="1"/>
  <c r="AX169" i="1"/>
  <c r="BC169" i="1" s="1"/>
  <c r="AX168" i="1"/>
  <c r="BC168" i="1" s="1"/>
  <c r="AX167" i="1"/>
  <c r="BC167" i="1" s="1"/>
  <c r="AX166" i="1"/>
  <c r="BC166" i="1" s="1"/>
  <c r="AX165" i="1"/>
  <c r="BC165" i="1" s="1"/>
  <c r="AX164" i="1"/>
  <c r="BC164" i="1" s="1"/>
  <c r="AX160" i="1"/>
  <c r="BC160" i="1" s="1"/>
  <c r="AX159" i="1"/>
  <c r="BC159" i="1" s="1"/>
  <c r="AX156" i="1"/>
  <c r="BC156" i="1" s="1"/>
  <c r="AX155" i="1"/>
  <c r="BC155" i="1" s="1"/>
  <c r="AX154" i="1"/>
  <c r="BC154" i="1" s="1"/>
  <c r="AX153" i="1"/>
  <c r="BC153" i="1" s="1"/>
  <c r="AX152" i="1"/>
  <c r="BC152" i="1" s="1"/>
  <c r="AX151" i="1"/>
  <c r="BC151" i="1" s="1"/>
  <c r="AX150" i="1"/>
  <c r="BC150" i="1" s="1"/>
  <c r="AX149" i="1"/>
  <c r="AV147" i="1"/>
  <c r="AX145" i="1"/>
  <c r="BC145" i="1" s="1"/>
  <c r="AD24" i="12" s="1"/>
  <c r="AX142" i="1"/>
  <c r="BC142" i="1" s="1"/>
  <c r="AX141" i="1"/>
  <c r="BC141" i="1" s="1"/>
  <c r="AX140" i="1"/>
  <c r="AW138" i="1"/>
  <c r="AV138" i="1"/>
  <c r="AX137" i="1"/>
  <c r="BC137" i="1" s="1"/>
  <c r="AX134" i="1"/>
  <c r="BC134" i="1" s="1"/>
  <c r="AX133" i="1"/>
  <c r="BC133" i="1" s="1"/>
  <c r="AX132" i="1"/>
  <c r="BC132" i="1" s="1"/>
  <c r="AX131" i="1"/>
  <c r="BC131" i="1" s="1"/>
  <c r="AX130" i="1"/>
  <c r="BC130" i="1" s="1"/>
  <c r="AX129" i="1"/>
  <c r="AX128" i="1"/>
  <c r="BC128" i="1" s="1"/>
  <c r="AX127" i="1"/>
  <c r="BC127" i="1" s="1"/>
  <c r="AX126" i="1"/>
  <c r="BC126" i="1" s="1"/>
  <c r="AX125" i="1"/>
  <c r="BC125" i="1" s="1"/>
  <c r="AX124" i="1"/>
  <c r="BC124" i="1" s="1"/>
  <c r="AX123" i="1"/>
  <c r="BC123" i="1" s="1"/>
  <c r="AX122" i="1"/>
  <c r="BC122" i="1" s="1"/>
  <c r="AX121" i="1"/>
  <c r="BC121" i="1" s="1"/>
  <c r="AX120" i="1"/>
  <c r="BC120" i="1" s="1"/>
  <c r="AX119" i="1"/>
  <c r="BC119" i="1" s="1"/>
  <c r="AX118" i="1"/>
  <c r="AW115" i="1"/>
  <c r="AV115" i="1"/>
  <c r="AX113" i="1"/>
  <c r="AW111" i="1"/>
  <c r="AX109" i="1"/>
  <c r="AX108" i="1"/>
  <c r="AX107" i="1"/>
  <c r="AX73" i="1"/>
  <c r="BC73" i="1" s="1"/>
  <c r="AX72" i="1"/>
  <c r="BC72" i="1" s="1"/>
  <c r="AX102" i="1"/>
  <c r="BC102" i="1" s="1"/>
  <c r="AX101" i="1"/>
  <c r="BC101" i="1" s="1"/>
  <c r="AX99" i="1"/>
  <c r="BC99" i="1" s="1"/>
  <c r="AX98" i="1"/>
  <c r="BC98" i="1" s="1"/>
  <c r="AX97" i="1"/>
  <c r="BC97" i="1" s="1"/>
  <c r="AX96" i="1"/>
  <c r="BC96" i="1" s="1"/>
  <c r="AX95" i="1"/>
  <c r="BC95" i="1" s="1"/>
  <c r="AX94" i="1"/>
  <c r="BC94" i="1" s="1"/>
  <c r="AX93" i="1"/>
  <c r="BC93" i="1" s="1"/>
  <c r="AX92" i="1"/>
  <c r="BC92" i="1" s="1"/>
  <c r="AX91" i="1"/>
  <c r="BC91" i="1" s="1"/>
  <c r="AX90" i="1"/>
  <c r="BC90" i="1" s="1"/>
  <c r="AX89" i="1"/>
  <c r="BC89" i="1" s="1"/>
  <c r="AX88" i="1"/>
  <c r="BC88" i="1" s="1"/>
  <c r="AX87" i="1"/>
  <c r="BC87" i="1" s="1"/>
  <c r="AX86" i="1"/>
  <c r="BC86" i="1" s="1"/>
  <c r="AX85" i="1"/>
  <c r="BC85" i="1" s="1"/>
  <c r="AX84" i="1"/>
  <c r="BC84" i="1" s="1"/>
  <c r="AX83" i="1"/>
  <c r="BC83" i="1" s="1"/>
  <c r="AX82" i="1"/>
  <c r="BC82" i="1" s="1"/>
  <c r="AX81" i="1"/>
  <c r="BC81" i="1" s="1"/>
  <c r="AX80" i="1"/>
  <c r="BC80" i="1" s="1"/>
  <c r="AX79" i="1"/>
  <c r="BC79" i="1" s="1"/>
  <c r="AX78" i="1"/>
  <c r="BC78" i="1" s="1"/>
  <c r="AX77" i="1"/>
  <c r="BC77" i="1" s="1"/>
  <c r="AX76" i="1"/>
  <c r="BC76" i="1" s="1"/>
  <c r="AX70" i="1"/>
  <c r="BC70" i="1" s="1"/>
  <c r="AX69" i="1"/>
  <c r="BC69" i="1" s="1"/>
  <c r="AX68" i="1"/>
  <c r="BC68" i="1" s="1"/>
  <c r="AX67" i="1"/>
  <c r="BC67" i="1" s="1"/>
  <c r="AX66" i="1"/>
  <c r="BC66" i="1" s="1"/>
  <c r="AX65" i="1"/>
  <c r="BC65" i="1" s="1"/>
  <c r="AX64" i="1"/>
  <c r="BC64" i="1" s="1"/>
  <c r="AX63" i="1"/>
  <c r="BC63" i="1" s="1"/>
  <c r="AX62" i="1"/>
  <c r="BC62" i="1" s="1"/>
  <c r="AX61" i="1"/>
  <c r="BC61" i="1" s="1"/>
  <c r="AX60" i="1"/>
  <c r="BC60" i="1" s="1"/>
  <c r="AX59" i="1"/>
  <c r="BC59" i="1" s="1"/>
  <c r="AX58" i="1"/>
  <c r="BC58" i="1" s="1"/>
  <c r="AX57" i="1"/>
  <c r="AX56" i="1"/>
  <c r="BC56" i="1" s="1"/>
  <c r="AX55" i="1"/>
  <c r="BC55" i="1" s="1"/>
  <c r="BC50" i="1"/>
  <c r="BC51" i="1" s="1"/>
  <c r="AX50" i="1"/>
  <c r="AX51" i="1" s="1"/>
  <c r="AW50" i="1"/>
  <c r="AW51" i="1" s="1"/>
  <c r="AV50" i="1"/>
  <c r="AV51" i="1" s="1"/>
  <c r="AW48" i="1"/>
  <c r="AX47" i="1"/>
  <c r="BC47" i="1" s="1"/>
  <c r="AX46" i="1"/>
  <c r="BC46" i="1" s="1"/>
  <c r="AX44" i="1"/>
  <c r="BC44" i="1" s="1"/>
  <c r="AX43" i="1"/>
  <c r="BC43" i="1" s="1"/>
  <c r="AX42" i="1"/>
  <c r="BC42" i="1" s="1"/>
  <c r="AX41" i="1"/>
  <c r="BC41" i="1" s="1"/>
  <c r="AX40" i="1"/>
  <c r="BC40" i="1" s="1"/>
  <c r="AX39" i="1"/>
  <c r="BC39" i="1" s="1"/>
  <c r="AX38" i="1"/>
  <c r="BC38" i="1" s="1"/>
  <c r="AX37" i="1"/>
  <c r="BC37" i="1" s="1"/>
  <c r="AX36" i="1"/>
  <c r="BC36" i="1" s="1"/>
  <c r="AX35" i="1"/>
  <c r="BC35" i="1" s="1"/>
  <c r="AX32" i="1"/>
  <c r="BC32" i="1" s="1"/>
  <c r="AX31" i="1"/>
  <c r="BC31" i="1" s="1"/>
  <c r="AX30" i="1"/>
  <c r="BC30" i="1" s="1"/>
  <c r="AX29" i="1"/>
  <c r="BC29" i="1" s="1"/>
  <c r="AX28" i="1"/>
  <c r="BC28" i="1" s="1"/>
  <c r="AX27" i="1"/>
  <c r="BC27" i="1" s="1"/>
  <c r="AX26" i="1"/>
  <c r="BC26" i="1" s="1"/>
  <c r="AX25" i="1"/>
  <c r="BC25" i="1" s="1"/>
  <c r="AX24" i="1"/>
  <c r="BC24" i="1" s="1"/>
  <c r="AX23" i="1"/>
  <c r="BC23" i="1" s="1"/>
  <c r="AX22" i="1"/>
  <c r="BC22" i="1" s="1"/>
  <c r="AX21" i="1"/>
  <c r="AV18" i="1"/>
  <c r="AX15" i="1"/>
  <c r="AW9" i="1"/>
  <c r="AX9" i="1" s="1"/>
  <c r="BC9" i="1" s="1"/>
  <c r="BC420" i="1" l="1"/>
  <c r="M90" i="12"/>
  <c r="BC545" i="1"/>
  <c r="BC430" i="1"/>
  <c r="BC548" i="1"/>
  <c r="M38" i="12"/>
  <c r="AD42" i="12"/>
  <c r="BC129" i="1"/>
  <c r="M42" i="12"/>
  <c r="M69" i="12"/>
  <c r="AX570" i="1"/>
  <c r="AX572" i="1" s="1"/>
  <c r="BC558" i="1"/>
  <c r="M8" i="12" s="1"/>
  <c r="AX639" i="1"/>
  <c r="BC728" i="1"/>
  <c r="AX662" i="1"/>
  <c r="AX559" i="1"/>
  <c r="AX561" i="1" s="1"/>
  <c r="AX563" i="1" s="1"/>
  <c r="AX565" i="1" s="1"/>
  <c r="AX730" i="1"/>
  <c r="AX744" i="1"/>
  <c r="AX105" i="1"/>
  <c r="BC109" i="1"/>
  <c r="A18" i="11"/>
  <c r="BE610" i="1"/>
  <c r="BC108" i="1"/>
  <c r="AX601" i="1"/>
  <c r="AX719" i="1"/>
  <c r="BE462" i="1"/>
  <c r="AI21" i="20"/>
  <c r="B21" i="23"/>
  <c r="J18" i="5" s="1"/>
  <c r="AV13" i="23"/>
  <c r="AV54" i="23" s="1"/>
  <c r="AX15" i="20"/>
  <c r="B20" i="23"/>
  <c r="J19" i="5" s="1"/>
  <c r="AZ15" i="23"/>
  <c r="BC741" i="1"/>
  <c r="H21" i="3"/>
  <c r="BC753" i="1"/>
  <c r="L26" i="3" s="1"/>
  <c r="H26" i="3"/>
  <c r="J16" i="2"/>
  <c r="I7" i="20" s="1"/>
  <c r="O15" i="21"/>
  <c r="J20" i="2"/>
  <c r="S7" i="20" s="1"/>
  <c r="O20" i="21"/>
  <c r="J66" i="2"/>
  <c r="O61" i="21"/>
  <c r="J99" i="2"/>
  <c r="K102" i="17" s="1"/>
  <c r="O99" i="21"/>
  <c r="M51" i="12"/>
  <c r="AV14" i="20"/>
  <c r="M55" i="12"/>
  <c r="AV15" i="20"/>
  <c r="AZ20" i="20"/>
  <c r="B20" i="20" s="1"/>
  <c r="N19" i="5" s="1"/>
  <c r="AD25" i="12"/>
  <c r="AV641" i="1"/>
  <c r="AV721" i="1" s="1"/>
  <c r="AV746" i="1" s="1"/>
  <c r="AX467" i="1"/>
  <c r="AX245" i="1"/>
  <c r="AX144" i="1"/>
  <c r="BC144" i="1" s="1"/>
  <c r="AX17" i="1"/>
  <c r="BC17" i="1" s="1"/>
  <c r="AW219" i="1"/>
  <c r="AW254" i="1" s="1"/>
  <c r="AW52" i="1"/>
  <c r="AW178" i="1" s="1"/>
  <c r="AW476" i="1"/>
  <c r="AV505" i="1"/>
  <c r="AV219" i="1"/>
  <c r="AV254" i="1" s="1"/>
  <c r="AW505" i="1"/>
  <c r="AV52" i="1"/>
  <c r="AV178" i="1" s="1"/>
  <c r="BC15" i="1"/>
  <c r="AX48" i="1"/>
  <c r="BC21" i="1"/>
  <c r="BC48" i="1" s="1"/>
  <c r="BC57" i="1"/>
  <c r="BC105" i="1" s="1"/>
  <c r="AX111" i="1"/>
  <c r="BC107" i="1"/>
  <c r="AX115" i="1"/>
  <c r="BC113" i="1"/>
  <c r="BC115" i="1" s="1"/>
  <c r="AX138" i="1"/>
  <c r="BC118" i="1"/>
  <c r="BC140" i="1"/>
  <c r="AX177" i="1"/>
  <c r="BC149" i="1"/>
  <c r="AX182" i="1"/>
  <c r="BC180" i="1"/>
  <c r="BC182" i="1" s="1"/>
  <c r="O17" i="21" s="1"/>
  <c r="AX187" i="1"/>
  <c r="BC184" i="1"/>
  <c r="BC187" i="1" s="1"/>
  <c r="AX201" i="1"/>
  <c r="BC189" i="1"/>
  <c r="BC201" i="1" s="1"/>
  <c r="AX214" i="1"/>
  <c r="BC203" i="1"/>
  <c r="BC214" i="1" s="1"/>
  <c r="AX218" i="1"/>
  <c r="BC216" i="1"/>
  <c r="BC218" i="1" s="1"/>
  <c r="AX223" i="1"/>
  <c r="BC221" i="1"/>
  <c r="BC223" i="1" s="1"/>
  <c r="AX236" i="1"/>
  <c r="BC232" i="1"/>
  <c r="BC236" i="1" s="1"/>
  <c r="BC239" i="1"/>
  <c r="BC245" i="1" s="1"/>
  <c r="AX248" i="1"/>
  <c r="BC247" i="1"/>
  <c r="BC248" i="1" s="1"/>
  <c r="AX252" i="1"/>
  <c r="BC250" i="1"/>
  <c r="BC252" i="1" s="1"/>
  <c r="AX288" i="1"/>
  <c r="BC260" i="1"/>
  <c r="BC288" i="1" s="1"/>
  <c r="BC290" i="1"/>
  <c r="AV476" i="1"/>
  <c r="AX401" i="1"/>
  <c r="AX417" i="1" s="1"/>
  <c r="AX422" i="1"/>
  <c r="BC419" i="1"/>
  <c r="BC422" i="1" s="1"/>
  <c r="AX433" i="1"/>
  <c r="BC424" i="1"/>
  <c r="AX453" i="1"/>
  <c r="BC435" i="1"/>
  <c r="BC453" i="1" s="1"/>
  <c r="BC455" i="1"/>
  <c r="BC467" i="1" s="1"/>
  <c r="AX470" i="1"/>
  <c r="BC469" i="1"/>
  <c r="BC470" i="1" s="1"/>
  <c r="AX474" i="1"/>
  <c r="BC472" i="1"/>
  <c r="O64" i="21" s="1"/>
  <c r="AX481" i="1"/>
  <c r="BC480" i="1"/>
  <c r="BC481" i="1" s="1"/>
  <c r="AX494" i="1"/>
  <c r="BC484" i="1"/>
  <c r="AX497" i="1"/>
  <c r="BC496" i="1"/>
  <c r="BC497" i="1" s="1"/>
  <c r="AX504" i="1"/>
  <c r="BC499" i="1"/>
  <c r="BC504" i="1" s="1"/>
  <c r="AX520" i="1"/>
  <c r="BC508" i="1"/>
  <c r="BC522" i="1"/>
  <c r="AX529" i="1"/>
  <c r="BC527" i="1"/>
  <c r="BC529" i="1" s="1"/>
  <c r="AX536" i="1"/>
  <c r="BC532" i="1"/>
  <c r="BC536" i="1" s="1"/>
  <c r="AX554" i="1"/>
  <c r="BC542" i="1"/>
  <c r="BC557" i="1"/>
  <c r="BC568" i="1"/>
  <c r="BC576" i="1"/>
  <c r="BC605" i="1"/>
  <c r="BC639" i="1" s="1"/>
  <c r="M75" i="12" s="1"/>
  <c r="BC644" i="1"/>
  <c r="BC662" i="1" s="1"/>
  <c r="L16" i="3" s="1"/>
  <c r="AW7" i="20" s="1"/>
  <c r="AW9" i="20" s="1"/>
  <c r="AW15" i="20" s="1"/>
  <c r="BC665" i="1"/>
  <c r="BC719" i="1" s="1"/>
  <c r="BC724" i="1"/>
  <c r="BC730" i="1" s="1"/>
  <c r="BE727" i="1" s="1"/>
  <c r="BC732" i="1"/>
  <c r="BE737" i="1" s="1"/>
  <c r="AX754" i="1"/>
  <c r="BC748" i="1"/>
  <c r="AX759" i="1"/>
  <c r="H41" i="3" s="1"/>
  <c r="BC758" i="1"/>
  <c r="BC759" i="1" s="1"/>
  <c r="L41" i="3" s="1"/>
  <c r="AX762" i="1"/>
  <c r="BC761" i="1"/>
  <c r="K28" i="9"/>
  <c r="K22" i="9"/>
  <c r="K23" i="9" s="1"/>
  <c r="AE578" i="1"/>
  <c r="AD578" i="1"/>
  <c r="AC728" i="1"/>
  <c r="AB728" i="1"/>
  <c r="AC548" i="1"/>
  <c r="AB548" i="1"/>
  <c r="AC546" i="1"/>
  <c r="AB546" i="1"/>
  <c r="AC545" i="1"/>
  <c r="AB545" i="1"/>
  <c r="J28" i="9"/>
  <c r="AE558" i="1" s="1"/>
  <c r="BC554" i="1" l="1"/>
  <c r="L11" i="3" s="1"/>
  <c r="AU7" i="20" s="1"/>
  <c r="AU9" i="20" s="1"/>
  <c r="AU12" i="20" s="1"/>
  <c r="AD43" i="12"/>
  <c r="BC138" i="1"/>
  <c r="BC111" i="1"/>
  <c r="O13" i="21" s="1"/>
  <c r="M72" i="12"/>
  <c r="M76" i="12" s="1"/>
  <c r="AX720" i="1"/>
  <c r="J34" i="2"/>
  <c r="AX745" i="1"/>
  <c r="BE665" i="1"/>
  <c r="AX14" i="20" s="1"/>
  <c r="B14" i="20" s="1"/>
  <c r="N14" i="5" s="1"/>
  <c r="BC147" i="1"/>
  <c r="J17" i="2" s="1"/>
  <c r="J7" i="20" s="1"/>
  <c r="AX640" i="1"/>
  <c r="AX641" i="1" s="1"/>
  <c r="AX147" i="1"/>
  <c r="A19" i="11"/>
  <c r="AY548" i="1"/>
  <c r="M34" i="12"/>
  <c r="M44" i="12" s="1"/>
  <c r="S25" i="16"/>
  <c r="S26" i="16" s="1"/>
  <c r="H14" i="3"/>
  <c r="AD12" i="12"/>
  <c r="AD13" i="12" s="1"/>
  <c r="J102" i="2"/>
  <c r="AP7" i="20" s="1"/>
  <c r="O102" i="21"/>
  <c r="J97" i="2"/>
  <c r="I102" i="17" s="1"/>
  <c r="O98" i="21"/>
  <c r="J76" i="2"/>
  <c r="AE7" i="20" s="1"/>
  <c r="O71" i="21"/>
  <c r="J80" i="2"/>
  <c r="AL7" i="20" s="1"/>
  <c r="O75" i="21"/>
  <c r="J79" i="2"/>
  <c r="AG7" i="20" s="1"/>
  <c r="O74" i="21"/>
  <c r="J81" i="2"/>
  <c r="AK7" i="20" s="1"/>
  <c r="O76" i="21"/>
  <c r="J68" i="2"/>
  <c r="AF7" i="20" s="1"/>
  <c r="O63" i="21"/>
  <c r="J62" i="2"/>
  <c r="AC7" i="20" s="1"/>
  <c r="O56" i="21"/>
  <c r="J77" i="2"/>
  <c r="AD7" i="20" s="1"/>
  <c r="O72" i="21"/>
  <c r="J61" i="2"/>
  <c r="X7" i="20" s="1"/>
  <c r="O55" i="21"/>
  <c r="J45" i="2"/>
  <c r="V7" i="20" s="1"/>
  <c r="O37" i="21"/>
  <c r="J43" i="2"/>
  <c r="U7" i="20" s="1"/>
  <c r="O33" i="21"/>
  <c r="O29" i="21"/>
  <c r="J26" i="2"/>
  <c r="H7" i="20" s="1"/>
  <c r="O28" i="21"/>
  <c r="J19" i="2"/>
  <c r="M7" i="20" s="1"/>
  <c r="O18" i="21"/>
  <c r="J13" i="2"/>
  <c r="E7" i="20" s="1"/>
  <c r="O14" i="21"/>
  <c r="AN7" i="20"/>
  <c r="J63" i="2"/>
  <c r="AI7" i="20" s="1"/>
  <c r="O57" i="21"/>
  <c r="Y25" i="16"/>
  <c r="Y26" i="16" s="1"/>
  <c r="AF24" i="16"/>
  <c r="AF25" i="16" s="1"/>
  <c r="BC762" i="1"/>
  <c r="L42" i="3"/>
  <c r="M31" i="17" s="1"/>
  <c r="U31" i="17" s="1"/>
  <c r="BC754" i="1"/>
  <c r="L25" i="3"/>
  <c r="BA7" i="20" s="1"/>
  <c r="BA9" i="20" s="1"/>
  <c r="BA15" i="20" s="1"/>
  <c r="BC744" i="1"/>
  <c r="BC745" i="1" s="1"/>
  <c r="L19" i="3"/>
  <c r="AZ7" i="20" s="1"/>
  <c r="L18" i="3"/>
  <c r="AY7" i="20" s="1"/>
  <c r="AY9" i="20" s="1"/>
  <c r="AY15" i="20" s="1"/>
  <c r="BC720" i="1"/>
  <c r="L17" i="3"/>
  <c r="AX7" i="20" s="1"/>
  <c r="AX9" i="20" s="1"/>
  <c r="BC601" i="1"/>
  <c r="M46" i="12" s="1"/>
  <c r="M21" i="12"/>
  <c r="M23" i="12" s="1"/>
  <c r="M25" i="12" s="1"/>
  <c r="BC570" i="1"/>
  <c r="BC572" i="1" s="1"/>
  <c r="M7" i="12"/>
  <c r="M9" i="12" s="1"/>
  <c r="M11" i="12" s="1"/>
  <c r="M13" i="12" s="1"/>
  <c r="M15" i="12" s="1"/>
  <c r="BC559" i="1"/>
  <c r="BC561" i="1" s="1"/>
  <c r="BC563" i="1" s="1"/>
  <c r="BC565" i="1" s="1"/>
  <c r="BC474" i="1"/>
  <c r="J69" i="2"/>
  <c r="Y7" i="20" s="1"/>
  <c r="AD30" i="12"/>
  <c r="AD31" i="12" s="1"/>
  <c r="J18" i="2"/>
  <c r="J14" i="2"/>
  <c r="D7" i="20" s="1"/>
  <c r="K24" i="9"/>
  <c r="K25" i="9" s="1"/>
  <c r="BC520" i="1"/>
  <c r="BC494" i="1"/>
  <c r="BC505" i="1" s="1"/>
  <c r="BC433" i="1"/>
  <c r="BC177" i="1"/>
  <c r="AW756" i="1"/>
  <c r="AX18" i="1"/>
  <c r="AX52" i="1" s="1"/>
  <c r="AV506" i="1"/>
  <c r="AW506" i="1"/>
  <c r="BC18" i="1"/>
  <c r="BC52" i="1" s="1"/>
  <c r="AV756" i="1"/>
  <c r="AW255" i="1"/>
  <c r="AW4" i="1" s="1"/>
  <c r="AV255" i="1"/>
  <c r="AV4" i="1" s="1"/>
  <c r="AX505" i="1"/>
  <c r="BC401" i="1"/>
  <c r="BC417" i="1" s="1"/>
  <c r="O52" i="21" s="1"/>
  <c r="AX476" i="1"/>
  <c r="BC219" i="1"/>
  <c r="BC254" i="1" s="1"/>
  <c r="AX219" i="1"/>
  <c r="AX254" i="1" s="1"/>
  <c r="W8" i="10"/>
  <c r="X30" i="10"/>
  <c r="W23" i="10"/>
  <c r="U30" i="10"/>
  <c r="X15" i="10"/>
  <c r="O15" i="10"/>
  <c r="AD221" i="1"/>
  <c r="AB515" i="1"/>
  <c r="AC515" i="1"/>
  <c r="B18" i="9"/>
  <c r="H18" i="9"/>
  <c r="AE221" i="1" s="1"/>
  <c r="K18" i="9"/>
  <c r="K15" i="9"/>
  <c r="AC419" i="1"/>
  <c r="AB420" i="1"/>
  <c r="AE108" i="1"/>
  <c r="G14" i="9"/>
  <c r="AC420" i="1" s="1"/>
  <c r="B15" i="9"/>
  <c r="AD108" i="1" s="1"/>
  <c r="K12" i="9"/>
  <c r="AB419" i="1"/>
  <c r="B12" i="9"/>
  <c r="AD109" i="1" s="1"/>
  <c r="H12" i="9"/>
  <c r="AE109" i="1" s="1"/>
  <c r="AB430" i="1"/>
  <c r="K9" i="9"/>
  <c r="AE129" i="1"/>
  <c r="G8" i="9"/>
  <c r="AC430" i="1" s="1"/>
  <c r="B9" i="9"/>
  <c r="AD129" i="1" s="1"/>
  <c r="AX178" i="1" l="1"/>
  <c r="AX721" i="1"/>
  <c r="AX746" i="1" s="1"/>
  <c r="R7" i="20"/>
  <c r="AX13" i="20"/>
  <c r="AX54" i="20" s="1"/>
  <c r="O16" i="21"/>
  <c r="O66" i="21"/>
  <c r="J46" i="2"/>
  <c r="O39" i="21"/>
  <c r="A20" i="11"/>
  <c r="BA578" i="1" s="1"/>
  <c r="BA558" i="1"/>
  <c r="AX13" i="23"/>
  <c r="AX54" i="23" s="1"/>
  <c r="B14" i="23"/>
  <c r="J14" i="5" s="1"/>
  <c r="H23" i="3"/>
  <c r="H29" i="3" s="1"/>
  <c r="H35" i="3" s="1"/>
  <c r="AC3" i="3"/>
  <c r="M73" i="12"/>
  <c r="J11" i="2"/>
  <c r="O11" i="21"/>
  <c r="J78" i="2"/>
  <c r="O73" i="21"/>
  <c r="O80" i="21" s="1"/>
  <c r="AM7" i="20"/>
  <c r="B21" i="20"/>
  <c r="N18" i="5" s="1"/>
  <c r="BA54" i="20"/>
  <c r="AU54" i="20"/>
  <c r="AY54" i="20"/>
  <c r="AZ9" i="20"/>
  <c r="AZ15" i="20" s="1"/>
  <c r="BC640" i="1"/>
  <c r="BC641" i="1" s="1"/>
  <c r="BC721" i="1" s="1"/>
  <c r="BC746" i="1" s="1"/>
  <c r="BC756" i="1" s="1"/>
  <c r="M17" i="12"/>
  <c r="M18" i="12" s="1"/>
  <c r="M47" i="12"/>
  <c r="L21" i="3"/>
  <c r="J58" i="2"/>
  <c r="BC476" i="1"/>
  <c r="BC506" i="1" s="1"/>
  <c r="BC178" i="1"/>
  <c r="BC255" i="1" s="1"/>
  <c r="BC4" i="1" s="1"/>
  <c r="AW764" i="1"/>
  <c r="AW523" i="1"/>
  <c r="AW525" i="1" s="1"/>
  <c r="AW538" i="1" s="1"/>
  <c r="AW539" i="1" s="1"/>
  <c r="AW5" i="1" s="1"/>
  <c r="AW6" i="1" s="1"/>
  <c r="AV764" i="1"/>
  <c r="AV523" i="1"/>
  <c r="AX506" i="1"/>
  <c r="AX255" i="1"/>
  <c r="AX4" i="1" s="1"/>
  <c r="BH754" i="1"/>
  <c r="BI524" i="1"/>
  <c r="BH111" i="1"/>
  <c r="U13" i="21" s="1"/>
  <c r="BF111" i="1"/>
  <c r="S13" i="21" s="1"/>
  <c r="Q13" i="21"/>
  <c r="G7" i="54" s="1"/>
  <c r="G8" i="54" s="1"/>
  <c r="G12" i="54" s="1"/>
  <c r="G71" i="54" s="1"/>
  <c r="Z105" i="1"/>
  <c r="Y111" i="1"/>
  <c r="Z111" i="1"/>
  <c r="BF105" i="1"/>
  <c r="BH105" i="1"/>
  <c r="AI18" i="1"/>
  <c r="G9" i="24" s="1"/>
  <c r="G42" i="24" s="1"/>
  <c r="BF18" i="1"/>
  <c r="BH18" i="1"/>
  <c r="BH48" i="1"/>
  <c r="BH50" i="1"/>
  <c r="BH51" i="1" s="1"/>
  <c r="BF50" i="1"/>
  <c r="BF51" i="1" s="1"/>
  <c r="BF48" i="1"/>
  <c r="AI50" i="1"/>
  <c r="AI51" i="1" s="1"/>
  <c r="AA393" i="1"/>
  <c r="AF393" i="1" s="1"/>
  <c r="AA378" i="1"/>
  <c r="AF378" i="1" s="1"/>
  <c r="AA377" i="1"/>
  <c r="AF377" i="1" s="1"/>
  <c r="AA376" i="1"/>
  <c r="AF376" i="1" s="1"/>
  <c r="AA90" i="1"/>
  <c r="AF90" i="1" s="1"/>
  <c r="O82" i="21" l="1"/>
  <c r="O83" i="21" s="1"/>
  <c r="O23" i="21"/>
  <c r="O42" i="21" s="1"/>
  <c r="H30" i="3"/>
  <c r="AI52" i="1"/>
  <c r="F69" i="5" s="1"/>
  <c r="D22" i="46" s="1"/>
  <c r="K22" i="46" s="1"/>
  <c r="P22" i="46" s="1"/>
  <c r="L12" i="3"/>
  <c r="L14" i="3" s="1"/>
  <c r="AH3" i="3" s="1"/>
  <c r="M77" i="12"/>
  <c r="E8" i="48"/>
  <c r="E9" i="48" s="1"/>
  <c r="E12" i="48" s="1"/>
  <c r="E58" i="48" s="1"/>
  <c r="E7" i="49"/>
  <c r="H50" i="3"/>
  <c r="Q46" i="17" s="1"/>
  <c r="U46" i="17" s="1"/>
  <c r="J85" i="2"/>
  <c r="AH7" i="20"/>
  <c r="J22" i="2"/>
  <c r="N76" i="5"/>
  <c r="B57" i="20"/>
  <c r="C7" i="20"/>
  <c r="J71" i="2"/>
  <c r="AA7" i="20"/>
  <c r="AX756" i="1"/>
  <c r="AX764" i="1" s="1"/>
  <c r="AX523" i="1"/>
  <c r="AX525" i="1" s="1"/>
  <c r="AX538" i="1" s="1"/>
  <c r="AX539" i="1" s="1"/>
  <c r="AX5" i="1" s="1"/>
  <c r="AX6" i="1" s="1"/>
  <c r="AV525" i="1"/>
  <c r="AV538" i="1" s="1"/>
  <c r="AV539" i="1" s="1"/>
  <c r="AV5" i="1" s="1"/>
  <c r="AV6" i="1" s="1"/>
  <c r="AA400" i="1"/>
  <c r="AA394" i="1"/>
  <c r="AA392" i="1"/>
  <c r="AA391" i="1"/>
  <c r="AA390" i="1"/>
  <c r="AA389" i="1"/>
  <c r="AA388" i="1"/>
  <c r="AA387" i="1"/>
  <c r="AA386" i="1"/>
  <c r="AA382" i="1"/>
  <c r="AA381" i="1"/>
  <c r="AA380" i="1"/>
  <c r="AA379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F337" i="1" s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299" i="1"/>
  <c r="AA298" i="1"/>
  <c r="AA297" i="1"/>
  <c r="AA296" i="1"/>
  <c r="AA295" i="1"/>
  <c r="AA294" i="1"/>
  <c r="AA293" i="1"/>
  <c r="AA292" i="1"/>
  <c r="AA291" i="1"/>
  <c r="AA290" i="1"/>
  <c r="AA401" i="1"/>
  <c r="AF401" i="1" s="1"/>
  <c r="AA761" i="1"/>
  <c r="AA758" i="1"/>
  <c r="AF758" i="1" s="1"/>
  <c r="AA753" i="1"/>
  <c r="AA752" i="1"/>
  <c r="AF752" i="1" s="1"/>
  <c r="AA751" i="1"/>
  <c r="AF751" i="1" s="1"/>
  <c r="AA748" i="1"/>
  <c r="AA742" i="1"/>
  <c r="AF742" i="1" s="1"/>
  <c r="AA741" i="1"/>
  <c r="AF741" i="1" s="1"/>
  <c r="AA740" i="1"/>
  <c r="AF740" i="1" s="1"/>
  <c r="AA739" i="1"/>
  <c r="AF739" i="1" s="1"/>
  <c r="AA738" i="1"/>
  <c r="AF738" i="1" s="1"/>
  <c r="AA737" i="1"/>
  <c r="AF737" i="1" s="1"/>
  <c r="AA736" i="1"/>
  <c r="AF736" i="1" s="1"/>
  <c r="AA735" i="1"/>
  <c r="AF735" i="1" s="1"/>
  <c r="AA734" i="1"/>
  <c r="AF734" i="1" s="1"/>
  <c r="AA733" i="1"/>
  <c r="AF733" i="1" s="1"/>
  <c r="AA732" i="1"/>
  <c r="AF732" i="1" s="1"/>
  <c r="AA728" i="1"/>
  <c r="AF728" i="1" s="1"/>
  <c r="AA727" i="1"/>
  <c r="AF727" i="1" s="1"/>
  <c r="AA726" i="1"/>
  <c r="AF726" i="1" s="1"/>
  <c r="AA725" i="1"/>
  <c r="AF725" i="1" s="1"/>
  <c r="AA724" i="1"/>
  <c r="AF724" i="1" s="1"/>
  <c r="AA718" i="1"/>
  <c r="AF718" i="1" s="1"/>
  <c r="AA717" i="1"/>
  <c r="AF717" i="1" s="1"/>
  <c r="AA716" i="1"/>
  <c r="AF716" i="1" s="1"/>
  <c r="AA715" i="1"/>
  <c r="AF715" i="1" s="1"/>
  <c r="AA714" i="1"/>
  <c r="AF714" i="1" s="1"/>
  <c r="AA713" i="1"/>
  <c r="AF713" i="1" s="1"/>
  <c r="AA712" i="1"/>
  <c r="AF712" i="1" s="1"/>
  <c r="AA711" i="1"/>
  <c r="AF711" i="1" s="1"/>
  <c r="AA710" i="1"/>
  <c r="AF710" i="1" s="1"/>
  <c r="AA709" i="1"/>
  <c r="AF709" i="1" s="1"/>
  <c r="AA708" i="1"/>
  <c r="AF708" i="1" s="1"/>
  <c r="AA707" i="1"/>
  <c r="AF707" i="1" s="1"/>
  <c r="AA706" i="1"/>
  <c r="AF706" i="1" s="1"/>
  <c r="AA705" i="1"/>
  <c r="AF705" i="1" s="1"/>
  <c r="AA704" i="1"/>
  <c r="AF704" i="1" s="1"/>
  <c r="AA703" i="1"/>
  <c r="AF703" i="1" s="1"/>
  <c r="AA702" i="1"/>
  <c r="AF702" i="1" s="1"/>
  <c r="AA701" i="1"/>
  <c r="AF701" i="1" s="1"/>
  <c r="AA700" i="1"/>
  <c r="AF700" i="1" s="1"/>
  <c r="AA699" i="1"/>
  <c r="AF699" i="1" s="1"/>
  <c r="AA698" i="1"/>
  <c r="AF698" i="1" s="1"/>
  <c r="AA696" i="1"/>
  <c r="AF696" i="1" s="1"/>
  <c r="AA695" i="1"/>
  <c r="AF695" i="1" s="1"/>
  <c r="AA694" i="1"/>
  <c r="AF694" i="1" s="1"/>
  <c r="AA693" i="1"/>
  <c r="AF693" i="1" s="1"/>
  <c r="AA692" i="1"/>
  <c r="AF692" i="1" s="1"/>
  <c r="AA691" i="1"/>
  <c r="AF691" i="1" s="1"/>
  <c r="AA690" i="1"/>
  <c r="AF690" i="1" s="1"/>
  <c r="AA689" i="1"/>
  <c r="AF689" i="1" s="1"/>
  <c r="AA688" i="1"/>
  <c r="AF688" i="1" s="1"/>
  <c r="AA687" i="1"/>
  <c r="AF687" i="1" s="1"/>
  <c r="AA686" i="1"/>
  <c r="AF686" i="1" s="1"/>
  <c r="AA685" i="1"/>
  <c r="AF685" i="1" s="1"/>
  <c r="AA684" i="1"/>
  <c r="AF684" i="1" s="1"/>
  <c r="AA683" i="1"/>
  <c r="AF683" i="1" s="1"/>
  <c r="AA682" i="1"/>
  <c r="AF682" i="1" s="1"/>
  <c r="AA681" i="1"/>
  <c r="AF681" i="1" s="1"/>
  <c r="AA680" i="1"/>
  <c r="AF680" i="1" s="1"/>
  <c r="AA679" i="1"/>
  <c r="AF679" i="1" s="1"/>
  <c r="AA678" i="1"/>
  <c r="AF678" i="1" s="1"/>
  <c r="AA677" i="1"/>
  <c r="AF677" i="1" s="1"/>
  <c r="AA676" i="1"/>
  <c r="AF676" i="1" s="1"/>
  <c r="AA675" i="1"/>
  <c r="AF675" i="1" s="1"/>
  <c r="AA674" i="1"/>
  <c r="AF674" i="1" s="1"/>
  <c r="AA673" i="1"/>
  <c r="AF673" i="1" s="1"/>
  <c r="AA672" i="1"/>
  <c r="AF672" i="1" s="1"/>
  <c r="AA671" i="1"/>
  <c r="AF671" i="1" s="1"/>
  <c r="AA670" i="1"/>
  <c r="AF670" i="1" s="1"/>
  <c r="AA669" i="1"/>
  <c r="AF669" i="1" s="1"/>
  <c r="AA668" i="1"/>
  <c r="AF668" i="1" s="1"/>
  <c r="AA667" i="1"/>
  <c r="AF667" i="1" s="1"/>
  <c r="AA666" i="1"/>
  <c r="AF666" i="1" s="1"/>
  <c r="AA665" i="1"/>
  <c r="AF665" i="1" s="1"/>
  <c r="AA664" i="1"/>
  <c r="AF664" i="1" s="1"/>
  <c r="AA661" i="1"/>
  <c r="AF661" i="1" s="1"/>
  <c r="AA659" i="1"/>
  <c r="AF659" i="1" s="1"/>
  <c r="AA658" i="1"/>
  <c r="AF658" i="1" s="1"/>
  <c r="AA657" i="1"/>
  <c r="AF657" i="1" s="1"/>
  <c r="AA656" i="1"/>
  <c r="AF656" i="1" s="1"/>
  <c r="AA655" i="1"/>
  <c r="AF655" i="1" s="1"/>
  <c r="AA654" i="1"/>
  <c r="AF654" i="1" s="1"/>
  <c r="AA653" i="1"/>
  <c r="AF653" i="1" s="1"/>
  <c r="AA652" i="1"/>
  <c r="AF652" i="1" s="1"/>
  <c r="AA651" i="1"/>
  <c r="AF651" i="1" s="1"/>
  <c r="AA650" i="1"/>
  <c r="AF650" i="1" s="1"/>
  <c r="AA649" i="1"/>
  <c r="AF649" i="1" s="1"/>
  <c r="AA648" i="1"/>
  <c r="AF648" i="1" s="1"/>
  <c r="AA647" i="1"/>
  <c r="AF647" i="1" s="1"/>
  <c r="AA646" i="1"/>
  <c r="AF646" i="1" s="1"/>
  <c r="AA645" i="1"/>
  <c r="AF645" i="1" s="1"/>
  <c r="AA644" i="1"/>
  <c r="AF644" i="1" s="1"/>
  <c r="AA638" i="1"/>
  <c r="AF638" i="1" s="1"/>
  <c r="K71" i="12" s="1"/>
  <c r="AA636" i="1"/>
  <c r="AF636" i="1" s="1"/>
  <c r="K70" i="12" s="1"/>
  <c r="AA635" i="1"/>
  <c r="AF635" i="1" s="1"/>
  <c r="K58" i="12" s="1"/>
  <c r="AA634" i="1"/>
  <c r="AF634" i="1" s="1"/>
  <c r="AA633" i="1"/>
  <c r="AF633" i="1" s="1"/>
  <c r="K68" i="12" s="1"/>
  <c r="AA632" i="1"/>
  <c r="AF632" i="1" s="1"/>
  <c r="K67" i="12" s="1"/>
  <c r="AA631" i="1"/>
  <c r="AF631" i="1" s="1"/>
  <c r="K66" i="12" s="1"/>
  <c r="AA630" i="1"/>
  <c r="AF630" i="1" s="1"/>
  <c r="K65" i="12" s="1"/>
  <c r="AA629" i="1"/>
  <c r="AF629" i="1" s="1"/>
  <c r="K64" i="12" s="1"/>
  <c r="AA628" i="1"/>
  <c r="AF628" i="1" s="1"/>
  <c r="K63" i="12" s="1"/>
  <c r="AA627" i="1"/>
  <c r="AF627" i="1" s="1"/>
  <c r="K59" i="12" s="1"/>
  <c r="AA626" i="1"/>
  <c r="AF626" i="1" s="1"/>
  <c r="K54" i="12" s="1"/>
  <c r="AA625" i="1"/>
  <c r="AF625" i="1" s="1"/>
  <c r="K62" i="12" s="1"/>
  <c r="AA624" i="1"/>
  <c r="AF624" i="1" s="1"/>
  <c r="K61" i="12" s="1"/>
  <c r="AA623" i="1"/>
  <c r="AF623" i="1" s="1"/>
  <c r="K55" i="12" s="1"/>
  <c r="AA622" i="1"/>
  <c r="AF622" i="1" s="1"/>
  <c r="K60" i="12" s="1"/>
  <c r="AA621" i="1"/>
  <c r="AF621" i="1" s="1"/>
  <c r="AA620" i="1"/>
  <c r="AF620" i="1" s="1"/>
  <c r="AA619" i="1"/>
  <c r="AF619" i="1" s="1"/>
  <c r="K56" i="12" s="1"/>
  <c r="AA618" i="1"/>
  <c r="AF618" i="1" s="1"/>
  <c r="AA617" i="1"/>
  <c r="AF617" i="1" s="1"/>
  <c r="AA616" i="1"/>
  <c r="AF616" i="1" s="1"/>
  <c r="AA615" i="1"/>
  <c r="AF615" i="1" s="1"/>
  <c r="AA614" i="1"/>
  <c r="AF614" i="1" s="1"/>
  <c r="AA613" i="1"/>
  <c r="AF613" i="1" s="1"/>
  <c r="AA612" i="1"/>
  <c r="AF612" i="1" s="1"/>
  <c r="AA611" i="1"/>
  <c r="AF611" i="1" s="1"/>
  <c r="AA610" i="1"/>
  <c r="AF610" i="1" s="1"/>
  <c r="AA609" i="1"/>
  <c r="AF609" i="1" s="1"/>
  <c r="AA608" i="1"/>
  <c r="AF608" i="1" s="1"/>
  <c r="AA607" i="1"/>
  <c r="AF607" i="1" s="1"/>
  <c r="K57" i="12" s="1"/>
  <c r="AA606" i="1"/>
  <c r="AF606" i="1" s="1"/>
  <c r="AA605" i="1"/>
  <c r="AF605" i="1" s="1"/>
  <c r="AA600" i="1"/>
  <c r="AF600" i="1" s="1"/>
  <c r="K43" i="12" s="1"/>
  <c r="K87" i="12" s="1"/>
  <c r="AA599" i="1"/>
  <c r="AF599" i="1" s="1"/>
  <c r="AA598" i="1"/>
  <c r="AF598" i="1" s="1"/>
  <c r="AA597" i="1"/>
  <c r="AF597" i="1" s="1"/>
  <c r="AA596" i="1"/>
  <c r="AF596" i="1" s="1"/>
  <c r="AA595" i="1"/>
  <c r="AF595" i="1" s="1"/>
  <c r="AA594" i="1"/>
  <c r="AF594" i="1" s="1"/>
  <c r="AA591" i="1"/>
  <c r="AF591" i="1" s="1"/>
  <c r="K39" i="12" s="1"/>
  <c r="AA590" i="1"/>
  <c r="AF590" i="1" s="1"/>
  <c r="AA589" i="1"/>
  <c r="AF589" i="1" s="1"/>
  <c r="AA588" i="1"/>
  <c r="AF588" i="1" s="1"/>
  <c r="AA587" i="1"/>
  <c r="AF587" i="1" s="1"/>
  <c r="AA586" i="1"/>
  <c r="AF586" i="1" s="1"/>
  <c r="AA585" i="1"/>
  <c r="AF585" i="1" s="1"/>
  <c r="AA582" i="1"/>
  <c r="AF582" i="1" s="1"/>
  <c r="AA581" i="1"/>
  <c r="AF581" i="1" s="1"/>
  <c r="AA580" i="1"/>
  <c r="AF580" i="1" s="1"/>
  <c r="AA579" i="1"/>
  <c r="AF579" i="1" s="1"/>
  <c r="AA578" i="1"/>
  <c r="AF578" i="1" s="1"/>
  <c r="AA577" i="1"/>
  <c r="AF577" i="1" s="1"/>
  <c r="AA576" i="1"/>
  <c r="AF576" i="1" s="1"/>
  <c r="AA571" i="1"/>
  <c r="AF571" i="1" s="1"/>
  <c r="K24" i="12" s="1"/>
  <c r="K88" i="12" s="1"/>
  <c r="AA569" i="1"/>
  <c r="AF569" i="1" s="1"/>
  <c r="K22" i="12" s="1"/>
  <c r="AA568" i="1"/>
  <c r="AF568" i="1" s="1"/>
  <c r="K21" i="12" s="1"/>
  <c r="AA564" i="1"/>
  <c r="AF564" i="1" s="1"/>
  <c r="K14" i="12" s="1"/>
  <c r="K86" i="12" s="1"/>
  <c r="AA562" i="1"/>
  <c r="AF562" i="1" s="1"/>
  <c r="K12" i="12" s="1"/>
  <c r="AA560" i="1"/>
  <c r="AF560" i="1" s="1"/>
  <c r="K10" i="12" s="1"/>
  <c r="AA558" i="1"/>
  <c r="AF558" i="1" s="1"/>
  <c r="K8" i="12" s="1"/>
  <c r="AA557" i="1"/>
  <c r="AF557" i="1" s="1"/>
  <c r="K7" i="12" s="1"/>
  <c r="AA551" i="1"/>
  <c r="AF551" i="1" s="1"/>
  <c r="AA550" i="1"/>
  <c r="AF550" i="1" s="1"/>
  <c r="AA549" i="1"/>
  <c r="AF549" i="1" s="1"/>
  <c r="AA548" i="1"/>
  <c r="AF548" i="1" s="1"/>
  <c r="AA547" i="1"/>
  <c r="AF547" i="1" s="1"/>
  <c r="AA546" i="1"/>
  <c r="AA545" i="1"/>
  <c r="AF545" i="1" s="1"/>
  <c r="AA542" i="1"/>
  <c r="AF542" i="1" s="1"/>
  <c r="AA535" i="1"/>
  <c r="AF535" i="1" s="1"/>
  <c r="AA534" i="1"/>
  <c r="AF534" i="1" s="1"/>
  <c r="AA533" i="1"/>
  <c r="AF533" i="1" s="1"/>
  <c r="AA532" i="1"/>
  <c r="AF532" i="1" s="1"/>
  <c r="AA527" i="1"/>
  <c r="AF527" i="1" s="1"/>
  <c r="AF522" i="1"/>
  <c r="K90" i="12" l="1"/>
  <c r="K69" i="12"/>
  <c r="AV7" i="20"/>
  <c r="AV9" i="20" s="1"/>
  <c r="K23" i="12"/>
  <c r="K25" i="12" s="1"/>
  <c r="G43" i="24"/>
  <c r="J87" i="2"/>
  <c r="J88" i="2" s="1"/>
  <c r="I23" i="10"/>
  <c r="I30" i="10" s="1"/>
  <c r="H57" i="3"/>
  <c r="K34" i="12"/>
  <c r="L23" i="3"/>
  <c r="L29" i="3" s="1"/>
  <c r="L35" i="3" s="1"/>
  <c r="Q32" i="17" s="1"/>
  <c r="U32" i="17" s="1"/>
  <c r="AH610" i="1"/>
  <c r="AV15" i="19"/>
  <c r="AZ13" i="22"/>
  <c r="AZ58" i="22" s="1"/>
  <c r="AX15" i="19"/>
  <c r="AF753" i="1"/>
  <c r="J26" i="3" s="1"/>
  <c r="F26" i="3"/>
  <c r="F29" i="3" s="1"/>
  <c r="AF761" i="1"/>
  <c r="J42" i="3" s="1"/>
  <c r="F42" i="3"/>
  <c r="K51" i="12"/>
  <c r="AV14" i="19"/>
  <c r="AH737" i="1"/>
  <c r="J19" i="3" s="1"/>
  <c r="AZ7" i="19" s="1"/>
  <c r="AZ9" i="19" s="1"/>
  <c r="AZ20" i="19" s="1"/>
  <c r="BE178" i="1"/>
  <c r="BE179" i="1" s="1"/>
  <c r="J48" i="2"/>
  <c r="J113" i="2" s="1"/>
  <c r="T106" i="2"/>
  <c r="K9" i="12"/>
  <c r="K11" i="12" s="1"/>
  <c r="K13" i="12" s="1"/>
  <c r="K15" i="12" s="1"/>
  <c r="K38" i="12"/>
  <c r="K42" i="12"/>
  <c r="AF748" i="1"/>
  <c r="J25" i="3" s="1"/>
  <c r="BA7" i="19" s="1"/>
  <c r="BA9" i="19" s="1"/>
  <c r="BA15" i="19" s="1"/>
  <c r="M23" i="10" l="1"/>
  <c r="M30" i="10" s="1"/>
  <c r="L52" i="3" s="1"/>
  <c r="L50" i="3"/>
  <c r="BC7" i="20"/>
  <c r="BE7" i="20" s="1"/>
  <c r="K72" i="12"/>
  <c r="L30" i="3"/>
  <c r="F35" i="3"/>
  <c r="F30" i="3"/>
  <c r="K44" i="12"/>
  <c r="BA54" i="19"/>
  <c r="AV13" i="20"/>
  <c r="BC523" i="1"/>
  <c r="BC525" i="1" s="1"/>
  <c r="O105" i="21" s="1"/>
  <c r="O107" i="21" s="1"/>
  <c r="O110" i="21" s="1"/>
  <c r="BC764" i="1"/>
  <c r="L57" i="3" s="1"/>
  <c r="Z18" i="1"/>
  <c r="Y18" i="1"/>
  <c r="Y48" i="1"/>
  <c r="Z48" i="1"/>
  <c r="AA519" i="1"/>
  <c r="AF519" i="1" s="1"/>
  <c r="AA518" i="1"/>
  <c r="AF518" i="1" s="1"/>
  <c r="AA517" i="1"/>
  <c r="AF517" i="1" s="1"/>
  <c r="AA516" i="1"/>
  <c r="AF516" i="1" s="1"/>
  <c r="AA515" i="1"/>
  <c r="AF515" i="1" s="1"/>
  <c r="AF512" i="1"/>
  <c r="M99" i="21" s="1"/>
  <c r="AA508" i="1"/>
  <c r="AF508" i="1" s="1"/>
  <c r="AA503" i="1"/>
  <c r="AF503" i="1" s="1"/>
  <c r="AA502" i="1"/>
  <c r="AF502" i="1" s="1"/>
  <c r="AA501" i="1"/>
  <c r="AF501" i="1" s="1"/>
  <c r="AA500" i="1"/>
  <c r="AF500" i="1" s="1"/>
  <c r="AA499" i="1"/>
  <c r="AF499" i="1" s="1"/>
  <c r="AA496" i="1"/>
  <c r="AF496" i="1" s="1"/>
  <c r="AA493" i="1"/>
  <c r="AF493" i="1" s="1"/>
  <c r="AA492" i="1"/>
  <c r="AF492" i="1" s="1"/>
  <c r="AA491" i="1"/>
  <c r="AF491" i="1" s="1"/>
  <c r="AA490" i="1"/>
  <c r="AF490" i="1" s="1"/>
  <c r="AA489" i="1"/>
  <c r="AF489" i="1" s="1"/>
  <c r="AA488" i="1"/>
  <c r="AF488" i="1" s="1"/>
  <c r="AA487" i="1"/>
  <c r="AF487" i="1" s="1"/>
  <c r="AA484" i="1"/>
  <c r="AF484" i="1" s="1"/>
  <c r="M74" i="21" s="1"/>
  <c r="AA480" i="1"/>
  <c r="AF480" i="1" s="1"/>
  <c r="AA473" i="1"/>
  <c r="AF473" i="1" s="1"/>
  <c r="AA472" i="1"/>
  <c r="AF472" i="1" s="1"/>
  <c r="AA469" i="1"/>
  <c r="AF469" i="1" s="1"/>
  <c r="AA465" i="1"/>
  <c r="AF465" i="1" s="1"/>
  <c r="AA464" i="1"/>
  <c r="AF464" i="1" s="1"/>
  <c r="AA463" i="1"/>
  <c r="AF463" i="1" s="1"/>
  <c r="M61" i="21" s="1"/>
  <c r="AC73" i="15" s="1"/>
  <c r="AI73" i="15" s="1"/>
  <c r="AA462" i="1"/>
  <c r="AF462" i="1" s="1"/>
  <c r="AA461" i="1"/>
  <c r="AF461" i="1" s="1"/>
  <c r="AA460" i="1"/>
  <c r="AF460" i="1" s="1"/>
  <c r="AA459" i="1"/>
  <c r="AF459" i="1" s="1"/>
  <c r="AA458" i="1"/>
  <c r="AF458" i="1" s="1"/>
  <c r="AA457" i="1"/>
  <c r="AF457" i="1" s="1"/>
  <c r="AA456" i="1"/>
  <c r="AF456" i="1" s="1"/>
  <c r="AA455" i="1"/>
  <c r="AF455" i="1" s="1"/>
  <c r="AA452" i="1"/>
  <c r="AF452" i="1" s="1"/>
  <c r="AA450" i="1"/>
  <c r="AF450" i="1" s="1"/>
  <c r="AA449" i="1"/>
  <c r="AF449" i="1" s="1"/>
  <c r="AA448" i="1"/>
  <c r="AF448" i="1" s="1"/>
  <c r="AA447" i="1"/>
  <c r="AF447" i="1" s="1"/>
  <c r="AA446" i="1"/>
  <c r="AF446" i="1" s="1"/>
  <c r="AA445" i="1"/>
  <c r="AF445" i="1" s="1"/>
  <c r="AA444" i="1"/>
  <c r="AF444" i="1" s="1"/>
  <c r="AA443" i="1"/>
  <c r="AF443" i="1" s="1"/>
  <c r="AA442" i="1"/>
  <c r="AF442" i="1" s="1"/>
  <c r="AA441" i="1"/>
  <c r="AF441" i="1" s="1"/>
  <c r="AA439" i="1"/>
  <c r="AF439" i="1" s="1"/>
  <c r="AA438" i="1"/>
  <c r="AF438" i="1" s="1"/>
  <c r="AA437" i="1"/>
  <c r="AF437" i="1" s="1"/>
  <c r="AA436" i="1"/>
  <c r="AF436" i="1" s="1"/>
  <c r="AA435" i="1"/>
  <c r="AF435" i="1" s="1"/>
  <c r="AA432" i="1"/>
  <c r="AF432" i="1" s="1"/>
  <c r="AA431" i="1"/>
  <c r="AF431" i="1" s="1"/>
  <c r="AA430" i="1"/>
  <c r="AF430" i="1" s="1"/>
  <c r="AA429" i="1"/>
  <c r="AF429" i="1" s="1"/>
  <c r="AA428" i="1"/>
  <c r="AF428" i="1" s="1"/>
  <c r="AA427" i="1"/>
  <c r="AF427" i="1" s="1"/>
  <c r="AA426" i="1"/>
  <c r="AF426" i="1" s="1"/>
  <c r="AA425" i="1"/>
  <c r="AF425" i="1" s="1"/>
  <c r="AA424" i="1"/>
  <c r="AF424" i="1" s="1"/>
  <c r="M72" i="21" s="1"/>
  <c r="B46" i="18" s="1"/>
  <c r="I46" i="18" s="1"/>
  <c r="N46" i="18" s="1"/>
  <c r="AA420" i="1"/>
  <c r="AF420" i="1" s="1"/>
  <c r="AA419" i="1"/>
  <c r="AF419" i="1" s="1"/>
  <c r="AA402" i="1"/>
  <c r="AF402" i="1" s="1"/>
  <c r="AF400" i="1"/>
  <c r="AF394" i="1"/>
  <c r="AF392" i="1"/>
  <c r="AF391" i="1"/>
  <c r="AF390" i="1"/>
  <c r="AF389" i="1"/>
  <c r="AF388" i="1"/>
  <c r="AF387" i="1"/>
  <c r="AF386" i="1"/>
  <c r="AF382" i="1"/>
  <c r="AF381" i="1"/>
  <c r="AF380" i="1"/>
  <c r="AF379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299" i="1"/>
  <c r="AF298" i="1"/>
  <c r="AF297" i="1"/>
  <c r="AF296" i="1"/>
  <c r="AF295" i="1"/>
  <c r="AF294" i="1"/>
  <c r="AF293" i="1"/>
  <c r="AF292" i="1"/>
  <c r="AF291" i="1"/>
  <c r="AF290" i="1"/>
  <c r="AA287" i="1"/>
  <c r="AF287" i="1" s="1"/>
  <c r="AA286" i="1"/>
  <c r="AF286" i="1" s="1"/>
  <c r="AA285" i="1"/>
  <c r="AF285" i="1" s="1"/>
  <c r="AA284" i="1"/>
  <c r="AF284" i="1" s="1"/>
  <c r="AA283" i="1"/>
  <c r="AF283" i="1" s="1"/>
  <c r="AA282" i="1"/>
  <c r="AF282" i="1" s="1"/>
  <c r="AA281" i="1"/>
  <c r="AF281" i="1" s="1"/>
  <c r="AA280" i="1"/>
  <c r="AF280" i="1" s="1"/>
  <c r="AA279" i="1"/>
  <c r="AF279" i="1" s="1"/>
  <c r="AA278" i="1"/>
  <c r="AF278" i="1" s="1"/>
  <c r="M64" i="21" s="1"/>
  <c r="AA277" i="1"/>
  <c r="AF277" i="1" s="1"/>
  <c r="AA276" i="1"/>
  <c r="AF276" i="1" s="1"/>
  <c r="AA275" i="1"/>
  <c r="AF275" i="1" s="1"/>
  <c r="AA274" i="1"/>
  <c r="AF274" i="1" s="1"/>
  <c r="AA273" i="1"/>
  <c r="AF273" i="1" s="1"/>
  <c r="AA272" i="1"/>
  <c r="AF272" i="1" s="1"/>
  <c r="AA271" i="1"/>
  <c r="AF271" i="1" s="1"/>
  <c r="AA270" i="1"/>
  <c r="AF270" i="1" s="1"/>
  <c r="AA269" i="1"/>
  <c r="AF269" i="1" s="1"/>
  <c r="AA268" i="1"/>
  <c r="AF268" i="1" s="1"/>
  <c r="AA267" i="1"/>
  <c r="AF267" i="1" s="1"/>
  <c r="AA266" i="1"/>
  <c r="AF266" i="1" s="1"/>
  <c r="AA265" i="1"/>
  <c r="AF265" i="1" s="1"/>
  <c r="AA264" i="1"/>
  <c r="AF264" i="1" s="1"/>
  <c r="AA263" i="1"/>
  <c r="AF263" i="1" s="1"/>
  <c r="AA262" i="1"/>
  <c r="AF262" i="1" s="1"/>
  <c r="AA261" i="1"/>
  <c r="AF261" i="1" s="1"/>
  <c r="AA260" i="1"/>
  <c r="AF260" i="1" s="1"/>
  <c r="AA250" i="1"/>
  <c r="AF250" i="1" s="1"/>
  <c r="AA247" i="1"/>
  <c r="AF247" i="1" s="1"/>
  <c r="AA244" i="1"/>
  <c r="AF244" i="1" s="1"/>
  <c r="AA242" i="1"/>
  <c r="AF242" i="1" s="1"/>
  <c r="AA241" i="1"/>
  <c r="AF241" i="1" s="1"/>
  <c r="AA240" i="1"/>
  <c r="AF240" i="1" s="1"/>
  <c r="AA239" i="1"/>
  <c r="AF239" i="1" s="1"/>
  <c r="AA235" i="1"/>
  <c r="AF235" i="1" s="1"/>
  <c r="AH235" i="1" s="1"/>
  <c r="AA232" i="1"/>
  <c r="AF232" i="1" s="1"/>
  <c r="AA221" i="1"/>
  <c r="AF221" i="1" s="1"/>
  <c r="AA217" i="1"/>
  <c r="AF217" i="1" s="1"/>
  <c r="AA216" i="1"/>
  <c r="AF216" i="1" s="1"/>
  <c r="AA213" i="1"/>
  <c r="AF213" i="1" s="1"/>
  <c r="AG213" i="1" s="1"/>
  <c r="AA212" i="1"/>
  <c r="AF212" i="1" s="1"/>
  <c r="AG212" i="1" s="1"/>
  <c r="AA211" i="1"/>
  <c r="AF211" i="1" s="1"/>
  <c r="AG211" i="1" s="1"/>
  <c r="AA210" i="1"/>
  <c r="AF210" i="1" s="1"/>
  <c r="AG210" i="1" s="1"/>
  <c r="AA209" i="1"/>
  <c r="AF209" i="1" s="1"/>
  <c r="AG209" i="1" s="1"/>
  <c r="AA208" i="1"/>
  <c r="AF208" i="1" s="1"/>
  <c r="AG208" i="1" s="1"/>
  <c r="AA207" i="1"/>
  <c r="AF207" i="1" s="1"/>
  <c r="AG207" i="1" s="1"/>
  <c r="AA206" i="1"/>
  <c r="AF206" i="1" s="1"/>
  <c r="AG206" i="1" s="1"/>
  <c r="AA205" i="1"/>
  <c r="AF205" i="1" s="1"/>
  <c r="AG205" i="1" s="1"/>
  <c r="AA204" i="1"/>
  <c r="AF204" i="1" s="1"/>
  <c r="AG204" i="1" s="1"/>
  <c r="AA203" i="1"/>
  <c r="AF203" i="1" s="1"/>
  <c r="AG203" i="1" s="1"/>
  <c r="AA200" i="1"/>
  <c r="AF200" i="1" s="1"/>
  <c r="AA199" i="1"/>
  <c r="AF199" i="1" s="1"/>
  <c r="AA198" i="1"/>
  <c r="AF198" i="1" s="1"/>
  <c r="AA197" i="1"/>
  <c r="AF197" i="1" s="1"/>
  <c r="AA196" i="1"/>
  <c r="AF196" i="1" s="1"/>
  <c r="AA195" i="1"/>
  <c r="AF195" i="1" s="1"/>
  <c r="AA194" i="1"/>
  <c r="AF194" i="1" s="1"/>
  <c r="AA193" i="1"/>
  <c r="AF193" i="1" s="1"/>
  <c r="AA192" i="1"/>
  <c r="AF192" i="1" s="1"/>
  <c r="AA191" i="1"/>
  <c r="AF191" i="1" s="1"/>
  <c r="AA190" i="1"/>
  <c r="AF190" i="1" s="1"/>
  <c r="AA189" i="1"/>
  <c r="AF189" i="1" s="1"/>
  <c r="AA186" i="1"/>
  <c r="AF186" i="1" s="1"/>
  <c r="AA185" i="1"/>
  <c r="AF185" i="1" s="1"/>
  <c r="AA184" i="1"/>
  <c r="AF184" i="1" s="1"/>
  <c r="AA181" i="1"/>
  <c r="AF181" i="1" s="1"/>
  <c r="AA180" i="1"/>
  <c r="AF180" i="1" s="1"/>
  <c r="AA174" i="1"/>
  <c r="AF174" i="1" s="1"/>
  <c r="AA173" i="1"/>
  <c r="AF173" i="1" s="1"/>
  <c r="AA172" i="1"/>
  <c r="AF172" i="1" s="1"/>
  <c r="AA171" i="1"/>
  <c r="AF171" i="1" s="1"/>
  <c r="AA170" i="1"/>
  <c r="AF170" i="1" s="1"/>
  <c r="AA169" i="1"/>
  <c r="AF169" i="1" s="1"/>
  <c r="AA168" i="1"/>
  <c r="AF168" i="1" s="1"/>
  <c r="AA167" i="1"/>
  <c r="AF167" i="1" s="1"/>
  <c r="AA166" i="1"/>
  <c r="AF166" i="1" s="1"/>
  <c r="AA165" i="1"/>
  <c r="AF165" i="1" s="1"/>
  <c r="AA164" i="1"/>
  <c r="AF164" i="1" s="1"/>
  <c r="AA160" i="1"/>
  <c r="AF160" i="1" s="1"/>
  <c r="AA159" i="1"/>
  <c r="AF159" i="1" s="1"/>
  <c r="AA156" i="1"/>
  <c r="AF156" i="1" s="1"/>
  <c r="AA155" i="1"/>
  <c r="AF155" i="1" s="1"/>
  <c r="AA154" i="1"/>
  <c r="AF154" i="1" s="1"/>
  <c r="AA153" i="1"/>
  <c r="AF153" i="1" s="1"/>
  <c r="AA152" i="1"/>
  <c r="AF152" i="1" s="1"/>
  <c r="AA151" i="1"/>
  <c r="AF151" i="1" s="1"/>
  <c r="AA150" i="1"/>
  <c r="AF150" i="1" s="1"/>
  <c r="AA149" i="1"/>
  <c r="AF149" i="1" s="1"/>
  <c r="AA145" i="1"/>
  <c r="AF145" i="1" s="1"/>
  <c r="AB24" i="12" s="1"/>
  <c r="AB25" i="12" s="1"/>
  <c r="AA144" i="1"/>
  <c r="AF144" i="1" s="1"/>
  <c r="AB12" i="12" s="1"/>
  <c r="AB13" i="12" s="1"/>
  <c r="AA143" i="1"/>
  <c r="AF143" i="1" s="1"/>
  <c r="AA142" i="1"/>
  <c r="AF142" i="1" s="1"/>
  <c r="AA141" i="1"/>
  <c r="AF141" i="1" s="1"/>
  <c r="AA140" i="1"/>
  <c r="AF140" i="1" s="1"/>
  <c r="AA137" i="1"/>
  <c r="AF137" i="1" s="1"/>
  <c r="AA134" i="1"/>
  <c r="AF134" i="1" s="1"/>
  <c r="AA133" i="1"/>
  <c r="AF133" i="1" s="1"/>
  <c r="AA132" i="1"/>
  <c r="AF132" i="1" s="1"/>
  <c r="AA131" i="1"/>
  <c r="AF131" i="1" s="1"/>
  <c r="AA130" i="1"/>
  <c r="AF130" i="1" s="1"/>
  <c r="AA129" i="1"/>
  <c r="AF129" i="1" s="1"/>
  <c r="AA128" i="1"/>
  <c r="AF128" i="1" s="1"/>
  <c r="AA127" i="1"/>
  <c r="AF127" i="1" s="1"/>
  <c r="AA126" i="1"/>
  <c r="AF126" i="1" s="1"/>
  <c r="AA125" i="1"/>
  <c r="AF125" i="1" s="1"/>
  <c r="AA124" i="1"/>
  <c r="AF124" i="1" s="1"/>
  <c r="AA123" i="1"/>
  <c r="AF123" i="1" s="1"/>
  <c r="AA122" i="1"/>
  <c r="AF122" i="1" s="1"/>
  <c r="AA121" i="1"/>
  <c r="AF121" i="1" s="1"/>
  <c r="AA120" i="1"/>
  <c r="AF120" i="1" s="1"/>
  <c r="AA119" i="1"/>
  <c r="AF119" i="1" s="1"/>
  <c r="AA118" i="1"/>
  <c r="AF118" i="1" s="1"/>
  <c r="AA113" i="1"/>
  <c r="AF113" i="1" s="1"/>
  <c r="AA109" i="1"/>
  <c r="AF109" i="1" s="1"/>
  <c r="AA108" i="1"/>
  <c r="AF108" i="1" s="1"/>
  <c r="AA107" i="1"/>
  <c r="AA73" i="1"/>
  <c r="AF73" i="1" s="1"/>
  <c r="AA72" i="1"/>
  <c r="AF72" i="1" s="1"/>
  <c r="AA102" i="1"/>
  <c r="AF102" i="1" s="1"/>
  <c r="AA101" i="1"/>
  <c r="AF101" i="1" s="1"/>
  <c r="AA99" i="1"/>
  <c r="AF99" i="1" s="1"/>
  <c r="AA98" i="1"/>
  <c r="AF98" i="1" s="1"/>
  <c r="AA97" i="1"/>
  <c r="AF97" i="1" s="1"/>
  <c r="AA96" i="1"/>
  <c r="AF96" i="1" s="1"/>
  <c r="AA95" i="1"/>
  <c r="AF95" i="1" s="1"/>
  <c r="AA94" i="1"/>
  <c r="AF94" i="1" s="1"/>
  <c r="AA93" i="1"/>
  <c r="AF93" i="1" s="1"/>
  <c r="AA92" i="1"/>
  <c r="AF92" i="1" s="1"/>
  <c r="AA91" i="1"/>
  <c r="AF91" i="1" s="1"/>
  <c r="AA89" i="1"/>
  <c r="AF89" i="1" s="1"/>
  <c r="AA88" i="1"/>
  <c r="AF88" i="1" s="1"/>
  <c r="AA87" i="1"/>
  <c r="AF87" i="1" s="1"/>
  <c r="AA86" i="1"/>
  <c r="AF86" i="1" s="1"/>
  <c r="AA85" i="1"/>
  <c r="AF85" i="1" s="1"/>
  <c r="AA84" i="1"/>
  <c r="AF84" i="1" s="1"/>
  <c r="AA83" i="1"/>
  <c r="AF83" i="1" s="1"/>
  <c r="AA82" i="1"/>
  <c r="AF82" i="1" s="1"/>
  <c r="AA81" i="1"/>
  <c r="AF81" i="1" s="1"/>
  <c r="AA80" i="1"/>
  <c r="AF80" i="1" s="1"/>
  <c r="AA79" i="1"/>
  <c r="AF79" i="1" s="1"/>
  <c r="AA78" i="1"/>
  <c r="AF78" i="1" s="1"/>
  <c r="AA77" i="1"/>
  <c r="AF77" i="1" s="1"/>
  <c r="AA76" i="1"/>
  <c r="AF76" i="1" s="1"/>
  <c r="AA70" i="1"/>
  <c r="AF70" i="1" s="1"/>
  <c r="AA69" i="1"/>
  <c r="AF69" i="1" s="1"/>
  <c r="AA68" i="1"/>
  <c r="AF68" i="1" s="1"/>
  <c r="AA67" i="1"/>
  <c r="AF67" i="1" s="1"/>
  <c r="AA66" i="1"/>
  <c r="AF66" i="1" s="1"/>
  <c r="AA65" i="1"/>
  <c r="AF65" i="1" s="1"/>
  <c r="AA64" i="1"/>
  <c r="AF64" i="1" s="1"/>
  <c r="AA63" i="1"/>
  <c r="AF63" i="1" s="1"/>
  <c r="AA62" i="1"/>
  <c r="AF62" i="1" s="1"/>
  <c r="AA61" i="1"/>
  <c r="AF61" i="1" s="1"/>
  <c r="AA60" i="1"/>
  <c r="AF60" i="1" s="1"/>
  <c r="AA59" i="1"/>
  <c r="AF59" i="1" s="1"/>
  <c r="AA58" i="1"/>
  <c r="AF58" i="1" s="1"/>
  <c r="AA57" i="1"/>
  <c r="AF57" i="1" s="1"/>
  <c r="AA56" i="1"/>
  <c r="AF56" i="1" s="1"/>
  <c r="AA55" i="1"/>
  <c r="AF55" i="1" s="1"/>
  <c r="AF47" i="1"/>
  <c r="AF46" i="1"/>
  <c r="AA44" i="1"/>
  <c r="AF44" i="1" s="1"/>
  <c r="AA43" i="1"/>
  <c r="AF43" i="1" s="1"/>
  <c r="AF42" i="1"/>
  <c r="AA41" i="1"/>
  <c r="AF41" i="1" s="1"/>
  <c r="AA40" i="1"/>
  <c r="AF40" i="1" s="1"/>
  <c r="AA39" i="1"/>
  <c r="AF39" i="1" s="1"/>
  <c r="AA38" i="1"/>
  <c r="AF38" i="1" s="1"/>
  <c r="AA37" i="1"/>
  <c r="AF37" i="1" s="1"/>
  <c r="AA36" i="1"/>
  <c r="AF36" i="1" s="1"/>
  <c r="AA35" i="1"/>
  <c r="AF35" i="1" s="1"/>
  <c r="AF32" i="1"/>
  <c r="AF31" i="1"/>
  <c r="AA30" i="1"/>
  <c r="AF30" i="1" s="1"/>
  <c r="AF29" i="1"/>
  <c r="AA28" i="1"/>
  <c r="AF28" i="1" s="1"/>
  <c r="AA27" i="1"/>
  <c r="AF27" i="1" s="1"/>
  <c r="AA26" i="1"/>
  <c r="AF26" i="1" s="1"/>
  <c r="AA25" i="1"/>
  <c r="AF25" i="1" s="1"/>
  <c r="AA24" i="1"/>
  <c r="AF24" i="1" s="1"/>
  <c r="AA23" i="1"/>
  <c r="AF23" i="1" s="1"/>
  <c r="AA22" i="1"/>
  <c r="AF22" i="1" s="1"/>
  <c r="AF21" i="1"/>
  <c r="AA17" i="1"/>
  <c r="AF17" i="1" s="1"/>
  <c r="AA15" i="1"/>
  <c r="AF15" i="1" s="1"/>
  <c r="K73" i="12" l="1"/>
  <c r="AB42" i="12"/>
  <c r="AB43" i="12" s="1"/>
  <c r="M15" i="21"/>
  <c r="G14" i="14" s="1"/>
  <c r="AE10" i="15"/>
  <c r="AC10" i="15" s="1"/>
  <c r="AE15" i="15"/>
  <c r="AE18" i="15" s="1"/>
  <c r="AH283" i="1"/>
  <c r="AH285" i="1" s="1"/>
  <c r="AE8" i="15"/>
  <c r="AC8" i="15" s="1"/>
  <c r="AF105" i="1"/>
  <c r="AH99" i="1" s="1"/>
  <c r="AH462" i="1"/>
  <c r="AH665" i="1" s="1"/>
  <c r="BF38" i="19"/>
  <c r="H19" i="2"/>
  <c r="M18" i="21"/>
  <c r="M20" i="21"/>
  <c r="H20" i="2"/>
  <c r="H97" i="2"/>
  <c r="M98" i="21"/>
  <c r="B21" i="19"/>
  <c r="L18" i="5" s="1"/>
  <c r="AV54" i="20"/>
  <c r="J105" i="2"/>
  <c r="T107" i="2" s="1"/>
  <c r="T108" i="2" s="1"/>
  <c r="T110" i="2" s="1"/>
  <c r="BC538" i="1"/>
  <c r="BC539" i="1" s="1"/>
  <c r="O113" i="21" s="1"/>
  <c r="H16" i="2"/>
  <c r="I7" i="19" s="1"/>
  <c r="AA105" i="1"/>
  <c r="AA111" i="1"/>
  <c r="AF138" i="1"/>
  <c r="AF18" i="1"/>
  <c r="AA18" i="1"/>
  <c r="AF107" i="1"/>
  <c r="AF111" i="1" s="1"/>
  <c r="M13" i="21" s="1"/>
  <c r="G11" i="14" s="1"/>
  <c r="AF48" i="1"/>
  <c r="AA48" i="1"/>
  <c r="S16" i="4"/>
  <c r="M21" i="4"/>
  <c r="M41" i="4" s="1"/>
  <c r="I21" i="4"/>
  <c r="I41" i="4" s="1"/>
  <c r="G21" i="4"/>
  <c r="G41" i="4" s="1"/>
  <c r="H101" i="2"/>
  <c r="H99" i="2"/>
  <c r="H79" i="2"/>
  <c r="H77" i="2"/>
  <c r="H69" i="2"/>
  <c r="H66" i="2"/>
  <c r="AJ7" i="19" s="1"/>
  <c r="BH762" i="1"/>
  <c r="BF762" i="1"/>
  <c r="AI762" i="1"/>
  <c r="Y762" i="1"/>
  <c r="Z762" i="1"/>
  <c r="AA762" i="1"/>
  <c r="BH759" i="1"/>
  <c r="BF759" i="1"/>
  <c r="AI759" i="1"/>
  <c r="Y759" i="1"/>
  <c r="Z759" i="1"/>
  <c r="AA759" i="1"/>
  <c r="F41" i="3" s="1"/>
  <c r="BF754" i="1"/>
  <c r="AI754" i="1"/>
  <c r="Y754" i="1"/>
  <c r="Z754" i="1"/>
  <c r="AA754" i="1"/>
  <c r="AF754" i="1"/>
  <c r="BH744" i="1"/>
  <c r="BF744" i="1"/>
  <c r="AI744" i="1"/>
  <c r="Y744" i="1"/>
  <c r="Z744" i="1"/>
  <c r="AA744" i="1"/>
  <c r="BH730" i="1"/>
  <c r="BF730" i="1"/>
  <c r="BG727" i="1" s="1"/>
  <c r="Y730" i="1"/>
  <c r="Z730" i="1"/>
  <c r="AA730" i="1"/>
  <c r="BH719" i="1"/>
  <c r="BF719" i="1"/>
  <c r="AI719" i="1"/>
  <c r="G37" i="39" s="1"/>
  <c r="Y719" i="1"/>
  <c r="Z719" i="1"/>
  <c r="AA719" i="1"/>
  <c r="BH662" i="1"/>
  <c r="BF662" i="1"/>
  <c r="AI662" i="1"/>
  <c r="Y662" i="1"/>
  <c r="Z662" i="1"/>
  <c r="AA662" i="1"/>
  <c r="BH639" i="1"/>
  <c r="BF639" i="1"/>
  <c r="Y639" i="1"/>
  <c r="Z639" i="1"/>
  <c r="AA639" i="1"/>
  <c r="BH601" i="1"/>
  <c r="BF601" i="1"/>
  <c r="Z601" i="1"/>
  <c r="AA601" i="1"/>
  <c r="BH570" i="1"/>
  <c r="BH572" i="1" s="1"/>
  <c r="BF570" i="1"/>
  <c r="BF572" i="1" s="1"/>
  <c r="AI570" i="1"/>
  <c r="AI572" i="1" s="1"/>
  <c r="Y570" i="1"/>
  <c r="Z570" i="1"/>
  <c r="Z572" i="1" s="1"/>
  <c r="AA570" i="1"/>
  <c r="AA572" i="1" s="1"/>
  <c r="BH559" i="1"/>
  <c r="BH561" i="1" s="1"/>
  <c r="BH563" i="1" s="1"/>
  <c r="BH565" i="1" s="1"/>
  <c r="BF559" i="1"/>
  <c r="BF561" i="1" s="1"/>
  <c r="BF563" i="1" s="1"/>
  <c r="BF565" i="1" s="1"/>
  <c r="AI559" i="1"/>
  <c r="AI561" i="1" s="1"/>
  <c r="AI563" i="1" s="1"/>
  <c r="AI565" i="1" s="1"/>
  <c r="Y559" i="1"/>
  <c r="Z559" i="1"/>
  <c r="AA559" i="1"/>
  <c r="AA561" i="1" s="1"/>
  <c r="AA563" i="1" s="1"/>
  <c r="AA565" i="1" s="1"/>
  <c r="BH554" i="1"/>
  <c r="BF554" i="1"/>
  <c r="AI554" i="1"/>
  <c r="Y554" i="1"/>
  <c r="X554" i="1" s="1"/>
  <c r="Z554" i="1"/>
  <c r="AA554" i="1"/>
  <c r="Q25" i="16" s="1"/>
  <c r="Q26" i="16" s="1"/>
  <c r="BH536" i="1"/>
  <c r="BF536" i="1"/>
  <c r="S102" i="21" s="1"/>
  <c r="S107" i="21" s="1"/>
  <c r="AI536" i="1"/>
  <c r="Q102" i="21" s="1"/>
  <c r="AG7" i="54" s="1"/>
  <c r="AG6" i="54" s="1"/>
  <c r="Y536" i="1"/>
  <c r="Z536" i="1"/>
  <c r="AA536" i="1"/>
  <c r="BH529" i="1"/>
  <c r="BF529" i="1"/>
  <c r="AI529" i="1"/>
  <c r="Y529" i="1"/>
  <c r="Z529" i="1"/>
  <c r="AA529" i="1"/>
  <c r="BH520" i="1"/>
  <c r="BF520" i="1"/>
  <c r="AI520" i="1"/>
  <c r="Y520" i="1"/>
  <c r="Z520" i="1"/>
  <c r="AA520" i="1"/>
  <c r="BH504" i="1"/>
  <c r="U71" i="21" s="1"/>
  <c r="BF504" i="1"/>
  <c r="S71" i="21" s="1"/>
  <c r="AI504" i="1"/>
  <c r="Q71" i="21" s="1"/>
  <c r="Y7" i="54" s="1"/>
  <c r="Y8" i="54" s="1"/>
  <c r="Y38" i="54" s="1"/>
  <c r="D38" i="54" s="1"/>
  <c r="D43" i="54" s="1"/>
  <c r="Y504" i="1"/>
  <c r="Z504" i="1"/>
  <c r="AA504" i="1"/>
  <c r="BH497" i="1"/>
  <c r="U75" i="21" s="1"/>
  <c r="F50" i="18" s="1"/>
  <c r="L50" i="18" s="1"/>
  <c r="Q50" i="18" s="1"/>
  <c r="BF497" i="1"/>
  <c r="S75" i="21" s="1"/>
  <c r="AI497" i="1"/>
  <c r="Y497" i="1"/>
  <c r="Z497" i="1"/>
  <c r="AA497" i="1"/>
  <c r="BH494" i="1"/>
  <c r="U73" i="21" s="1"/>
  <c r="BF494" i="1"/>
  <c r="S73" i="21" s="1"/>
  <c r="AI494" i="1"/>
  <c r="Q73" i="21" s="1"/>
  <c r="AH7" i="49" s="1"/>
  <c r="Y494" i="1"/>
  <c r="Z494" i="1"/>
  <c r="AA494" i="1"/>
  <c r="BH481" i="1"/>
  <c r="U76" i="21" s="1"/>
  <c r="BF481" i="1"/>
  <c r="S76" i="21" s="1"/>
  <c r="AI481" i="1"/>
  <c r="Y481" i="1"/>
  <c r="Z481" i="1"/>
  <c r="AA481" i="1"/>
  <c r="BH474" i="1"/>
  <c r="BF474" i="1"/>
  <c r="AI474" i="1"/>
  <c r="Y474" i="1"/>
  <c r="Z474" i="1"/>
  <c r="AA474" i="1"/>
  <c r="AF474" i="1"/>
  <c r="BH470" i="1"/>
  <c r="U63" i="21" s="1"/>
  <c r="BF470" i="1"/>
  <c r="S63" i="21" s="1"/>
  <c r="AI470" i="1"/>
  <c r="Y470" i="1"/>
  <c r="Z470" i="1"/>
  <c r="AA470" i="1"/>
  <c r="AF470" i="1"/>
  <c r="BH467" i="1"/>
  <c r="U56" i="21" s="1"/>
  <c r="BF467" i="1"/>
  <c r="S56" i="21" s="1"/>
  <c r="AI467" i="1"/>
  <c r="Y467" i="1"/>
  <c r="Z467" i="1"/>
  <c r="AA467" i="1"/>
  <c r="BH453" i="1"/>
  <c r="U57" i="21" s="1"/>
  <c r="BF453" i="1"/>
  <c r="S57" i="21" s="1"/>
  <c r="AI453" i="1"/>
  <c r="Q57" i="21" s="1"/>
  <c r="AC7" i="54" s="1"/>
  <c r="AC8" i="54" s="1"/>
  <c r="AC17" i="54" s="1"/>
  <c r="AC71" i="54" s="1"/>
  <c r="Y453" i="1"/>
  <c r="Z453" i="1"/>
  <c r="AA453" i="1"/>
  <c r="AF453" i="1"/>
  <c r="BH433" i="1"/>
  <c r="BF433" i="1"/>
  <c r="AI433" i="1"/>
  <c r="Y433" i="1"/>
  <c r="Z433" i="1"/>
  <c r="AA433" i="1"/>
  <c r="BH422" i="1"/>
  <c r="BF422" i="1"/>
  <c r="AI422" i="1"/>
  <c r="Y422" i="1"/>
  <c r="Z422" i="1"/>
  <c r="AA422" i="1"/>
  <c r="BH417" i="1"/>
  <c r="BF417" i="1"/>
  <c r="AI417" i="1"/>
  <c r="G131" i="29" s="1"/>
  <c r="Y417" i="1"/>
  <c r="Z417" i="1"/>
  <c r="AA417" i="1"/>
  <c r="BH288" i="1"/>
  <c r="U55" i="21" s="1"/>
  <c r="BF288" i="1"/>
  <c r="S55" i="21" s="1"/>
  <c r="AI288" i="1"/>
  <c r="Y288" i="1"/>
  <c r="Z288" i="1"/>
  <c r="AA288" i="1"/>
  <c r="BH252" i="1"/>
  <c r="BF252" i="1"/>
  <c r="AI252" i="1"/>
  <c r="Y252" i="1"/>
  <c r="Z252" i="1"/>
  <c r="AA252" i="1"/>
  <c r="BH248" i="1"/>
  <c r="BF248" i="1"/>
  <c r="AI248" i="1"/>
  <c r="Y248" i="1"/>
  <c r="Z248" i="1"/>
  <c r="AA248" i="1"/>
  <c r="BH245" i="1"/>
  <c r="U37" i="21" s="1"/>
  <c r="F24" i="18" s="1"/>
  <c r="L24" i="18" s="1"/>
  <c r="Q24" i="18" s="1"/>
  <c r="BF245" i="1"/>
  <c r="S37" i="21" s="1"/>
  <c r="AI245" i="1"/>
  <c r="Y245" i="1"/>
  <c r="Z245" i="1"/>
  <c r="AA245" i="1"/>
  <c r="BH236" i="1"/>
  <c r="U33" i="21" s="1"/>
  <c r="F23" i="18" s="1"/>
  <c r="L23" i="18" s="1"/>
  <c r="Q23" i="18" s="1"/>
  <c r="BF236" i="1"/>
  <c r="S33" i="21" s="1"/>
  <c r="AI236" i="1"/>
  <c r="Y236" i="1"/>
  <c r="Z236" i="1"/>
  <c r="AA236" i="1"/>
  <c r="BH223" i="1"/>
  <c r="BF223" i="1"/>
  <c r="AI223" i="1"/>
  <c r="Y223" i="1"/>
  <c r="Z223" i="1"/>
  <c r="AA223" i="1"/>
  <c r="BH218" i="1"/>
  <c r="BF218" i="1"/>
  <c r="AI218" i="1"/>
  <c r="Y218" i="1"/>
  <c r="Z218" i="1"/>
  <c r="AA218" i="1"/>
  <c r="BH214" i="1"/>
  <c r="BF214" i="1"/>
  <c r="AI214" i="1"/>
  <c r="Y214" i="1"/>
  <c r="Z214" i="1"/>
  <c r="AA214" i="1"/>
  <c r="BH201" i="1"/>
  <c r="BF201" i="1"/>
  <c r="AI201" i="1"/>
  <c r="Y201" i="1"/>
  <c r="Z201" i="1"/>
  <c r="AA201" i="1"/>
  <c r="BH187" i="1"/>
  <c r="U28" i="21" s="1"/>
  <c r="BF187" i="1"/>
  <c r="S28" i="21" s="1"/>
  <c r="AI187" i="1"/>
  <c r="Q28" i="21" s="1"/>
  <c r="H7" i="54" s="1"/>
  <c r="H8" i="54" s="1"/>
  <c r="H12" i="54" s="1"/>
  <c r="Y187" i="1"/>
  <c r="Z187" i="1"/>
  <c r="AA187" i="1"/>
  <c r="BH182" i="1"/>
  <c r="U17" i="21" s="1"/>
  <c r="BF182" i="1"/>
  <c r="S17" i="21" s="1"/>
  <c r="AI182" i="1"/>
  <c r="Y182" i="1"/>
  <c r="Z182" i="1"/>
  <c r="AA182" i="1"/>
  <c r="BH177" i="1"/>
  <c r="BF177" i="1"/>
  <c r="AI177" i="1"/>
  <c r="Y177" i="1"/>
  <c r="Z177" i="1"/>
  <c r="AA177" i="1"/>
  <c r="BH147" i="1"/>
  <c r="U16" i="21" s="1"/>
  <c r="BF147" i="1"/>
  <c r="S16" i="21" s="1"/>
  <c r="AI147" i="1"/>
  <c r="Q16" i="21" s="1"/>
  <c r="J7" i="54" s="1"/>
  <c r="J8" i="54" s="1"/>
  <c r="Y147" i="1"/>
  <c r="X147" i="1" s="1"/>
  <c r="Z147" i="1"/>
  <c r="AA147" i="1"/>
  <c r="Y138" i="1"/>
  <c r="Z138" i="1"/>
  <c r="AA138" i="1"/>
  <c r="BH138" i="1"/>
  <c r="BF138" i="1"/>
  <c r="AI138" i="1"/>
  <c r="BH115" i="1"/>
  <c r="U14" i="21" s="1"/>
  <c r="BF115" i="1"/>
  <c r="S14" i="21" s="1"/>
  <c r="AI115" i="1"/>
  <c r="Q14" i="21" s="1"/>
  <c r="Y115" i="1"/>
  <c r="Z115" i="1"/>
  <c r="AA115" i="1"/>
  <c r="Y50" i="1"/>
  <c r="Y51" i="1" s="1"/>
  <c r="Z50" i="1"/>
  <c r="Z51" i="1" s="1"/>
  <c r="AA50" i="1"/>
  <c r="AA51" i="1" s="1"/>
  <c r="O36" i="4"/>
  <c r="F50" i="3" l="1"/>
  <c r="F7" i="54"/>
  <c r="F8" i="54" s="1"/>
  <c r="F12" i="54" s="1"/>
  <c r="Q37" i="21"/>
  <c r="D16" i="55" s="1"/>
  <c r="D17" i="55" s="1"/>
  <c r="Q56" i="21"/>
  <c r="AC7" i="49" s="1"/>
  <c r="AC15" i="15"/>
  <c r="AC18" i="15" s="1"/>
  <c r="D12" i="54"/>
  <c r="J15" i="54"/>
  <c r="J71" i="54" s="1"/>
  <c r="AG8" i="54"/>
  <c r="AG71" i="54" s="1"/>
  <c r="AR6" i="54"/>
  <c r="Q29" i="21"/>
  <c r="U52" i="21"/>
  <c r="U66" i="21" s="1"/>
  <c r="AC12" i="15"/>
  <c r="AE12" i="15"/>
  <c r="AE20" i="15" s="1"/>
  <c r="D8" i="48"/>
  <c r="D9" i="48" s="1"/>
  <c r="D7" i="49"/>
  <c r="AI7" i="49"/>
  <c r="AJ8" i="48"/>
  <c r="AF8" i="48"/>
  <c r="AF9" i="48" s="1"/>
  <c r="AE7" i="49"/>
  <c r="J8" i="48"/>
  <c r="J9" i="48" s="1"/>
  <c r="J13" i="48" s="1"/>
  <c r="J58" i="48" s="1"/>
  <c r="J7" i="49"/>
  <c r="Q17" i="21"/>
  <c r="K7" i="54" s="1"/>
  <c r="K8" i="54" s="1"/>
  <c r="K17" i="54" s="1"/>
  <c r="AF30" i="12"/>
  <c r="AF31" i="12" s="1"/>
  <c r="H8" i="48"/>
  <c r="H9" i="48" s="1"/>
  <c r="H7" i="49"/>
  <c r="U29" i="21"/>
  <c r="F22" i="18" s="1"/>
  <c r="S52" i="21"/>
  <c r="S66" i="21" s="1"/>
  <c r="AD8" i="48"/>
  <c r="AD9" i="48" s="1"/>
  <c r="Q107" i="21"/>
  <c r="AS8" i="48"/>
  <c r="AS9" i="48" s="1"/>
  <c r="AS13" i="48" s="1"/>
  <c r="AS58" i="48" s="1"/>
  <c r="AP7" i="49"/>
  <c r="AI640" i="1"/>
  <c r="AI641" i="1" s="1"/>
  <c r="O11" i="3"/>
  <c r="AU7" i="49" s="1"/>
  <c r="AU9" i="49" s="1"/>
  <c r="AU12" i="49" s="1"/>
  <c r="AU54" i="49" s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5" i="1"/>
  <c r="AL644" i="1"/>
  <c r="Q33" i="21"/>
  <c r="P7" i="54" s="1"/>
  <c r="P8" i="54" s="1"/>
  <c r="P17" i="54" s="1"/>
  <c r="G10" i="28"/>
  <c r="Q55" i="21"/>
  <c r="AB56" i="21" s="1"/>
  <c r="I36" i="36"/>
  <c r="Q52" i="21"/>
  <c r="V7" i="54" s="1"/>
  <c r="V8" i="54" s="1"/>
  <c r="V15" i="54" s="1"/>
  <c r="V71" i="54" s="1"/>
  <c r="Q63" i="21"/>
  <c r="Z7" i="54" s="1"/>
  <c r="Z8" i="54" s="1"/>
  <c r="Z15" i="54" s="1"/>
  <c r="G7" i="35"/>
  <c r="G8" i="35" s="1"/>
  <c r="G12" i="35" s="1"/>
  <c r="Q76" i="21"/>
  <c r="Q80" i="21" s="1"/>
  <c r="G17" i="37"/>
  <c r="O18" i="3"/>
  <c r="I57" i="18"/>
  <c r="N57" i="18" s="1"/>
  <c r="K99" i="17"/>
  <c r="AL7" i="19"/>
  <c r="I99" i="17"/>
  <c r="S29" i="21"/>
  <c r="S39" i="21" s="1"/>
  <c r="BF219" i="1"/>
  <c r="BF254" i="1" s="1"/>
  <c r="H63" i="2"/>
  <c r="M57" i="21"/>
  <c r="H68" i="2"/>
  <c r="B40" i="18" s="1"/>
  <c r="I40" i="18" s="1"/>
  <c r="N40" i="18" s="1"/>
  <c r="M63" i="21"/>
  <c r="AC74" i="15" s="1"/>
  <c r="AI74" i="15" s="1"/>
  <c r="J45" i="18"/>
  <c r="O45" i="18" s="1"/>
  <c r="S80" i="21"/>
  <c r="U80" i="21"/>
  <c r="F52" i="18"/>
  <c r="F53" i="18" s="1"/>
  <c r="I41" i="18"/>
  <c r="N41" i="18" s="1"/>
  <c r="Y7" i="19"/>
  <c r="K7" i="19"/>
  <c r="I19" i="18"/>
  <c r="N19" i="18" s="1"/>
  <c r="I17" i="18"/>
  <c r="N17" i="18" s="1"/>
  <c r="M7" i="19"/>
  <c r="I56" i="18"/>
  <c r="N56" i="18" s="1"/>
  <c r="AM7" i="19"/>
  <c r="I39" i="18"/>
  <c r="N39" i="18" s="1"/>
  <c r="AC36" i="15"/>
  <c r="AI36" i="15" s="1"/>
  <c r="I13" i="18"/>
  <c r="N13" i="18" s="1"/>
  <c r="AH106" i="1"/>
  <c r="J107" i="2"/>
  <c r="BC5" i="1"/>
  <c r="BC6" i="1" s="1"/>
  <c r="J114" i="2"/>
  <c r="Z561" i="1"/>
  <c r="Y572" i="1"/>
  <c r="Y561" i="1"/>
  <c r="Z476" i="1"/>
  <c r="BH476" i="1"/>
  <c r="Y476" i="1"/>
  <c r="AA52" i="1"/>
  <c r="AI476" i="1"/>
  <c r="AA505" i="1"/>
  <c r="AA476" i="1"/>
  <c r="BF476" i="1"/>
  <c r="H13" i="2"/>
  <c r="E7" i="19" s="1"/>
  <c r="AA219" i="1"/>
  <c r="AA254" i="1" s="1"/>
  <c r="Z219" i="1"/>
  <c r="Y219" i="1"/>
  <c r="AI219" i="1"/>
  <c r="AI254" i="1" s="1"/>
  <c r="BH219" i="1"/>
  <c r="BH254" i="1" s="1"/>
  <c r="Z505" i="1"/>
  <c r="Y505" i="1"/>
  <c r="AI505" i="1"/>
  <c r="BF505" i="1"/>
  <c r="BH505" i="1"/>
  <c r="AA640" i="1"/>
  <c r="AA641" i="1" s="1"/>
  <c r="BF640" i="1"/>
  <c r="BF641" i="1" s="1"/>
  <c r="BH640" i="1"/>
  <c r="BH641" i="1" s="1"/>
  <c r="AA720" i="1"/>
  <c r="Z720" i="1"/>
  <c r="Y720" i="1"/>
  <c r="AI720" i="1"/>
  <c r="BF720" i="1"/>
  <c r="BH720" i="1"/>
  <c r="AA745" i="1"/>
  <c r="Z745" i="1"/>
  <c r="Y745" i="1"/>
  <c r="AI745" i="1"/>
  <c r="BF745" i="1"/>
  <c r="BH745" i="1"/>
  <c r="F71" i="54" l="1"/>
  <c r="V7" i="49"/>
  <c r="W8" i="48"/>
  <c r="W9" i="48" s="1"/>
  <c r="W15" i="48" s="1"/>
  <c r="W58" i="48" s="1"/>
  <c r="G23" i="10"/>
  <c r="G30" i="10" s="1"/>
  <c r="Q70" i="17"/>
  <c r="U70" i="17" s="1"/>
  <c r="I119" i="21"/>
  <c r="F57" i="3"/>
  <c r="I118" i="21"/>
  <c r="W7" i="54"/>
  <c r="W8" i="54" s="1"/>
  <c r="W17" i="54" s="1"/>
  <c r="W71" i="54" s="1"/>
  <c r="Q7" i="54"/>
  <c r="Q8" i="54" s="1"/>
  <c r="Q17" i="54" s="1"/>
  <c r="Q71" i="54" s="1"/>
  <c r="AC20" i="15"/>
  <c r="S7" i="54"/>
  <c r="F63" i="13"/>
  <c r="F64" i="13" s="1"/>
  <c r="D40" i="55"/>
  <c r="AD7" i="54"/>
  <c r="AD8" i="54" s="1"/>
  <c r="AD17" i="54" s="1"/>
  <c r="AD71" i="54" s="1"/>
  <c r="S8" i="54"/>
  <c r="AD13" i="48"/>
  <c r="AD58" i="48" s="1"/>
  <c r="R8" i="48"/>
  <c r="R9" i="48" s="1"/>
  <c r="R15" i="48" s="1"/>
  <c r="R58" i="48" s="1"/>
  <c r="O7" i="54"/>
  <c r="O8" i="54" s="1"/>
  <c r="O71" i="54" s="1"/>
  <c r="D15" i="54"/>
  <c r="AY7" i="49"/>
  <c r="AY9" i="49" s="1"/>
  <c r="AY15" i="49" s="1"/>
  <c r="AY54" i="49" s="1"/>
  <c r="G16" i="40"/>
  <c r="O77" i="12"/>
  <c r="Q66" i="21"/>
  <c r="Q82" i="21" s="1"/>
  <c r="BH506" i="1"/>
  <c r="AL8" i="48"/>
  <c r="AL9" i="48" s="1"/>
  <c r="AL15" i="48" s="1"/>
  <c r="AL58" i="48" s="1"/>
  <c r="AK7" i="49"/>
  <c r="AB8" i="48"/>
  <c r="AB9" i="48" s="1"/>
  <c r="AB13" i="48" s="1"/>
  <c r="AB58" i="48" s="1"/>
  <c r="AA7" i="49"/>
  <c r="Q39" i="21"/>
  <c r="U8" i="48"/>
  <c r="U9" i="48" s="1"/>
  <c r="U15" i="48" s="1"/>
  <c r="U58" i="48" s="1"/>
  <c r="U7" i="49"/>
  <c r="BH721" i="1"/>
  <c r="BH746" i="1" s="1"/>
  <c r="BH756" i="1" s="1"/>
  <c r="BH523" i="1" s="1"/>
  <c r="BH525" i="1" s="1"/>
  <c r="BH538" i="1" s="1"/>
  <c r="BH539" i="1" s="1"/>
  <c r="AC40" i="15"/>
  <c r="AI40" i="15" s="1"/>
  <c r="F25" i="18"/>
  <c r="L22" i="18"/>
  <c r="Q22" i="18" s="1"/>
  <c r="L8" i="48"/>
  <c r="L9" i="48" s="1"/>
  <c r="L15" i="48" s="1"/>
  <c r="L58" i="48" s="1"/>
  <c r="R7" i="49"/>
  <c r="AF47" i="48"/>
  <c r="B47" i="48" s="1"/>
  <c r="U39" i="21"/>
  <c r="AG8" i="48"/>
  <c r="AG9" i="48" s="1"/>
  <c r="AG41" i="48" s="1"/>
  <c r="AF7" i="49"/>
  <c r="Y8" i="48"/>
  <c r="Y9" i="48" s="1"/>
  <c r="X7" i="49"/>
  <c r="H33" i="48"/>
  <c r="B33" i="48" s="1"/>
  <c r="H13" i="48"/>
  <c r="D12" i="48"/>
  <c r="B12" i="48" s="1"/>
  <c r="F11" i="5" s="1"/>
  <c r="F16" i="47"/>
  <c r="F66" i="18"/>
  <c r="BB13" i="22"/>
  <c r="BB58" i="22" s="1"/>
  <c r="AX14" i="19"/>
  <c r="L45" i="18"/>
  <c r="Q45" i="18" s="1"/>
  <c r="E52" i="18"/>
  <c r="K45" i="18"/>
  <c r="P45" i="18" s="1"/>
  <c r="D52" i="18"/>
  <c r="J52" i="18" s="1"/>
  <c r="O52" i="18" s="1"/>
  <c r="I35" i="18"/>
  <c r="N35" i="18" s="1"/>
  <c r="AI7" i="19"/>
  <c r="U82" i="21"/>
  <c r="U110" i="21" s="1"/>
  <c r="S82" i="21"/>
  <c r="S110" i="21" s="1"/>
  <c r="I12" i="18"/>
  <c r="N12" i="18" s="1"/>
  <c r="Z563" i="1"/>
  <c r="Z506" i="1"/>
  <c r="Z254" i="1"/>
  <c r="Y563" i="1"/>
  <c r="Y565" i="1" s="1"/>
  <c r="Y254" i="1"/>
  <c r="Y506" i="1"/>
  <c r="BF506" i="1"/>
  <c r="AA506" i="1"/>
  <c r="BF721" i="1"/>
  <c r="BF746" i="1" s="1"/>
  <c r="BF756" i="1" s="1"/>
  <c r="AA721" i="1"/>
  <c r="AA746" i="1" s="1"/>
  <c r="AA756" i="1" s="1"/>
  <c r="AA764" i="1" s="1"/>
  <c r="AI506" i="1"/>
  <c r="AI721" i="1"/>
  <c r="AI746" i="1" s="1"/>
  <c r="AI756" i="1" s="1"/>
  <c r="AI523" i="1" s="1"/>
  <c r="AG58" i="48" l="1"/>
  <c r="B41" i="48"/>
  <c r="F44" i="5" s="1"/>
  <c r="D17" i="54"/>
  <c r="D21" i="54" s="1"/>
  <c r="E2" i="54"/>
  <c r="S48" i="54"/>
  <c r="D48" i="54" s="1"/>
  <c r="D65" i="54" s="1"/>
  <c r="B13" i="48"/>
  <c r="F12" i="5" s="1"/>
  <c r="AF58" i="48"/>
  <c r="D58" i="48"/>
  <c r="F33" i="5"/>
  <c r="F37" i="5" s="1"/>
  <c r="D15" i="46" s="1"/>
  <c r="K15" i="46" s="1"/>
  <c r="P15" i="46" s="1"/>
  <c r="B35" i="48"/>
  <c r="B2" i="49"/>
  <c r="C2" i="49" s="1"/>
  <c r="H58" i="48"/>
  <c r="Y15" i="48"/>
  <c r="Y58" i="48" s="1"/>
  <c r="F57" i="5"/>
  <c r="F26" i="18"/>
  <c r="F71" i="18" s="1"/>
  <c r="L25" i="18"/>
  <c r="Q25" i="18" s="1"/>
  <c r="Q110" i="21"/>
  <c r="P114" i="2"/>
  <c r="U113" i="21"/>
  <c r="K52" i="18"/>
  <c r="P52" i="18" s="1"/>
  <c r="D53" i="18"/>
  <c r="L52" i="18"/>
  <c r="Q52" i="18" s="1"/>
  <c r="E53" i="18"/>
  <c r="Z565" i="1"/>
  <c r="BH5" i="1"/>
  <c r="BH764" i="1"/>
  <c r="AI525" i="1"/>
  <c r="AI538" i="1" s="1"/>
  <c r="AI539" i="1" s="1"/>
  <c r="AI764" i="1"/>
  <c r="BF523" i="1"/>
  <c r="BF525" i="1" s="1"/>
  <c r="BF538" i="1" s="1"/>
  <c r="BF539" i="1" s="1"/>
  <c r="S113" i="21" s="1"/>
  <c r="BF764" i="1"/>
  <c r="B48" i="48" l="1"/>
  <c r="D67" i="54"/>
  <c r="S71" i="54"/>
  <c r="F61" i="5"/>
  <c r="D18" i="46" s="1"/>
  <c r="K18" i="46" s="1"/>
  <c r="P18" i="46" s="1"/>
  <c r="E15" i="47"/>
  <c r="E16" i="47"/>
  <c r="E31" i="47"/>
  <c r="D31" i="47"/>
  <c r="C31" i="47"/>
  <c r="D16" i="47"/>
  <c r="E25" i="51"/>
  <c r="E26" i="51" s="1"/>
  <c r="F7" i="47"/>
  <c r="E30" i="47"/>
  <c r="L26" i="18"/>
  <c r="Q26" i="18" s="1"/>
  <c r="F15" i="47"/>
  <c r="J53" i="18"/>
  <c r="O53" i="18" s="1"/>
  <c r="D15" i="47"/>
  <c r="E66" i="18"/>
  <c r="L53" i="18"/>
  <c r="Q53" i="18" s="1"/>
  <c r="K53" i="18"/>
  <c r="P53" i="18" s="1"/>
  <c r="D66" i="18"/>
  <c r="J66" i="18" s="1"/>
  <c r="O66" i="18" s="1"/>
  <c r="Z640" i="1"/>
  <c r="Y640" i="1"/>
  <c r="AI5" i="1"/>
  <c r="BF5" i="1"/>
  <c r="N114" i="2"/>
  <c r="D71" i="18" l="1"/>
  <c r="K66" i="18"/>
  <c r="P66" i="18" s="1"/>
  <c r="L66" i="18"/>
  <c r="Q66" i="18" s="1"/>
  <c r="E71" i="18"/>
  <c r="Z641" i="1"/>
  <c r="Y641" i="1"/>
  <c r="G27" i="4"/>
  <c r="I27" i="4"/>
  <c r="Q25" i="4"/>
  <c r="Q26" i="4"/>
  <c r="AF762" i="1"/>
  <c r="AF759" i="1"/>
  <c r="J41" i="3" s="1"/>
  <c r="AF744" i="1"/>
  <c r="AF730" i="1"/>
  <c r="AH727" i="1" s="1"/>
  <c r="AF719" i="1"/>
  <c r="J17" i="3" s="1"/>
  <c r="AX7" i="19" s="1"/>
  <c r="AX9" i="19" s="1"/>
  <c r="AX13" i="19" s="1"/>
  <c r="AX54" i="19" s="1"/>
  <c r="AF662" i="1"/>
  <c r="J16" i="3" s="1"/>
  <c r="AW7" i="19" s="1"/>
  <c r="AW9" i="19" s="1"/>
  <c r="AW15" i="19" s="1"/>
  <c r="AF639" i="1"/>
  <c r="K75" i="12" s="1"/>
  <c r="K76" i="12" s="1"/>
  <c r="AF601" i="1"/>
  <c r="AF570" i="1"/>
  <c r="AF572" i="1" s="1"/>
  <c r="AF559" i="1"/>
  <c r="AF561" i="1" s="1"/>
  <c r="AF563" i="1" s="1"/>
  <c r="AF565" i="1" s="1"/>
  <c r="K17" i="12" s="1"/>
  <c r="K18" i="12" s="1"/>
  <c r="AF554" i="1"/>
  <c r="AF536" i="1"/>
  <c r="M102" i="21" s="1"/>
  <c r="AF529" i="1"/>
  <c r="AF520" i="1"/>
  <c r="AF504" i="1"/>
  <c r="M71" i="21" s="1"/>
  <c r="AF497" i="1"/>
  <c r="AF494" i="1"/>
  <c r="AF481" i="1"/>
  <c r="AF467" i="1"/>
  <c r="AF433" i="1"/>
  <c r="AF422" i="1"/>
  <c r="AF417" i="1"/>
  <c r="AF288" i="1"/>
  <c r="M55" i="21" s="1"/>
  <c r="AF252" i="1"/>
  <c r="AF248" i="1"/>
  <c r="AF245" i="1"/>
  <c r="AF236" i="1"/>
  <c r="AF223" i="1"/>
  <c r="AF218" i="1"/>
  <c r="AF214" i="1"/>
  <c r="AF201" i="1"/>
  <c r="AF187" i="1"/>
  <c r="AF182" i="1"/>
  <c r="M17" i="21" s="1"/>
  <c r="AF177" i="1"/>
  <c r="AF147" i="1"/>
  <c r="AF115" i="1"/>
  <c r="AF50" i="1"/>
  <c r="AF51" i="1" s="1"/>
  <c r="M57" i="17" l="1"/>
  <c r="U57" i="17" s="1"/>
  <c r="G25" i="14"/>
  <c r="M29" i="21"/>
  <c r="AE59" i="15" s="1"/>
  <c r="AI59" i="15" s="1"/>
  <c r="AF219" i="1"/>
  <c r="AF254" i="1" s="1"/>
  <c r="H14" i="2"/>
  <c r="D7" i="19" s="1"/>
  <c r="M14" i="21"/>
  <c r="G12" i="14" s="1"/>
  <c r="H17" i="2"/>
  <c r="J7" i="19" s="1"/>
  <c r="M16" i="21"/>
  <c r="H26" i="2"/>
  <c r="M28" i="21"/>
  <c r="H43" i="2"/>
  <c r="M33" i="21"/>
  <c r="H45" i="2"/>
  <c r="M37" i="21"/>
  <c r="H58" i="2"/>
  <c r="AA7" i="19" s="1"/>
  <c r="M52" i="21"/>
  <c r="G21" i="14" s="1"/>
  <c r="H62" i="2"/>
  <c r="AC7" i="19" s="1"/>
  <c r="M56" i="21"/>
  <c r="G24" i="14" s="1"/>
  <c r="H81" i="2"/>
  <c r="M76" i="21"/>
  <c r="H78" i="2"/>
  <c r="M73" i="21"/>
  <c r="B45" i="18"/>
  <c r="K46" i="12"/>
  <c r="K47" i="12" s="1"/>
  <c r="AH730" i="1"/>
  <c r="AC72" i="15"/>
  <c r="J11" i="3"/>
  <c r="W25" i="16" s="1"/>
  <c r="W26" i="16" s="1"/>
  <c r="I15" i="18"/>
  <c r="N15" i="18" s="1"/>
  <c r="H18" i="2"/>
  <c r="AB30" i="12"/>
  <c r="AB31" i="12" s="1"/>
  <c r="I34" i="18"/>
  <c r="N34" i="18" s="1"/>
  <c r="J18" i="3"/>
  <c r="AY7" i="19" s="1"/>
  <c r="AY9" i="19" s="1"/>
  <c r="AY13" i="19" s="1"/>
  <c r="Z721" i="1"/>
  <c r="Y721" i="1"/>
  <c r="H34" i="2"/>
  <c r="H61" i="2"/>
  <c r="X7" i="19" s="1"/>
  <c r="AF476" i="1"/>
  <c r="AF505" i="1"/>
  <c r="H76" i="2"/>
  <c r="H102" i="2"/>
  <c r="AF640" i="1"/>
  <c r="K77" i="12" s="1"/>
  <c r="AF720" i="1"/>
  <c r="AF745" i="1"/>
  <c r="I38" i="4"/>
  <c r="G38" i="4"/>
  <c r="J21" i="3" l="1"/>
  <c r="M66" i="21"/>
  <c r="M80" i="21"/>
  <c r="AC33" i="15"/>
  <c r="AI33" i="15" s="1"/>
  <c r="H46" i="2"/>
  <c r="H85" i="2"/>
  <c r="I59" i="18"/>
  <c r="N59" i="18" s="1"/>
  <c r="AO7" i="19"/>
  <c r="R7" i="19"/>
  <c r="I16" i="18"/>
  <c r="N16" i="18" s="1"/>
  <c r="L7" i="19"/>
  <c r="I45" i="18"/>
  <c r="N45" i="18" s="1"/>
  <c r="AK7" i="19"/>
  <c r="B2" i="19" s="1"/>
  <c r="B24" i="18"/>
  <c r="I24" i="18" s="1"/>
  <c r="N24" i="18" s="1"/>
  <c r="V7" i="19"/>
  <c r="I23" i="18"/>
  <c r="N23" i="18" s="1"/>
  <c r="U7" i="19"/>
  <c r="M39" i="21"/>
  <c r="I14" i="18"/>
  <c r="N14" i="18" s="1"/>
  <c r="H7" i="19"/>
  <c r="AU7" i="19"/>
  <c r="AU9" i="19" s="1"/>
  <c r="AU12" i="19" s="1"/>
  <c r="AU54" i="19" s="1"/>
  <c r="AD24" i="16"/>
  <c r="B20" i="19"/>
  <c r="L19" i="5" s="1"/>
  <c r="AY54" i="19"/>
  <c r="AI72" i="15"/>
  <c r="AI76" i="15" s="1"/>
  <c r="AC76" i="15"/>
  <c r="I22" i="18"/>
  <c r="N22" i="18" s="1"/>
  <c r="H71" i="2"/>
  <c r="I33" i="18"/>
  <c r="N33" i="18" s="1"/>
  <c r="AC37" i="15"/>
  <c r="AI37" i="15" s="1"/>
  <c r="V26" i="13"/>
  <c r="V27" i="13" s="1"/>
  <c r="T27" i="13" s="1"/>
  <c r="G27" i="14"/>
  <c r="G28" i="14" s="1"/>
  <c r="I11" i="18"/>
  <c r="N11" i="18" s="1"/>
  <c r="I30" i="18"/>
  <c r="N30" i="18" s="1"/>
  <c r="B42" i="18"/>
  <c r="Z746" i="1"/>
  <c r="Y746" i="1"/>
  <c r="AF506" i="1"/>
  <c r="AF641" i="1"/>
  <c r="AF721" i="1" s="1"/>
  <c r="AF746" i="1" s="1"/>
  <c r="AF756" i="1" s="1"/>
  <c r="J12" i="3"/>
  <c r="Q36" i="4"/>
  <c r="O2" i="4"/>
  <c r="H87" i="2" l="1"/>
  <c r="C2" i="19" s="1"/>
  <c r="M82" i="21"/>
  <c r="B25" i="18"/>
  <c r="I25" i="18" s="1"/>
  <c r="N25" i="18" s="1"/>
  <c r="AI42" i="15"/>
  <c r="AC42" i="15"/>
  <c r="I51" i="18"/>
  <c r="N51" i="18" s="1"/>
  <c r="B52" i="18"/>
  <c r="I52" i="18" s="1"/>
  <c r="N52" i="18" s="1"/>
  <c r="J14" i="3"/>
  <c r="J23" i="3" s="1"/>
  <c r="J29" i="3" s="1"/>
  <c r="AV7" i="19"/>
  <c r="I42" i="18"/>
  <c r="N42" i="18" s="1"/>
  <c r="Z756" i="1"/>
  <c r="Y756" i="1"/>
  <c r="AF523" i="1"/>
  <c r="AF525" i="1" s="1"/>
  <c r="AF764" i="1"/>
  <c r="S42" i="3"/>
  <c r="S41" i="3"/>
  <c r="S26" i="3"/>
  <c r="S25" i="3"/>
  <c r="BI753" i="1"/>
  <c r="BI737" i="1"/>
  <c r="S19" i="3" s="1"/>
  <c r="BI734" i="1"/>
  <c r="BI733" i="1"/>
  <c r="BI726" i="1"/>
  <c r="BI730" i="1" s="1"/>
  <c r="S18" i="3" s="1"/>
  <c r="BI719" i="1"/>
  <c r="BI720" i="1" s="1"/>
  <c r="BI601" i="1"/>
  <c r="BI525" i="1"/>
  <c r="BI522" i="1"/>
  <c r="BI448" i="1"/>
  <c r="BI241" i="1"/>
  <c r="BG730" i="1"/>
  <c r="S17" i="3"/>
  <c r="S16" i="3"/>
  <c r="S12" i="3"/>
  <c r="S11" i="3"/>
  <c r="Q42" i="3"/>
  <c r="Q41" i="3"/>
  <c r="Q26" i="3"/>
  <c r="Q25" i="3"/>
  <c r="Q17" i="3"/>
  <c r="Q16" i="3"/>
  <c r="Q12" i="3"/>
  <c r="Q11" i="3"/>
  <c r="O42" i="3"/>
  <c r="O41" i="3"/>
  <c r="O26" i="3"/>
  <c r="O25" i="3"/>
  <c r="O17" i="3"/>
  <c r="AX7" i="49" s="1"/>
  <c r="AX9" i="49" s="1"/>
  <c r="AX13" i="49" s="1"/>
  <c r="AX54" i="49" s="1"/>
  <c r="O16" i="3"/>
  <c r="AW7" i="49" s="1"/>
  <c r="AW9" i="49" s="1"/>
  <c r="AW15" i="49" s="1"/>
  <c r="O12" i="3"/>
  <c r="AV7" i="49" s="1"/>
  <c r="S47" i="3"/>
  <c r="Q47" i="3"/>
  <c r="S33" i="3"/>
  <c r="P81" i="2"/>
  <c r="P80" i="2"/>
  <c r="P79" i="2"/>
  <c r="P78" i="2" s="1"/>
  <c r="P77" i="2"/>
  <c r="P69" i="2"/>
  <c r="P68" i="2"/>
  <c r="P66" i="2"/>
  <c r="P62" i="2" s="1"/>
  <c r="P63" i="2"/>
  <c r="P61" i="2"/>
  <c r="P76" i="2"/>
  <c r="P58" i="2"/>
  <c r="P45" i="2"/>
  <c r="P43" i="2"/>
  <c r="P34" i="2"/>
  <c r="P26" i="2"/>
  <c r="P20" i="2"/>
  <c r="P16" i="2"/>
  <c r="P19" i="2"/>
  <c r="P18" i="2"/>
  <c r="P17" i="2"/>
  <c r="P14" i="2"/>
  <c r="P13" i="2"/>
  <c r="N102" i="2"/>
  <c r="AP8" i="49" s="1"/>
  <c r="AP9" i="49" s="1"/>
  <c r="AP13" i="49" s="1"/>
  <c r="AP54" i="49" s="1"/>
  <c r="N99" i="2"/>
  <c r="AN8" i="49" s="1"/>
  <c r="AN9" i="49" s="1"/>
  <c r="AN15" i="49" s="1"/>
  <c r="AN54" i="49" s="1"/>
  <c r="N97" i="2"/>
  <c r="AM8" i="49" s="1"/>
  <c r="AM9" i="49" s="1"/>
  <c r="N104" i="2"/>
  <c r="AR8" i="49" s="1"/>
  <c r="AR9" i="49" s="1"/>
  <c r="N80" i="2"/>
  <c r="AL8" i="49" s="1"/>
  <c r="AL9" i="49" s="1"/>
  <c r="AL39" i="49" s="1"/>
  <c r="AL54" i="49" s="1"/>
  <c r="N81" i="2"/>
  <c r="AK8" i="49" s="1"/>
  <c r="AK9" i="49" s="1"/>
  <c r="AK15" i="49" s="1"/>
  <c r="AK54" i="49" s="1"/>
  <c r="N79" i="2"/>
  <c r="N77" i="2"/>
  <c r="AD8" i="49" s="1"/>
  <c r="AD9" i="49" s="1"/>
  <c r="N69" i="2"/>
  <c r="Y8" i="49" s="1"/>
  <c r="Y9" i="49" s="1"/>
  <c r="Y38" i="49" s="1"/>
  <c r="N61" i="2"/>
  <c r="X8" i="49" s="1"/>
  <c r="X9" i="49" s="1"/>
  <c r="X15" i="49" s="1"/>
  <c r="X54" i="49" s="1"/>
  <c r="N68" i="2"/>
  <c r="AF8" i="49" s="1"/>
  <c r="AF9" i="49" s="1"/>
  <c r="N66" i="2"/>
  <c r="N62" i="2" s="1"/>
  <c r="AC8" i="49" s="1"/>
  <c r="AC9" i="49" s="1"/>
  <c r="AC13" i="49" s="1"/>
  <c r="AC54" i="49" s="1"/>
  <c r="N63" i="2"/>
  <c r="AI8" i="49" s="1"/>
  <c r="AI9" i="49" s="1"/>
  <c r="N76" i="2"/>
  <c r="AE8" i="49" s="1"/>
  <c r="AE9" i="49" s="1"/>
  <c r="AE43" i="49" s="1"/>
  <c r="AE54" i="49" s="1"/>
  <c r="N58" i="2"/>
  <c r="AA8" i="49" s="1"/>
  <c r="AA9" i="49" s="1"/>
  <c r="AA13" i="49" s="1"/>
  <c r="AA54" i="49" s="1"/>
  <c r="N26" i="2"/>
  <c r="H8" i="49" s="1"/>
  <c r="H9" i="49" s="1"/>
  <c r="N45" i="2"/>
  <c r="V8" i="49" s="1"/>
  <c r="V9" i="49" s="1"/>
  <c r="V15" i="49" s="1"/>
  <c r="V54" i="49" s="1"/>
  <c r="N43" i="2"/>
  <c r="U8" i="49" s="1"/>
  <c r="U9" i="49" s="1"/>
  <c r="U15" i="49" s="1"/>
  <c r="U54" i="49" s="1"/>
  <c r="N34" i="2"/>
  <c r="N20" i="2"/>
  <c r="S8" i="49" s="1"/>
  <c r="S9" i="49" s="1"/>
  <c r="S13" i="49" s="1"/>
  <c r="S54" i="49" s="1"/>
  <c r="N19" i="2"/>
  <c r="M8" i="49" s="1"/>
  <c r="M9" i="49" s="1"/>
  <c r="N18" i="2"/>
  <c r="N17" i="2"/>
  <c r="J8" i="49" s="1"/>
  <c r="J9" i="49" s="1"/>
  <c r="J13" i="49" s="1"/>
  <c r="J54" i="49" s="1"/>
  <c r="N16" i="2"/>
  <c r="I8" i="49" s="1"/>
  <c r="I9" i="49" s="1"/>
  <c r="I13" i="49" s="1"/>
  <c r="I54" i="49" s="1"/>
  <c r="N14" i="2"/>
  <c r="D8" i="49" s="1"/>
  <c r="D9" i="49" s="1"/>
  <c r="N13" i="2"/>
  <c r="E8" i="49" s="1"/>
  <c r="E9" i="49" s="1"/>
  <c r="E12" i="49" s="1"/>
  <c r="E54" i="49" s="1"/>
  <c r="L97" i="2"/>
  <c r="L114" i="2"/>
  <c r="L91" i="2"/>
  <c r="H91" i="2"/>
  <c r="H53" i="2"/>
  <c r="L102" i="2"/>
  <c r="L99" i="2"/>
  <c r="AN8" i="22" s="1"/>
  <c r="AN9" i="22" s="1"/>
  <c r="AN58" i="22" s="1"/>
  <c r="L81" i="2"/>
  <c r="L79" i="2"/>
  <c r="L78" i="2" s="1"/>
  <c r="L77" i="2"/>
  <c r="L69" i="2"/>
  <c r="Z8" i="22" s="1"/>
  <c r="Z9" i="22" s="1"/>
  <c r="Z39" i="22" s="1"/>
  <c r="B39" i="22" s="1"/>
  <c r="L68" i="2"/>
  <c r="L66" i="2"/>
  <c r="AK8" i="22" s="1"/>
  <c r="AK9" i="22" s="1"/>
  <c r="AK13" i="22" s="1"/>
  <c r="AK58" i="22" s="1"/>
  <c r="L63" i="2"/>
  <c r="L76" i="2"/>
  <c r="L58" i="2"/>
  <c r="L45" i="2"/>
  <c r="L43" i="2"/>
  <c r="L34" i="2"/>
  <c r="L26" i="2"/>
  <c r="L20" i="2"/>
  <c r="L19" i="2"/>
  <c r="L18" i="2"/>
  <c r="L17" i="2"/>
  <c r="L16" i="2"/>
  <c r="L14" i="2"/>
  <c r="L13" i="2"/>
  <c r="P122" i="2"/>
  <c r="N122" i="2"/>
  <c r="L122" i="2"/>
  <c r="N121" i="2"/>
  <c r="N120" i="2"/>
  <c r="L120" i="2"/>
  <c r="C113" i="2"/>
  <c r="P107" i="2"/>
  <c r="Z9" i="1"/>
  <c r="AA9" i="1" s="1"/>
  <c r="AF9" i="1" s="1"/>
  <c r="M40" i="17" l="1"/>
  <c r="BB7" i="49"/>
  <c r="BB9" i="49" s="1"/>
  <c r="BB13" i="49" s="1"/>
  <c r="BB54" i="49" s="1"/>
  <c r="M24" i="17"/>
  <c r="U24" i="17" s="1"/>
  <c r="AF3" i="3"/>
  <c r="D12" i="49"/>
  <c r="B12" i="49" s="1"/>
  <c r="M15" i="49"/>
  <c r="M54" i="49" s="1"/>
  <c r="AI15" i="49"/>
  <c r="AI54" i="49" s="1"/>
  <c r="H13" i="49"/>
  <c r="H54" i="49" s="1"/>
  <c r="AD43" i="49"/>
  <c r="B43" i="49" s="1"/>
  <c r="B53" i="18"/>
  <c r="I53" i="18" s="1"/>
  <c r="N53" i="18" s="1"/>
  <c r="R8" i="49"/>
  <c r="R9" i="49" s="1"/>
  <c r="AF39" i="49"/>
  <c r="B39" i="49" s="1"/>
  <c r="AG8" i="49"/>
  <c r="AG9" i="49" s="1"/>
  <c r="AG13" i="49" s="1"/>
  <c r="AG54" i="49" s="1"/>
  <c r="AM19" i="49"/>
  <c r="B19" i="49" s="1"/>
  <c r="BA7" i="49"/>
  <c r="BA9" i="49" s="1"/>
  <c r="BA15" i="49" s="1"/>
  <c r="BA54" i="49" s="1"/>
  <c r="AV9" i="49"/>
  <c r="AV13" i="49" s="1"/>
  <c r="AV54" i="49" s="1"/>
  <c r="AJ9" i="48"/>
  <c r="AM8" i="22"/>
  <c r="AM9" i="22" s="1"/>
  <c r="H43" i="5"/>
  <c r="E8" i="19"/>
  <c r="E9" i="19" s="1"/>
  <c r="E12" i="19" s="1"/>
  <c r="E54" i="19" s="1"/>
  <c r="F8" i="22"/>
  <c r="F9" i="22" s="1"/>
  <c r="F12" i="22" s="1"/>
  <c r="F58" i="22" s="1"/>
  <c r="I8" i="19"/>
  <c r="I9" i="19" s="1"/>
  <c r="I13" i="19" s="1"/>
  <c r="I54" i="19" s="1"/>
  <c r="J8" i="22"/>
  <c r="J9" i="22" s="1"/>
  <c r="J13" i="22" s="1"/>
  <c r="J58" i="22" s="1"/>
  <c r="J8" i="19"/>
  <c r="J9" i="19" s="1"/>
  <c r="J13" i="19" s="1"/>
  <c r="J54" i="19" s="1"/>
  <c r="K8" i="22"/>
  <c r="K9" i="22" s="1"/>
  <c r="K13" i="22" s="1"/>
  <c r="K58" i="22" s="1"/>
  <c r="L8" i="19"/>
  <c r="L9" i="19" s="1"/>
  <c r="L15" i="19" s="1"/>
  <c r="L54" i="19" s="1"/>
  <c r="M8" i="22"/>
  <c r="M9" i="22" s="1"/>
  <c r="M8" i="19"/>
  <c r="M9" i="19" s="1"/>
  <c r="M15" i="19" s="1"/>
  <c r="M54" i="19" s="1"/>
  <c r="N8" i="22"/>
  <c r="N9" i="22" s="1"/>
  <c r="N15" i="22" s="1"/>
  <c r="N58" i="22" s="1"/>
  <c r="K8" i="19"/>
  <c r="K9" i="19" s="1"/>
  <c r="K13" i="19" s="1"/>
  <c r="K54" i="19" s="1"/>
  <c r="L8" i="22"/>
  <c r="L9" i="22" s="1"/>
  <c r="L13" i="22" s="1"/>
  <c r="L58" i="22" s="1"/>
  <c r="H8" i="19"/>
  <c r="H9" i="19" s="1"/>
  <c r="H13" i="19" s="1"/>
  <c r="H54" i="19" s="1"/>
  <c r="I8" i="22"/>
  <c r="I9" i="22" s="1"/>
  <c r="R8" i="19"/>
  <c r="R9" i="19" s="1"/>
  <c r="R15" i="19" s="1"/>
  <c r="R54" i="19" s="1"/>
  <c r="S8" i="22"/>
  <c r="S9" i="22" s="1"/>
  <c r="S15" i="22" s="1"/>
  <c r="S58" i="22" s="1"/>
  <c r="U8" i="19"/>
  <c r="U9" i="19" s="1"/>
  <c r="U15" i="19" s="1"/>
  <c r="U54" i="19" s="1"/>
  <c r="V8" i="22"/>
  <c r="V9" i="22" s="1"/>
  <c r="V15" i="22" s="1"/>
  <c r="V58" i="22" s="1"/>
  <c r="V8" i="19"/>
  <c r="V9" i="19" s="1"/>
  <c r="V15" i="19" s="1"/>
  <c r="V54" i="19" s="1"/>
  <c r="W8" i="22"/>
  <c r="W9" i="22" s="1"/>
  <c r="W15" i="22" s="1"/>
  <c r="W58" i="22" s="1"/>
  <c r="AA8" i="19"/>
  <c r="AA9" i="19" s="1"/>
  <c r="AA13" i="19" s="1"/>
  <c r="AA54" i="19" s="1"/>
  <c r="AB8" i="22"/>
  <c r="AB9" i="22" s="1"/>
  <c r="AB13" i="22" s="1"/>
  <c r="AB58" i="22" s="1"/>
  <c r="AE8" i="19"/>
  <c r="AE9" i="19" s="1"/>
  <c r="AE43" i="19" s="1"/>
  <c r="B43" i="19" s="1"/>
  <c r="L57" i="5" s="1"/>
  <c r="AF8" i="22"/>
  <c r="AF9" i="22" s="1"/>
  <c r="AI8" i="19"/>
  <c r="AI9" i="19" s="1"/>
  <c r="AI15" i="19" s="1"/>
  <c r="AI54" i="19" s="1"/>
  <c r="AJ8" i="22"/>
  <c r="AJ9" i="22" s="1"/>
  <c r="AJ15" i="22" s="1"/>
  <c r="AG41" i="22"/>
  <c r="B41" i="22" s="1"/>
  <c r="H44" i="5" s="1"/>
  <c r="AG8" i="22"/>
  <c r="AG9" i="22" s="1"/>
  <c r="AD8" i="19"/>
  <c r="AD9" i="19" s="1"/>
  <c r="AD13" i="19" s="1"/>
  <c r="AD54" i="19" s="1"/>
  <c r="AE8" i="22"/>
  <c r="AE9" i="22" s="1"/>
  <c r="AE13" i="22" s="1"/>
  <c r="AE58" i="22" s="1"/>
  <c r="AK8" i="19"/>
  <c r="AK9" i="19" s="1"/>
  <c r="AK15" i="19" s="1"/>
  <c r="AK54" i="19" s="1"/>
  <c r="AL8" i="22"/>
  <c r="AL9" i="22" s="1"/>
  <c r="AL15" i="22" s="1"/>
  <c r="AL58" i="22" s="1"/>
  <c r="AO8" i="19"/>
  <c r="AO9" i="19" s="1"/>
  <c r="AO13" i="19" s="1"/>
  <c r="AO54" i="19" s="1"/>
  <c r="AS8" i="22"/>
  <c r="AS9" i="22" s="1"/>
  <c r="AS13" i="22" s="1"/>
  <c r="AS58" i="22" s="1"/>
  <c r="AM42" i="22"/>
  <c r="B42" i="22" s="1"/>
  <c r="E8" i="20"/>
  <c r="E9" i="20" s="1"/>
  <c r="E12" i="20" s="1"/>
  <c r="E54" i="20" s="1"/>
  <c r="E8" i="23"/>
  <c r="E9" i="23" s="1"/>
  <c r="D8" i="20"/>
  <c r="D9" i="20" s="1"/>
  <c r="D12" i="20" s="1"/>
  <c r="D54" i="20" s="1"/>
  <c r="D8" i="23"/>
  <c r="D9" i="23" s="1"/>
  <c r="I8" i="20"/>
  <c r="I9" i="20" s="1"/>
  <c r="I13" i="20" s="1"/>
  <c r="I54" i="20" s="1"/>
  <c r="I8" i="23"/>
  <c r="I9" i="23" s="1"/>
  <c r="I13" i="23" s="1"/>
  <c r="I54" i="23" s="1"/>
  <c r="J8" i="20"/>
  <c r="J9" i="20" s="1"/>
  <c r="J13" i="20" s="1"/>
  <c r="J54" i="20" s="1"/>
  <c r="J8" i="23"/>
  <c r="J9" i="23" s="1"/>
  <c r="M8" i="20"/>
  <c r="M9" i="20" s="1"/>
  <c r="M15" i="20" s="1"/>
  <c r="M8" i="23"/>
  <c r="M9" i="23" s="1"/>
  <c r="S8" i="20"/>
  <c r="S9" i="20" s="1"/>
  <c r="S13" i="20" s="1"/>
  <c r="S54" i="20" s="1"/>
  <c r="S8" i="23"/>
  <c r="S9" i="23" s="1"/>
  <c r="S13" i="23" s="1"/>
  <c r="S54" i="23" s="1"/>
  <c r="R8" i="23"/>
  <c r="R9" i="23" s="1"/>
  <c r="R15" i="23" s="1"/>
  <c r="R54" i="23" s="1"/>
  <c r="U8" i="20"/>
  <c r="U9" i="20" s="1"/>
  <c r="U15" i="20" s="1"/>
  <c r="U54" i="20" s="1"/>
  <c r="U8" i="23"/>
  <c r="U9" i="23" s="1"/>
  <c r="U15" i="23" s="1"/>
  <c r="U54" i="23" s="1"/>
  <c r="V8" i="20"/>
  <c r="V9" i="20" s="1"/>
  <c r="V15" i="20" s="1"/>
  <c r="V54" i="20" s="1"/>
  <c r="V8" i="23"/>
  <c r="V9" i="23" s="1"/>
  <c r="V15" i="23" s="1"/>
  <c r="V54" i="23" s="1"/>
  <c r="H8" i="20"/>
  <c r="H9" i="20" s="1"/>
  <c r="H13" i="20" s="1"/>
  <c r="H8" i="23"/>
  <c r="H9" i="23" s="1"/>
  <c r="AA8" i="20"/>
  <c r="AA9" i="20" s="1"/>
  <c r="AA13" i="20" s="1"/>
  <c r="AA54" i="20" s="1"/>
  <c r="AA8" i="23"/>
  <c r="AA9" i="23" s="1"/>
  <c r="AA13" i="23" s="1"/>
  <c r="AA54" i="23" s="1"/>
  <c r="AE8" i="20"/>
  <c r="AE9" i="20" s="1"/>
  <c r="AE43" i="20" s="1"/>
  <c r="AE54" i="20" s="1"/>
  <c r="AE8" i="23"/>
  <c r="AE9" i="23" s="1"/>
  <c r="AE43" i="23" s="1"/>
  <c r="AE54" i="23" s="1"/>
  <c r="AI8" i="20"/>
  <c r="AI9" i="20" s="1"/>
  <c r="AI15" i="20" s="1"/>
  <c r="AI54" i="20" s="1"/>
  <c r="AI8" i="23"/>
  <c r="AI9" i="23" s="1"/>
  <c r="AI15" i="23" s="1"/>
  <c r="AI54" i="23" s="1"/>
  <c r="AC8" i="20"/>
  <c r="AC9" i="20" s="1"/>
  <c r="AC13" i="20" s="1"/>
  <c r="AC54" i="20" s="1"/>
  <c r="AC8" i="23"/>
  <c r="AC9" i="23" s="1"/>
  <c r="AC13" i="23" s="1"/>
  <c r="AC54" i="23" s="1"/>
  <c r="AF8" i="20"/>
  <c r="AF9" i="20" s="1"/>
  <c r="AF39" i="20" s="1"/>
  <c r="AF54" i="20" s="1"/>
  <c r="AF8" i="23"/>
  <c r="AF9" i="23" s="1"/>
  <c r="X8" i="20"/>
  <c r="X9" i="20" s="1"/>
  <c r="X15" i="20" s="1"/>
  <c r="X54" i="20" s="1"/>
  <c r="X8" i="23"/>
  <c r="X9" i="23" s="1"/>
  <c r="X15" i="23" s="1"/>
  <c r="X54" i="23" s="1"/>
  <c r="Y8" i="20"/>
  <c r="Y9" i="20" s="1"/>
  <c r="Y38" i="20" s="1"/>
  <c r="Y8" i="23"/>
  <c r="Y9" i="23" s="1"/>
  <c r="Y38" i="23" s="1"/>
  <c r="AD8" i="20"/>
  <c r="AD9" i="20" s="1"/>
  <c r="AD43" i="20" s="1"/>
  <c r="B43" i="20" s="1"/>
  <c r="N56" i="5" s="1"/>
  <c r="AD8" i="23"/>
  <c r="AD9" i="23" s="1"/>
  <c r="AG8" i="23"/>
  <c r="AG9" i="23" s="1"/>
  <c r="AG13" i="23" s="1"/>
  <c r="AG54" i="23" s="1"/>
  <c r="AK8" i="20"/>
  <c r="AK9" i="20" s="1"/>
  <c r="AK15" i="20" s="1"/>
  <c r="AK54" i="20" s="1"/>
  <c r="AK8" i="23"/>
  <c r="AK9" i="23" s="1"/>
  <c r="AK15" i="23" s="1"/>
  <c r="AK54" i="23" s="1"/>
  <c r="AL8" i="20"/>
  <c r="AL9" i="20" s="1"/>
  <c r="AL39" i="20" s="1"/>
  <c r="AL54" i="20" s="1"/>
  <c r="AL8" i="23"/>
  <c r="AL9" i="23" s="1"/>
  <c r="AL39" i="23" s="1"/>
  <c r="AL54" i="23" s="1"/>
  <c r="AR8" i="20"/>
  <c r="AR9" i="20" s="1"/>
  <c r="AR8" i="23"/>
  <c r="AR9" i="23" s="1"/>
  <c r="AM8" i="20"/>
  <c r="AM9" i="20" s="1"/>
  <c r="AM19" i="20" s="1"/>
  <c r="B19" i="20" s="1"/>
  <c r="AM8" i="23"/>
  <c r="AM9" i="23" s="1"/>
  <c r="I103" i="17"/>
  <c r="AN8" i="20"/>
  <c r="AN9" i="20" s="1"/>
  <c r="AN15" i="20" s="1"/>
  <c r="AN54" i="20" s="1"/>
  <c r="AN8" i="23"/>
  <c r="AN9" i="23" s="1"/>
  <c r="AN15" i="23" s="1"/>
  <c r="AN54" i="23" s="1"/>
  <c r="K103" i="17"/>
  <c r="AP8" i="20"/>
  <c r="AP9" i="20" s="1"/>
  <c r="AP13" i="20" s="1"/>
  <c r="AP54" i="20" s="1"/>
  <c r="AP8" i="23"/>
  <c r="AP9" i="23" s="1"/>
  <c r="AP13" i="23" s="1"/>
  <c r="AP54" i="23" s="1"/>
  <c r="D8" i="19"/>
  <c r="D9" i="19" s="1"/>
  <c r="E8" i="22"/>
  <c r="L62" i="2"/>
  <c r="AJ8" i="19"/>
  <c r="AJ9" i="19" s="1"/>
  <c r="AF40" i="19"/>
  <c r="B40" i="19" s="1"/>
  <c r="L44" i="5" s="1"/>
  <c r="AF8" i="19"/>
  <c r="AF9" i="19" s="1"/>
  <c r="L61" i="2"/>
  <c r="Y8" i="22" s="1"/>
  <c r="Y9" i="22" s="1"/>
  <c r="Y8" i="19"/>
  <c r="Y9" i="19" s="1"/>
  <c r="Y38" i="19" s="1"/>
  <c r="B38" i="19" s="1"/>
  <c r="L43" i="5" s="1"/>
  <c r="I39" i="4"/>
  <c r="AM8" i="19"/>
  <c r="AM9" i="19" s="1"/>
  <c r="AM54" i="19" s="1"/>
  <c r="G39" i="4"/>
  <c r="AL8" i="19"/>
  <c r="AL9" i="19" s="1"/>
  <c r="R8" i="20"/>
  <c r="R9" i="20" s="1"/>
  <c r="R15" i="20" s="1"/>
  <c r="R54" i="20" s="1"/>
  <c r="N78" i="2"/>
  <c r="AH8" i="49" s="1"/>
  <c r="AH9" i="49" s="1"/>
  <c r="AG8" i="20"/>
  <c r="AG9" i="20" s="1"/>
  <c r="Q19" i="4"/>
  <c r="Q21" i="4" s="1"/>
  <c r="Q41" i="4" s="1"/>
  <c r="S19" i="17"/>
  <c r="S21" i="17" s="1"/>
  <c r="S104" i="17" s="1"/>
  <c r="AV9" i="19"/>
  <c r="AF538" i="1"/>
  <c r="AF539" i="1" s="1"/>
  <c r="M113" i="21" s="1"/>
  <c r="AH525" i="1"/>
  <c r="Q26" i="17"/>
  <c r="O26" i="17"/>
  <c r="O27" i="17" s="1"/>
  <c r="G40" i="4"/>
  <c r="I40" i="4"/>
  <c r="U40" i="17"/>
  <c r="K32" i="4"/>
  <c r="S32" i="4" s="1"/>
  <c r="M18" i="17"/>
  <c r="Z764" i="1"/>
  <c r="Z523" i="1"/>
  <c r="Y523" i="1"/>
  <c r="Y764" i="1"/>
  <c r="L104" i="2"/>
  <c r="J110" i="2"/>
  <c r="J115" i="2" s="1"/>
  <c r="S14" i="3"/>
  <c r="AN3" i="3" s="1"/>
  <c r="Q14" i="3"/>
  <c r="AL3" i="3" s="1"/>
  <c r="K24" i="4"/>
  <c r="S24" i="4" s="1"/>
  <c r="S21" i="3"/>
  <c r="P71" i="2"/>
  <c r="N46" i="2"/>
  <c r="N71" i="2"/>
  <c r="O14" i="3"/>
  <c r="P46" i="2"/>
  <c r="N107" i="2"/>
  <c r="L46" i="2"/>
  <c r="J35" i="3"/>
  <c r="Q58" i="17" s="1"/>
  <c r="J30" i="3"/>
  <c r="O26" i="4"/>
  <c r="M26" i="4"/>
  <c r="M27" i="4" s="1"/>
  <c r="O103" i="17" s="1"/>
  <c r="P85" i="2"/>
  <c r="L85" i="2"/>
  <c r="K18" i="4"/>
  <c r="O55" i="3"/>
  <c r="Q55" i="3"/>
  <c r="S55" i="3"/>
  <c r="O51" i="17" l="1"/>
  <c r="O98" i="17" s="1"/>
  <c r="O53" i="17"/>
  <c r="O89" i="17" s="1"/>
  <c r="N85" i="2"/>
  <c r="AJ21" i="48"/>
  <c r="AJ15" i="48" s="1"/>
  <c r="AJ3" i="3"/>
  <c r="O23" i="3"/>
  <c r="O35" i="3" s="1"/>
  <c r="O50" i="3" s="1"/>
  <c r="Q27" i="4"/>
  <c r="Q40" i="4" s="1"/>
  <c r="AE54" i="19"/>
  <c r="AG13" i="22"/>
  <c r="AG58" i="22" s="1"/>
  <c r="H54" i="20"/>
  <c r="J50" i="3"/>
  <c r="J57" i="3" s="1"/>
  <c r="L71" i="2"/>
  <c r="L87" i="2" s="1"/>
  <c r="S23" i="3"/>
  <c r="S57" i="3" s="1"/>
  <c r="H114" i="2"/>
  <c r="B3" i="49"/>
  <c r="C3" i="49" s="1"/>
  <c r="AF5" i="1"/>
  <c r="M54" i="20"/>
  <c r="B12" i="20"/>
  <c r="N11" i="5" s="1"/>
  <c r="AD54" i="20"/>
  <c r="AF13" i="19"/>
  <c r="AF54" i="19" s="1"/>
  <c r="AF54" i="49"/>
  <c r="AD54" i="49"/>
  <c r="D54" i="49"/>
  <c r="AH38" i="49"/>
  <c r="B38" i="49" s="1"/>
  <c r="B44" i="49" s="1"/>
  <c r="AM54" i="49"/>
  <c r="AM58" i="22"/>
  <c r="R15" i="49"/>
  <c r="R54" i="49" s="1"/>
  <c r="AM54" i="20"/>
  <c r="B13" i="49"/>
  <c r="AJ58" i="22"/>
  <c r="I13" i="22"/>
  <c r="I33" i="22"/>
  <c r="B33" i="22" s="1"/>
  <c r="AU8" i="22"/>
  <c r="AU9" i="22" s="1"/>
  <c r="AU14" i="22" s="1"/>
  <c r="B14" i="22" s="1"/>
  <c r="H14" i="5" s="1"/>
  <c r="L107" i="2"/>
  <c r="AH8" i="20"/>
  <c r="AH9" i="20" s="1"/>
  <c r="AH38" i="20" s="1"/>
  <c r="B38" i="20" s="1"/>
  <c r="AH8" i="23"/>
  <c r="AH9" i="23" s="1"/>
  <c r="Y15" i="22"/>
  <c r="Y58" i="22" s="1"/>
  <c r="AC8" i="19"/>
  <c r="AC9" i="19" s="1"/>
  <c r="AC13" i="19" s="1"/>
  <c r="AC54" i="19" s="1"/>
  <c r="AD8" i="22"/>
  <c r="AD9" i="22" s="1"/>
  <c r="AD13" i="22" s="1"/>
  <c r="AD58" i="22" s="1"/>
  <c r="AM19" i="23"/>
  <c r="B19" i="23" s="1"/>
  <c r="AD43" i="23"/>
  <c r="B43" i="23" s="1"/>
  <c r="J56" i="5" s="1"/>
  <c r="AF39" i="23"/>
  <c r="B39" i="23" s="1"/>
  <c r="H13" i="23"/>
  <c r="H54" i="23" s="1"/>
  <c r="M15" i="23"/>
  <c r="B15" i="23" s="1"/>
  <c r="J15" i="5" s="1"/>
  <c r="J13" i="23"/>
  <c r="J54" i="23" s="1"/>
  <c r="D12" i="23"/>
  <c r="D54" i="23" s="1"/>
  <c r="E12" i="23"/>
  <c r="E54" i="23" s="1"/>
  <c r="AF47" i="22"/>
  <c r="B47" i="22" s="1"/>
  <c r="B48" i="22" s="1"/>
  <c r="M15" i="22"/>
  <c r="M58" i="22" s="1"/>
  <c r="E9" i="22"/>
  <c r="H104" i="2"/>
  <c r="AQ8" i="19"/>
  <c r="AG13" i="20"/>
  <c r="AG54" i="20" s="1"/>
  <c r="B39" i="20"/>
  <c r="N44" i="5" s="1"/>
  <c r="B15" i="20"/>
  <c r="N15" i="5" s="1"/>
  <c r="AL41" i="19"/>
  <c r="B41" i="19" s="1"/>
  <c r="B44" i="19" s="1"/>
  <c r="T61" i="2"/>
  <c r="X8" i="19"/>
  <c r="X9" i="19" s="1"/>
  <c r="AJ13" i="19"/>
  <c r="AJ54" i="19" s="1"/>
  <c r="L61" i="5"/>
  <c r="S27" i="17"/>
  <c r="S53" i="17" s="1"/>
  <c r="S89" i="17" s="1"/>
  <c r="D12" i="19"/>
  <c r="B12" i="19" s="1"/>
  <c r="L11" i="5" s="1"/>
  <c r="AV13" i="19"/>
  <c r="M21" i="17"/>
  <c r="U18" i="17"/>
  <c r="O37" i="17"/>
  <c r="O102" i="17" s="1"/>
  <c r="U58" i="17"/>
  <c r="K23" i="10"/>
  <c r="K30" i="10" s="1"/>
  <c r="J52" i="3" s="1"/>
  <c r="M40" i="4"/>
  <c r="Z525" i="1"/>
  <c r="M105" i="21" s="1"/>
  <c r="M107" i="21" s="1"/>
  <c r="AA523" i="1"/>
  <c r="AA525" i="1" s="1"/>
  <c r="AA538" i="1" s="1"/>
  <c r="AA539" i="1" s="1"/>
  <c r="AA5" i="1" s="1"/>
  <c r="Y525" i="1"/>
  <c r="P87" i="2"/>
  <c r="P110" i="2" s="1"/>
  <c r="N87" i="2"/>
  <c r="N110" i="2" s="1"/>
  <c r="M38" i="4"/>
  <c r="K21" i="4"/>
  <c r="K41" i="4" s="1"/>
  <c r="S18" i="4"/>
  <c r="M104" i="17" l="1"/>
  <c r="M27" i="17"/>
  <c r="M53" i="17" s="1"/>
  <c r="M89" i="17" s="1"/>
  <c r="S29" i="3"/>
  <c r="S8" i="10" s="1"/>
  <c r="S15" i="10" s="1"/>
  <c r="Q38" i="4"/>
  <c r="Q39" i="4" s="1"/>
  <c r="L110" i="2"/>
  <c r="C115" i="2" s="1"/>
  <c r="B13" i="22"/>
  <c r="H12" i="5" s="1"/>
  <c r="B13" i="19"/>
  <c r="L12" i="5" s="1"/>
  <c r="O75" i="17"/>
  <c r="O97" i="17" s="1"/>
  <c r="O96" i="17"/>
  <c r="I58" i="22"/>
  <c r="AV54" i="19"/>
  <c r="B13" i="20"/>
  <c r="AF54" i="23"/>
  <c r="B15" i="49"/>
  <c r="B22" i="49" s="1"/>
  <c r="B49" i="49" s="1"/>
  <c r="AM54" i="23"/>
  <c r="M54" i="23"/>
  <c r="AF58" i="22"/>
  <c r="D54" i="19"/>
  <c r="AL54" i="19"/>
  <c r="AH54" i="20"/>
  <c r="BC54" i="20" s="1"/>
  <c r="AH54" i="49"/>
  <c r="BC54" i="49" s="1"/>
  <c r="AD54" i="23"/>
  <c r="B15" i="48"/>
  <c r="F15" i="5" s="1"/>
  <c r="B15" i="22"/>
  <c r="H15" i="5" s="1"/>
  <c r="H33" i="5"/>
  <c r="H37" i="5" s="1"/>
  <c r="B15" i="46" s="1"/>
  <c r="J15" i="46" s="1"/>
  <c r="O15" i="46" s="1"/>
  <c r="B35" i="22"/>
  <c r="M110" i="21"/>
  <c r="M119" i="21"/>
  <c r="AH38" i="23"/>
  <c r="O63" i="17"/>
  <c r="O99" i="17" s="1"/>
  <c r="H57" i="5"/>
  <c r="H61" i="5" s="1"/>
  <c r="B18" i="46" s="1"/>
  <c r="B12" i="23"/>
  <c r="B13" i="23"/>
  <c r="J12" i="5" s="1"/>
  <c r="U68" i="17"/>
  <c r="E12" i="22"/>
  <c r="B12" i="22" s="1"/>
  <c r="S51" i="17"/>
  <c r="S103" i="17"/>
  <c r="X15" i="19"/>
  <c r="B15" i="19" s="1"/>
  <c r="L15" i="5" s="1"/>
  <c r="N43" i="5"/>
  <c r="N61" i="5" s="1"/>
  <c r="B44" i="20"/>
  <c r="I61" i="18"/>
  <c r="N61" i="18" s="1"/>
  <c r="AQ7" i="19"/>
  <c r="S37" i="17"/>
  <c r="S102" i="17" s="1"/>
  <c r="Z538" i="1"/>
  <c r="H105" i="2"/>
  <c r="Y538" i="1"/>
  <c r="M39" i="4"/>
  <c r="K27" i="4"/>
  <c r="K40" i="4" s="1"/>
  <c r="S30" i="3"/>
  <c r="M100" i="17" l="1"/>
  <c r="S35" i="3"/>
  <c r="S50" i="3" s="1"/>
  <c r="N12" i="5"/>
  <c r="N16" i="5" s="1"/>
  <c r="N22" i="5" s="1"/>
  <c r="N65" i="5" s="1"/>
  <c r="B22" i="20"/>
  <c r="B49" i="20" s="1"/>
  <c r="X54" i="19"/>
  <c r="BD54" i="19" s="1"/>
  <c r="E58" i="22"/>
  <c r="BH58" i="22" s="1"/>
  <c r="F16" i="5"/>
  <c r="S63" i="17"/>
  <c r="S99" i="17" s="1"/>
  <c r="S75" i="17"/>
  <c r="B38" i="23"/>
  <c r="AH54" i="23"/>
  <c r="BC54" i="23" s="1"/>
  <c r="J11" i="5"/>
  <c r="J16" i="5" s="1"/>
  <c r="J22" i="5" s="1"/>
  <c r="C12" i="46" s="1"/>
  <c r="B22" i="23"/>
  <c r="B22" i="22"/>
  <c r="B53" i="22" s="1"/>
  <c r="H11" i="5"/>
  <c r="H16" i="5" s="1"/>
  <c r="H22" i="5" s="1"/>
  <c r="H65" i="5" s="1"/>
  <c r="M51" i="17"/>
  <c r="M98" i="17" s="1"/>
  <c r="M103" i="17"/>
  <c r="AQ9" i="19"/>
  <c r="AQ14" i="19" s="1"/>
  <c r="B14" i="19" s="1"/>
  <c r="B3" i="19"/>
  <c r="I62" i="18"/>
  <c r="N62" i="18" s="1"/>
  <c r="B65" i="18"/>
  <c r="Q19" i="17"/>
  <c r="M37" i="17"/>
  <c r="M102" i="17" s="1"/>
  <c r="H107" i="2"/>
  <c r="H110" i="2" s="1"/>
  <c r="Z539" i="1"/>
  <c r="Y539" i="1"/>
  <c r="K38" i="4"/>
  <c r="O19" i="4"/>
  <c r="O21" i="4" s="1"/>
  <c r="O41" i="4" s="1"/>
  <c r="P120" i="2"/>
  <c r="S23" i="10" l="1"/>
  <c r="S30" i="10" s="1"/>
  <c r="S52" i="3" s="1"/>
  <c r="M75" i="17"/>
  <c r="M97" i="17" s="1"/>
  <c r="B20" i="46"/>
  <c r="B12" i="46"/>
  <c r="J12" i="46" s="1"/>
  <c r="O12" i="46" s="1"/>
  <c r="J43" i="5"/>
  <c r="J61" i="5" s="1"/>
  <c r="B44" i="23"/>
  <c r="B49" i="23" s="1"/>
  <c r="C3" i="19"/>
  <c r="M63" i="17"/>
  <c r="M101" i="17" s="1"/>
  <c r="L14" i="5"/>
  <c r="L16" i="5" s="1"/>
  <c r="L22" i="5" s="1"/>
  <c r="L65" i="5" s="1"/>
  <c r="L73" i="5" s="1"/>
  <c r="B22" i="19"/>
  <c r="B49" i="19" s="1"/>
  <c r="I65" i="18"/>
  <c r="N65" i="18" s="1"/>
  <c r="B66" i="18"/>
  <c r="I66" i="18" s="1"/>
  <c r="N66" i="18" s="1"/>
  <c r="Q21" i="17"/>
  <c r="Q104" i="17" s="1"/>
  <c r="U19" i="17"/>
  <c r="U21" i="17" s="1"/>
  <c r="U104" i="17" s="1"/>
  <c r="Z5" i="1"/>
  <c r="Y5" i="1"/>
  <c r="K39" i="4"/>
  <c r="S19" i="4"/>
  <c r="S21" i="4" s="1"/>
  <c r="S41" i="4" s="1"/>
  <c r="M99" i="17" l="1"/>
  <c r="J65" i="5"/>
  <c r="C20" i="46" s="1"/>
  <c r="J20" i="46" s="1"/>
  <c r="O20" i="46" s="1"/>
  <c r="C18" i="46"/>
  <c r="J18" i="46" s="1"/>
  <c r="O18" i="46" s="1"/>
  <c r="P121" i="2"/>
  <c r="L121" i="2"/>
  <c r="BE105" i="1" l="1"/>
  <c r="BE149" i="1"/>
  <c r="BE202" i="1"/>
  <c r="BE215" i="1"/>
  <c r="BE449" i="1"/>
  <c r="BE467" i="1"/>
  <c r="BE580" i="1"/>
  <c r="BE620" i="1"/>
  <c r="BE616" i="1" s="1"/>
  <c r="BE719" i="1"/>
  <c r="BE721" i="1"/>
  <c r="BE720" i="1" s="1"/>
  <c r="O21" i="3"/>
  <c r="BG740" i="1"/>
  <c r="BG693" i="1"/>
  <c r="BG664" i="1"/>
  <c r="BG610" i="1"/>
  <c r="BG502" i="1"/>
  <c r="BG460" i="1"/>
  <c r="BI460" i="1" s="1"/>
  <c r="BG428" i="1"/>
  <c r="BE217" i="1"/>
  <c r="BE213" i="1"/>
  <c r="BE212" i="1"/>
  <c r="BE211" i="1"/>
  <c r="BE210" i="1"/>
  <c r="BE209" i="1"/>
  <c r="BE208" i="1"/>
  <c r="BE207" i="1"/>
  <c r="BE206" i="1"/>
  <c r="BE205" i="1"/>
  <c r="BE204" i="1"/>
  <c r="BE113" i="1"/>
  <c r="O57" i="3" l="1"/>
  <c r="O29" i="3"/>
  <c r="BG190" i="1"/>
  <c r="BE190" i="1"/>
  <c r="BG191" i="1"/>
  <c r="BE191" i="1"/>
  <c r="BG192" i="1"/>
  <c r="BI192" i="1" s="1"/>
  <c r="BE192" i="1"/>
  <c r="BG193" i="1"/>
  <c r="BE193" i="1"/>
  <c r="BG194" i="1"/>
  <c r="BE194" i="1"/>
  <c r="BG195" i="1"/>
  <c r="BE195" i="1"/>
  <c r="BG196" i="1"/>
  <c r="BE196" i="1"/>
  <c r="BG197" i="1"/>
  <c r="BE197" i="1"/>
  <c r="BG198" i="1"/>
  <c r="BE198" i="1"/>
  <c r="BG199" i="1"/>
  <c r="BE199" i="1"/>
  <c r="BG200" i="1"/>
  <c r="BE200" i="1"/>
  <c r="BG527" i="1"/>
  <c r="BG654" i="1"/>
  <c r="BI654" i="1" s="1"/>
  <c r="BG668" i="1"/>
  <c r="BI610" i="1" s="1"/>
  <c r="Q41" i="17" l="1"/>
  <c r="O30" i="3"/>
  <c r="BG620" i="1"/>
  <c r="BG616" i="1" s="1"/>
  <c r="BI620" i="1" s="1"/>
  <c r="BI616" i="1" s="1"/>
  <c r="BE216" i="1"/>
  <c r="BE203" i="1"/>
  <c r="BE189" i="1"/>
  <c r="U41" i="17" l="1"/>
  <c r="O33" i="4"/>
  <c r="S33" i="4" s="1"/>
  <c r="O23" i="10"/>
  <c r="O30" i="10" s="1"/>
  <c r="BE201" i="1"/>
  <c r="BG189" i="1"/>
  <c r="BE214" i="1"/>
  <c r="BE218" i="1"/>
  <c r="BG559" i="1"/>
  <c r="BI559" i="1" s="1"/>
  <c r="BG639" i="1"/>
  <c r="Q18" i="3"/>
  <c r="BG734" i="1"/>
  <c r="BG737" i="1"/>
  <c r="Q19" i="3" s="1"/>
  <c r="BG758" i="1"/>
  <c r="Q119" i="21" l="1"/>
  <c r="Q21" i="3"/>
  <c r="Q23" i="3" s="1"/>
  <c r="Q57" i="3" s="1"/>
  <c r="Q29" i="3" l="1"/>
  <c r="Q35" i="3" l="1"/>
  <c r="Q25" i="17" s="1"/>
  <c r="Q30" i="3"/>
  <c r="U25" i="17" l="1"/>
  <c r="U27" i="17" s="1"/>
  <c r="U53" i="17" s="1"/>
  <c r="U89" i="17" s="1"/>
  <c r="Q27" i="17"/>
  <c r="Q23" i="10"/>
  <c r="Q30" i="10" s="1"/>
  <c r="Q52" i="3" s="1"/>
  <c r="Q8" i="10"/>
  <c r="Q15" i="10" s="1"/>
  <c r="Q50" i="3"/>
  <c r="O25" i="4"/>
  <c r="Q103" i="17" l="1"/>
  <c r="Q53" i="17"/>
  <c r="Q89" i="17" s="1"/>
  <c r="U51" i="17"/>
  <c r="U98" i="17" s="1"/>
  <c r="U103" i="17"/>
  <c r="Q51" i="17"/>
  <c r="Q98" i="17" s="1"/>
  <c r="Q37" i="17"/>
  <c r="Q102" i="17" s="1"/>
  <c r="U37" i="17"/>
  <c r="U102" i="17" s="1"/>
  <c r="O27" i="4"/>
  <c r="O40" i="4" s="1"/>
  <c r="S25" i="4"/>
  <c r="S27" i="4" s="1"/>
  <c r="S40" i="4" s="1"/>
  <c r="Q96" i="17" l="1"/>
  <c r="U75" i="17"/>
  <c r="U97" i="17" s="1"/>
  <c r="U96" i="17"/>
  <c r="Q75" i="17"/>
  <c r="Q97" i="17" s="1"/>
  <c r="Q101" i="17"/>
  <c r="U63" i="17"/>
  <c r="Q63" i="17"/>
  <c r="S38" i="4"/>
  <c r="O38" i="4"/>
  <c r="Q99" i="17" l="1"/>
  <c r="U99" i="17"/>
  <c r="O39" i="4"/>
  <c r="S39" i="4"/>
  <c r="AA178" i="1" l="1"/>
  <c r="AA255" i="1" s="1"/>
  <c r="AA4" i="1" s="1"/>
  <c r="AA6" i="1" s="1"/>
  <c r="AF52" i="1"/>
  <c r="M11" i="21" s="1"/>
  <c r="Y52" i="1"/>
  <c r="Y178" i="1" s="1"/>
  <c r="Z52" i="1"/>
  <c r="BH52" i="1"/>
  <c r="M23" i="21" l="1"/>
  <c r="G9" i="14"/>
  <c r="P11" i="2"/>
  <c r="P22" i="2" s="1"/>
  <c r="P48" i="2" s="1"/>
  <c r="U11" i="21"/>
  <c r="U23" i="21" s="1"/>
  <c r="Z178" i="1"/>
  <c r="BH178" i="1"/>
  <c r="BH255" i="1" s="1"/>
  <c r="BH4" i="1" s="1"/>
  <c r="BH6" i="1" s="1"/>
  <c r="AF178" i="1"/>
  <c r="AF255" i="1" s="1"/>
  <c r="AF4" i="1" s="1"/>
  <c r="AF6" i="1" s="1"/>
  <c r="H11" i="2"/>
  <c r="BF52" i="1"/>
  <c r="N69" i="5" s="1"/>
  <c r="N73" i="5" s="1"/>
  <c r="N77" i="5" s="1"/>
  <c r="P119" i="2" l="1"/>
  <c r="N11" i="2"/>
  <c r="N22" i="2" s="1"/>
  <c r="M42" i="21"/>
  <c r="M117" i="21"/>
  <c r="BC7" i="23"/>
  <c r="BE7" i="23" s="1"/>
  <c r="AI178" i="1"/>
  <c r="AI255" i="1" s="1"/>
  <c r="AI4" i="1" s="1"/>
  <c r="AI6" i="1" s="1"/>
  <c r="Q11" i="21"/>
  <c r="Q23" i="21" s="1"/>
  <c r="BF178" i="1"/>
  <c r="BF255" i="1" s="1"/>
  <c r="BF4" i="1" s="1"/>
  <c r="BF6" i="1" s="1"/>
  <c r="S11" i="21"/>
  <c r="J69" i="5" s="1"/>
  <c r="C22" i="46" s="1"/>
  <c r="P113" i="2"/>
  <c r="P115" i="2"/>
  <c r="L76" i="5"/>
  <c r="L77" i="5" s="1"/>
  <c r="B57" i="19"/>
  <c r="C7" i="19"/>
  <c r="U117" i="21"/>
  <c r="U42" i="21"/>
  <c r="H22" i="2"/>
  <c r="H48" i="2" s="1"/>
  <c r="G16" i="14"/>
  <c r="G17" i="14" s="1"/>
  <c r="Z255" i="1"/>
  <c r="Y255" i="1"/>
  <c r="L11" i="2"/>
  <c r="C8" i="22" s="1"/>
  <c r="C8" i="20" l="1"/>
  <c r="B51" i="20" s="1"/>
  <c r="B53" i="20" s="1"/>
  <c r="B58" i="20" s="1"/>
  <c r="G51" i="24"/>
  <c r="E7" i="54"/>
  <c r="N119" i="2"/>
  <c r="N48" i="2"/>
  <c r="N113" i="2" s="1"/>
  <c r="P76" i="5"/>
  <c r="P77" i="5" s="1"/>
  <c r="C8" i="48"/>
  <c r="C8" i="23"/>
  <c r="C8" i="49"/>
  <c r="B57" i="49"/>
  <c r="C7" i="49"/>
  <c r="M118" i="21"/>
  <c r="Q117" i="21"/>
  <c r="H69" i="5"/>
  <c r="H73" i="5" s="1"/>
  <c r="S23" i="21"/>
  <c r="S117" i="21" s="1"/>
  <c r="J73" i="5"/>
  <c r="B55" i="22"/>
  <c r="B57" i="22" s="1"/>
  <c r="B62" i="22" s="1"/>
  <c r="C9" i="22"/>
  <c r="BH8" i="22"/>
  <c r="L22" i="2"/>
  <c r="C8" i="19"/>
  <c r="C9" i="19" s="1"/>
  <c r="B1" i="19"/>
  <c r="C1" i="19" s="1"/>
  <c r="BD7" i="19"/>
  <c r="BE7" i="19" s="1"/>
  <c r="BF7" i="19" s="1"/>
  <c r="C9" i="20"/>
  <c r="H113" i="2"/>
  <c r="H115" i="2"/>
  <c r="B26" i="18"/>
  <c r="B71" i="18" s="1"/>
  <c r="Z4" i="1"/>
  <c r="Z6" i="1" s="1"/>
  <c r="Y4" i="1"/>
  <c r="Y6" i="1" s="1"/>
  <c r="BC8" i="20" l="1"/>
  <c r="Q42" i="21"/>
  <c r="Q113" i="21" s="1"/>
  <c r="N115" i="2"/>
  <c r="D69" i="54"/>
  <c r="D71" i="54" s="1"/>
  <c r="D75" i="54" s="1"/>
  <c r="E1" i="54"/>
  <c r="E3" i="54" s="1"/>
  <c r="AR7" i="54"/>
  <c r="E8" i="54"/>
  <c r="S42" i="21"/>
  <c r="BC8" i="49"/>
  <c r="B51" i="49"/>
  <c r="B53" i="49" s="1"/>
  <c r="B58" i="49" s="1"/>
  <c r="BC8" i="23"/>
  <c r="C9" i="23"/>
  <c r="B51" i="23"/>
  <c r="B53" i="23" s="1"/>
  <c r="B58" i="23" s="1"/>
  <c r="B55" i="48"/>
  <c r="C9" i="48"/>
  <c r="BI8" i="48"/>
  <c r="B1" i="49"/>
  <c r="C9" i="49"/>
  <c r="BC7" i="49"/>
  <c r="BE7" i="49" s="1"/>
  <c r="B22" i="46"/>
  <c r="J22" i="46" s="1"/>
  <c r="O22" i="46" s="1"/>
  <c r="H77" i="5"/>
  <c r="B24" i="46"/>
  <c r="J77" i="5"/>
  <c r="C24" i="46"/>
  <c r="C58" i="22"/>
  <c r="BH9" i="22"/>
  <c r="BI9" i="22" s="1"/>
  <c r="BJ9" i="22" s="1"/>
  <c r="C54" i="20"/>
  <c r="BC9" i="20"/>
  <c r="C54" i="19"/>
  <c r="BD9" i="19"/>
  <c r="BE9" i="19" s="1"/>
  <c r="BF9" i="19" s="1"/>
  <c r="B51" i="19"/>
  <c r="B53" i="19" s="1"/>
  <c r="B58" i="19" s="1"/>
  <c r="BD8" i="19"/>
  <c r="L119" i="2"/>
  <c r="L48" i="2"/>
  <c r="I26" i="18"/>
  <c r="N26" i="18" s="1"/>
  <c r="I20" i="18"/>
  <c r="N20" i="18" s="1"/>
  <c r="C1" i="49" l="1"/>
  <c r="Q118" i="21"/>
  <c r="E71" i="54"/>
  <c r="AR8" i="54"/>
  <c r="AS8" i="54" s="1"/>
  <c r="C54" i="23"/>
  <c r="BC9" i="23"/>
  <c r="C58" i="48"/>
  <c r="BI9" i="48"/>
  <c r="BJ9" i="48" s="1"/>
  <c r="BK9" i="48" s="1"/>
  <c r="C54" i="49"/>
  <c r="BC9" i="49"/>
  <c r="J24" i="46"/>
  <c r="O24" i="46" s="1"/>
  <c r="L113" i="2"/>
  <c r="L115" i="2"/>
  <c r="BE9" i="20"/>
  <c r="BD9" i="20"/>
  <c r="BE9" i="23" l="1"/>
  <c r="BD9" i="23"/>
  <c r="BE9" i="49"/>
  <c r="BD9" i="49"/>
  <c r="E77" i="25"/>
  <c r="E6" i="1"/>
  <c r="F17" i="60" l="1"/>
  <c r="J17" i="60" l="1"/>
  <c r="AJ58" i="48" l="1"/>
  <c r="BI58" i="48" s="1"/>
  <c r="B21" i="48"/>
  <c r="F18" i="5" s="1"/>
  <c r="F22" i="5" l="1"/>
  <c r="D12" i="46" s="1"/>
  <c r="K12" i="46" s="1"/>
  <c r="P12" i="46" s="1"/>
  <c r="B22" i="48"/>
  <c r="B53" i="48" s="1"/>
  <c r="B57" i="48" s="1"/>
  <c r="B62" i="48" s="1"/>
  <c r="F65" i="5" l="1"/>
  <c r="D20" i="46" s="1"/>
  <c r="K20" i="46" s="1"/>
  <c r="P20" i="46" s="1"/>
  <c r="F73" i="5" l="1"/>
  <c r="F77" i="5" s="1"/>
  <c r="D24" i="46" l="1"/>
  <c r="K24" i="46" s="1"/>
  <c r="P24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I557" authorId="0" shapeId="0" xr:uid="{3D3567F3-8425-41A1-A0EC-1CE60837FEE9}">
      <text>
        <r>
          <rPr>
            <b/>
            <sz val="9"/>
            <color indexed="81"/>
            <rFont val="Tahoma"/>
            <family val="2"/>
          </rPr>
          <t xml:space="preserve">BUKA WBS Konsolidasi PL 
</t>
        </r>
        <r>
          <rPr>
            <sz val="9"/>
            <color indexed="81"/>
            <rFont val="Tahoma"/>
            <family val="2"/>
          </rPr>
          <t xml:space="preserve">utk Mapping COGS
</t>
        </r>
      </text>
    </comment>
  </commentList>
</comments>
</file>

<file path=xl/sharedStrings.xml><?xml version="1.0" encoding="utf-8"?>
<sst xmlns="http://schemas.openxmlformats.org/spreadsheetml/2006/main" count="5031" uniqueCount="2002">
  <si>
    <t>Konsolidasi Juni 2023</t>
  </si>
  <si>
    <t>Account No.</t>
  </si>
  <si>
    <t>Date</t>
  </si>
  <si>
    <t>Account Name</t>
  </si>
  <si>
    <t>WP Reff</t>
  </si>
  <si>
    <t>Balance Sheet</t>
  </si>
  <si>
    <t>PL</t>
  </si>
  <si>
    <t>Description</t>
  </si>
  <si>
    <t>Debit</t>
  </si>
  <si>
    <t>Credit</t>
  </si>
  <si>
    <t>ELIM 1</t>
  </si>
  <si>
    <t>PT Indo American Seafoods (Keuangan)</t>
  </si>
  <si>
    <t xml:space="preserve">Eleminasi Utang Piutang Keuangan </t>
  </si>
  <si>
    <t>PT Indokom Samudra Persada (Keuangan)</t>
  </si>
  <si>
    <t>ELIM 2</t>
  </si>
  <si>
    <t>PT Indokom Samudra Persada</t>
  </si>
  <si>
    <t xml:space="preserve">Eleminasi Utang Piutang </t>
  </si>
  <si>
    <t>PT Indo American Seafoods</t>
  </si>
  <si>
    <t>ELIM 3</t>
  </si>
  <si>
    <t>ELIM 4</t>
  </si>
  <si>
    <t>Penjualan Lokal  ISP to IAS</t>
  </si>
  <si>
    <t>Eleminasi Penjualan ISP to IAS</t>
  </si>
  <si>
    <t>Pendapatan Lain-Lain</t>
  </si>
  <si>
    <t xml:space="preserve">Penjualan Roti </t>
  </si>
  <si>
    <t>Pembelian to IAS</t>
  </si>
  <si>
    <t xml:space="preserve">Pembelian Lain-lain </t>
  </si>
  <si>
    <t>ELIM 5</t>
  </si>
  <si>
    <t xml:space="preserve">Penjualan IAS </t>
  </si>
  <si>
    <t>Eleminasi Penjualan IAS to ISP</t>
  </si>
  <si>
    <t>Pembelian Bahan Baku to ISP</t>
  </si>
  <si>
    <t>Pembelian Bahan Pembantu to ISP</t>
  </si>
  <si>
    <t>ELIM 7</t>
  </si>
  <si>
    <t>LABA DITAHAN</t>
  </si>
  <si>
    <t>Tambahan Modal Disetor (Tax Amnesty)</t>
  </si>
  <si>
    <t>JURNAL ELIMINASI</t>
  </si>
  <si>
    <t>Konsolidasi Juni 2024</t>
  </si>
  <si>
    <t>Indo American Seafoods, PT (Saham)</t>
  </si>
  <si>
    <t>Eleminasi IAS Investasi pada Anak</t>
  </si>
  <si>
    <t>PT Indo American Seafoods (Modal)</t>
  </si>
  <si>
    <t>ELIM 6</t>
  </si>
  <si>
    <t>Pembelian ISP</t>
  </si>
  <si>
    <t>CAJE 1</t>
  </si>
  <si>
    <t>Piutang Lain-lain di bawah Rp 20.000.000,-</t>
  </si>
  <si>
    <t>(Adj atas Ctrl)</t>
  </si>
  <si>
    <t>Konsolidasi September 2023</t>
  </si>
  <si>
    <t>PT INDO AMERICAN SEAFOODS DAN ENTAS ANAK</t>
  </si>
  <si>
    <t>Laporan Posisi Keuangan</t>
  </si>
  <si>
    <t>Tanggal 30 September 2024, 31 Desember 2023, 2022 dan 2021</t>
  </si>
  <si>
    <t>Keterangan</t>
  </si>
  <si>
    <t>31 Desember</t>
  </si>
  <si>
    <t>Difference</t>
  </si>
  <si>
    <t>% Growth</t>
  </si>
  <si>
    <t>ASET</t>
  </si>
  <si>
    <t>Aset Lancar</t>
  </si>
  <si>
    <t>Kas dan Setara Kas</t>
  </si>
  <si>
    <t>Piutang Usaha dari Pihak Ketiga - Bersih</t>
  </si>
  <si>
    <t>Piutang Usaha dari Pihak Berelasi</t>
  </si>
  <si>
    <t>Piutang Lain-lain dari Pihak Ketiga</t>
  </si>
  <si>
    <t>Piutang lain-lain dari pihak berelasi</t>
  </si>
  <si>
    <t>Persediaan</t>
  </si>
  <si>
    <t>Aset Biologis</t>
  </si>
  <si>
    <t>Pajak Dibayar di Muka</t>
  </si>
  <si>
    <t>Biaya Dibayar di Muka</t>
  </si>
  <si>
    <t>Uang Muka</t>
  </si>
  <si>
    <t>Jumlah Aset Lancar</t>
  </si>
  <si>
    <t>Aset Tidak Lancar</t>
  </si>
  <si>
    <t>Aset Tetap – setelah dikurangi akumulasi Penyusutan</t>
  </si>
  <si>
    <t>Aset Hak-Guna – setelah dikurangi akumulasi penyusutan</t>
  </si>
  <si>
    <t>Aset Pajak Tangguhan</t>
  </si>
  <si>
    <t>Jumlah Aset Tidak Lancar</t>
  </si>
  <si>
    <t>JUMLAH ASET</t>
  </si>
  <si>
    <t>LIABILITAS DAN EKUITAS</t>
  </si>
  <si>
    <t>Liabilitas Jangka Pendek</t>
  </si>
  <si>
    <t>Utang Usaha kepada Pihak Ketiga</t>
  </si>
  <si>
    <t>Utang Lain-lain kepada Pihak Berelasi</t>
  </si>
  <si>
    <t>Utang Lain-lain kepada Pihak Ketiga</t>
  </si>
  <si>
    <t>Utang Bank</t>
  </si>
  <si>
    <t>Beban Akrual</t>
  </si>
  <si>
    <t xml:space="preserve">Utang Pajak </t>
  </si>
  <si>
    <t>Utang Jangka Pendek</t>
  </si>
  <si>
    <t>yang Jatuh Tempo dalam</t>
  </si>
  <si>
    <t>Satu Tahun</t>
  </si>
  <si>
    <t>Utang Pembelian Aset Tetap</t>
  </si>
  <si>
    <t>Liabilitas Sewa kepada Pihak Berelasi</t>
  </si>
  <si>
    <t>Jumlah Liabilitas Jangka Pendek</t>
  </si>
  <si>
    <t>Liabilitas Jangka Panjang</t>
  </si>
  <si>
    <t xml:space="preserve">Liabilitas Jangka Panjang dikurangi Bagian yang </t>
  </si>
  <si>
    <t>Pihak Berelasi</t>
  </si>
  <si>
    <t>Utang Lain-lain Pihak Ketiga</t>
  </si>
  <si>
    <t>Jatuh Tempo dalam Satu Tahun</t>
  </si>
  <si>
    <t xml:space="preserve">Liabilitas Imbalan Pascakerja </t>
  </si>
  <si>
    <t>Jumlah Liabilitas Jangka Panjang</t>
  </si>
  <si>
    <t>JUMLAH LIABILITAS</t>
  </si>
  <si>
    <t>Ekuitas</t>
  </si>
  <si>
    <t>Modal Saham</t>
  </si>
  <si>
    <t>Tambahan Modal Disetor</t>
  </si>
  <si>
    <t>Proforma Ekuitas</t>
  </si>
  <si>
    <t>Penghasilan Komprehensif Lain</t>
  </si>
  <si>
    <t>Saldo Laba</t>
  </si>
  <si>
    <t xml:space="preserve">  Ditentukan Penggunaannya</t>
  </si>
  <si>
    <t xml:space="preserve">  Tidak Ditentukan Penggunaannya</t>
  </si>
  <si>
    <t>JUMLAH EKUITAS</t>
  </si>
  <si>
    <t>JUMLAH LIABILITAS DAN EKUITAS</t>
  </si>
  <si>
    <t>*) Tidak Konsolidasian</t>
  </si>
  <si>
    <t>Laporan Laba Rugi dan Penghasilan Komprehensif Lain</t>
  </si>
  <si>
    <t>Tanggal 31 Desember 2024, 2023, 2022 dan 2021</t>
  </si>
  <si>
    <t>2024*)</t>
  </si>
  <si>
    <t>2023*)</t>
  </si>
  <si>
    <r>
      <t>2022</t>
    </r>
    <r>
      <rPr>
        <b/>
        <vertAlign val="superscript"/>
        <sz val="9"/>
        <color rgb="FF000000"/>
        <rFont val="Arial"/>
        <family val="2"/>
      </rPr>
      <t>*)</t>
    </r>
  </si>
  <si>
    <r>
      <t>2021</t>
    </r>
    <r>
      <rPr>
        <b/>
        <vertAlign val="superscript"/>
        <sz val="9"/>
        <color rgb="FF000000"/>
        <rFont val="Arial"/>
        <family val="2"/>
      </rPr>
      <t>*)</t>
    </r>
  </si>
  <si>
    <t>(12 Bulan)</t>
  </si>
  <si>
    <t>September</t>
  </si>
  <si>
    <t xml:space="preserve">  PENJUALAN DAN PENDAPATAN USAHA</t>
  </si>
  <si>
    <t xml:space="preserve">  BEBAN POKOK PENJUALAN</t>
  </si>
  <si>
    <t xml:space="preserve">  LABA BRUTO</t>
  </si>
  <si>
    <t>Beban Penjualan</t>
  </si>
  <si>
    <t>Beban Umum dan Administrasi</t>
  </si>
  <si>
    <t>Pendapatan (Beban) Lain-Lain - Bersih</t>
  </si>
  <si>
    <t>Beban bunga dan Keuangan</t>
  </si>
  <si>
    <t xml:space="preserve">  Laba Sebelum Pajak Penghasilan</t>
  </si>
  <si>
    <t xml:space="preserve">  Manfaat (Beban) Pajak Penghasilan:</t>
  </si>
  <si>
    <t xml:space="preserve">  Pajak Kini</t>
  </si>
  <si>
    <t xml:space="preserve">  Pajak Tangguhan</t>
  </si>
  <si>
    <t>LABA PERIODE / TAHUN BERJALAN</t>
  </si>
  <si>
    <t>SEBELUM DAMPAK PENYESUAIAN PROFORMA</t>
  </si>
  <si>
    <t>DAMPAK PENYESUAIAN PROFORMA</t>
  </si>
  <si>
    <t>SETELAH DAMPAK PENYESUAIAN PROFORMA</t>
  </si>
  <si>
    <t>Pengukuran Kembali Imbalan Pasti</t>
  </si>
  <si>
    <t xml:space="preserve">Pajak Penghasilan Terkait </t>
  </si>
  <si>
    <t>JUMLAH PENGHASILAN KOMPREHENSIF LAIN</t>
  </si>
  <si>
    <t>LABA KOMPREHENSIF PERIODE / TAHUN BERJALAN</t>
  </si>
  <si>
    <t xml:space="preserve">  Laba per saham dasar</t>
  </si>
  <si>
    <t>*) Konsolidasian</t>
  </si>
  <si>
    <t>Laporan Arus Kas</t>
  </si>
  <si>
    <t>2022*)</t>
  </si>
  <si>
    <t>2021*)</t>
  </si>
  <si>
    <t>ARUS KAS AKTIVITAS OPERASI</t>
  </si>
  <si>
    <t>Arus Kas Bersih Diperoleh dari (Digunakan untuk) Aktivitas Operasi</t>
  </si>
  <si>
    <t>ARUS KAS AKTIVITAS INVESTASI</t>
  </si>
  <si>
    <t>Arus Kas Bersih digunakan untuk Aktivitas Investasi</t>
  </si>
  <si>
    <t>ARUS KAS AKTIVITAS PENDANAAN</t>
  </si>
  <si>
    <t>Arus Kas Bersih digunakan untuk Aktivitas Pendanaan</t>
  </si>
  <si>
    <t>KENAIKAN (PENURUNAN) BERSIH KAS DAN BANK</t>
  </si>
  <si>
    <t>SALDO KAS DAN BANK AWAL TAHUN</t>
  </si>
  <si>
    <t>SALDO KAS DAN BANK AKHIR TAHUN</t>
  </si>
  <si>
    <t>RASIO-RASIO KEUANGAN PENTING</t>
  </si>
  <si>
    <t>Profitabilitas</t>
  </si>
  <si>
    <t>Laba (Rugi) Neto Tahun Berjalan terhadap Jumlah Aset</t>
  </si>
  <si>
    <t>Laba (Rugi) Neto Tahun Berjalan terhadap Jumlah Ekuitas</t>
  </si>
  <si>
    <t>Laba (Rugi) Neto Tahun Berjalan terhadap Penjualan Bersih</t>
  </si>
  <si>
    <t>Laba (Rugi) Bruto terhadap Pendapatan Usaha</t>
  </si>
  <si>
    <t xml:space="preserve">Laba (Rugi) Usaha terhadap Pendapatan Usaha </t>
  </si>
  <si>
    <t xml:space="preserve">EBITDA terhadap Penjualan </t>
  </si>
  <si>
    <t>Solvabilitas</t>
  </si>
  <si>
    <t xml:space="preserve">Liabilitas terhadap Aset </t>
  </si>
  <si>
    <t>Liabilitas terhadap Ekuitas</t>
  </si>
  <si>
    <t>DSCR</t>
  </si>
  <si>
    <t>ICR</t>
  </si>
  <si>
    <t>Likuiditas</t>
  </si>
  <si>
    <t>Aset Lancar terhadap Liabilitas Jangka Pendek</t>
  </si>
  <si>
    <t>Rasio Lancar</t>
  </si>
  <si>
    <t>Kas terhadap Liabilitas Jangka Pendek</t>
  </si>
  <si>
    <t>Pertumbuhan</t>
  </si>
  <si>
    <t>Pendapatan Usaha</t>
  </si>
  <si>
    <t>Laba (Rugi) Bruto</t>
  </si>
  <si>
    <t>Laba Bersih</t>
  </si>
  <si>
    <t>Aset</t>
  </si>
  <si>
    <t>Liabilitas</t>
  </si>
  <si>
    <t>PERHITUNGAN DSCR DAN ICR</t>
  </si>
  <si>
    <t>EBIT</t>
  </si>
  <si>
    <t>Bunga Bank</t>
  </si>
  <si>
    <t>Total Pembayaran Utang</t>
  </si>
  <si>
    <t xml:space="preserve">DSCR </t>
  </si>
  <si>
    <t>EBIT = Laba Bersih + Bunga + Pajak</t>
  </si>
  <si>
    <t xml:space="preserve">EBITDA = </t>
  </si>
  <si>
    <t>Beban Bunga</t>
  </si>
  <si>
    <t>Beban Pajak Penghasilan Badan</t>
  </si>
  <si>
    <t>Amortisasi</t>
  </si>
  <si>
    <t>Depresiasi</t>
  </si>
  <si>
    <t>Ebitda thd pendapatan (%)</t>
  </si>
  <si>
    <t>Total Aset</t>
  </si>
  <si>
    <t>Total Ekuitas</t>
  </si>
  <si>
    <t xml:space="preserve">Pembelian Bahan Baku </t>
  </si>
  <si>
    <t xml:space="preserve">Biaya Penjualan </t>
  </si>
  <si>
    <t>Perawatan &amp; utilitas</t>
  </si>
  <si>
    <t>Keperluan Kantor</t>
  </si>
  <si>
    <t xml:space="preserve">Aset </t>
  </si>
  <si>
    <t>Liabilities</t>
  </si>
  <si>
    <t>Kas dan Bank</t>
  </si>
  <si>
    <t>Piutang Usaha Kepada Pihak Ketiga</t>
  </si>
  <si>
    <t>Piutang Usaha Kepada Pihak Berelasi</t>
  </si>
  <si>
    <t>CKPN</t>
  </si>
  <si>
    <t>Piutang dari Karyawan</t>
  </si>
  <si>
    <t xml:space="preserve">Piutang Lain-Lain </t>
  </si>
  <si>
    <t>Piutang Lain - Lain dari Pihak Ketiga</t>
  </si>
  <si>
    <t xml:space="preserve">Uang Muka </t>
  </si>
  <si>
    <t>Prepaid Tax</t>
  </si>
  <si>
    <t xml:space="preserve">Prepaid </t>
  </si>
  <si>
    <t>Project In Progress</t>
  </si>
  <si>
    <t>Uang Muka Pembelian</t>
  </si>
  <si>
    <t>Pajak Dibayar Dimuka</t>
  </si>
  <si>
    <t>Aset Tetap</t>
  </si>
  <si>
    <t xml:space="preserve">Uang Muka Pembelian Aset Tetap </t>
  </si>
  <si>
    <t>Investasi</t>
  </si>
  <si>
    <t>Aset Hak Guna</t>
  </si>
  <si>
    <t>Biaya pra IPO</t>
  </si>
  <si>
    <t>Short Term Bank Loans</t>
  </si>
  <si>
    <t>Bank Loan - Short part of long</t>
  </si>
  <si>
    <t>Utang Usaha Pihak Berelasi</t>
  </si>
  <si>
    <t>Utang Usaha Pihak Ketiga</t>
  </si>
  <si>
    <t>Uang Muka Pelangan</t>
  </si>
  <si>
    <t>Biaya Yang Masih Harus Dibayar</t>
  </si>
  <si>
    <t>Utang Lain2 Pihak Ketiga</t>
  </si>
  <si>
    <t>Utang Lain2 Pihak Berelasi</t>
  </si>
  <si>
    <t>Liabilitas Sewa Jangka pendek</t>
  </si>
  <si>
    <t>Liabilitas Sewa Jangka Panjang</t>
  </si>
  <si>
    <t>Utang Bank &amp; Leasing</t>
  </si>
  <si>
    <t>Utang Pajak</t>
  </si>
  <si>
    <t>Utang pembelian aset tetap jangka pendek</t>
  </si>
  <si>
    <t>Imbalan Pasca Kerja</t>
  </si>
  <si>
    <t>Surplus</t>
  </si>
  <si>
    <t>Penghasilan Komprehensif Lainnya</t>
  </si>
  <si>
    <t>Koreksi Auditor</t>
  </si>
  <si>
    <t>Ditentukan Penggunaannya</t>
  </si>
  <si>
    <t>Dividen</t>
  </si>
  <si>
    <t>Beban Pokok Pendapatan Usaha</t>
  </si>
  <si>
    <t xml:space="preserve">Beban Umum dan Administrasi </t>
  </si>
  <si>
    <t>Beban(Pendapatan) Lain-lain</t>
  </si>
  <si>
    <t>Beban Bunga dan Keuangan</t>
  </si>
  <si>
    <t>Income Tax</t>
  </si>
  <si>
    <t>Penyesuain Audit</t>
  </si>
  <si>
    <t>Other Comprehensive Income</t>
  </si>
  <si>
    <t>Expenses</t>
  </si>
  <si>
    <t>Selisih</t>
  </si>
  <si>
    <t>Movement</t>
  </si>
  <si>
    <t>ARUS KAS DARI AKTIVITAS OPERASI</t>
  </si>
  <si>
    <t>Penerimaan Kas dari Pelanggan</t>
  </si>
  <si>
    <t>Pembayaran Kepada Pemasok</t>
  </si>
  <si>
    <t>Pembayaran Kepada Karyawan</t>
  </si>
  <si>
    <t>Pembayaran Beban Operasional Lainnya</t>
  </si>
  <si>
    <t>Penerimaan Bunga</t>
  </si>
  <si>
    <t>Deferred tax</t>
  </si>
  <si>
    <t>Employee benefit</t>
  </si>
  <si>
    <t>Pembayaran Deviden</t>
  </si>
  <si>
    <t>Pembayaran Bunga</t>
  </si>
  <si>
    <t>Beban Pajak Kini Juni 24</t>
  </si>
  <si>
    <t>Pembayaran Pajak Penghasilan</t>
  </si>
  <si>
    <t xml:space="preserve">Selisih </t>
  </si>
  <si>
    <t>Kas diperoleh dari (digunakan untuk) operasi</t>
  </si>
  <si>
    <t>Utang Pajak IAS 23</t>
  </si>
  <si>
    <t>Utang Pajak ISP 23</t>
  </si>
  <si>
    <t>Kas Bersih Diperoleh dari Aktivitas Operasi</t>
  </si>
  <si>
    <t>Total</t>
  </si>
  <si>
    <t>ARUS KAS DARI AKTIVITAS INVESTASI</t>
  </si>
  <si>
    <t>Penambahan Aset Tetap</t>
  </si>
  <si>
    <t>Utang Pajak PPh 29 ISP 22-23</t>
  </si>
  <si>
    <t>Penempatan Investasi pada Ventura Bersama</t>
  </si>
  <si>
    <t>Penambahan  Aset Tersedia untuk dijual</t>
  </si>
  <si>
    <t>Penambahan  PI</t>
  </si>
  <si>
    <t>Total Utang Pajak PPh 29 ISP 21-23</t>
  </si>
  <si>
    <t>Penerimaan Piutang lain-lain dari Pihak Berelasi</t>
  </si>
  <si>
    <t>Pinjaman kepada Entitas Berelasi</t>
  </si>
  <si>
    <t>Utang Pajak PPh 29 IAS 22-23</t>
  </si>
  <si>
    <t>Kas Bersih Diperoleh dari (Digunakan untuk) Aktivitas Investasi</t>
  </si>
  <si>
    <t>Total Utang Pajak PPh 29 IAS 22-23</t>
  </si>
  <si>
    <t>ARUS KAS DARI AKTIVITAS PENDANAAN</t>
  </si>
  <si>
    <t>Total Utang Pajak PPh 29 IAS ISP</t>
  </si>
  <si>
    <t>Penerimaan Pinjaman dari Bank</t>
  </si>
  <si>
    <t>Pembayaran Pinjaman Bank</t>
  </si>
  <si>
    <t>Pinjaman kepada Koperasi</t>
  </si>
  <si>
    <t>Lembaga Pembiayaan</t>
  </si>
  <si>
    <t>Setoran Modal</t>
  </si>
  <si>
    <t>Pembayaran Pembelian Aset Tetap</t>
  </si>
  <si>
    <t>Penerimaan  dari Pemegang Saham</t>
  </si>
  <si>
    <t>Kas Bersih Diperoleh dari Aktivitas Pendanaan</t>
  </si>
  <si>
    <t>Dampak Kenaikan Selisih Kurs</t>
  </si>
  <si>
    <t>Kenaikan Bersih Kas &amp; Bank</t>
  </si>
  <si>
    <t>Saldo Bank Awal Tahun</t>
  </si>
  <si>
    <t>Saldo Bank Akhir Tahun</t>
  </si>
  <si>
    <t>CONTROL</t>
  </si>
  <si>
    <t>Diff</t>
  </si>
  <si>
    <t>Konsolidasi Desember 2024</t>
  </si>
  <si>
    <t>Kontrol</t>
  </si>
  <si>
    <t>Pembelian Bahan Baku to IAS</t>
  </si>
  <si>
    <t>Pembelian Baku Pembantunya</t>
  </si>
  <si>
    <t>ELIM 8</t>
  </si>
  <si>
    <t>Modal Disetor (ISP)</t>
  </si>
  <si>
    <t>(Mengeliminasi modal disetor ISP selain kepemilikan IAS menjadi tambahan modal disetor atas kombinasi bisnis entitas sepengendali)</t>
  </si>
  <si>
    <t>Sewa IPAL</t>
  </si>
  <si>
    <t>(Eleminasi Sewa IPAL 2024)</t>
  </si>
  <si>
    <t>Konsolidasi September 2024</t>
  </si>
  <si>
    <t>Dibebankan ke</t>
  </si>
  <si>
    <t>Penghasilan</t>
  </si>
  <si>
    <t>komprehensif</t>
  </si>
  <si>
    <t>1 Januari</t>
  </si>
  <si>
    <t xml:space="preserve">Dikreditkan </t>
  </si>
  <si>
    <t>lain/</t>
  </si>
  <si>
    <t>2024/</t>
  </si>
  <si>
    <t>ke laba rugi/</t>
  </si>
  <si>
    <t xml:space="preserve">Charged to </t>
  </si>
  <si>
    <t>January 1,</t>
  </si>
  <si>
    <t xml:space="preserve">Credited to </t>
  </si>
  <si>
    <t>other</t>
  </si>
  <si>
    <t xml:space="preserve">December 31, </t>
  </si>
  <si>
    <t>Profit or loss</t>
  </si>
  <si>
    <t>comprehensive</t>
  </si>
  <si>
    <t>Imbalan kerja</t>
  </si>
  <si>
    <t>Employee benefits</t>
  </si>
  <si>
    <t>Cadangan Kerugian Piutang</t>
  </si>
  <si>
    <t>Allowance for Impairment Losses</t>
  </si>
  <si>
    <t>Penyusutan Aset Tetap</t>
  </si>
  <si>
    <t>Depreciation</t>
  </si>
  <si>
    <t>Aset pajak tangguhan</t>
  </si>
  <si>
    <t>Deferred tax assets</t>
  </si>
  <si>
    <t>2023/</t>
  </si>
  <si>
    <t>-</t>
  </si>
  <si>
    <t>Penyusutan</t>
  </si>
  <si>
    <t>Desember 2023</t>
  </si>
  <si>
    <t>Desember 2024</t>
  </si>
  <si>
    <t>Beban Imbalan Pasca kerja</t>
  </si>
  <si>
    <t>Utang Imbalan Pasca Kerja</t>
  </si>
  <si>
    <t>OCI IPK</t>
  </si>
  <si>
    <t>Beban CKPN</t>
  </si>
  <si>
    <t>Saldo awal</t>
  </si>
  <si>
    <t>Beban imbalan paska kerja</t>
  </si>
  <si>
    <t>selama tahun berjalan</t>
  </si>
  <si>
    <t>Pengukuran kembali atas</t>
  </si>
  <si>
    <t>liabilitas diestimasi atas</t>
  </si>
  <si>
    <t>imbalan kerja karyawan</t>
  </si>
  <si>
    <t>Saldo awal ipk des 23</t>
  </si>
  <si>
    <t>liabilitas</t>
  </si>
  <si>
    <t>Pembayaran Imbalan Pasca</t>
  </si>
  <si>
    <t xml:space="preserve">Biaya Jasa Kini </t>
  </si>
  <si>
    <t>beban opex</t>
  </si>
  <si>
    <t>Kerja pada tahun berjalan</t>
  </si>
  <si>
    <t>Biaya Bunga</t>
  </si>
  <si>
    <t>Saldo Akhir Liabilitas</t>
  </si>
  <si>
    <t>Pendapatan oci berjalan</t>
  </si>
  <si>
    <t>oci pl</t>
  </si>
  <si>
    <t>Saldo akhir ipk des 24</t>
  </si>
  <si>
    <t>Total beban imbalan paska kerja karyawan adalah sebagai berikut:</t>
  </si>
  <si>
    <t>jurnal</t>
  </si>
  <si>
    <t>beban ipk (opex)</t>
  </si>
  <si>
    <t>oci pl berjalan ipk</t>
  </si>
  <si>
    <t>Biaya Jasa Lalu 1</t>
  </si>
  <si>
    <t>Biaya Jasa Lalu 2</t>
  </si>
  <si>
    <t>Jumlah Beban Imbalan Pasca Kerja Karyawan</t>
  </si>
  <si>
    <t>Persentase perubahan kenaikan atau penurunan 1% terhadap tingkat diskonto</t>
  </si>
  <si>
    <t xml:space="preserve">Nilai Kini </t>
  </si>
  <si>
    <t>Liabilitas/</t>
  </si>
  <si>
    <t>Biaya Jasa</t>
  </si>
  <si>
    <t>Present Value</t>
  </si>
  <si>
    <t>Kini/</t>
  </si>
  <si>
    <t>of Benefit</t>
  </si>
  <si>
    <t>Current Service</t>
  </si>
  <si>
    <t>Deskripsi</t>
  </si>
  <si>
    <t>Cost</t>
  </si>
  <si>
    <t>Sesuai Laporan Aktuaris 7,1%</t>
  </si>
  <si>
    <t>Penurunan 1% atas Tingkat Diskonto</t>
  </si>
  <si>
    <t>Kenaikan 1% atas Tingkat Diskonto</t>
  </si>
  <si>
    <t>Persentase perubahan kenaikan atau   penurunan 1% terhadap tingkat kenaikan gaji.</t>
  </si>
  <si>
    <t>Penurunan 1% atas Tingkat Kenaikan Gaji</t>
  </si>
  <si>
    <t>Kenaikan 1% atas Tingkat Kenaikan Gaji</t>
  </si>
  <si>
    <t>KONSOLIDASI PT INDO AMERICAN SEAFOODS &amp; PT INDOKOM SAMUDRA PERSADA (ISEA)</t>
  </si>
  <si>
    <t>Aset ISP Baru 2023</t>
  </si>
  <si>
    <t xml:space="preserve">Penyusutan </t>
  </si>
  <si>
    <t>WORKING BALANCE SHEETS AND PROFIT OR LOSS</t>
  </si>
  <si>
    <t>UNTUK TAHUN YANG BERAKHIR 31 DES 2024, 2023, 2022 &amp; 31 DES 2021</t>
  </si>
  <si>
    <t xml:space="preserve">  </t>
  </si>
  <si>
    <t>No Account</t>
  </si>
  <si>
    <t>Audited PT IAS</t>
  </si>
  <si>
    <t>Audited PT ISP</t>
  </si>
  <si>
    <t>Audited Combine</t>
  </si>
  <si>
    <t>Eliminasi</t>
  </si>
  <si>
    <t>Audited Aggregated</t>
  </si>
  <si>
    <t>Audited Konsol</t>
  </si>
  <si>
    <t>31 Desember 2024</t>
  </si>
  <si>
    <t>Reff</t>
  </si>
  <si>
    <t>Dr</t>
  </si>
  <si>
    <t>Cr</t>
  </si>
  <si>
    <t>30 Sept 2024</t>
  </si>
  <si>
    <t>30 Juni 2024</t>
  </si>
  <si>
    <t>31 Desember 2023</t>
  </si>
  <si>
    <t>30 Sept 2023</t>
  </si>
  <si>
    <t>30 Juni 2023</t>
  </si>
  <si>
    <t>31 Desember 2022</t>
  </si>
  <si>
    <t>31 Desember 2021</t>
  </si>
  <si>
    <t>ASSETS</t>
  </si>
  <si>
    <t>Current Assets</t>
  </si>
  <si>
    <t>Cash</t>
  </si>
  <si>
    <t>Kas Besar</t>
  </si>
  <si>
    <t xml:space="preserve">Kas in Lampung </t>
  </si>
  <si>
    <t xml:space="preserve">Kas Kecil </t>
  </si>
  <si>
    <t>Kas in Lampung (Petty Cash)</t>
  </si>
  <si>
    <t>Total Cash</t>
  </si>
  <si>
    <t xml:space="preserve">BANK </t>
  </si>
  <si>
    <t>Bank IDR</t>
  </si>
  <si>
    <t>Bank Mandiri Rp A/c 114.0031009999</t>
  </si>
  <si>
    <t>Bank Mandiri Rp  A/c 114.0004692854</t>
  </si>
  <si>
    <t>Bank BNI Rp A/c 111-559-9552</t>
  </si>
  <si>
    <t>Bank BNI Rp A/c 115-599-4474</t>
  </si>
  <si>
    <t>Bank JTRUST Rp  A/c 1100024132</t>
  </si>
  <si>
    <t>Bank JTRUST Rp  A/c 2100596827</t>
  </si>
  <si>
    <t>IAS-ISP</t>
  </si>
  <si>
    <t>PT Bank Mega Syariah</t>
  </si>
  <si>
    <t xml:space="preserve">PT Bank BTPN </t>
  </si>
  <si>
    <t>Bank BRI Rp A/c 0285-01-220000-30-7</t>
  </si>
  <si>
    <t>ISP</t>
  </si>
  <si>
    <t>PT Bank Mandiri (Persero) Tbk-1140002150616</t>
  </si>
  <si>
    <t>Bank Panin</t>
  </si>
  <si>
    <t>PT Bank Danamon Indonesia, Tbk - Tabungan</t>
  </si>
  <si>
    <t>Bank BRI Rp A/c 0652-01-111111-301</t>
  </si>
  <si>
    <t>Bank USD</t>
  </si>
  <si>
    <t>PT Bank Mandiri (Persero) Tbk</t>
  </si>
  <si>
    <t>Bank Mandiri $ (114,002,744,8284) USD</t>
  </si>
  <si>
    <t>PT Bank Negara Indonesia (Persero) Tbk $</t>
  </si>
  <si>
    <t>Bank JTRUST (1100024149)</t>
  </si>
  <si>
    <t xml:space="preserve">Bank Mega Syariah (1000236601) </t>
  </si>
  <si>
    <t>Bank BRI (0285-02-000022-30-5) USD</t>
  </si>
  <si>
    <t>PT Bank Bukopin, Tbk</t>
  </si>
  <si>
    <t>Bank Mandiri $ - A/c 114,0027152647</t>
  </si>
  <si>
    <t>Deposito Berjangka</t>
  </si>
  <si>
    <t>Deposito</t>
  </si>
  <si>
    <t>PT Bank BNI (Deposito)</t>
  </si>
  <si>
    <t>Total Bank</t>
  </si>
  <si>
    <t>Total Deposito</t>
  </si>
  <si>
    <t>Total Cash and Cash Equivalents</t>
  </si>
  <si>
    <t>ok</t>
  </si>
  <si>
    <t>Trade Receivable</t>
  </si>
  <si>
    <t>Piutang Usaha - IDR</t>
  </si>
  <si>
    <t>Piutang Karyawan</t>
  </si>
  <si>
    <t>CV Kanian Persada</t>
  </si>
  <si>
    <t>Piutang usaha Pihak Berelasi</t>
  </si>
  <si>
    <t>Nichia Trading Inc.</t>
  </si>
  <si>
    <t>PT Maju Tambak Sumur</t>
  </si>
  <si>
    <t>Piutang usaha Pihak Ketiga (IDR)</t>
  </si>
  <si>
    <t>PT Tambak Udang Baba Rafi</t>
  </si>
  <si>
    <t>Bapak Iwan-Es</t>
  </si>
  <si>
    <t>Chandra Irwanto, Bp</t>
  </si>
  <si>
    <t>Indofood Sukses Makmur Tbk, PT</t>
  </si>
  <si>
    <t>Nur Indah Gypsum</t>
  </si>
  <si>
    <t>Mochamad Riduwan</t>
  </si>
  <si>
    <t>Bp Suherman</t>
  </si>
  <si>
    <t>Bp Ronald De Fretes</t>
  </si>
  <si>
    <t>UD, Slamet</t>
  </si>
  <si>
    <t>Roda Jaya, Toko</t>
  </si>
  <si>
    <t xml:space="preserve">Piutang Karyawan </t>
  </si>
  <si>
    <t>Jaduk Prayogi</t>
  </si>
  <si>
    <t>Surya Sukses Makmur</t>
  </si>
  <si>
    <t>Deska / WMM Es -IDR</t>
  </si>
  <si>
    <t>Piutang Lain-lain di bawah Rp 20.000.000,- IDR</t>
  </si>
  <si>
    <t>Piutang Usaha - USD</t>
  </si>
  <si>
    <t>Alpha Trading Co. Ltd</t>
  </si>
  <si>
    <t>Piutang usaha Pihak Ketiga (USD)</t>
  </si>
  <si>
    <t>Censea Inc</t>
  </si>
  <si>
    <t>Crystal Cove Seafoods Corp</t>
  </si>
  <si>
    <t>Honsui Corporation</t>
  </si>
  <si>
    <t>Khyo Co. Ltd.</t>
  </si>
  <si>
    <t>Ael Seafood Enterprises, LLC</t>
  </si>
  <si>
    <t>Eastern Fish Company LLC</t>
  </si>
  <si>
    <t>Great American Seafoods Imports Co.</t>
  </si>
  <si>
    <t>Choice Canning Company Inc.</t>
  </si>
  <si>
    <t>Stellar Seas Import Co, Ltd</t>
  </si>
  <si>
    <t>Eiger Co. Ltd</t>
  </si>
  <si>
    <t>Export Packer Co., Ltd</t>
  </si>
  <si>
    <t>H &amp; T SEAFOODS INC</t>
  </si>
  <si>
    <t>Kyo Kuyo Co, Ltd</t>
  </si>
  <si>
    <t>Nissui Corporation</t>
  </si>
  <si>
    <t xml:space="preserve"> </t>
  </si>
  <si>
    <t>Yantai City AOWEI Refrigeration Equipments CO,, Ltd</t>
  </si>
  <si>
    <t>Laiyang Yuangkang Import and Export,, Co LTD</t>
  </si>
  <si>
    <t>Mandiri Berkah Amerta, PT (Autorized Dieler)</t>
  </si>
  <si>
    <t>Mayekawa Indonesia,  PT</t>
  </si>
  <si>
    <t>Mazetta Company, Llc</t>
  </si>
  <si>
    <t>MIDLAND FOOD PRODUCTS INC</t>
  </si>
  <si>
    <t>Monarch Trading, LLC</t>
  </si>
  <si>
    <t>San Sugar Co, , Ltd</t>
  </si>
  <si>
    <t>Slade Gorton,,Inc</t>
  </si>
  <si>
    <t>Yachiyo Corporation</t>
  </si>
  <si>
    <t>Hohsui Corporation</t>
  </si>
  <si>
    <t>Sea Lion</t>
  </si>
  <si>
    <t>Ssc Inc Sunnyvale Seafood,</t>
  </si>
  <si>
    <t>Total Trade Receivable</t>
  </si>
  <si>
    <t>Related Receivable</t>
  </si>
  <si>
    <t>PT Irian Marine Product Development</t>
  </si>
  <si>
    <t xml:space="preserve">Total Related Receivable </t>
  </si>
  <si>
    <t>Cadangan Kerugian Penurunan Nilai</t>
  </si>
  <si>
    <t xml:space="preserve">CKPN </t>
  </si>
  <si>
    <t>Total CKPN</t>
  </si>
  <si>
    <t>Other Receivable</t>
  </si>
  <si>
    <t xml:space="preserve">Pihak Ketiga </t>
  </si>
  <si>
    <t>Divisi Bengkunat</t>
  </si>
  <si>
    <t>Tambak Sibur</t>
  </si>
  <si>
    <t>Rian Yonanda</t>
  </si>
  <si>
    <t>Cold Storage - Sby</t>
  </si>
  <si>
    <t>Karyawan</t>
  </si>
  <si>
    <t>Syamsul Arifin</t>
  </si>
  <si>
    <t>Tambak Ngaras</t>
  </si>
  <si>
    <t>PT DHL</t>
  </si>
  <si>
    <t>Lainnya</t>
  </si>
  <si>
    <t>Reklass ke Other Lain"</t>
  </si>
  <si>
    <t>PT Indo American Food</t>
  </si>
  <si>
    <t xml:space="preserve">PT Tambak Udang Baba Rafi </t>
  </si>
  <si>
    <t>TBC</t>
  </si>
  <si>
    <t>Piutang Lain-Lain (PPN Jasa LN)</t>
  </si>
  <si>
    <t>Cadangan Kerugian Penurunan Nilai Piutang Lain-lain</t>
  </si>
  <si>
    <t>Total Other Receivable</t>
  </si>
  <si>
    <t>Inventory</t>
  </si>
  <si>
    <t>Barang dalam Proses</t>
  </si>
  <si>
    <t>Bahan Pembantu</t>
  </si>
  <si>
    <t>Barang Jadi</t>
  </si>
  <si>
    <t>Bahan Bakar</t>
  </si>
  <si>
    <t>Persediaan Udang</t>
  </si>
  <si>
    <r>
      <t xml:space="preserve">Persediaan </t>
    </r>
    <r>
      <rPr>
        <i/>
        <sz val="11"/>
        <color rgb="FF000000"/>
        <rFont val="Calibri"/>
        <family val="2"/>
        <scheme val="minor"/>
      </rPr>
      <t>Breaded</t>
    </r>
  </si>
  <si>
    <t>Total Inventory</t>
  </si>
  <si>
    <t>PPN Masukan</t>
  </si>
  <si>
    <t>PPN KMS</t>
  </si>
  <si>
    <t>Prepaid PPh 25</t>
  </si>
  <si>
    <t>Prepaid PPh 22</t>
  </si>
  <si>
    <t>PPh pasal 22-Impor</t>
  </si>
  <si>
    <t>Prepaid PPh 26</t>
  </si>
  <si>
    <t>Prepaid PPh 23</t>
  </si>
  <si>
    <t>Prepaid PPh 4 (2)</t>
  </si>
  <si>
    <t>Prepaid PPh 21</t>
  </si>
  <si>
    <t>Prepaid Expense</t>
  </si>
  <si>
    <t>Asuransi Dibayar Dimuka</t>
  </si>
  <si>
    <t>Sewa Dibayar Dimuka</t>
  </si>
  <si>
    <t>Uang Muka Jaminan Ekspor</t>
  </si>
  <si>
    <t>UM Sukamto</t>
  </si>
  <si>
    <t>Metro Computer</t>
  </si>
  <si>
    <t>Polyndo Teknik Nugraha, CV</t>
  </si>
  <si>
    <t>Prima Makmur Utama, PT</t>
  </si>
  <si>
    <t>Maska Macniven</t>
  </si>
  <si>
    <t>Biaya Pra IPO</t>
  </si>
  <si>
    <t xml:space="preserve">Uang Muka Pembelian Bahan Baku </t>
  </si>
  <si>
    <t>TOTAL CURRENT ASSETS</t>
  </si>
  <si>
    <t>ASET BIOLOGIS</t>
  </si>
  <si>
    <t>Aset Pakan</t>
  </si>
  <si>
    <t>Aset Benur</t>
  </si>
  <si>
    <t>Total Aset Biologis</t>
  </si>
  <si>
    <t>ASET TIDAK LANCAR</t>
  </si>
  <si>
    <t xml:space="preserve">PT Indokom Citra Persada Lampung </t>
  </si>
  <si>
    <t>PT Indokom Global Investama</t>
  </si>
  <si>
    <t>PT Indokom Global Persada</t>
  </si>
  <si>
    <t>Total Aset Tidak Lancar</t>
  </si>
  <si>
    <t>FIXED ASSETS</t>
  </si>
  <si>
    <t xml:space="preserve">Tanah </t>
  </si>
  <si>
    <t xml:space="preserve">Bangunan </t>
  </si>
  <si>
    <t>bangunan</t>
  </si>
  <si>
    <t>Sarana &amp; Prasarana</t>
  </si>
  <si>
    <t xml:space="preserve">Peralatan Teknik </t>
  </si>
  <si>
    <t xml:space="preserve">Mesin </t>
  </si>
  <si>
    <t>mesin</t>
  </si>
  <si>
    <t xml:space="preserve">Kendaraan </t>
  </si>
  <si>
    <t xml:space="preserve">Kendaraan Alat Berat </t>
  </si>
  <si>
    <t xml:space="preserve">Peralatan Kantor </t>
  </si>
  <si>
    <t>Peralatan Kantor</t>
  </si>
  <si>
    <t>Instalasi Listrik</t>
  </si>
  <si>
    <t>Infrastruktur</t>
  </si>
  <si>
    <t xml:space="preserve">Peralatan Produksi </t>
  </si>
  <si>
    <t>Sumur Bor</t>
  </si>
  <si>
    <t xml:space="preserve">Peralatan Labolatorium </t>
  </si>
  <si>
    <t>Total Fixed Assets</t>
  </si>
  <si>
    <t>Accumulated Depreciation</t>
  </si>
  <si>
    <t xml:space="preserve">Akum Peny. Bangunan </t>
  </si>
  <si>
    <t>Akum Sarana &amp; Prasarana</t>
  </si>
  <si>
    <t>Akum. Peny. Mesin</t>
  </si>
  <si>
    <t xml:space="preserve">Akum. Peny. Kendaraan </t>
  </si>
  <si>
    <t>Akum. Peny. Kendaraan Alat Berat</t>
  </si>
  <si>
    <t>Akum. Peny. Peralatan Kantor</t>
  </si>
  <si>
    <t>Akum. Peny. Intalasi Listrik</t>
  </si>
  <si>
    <t>Akum. Peny. Infrastruktur</t>
  </si>
  <si>
    <t>Akum. Peny. Peralatan Produksi</t>
  </si>
  <si>
    <t>Akum. Peny. Sumur Bor</t>
  </si>
  <si>
    <t xml:space="preserve">Akum. Peny. Peralatan Labolatorium </t>
  </si>
  <si>
    <t>Total Accumulated Depreciation</t>
  </si>
  <si>
    <t>Assets Under Construction</t>
  </si>
  <si>
    <t xml:space="preserve">Aset dalam Pembangunan </t>
  </si>
  <si>
    <t xml:space="preserve">Mesin Dalam Pelaksanaan </t>
  </si>
  <si>
    <t xml:space="preserve">Total Assets Under Construction </t>
  </si>
  <si>
    <t>Total Fixed Assets - Net</t>
  </si>
  <si>
    <t>Long Term Investment</t>
  </si>
  <si>
    <t>Indokom Samudra Persada, PT (Investasi)</t>
  </si>
  <si>
    <t>Total Long Term Investment</t>
  </si>
  <si>
    <t>Deposit</t>
  </si>
  <si>
    <t>Uang Jaminan</t>
  </si>
  <si>
    <t>Total Deposit</t>
  </si>
  <si>
    <t>Akum. Peny. Aset Hak Guna</t>
  </si>
  <si>
    <t>Total Aset Hak Guna - Net</t>
  </si>
  <si>
    <t>Deferred Tax Assets</t>
  </si>
  <si>
    <t xml:space="preserve">Imbalan Kerja </t>
  </si>
  <si>
    <t xml:space="preserve">Depreciation </t>
  </si>
  <si>
    <t xml:space="preserve">Total Deferred Tax Assets - Net </t>
  </si>
  <si>
    <t xml:space="preserve">Cash Advances </t>
  </si>
  <si>
    <t xml:space="preserve">Total Cash Advances </t>
  </si>
  <si>
    <t xml:space="preserve">Other Non-Current Assets </t>
  </si>
  <si>
    <t xml:space="preserve">Aset Tidak Lancar Lainnya </t>
  </si>
  <si>
    <t xml:space="preserve">Total Other Non-Current Assets </t>
  </si>
  <si>
    <t>TOTAL NON CURRENT ASSETS</t>
  </si>
  <si>
    <t>TOTAL ASSETS</t>
  </si>
  <si>
    <t>LIABILITY</t>
  </si>
  <si>
    <t>SHORT TERM LIABILITY</t>
  </si>
  <si>
    <t>Short-Term Bank Loans</t>
  </si>
  <si>
    <t>PT Bank Jtrust Indonesia Tbk</t>
  </si>
  <si>
    <t>Kredit atas Permintaan 1 (KAP 1) - USD</t>
  </si>
  <si>
    <t>Kredit atas Permintaan 2 (KAP 2) - IDR</t>
  </si>
  <si>
    <t>Kredit Rekening Koran</t>
  </si>
  <si>
    <t>Kredit Investasi</t>
  </si>
  <si>
    <t>Lembaga Pembiayaan Ekspor Indonesia</t>
  </si>
  <si>
    <t>Kredit Modal Kerja Ekspor I (KMKE I)</t>
  </si>
  <si>
    <t>Kredit Modal Kerja Ekspor Trade Finance</t>
  </si>
  <si>
    <t>PT Bank Mandiri (Persero), Tbk</t>
  </si>
  <si>
    <t>Bank Mandiri KMK R 8653</t>
  </si>
  <si>
    <t>Bank Mandiri KMK 3548 USD</t>
  </si>
  <si>
    <t xml:space="preserve">Kredit Angsuran Berjangka </t>
  </si>
  <si>
    <t>PT Bank BTPN</t>
  </si>
  <si>
    <t>IDR</t>
  </si>
  <si>
    <t>Bank BTPN LOC 1</t>
  </si>
  <si>
    <t>Bank BTPN APF IDR</t>
  </si>
  <si>
    <t>Bank BTPN RCF IDR</t>
  </si>
  <si>
    <t>USD</t>
  </si>
  <si>
    <t>Bank BTPN APF USD</t>
  </si>
  <si>
    <t>2-11.10X (Audit)</t>
  </si>
  <si>
    <t>Bank BTPN LOC 2</t>
  </si>
  <si>
    <t>2-12.10X (Audit)</t>
  </si>
  <si>
    <t>Bank Mandiri KI Ref 2897</t>
  </si>
  <si>
    <t>Utang Pembiayaan Bank</t>
  </si>
  <si>
    <t>APF IDR BTPN</t>
  </si>
  <si>
    <t>APF IDR BTPN TO</t>
  </si>
  <si>
    <t>APF USD BTPN TO</t>
  </si>
  <si>
    <t>ARF BTPN USD</t>
  </si>
  <si>
    <t>PSF USD BTPN</t>
  </si>
  <si>
    <t>ARF USD BTPN</t>
  </si>
  <si>
    <t>RCF IDR BTPN</t>
  </si>
  <si>
    <t>Total Short-Term Bank Loans</t>
  </si>
  <si>
    <t xml:space="preserve">Trade Payable </t>
  </si>
  <si>
    <t>Hutang Usaha</t>
  </si>
  <si>
    <t>Bapak Cipto</t>
  </si>
  <si>
    <t>Supplier Bahan Baku Udang &amp; Non Udang</t>
  </si>
  <si>
    <t>Bakti Angurah Kreasi,CV</t>
  </si>
  <si>
    <t>AGS Sejahtera, CV,</t>
  </si>
  <si>
    <t>GEA Refrigeration Indonesia, PT</t>
  </si>
  <si>
    <t>Halim Sakti Pratama, PT</t>
  </si>
  <si>
    <t>Harapan Abadi, CV</t>
  </si>
  <si>
    <t>Intiragam Oliefindo, PT</t>
  </si>
  <si>
    <t>KARYA EKATAMA, PT</t>
  </si>
  <si>
    <t>R&amp;B FOOD SUPPLY CO, LTD,</t>
  </si>
  <si>
    <t>Samara Cipta Solution, CV</t>
  </si>
  <si>
    <t>Seven Mountain Internasional, PT</t>
  </si>
  <si>
    <t>Sinar Panca Surya, PT</t>
  </si>
  <si>
    <t>Sinar Setia Mulia , PT</t>
  </si>
  <si>
    <t>CV Windu Segara Hatchery</t>
  </si>
  <si>
    <t>Central Proteina Prima, PT</t>
  </si>
  <si>
    <t>Citra Boga Sentosa, PT</t>
  </si>
  <si>
    <t>Indo Surya Cemerlang, CV</t>
  </si>
  <si>
    <t>Nusantara, Toko</t>
  </si>
  <si>
    <t>Newhope Aqua Feed Indonesia, PT</t>
  </si>
  <si>
    <t>Surya Serba Mulia, PT</t>
  </si>
  <si>
    <t>Sumatra Motor Teknindo, PT</t>
  </si>
  <si>
    <t>Tri Jaya Sukses</t>
  </si>
  <si>
    <t>Perc, Salma</t>
  </si>
  <si>
    <t>AKR Corporindo Tbk, PT</t>
  </si>
  <si>
    <t>General Agromesin Lestari, PT</t>
  </si>
  <si>
    <t>Maju Tambak Sumur, PT</t>
  </si>
  <si>
    <t>SUMBERDAYA SINAR BARU, PT</t>
  </si>
  <si>
    <t xml:space="preserve">PT Anesta Agung </t>
  </si>
  <si>
    <t>Choice Canning Company Inc,</t>
  </si>
  <si>
    <t>Tn. Julius Juyanto</t>
  </si>
  <si>
    <t xml:space="preserve">Tn. Sudirman </t>
  </si>
  <si>
    <t>PT Anugerah Berkah Usaha</t>
  </si>
  <si>
    <t>PT Delos Rantai Maritim</t>
  </si>
  <si>
    <t>PT International Packaging Manufacturing</t>
  </si>
  <si>
    <t xml:space="preserve">Tn. Agus Sujono </t>
  </si>
  <si>
    <t>Ahmad Ruba'i</t>
  </si>
  <si>
    <t>Ahmad Heriyadi</t>
  </si>
  <si>
    <t>Disanta, PT</t>
  </si>
  <si>
    <t>Jwartono</t>
  </si>
  <si>
    <t>PT Konverta Mitra Abadi</t>
  </si>
  <si>
    <t>CV Mekar Karya Mulia</t>
  </si>
  <si>
    <t>Syarifuddin Arief, Hj,</t>
  </si>
  <si>
    <t>Multidaya Teknologi Nusantara PT</t>
  </si>
  <si>
    <t>Prima Larvae, PT</t>
  </si>
  <si>
    <t>Sinar Hidup Satwa, PT</t>
  </si>
  <si>
    <t>RBFood Manufaktur Indonesia, PT</t>
  </si>
  <si>
    <t xml:space="preserve">PT RBFood Supply Indonesia </t>
  </si>
  <si>
    <t>Mitra Lestari Mandiri</t>
  </si>
  <si>
    <t>PT CJ Cheiljedang Feed Lampung</t>
  </si>
  <si>
    <t>Grahamakmur Ciptapratama</t>
  </si>
  <si>
    <t xml:space="preserve">Tn. Ismanto </t>
  </si>
  <si>
    <t>Yeremia Sukamto</t>
  </si>
  <si>
    <t>Prayoga Maju Sejahtera,CV</t>
  </si>
  <si>
    <t xml:space="preserve">PT Sumber Energy </t>
  </si>
  <si>
    <t>PT Indojaya Sukses Makmur</t>
  </si>
  <si>
    <t>PT Gemilang Primajaya Trimandiri</t>
  </si>
  <si>
    <t>PT Indonesia Makan Udang</t>
  </si>
  <si>
    <t>Putra Widjaja Marine, CV</t>
  </si>
  <si>
    <t>PT SAEIKI TANGGUH COOLER</t>
  </si>
  <si>
    <t>Utomo Print</t>
  </si>
  <si>
    <t>Bio Tirta, CV</t>
  </si>
  <si>
    <t>Brandon Teknik</t>
  </si>
  <si>
    <t xml:space="preserve">Toko Sumber Matahari </t>
  </si>
  <si>
    <t>Suharto</t>
  </si>
  <si>
    <t>PT Sinergy Indopack Makmur</t>
  </si>
  <si>
    <t>SJP, Toko</t>
  </si>
  <si>
    <t>Prima Sari Indotama, PT</t>
  </si>
  <si>
    <t>PSI</t>
  </si>
  <si>
    <t>Sumatraco Langgeng Abadi, PT</t>
  </si>
  <si>
    <t>R &amp; R COLECTION</t>
  </si>
  <si>
    <t>PT Rahayu Perdana Trans</t>
  </si>
  <si>
    <t>Toko Percetakan A1 Printing</t>
  </si>
  <si>
    <t xml:space="preserve">Toko R &amp; R Collection </t>
  </si>
  <si>
    <t xml:space="preserve">CV Beltraco </t>
  </si>
  <si>
    <t>PT Sumatraco Langgeng Abadi</t>
  </si>
  <si>
    <t xml:space="preserve">PT Jodabo Sukses </t>
  </si>
  <si>
    <t>Lima Pendawa, CV</t>
  </si>
  <si>
    <t>NURTANSA MANDIRI, TB</t>
  </si>
  <si>
    <t>Indonesia Nisshin Technomic, PT</t>
  </si>
  <si>
    <t>Lumina Packaging, PT</t>
  </si>
  <si>
    <t>Prima Akuakultur Lestari, PT</t>
  </si>
  <si>
    <t>Serbaguna Karya Mandiri, CV</t>
  </si>
  <si>
    <t>Nusa Jaya</t>
  </si>
  <si>
    <t>Sarana Mitra Tambak, CV</t>
  </si>
  <si>
    <t>Sumber Tani Makmur Abadi, UD</t>
  </si>
  <si>
    <t>Sarana Boga Sentosa, CV</t>
  </si>
  <si>
    <t>Persahabatan Electric</t>
  </si>
  <si>
    <t>Multi Daya Teknologi Nusantara, PT</t>
  </si>
  <si>
    <t>Indoplast Jaya Sukses Makmur, PT</t>
  </si>
  <si>
    <t>Masatu Putra, CV</t>
  </si>
  <si>
    <t>Andalan Traiding Mina, CV</t>
  </si>
  <si>
    <t>Sakti Biru Indonesia, PT</t>
  </si>
  <si>
    <t>Indolabel Surya Pratama, PT</t>
  </si>
  <si>
    <t>Optimis Group, CV</t>
  </si>
  <si>
    <t>Voltric Jaya Mandiri, PT</t>
  </si>
  <si>
    <t>Mandiri Jaya Perkasa (Sanbe), CV</t>
  </si>
  <si>
    <t>M. Iqbal</t>
  </si>
  <si>
    <t>Windu Segara Hatchery, CV</t>
  </si>
  <si>
    <t>Dinamika Lubsindo Utama, PT</t>
  </si>
  <si>
    <t>Hendro Hariyanto</t>
  </si>
  <si>
    <t>Nerimo Ing Pandum CV</t>
  </si>
  <si>
    <t>Nutritek Pratama Indonesia, PT</t>
  </si>
  <si>
    <t>Krakatau Haura Baraka ,CV</t>
  </si>
  <si>
    <t>PT Thai Union Kharisma Lestari</t>
  </si>
  <si>
    <t>Andalan Trading Mina, CV</t>
  </si>
  <si>
    <t>Gatot Eko Andoyo</t>
  </si>
  <si>
    <t>Utang Usaha</t>
  </si>
  <si>
    <t>Lain-lain (masing-masing di bawah Rp 20.000.000)-IDR</t>
  </si>
  <si>
    <t xml:space="preserve">Hutang Lain - Lain ( Penyesuaian Utang PPh Pasal 29) </t>
  </si>
  <si>
    <t xml:space="preserve">IAS </t>
  </si>
  <si>
    <t>Global Babel Maritim, PT</t>
  </si>
  <si>
    <t>Sedulur Bertiga Jaya, PT</t>
  </si>
  <si>
    <t>Brataco Lampung, PT</t>
  </si>
  <si>
    <t>Himalaya Everest Jaya, PT</t>
  </si>
  <si>
    <t>Indokemika Jayatama, PT</t>
  </si>
  <si>
    <t>Jodabo Sukses, PT</t>
  </si>
  <si>
    <t>Suranto</t>
  </si>
  <si>
    <t>Didit Wirawan</t>
  </si>
  <si>
    <t>Marubeni Indonesia, PT</t>
  </si>
  <si>
    <t>Mida Trade Ventures Indonesia, PT</t>
  </si>
  <si>
    <t>Sion Vannamei Raharja, CV</t>
  </si>
  <si>
    <t>Sri Rejeki, CV</t>
  </si>
  <si>
    <t>Total Trade Payable</t>
  </si>
  <si>
    <t xml:space="preserve">Related Payable </t>
  </si>
  <si>
    <t xml:space="preserve">Hutang Usaha </t>
  </si>
  <si>
    <t>Jurnal</t>
  </si>
  <si>
    <t>GMCP-Surabaya</t>
  </si>
  <si>
    <t xml:space="preserve">Total Related Payable </t>
  </si>
  <si>
    <t>OTHER PAYABLE</t>
  </si>
  <si>
    <t xml:space="preserve">Hutang atas Pembelian Aset Tetap </t>
  </si>
  <si>
    <t>Reklass ke AP Usaha</t>
  </si>
  <si>
    <t>PPh Pasal 28A</t>
  </si>
  <si>
    <t xml:space="preserve">Utang pajak </t>
  </si>
  <si>
    <t xml:space="preserve">Pihak Berelasi </t>
  </si>
  <si>
    <t>Pasal 28 a</t>
  </si>
  <si>
    <t>Akan dikembalikan</t>
  </si>
  <si>
    <t>Ibnu Syena Alfitra,, - Pinjaman</t>
  </si>
  <si>
    <t>Saimi Saleh</t>
  </si>
  <si>
    <t>Usman Saleh</t>
  </si>
  <si>
    <t>Lain-lain</t>
  </si>
  <si>
    <t>Total Other Payable</t>
  </si>
  <si>
    <t>TAX PAYABLE</t>
  </si>
  <si>
    <t xml:space="preserve">Utang Pph 21 </t>
  </si>
  <si>
    <t>Utang PPN</t>
  </si>
  <si>
    <t>Utang Pph 22</t>
  </si>
  <si>
    <t>Utang Pph 23</t>
  </si>
  <si>
    <t>Utang Pph 25</t>
  </si>
  <si>
    <t>Utang Pph 26</t>
  </si>
  <si>
    <t>Utang PPh Pasal 4(2)</t>
  </si>
  <si>
    <t>Utang Pph 29</t>
  </si>
  <si>
    <t xml:space="preserve">Denda Pajak </t>
  </si>
  <si>
    <t>Total Tax Payable</t>
  </si>
  <si>
    <t>Accrued Expenses</t>
  </si>
  <si>
    <t>Angkut</t>
  </si>
  <si>
    <t>Utilitas</t>
  </si>
  <si>
    <t>PT Rentokil Indonesia</t>
  </si>
  <si>
    <t>Analisa/Uji</t>
  </si>
  <si>
    <t xml:space="preserve">Biaya Profesional </t>
  </si>
  <si>
    <t>(Bunga Bannk IAS) Gaji &amp; Upah Borongan</t>
  </si>
  <si>
    <t xml:space="preserve">Biaya Bunga Masih Harus Dibayar </t>
  </si>
  <si>
    <t>Beban Gaji</t>
  </si>
  <si>
    <t>Angsuran Kendaraan</t>
  </si>
  <si>
    <t xml:space="preserve">Pemeliharaan &amp; Perbaikan </t>
  </si>
  <si>
    <t xml:space="preserve">Lain-Lain </t>
  </si>
  <si>
    <t>Purchase bill to come</t>
  </si>
  <si>
    <t xml:space="preserve">Total Biaya yang masih harus dibayar </t>
  </si>
  <si>
    <t>Lease Liabilities from Related Parties</t>
  </si>
  <si>
    <t xml:space="preserve">Short Term Lease Liabilities </t>
  </si>
  <si>
    <t>Total Current Maturities of Long-Term Debts</t>
  </si>
  <si>
    <t>Current Maturities of Long-Term Debts:</t>
  </si>
  <si>
    <t xml:space="preserve">Utang Bank </t>
  </si>
  <si>
    <t xml:space="preserve">Utang Pembiayaan Konsumen </t>
  </si>
  <si>
    <t>TOTAL UTANG JANGKA PENDEK</t>
  </si>
  <si>
    <t>LONG TERM LIABILITY</t>
  </si>
  <si>
    <t>Employee Benefits Liability</t>
  </si>
  <si>
    <t>Liabilitas imbalan pasca kerja</t>
  </si>
  <si>
    <t>Total Employee Benefits Liability</t>
  </si>
  <si>
    <t>Long-Term Debts - Net of Current Maturities:</t>
  </si>
  <si>
    <t xml:space="preserve">Reklass </t>
  </si>
  <si>
    <t>Kredit Investasi Ekspor  I</t>
  </si>
  <si>
    <t>Kredit Modal Kerja Ekspor III</t>
  </si>
  <si>
    <t>Utang Jangka Panjang Yang akan jatuh tempo dalam satuhun</t>
  </si>
  <si>
    <t xml:space="preserve">Total Hutang Bank </t>
  </si>
  <si>
    <t>Lease Liability</t>
  </si>
  <si>
    <t>Lease Liability PSAK 73</t>
  </si>
  <si>
    <t>Total Other Payables</t>
  </si>
  <si>
    <t>Other Payables</t>
  </si>
  <si>
    <t>Utang Lain-lain</t>
  </si>
  <si>
    <t>TOTAL HUTANG JANGKA PANJANG</t>
  </si>
  <si>
    <t>TOTAL HUTANG</t>
  </si>
  <si>
    <t>EQUITY</t>
  </si>
  <si>
    <t>Modal Disetor</t>
  </si>
  <si>
    <t>Masyarakat - Saham Baru</t>
  </si>
  <si>
    <t xml:space="preserve">Agio Saham </t>
  </si>
  <si>
    <t xml:space="preserve">Biaya Emisi Saham </t>
  </si>
  <si>
    <r>
      <t xml:space="preserve">Tambahan Modal Disetor </t>
    </r>
    <r>
      <rPr>
        <i/>
        <sz val="11"/>
        <color theme="1"/>
        <rFont val="Calibri"/>
        <family val="2"/>
        <scheme val="minor"/>
      </rPr>
      <t>(Tax Amnesty)</t>
    </r>
  </si>
  <si>
    <t>Laba Rugi Ditahan - Induk</t>
  </si>
  <si>
    <t>Laba Rugi Tahun Berjalan - Induk</t>
  </si>
  <si>
    <t xml:space="preserve">Proforma Ekuitas </t>
  </si>
  <si>
    <t>Total Modal Disetor</t>
  </si>
  <si>
    <t>RETAINED EARNINGS</t>
  </si>
  <si>
    <t>ELIM 7&amp;8</t>
  </si>
  <si>
    <t>LABA TAHUN BERJALAN</t>
  </si>
  <si>
    <t>Total Retained Earning</t>
  </si>
  <si>
    <t>DEVIDEN</t>
  </si>
  <si>
    <t>Total Dividen</t>
  </si>
  <si>
    <t xml:space="preserve">Other Comprehensive Income </t>
  </si>
  <si>
    <t>OCI Tahun Berjalan</t>
  </si>
  <si>
    <t>Penghasilan Komprehensif Lain Surplus Revaluasi Aset Tetap</t>
  </si>
  <si>
    <t>Pengukuran Kembali Program Imbalan Pasti</t>
  </si>
  <si>
    <t>OCI Awal</t>
  </si>
  <si>
    <t>OCI Akhir</t>
  </si>
  <si>
    <t xml:space="preserve">Total Other Comprehensive Income </t>
  </si>
  <si>
    <t>Total Equity</t>
  </si>
  <si>
    <t>TOTAL LIABILITY AND EQUITY</t>
  </si>
  <si>
    <t>PENJUALAN</t>
  </si>
  <si>
    <t>Ekspor</t>
  </si>
  <si>
    <t>Udang</t>
  </si>
  <si>
    <t xml:space="preserve">Lokal </t>
  </si>
  <si>
    <t>Es</t>
  </si>
  <si>
    <t>Udang Roti</t>
  </si>
  <si>
    <t>Kepala Udang</t>
  </si>
  <si>
    <t xml:space="preserve">Retur Penjualan </t>
  </si>
  <si>
    <t>TOTAL REVENUE</t>
  </si>
  <si>
    <t xml:space="preserve">COGS </t>
  </si>
  <si>
    <t xml:space="preserve">COGS Udang </t>
  </si>
  <si>
    <t xml:space="preserve">Saldo Awal Udang </t>
  </si>
  <si>
    <t xml:space="preserve">Pembelian Udang </t>
  </si>
  <si>
    <t>ELIM 5 &amp; 6</t>
  </si>
  <si>
    <t>ELIM 5&amp;6</t>
  </si>
  <si>
    <t>ELIM 4 &amp; 5</t>
  </si>
  <si>
    <t xml:space="preserve">Barang Tersedia untuk dijual </t>
  </si>
  <si>
    <t>Barang Tersedia untuk Produksi (Breaded)</t>
  </si>
  <si>
    <t xml:space="preserve">Subtotal </t>
  </si>
  <si>
    <t xml:space="preserve">Persediaan Akhir Udang </t>
  </si>
  <si>
    <t xml:space="preserve">Cost of Production </t>
  </si>
  <si>
    <t>Tersedia untuk Barang Jadi (Udang)</t>
  </si>
  <si>
    <t xml:space="preserve">Total COGS Udang </t>
  </si>
  <si>
    <t>COGS Breaded</t>
  </si>
  <si>
    <t>Saldo Awal Breaded</t>
  </si>
  <si>
    <t xml:space="preserve">Transfer dari Udang </t>
  </si>
  <si>
    <t>Persediaan Akhir Breaded</t>
  </si>
  <si>
    <t xml:space="preserve">Pembelian </t>
  </si>
  <si>
    <t>Saprotan-Bahan Baku</t>
  </si>
  <si>
    <t>Pakan-Bahan Baku</t>
  </si>
  <si>
    <t>Bahan Baku &amp; Pembantunya</t>
  </si>
  <si>
    <t xml:space="preserve">Ongkos Angkut Pembelian </t>
  </si>
  <si>
    <t>Potongan Pembelian</t>
  </si>
  <si>
    <t>Retur Pembelian</t>
  </si>
  <si>
    <t>Solar</t>
  </si>
  <si>
    <t xml:space="preserve">Saldo Awal </t>
  </si>
  <si>
    <t>Saprotan</t>
  </si>
  <si>
    <t>Pakan</t>
  </si>
  <si>
    <t>Enginering</t>
  </si>
  <si>
    <t>Bahan Pembantu Roti</t>
  </si>
  <si>
    <t>Saldo Akhir</t>
  </si>
  <si>
    <t xml:space="preserve">COGS Bahan Pembantu </t>
  </si>
  <si>
    <t>Beban Langsung</t>
  </si>
  <si>
    <t>Beban Bahan Pembantu</t>
  </si>
  <si>
    <t>Packing Suplies, Biaya</t>
  </si>
  <si>
    <t>Bahan Pembantu Produksi, Biaya</t>
  </si>
  <si>
    <t>Biaya tenaga kerja langsung</t>
  </si>
  <si>
    <t>Bonus</t>
  </si>
  <si>
    <t>Gaji Karyawan Harian</t>
  </si>
  <si>
    <t>Gaji Karyawan Bulanan</t>
  </si>
  <si>
    <t>Insentive Karyawan</t>
  </si>
  <si>
    <t>Konsumsi Karyawan</t>
  </si>
  <si>
    <t>Lembur</t>
  </si>
  <si>
    <t>Panen</t>
  </si>
  <si>
    <t>Seragam</t>
  </si>
  <si>
    <t>Upah Bongkar &amp; Muat</t>
  </si>
  <si>
    <t>Beban Amortisasi</t>
  </si>
  <si>
    <t>Upah Borongan</t>
  </si>
  <si>
    <t>Biaya Overhead Pabrik</t>
  </si>
  <si>
    <t>BBM Kendaraan Pabrik,</t>
  </si>
  <si>
    <t>BBM Solar/ Oli</t>
  </si>
  <si>
    <t>Gas Elpiji</t>
  </si>
  <si>
    <t>Listrik</t>
  </si>
  <si>
    <t>Perbaikan &amp; Pemeliharaan Sarana Produksi</t>
  </si>
  <si>
    <t>Perbaikan-Pemeliharaan Sarana Tambak, Biaya</t>
  </si>
  <si>
    <t>Perlengkapan Sarana Tambak, Biaya</t>
  </si>
  <si>
    <t>Surat-Surat Kendaraan Pabrik, Biaya</t>
  </si>
  <si>
    <t>Perbaikan &amp; Pemeliharaan Infrastruktur, Biaya</t>
  </si>
  <si>
    <t>Perbaikan &amp; Pemeliharaan Mesin, Biaya</t>
  </si>
  <si>
    <t>Uniform, Biaya</t>
  </si>
  <si>
    <t>Perlengkapan Sarana Produksi</t>
  </si>
  <si>
    <t>Biaya Sewa</t>
  </si>
  <si>
    <t>Others</t>
  </si>
  <si>
    <t>Total Beban Pendukung</t>
  </si>
  <si>
    <t>TOTAL COGS</t>
  </si>
  <si>
    <t>GROSS PROFIT</t>
  </si>
  <si>
    <t>OPERATING EXPENSES</t>
  </si>
  <si>
    <t xml:space="preserve">Beban Penjualan </t>
  </si>
  <si>
    <t xml:space="preserve">Pengiriman </t>
  </si>
  <si>
    <t xml:space="preserve">Klaim </t>
  </si>
  <si>
    <t xml:space="preserve">Administrasi </t>
  </si>
  <si>
    <t>Analisis dan tes</t>
  </si>
  <si>
    <t>Keanggotaan</t>
  </si>
  <si>
    <t>Beban Bongkar Muat Eskpor</t>
  </si>
  <si>
    <t>Ekspedisi Muatan Kapal Laut</t>
  </si>
  <si>
    <t>Iuran Asosiasi Pengusaha Pengolahan &amp; Pemasaran Produk Perikanan Indonesia &amp; ISO</t>
  </si>
  <si>
    <t>Prov Courier Charge, Overdue Interest, BBLN, Biaya</t>
  </si>
  <si>
    <t>Beban Dokumen Ekspor</t>
  </si>
  <si>
    <t>Beban EMKL</t>
  </si>
  <si>
    <t>Beban Komisi</t>
  </si>
  <si>
    <t>Beban Sample</t>
  </si>
  <si>
    <t>Surveyor</t>
  </si>
  <si>
    <t xml:space="preserve">Pameran </t>
  </si>
  <si>
    <t>Demurrage/ Sandar, Biaya</t>
  </si>
  <si>
    <t>Duty</t>
  </si>
  <si>
    <t>Beban Lain-lain</t>
  </si>
  <si>
    <t xml:space="preserve">Total Beban Penjualan </t>
  </si>
  <si>
    <t>Gaji dan Tunjangan Karyawan</t>
  </si>
  <si>
    <t>BPJS/ Jamsostek</t>
  </si>
  <si>
    <t>Gaji Karyawan Kantor</t>
  </si>
  <si>
    <t>Tunjangan Hari Raya</t>
  </si>
  <si>
    <t>Tunjangan Karyawan</t>
  </si>
  <si>
    <t xml:space="preserve">Pesangon </t>
  </si>
  <si>
    <t>Kesejahteraan Karyawan</t>
  </si>
  <si>
    <t>Beban Administrasi Dan Umum</t>
  </si>
  <si>
    <t>Administrasi &amp; Umum Lainnya</t>
  </si>
  <si>
    <t>Alat Tulis Kantor</t>
  </si>
  <si>
    <t>Asuransi</t>
  </si>
  <si>
    <t>BBM Kendaraan Kantor</t>
  </si>
  <si>
    <t>Entertainment &amp; Sumbangan</t>
  </si>
  <si>
    <t>Keamanan/Outsourcing</t>
  </si>
  <si>
    <t>Materai, Koran &amp; Majalah</t>
  </si>
  <si>
    <t>Meals Traveling</t>
  </si>
  <si>
    <t>Ongkos Angkut</t>
  </si>
  <si>
    <t>Pajak Lain-Lain</t>
  </si>
  <si>
    <t>Parkir Tol Fee Dll</t>
  </si>
  <si>
    <t>Pendidikan &amp; Pelatihan</t>
  </si>
  <si>
    <t>Pengobatan</t>
  </si>
  <si>
    <t>Peralatan &amp; Perlengkapan Kantor</t>
  </si>
  <si>
    <t>Peralatan &amp; Perlengkapan Produksi</t>
  </si>
  <si>
    <t>Perdin, Hotel, Tiket, Akomodasi</t>
  </si>
  <si>
    <t>Rumah Tangga Kantor</t>
  </si>
  <si>
    <t>Surat-Surat Kendaraan Kantor</t>
  </si>
  <si>
    <t>Surat-Surat Perizinan</t>
  </si>
  <si>
    <t>Telephone</t>
  </si>
  <si>
    <t>Tenaga Ahli / Konsultan</t>
  </si>
  <si>
    <t>Transportasi, Akomodasi</t>
  </si>
  <si>
    <t xml:space="preserve">Penghapusan Piutang </t>
  </si>
  <si>
    <t>Biaya Lain-lain</t>
  </si>
  <si>
    <t>Keamanan/Outsourcing, Biaya</t>
  </si>
  <si>
    <t>Beban Perbaikan Dan Pemeliharaan</t>
  </si>
  <si>
    <t>Perbaikan &amp; Pemeliharaan Bangunan</t>
  </si>
  <si>
    <t>Perbaikan &amp; Pemeliharaan Infrastruktur</t>
  </si>
  <si>
    <t>Perbaikan &amp; Pemeliharaan Kendaraan Kantor</t>
  </si>
  <si>
    <t>Perbaikan &amp; Pemeliharaan Kendaraan Pabrik</t>
  </si>
  <si>
    <t>Perbaikan &amp; Pemeliharaan Mesin</t>
  </si>
  <si>
    <t xml:space="preserve">Perbaikan &amp; Pemeliharaan Peralatan Kantor </t>
  </si>
  <si>
    <t>Perbaikan &amp; pemeliharaan pabrik es</t>
  </si>
  <si>
    <t>Beban Depresiasi Dan Amortisasi</t>
  </si>
  <si>
    <t>Penyusutan Peralatan Kantor</t>
  </si>
  <si>
    <t>Penyusutan Sarana &amp; Prasarana, Biaya</t>
  </si>
  <si>
    <t xml:space="preserve">Penyusutan Bangunan </t>
  </si>
  <si>
    <t>Penyusutan Electricity Instalasi</t>
  </si>
  <si>
    <t>Penyusutan Infrastruktur</t>
  </si>
  <si>
    <t xml:space="preserve">Penyusutan Kendaraan </t>
  </si>
  <si>
    <t>Penyusutan Mesin-Mesin</t>
  </si>
  <si>
    <t xml:space="preserve">Penyusutan Peralatan Produksi </t>
  </si>
  <si>
    <t>Depresiasi AHG  (PSAK 73)</t>
  </si>
  <si>
    <t>Penyusutan Sumur Bor</t>
  </si>
  <si>
    <t>Penyusutan Aset Tetap Pemilikan Langsung</t>
  </si>
  <si>
    <t>Penyusutan Peralatan LAB</t>
  </si>
  <si>
    <t xml:space="preserve">Total Beban Umum dan Administrasi </t>
  </si>
  <si>
    <t>Total Operating Expenses</t>
  </si>
  <si>
    <t>OPERATING INCOME (LOSS)</t>
  </si>
  <si>
    <t>OTHER INCOME (EXPENSES)</t>
  </si>
  <si>
    <t>OTHER INCOME</t>
  </si>
  <si>
    <t>Pendapatan Bunga</t>
  </si>
  <si>
    <t>Ok</t>
  </si>
  <si>
    <t>Pendapatan Jasa Giro</t>
  </si>
  <si>
    <t>oK</t>
  </si>
  <si>
    <t>Laba (Rugi) Selisih Kurs - Neto</t>
  </si>
  <si>
    <t>Pendapatan Cadangan kerugian Penurunan Nilai</t>
  </si>
  <si>
    <t>ELIM 5 &amp; 8</t>
  </si>
  <si>
    <t>OK</t>
  </si>
  <si>
    <t>Pendapatan Jasa Maklon</t>
  </si>
  <si>
    <t>Total Other Income</t>
  </si>
  <si>
    <t>OTHER EXPENSES</t>
  </si>
  <si>
    <t>Beban Administrasi Bank</t>
  </si>
  <si>
    <t xml:space="preserve">Beban Pajak Jasa Giro </t>
  </si>
  <si>
    <t xml:space="preserve">Beban Provisi Bank </t>
  </si>
  <si>
    <t>Denda</t>
  </si>
  <si>
    <t>Denda Pajak</t>
  </si>
  <si>
    <t xml:space="preserve">Beban Bunga/Keuangan </t>
  </si>
  <si>
    <t xml:space="preserve">Beban Bunga Leasing </t>
  </si>
  <si>
    <t>Beban Cadangan kerugian Penurunan Nilai</t>
  </si>
  <si>
    <t>Rugi selisih kurs</t>
  </si>
  <si>
    <t>Beban Bunga aset Hak-guna</t>
  </si>
  <si>
    <t>Lain-Lain - Neto</t>
  </si>
  <si>
    <t>Biaya Lain-Lain</t>
  </si>
  <si>
    <t>Total Other Expenses</t>
  </si>
  <si>
    <t>TOTAL PENDAPATAN (BEBAN) LAIN-LAIN</t>
  </si>
  <si>
    <t>GAIN (LOSS) BEFORE TAX</t>
  </si>
  <si>
    <t>TAX INCOME</t>
  </si>
  <si>
    <t xml:space="preserve">Beban Pajak Kini </t>
  </si>
  <si>
    <t>Income (Benefit) Tax Expense</t>
  </si>
  <si>
    <t>Deferred Tax</t>
  </si>
  <si>
    <t>Beban Pajak Penghasilan</t>
  </si>
  <si>
    <t xml:space="preserve">Manfaat (Beban) Pajak Tangguhan </t>
  </si>
  <si>
    <t xml:space="preserve">Note </t>
  </si>
  <si>
    <t>TOTAL TAX</t>
  </si>
  <si>
    <t>NET PROFIT (LOSS)</t>
  </si>
  <si>
    <t>Keuntungan (kerugian) aktuaria atas imbalan kerja pasti</t>
  </si>
  <si>
    <t>Total Keuntungan (kerugian) aktuaria atas imbalan kerja pasti</t>
  </si>
  <si>
    <t>Deferred Tax (OCI)</t>
  </si>
  <si>
    <t>Other comprehensive income</t>
  </si>
  <si>
    <t>Sesuai Laporan Aktuaris 7,3%</t>
  </si>
  <si>
    <t>Sesuai Laporan Aktuaris 6,7%</t>
  </si>
  <si>
    <t xml:space="preserve">PT INDO AMERICAN SEAFOODS </t>
  </si>
  <si>
    <t>LAPORAN POSISI KEUANGAN KONSOLIDASIAN</t>
  </si>
  <si>
    <t>Tanggal 31 Desember 2024 dan 2023</t>
  </si>
  <si>
    <t>(Disajikan dalam Rupiah, kecuali dinyatakan lain)</t>
  </si>
  <si>
    <t>Catatan/</t>
  </si>
  <si>
    <t>Notes</t>
  </si>
  <si>
    <t>2022</t>
  </si>
  <si>
    <t>ASET LANCAR</t>
  </si>
  <si>
    <t>CURRENT ASSETS</t>
  </si>
  <si>
    <t>Cash and Cash Equivalents</t>
  </si>
  <si>
    <t>Piutang Usaha</t>
  </si>
  <si>
    <t>Trade Accounts Receivable</t>
  </si>
  <si>
    <t>Related Party</t>
  </si>
  <si>
    <t>Pihak Ketiga</t>
  </si>
  <si>
    <t>Third Parties</t>
  </si>
  <si>
    <t>Piutang Lain-lain Pihak dari Ketiga</t>
  </si>
  <si>
    <t>Other Receivables from Third Parties</t>
  </si>
  <si>
    <t>Inventories</t>
  </si>
  <si>
    <t>Biological Assets</t>
  </si>
  <si>
    <t>18a</t>
  </si>
  <si>
    <t>Prepaid Taxes</t>
  </si>
  <si>
    <t xml:space="preserve">Uang Muka dan Biaya Dibayar </t>
  </si>
  <si>
    <t xml:space="preserve">Prepaid Expenses and </t>
  </si>
  <si>
    <t>Dimuka</t>
  </si>
  <si>
    <t>Advances</t>
  </si>
  <si>
    <t>Security Deposit</t>
  </si>
  <si>
    <t>Total Current Assets</t>
  </si>
  <si>
    <t>NON-CURRENT ASSETS</t>
  </si>
  <si>
    <t xml:space="preserve">Piutang Lain-lain dari </t>
  </si>
  <si>
    <t xml:space="preserve">Other Receivable from </t>
  </si>
  <si>
    <t>Related Parties</t>
  </si>
  <si>
    <t xml:space="preserve">Aset Tetap </t>
  </si>
  <si>
    <t>Fixed Assets</t>
  </si>
  <si>
    <t xml:space="preserve">Aset Hak-Guna </t>
  </si>
  <si>
    <t xml:space="preserve">Right-of-Use Assets </t>
  </si>
  <si>
    <t>Aset Dalam Proses</t>
  </si>
  <si>
    <t>Work in Process</t>
  </si>
  <si>
    <t>18e</t>
  </si>
  <si>
    <t>Total Non-Current Assets</t>
  </si>
  <si>
    <t>30 Juni 2024/</t>
  </si>
  <si>
    <t>LIABILITIES AND EQUITY</t>
  </si>
  <si>
    <t>LIABILITAS</t>
  </si>
  <si>
    <t>LIABILITIES</t>
  </si>
  <si>
    <t>LIABILITAS JANGKA PENDEK</t>
  </si>
  <si>
    <t>CURRENT LIABILITIES</t>
  </si>
  <si>
    <t>Trade Accounts Payable to</t>
  </si>
  <si>
    <t>Thrid Parties</t>
  </si>
  <si>
    <t>19a</t>
  </si>
  <si>
    <t>Bank Loans</t>
  </si>
  <si>
    <t>18b</t>
  </si>
  <si>
    <t>Taxes Payable</t>
  </si>
  <si>
    <t xml:space="preserve">Bagian Lancar dari Utang </t>
  </si>
  <si>
    <t xml:space="preserve">Current Portion of </t>
  </si>
  <si>
    <t>Jangka Panjang</t>
  </si>
  <si>
    <t xml:space="preserve"> Long-Term Liabilities</t>
  </si>
  <si>
    <t xml:space="preserve">Purchase of Fixed Assets </t>
  </si>
  <si>
    <t xml:space="preserve">Liabilitas Sewa kepada </t>
  </si>
  <si>
    <t xml:space="preserve">Lease Liabilities to </t>
  </si>
  <si>
    <t xml:space="preserve">Related Parties </t>
  </si>
  <si>
    <t>Total Current Liabilities</t>
  </si>
  <si>
    <t>LIABILITAS JANGKA PANJANG</t>
  </si>
  <si>
    <t>NON-CURRENT LIABILITIES</t>
  </si>
  <si>
    <t xml:space="preserve">Liabiltas Jangka Panjang Dikurangi </t>
  </si>
  <si>
    <t>Long-Term Liabilities Net of</t>
  </si>
  <si>
    <t>Bagian Lancar</t>
  </si>
  <si>
    <t>Current Portion</t>
  </si>
  <si>
    <t>Other Payable to Related Party</t>
  </si>
  <si>
    <t>Other Payable to Third Party</t>
  </si>
  <si>
    <t>19b</t>
  </si>
  <si>
    <t>Bank loans</t>
  </si>
  <si>
    <t>Purchase of Fixed Assets Liabilities</t>
  </si>
  <si>
    <t xml:space="preserve">Liabilitas Sewa kepada Pihak Berelasi </t>
  </si>
  <si>
    <t xml:space="preserve">Lease Liabilities to Related Parties </t>
  </si>
  <si>
    <t>Liabilitas Imbalan Pascakerja</t>
  </si>
  <si>
    <t>Post-Employment Benefits Liabilities</t>
  </si>
  <si>
    <t>Total Non-Current Liabilities</t>
  </si>
  <si>
    <t>TOTAL LIABILITIES</t>
  </si>
  <si>
    <t>Juni 2024/</t>
  </si>
  <si>
    <t>Desember 2023/</t>
  </si>
  <si>
    <t>June 2024</t>
  </si>
  <si>
    <t>December 2023</t>
  </si>
  <si>
    <t>EKUITAS</t>
  </si>
  <si>
    <t>Modal Saham - Nilai Nominal</t>
  </si>
  <si>
    <t xml:space="preserve">Share Capital </t>
  </si>
  <si>
    <t xml:space="preserve">Rp 50,- per Saham </t>
  </si>
  <si>
    <t>Par value Rp 50 per share,</t>
  </si>
  <si>
    <t xml:space="preserve">Modal Dasar Sebesar 3.200.000.000 </t>
  </si>
  <si>
    <t xml:space="preserve">Authorized Capital 3,200,000,000 </t>
  </si>
  <si>
    <t xml:space="preserve">Saham pada 31 Desember </t>
  </si>
  <si>
    <t xml:space="preserve">shares as of December 31, </t>
  </si>
  <si>
    <t xml:space="preserve">2024 dan 800.000.000 Saham </t>
  </si>
  <si>
    <t xml:space="preserve">2024 and 800,000,000 Shares </t>
  </si>
  <si>
    <t>pada 31 Desember 2023</t>
  </si>
  <si>
    <t>as of December, 31 2023</t>
  </si>
  <si>
    <t xml:space="preserve">Modal Disetor dan Ditempatkan pada </t>
  </si>
  <si>
    <t>Authorized and Subscribed</t>
  </si>
  <si>
    <t xml:space="preserve">31 Desember 2024 dan 2023 </t>
  </si>
  <si>
    <t>as of December 31, 2024 and 2023</t>
  </si>
  <si>
    <t xml:space="preserve">masing-masing 1.390.000.000 </t>
  </si>
  <si>
    <t xml:space="preserve">1,390,000,000 Shares and </t>
  </si>
  <si>
    <t xml:space="preserve">Saham dan 800.000.000 Saham </t>
  </si>
  <si>
    <t>21a</t>
  </si>
  <si>
    <t>800,000,000, respectively</t>
  </si>
  <si>
    <t>Additional Paid-in Capital</t>
  </si>
  <si>
    <t xml:space="preserve">BAE -Daftar Pembeli Saham </t>
  </si>
  <si>
    <t>Cek aturan OJK</t>
  </si>
  <si>
    <t>Equity Pro forma</t>
  </si>
  <si>
    <t>Surplus revaluasi aset tetap</t>
  </si>
  <si>
    <t>Asset revalution surplus</t>
  </si>
  <si>
    <t>Retained Earnings</t>
  </si>
  <si>
    <t>21b</t>
  </si>
  <si>
    <t xml:space="preserve"> Appropriated </t>
  </si>
  <si>
    <t>Tidak Ditentukan Penggunaannya</t>
  </si>
  <si>
    <t xml:space="preserve"> Unappropriated </t>
  </si>
  <si>
    <t>TOTAL EQUITY</t>
  </si>
  <si>
    <t>TOTAL LIABILITIES AND EQUITY</t>
  </si>
  <si>
    <t>*)Disajikan Kembali Catatan ..</t>
  </si>
  <si>
    <t>Control</t>
  </si>
  <si>
    <t>Current Ratio</t>
  </si>
  <si>
    <t>ROA</t>
  </si>
  <si>
    <t>ROE</t>
  </si>
  <si>
    <t>EBITDA/Pendapatan</t>
  </si>
  <si>
    <t xml:space="preserve">Gross Margin </t>
  </si>
  <si>
    <t>LAPORAN LABA RUGI DAN PENGHASILAN KOMPREHENSIF LAIN KONSOLIDASIAN</t>
  </si>
  <si>
    <t>UNTUK TAHUN YANG BERAKHIR PADA TANGGAL-TANGGAL</t>
  </si>
  <si>
    <t>31 December 2024 dan 2023</t>
  </si>
  <si>
    <t>SALES</t>
  </si>
  <si>
    <t>BEBAN POKOK PENJUALAN</t>
  </si>
  <si>
    <t>COST OF GOODS SOLD</t>
  </si>
  <si>
    <t>LABA KOTOR</t>
  </si>
  <si>
    <t>GROSS PROFITS</t>
  </si>
  <si>
    <t>Selling Expenses</t>
  </si>
  <si>
    <t>General and Administration Expenses</t>
  </si>
  <si>
    <t>Beban Lain-Lain - Bersih</t>
  </si>
  <si>
    <t>Other Expenses - Net</t>
  </si>
  <si>
    <t>Interest and Finance Cost</t>
  </si>
  <si>
    <t>Sub Jumlah</t>
  </si>
  <si>
    <t>Sub Total</t>
  </si>
  <si>
    <t>LABA SEBELUM PAJAK PENGHASILAN</t>
  </si>
  <si>
    <t>INCOME BEFORE INCOME TAX</t>
  </si>
  <si>
    <t xml:space="preserve">Beban Pajak Penghasilan: </t>
  </si>
  <si>
    <t>Income Tax Expenses:</t>
  </si>
  <si>
    <t xml:space="preserve">Pajak Kini </t>
  </si>
  <si>
    <t>18c</t>
  </si>
  <si>
    <t>Current Tax</t>
  </si>
  <si>
    <t xml:space="preserve">Pajak Tangguhan </t>
  </si>
  <si>
    <t xml:space="preserve">LABA TAHUN BERJALAN SEBELUM </t>
  </si>
  <si>
    <t>PROFIT FOR THE YEAR BEFORE IMPACT</t>
  </si>
  <si>
    <t>OF PROFORMA ADJUSTMENT</t>
  </si>
  <si>
    <t>IMPACT OF PRO FORMA ADJUSTMENT</t>
  </si>
  <si>
    <t>NET PROFIT FOR THE YEAR</t>
  </si>
  <si>
    <t>PENGHASILAN KOMPREHENSIF LAIN</t>
  </si>
  <si>
    <t>OTHER COMPREHENSIVE INCOME</t>
  </si>
  <si>
    <t xml:space="preserve">Pos yang Tidak Akan Direklasifikasi </t>
  </si>
  <si>
    <t>Items that Will Not Be Reclassified</t>
  </si>
  <si>
    <t>ke Laba Rugi:</t>
  </si>
  <si>
    <t>to Profit or Loss:</t>
  </si>
  <si>
    <t>Remeasurement of Defined Benefit</t>
  </si>
  <si>
    <t xml:space="preserve">Related Income Tax </t>
  </si>
  <si>
    <t xml:space="preserve">LABA KOMPREHENSIF TAHUN </t>
  </si>
  <si>
    <t xml:space="preserve">COMPREHENSIVE INCOME FOR </t>
  </si>
  <si>
    <t>BERJALAN</t>
  </si>
  <si>
    <t>THE YEAR</t>
  </si>
  <si>
    <t xml:space="preserve">LABA PER SAHAM </t>
  </si>
  <si>
    <t>EARNINGS PER SHARE</t>
  </si>
  <si>
    <t>Ctrl</t>
  </si>
  <si>
    <t>LAPORAN PERUBAHAN EKUITAS KONSOLIDASIAN</t>
  </si>
  <si>
    <t>30 Juni 2024, 31 Desember 2023, 2022 dan 2021</t>
  </si>
  <si>
    <t>Saldo Laba/</t>
  </si>
  <si>
    <t>Retained Earning</t>
  </si>
  <si>
    <t>dari Kombinasi Bisnis</t>
  </si>
  <si>
    <t>Entitas Sepengendali/</t>
  </si>
  <si>
    <t>Tambahan</t>
  </si>
  <si>
    <t>Equity Proforma  from</t>
  </si>
  <si>
    <t xml:space="preserve"> Modal Disetor/</t>
  </si>
  <si>
    <t xml:space="preserve"> Komprehensif Lain/</t>
  </si>
  <si>
    <t xml:space="preserve">Ditentukan </t>
  </si>
  <si>
    <t xml:space="preserve">Tidak Ditentukan </t>
  </si>
  <si>
    <t>Business Combination</t>
  </si>
  <si>
    <t>Modal Saham/</t>
  </si>
  <si>
    <t>Additional</t>
  </si>
  <si>
    <t>Other Comprehensive</t>
  </si>
  <si>
    <t>Penggunaannya/</t>
  </si>
  <si>
    <t>of Entities Under</t>
  </si>
  <si>
    <t>Jumlah Ekuitas/</t>
  </si>
  <si>
    <t>Share Capital</t>
  </si>
  <si>
    <t>Paid-in-Capital</t>
  </si>
  <si>
    <t xml:space="preserve"> Income</t>
  </si>
  <si>
    <t>Common Control</t>
  </si>
  <si>
    <t>Saldo 1 Januari 2021</t>
  </si>
  <si>
    <t>Balance as of January 1, 2021</t>
  </si>
  <si>
    <t xml:space="preserve">Pengukuran Kembali Program </t>
  </si>
  <si>
    <t>Remeasurement of</t>
  </si>
  <si>
    <t>Imbalan Pasti</t>
  </si>
  <si>
    <t>Defined Benefit</t>
  </si>
  <si>
    <t>Laba Tahun Berjalan</t>
  </si>
  <si>
    <t>Profit for The Year</t>
  </si>
  <si>
    <t>Saldo 31 Desember 2021</t>
  </si>
  <si>
    <t>Balance as of December 31, 2021</t>
  </si>
  <si>
    <t xml:space="preserve">Cadangan Umum </t>
  </si>
  <si>
    <t>Saldo 1 Januari 2023</t>
  </si>
  <si>
    <t>Balance as at January 1, 2023</t>
  </si>
  <si>
    <t xml:space="preserve">Pembalikan atas Proforma Ekuitas </t>
  </si>
  <si>
    <t xml:space="preserve">Reversed to the Proforma </t>
  </si>
  <si>
    <t xml:space="preserve">yang Timbul dari Kombinasi </t>
  </si>
  <si>
    <t xml:space="preserve">Equity from Business Combination of </t>
  </si>
  <si>
    <t xml:space="preserve"> Bisnis Entitas Sepengendali</t>
  </si>
  <si>
    <t>1c</t>
  </si>
  <si>
    <t>Entities Under Common Control</t>
  </si>
  <si>
    <t>Saldo 30 Juni 2023</t>
  </si>
  <si>
    <t>Balance as of June 30, 2023</t>
  </si>
  <si>
    <t>20b</t>
  </si>
  <si>
    <t>Bisnis Entitas Sepengendali</t>
  </si>
  <si>
    <t>Laba Periode Berjalan</t>
  </si>
  <si>
    <t>Profit for The Period</t>
  </si>
  <si>
    <t>Saldo 30 September 2023</t>
  </si>
  <si>
    <t>Balance as of September 30, 2023</t>
  </si>
  <si>
    <t>Saldo 31 Desember 2023</t>
  </si>
  <si>
    <t>Balance as at December 31, 2023</t>
  </si>
  <si>
    <t>Paid up Capital</t>
  </si>
  <si>
    <t>Saldo 30 Juni 2024</t>
  </si>
  <si>
    <t>Balance as of June 30, 2024</t>
  </si>
  <si>
    <t>Tambahan Modal di Setor</t>
  </si>
  <si>
    <t>Masyarakat (dibawah 5%)</t>
  </si>
  <si>
    <t>Public (each below 5%)</t>
  </si>
  <si>
    <t>Saldo 30 September 2024</t>
  </si>
  <si>
    <t>Balance as of September 30, 2024</t>
  </si>
  <si>
    <t xml:space="preserve">Setoran Modal Melalui Penawaran Umum </t>
  </si>
  <si>
    <t xml:space="preserve">Paid-Up Capital through Initial </t>
  </si>
  <si>
    <t>Perdana Saham</t>
  </si>
  <si>
    <t>20a</t>
  </si>
  <si>
    <t>Public Offering</t>
  </si>
  <si>
    <t xml:space="preserve">Penerimaan Agio Saham </t>
  </si>
  <si>
    <t xml:space="preserve">Proceeds Additional Paid-in </t>
  </si>
  <si>
    <t>Sehubungan dengan Penawaran</t>
  </si>
  <si>
    <t xml:space="preserve">Capital related to Initial </t>
  </si>
  <si>
    <t>Umum Perdana Saham</t>
  </si>
  <si>
    <t>Biaya Emisi Saham</t>
  </si>
  <si>
    <t>Share Issuance Cost</t>
  </si>
  <si>
    <t>Setoran Modal melalui Dividen Saham</t>
  </si>
  <si>
    <t>Paid-up Capital through Share Dividends</t>
  </si>
  <si>
    <t>Saldo 31 Desember 2024</t>
  </si>
  <si>
    <t>Balance as at December 31, 2024</t>
  </si>
  <si>
    <t>CTRL</t>
  </si>
  <si>
    <t>Harga Nominal Persaham</t>
  </si>
  <si>
    <t>Agio Saham</t>
  </si>
  <si>
    <t>Harga Penawaran</t>
  </si>
  <si>
    <t>Jumlah Saham (Masyarakat)</t>
  </si>
  <si>
    <t>Tanggal 30 Juni 2024, serta 31 Desember 2023, 2022, 2021, dan 2020</t>
  </si>
  <si>
    <r>
      <t xml:space="preserve">31 Desember/ </t>
    </r>
    <r>
      <rPr>
        <b/>
        <i/>
        <sz val="9"/>
        <rFont val="Arial"/>
        <family val="2"/>
      </rPr>
      <t>December 31</t>
    </r>
  </si>
  <si>
    <t>2023</t>
  </si>
  <si>
    <t>Piutang Lain-lain</t>
  </si>
  <si>
    <t>Other Receivables</t>
  </si>
  <si>
    <t>Uang Muka dan Biaya Dibayar Dimuka</t>
  </si>
  <si>
    <t>Prepaid Expenses and Advances</t>
  </si>
  <si>
    <t>Piutang Lain-lain dari Pihak Berelasi</t>
  </si>
  <si>
    <t>Other Receivable to Related Parties</t>
  </si>
  <si>
    <t xml:space="preserve">(Setelah dikurangi akumulasi </t>
  </si>
  <si>
    <t>(Net of accumulated</t>
  </si>
  <si>
    <t>penyusutan pada tanggal</t>
  </si>
  <si>
    <t>depreciation as of December 31,</t>
  </si>
  <si>
    <t>31 Desember 2023, 2022</t>
  </si>
  <si>
    <t>2023, 2022 and 2021</t>
  </si>
  <si>
    <t>dan 2021 masing-masing</t>
  </si>
  <si>
    <t xml:space="preserve">amounted to 'Rp 73,711,192,647, </t>
  </si>
  <si>
    <t>Rp 73.711.192.647,</t>
  </si>
  <si>
    <t>Rp 63,426,897,434</t>
  </si>
  <si>
    <t xml:space="preserve">Rp 63.426.897.434 dan </t>
  </si>
  <si>
    <t>and Rp 52,725,081,835</t>
  </si>
  <si>
    <t>Rp 52.725.081.835)</t>
  </si>
  <si>
    <t xml:space="preserve"> respectivley)</t>
  </si>
  <si>
    <t>Right-of-Use Assets</t>
  </si>
  <si>
    <t xml:space="preserve">(Net of accumulated </t>
  </si>
  <si>
    <t xml:space="preserve">penyusutan pada tanggal </t>
  </si>
  <si>
    <t>depreciation as of December</t>
  </si>
  <si>
    <t xml:space="preserve"> 31 Desember 2023, 2022</t>
  </si>
  <si>
    <t>2023, 2022 dan 2021</t>
  </si>
  <si>
    <t xml:space="preserve">amounted to Rp 1,178,447,040 , </t>
  </si>
  <si>
    <t>Sebesar 'Rp 1.178.447.040,</t>
  </si>
  <si>
    <t>Rp 1,259,436,349</t>
  </si>
  <si>
    <t xml:space="preserve">Rp 1.259.436.349 dan </t>
  </si>
  <si>
    <t xml:space="preserve">and Rp 944,577,262 </t>
  </si>
  <si>
    <t>Rp 944.577.262)</t>
  </si>
  <si>
    <t xml:space="preserve"> respectively)</t>
  </si>
  <si>
    <t>Trade Accounts Payable</t>
  </si>
  <si>
    <t>Utang Usaha - Pihak Ketiga</t>
  </si>
  <si>
    <t xml:space="preserve">Current Portion of Long-Term Debt </t>
  </si>
  <si>
    <t xml:space="preserve">Liabiltas Jangka Panjang - Setelah </t>
  </si>
  <si>
    <t>Long-Term Debt Net of</t>
  </si>
  <si>
    <t>Dikurangi Bagian Lancar</t>
  </si>
  <si>
    <t>Other Payable Third Parties</t>
  </si>
  <si>
    <t>Liabilitas Imbalan PascaKerja</t>
  </si>
  <si>
    <t>Post Employment Benefits Liability</t>
  </si>
  <si>
    <t>Share capital</t>
  </si>
  <si>
    <t>Modal Dasar Ditempatkan dan Disetor</t>
  </si>
  <si>
    <t xml:space="preserve">Authorized, Subscribed and Fully </t>
  </si>
  <si>
    <t>Sebesar 800.000.000 Saham</t>
  </si>
  <si>
    <t xml:space="preserve">Paid-up Capital 800,000,000 </t>
  </si>
  <si>
    <t>Additional paid-in capital</t>
  </si>
  <si>
    <t>Penghasilan Komprehensif lain</t>
  </si>
  <si>
    <t>Retained earnings</t>
  </si>
  <si>
    <t xml:space="preserve">pastikan rumus link nya </t>
  </si>
  <si>
    <t xml:space="preserve">JUMLAH LIABILITAS DAN </t>
  </si>
  <si>
    <t xml:space="preserve">TOTAL LIABILITIES </t>
  </si>
  <si>
    <t>AND EQUITY</t>
  </si>
  <si>
    <t>LAPORAN ARUS KAS KONSOLIDASIAN</t>
  </si>
  <si>
    <t>Untuk Tahun-tahun yang Berakhir pada 31 Desember 2024 dan 2023</t>
  </si>
  <si>
    <t>(Disajikan dalam Rupiah, kecuali Dinyatakan Lain)</t>
  </si>
  <si>
    <t>2021</t>
  </si>
  <si>
    <t>2020*)</t>
  </si>
  <si>
    <t xml:space="preserve">ARUS KAS DARI AKTIVITAS </t>
  </si>
  <si>
    <t xml:space="preserve">CASH FLOWS FROM OPERATING </t>
  </si>
  <si>
    <t>OPERASI</t>
  </si>
  <si>
    <t>ACTIVITIES</t>
  </si>
  <si>
    <t>Cash Receipts from Customers</t>
  </si>
  <si>
    <t>Pembayaran kepada Pemasok</t>
  </si>
  <si>
    <t>7,8,10,13,15,16,17</t>
  </si>
  <si>
    <t>Cash Paid to Suppliers</t>
  </si>
  <si>
    <t>24,26,27,29</t>
  </si>
  <si>
    <t>Pembayaran kepada Karyawan</t>
  </si>
  <si>
    <t>20b,24,26</t>
  </si>
  <si>
    <t>Cash Paid to Employees</t>
  </si>
  <si>
    <t>9,11,18a,12,18e,19a</t>
  </si>
  <si>
    <t>Cash Paid for Other Operating Expenses</t>
  </si>
  <si>
    <t>Kas Dihasilkan dari Operasi</t>
  </si>
  <si>
    <t>Cash Generated from Operating</t>
  </si>
  <si>
    <t>Penerimaan bunga</t>
  </si>
  <si>
    <t>Interest Received</t>
  </si>
  <si>
    <t>Cash Paid for Income Taxes Paid</t>
  </si>
  <si>
    <t>Pembayaran Beban Bunga dan Keuangan</t>
  </si>
  <si>
    <t>Payment of Interest and Finance Costs</t>
  </si>
  <si>
    <t>Kas Bersih Digunakan Untuk</t>
  </si>
  <si>
    <t>Net Cash Used in</t>
  </si>
  <si>
    <t>Aktivitas Operasi</t>
  </si>
  <si>
    <t>Operating Expenses</t>
  </si>
  <si>
    <t xml:space="preserve">CASH FLOWS FROM INVESTING </t>
  </si>
  <si>
    <t>Hasil Penjualan  Aset Tetap</t>
  </si>
  <si>
    <t>#REF!</t>
  </si>
  <si>
    <t>Pembayaran Uang Muka Pembelian</t>
  </si>
  <si>
    <t>Advance Payments for</t>
  </si>
  <si>
    <t>Purchase of Property, Plant and Equipment</t>
  </si>
  <si>
    <t>INVESTASI</t>
  </si>
  <si>
    <t>Perolehan Aset Tetap</t>
  </si>
  <si>
    <t>Acquisition of Fixed Assets</t>
  </si>
  <si>
    <t>Penerimaan Desposito</t>
  </si>
  <si>
    <t>Receipt of Deposits</t>
  </si>
  <si>
    <t xml:space="preserve">Penerimaan Piutang Lain-Lain </t>
  </si>
  <si>
    <t xml:space="preserve">Proceeds from Other Recivable </t>
  </si>
  <si>
    <t>dari Pihak Berelasi</t>
  </si>
  <si>
    <t>from Related Parties</t>
  </si>
  <si>
    <t>Perolehan Aset Hak Guna</t>
  </si>
  <si>
    <t xml:space="preserve">Kas Bersih Diperoleh dari (Digunakan untuk) </t>
  </si>
  <si>
    <t xml:space="preserve">Net Cash Provided by (Used in) </t>
  </si>
  <si>
    <t>Aktivitas Investasi</t>
  </si>
  <si>
    <t>from Investing Activities</t>
  </si>
  <si>
    <t xml:space="preserve">CASH FLOWS FROM FINANCING </t>
  </si>
  <si>
    <t>PENDANAAN</t>
  </si>
  <si>
    <t xml:space="preserve"> Bank Loans</t>
  </si>
  <si>
    <t xml:space="preserve">  Penerimaan</t>
  </si>
  <si>
    <t xml:space="preserve">   Proceeds</t>
  </si>
  <si>
    <t xml:space="preserve">  Pembayaran</t>
  </si>
  <si>
    <t xml:space="preserve">  Payments</t>
  </si>
  <si>
    <t>Pembayaran Liabilitas Sewa</t>
  </si>
  <si>
    <t>Payment for Lease Liabilities</t>
  </si>
  <si>
    <t>Liabilities for Purchase of Fixed Asset</t>
  </si>
  <si>
    <t>Pembayaran</t>
  </si>
  <si>
    <t xml:space="preserve">Pembayaran Utang Pembelian </t>
  </si>
  <si>
    <t>Liabilities for Purchase of</t>
  </si>
  <si>
    <t>Fixed Asset</t>
  </si>
  <si>
    <t>Modal Disetor dari Penawaran Umum</t>
  </si>
  <si>
    <t>Paid-Up Capital from Initial</t>
  </si>
  <si>
    <t>Public Offering of Shares</t>
  </si>
  <si>
    <t xml:space="preserve">Penerimaan Agio Saham sehubungan </t>
  </si>
  <si>
    <t>Proceeds from Additional Paid-in Capital</t>
  </si>
  <si>
    <t>dengan Penawaran Umum Perdana Saham</t>
  </si>
  <si>
    <t>through Initial Public Offering of Shares</t>
  </si>
  <si>
    <t>Emission Costs for Initial</t>
  </si>
  <si>
    <t xml:space="preserve">Pembayaran Biaya Emisi Saham </t>
  </si>
  <si>
    <t>Utang Lain-Lain kepada Pihak Berelasi</t>
  </si>
  <si>
    <t>Other Payable to Related Parties</t>
  </si>
  <si>
    <t>Penerimaan</t>
  </si>
  <si>
    <t>Proceed</t>
  </si>
  <si>
    <t xml:space="preserve">Pembayaran </t>
  </si>
  <si>
    <t xml:space="preserve">Payments </t>
  </si>
  <si>
    <t>Payments</t>
  </si>
  <si>
    <t>Kas Bersih Diperoleh dari</t>
  </si>
  <si>
    <t>Net Cash Provided by</t>
  </si>
  <si>
    <t>Aktivitas Pendanaan</t>
  </si>
  <si>
    <t>Financing Activities</t>
  </si>
  <si>
    <t>PENURUNAN BERSIH KAS</t>
  </si>
  <si>
    <t>NET DECREASE IN CASH</t>
  </si>
  <si>
    <t>DAN SETARA KAS</t>
  </si>
  <si>
    <t>AND CASH EQUIVALENTS</t>
  </si>
  <si>
    <t xml:space="preserve">KAS DAN SETARA KAS </t>
  </si>
  <si>
    <t>CASH AND CASH EQUIVALENTS</t>
  </si>
  <si>
    <t>AWAL TAHUN</t>
  </si>
  <si>
    <t>AT BEGINNING OF YEAR</t>
  </si>
  <si>
    <t>AKHIR TAHUN</t>
  </si>
  <si>
    <t>AT END OF YEAR</t>
  </si>
  <si>
    <t>Piutang Usaha dari Pihak Ketiga</t>
  </si>
  <si>
    <t xml:space="preserve">Biaya Dibayar Dimuka </t>
  </si>
  <si>
    <t xml:space="preserve">Utang </t>
  </si>
  <si>
    <t>Beban</t>
  </si>
  <si>
    <t xml:space="preserve">Liabilitas </t>
  </si>
  <si>
    <t>Utang</t>
  </si>
  <si>
    <t>Utang Pemegang</t>
  </si>
  <si>
    <t>Utang Pembelian</t>
  </si>
  <si>
    <t xml:space="preserve">Imbalan </t>
  </si>
  <si>
    <t>Tambahan Modal</t>
  </si>
  <si>
    <t>Pendapatan (Beban)</t>
  </si>
  <si>
    <t>Pajak</t>
  </si>
  <si>
    <t>Tetap</t>
  </si>
  <si>
    <t>Hak Guna</t>
  </si>
  <si>
    <t>Pajak Ditangguhkan</t>
  </si>
  <si>
    <t>Usaha</t>
  </si>
  <si>
    <t>Akrual</t>
  </si>
  <si>
    <t>Sewa</t>
  </si>
  <si>
    <t>Bank</t>
  </si>
  <si>
    <t>Saham</t>
  </si>
  <si>
    <t>Belum Ditagih</t>
  </si>
  <si>
    <t>Pascakerja</t>
  </si>
  <si>
    <t>Disetor</t>
  </si>
  <si>
    <t>Tangguhan</t>
  </si>
  <si>
    <t>Selisih 2024-2023</t>
  </si>
  <si>
    <t>Penerimaan Kas dari Aktivitas Operasi</t>
  </si>
  <si>
    <t/>
  </si>
  <si>
    <t>Penerimaan Kas Lainnya dari Aktivitas Operasi</t>
  </si>
  <si>
    <t>Pembayaran Kas dari Aktivitas Operasi</t>
  </si>
  <si>
    <t>Pembayaran Kepada Pemasok Atas Barang dan Jasa</t>
  </si>
  <si>
    <t>Pembayaran Gaji dan Tunjangan</t>
  </si>
  <si>
    <t>Penerimaan Bunga dari Aktivitas Operasi</t>
  </si>
  <si>
    <t>Pembayaran Bunga dari Aktivitas Operasi</t>
  </si>
  <si>
    <t>Pembayaran Pajak Penghasilah</t>
  </si>
  <si>
    <t>Jumlah arus kas bersih yang diperoleh dari (digunakan untuk) aktivitas operasi</t>
  </si>
  <si>
    <t>Pembayaran Uang Muka Pembelian Aset Tetap</t>
  </si>
  <si>
    <t>Penerimaan dari Penjualan Properti Investasi</t>
  </si>
  <si>
    <t>Pembayaran Untuk Perolehan Properti Investasi</t>
  </si>
  <si>
    <t>Penerimaan dari Penjualan Aset Tetap</t>
  </si>
  <si>
    <t>Pembayaran Untuk Perolehan Aset Tetap</t>
  </si>
  <si>
    <t>Penerimaan dari Penjualan Aset Takberwujud</t>
  </si>
  <si>
    <t>Pembayaran Untuk Perolehan Aset Takberwujud</t>
  </si>
  <si>
    <t>Penerimaan dari Future Contracts, Forward Contracts, Option Contracts, dan Swap Contracts</t>
  </si>
  <si>
    <t>Pembayaran Untuk Future Contracts, Forward Contracts, Option Contracts, dan Swap Contracts</t>
  </si>
  <si>
    <t>Pembayaran Uang Muka Investasi</t>
  </si>
  <si>
    <t>Penerimaan Pembayaran Piutang dari Pihak Berelasi</t>
  </si>
  <si>
    <t>Pembayaran Pemberian Piutang Kepada Pihak Berelasi</t>
  </si>
  <si>
    <t>Penerimaan Pembayaran Piutang dari Pemegang Saham</t>
  </si>
  <si>
    <t>Pembayaran Pemberian Piutang Kepada Pemegang Saham</t>
  </si>
  <si>
    <t>Penerimaan Dividen dari Aktivitas Investasi</t>
  </si>
  <si>
    <t>Penerimaan Bunga dari Aktivitas Investasi</t>
  </si>
  <si>
    <t>Pembayaran Bunga dari Aktivitas Investasi</t>
  </si>
  <si>
    <t>Jumlah arus kas bersih yang diperoleh dari (digunakan untuk) aktivitas investasi</t>
  </si>
  <si>
    <t>Penerimaan Pinjaman Bank</t>
  </si>
  <si>
    <t>Penerimaan Utang Pembiayaan Konsumen</t>
  </si>
  <si>
    <t>Pembayaran Utang Pembiayaan Konsumen</t>
  </si>
  <si>
    <t>Penerimaan Liabilitas Sewa Pembiayaan</t>
  </si>
  <si>
    <t>Pembayaran Liabilitas Sewa Pembiayaan</t>
  </si>
  <si>
    <t>Pembayaran Biaya Emisi</t>
  </si>
  <si>
    <t>Penerimaan Modal</t>
  </si>
  <si>
    <t>Penerimaan Modal Pemegang Saham</t>
  </si>
  <si>
    <t>Penerimaan dari Penerbitan Saham Biasa</t>
  </si>
  <si>
    <t>Penerimaan Utang Pihak Berelasi</t>
  </si>
  <si>
    <t>Pembayaran Utang Pihak Berelasi</t>
  </si>
  <si>
    <t>Penerimaan Utang Pemegang Saham</t>
  </si>
  <si>
    <t>Pembayaran Utang Pemegang Saham</t>
  </si>
  <si>
    <t>Pembayaran Dividen dari Aktivitas Pendanaan</t>
  </si>
  <si>
    <t>Penerimaan Bunga dari Aktivitas Pendanaan</t>
  </si>
  <si>
    <t>Pembayaran Bunga dari Aktivitas Pendanaan</t>
  </si>
  <si>
    <t>Jumlah arus kas bersih yang diperoleh dari (digunakan untuk) aktivitas pendanaan</t>
  </si>
  <si>
    <t>Jumlah kenaikan (penurunan) bersih kas dan setara kas</t>
  </si>
  <si>
    <t>Kas dan setara kas arus kas, awal periode</t>
  </si>
  <si>
    <t>Kas dan setara kas arus kas, akhir periode</t>
  </si>
  <si>
    <t>SELISIH</t>
  </si>
  <si>
    <t>Piutang Lain-Lain Pihak Berelasi</t>
  </si>
  <si>
    <t>Piutang Lain-Lain Pihak Ketiga</t>
  </si>
  <si>
    <t>Biaya Dibayar Dimuka</t>
  </si>
  <si>
    <t>Investasi pada Entitas Asosias</t>
  </si>
  <si>
    <t xml:space="preserve">Biaya Pra IPO </t>
  </si>
  <si>
    <t>Utang Lembaga Pembiayaan</t>
  </si>
  <si>
    <t>December 31, 2024</t>
  </si>
  <si>
    <t>Masyarakat Saham Baru</t>
  </si>
  <si>
    <t>Biaya Emisi</t>
  </si>
  <si>
    <t>Penerimaan Deposito</t>
  </si>
  <si>
    <t xml:space="preserve">Modal Disetor dari Penawaran Umum Perdana Saham </t>
  </si>
  <si>
    <t xml:space="preserve">Agio Saham atas Penawaran Umum Perdana Saham </t>
  </si>
  <si>
    <t xml:space="preserve">Biaya Emisi atas Penawaran Umum Perdana Saham </t>
  </si>
  <si>
    <t>Cek Kembali</t>
  </si>
  <si>
    <t xml:space="preserve">Advance Payment </t>
  </si>
  <si>
    <t xml:space="preserve">Other Non Current Asset </t>
  </si>
  <si>
    <t xml:space="preserve">Liabilitas Sewa Jangka Pendek </t>
  </si>
  <si>
    <t>Utang Pemegang Saham</t>
  </si>
  <si>
    <t>Liabilitas Sewa</t>
  </si>
  <si>
    <t>Penyesuaian</t>
  </si>
  <si>
    <t>Ditentukan Pengunaannya</t>
  </si>
  <si>
    <t>Performa Ekuitas</t>
  </si>
  <si>
    <t>pembayaran Deviden</t>
  </si>
  <si>
    <t>30 September</t>
  </si>
  <si>
    <t xml:space="preserve">30 Juni </t>
  </si>
  <si>
    <t>Beban Pokok Penjualan</t>
  </si>
  <si>
    <t>Cost of Goods Sold</t>
  </si>
  <si>
    <t>Beban Pokok Udang</t>
  </si>
  <si>
    <t>Cost of Goods Sold Shrimp</t>
  </si>
  <si>
    <t>Saldo Awal</t>
  </si>
  <si>
    <t>Beginning Balance</t>
  </si>
  <si>
    <t>Pembelian</t>
  </si>
  <si>
    <t>Purchase</t>
  </si>
  <si>
    <t>Goods Available for sale</t>
  </si>
  <si>
    <r>
      <t>Barang Tersedia untuk Produksi (</t>
    </r>
    <r>
      <rPr>
        <i/>
        <sz val="10"/>
        <color rgb="FF000000"/>
        <rFont val="Arial"/>
        <family val="2"/>
      </rPr>
      <t>Breaded</t>
    </r>
    <r>
      <rPr>
        <sz val="10"/>
        <color rgb="FF000000"/>
        <rFont val="Arial"/>
        <family val="2"/>
      </rPr>
      <t>)</t>
    </r>
  </si>
  <si>
    <t>Goods Available for Production (Breaded)</t>
  </si>
  <si>
    <t>Subjumlah</t>
  </si>
  <si>
    <t>Persediaan Akhir(Catatan 8)</t>
  </si>
  <si>
    <t>Ending Inventory (Notes 8)</t>
  </si>
  <si>
    <t>Beban Produksi</t>
  </si>
  <si>
    <t>Ctrl Persediaan Akhir Neraca</t>
  </si>
  <si>
    <t xml:space="preserve">Tersedia untuk dijual </t>
  </si>
  <si>
    <t>Available for Sale</t>
  </si>
  <si>
    <t>Total Beban Pokok Udang</t>
  </si>
  <si>
    <t>Total Cost of Goods Sold Shrimp</t>
  </si>
  <si>
    <t xml:space="preserve">XBRL &gt;&gt; Pembelian Bahan Baku </t>
  </si>
  <si>
    <r>
      <t xml:space="preserve">Beban Pokok </t>
    </r>
    <r>
      <rPr>
        <b/>
        <i/>
        <sz val="10"/>
        <color theme="1"/>
        <rFont val="Arial"/>
        <family val="2"/>
      </rPr>
      <t>Breaded</t>
    </r>
  </si>
  <si>
    <t>Transfer of Shrimp</t>
  </si>
  <si>
    <t>Breaded</t>
  </si>
  <si>
    <t>Persediaan Akhir</t>
  </si>
  <si>
    <t>Ending Inventory</t>
  </si>
  <si>
    <t xml:space="preserve">Penambahan Tahun Berjalan </t>
  </si>
  <si>
    <t>Additions during the year</t>
  </si>
  <si>
    <t>Saldo Akhir Aset Biologis (Catatan 9)</t>
  </si>
  <si>
    <t>Ending Balance Biological Assets (Notes 9)</t>
  </si>
  <si>
    <t>Beban Aset Biologis</t>
  </si>
  <si>
    <t xml:space="preserve">Biological Assets Expenses </t>
  </si>
  <si>
    <t>Supplementary Materials</t>
  </si>
  <si>
    <t>Diesel fuel</t>
  </si>
  <si>
    <t>Ending Balance</t>
  </si>
  <si>
    <t>Bhn Pembantu</t>
  </si>
  <si>
    <t xml:space="preserve">Beban Pokok Bahan Pembantu </t>
  </si>
  <si>
    <t>Cost of Supplementary Materials</t>
  </si>
  <si>
    <t>Direct Cost</t>
  </si>
  <si>
    <t>Direct Labor Cost</t>
  </si>
  <si>
    <t>Factory overhead cost</t>
  </si>
  <si>
    <t>Electricity</t>
  </si>
  <si>
    <t>XBRL &gt;&gt; Utilitas</t>
  </si>
  <si>
    <t xml:space="preserve">Aset Hak Guna </t>
  </si>
  <si>
    <t>Right-of-Use Assets Depreciation</t>
  </si>
  <si>
    <t xml:space="preserve">Bahan Pembantu Produksi </t>
  </si>
  <si>
    <t>Production supplies</t>
  </si>
  <si>
    <t>XBRL &gt;&gt; Pabrikasi Lainnya</t>
  </si>
  <si>
    <t>Repairs and maintenance</t>
  </si>
  <si>
    <t xml:space="preserve">XBRL &gt;&gt; Perbaikan &amp; Pemeliharaan </t>
  </si>
  <si>
    <t>BBM Kendaraan Pabrik</t>
  </si>
  <si>
    <t>Factory Vehicle Fuel</t>
  </si>
  <si>
    <t>XBRL &gt;&gt; Bahan Bakar</t>
  </si>
  <si>
    <t>BBM Solar/Oli</t>
  </si>
  <si>
    <t>Diesel fuel/oil</t>
  </si>
  <si>
    <t>LPG</t>
  </si>
  <si>
    <t>Repairs and maintenance of Pond Facilities</t>
  </si>
  <si>
    <t>Pond Facilities Equipment</t>
  </si>
  <si>
    <t>Spray</t>
  </si>
  <si>
    <t>Factory Vehicle Documents</t>
  </si>
  <si>
    <t>Infrastructure Repair &amp; Maintenance</t>
  </si>
  <si>
    <t>Machine Repair &amp; Maintenance</t>
  </si>
  <si>
    <t>Uniform</t>
  </si>
  <si>
    <t>Rent</t>
  </si>
  <si>
    <t xml:space="preserve">Total Harga Pokok Produksi </t>
  </si>
  <si>
    <t>Total Cost of goods manufactured</t>
  </si>
  <si>
    <t>TOTAL HARGA POKOK PENJUALAN</t>
  </si>
  <si>
    <t>TOTAL COST OF GOODS SOLD</t>
  </si>
  <si>
    <t>Ctrl Total HPP</t>
  </si>
  <si>
    <t>Perincian Persediaan yang diakui sebagai beban periode berjalan :</t>
  </si>
  <si>
    <t>Detail of inventories recognized in the current expense are:</t>
  </si>
  <si>
    <t>Udang (Catatan 24)</t>
  </si>
  <si>
    <t>Shrimp (Note 24)</t>
  </si>
  <si>
    <t>Bahan Pembantu (Catatan 24)</t>
  </si>
  <si>
    <t>Supplementary Materials (Note 24)</t>
  </si>
  <si>
    <r>
      <t xml:space="preserve">Breaded </t>
    </r>
    <r>
      <rPr>
        <sz val="11"/>
        <color theme="1"/>
        <rFont val="Calibri"/>
        <family val="2"/>
        <scheme val="minor"/>
      </rPr>
      <t>(Catatan 24)</t>
    </r>
  </si>
  <si>
    <t>Breaded (Note 24)</t>
  </si>
  <si>
    <t>Jumlah</t>
  </si>
  <si>
    <t>31 Desember 2024 /</t>
  </si>
  <si>
    <t>30 September 2024 /</t>
  </si>
  <si>
    <t>30 September 2023 /</t>
  </si>
  <si>
    <t>31 Desember 2023 /</t>
  </si>
  <si>
    <t>December, 31 2024</t>
  </si>
  <si>
    <t>September, 30 2024</t>
  </si>
  <si>
    <t>September, 30 2023</t>
  </si>
  <si>
    <t>December, 31 2023</t>
  </si>
  <si>
    <t xml:space="preserve">Penambahan Selama </t>
  </si>
  <si>
    <t>Additions during the</t>
  </si>
  <si>
    <t xml:space="preserve">Tahun Berjalan </t>
  </si>
  <si>
    <t>Year</t>
  </si>
  <si>
    <t xml:space="preserve">Kenaikan karena </t>
  </si>
  <si>
    <t>Increase due to shrimp</t>
  </si>
  <si>
    <t>Pembelian Benur</t>
  </si>
  <si>
    <t>Shrimp Puchase</t>
  </si>
  <si>
    <t>Pemeliharaan Benur</t>
  </si>
  <si>
    <t>Shrimp Breeding</t>
  </si>
  <si>
    <t xml:space="preserve">Pengurangan selama </t>
  </si>
  <si>
    <t>Deducations during</t>
  </si>
  <si>
    <t>The year Decrease due</t>
  </si>
  <si>
    <t>Penurunan karena Panen</t>
  </si>
  <si>
    <t>To harvest</t>
  </si>
  <si>
    <t xml:space="preserve">Saldo Akhir </t>
  </si>
  <si>
    <t xml:space="preserve">Rincian Pengelompokkan Udang </t>
  </si>
  <si>
    <t>Benih Udang (Pakan)</t>
  </si>
  <si>
    <t>Shrimp Seeds</t>
  </si>
  <si>
    <t>Udang (Benur)</t>
  </si>
  <si>
    <t>Shrimp</t>
  </si>
  <si>
    <r>
      <t>31 Desember 2024/ December</t>
    </r>
    <r>
      <rPr>
        <b/>
        <i/>
        <sz val="9"/>
        <color rgb="FF000000"/>
        <rFont val="Arial"/>
        <family val="2"/>
      </rPr>
      <t xml:space="preserve"> 31, 2024</t>
    </r>
  </si>
  <si>
    <r>
      <t xml:space="preserve">30 September 2024/ </t>
    </r>
    <r>
      <rPr>
        <b/>
        <i/>
        <sz val="9"/>
        <color rgb="FF000000"/>
        <rFont val="Arial"/>
        <family val="2"/>
      </rPr>
      <t>September 30, 2024</t>
    </r>
  </si>
  <si>
    <r>
      <t xml:space="preserve">30 Juni 2024/ </t>
    </r>
    <r>
      <rPr>
        <b/>
        <i/>
        <sz val="9"/>
        <color rgb="FF000000"/>
        <rFont val="Arial"/>
        <family val="2"/>
      </rPr>
      <t>June 30, 2024</t>
    </r>
  </si>
  <si>
    <r>
      <t>Mata Uang Asing/</t>
    </r>
    <r>
      <rPr>
        <b/>
        <i/>
        <sz val="9"/>
        <color rgb="FF000000"/>
        <rFont val="Arial"/>
        <family val="2"/>
      </rPr>
      <t xml:space="preserve"> Foreign</t>
    </r>
  </si>
  <si>
    <t>Setara dengan Rp/</t>
  </si>
  <si>
    <t>Currency</t>
  </si>
  <si>
    <t>Equivalent to Rp</t>
  </si>
  <si>
    <t>Assets</t>
  </si>
  <si>
    <t>Kurs tengah 31 Desember 2024</t>
  </si>
  <si>
    <t>Kurs tengah 30 September 2024</t>
  </si>
  <si>
    <t>Kurs tengah 30 Juni 2024</t>
  </si>
  <si>
    <t>Bank:</t>
  </si>
  <si>
    <t>Banks:</t>
  </si>
  <si>
    <t>Piutang Usaha Pihak Ketiga:</t>
  </si>
  <si>
    <t>Trade Receivables Third Parties:</t>
  </si>
  <si>
    <t>Jumlah Asset</t>
  </si>
  <si>
    <t>Total Assets</t>
  </si>
  <si>
    <t>Utang Bank Jangka Pendek:</t>
  </si>
  <si>
    <t>Short Term Bank Loan:</t>
  </si>
  <si>
    <t>Jumlah Liabilitas</t>
  </si>
  <si>
    <t>Total Liabilities</t>
  </si>
  <si>
    <t>Jumlah Liabilitas Bersih</t>
  </si>
  <si>
    <t>Total Net Liabilities</t>
  </si>
  <si>
    <t>RISIKO LIKUIDITAS</t>
  </si>
  <si>
    <t>31 Desember 2024/ December 31, 2024</t>
  </si>
  <si>
    <t>30 September 2024/ September 30, 2024</t>
  </si>
  <si>
    <r>
      <t xml:space="preserve">30 Juni 2024/ </t>
    </r>
    <r>
      <rPr>
        <b/>
        <i/>
        <sz val="9"/>
        <color theme="1"/>
        <rFont val="Arial"/>
        <family val="2"/>
      </rPr>
      <t>June 30, 2024</t>
    </r>
  </si>
  <si>
    <t>Kurang dari</t>
  </si>
  <si>
    <t>Lebih dari-</t>
  </si>
  <si>
    <t>Satu Tahun/</t>
  </si>
  <si>
    <t>2 Tahun/</t>
  </si>
  <si>
    <t>Less than One Year</t>
  </si>
  <si>
    <t>1 - 2 Tahun/</t>
  </si>
  <si>
    <t>More than 2 Years</t>
  </si>
  <si>
    <t>Jumlah/</t>
  </si>
  <si>
    <t>1 – 2 Years</t>
  </si>
  <si>
    <t>Utang Usaha kepada</t>
  </si>
  <si>
    <t>Accounts Payable to</t>
  </si>
  <si>
    <t>Third Party</t>
  </si>
  <si>
    <t>Property, Plant and</t>
  </si>
  <si>
    <t>Equipment Purchase</t>
  </si>
  <si>
    <t>Payable</t>
  </si>
  <si>
    <t>Kepada Pihak</t>
  </si>
  <si>
    <t>Lease Liabilities</t>
  </si>
  <si>
    <t>Berelasi</t>
  </si>
  <si>
    <t>to Related Parties</t>
  </si>
  <si>
    <t xml:space="preserve">NILAI WAJAR INSTRUMEN KEUANGAN </t>
  </si>
  <si>
    <t>Tingkat 1/</t>
  </si>
  <si>
    <t>Tingkat 2/</t>
  </si>
  <si>
    <t>Tingkat 3/</t>
  </si>
  <si>
    <t>Level 1</t>
  </si>
  <si>
    <t>Level 2</t>
  </si>
  <si>
    <t>Level 3</t>
  </si>
  <si>
    <t>30 September 2024</t>
  </si>
  <si>
    <t>September 30, 2024</t>
  </si>
  <si>
    <t>June 30, 2024</t>
  </si>
  <si>
    <t xml:space="preserve">Aset yang nilai wajarnya </t>
  </si>
  <si>
    <t xml:space="preserve">Assets whose fair </t>
  </si>
  <si>
    <t>Diungkapkan</t>
  </si>
  <si>
    <t>value is disclosed</t>
  </si>
  <si>
    <t xml:space="preserve">Aset Non-Keuangan </t>
  </si>
  <si>
    <t xml:space="preserve">Non-Financial Assets </t>
  </si>
  <si>
    <t>June 30, 2023</t>
  </si>
  <si>
    <t>Liabilitas keuangan pada</t>
  </si>
  <si>
    <t>biaya perolehan</t>
  </si>
  <si>
    <t xml:space="preserve">Financial liabilities at </t>
  </si>
  <si>
    <t>diamortisasi</t>
  </si>
  <si>
    <t xml:space="preserve">amortised cost </t>
  </si>
  <si>
    <t>Property, Plant and Equipment Purchase Payable</t>
  </si>
  <si>
    <t>Lease Liabilities to Related Parties</t>
  </si>
  <si>
    <t>Desember 2024 &amp; 2023</t>
  </si>
  <si>
    <t>Desember  2024</t>
  </si>
  <si>
    <t xml:space="preserve">Debit </t>
  </si>
  <si>
    <t xml:space="preserve">Credit </t>
  </si>
  <si>
    <t>September  2024</t>
  </si>
  <si>
    <t>JUNI 2024</t>
  </si>
  <si>
    <t>Hutang Pembiayaan Bank IAS</t>
  </si>
  <si>
    <t>Hutang Bank KMK IDR</t>
  </si>
  <si>
    <t>ARF BTPN</t>
  </si>
  <si>
    <t>Hutang Bank KMK USD</t>
  </si>
  <si>
    <t>Hutang Bank ISP</t>
  </si>
  <si>
    <t>Bank OD A/c</t>
  </si>
  <si>
    <t>Bank BTPN ARF USD</t>
  </si>
  <si>
    <t>Secured Loans</t>
  </si>
  <si>
    <t>Hutang Bank Jk Panjang</t>
  </si>
  <si>
    <t>Bank BTPN PSF USD</t>
  </si>
  <si>
    <t>KAB</t>
  </si>
  <si>
    <t>KAP IDR</t>
  </si>
  <si>
    <t>KRK</t>
  </si>
  <si>
    <t>001Dr</t>
  </si>
  <si>
    <t>KAP USD</t>
  </si>
  <si>
    <t>Hutang Pembiayaan Bank</t>
  </si>
  <si>
    <t>WBS</t>
  </si>
  <si>
    <t>adj ke Piutang</t>
  </si>
  <si>
    <t>APF USD BTPN</t>
  </si>
  <si>
    <t>CEK Kembali</t>
  </si>
  <si>
    <t>September  2023</t>
  </si>
  <si>
    <t>Saldo 31 Desember 2022</t>
  </si>
  <si>
    <t>Balance as of December 31, 2022</t>
  </si>
  <si>
    <t>Balance as of December 31, 2023</t>
  </si>
  <si>
    <t>Penjualan per Segmen Geografis IAS</t>
  </si>
  <si>
    <t>Penjualan per Segmen Geografis ISP</t>
  </si>
  <si>
    <t>Penjualan per Segmen Geografis Konsol - Before Eleminasi</t>
  </si>
  <si>
    <t>Penjualan per Segmen Geografis Konsol - After Eleminasi</t>
  </si>
  <si>
    <t>Penjualan per Segmen Geografis Konsol - After CEK</t>
  </si>
  <si>
    <t xml:space="preserve">a. Lokal </t>
  </si>
  <si>
    <t>30 Juni</t>
  </si>
  <si>
    <t xml:space="preserve">Wilayah </t>
  </si>
  <si>
    <t>Sumatera</t>
  </si>
  <si>
    <t>Jawa</t>
  </si>
  <si>
    <t>Wilayah 2</t>
  </si>
  <si>
    <t>Wilayah 3</t>
  </si>
  <si>
    <t>Wilayah 4</t>
  </si>
  <si>
    <t>Wilayah 5</t>
  </si>
  <si>
    <t xml:space="preserve">Total </t>
  </si>
  <si>
    <t>b. Ekspor</t>
  </si>
  <si>
    <t>USA</t>
  </si>
  <si>
    <t>JAPAN</t>
  </si>
  <si>
    <t xml:space="preserve">Dikurangi Retur </t>
  </si>
  <si>
    <t>Negara 3</t>
  </si>
  <si>
    <t>add penjualan Kyokuyo</t>
  </si>
  <si>
    <t>Negara 4</t>
  </si>
  <si>
    <t>Negara 5</t>
  </si>
  <si>
    <t xml:space="preserve">Total Penjualan </t>
  </si>
  <si>
    <t xml:space="preserve">WBS After eleminasi </t>
  </si>
  <si>
    <t xml:space="preserve">Ctrl </t>
  </si>
  <si>
    <t>Biaya Perolehan</t>
  </si>
  <si>
    <t>Diamortisasi/</t>
  </si>
  <si>
    <t>Amortized Cost</t>
  </si>
  <si>
    <t xml:space="preserve">31 Desember 2024/ </t>
  </si>
  <si>
    <t xml:space="preserve">30 September 2024/ </t>
  </si>
  <si>
    <t xml:space="preserve">30 Juni 2024/ </t>
  </si>
  <si>
    <t>Aset Keuangan Lancar</t>
  </si>
  <si>
    <t>Current Financial Assets</t>
  </si>
  <si>
    <t>Kas dan Setara kas</t>
  </si>
  <si>
    <t>Trade Accounts Receivables</t>
  </si>
  <si>
    <t>Piutang Lain-lain dari</t>
  </si>
  <si>
    <t>Other Receivables from</t>
  </si>
  <si>
    <t>Liabilitas Keuangan</t>
  </si>
  <si>
    <t>Financial Liabilities</t>
  </si>
  <si>
    <t>Trade Accounts Payables</t>
  </si>
  <si>
    <t xml:space="preserve">Jumlah </t>
  </si>
  <si>
    <t>EPS INDUK</t>
  </si>
  <si>
    <t>Laba (Rugi) untuk Perhitungan</t>
  </si>
  <si>
    <t xml:space="preserve"> Laba (Rugi) Per Saham </t>
  </si>
  <si>
    <t xml:space="preserve"> Jumlah Saham</t>
  </si>
  <si>
    <t>Lembar</t>
  </si>
  <si>
    <t xml:space="preserve">Jumlah rata-rata </t>
  </si>
  <si>
    <t xml:space="preserve">Tertimbang saham untuk Perhitungan Laba </t>
  </si>
  <si>
    <t xml:space="preserve">Bersih Per Saham </t>
  </si>
  <si>
    <t>Laba (Rugi) per saham Dasar (Rupiah Penuh)</t>
  </si>
  <si>
    <t>EPS KONSOL</t>
  </si>
  <si>
    <t>KAS DAN SETARA KAS</t>
  </si>
  <si>
    <t xml:space="preserve">Kas </t>
  </si>
  <si>
    <t>Cash on Hand</t>
  </si>
  <si>
    <t xml:space="preserve">Bank </t>
  </si>
  <si>
    <t xml:space="preserve">Cash in Bank </t>
  </si>
  <si>
    <t>Rupiah</t>
  </si>
  <si>
    <t>Bank Mandiri</t>
  </si>
  <si>
    <t>Bank Negara Indonesia</t>
  </si>
  <si>
    <t>Bank Jtrust Indonesia</t>
  </si>
  <si>
    <t>Bank Mega Syariah</t>
  </si>
  <si>
    <t xml:space="preserve">Bank BTPN </t>
  </si>
  <si>
    <t>Bank Rakyat Indonesia</t>
  </si>
  <si>
    <t>Bank Danamon</t>
  </si>
  <si>
    <t>Bank BRI</t>
  </si>
  <si>
    <t xml:space="preserve">Sub Total </t>
  </si>
  <si>
    <t>Dolar Amerika Serikat</t>
  </si>
  <si>
    <t>US Dollar</t>
  </si>
  <si>
    <t>Bank JTRUST</t>
  </si>
  <si>
    <t>Bank Bukopin</t>
  </si>
  <si>
    <t>Time Deposit</t>
  </si>
  <si>
    <t>Tingkat Bunga Deposito</t>
  </si>
  <si>
    <t>Interest Rate Time</t>
  </si>
  <si>
    <t>Berjangka Per tahun</t>
  </si>
  <si>
    <t>Deposite Per annum</t>
  </si>
  <si>
    <t>Jangka Waktu Deposito</t>
  </si>
  <si>
    <t>Period of Time</t>
  </si>
  <si>
    <t>Berjangka</t>
  </si>
  <si>
    <t>1 Tahun/ Year</t>
  </si>
  <si>
    <t>Deposits</t>
  </si>
  <si>
    <t xml:space="preserve">PIUTANG USAHA &amp; AGING </t>
  </si>
  <si>
    <t xml:space="preserve">Pihak Berelasi (Catatan 34) </t>
  </si>
  <si>
    <t>Related Party (Note 34)</t>
  </si>
  <si>
    <t xml:space="preserve">Sub Jumlah </t>
  </si>
  <si>
    <t xml:space="preserve">Rupiah </t>
  </si>
  <si>
    <t>Bapak Iwan</t>
  </si>
  <si>
    <t>Deska / WMM Es - IDR</t>
  </si>
  <si>
    <t>Lain-lain (masing-masing</t>
  </si>
  <si>
    <t>Others (each below</t>
  </si>
  <si>
    <t>di bawah Rp 10.000.000)</t>
  </si>
  <si>
    <t>di bawah Rp 40.000.000) - IDR</t>
  </si>
  <si>
    <t>Rp 40,000,000) - IDR</t>
  </si>
  <si>
    <t>Cadangan Kerugian</t>
  </si>
  <si>
    <t>Allowance for Impairment</t>
  </si>
  <si>
    <t>Penurunan Nilai</t>
  </si>
  <si>
    <t>Losses</t>
  </si>
  <si>
    <t xml:space="preserve">Jumlah Bersih </t>
  </si>
  <si>
    <t>Total-Nett</t>
  </si>
  <si>
    <t xml:space="preserve">Aging Piutang </t>
  </si>
  <si>
    <t>Belum Jatuh Tempo</t>
  </si>
  <si>
    <t>Not yet due</t>
  </si>
  <si>
    <t>Jatuh Tempo:</t>
  </si>
  <si>
    <t>Past due:</t>
  </si>
  <si>
    <t>1 - 30 hari</t>
  </si>
  <si>
    <t>1 - 30 days</t>
  </si>
  <si>
    <t>31 - 60 hari</t>
  </si>
  <si>
    <t>31 - 60 days</t>
  </si>
  <si>
    <t>61 - 90 hari</t>
  </si>
  <si>
    <t>61 - 90 days</t>
  </si>
  <si>
    <t>&gt;  90 hari</t>
  </si>
  <si>
    <t>&gt;  90 days</t>
  </si>
  <si>
    <t>Mutasi Cadangan</t>
  </si>
  <si>
    <t>Mutation of Allowance</t>
  </si>
  <si>
    <t>Penurunan Nilai:</t>
  </si>
  <si>
    <t>for Impairment Losses:</t>
  </si>
  <si>
    <t>Penambahan Pencadangan</t>
  </si>
  <si>
    <t>Additional Reserves</t>
  </si>
  <si>
    <t>PIUTANG LAIN-LAIN</t>
  </si>
  <si>
    <t>Jangka Pendek</t>
  </si>
  <si>
    <t>Short-Term</t>
  </si>
  <si>
    <t>Tambak Udang Baba Rafi</t>
  </si>
  <si>
    <t xml:space="preserve">Mutasi Cadangan </t>
  </si>
  <si>
    <t>Mutation of Allowance for</t>
  </si>
  <si>
    <t>Impairment Losses:</t>
  </si>
  <si>
    <t xml:space="preserve">Beginning Balance </t>
  </si>
  <si>
    <t>Jumlah Bersih- Pihak Ketiga</t>
  </si>
  <si>
    <t>Total – Net Thrid Parties</t>
  </si>
  <si>
    <t>Long -Term</t>
  </si>
  <si>
    <t>PT Indokom Citra Persada</t>
  </si>
  <si>
    <t>UANG MUKA DAN BIAYA DIBAYAR DIMUKA</t>
  </si>
  <si>
    <t xml:space="preserve">Uang Muka Jasa Profesional </t>
  </si>
  <si>
    <t>Advance Professional Fees</t>
  </si>
  <si>
    <t xml:space="preserve">Penawaran Umum </t>
  </si>
  <si>
    <t>Initial Public</t>
  </si>
  <si>
    <t xml:space="preserve">Perdana Saham </t>
  </si>
  <si>
    <t>Offering (‘’IPO’’)</t>
  </si>
  <si>
    <t xml:space="preserve">Jasa Profesional Lainnya </t>
  </si>
  <si>
    <t>Other Professional Fees</t>
  </si>
  <si>
    <t>Advances for Sale</t>
  </si>
  <si>
    <t xml:space="preserve">Bahan Baku </t>
  </si>
  <si>
    <t>Raw Materials</t>
  </si>
  <si>
    <t>Pembelian Bahan Baku</t>
  </si>
  <si>
    <t>Purchase of Raw Materials</t>
  </si>
  <si>
    <t>Prepaid Expenses</t>
  </si>
  <si>
    <t xml:space="preserve">Asuransi </t>
  </si>
  <si>
    <t>Insurance</t>
  </si>
  <si>
    <t>ASET HAK GUNA</t>
  </si>
  <si>
    <t>Harga Perolehan</t>
  </si>
  <si>
    <t>Cost Acquisition</t>
  </si>
  <si>
    <t>Akumulasi Penyusutan</t>
  </si>
  <si>
    <t>Accumulate Depreciation</t>
  </si>
  <si>
    <t xml:space="preserve">Beban Penyusutan </t>
  </si>
  <si>
    <t>(Catatan 23)</t>
  </si>
  <si>
    <t>(Note 23)</t>
  </si>
  <si>
    <t>General and Administrative</t>
  </si>
  <si>
    <t>(Catatan 25)</t>
  </si>
  <si>
    <t>Expenses (Note 25)</t>
  </si>
  <si>
    <t xml:space="preserve">UTANG USAHA &amp; AGING </t>
  </si>
  <si>
    <t>X</t>
  </si>
  <si>
    <t>THAI UNION KHARISMA LESTARI, PT</t>
  </si>
  <si>
    <t>Utang Usaha &amp; Restitusi Pajak</t>
  </si>
  <si>
    <t>Aging Utang Usaha</t>
  </si>
  <si>
    <t>UTANG LAIN-LAIN</t>
  </si>
  <si>
    <t>Long-Term Payables</t>
  </si>
  <si>
    <t>Ibnu Syena Alfitra</t>
  </si>
  <si>
    <t xml:space="preserve">Beban Akrual </t>
  </si>
  <si>
    <t>Freight</t>
  </si>
  <si>
    <t xml:space="preserve">Gaji </t>
  </si>
  <si>
    <t>Salaries Expenses</t>
  </si>
  <si>
    <t>Utilities</t>
  </si>
  <si>
    <t xml:space="preserve">Jasa Profesional </t>
  </si>
  <si>
    <t>Professional Fees</t>
  </si>
  <si>
    <t xml:space="preserve">Analisa/Uji </t>
  </si>
  <si>
    <t>Analysis/Test</t>
  </si>
  <si>
    <t xml:space="preserve">Pemeliharaan &amp; Pebaikan </t>
  </si>
  <si>
    <t>Maintenance &amp; Repair</t>
  </si>
  <si>
    <t xml:space="preserve">Utang Pembelian Aset Tetap </t>
  </si>
  <si>
    <t>Rincian Utang Pembiayaan</t>
  </si>
  <si>
    <t>Financing Details</t>
  </si>
  <si>
    <t>Berdasarkan Jatuh Tempo</t>
  </si>
  <si>
    <t>Based on the Maturity</t>
  </si>
  <si>
    <t>Tidak Lebih dari Satu Tahun</t>
  </si>
  <si>
    <t>Not More Than One Year</t>
  </si>
  <si>
    <t xml:space="preserve">Liabilitas Sewa Pada Pihak Berelasi </t>
  </si>
  <si>
    <t>Sewa Tanah Tambak Udang</t>
  </si>
  <si>
    <t>Land Rental for Pond Shrimp</t>
  </si>
  <si>
    <t>Dikurangi bagian yang jatuh</t>
  </si>
  <si>
    <t>Less the portion due</t>
  </si>
  <si>
    <t>tempo dalam waktu satu tahun:</t>
  </si>
  <si>
    <t>within one year:</t>
  </si>
  <si>
    <t>Bagian jangka Panjang</t>
  </si>
  <si>
    <t>Long-term Portion</t>
  </si>
  <si>
    <t xml:space="preserve">a. Utang Bank Jangka Pendek </t>
  </si>
  <si>
    <t xml:space="preserve">Entitas Induk </t>
  </si>
  <si>
    <t>Pembiayaan Utang</t>
  </si>
  <si>
    <t>Account Payable</t>
  </si>
  <si>
    <t>Usaha - IDR</t>
  </si>
  <si>
    <t>Financing - IDR</t>
  </si>
  <si>
    <t xml:space="preserve">Fasilitas Kredit </t>
  </si>
  <si>
    <t xml:space="preserve">Revolving Credit </t>
  </si>
  <si>
    <t>Bergulir - IDR</t>
  </si>
  <si>
    <t>Facility - IDR</t>
  </si>
  <si>
    <t>Usaha - USD</t>
  </si>
  <si>
    <t>Financing - USD</t>
  </si>
  <si>
    <t xml:space="preserve">Entitas Anak </t>
  </si>
  <si>
    <t>Bank BTPN APF-IDR</t>
  </si>
  <si>
    <t>Fasilitas Kredit</t>
  </si>
  <si>
    <t>Revolving Credit</t>
  </si>
  <si>
    <t>b. Utang Bank Jangka Panjang</t>
  </si>
  <si>
    <t>Bank BTPN:</t>
  </si>
  <si>
    <t>Dikurangi:</t>
  </si>
  <si>
    <t>Less:</t>
  </si>
  <si>
    <t>Bagian yang jatuh tempo</t>
  </si>
  <si>
    <t>Current maturities within</t>
  </si>
  <si>
    <t>dalam 1 (satu) Tahun</t>
  </si>
  <si>
    <t>1 (one) year</t>
  </si>
  <si>
    <t>Liabilitas Imbalan Pasca Kerja</t>
  </si>
  <si>
    <t>Mutasi Liabilitas Imbalan Paska Kerja</t>
  </si>
  <si>
    <t>Beginning balance</t>
  </si>
  <si>
    <t>Post -employment benefits</t>
  </si>
  <si>
    <t>during the year</t>
  </si>
  <si>
    <t xml:space="preserve">Pengukuran kembali atas </t>
  </si>
  <si>
    <t>estimated liabilities</t>
  </si>
  <si>
    <t>for employee benfits</t>
  </si>
  <si>
    <t>Actual Post-employment</t>
  </si>
  <si>
    <t>Benefit Payment during Period</t>
  </si>
  <si>
    <t>Ending Balance of Liabilities</t>
  </si>
  <si>
    <t>Total Beban Imbalan Paska Kerja Karyawan</t>
  </si>
  <si>
    <t>Biaya Jasa Kini</t>
  </si>
  <si>
    <t>Current Service Cost</t>
  </si>
  <si>
    <t>Interest Cost</t>
  </si>
  <si>
    <t>Past Service Cost 1</t>
  </si>
  <si>
    <t>Past Service Cost 2</t>
  </si>
  <si>
    <t>Actual</t>
  </si>
  <si>
    <t>Imbalan Pasca</t>
  </si>
  <si>
    <t>Post -Employment</t>
  </si>
  <si>
    <t>Kerja pada</t>
  </si>
  <si>
    <t>Benefit Payment</t>
  </si>
  <si>
    <t xml:space="preserve">tahun berjalan </t>
  </si>
  <si>
    <t>during Period</t>
  </si>
  <si>
    <t xml:space="preserve">Jumlah Beban Imbalan Pasca Kerja Karyawan </t>
  </si>
  <si>
    <t>Total Post-Employee Benefits</t>
  </si>
  <si>
    <t>Desember</t>
  </si>
  <si>
    <t>Iuran ISO</t>
  </si>
  <si>
    <t>Pendapatan (Beban) Lainnya</t>
  </si>
  <si>
    <t xml:space="preserve">Beban Bunga &amp; Keungan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</si>
</sst>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6" formatCode="&quot;Rp&quot;#,##0;[Red]\-&quot;Rp&quot;#,##0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  <numFmt numFmtId="168" formatCode="#,##0;\(#,##0\);\-\-\ "/>
    <numFmt numFmtId="169" formatCode="_(* #,##0.00_);_(* \(#,##0.00\);_(* &quot;-&quot;_);_(@_)"/>
    <numFmt numFmtId="170" formatCode="_-* #,##0.00\ _F_-;\-* #,##0.00\ _F_-;_-* &quot;-&quot;??\ _F_-;_-@_-"/>
    <numFmt numFmtId="171" formatCode="#.##0_);\(#.##0\)"/>
    <numFmt numFmtId="172" formatCode="_-* #,##0_-;\-* #,##0_-;_-* &quot;-&quot;??_-;_-@"/>
    <numFmt numFmtId="173" formatCode="_-* #,##0_-;\-* #,##0_-;_-* &quot;-&quot;_-;_-@"/>
    <numFmt numFmtId="174" formatCode="_(* #,##0_);_(* \(#,##0\);_(* \-_);_(@_)"/>
    <numFmt numFmtId="175" formatCode="[$-409]mmmm\ d\,\ yyyy"/>
    <numFmt numFmtId="176" formatCode="_-* #,##0.00_-;\-* #,##0.00_-;_-* &quot;-&quot;_-;_-@_-"/>
    <numFmt numFmtId="177" formatCode="_(* #,##0.000000_);_(* \(#,##0.000000\);_(* &quot;-&quot;_);_(@_)"/>
    <numFmt numFmtId="178" formatCode="_(* #,##0.000_);_(* \(#,##0.000\);_(* &quot;-&quot;_);_(@_)"/>
    <numFmt numFmtId="179" formatCode="&quot;&quot;#,000&quot; Cr&quot;"/>
    <numFmt numFmtId="180" formatCode="&quot;&quot;#,000"/>
    <numFmt numFmtId="181" formatCode="&quot;&quot;0"/>
    <numFmt numFmtId="182" formatCode="&quot;&quot;#,000&quot; Dr&quot;"/>
    <numFmt numFmtId="183" formatCode="_(* #,##0.0_);_(* \(#,##0.0\);_(* &quot;-&quot;_);_(@_)"/>
    <numFmt numFmtId="184" formatCode="_(* #,##0.0000_);_(* \(#,##0.0000\);_(* &quot;-&quot;_);_(@_)"/>
    <numFmt numFmtId="185" formatCode="_(* #,##0.0000000_);_(* \(#,##0.0000000\);_(* &quot;-&quot;_);_(@_)"/>
    <numFmt numFmtId="186" formatCode="[$-F800]dddd\,\ mmmm\ dd\,\ yyyy"/>
    <numFmt numFmtId="187" formatCode="_(* #,##0.00000000000_);_(* \(#,##0.00000000000\);_(* &quot;-&quot;_);_(@_)"/>
    <numFmt numFmtId="188" formatCode="_-* #,##0.000_-;\-* #,##0.000_-;_-* &quot;-&quot;???_-;_-@_-"/>
    <numFmt numFmtId="189" formatCode="[$-409]mmm\-yy;@"/>
    <numFmt numFmtId="190" formatCode="#,##0\ &quot;F&quot;;[Red]\-#,##0\ &quot;F&quot;"/>
    <numFmt numFmtId="191" formatCode="_([$Rp-421]* #,##0_);_([$Rp-421]* \(#,##0\);_([$Rp-421]* &quot;-&quot;_);_(@_)"/>
    <numFmt numFmtId="192" formatCode="[$-409]mmmm\ d\,\ yyyy;@"/>
    <numFmt numFmtId="193" formatCode="_-* #,##0.0_-;\-* #,##0.0_-;_-* &quot;-&quot;?_-;_-@_-"/>
    <numFmt numFmtId="194" formatCode="_-* #,##0_-;\-* #,##0_-;_-* &quot;-&quot;?_-;_-@_-"/>
  </numFmts>
  <fonts count="1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charset val="1"/>
      <scheme val="minor"/>
    </font>
    <font>
      <i/>
      <sz val="11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  <charset val="1"/>
    </font>
    <font>
      <i/>
      <sz val="9"/>
      <name val="Arial"/>
      <family val="2"/>
      <charset val="1"/>
    </font>
    <font>
      <sz val="9"/>
      <color rgb="FFFF0000"/>
      <name val="Arial"/>
      <family val="2"/>
    </font>
    <font>
      <b/>
      <i/>
      <sz val="9"/>
      <name val="Arial"/>
      <family val="2"/>
    </font>
    <font>
      <sz val="9"/>
      <name val="Arial"/>
      <family val="2"/>
      <charset val="1"/>
    </font>
    <font>
      <i/>
      <sz val="9"/>
      <name val="Arial"/>
      <family val="2"/>
    </font>
    <font>
      <sz val="11"/>
      <color theme="1"/>
      <name val="Arial Narrow"/>
      <family val="2"/>
      <charset val="1"/>
    </font>
    <font>
      <b/>
      <i/>
      <sz val="9"/>
      <color rgb="FFFF0000"/>
      <name val="Arial"/>
      <family val="2"/>
    </font>
    <font>
      <b/>
      <sz val="9"/>
      <color rgb="FFFF0000"/>
      <name val="Arial"/>
      <family val="2"/>
    </font>
    <font>
      <i/>
      <sz val="11"/>
      <color theme="1"/>
      <name val="Calibri"/>
      <family val="2"/>
      <charset val="1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Arial Narrow"/>
      <family val="2"/>
      <charset val="1"/>
    </font>
    <font>
      <sz val="9"/>
      <color theme="1"/>
      <name val="Arial"/>
      <family val="2"/>
    </font>
    <font>
      <b/>
      <i/>
      <sz val="9"/>
      <color indexed="8"/>
      <name val="Arial"/>
      <family val="2"/>
      <charset val="1"/>
    </font>
    <font>
      <i/>
      <sz val="9"/>
      <color indexed="8"/>
      <name val="Arial"/>
      <family val="2"/>
      <charset val="1"/>
    </font>
    <font>
      <b/>
      <sz val="9"/>
      <color theme="1"/>
      <name val="Arial"/>
      <family val="2"/>
    </font>
    <font>
      <sz val="9"/>
      <color indexed="8"/>
      <name val="Arial"/>
      <family val="2"/>
      <charset val="1"/>
    </font>
    <font>
      <sz val="9"/>
      <color rgb="FF000000"/>
      <name val="Arial"/>
      <family val="2"/>
    </font>
    <font>
      <i/>
      <sz val="9"/>
      <color rgb="FF000000"/>
      <name val="Arial"/>
      <family val="2"/>
      <charset val="1"/>
    </font>
    <font>
      <b/>
      <i/>
      <sz val="9"/>
      <color indexed="8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i/>
      <sz val="8"/>
      <name val="Arial"/>
      <family val="2"/>
    </font>
    <font>
      <sz val="10"/>
      <name val="Helv"/>
    </font>
    <font>
      <b/>
      <sz val="8"/>
      <color indexed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sz val="12"/>
      <name val="Helv"/>
    </font>
    <font>
      <i/>
      <sz val="8"/>
      <color theme="1"/>
      <name val="Arial"/>
      <family val="2"/>
    </font>
    <font>
      <i/>
      <sz val="8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indexed="8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4"/>
      <color theme="1"/>
      <name val="Arial"/>
      <family val="2"/>
    </font>
    <font>
      <sz val="4"/>
      <color rgb="FF000000"/>
      <name val="Arial"/>
      <family val="2"/>
    </font>
    <font>
      <i/>
      <sz val="9"/>
      <color rgb="FFFF000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color rgb="FF000000"/>
      <name val="Arial Narrow"/>
      <family val="2"/>
    </font>
    <font>
      <b/>
      <sz val="9"/>
      <color rgb="FFFF0000"/>
      <name val="Arial Narrow"/>
      <family val="2"/>
    </font>
    <font>
      <b/>
      <sz val="9"/>
      <color theme="1"/>
      <name val="Arial Narrow"/>
      <family val="2"/>
    </font>
    <font>
      <b/>
      <sz val="9"/>
      <color rgb="FFFFFF00"/>
      <name val="Arial Narrow"/>
      <family val="2"/>
    </font>
    <font>
      <b/>
      <sz val="9"/>
      <color rgb="FFFFFFFF"/>
      <name val="Arial Narrow"/>
      <family val="2"/>
    </font>
    <font>
      <b/>
      <sz val="9"/>
      <color theme="0"/>
      <name val="Arial Narrow"/>
      <family val="2"/>
    </font>
    <font>
      <sz val="10"/>
      <color theme="1"/>
      <name val="Arial"/>
      <family val="2"/>
    </font>
    <font>
      <sz val="9"/>
      <color rgb="FFFF0000"/>
      <name val="Arial Narrow"/>
      <family val="2"/>
    </font>
    <font>
      <sz val="9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i/>
      <sz val="10"/>
      <color rgb="FFFF0000"/>
      <name val="Arial Narrow"/>
      <family val="2"/>
    </font>
    <font>
      <sz val="10"/>
      <name val="Arial Narrow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b/>
      <i/>
      <sz val="4"/>
      <color rgb="FF000000"/>
      <name val="Arial"/>
      <family val="2"/>
    </font>
    <font>
      <i/>
      <sz val="4"/>
      <color rgb="FF000000"/>
      <name val="Arial"/>
      <family val="2"/>
    </font>
    <font>
      <i/>
      <sz val="4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1"/>
      <color rgb="FFFF0000"/>
      <name val="Calibri"/>
      <family val="2"/>
      <scheme val="minor"/>
    </font>
    <font>
      <b/>
      <sz val="4"/>
      <color theme="1"/>
      <name val="Arial"/>
      <family val="2"/>
    </font>
    <font>
      <sz val="1"/>
      <color rgb="FF000000"/>
      <name val="Arial"/>
      <family val="2"/>
    </font>
    <font>
      <sz val="1"/>
      <color theme="1"/>
      <name val="Arial"/>
      <family val="2"/>
    </font>
    <font>
      <i/>
      <sz val="1"/>
      <color rgb="FF000000"/>
      <name val="Arial"/>
      <family val="2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9"/>
      <color theme="1"/>
      <name val="Arial"/>
      <family val="2"/>
    </font>
    <font>
      <i/>
      <u/>
      <sz val="9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00"/>
      <name val="Arial Narrow"/>
      <family val="2"/>
    </font>
    <font>
      <b/>
      <sz val="10"/>
      <color rgb="FFFFFFFF"/>
      <name val="Arial Narrow"/>
      <family val="2"/>
    </font>
    <font>
      <b/>
      <sz val="10"/>
      <color theme="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perscript"/>
      <sz val="9"/>
      <color rgb="FF000000"/>
      <name val="Arial"/>
      <family val="2"/>
    </font>
    <font>
      <sz val="11"/>
      <color rgb="FF9C0006"/>
      <name val="Arial Narrow"/>
      <family val="2"/>
      <charset val="1"/>
    </font>
    <font>
      <b/>
      <sz val="8"/>
      <color theme="0"/>
      <name val="Arial Narrow"/>
      <family val="2"/>
    </font>
    <font>
      <b/>
      <sz val="8"/>
      <name val="Arial Narrow"/>
      <family val="2"/>
    </font>
    <font>
      <sz val="9"/>
      <name val="Calibri"/>
      <family val="2"/>
    </font>
    <font>
      <sz val="8"/>
      <name val="Arial Narrow"/>
      <family val="2"/>
    </font>
    <font>
      <b/>
      <sz val="8"/>
      <color indexed="8"/>
      <name val="Arial Narrow"/>
      <family val="2"/>
    </font>
    <font>
      <b/>
      <sz val="8"/>
      <color indexed="9"/>
      <name val="Arial Narrow"/>
      <family val="2"/>
    </font>
    <font>
      <sz val="8"/>
      <color indexed="10"/>
      <name val="Arial Narrow"/>
      <family val="2"/>
    </font>
    <font>
      <u/>
      <sz val="11"/>
      <color theme="10"/>
      <name val="Calibri"/>
      <family val="2"/>
      <scheme val="minor"/>
    </font>
    <font>
      <b/>
      <sz val="9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10"/>
      <name val="Arial Narrow"/>
      <family val="2"/>
    </font>
    <font>
      <sz val="8"/>
      <color theme="1"/>
      <name val="Arial Narrow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118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theme="7" tint="0.59999389629810485"/>
        <bgColor rgb="FFA6A6A6"/>
      </patternFill>
    </fill>
    <fill>
      <patternFill patternType="solid">
        <fgColor theme="7" tint="0.79998168889431442"/>
        <bgColor rgb="FFA6A6A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5B3D7"/>
        <bgColor rgb="FF95B3D7"/>
      </patternFill>
    </fill>
    <fill>
      <patternFill patternType="solid">
        <fgColor theme="7" tint="0.59999389629810485"/>
        <bgColor rgb="FF95B3D7"/>
      </patternFill>
    </fill>
    <fill>
      <patternFill patternType="solid">
        <fgColor theme="7" tint="0.79998168889431442"/>
        <bgColor rgb="FF95B3D7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A6A6A6"/>
      </patternFill>
    </fill>
    <fill>
      <patternFill patternType="solid">
        <fgColor rgb="FFA6A6A6"/>
        <bgColor rgb="FF95B3D7"/>
      </patternFill>
    </fill>
    <fill>
      <patternFill patternType="solid">
        <fgColor rgb="FFFF0000"/>
        <bgColor indexed="64"/>
      </patternFill>
    </fill>
    <fill>
      <patternFill patternType="solid">
        <fgColor rgb="FFE6B8B7"/>
        <bgColor rgb="FFE6B8B7"/>
      </patternFill>
    </fill>
    <fill>
      <patternFill patternType="solid">
        <fgColor theme="7" tint="0.59999389629810485"/>
        <bgColor rgb="FFE6B8B7"/>
      </patternFill>
    </fill>
    <fill>
      <patternFill patternType="solid">
        <fgColor theme="7" tint="0.79998168889431442"/>
        <bgColor rgb="FFE6B8B7"/>
      </patternFill>
    </fill>
    <fill>
      <patternFill patternType="solid">
        <fgColor rgb="FF963634"/>
        <bgColor rgb="FF963634"/>
      </patternFill>
    </fill>
    <fill>
      <patternFill patternType="solid">
        <fgColor theme="7" tint="0.59999389629810485"/>
        <bgColor rgb="FF963634"/>
      </patternFill>
    </fill>
    <fill>
      <patternFill patternType="solid">
        <fgColor theme="7" tint="0.79998168889431442"/>
        <bgColor rgb="FF963634"/>
      </patternFill>
    </fill>
    <fill>
      <patternFill patternType="solid">
        <fgColor theme="0"/>
        <bgColor indexed="64"/>
      </patternFill>
    </fill>
    <fill>
      <patternFill patternType="solid">
        <fgColor rgb="FFDA9694"/>
        <bgColor rgb="FFDA9694"/>
      </patternFill>
    </fill>
    <fill>
      <patternFill patternType="solid">
        <fgColor theme="7" tint="0.59999389629810485"/>
        <bgColor rgb="FFDA9694"/>
      </patternFill>
    </fill>
    <fill>
      <patternFill patternType="solid">
        <fgColor theme="7" tint="0.79998168889431442"/>
        <bgColor rgb="FFDA9694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rgb="FF990033"/>
      </patternFill>
    </fill>
    <fill>
      <patternFill patternType="solid">
        <fgColor rgb="FF31869B"/>
        <bgColor rgb="FF31869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9" tint="0.79998168889431442"/>
        <bgColor rgb="FF95B3D7"/>
      </patternFill>
    </fill>
    <fill>
      <patternFill patternType="solid">
        <fgColor theme="9" tint="0.79998168889431442"/>
        <bgColor rgb="FFE6B8B7"/>
      </patternFill>
    </fill>
    <fill>
      <patternFill patternType="solid">
        <fgColor theme="9" tint="0.79998168889431442"/>
        <bgColor rgb="FF963634"/>
      </patternFill>
    </fill>
    <fill>
      <patternFill patternType="solid">
        <fgColor theme="9" tint="0.79998168889431442"/>
        <bgColor rgb="FFDA9694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CCFF"/>
      </patternFill>
    </fill>
    <fill>
      <patternFill patternType="solid">
        <fgColor theme="7" tint="0.79998168889431442"/>
        <bgColor rgb="FFFF0000"/>
      </patternFill>
    </fill>
    <fill>
      <patternFill patternType="solid">
        <fgColor rgb="FFFF0000"/>
        <bgColor rgb="FFFF0000"/>
      </patternFill>
    </fill>
    <fill>
      <patternFill patternType="solid">
        <fgColor rgb="FF99CCFF"/>
        <bgColor rgb="FF99CCFF"/>
      </patternFill>
    </fill>
    <fill>
      <patternFill patternType="solid">
        <fgColor rgb="FF666699"/>
        <bgColor rgb="FF666699"/>
      </patternFill>
    </fill>
    <fill>
      <patternFill patternType="solid">
        <fgColor rgb="FF0066CC"/>
        <bgColor rgb="FF0066CC"/>
      </patternFill>
    </fill>
    <fill>
      <patternFill patternType="solid">
        <fgColor rgb="FF003366"/>
        <bgColor rgb="FF00336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99CC00"/>
        <bgColor rgb="FF99CC00"/>
      </patternFill>
    </fill>
    <fill>
      <patternFill patternType="solid">
        <fgColor theme="0"/>
        <bgColor rgb="FF99CC00"/>
      </patternFill>
    </fill>
    <fill>
      <patternFill patternType="solid">
        <fgColor theme="7" tint="0.39997558519241921"/>
        <bgColor rgb="FF99CC00"/>
      </patternFill>
    </fill>
    <fill>
      <patternFill patternType="solid">
        <fgColor rgb="FFFF9900"/>
        <bgColor rgb="FFFF9900"/>
      </patternFill>
    </fill>
    <fill>
      <patternFill patternType="solid">
        <fgColor rgb="FFFFCC00"/>
        <bgColor rgb="FFFFCC00"/>
      </patternFill>
    </fill>
    <fill>
      <patternFill patternType="solid">
        <fgColor theme="7" tint="0.79998168889431442"/>
        <bgColor rgb="FF00CCFF"/>
      </patternFill>
    </fill>
    <fill>
      <patternFill patternType="solid">
        <fgColor theme="7" tint="0.39997558519241921"/>
        <bgColor rgb="FF00CCFF"/>
      </patternFill>
    </fill>
    <fill>
      <patternFill patternType="solid">
        <fgColor theme="5" tint="0.39997558519241921"/>
        <bgColor rgb="FF003366"/>
      </patternFill>
    </fill>
    <fill>
      <patternFill patternType="solid">
        <fgColor theme="5" tint="0.79998168889431442"/>
        <bgColor rgb="FF0066CC"/>
      </patternFill>
    </fill>
    <fill>
      <patternFill patternType="solid">
        <fgColor theme="5" tint="0.79998168889431442"/>
        <bgColor rgb="FFFFFF00"/>
      </patternFill>
    </fill>
    <fill>
      <patternFill patternType="solid">
        <fgColor rgb="FFC8D7EA"/>
        <bgColor rgb="FF0000FF"/>
      </patternFill>
    </fill>
    <fill>
      <patternFill patternType="solid">
        <fgColor rgb="FFEAC5C4"/>
        <bgColor rgb="FF0000FF"/>
      </patternFill>
    </fill>
    <fill>
      <patternFill patternType="solid">
        <fgColor rgb="FFEAC5C4"/>
        <bgColor indexed="64"/>
      </patternFill>
    </fill>
    <fill>
      <patternFill patternType="solid">
        <fgColor rgb="FFB4E9B1"/>
        <bgColor indexed="64"/>
      </patternFill>
    </fill>
    <fill>
      <patternFill patternType="solid">
        <fgColor rgb="FFC8D7EA"/>
        <bgColor indexed="64"/>
      </patternFill>
    </fill>
    <fill>
      <patternFill patternType="solid">
        <fgColor rgb="FFB4E9B1"/>
        <bgColor rgb="FF0000FF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39997558519241921"/>
        <bgColor rgb="FF0066CC"/>
      </patternFill>
    </fill>
    <fill>
      <patternFill patternType="solid">
        <fgColor rgb="FF6600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FFFF"/>
        <bgColor rgb="FFA6A6A6"/>
      </patternFill>
    </fill>
    <fill>
      <patternFill patternType="solid">
        <fgColor rgb="FFCCFFFF"/>
        <bgColor rgb="FF95B3D7"/>
      </patternFill>
    </fill>
    <fill>
      <patternFill patternType="solid">
        <fgColor rgb="FFCCFFFF"/>
        <bgColor rgb="FF963634"/>
      </patternFill>
    </fill>
    <fill>
      <patternFill patternType="solid">
        <fgColor rgb="FFCCFFFF"/>
        <bgColor rgb="FFDA9694"/>
      </patternFill>
    </fill>
    <fill>
      <patternFill patternType="solid">
        <fgColor rgb="FFFCA99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A7B6A"/>
        <bgColor indexed="64"/>
      </patternFill>
    </fill>
    <fill>
      <patternFill patternType="solid">
        <fgColor theme="8" tint="0.59999389629810485"/>
        <bgColor rgb="FFA6A6A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rgb="FF00CCFF"/>
      </patternFill>
    </fill>
    <fill>
      <patternFill patternType="solid">
        <fgColor rgb="FFFFFF00"/>
        <bgColor rgb="FF0066CC"/>
      </patternFill>
    </fill>
    <fill>
      <patternFill patternType="solid">
        <fgColor rgb="FFFFFF00"/>
        <bgColor rgb="FFFF0000"/>
      </patternFill>
    </fill>
    <fill>
      <patternFill patternType="solid">
        <fgColor theme="5"/>
        <bgColor rgb="FFFFFF00"/>
      </patternFill>
    </fill>
    <fill>
      <patternFill patternType="solid">
        <fgColor theme="5"/>
        <bgColor rgb="FF99CCFF"/>
      </patternFill>
    </fill>
    <fill>
      <patternFill patternType="solid">
        <fgColor theme="5"/>
        <bgColor rgb="FF666699"/>
      </patternFill>
    </fill>
    <fill>
      <patternFill patternType="solid">
        <fgColor theme="5"/>
        <bgColor rgb="FF0066CC"/>
      </patternFill>
    </fill>
    <fill>
      <patternFill patternType="solid">
        <fgColor theme="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499984740745262"/>
        <bgColor rgb="FFA6A6A6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rgb="FFA6A6A6"/>
      </patternFill>
    </fill>
    <fill>
      <patternFill patternType="solid">
        <fgColor theme="9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24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" fontId="12" fillId="0" borderId="0">
      <alignment horizontal="left" vertical="top"/>
    </xf>
    <xf numFmtId="0" fontId="1" fillId="0" borderId="0"/>
    <xf numFmtId="41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5" fillId="0" borderId="0"/>
    <xf numFmtId="165" fontId="1" fillId="0" borderId="0" applyFont="0" applyFill="0" applyBorder="0" applyAlignment="0" applyProtection="0"/>
    <xf numFmtId="0" fontId="27" fillId="0" borderId="0"/>
    <xf numFmtId="0" fontId="15" fillId="0" borderId="0"/>
    <xf numFmtId="164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70" fontId="48" fillId="0" borderId="0"/>
    <xf numFmtId="0" fontId="15" fillId="0" borderId="0"/>
    <xf numFmtId="0" fontId="1" fillId="0" borderId="0"/>
    <xf numFmtId="37" fontId="53" fillId="0" borderId="0"/>
    <xf numFmtId="0" fontId="56" fillId="0" borderId="0"/>
    <xf numFmtId="0" fontId="34" fillId="0" borderId="0"/>
    <xf numFmtId="0" fontId="56" fillId="0" borderId="0"/>
    <xf numFmtId="164" fontId="33" fillId="0" borderId="0" applyFont="0" applyFill="0" applyBorder="0" applyAlignment="0" applyProtection="0"/>
    <xf numFmtId="0" fontId="15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189" fontId="27" fillId="0" borderId="0"/>
    <xf numFmtId="37" fontId="53" fillId="0" borderId="0"/>
    <xf numFmtId="189" fontId="112" fillId="97" borderId="0" applyNumberFormat="0" applyBorder="0" applyAlignment="0" applyProtection="0"/>
    <xf numFmtId="41" fontId="15" fillId="0" borderId="0" applyFont="0" applyFill="0" applyBorder="0" applyAlignment="0" applyProtection="0"/>
    <xf numFmtId="189" fontId="6" fillId="0" borderId="0"/>
    <xf numFmtId="0" fontId="1" fillId="0" borderId="0"/>
    <xf numFmtId="0" fontId="1" fillId="0" borderId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5" fillId="0" borderId="0"/>
    <xf numFmtId="190" fontId="15" fillId="0" borderId="0" applyFill="0" applyBorder="0" applyAlignment="0" applyProtection="0"/>
    <xf numFmtId="174" fontId="15" fillId="0" borderId="0" applyFill="0" applyBorder="0" applyAlignment="0" applyProtection="0"/>
    <xf numFmtId="0" fontId="56" fillId="0" borderId="0"/>
    <xf numFmtId="41" fontId="3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91" fontId="1" fillId="0" borderId="0"/>
    <xf numFmtId="165" fontId="115" fillId="0" borderId="0" applyFont="0" applyFill="0" applyBorder="0" applyAlignment="0" applyProtection="0"/>
    <xf numFmtId="0" fontId="15" fillId="0" borderId="0"/>
    <xf numFmtId="165" fontId="33" fillId="0" borderId="0" applyFont="0" applyFill="0" applyBorder="0" applyAlignment="0" applyProtection="0"/>
    <xf numFmtId="191" fontId="6" fillId="0" borderId="0"/>
    <xf numFmtId="164" fontId="6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2508">
    <xf numFmtId="0" fontId="0" fillId="0" borderId="0" xfId="0"/>
    <xf numFmtId="0" fontId="1" fillId="0" borderId="0" xfId="3"/>
    <xf numFmtId="0" fontId="4" fillId="0" borderId="3" xfId="3" applyFont="1" applyBorder="1" applyAlignment="1">
      <alignment horizontal="left" vertical="center"/>
    </xf>
    <xf numFmtId="164" fontId="4" fillId="5" borderId="6" xfId="1" applyNumberFormat="1" applyFont="1" applyFill="1" applyBorder="1" applyAlignment="1">
      <alignment horizontal="left" vertical="center"/>
    </xf>
    <xf numFmtId="0" fontId="1" fillId="0" borderId="3" xfId="3" applyBorder="1" applyAlignment="1">
      <alignment horizontal="left" vertical="center"/>
    </xf>
    <xf numFmtId="164" fontId="1" fillId="4" borderId="6" xfId="1" applyNumberFormat="1" applyFont="1" applyFill="1" applyBorder="1" applyAlignment="1">
      <alignment horizontal="left" vertical="center"/>
    </xf>
    <xf numFmtId="164" fontId="1" fillId="5" borderId="6" xfId="1" applyNumberFormat="1" applyFont="1" applyFill="1" applyBorder="1" applyAlignment="1">
      <alignment horizontal="left" vertical="center"/>
    </xf>
    <xf numFmtId="0" fontId="4" fillId="0" borderId="3" xfId="3" applyFont="1" applyBorder="1" applyAlignment="1">
      <alignment horizontal="right" vertical="center"/>
    </xf>
    <xf numFmtId="0" fontId="1" fillId="0" borderId="3" xfId="3" quotePrefix="1" applyBorder="1" applyAlignment="1">
      <alignment horizontal="center" vertical="center"/>
    </xf>
    <xf numFmtId="164" fontId="8" fillId="0" borderId="3" xfId="1" applyNumberFormat="1" applyFont="1" applyBorder="1" applyAlignment="1">
      <alignment horizontal="right" vertical="center"/>
    </xf>
    <xf numFmtId="164" fontId="8" fillId="4" borderId="6" xfId="1" applyNumberFormat="1" applyFont="1" applyFill="1" applyBorder="1" applyAlignment="1">
      <alignment horizontal="right" vertical="center"/>
    </xf>
    <xf numFmtId="164" fontId="8" fillId="5" borderId="6" xfId="1" applyNumberFormat="1" applyFont="1" applyFill="1" applyBorder="1" applyAlignment="1">
      <alignment horizontal="right" vertical="center"/>
    </xf>
    <xf numFmtId="164" fontId="8" fillId="0" borderId="5" xfId="1" applyNumberFormat="1" applyFont="1" applyFill="1" applyBorder="1" applyAlignment="1">
      <alignment horizontal="right" vertical="center"/>
    </xf>
    <xf numFmtId="0" fontId="8" fillId="0" borderId="3" xfId="3" applyFont="1" applyBorder="1" applyAlignment="1">
      <alignment horizontal="left" vertical="center"/>
    </xf>
    <xf numFmtId="164" fontId="8" fillId="0" borderId="3" xfId="1" applyNumberFormat="1" applyFont="1" applyFill="1" applyBorder="1" applyAlignment="1">
      <alignment horizontal="right" vertical="center"/>
    </xf>
    <xf numFmtId="164" fontId="8" fillId="5" borderId="0" xfId="1" applyNumberFormat="1" applyFont="1" applyFill="1" applyBorder="1" applyAlignment="1">
      <alignment horizontal="right" vertical="center"/>
    </xf>
    <xf numFmtId="0" fontId="4" fillId="0" borderId="7" xfId="3" applyFont="1" applyBorder="1" applyAlignment="1">
      <alignment horizontal="left" vertical="center"/>
    </xf>
    <xf numFmtId="164" fontId="4" fillId="8" borderId="6" xfId="1" applyNumberFormat="1" applyFont="1" applyFill="1" applyBorder="1" applyAlignment="1">
      <alignment horizontal="left" vertical="center"/>
    </xf>
    <xf numFmtId="0" fontId="9" fillId="9" borderId="3" xfId="3" applyFont="1" applyFill="1" applyBorder="1" applyAlignment="1">
      <alignment horizontal="left" vertical="center"/>
    </xf>
    <xf numFmtId="0" fontId="4" fillId="9" borderId="3" xfId="3" applyFont="1" applyFill="1" applyBorder="1" applyAlignment="1">
      <alignment horizontal="left" vertical="center"/>
    </xf>
    <xf numFmtId="164" fontId="4" fillId="11" borderId="6" xfId="1" applyNumberFormat="1" applyFont="1" applyFill="1" applyBorder="1" applyAlignment="1">
      <alignment horizontal="right" vertical="center"/>
    </xf>
    <xf numFmtId="0" fontId="4" fillId="0" borderId="3" xfId="3" quotePrefix="1" applyFont="1" applyBorder="1" applyAlignment="1">
      <alignment horizontal="right" vertical="center"/>
    </xf>
    <xf numFmtId="0" fontId="4" fillId="0" borderId="3" xfId="3" quotePrefix="1" applyFont="1" applyBorder="1" applyAlignment="1">
      <alignment horizontal="left" vertical="center" indent="2"/>
    </xf>
    <xf numFmtId="0" fontId="8" fillId="12" borderId="3" xfId="3" applyFont="1" applyFill="1" applyBorder="1" applyAlignment="1">
      <alignment horizontal="left" vertical="center"/>
    </xf>
    <xf numFmtId="0" fontId="4" fillId="0" borderId="3" xfId="3" applyFont="1" applyBorder="1" applyAlignment="1">
      <alignment horizontal="left" vertical="center" indent="2"/>
    </xf>
    <xf numFmtId="164" fontId="8" fillId="0" borderId="6" xfId="1" applyNumberFormat="1" applyFont="1" applyFill="1" applyBorder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1" fillId="9" borderId="3" xfId="3" applyFill="1" applyBorder="1" applyAlignment="1">
      <alignment horizontal="left" vertical="center"/>
    </xf>
    <xf numFmtId="164" fontId="4" fillId="10" borderId="3" xfId="1" applyNumberFormat="1" applyFont="1" applyFill="1" applyBorder="1" applyAlignment="1">
      <alignment horizontal="right" vertical="center"/>
    </xf>
    <xf numFmtId="164" fontId="4" fillId="11" borderId="3" xfId="1" applyNumberFormat="1" applyFont="1" applyFill="1" applyBorder="1" applyAlignment="1">
      <alignment horizontal="right" vertical="center"/>
    </xf>
    <xf numFmtId="0" fontId="1" fillId="0" borderId="3" xfId="3" applyBorder="1" applyAlignment="1">
      <alignment horizontal="center" vertical="center"/>
    </xf>
    <xf numFmtId="0" fontId="4" fillId="13" borderId="3" xfId="3" applyFont="1" applyFill="1" applyBorder="1" applyAlignment="1">
      <alignment horizontal="left" vertical="center"/>
    </xf>
    <xf numFmtId="164" fontId="4" fillId="14" borderId="3" xfId="1" applyNumberFormat="1" applyFont="1" applyFill="1" applyBorder="1" applyAlignment="1">
      <alignment horizontal="right" vertical="center"/>
    </xf>
    <xf numFmtId="164" fontId="4" fillId="15" borderId="3" xfId="1" applyNumberFormat="1" applyFont="1" applyFill="1" applyBorder="1" applyAlignment="1">
      <alignment horizontal="right" vertical="center"/>
    </xf>
    <xf numFmtId="0" fontId="9" fillId="0" borderId="3" xfId="3" applyFont="1" applyBorder="1" applyAlignment="1">
      <alignment horizontal="left" vertical="center"/>
    </xf>
    <xf numFmtId="164" fontId="8" fillId="16" borderId="3" xfId="1" applyNumberFormat="1" applyFont="1" applyFill="1" applyBorder="1" applyAlignment="1">
      <alignment horizontal="right" vertical="center"/>
    </xf>
    <xf numFmtId="164" fontId="4" fillId="5" borderId="6" xfId="1" applyNumberFormat="1" applyFont="1" applyFill="1" applyBorder="1" applyAlignment="1">
      <alignment horizontal="right" vertical="center"/>
    </xf>
    <xf numFmtId="164" fontId="8" fillId="5" borderId="3" xfId="1" applyNumberFormat="1" applyFont="1" applyFill="1" applyBorder="1" applyAlignment="1">
      <alignment horizontal="right" vertical="center"/>
    </xf>
    <xf numFmtId="0" fontId="1" fillId="16" borderId="3" xfId="3" applyFill="1" applyBorder="1" applyAlignment="1">
      <alignment horizontal="left" vertical="center"/>
    </xf>
    <xf numFmtId="164" fontId="1" fillId="16" borderId="3" xfId="1" applyNumberFormat="1" applyFont="1" applyFill="1" applyBorder="1" applyAlignment="1">
      <alignment horizontal="right" vertical="center"/>
    </xf>
    <xf numFmtId="164" fontId="1" fillId="4" borderId="3" xfId="1" applyNumberFormat="1" applyFont="1" applyFill="1" applyBorder="1" applyAlignment="1">
      <alignment horizontal="right" vertical="center"/>
    </xf>
    <xf numFmtId="0" fontId="4" fillId="0" borderId="0" xfId="3" applyFont="1"/>
    <xf numFmtId="164" fontId="4" fillId="4" borderId="3" xfId="1" applyNumberFormat="1" applyFont="1" applyFill="1" applyBorder="1" applyAlignment="1">
      <alignment horizontal="right" vertical="center"/>
    </xf>
    <xf numFmtId="164" fontId="4" fillId="5" borderId="3" xfId="1" applyNumberFormat="1" applyFont="1" applyFill="1" applyBorder="1" applyAlignment="1">
      <alignment horizontal="right" vertical="center"/>
    </xf>
    <xf numFmtId="0" fontId="1" fillId="12" borderId="3" xfId="3" applyFill="1" applyBorder="1" applyAlignment="1">
      <alignment horizontal="left" vertical="center"/>
    </xf>
    <xf numFmtId="164" fontId="1" fillId="0" borderId="5" xfId="1" applyNumberFormat="1" applyFont="1" applyFill="1" applyBorder="1" applyAlignment="1">
      <alignment horizontal="right" vertical="center"/>
    </xf>
    <xf numFmtId="164" fontId="1" fillId="5" borderId="6" xfId="1" applyNumberFormat="1" applyFont="1" applyFill="1" applyBorder="1" applyAlignment="1">
      <alignment horizontal="right" vertical="center"/>
    </xf>
    <xf numFmtId="164" fontId="1" fillId="0" borderId="6" xfId="1" applyNumberFormat="1" applyFont="1" applyFill="1" applyBorder="1" applyAlignment="1">
      <alignment horizontal="right" vertical="center"/>
    </xf>
    <xf numFmtId="164" fontId="1" fillId="5" borderId="0" xfId="1" applyNumberFormat="1" applyFont="1" applyFill="1" applyBorder="1" applyAlignment="1">
      <alignment horizontal="left"/>
    </xf>
    <xf numFmtId="164" fontId="8" fillId="18" borderId="6" xfId="1" applyNumberFormat="1" applyFont="1" applyFill="1" applyBorder="1" applyAlignment="1">
      <alignment horizontal="right" vertical="center"/>
    </xf>
    <xf numFmtId="0" fontId="7" fillId="12" borderId="3" xfId="3" applyFont="1" applyFill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4" fillId="0" borderId="3" xfId="6" applyFont="1" applyBorder="1" applyAlignment="1">
      <alignment horizontal="left" vertical="center"/>
    </xf>
    <xf numFmtId="164" fontId="4" fillId="0" borderId="6" xfId="1" applyNumberFormat="1" applyFont="1" applyFill="1" applyBorder="1" applyAlignment="1">
      <alignment horizontal="right" vertical="center"/>
    </xf>
    <xf numFmtId="0" fontId="4" fillId="9" borderId="3" xfId="6" applyFont="1" applyFill="1" applyBorder="1" applyAlignment="1">
      <alignment horizontal="left" vertical="center"/>
    </xf>
    <xf numFmtId="0" fontId="4" fillId="20" borderId="3" xfId="3" applyFont="1" applyFill="1" applyBorder="1" applyAlignment="1">
      <alignment horizontal="left" vertical="center"/>
    </xf>
    <xf numFmtId="164" fontId="4" fillId="15" borderId="5" xfId="1" applyNumberFormat="1" applyFont="1" applyFill="1" applyBorder="1" applyAlignment="1">
      <alignment horizontal="right" vertical="center"/>
    </xf>
    <xf numFmtId="0" fontId="4" fillId="17" borderId="3" xfId="3" applyFont="1" applyFill="1" applyBorder="1" applyAlignment="1">
      <alignment horizontal="left" vertical="center"/>
    </xf>
    <xf numFmtId="164" fontId="4" fillId="19" borderId="3" xfId="1" applyNumberFormat="1" applyFont="1" applyFill="1" applyBorder="1" applyAlignment="1">
      <alignment horizontal="right" vertical="center"/>
    </xf>
    <xf numFmtId="0" fontId="4" fillId="22" borderId="3" xfId="3" applyFont="1" applyFill="1" applyBorder="1" applyAlignment="1">
      <alignment horizontal="left" vertical="center"/>
    </xf>
    <xf numFmtId="164" fontId="4" fillId="23" borderId="3" xfId="1" applyNumberFormat="1" applyFont="1" applyFill="1" applyBorder="1" applyAlignment="1">
      <alignment horizontal="right" vertical="center"/>
    </xf>
    <xf numFmtId="164" fontId="4" fillId="24" borderId="3" xfId="1" applyNumberFormat="1" applyFont="1" applyFill="1" applyBorder="1" applyAlignment="1">
      <alignment horizontal="right" vertical="center"/>
    </xf>
    <xf numFmtId="0" fontId="2" fillId="25" borderId="3" xfId="3" applyFont="1" applyFill="1" applyBorder="1" applyAlignment="1">
      <alignment horizontal="left" vertical="center"/>
    </xf>
    <xf numFmtId="164" fontId="2" fillId="26" borderId="3" xfId="1" applyNumberFormat="1" applyFont="1" applyFill="1" applyBorder="1" applyAlignment="1">
      <alignment horizontal="right" vertical="center"/>
    </xf>
    <xf numFmtId="164" fontId="2" fillId="27" borderId="3" xfId="1" applyNumberFormat="1" applyFont="1" applyFill="1" applyBorder="1" applyAlignment="1">
      <alignment horizontal="right" vertical="center"/>
    </xf>
    <xf numFmtId="164" fontId="9" fillId="5" borderId="6" xfId="1" applyNumberFormat="1" applyFont="1" applyFill="1" applyBorder="1" applyAlignment="1">
      <alignment horizontal="right" vertical="center"/>
    </xf>
    <xf numFmtId="164" fontId="1" fillId="5" borderId="3" xfId="1" applyNumberFormat="1" applyFont="1" applyFill="1" applyBorder="1" applyAlignment="1">
      <alignment horizontal="right" vertical="center"/>
    </xf>
    <xf numFmtId="0" fontId="4" fillId="0" borderId="3" xfId="3" applyFont="1" applyBorder="1" applyAlignment="1">
      <alignment horizontal="center" vertical="center"/>
    </xf>
    <xf numFmtId="166" fontId="4" fillId="0" borderId="3" xfId="3" applyNumberFormat="1" applyFont="1" applyBorder="1" applyAlignment="1">
      <alignment horizontal="left" vertical="center"/>
    </xf>
    <xf numFmtId="0" fontId="1" fillId="0" borderId="3" xfId="3" applyBorder="1" applyAlignment="1">
      <alignment horizontal="right" vertical="center"/>
    </xf>
    <xf numFmtId="164" fontId="10" fillId="28" borderId="3" xfId="1" applyNumberFormat="1" applyFont="1" applyFill="1" applyBorder="1" applyAlignment="1">
      <alignment horizontal="right" vertical="center"/>
    </xf>
    <xf numFmtId="0" fontId="10" fillId="0" borderId="3" xfId="3" applyFont="1" applyBorder="1" applyAlignment="1">
      <alignment horizontal="left" vertical="center"/>
    </xf>
    <xf numFmtId="164" fontId="1" fillId="5" borderId="8" xfId="1" applyNumberFormat="1" applyFont="1" applyFill="1" applyBorder="1" applyAlignment="1">
      <alignment horizontal="right" vertical="center"/>
    </xf>
    <xf numFmtId="0" fontId="1" fillId="0" borderId="3" xfId="3" applyBorder="1" applyAlignment="1">
      <alignment horizontal="left" vertical="center" indent="1"/>
    </xf>
    <xf numFmtId="165" fontId="1" fillId="0" borderId="3" xfId="3" applyNumberFormat="1" applyBorder="1" applyAlignment="1">
      <alignment horizontal="left" vertical="center"/>
    </xf>
    <xf numFmtId="165" fontId="3" fillId="0" borderId="3" xfId="3" applyNumberFormat="1" applyFont="1" applyBorder="1" applyAlignment="1">
      <alignment horizontal="left" vertical="center"/>
    </xf>
    <xf numFmtId="165" fontId="10" fillId="0" borderId="3" xfId="3" applyNumberFormat="1" applyFont="1" applyBorder="1" applyAlignment="1">
      <alignment horizontal="left" vertical="center"/>
    </xf>
    <xf numFmtId="0" fontId="4" fillId="29" borderId="3" xfId="3" applyFont="1" applyFill="1" applyBorder="1" applyAlignment="1">
      <alignment horizontal="left" vertical="center"/>
    </xf>
    <xf numFmtId="164" fontId="4" fillId="30" borderId="3" xfId="1" applyNumberFormat="1" applyFont="1" applyFill="1" applyBorder="1" applyAlignment="1">
      <alignment horizontal="right" vertical="center"/>
    </xf>
    <xf numFmtId="164" fontId="4" fillId="31" borderId="3" xfId="1" applyNumberFormat="1" applyFont="1" applyFill="1" applyBorder="1" applyAlignment="1">
      <alignment horizontal="right" vertical="center"/>
    </xf>
    <xf numFmtId="165" fontId="9" fillId="0" borderId="3" xfId="3" applyNumberFormat="1" applyFont="1" applyBorder="1" applyAlignment="1">
      <alignment horizontal="left" vertical="center"/>
    </xf>
    <xf numFmtId="0" fontId="13" fillId="0" borderId="3" xfId="3" applyFont="1" applyBorder="1" applyAlignment="1">
      <alignment horizontal="left" vertical="center"/>
    </xf>
    <xf numFmtId="0" fontId="4" fillId="0" borderId="3" xfId="3" applyFont="1" applyBorder="1" applyAlignment="1">
      <alignment vertical="center"/>
    </xf>
    <xf numFmtId="0" fontId="1" fillId="0" borderId="3" xfId="3" applyBorder="1" applyAlignment="1">
      <alignment vertical="center"/>
    </xf>
    <xf numFmtId="0" fontId="1" fillId="0" borderId="3" xfId="3" applyBorder="1" applyAlignment="1">
      <alignment horizontal="left" vertical="center" indent="2"/>
    </xf>
    <xf numFmtId="0" fontId="10" fillId="16" borderId="3" xfId="3" applyFont="1" applyFill="1" applyBorder="1" applyAlignment="1">
      <alignment horizontal="left" vertical="center"/>
    </xf>
    <xf numFmtId="0" fontId="4" fillId="32" borderId="3" xfId="3" applyFont="1" applyFill="1" applyBorder="1" applyAlignment="1">
      <alignment horizontal="left" vertical="center"/>
    </xf>
    <xf numFmtId="164" fontId="4" fillId="33" borderId="3" xfId="1" applyNumberFormat="1" applyFont="1" applyFill="1" applyBorder="1" applyAlignment="1">
      <alignment horizontal="right" vertical="center"/>
    </xf>
    <xf numFmtId="0" fontId="1" fillId="34" borderId="3" xfId="3" applyFill="1" applyBorder="1" applyAlignment="1">
      <alignment horizontal="left" vertical="center"/>
    </xf>
    <xf numFmtId="0" fontId="4" fillId="16" borderId="3" xfId="3" applyFont="1" applyFill="1" applyBorder="1" applyAlignment="1">
      <alignment horizontal="left" vertical="center"/>
    </xf>
    <xf numFmtId="164" fontId="1" fillId="0" borderId="3" xfId="3" applyNumberFormat="1" applyBorder="1" applyAlignment="1">
      <alignment horizontal="left" vertical="center"/>
    </xf>
    <xf numFmtId="164" fontId="1" fillId="5" borderId="9" xfId="1" applyNumberFormat="1" applyFont="1" applyFill="1" applyBorder="1" applyAlignment="1">
      <alignment horizontal="left" vertical="center"/>
    </xf>
    <xf numFmtId="164" fontId="1" fillId="5" borderId="0" xfId="1" applyNumberFormat="1" applyFont="1" applyFill="1" applyBorder="1" applyAlignment="1">
      <alignment horizontal="left" vertical="center"/>
    </xf>
    <xf numFmtId="0" fontId="8" fillId="16" borderId="3" xfId="3" applyFont="1" applyFill="1" applyBorder="1" applyAlignment="1">
      <alignment horizontal="left" vertical="center"/>
    </xf>
    <xf numFmtId="164" fontId="8" fillId="16" borderId="6" xfId="1" applyNumberFormat="1" applyFont="1" applyFill="1" applyBorder="1" applyAlignment="1">
      <alignment horizontal="right" vertical="center"/>
    </xf>
    <xf numFmtId="0" fontId="4" fillId="35" borderId="3" xfId="3" applyFont="1" applyFill="1" applyBorder="1" applyAlignment="1">
      <alignment horizontal="center" vertical="center"/>
    </xf>
    <xf numFmtId="0" fontId="9" fillId="35" borderId="3" xfId="3" applyFont="1" applyFill="1" applyBorder="1" applyAlignment="1">
      <alignment horizontal="left" vertical="center"/>
    </xf>
    <xf numFmtId="164" fontId="9" fillId="5" borderId="0" xfId="1" applyNumberFormat="1" applyFont="1" applyFill="1" applyBorder="1" applyAlignment="1">
      <alignment horizontal="right" vertical="center"/>
    </xf>
    <xf numFmtId="164" fontId="8" fillId="5" borderId="8" xfId="1" applyNumberFormat="1" applyFont="1" applyFill="1" applyBorder="1" applyAlignment="1">
      <alignment horizontal="right" vertical="center"/>
    </xf>
    <xf numFmtId="0" fontId="4" fillId="35" borderId="0" xfId="3" applyFont="1" applyFill="1"/>
    <xf numFmtId="0" fontId="4" fillId="35" borderId="3" xfId="3" applyFont="1" applyFill="1" applyBorder="1" applyAlignment="1">
      <alignment horizontal="right" vertical="center"/>
    </xf>
    <xf numFmtId="41" fontId="4" fillId="0" borderId="0" xfId="2" applyFont="1" applyFill="1"/>
    <xf numFmtId="41" fontId="4" fillId="0" borderId="3" xfId="2" applyFont="1" applyFill="1" applyBorder="1" applyAlignment="1">
      <alignment horizontal="right" vertical="center"/>
    </xf>
    <xf numFmtId="41" fontId="9" fillId="0" borderId="3" xfId="2" applyFont="1" applyFill="1" applyBorder="1" applyAlignment="1">
      <alignment horizontal="left" vertical="center"/>
    </xf>
    <xf numFmtId="164" fontId="4" fillId="0" borderId="0" xfId="2" applyNumberFormat="1" applyFont="1" applyFill="1"/>
    <xf numFmtId="164" fontId="4" fillId="0" borderId="3" xfId="2" applyNumberFormat="1" applyFont="1" applyFill="1" applyBorder="1" applyAlignment="1">
      <alignment horizontal="right" vertical="center"/>
    </xf>
    <xf numFmtId="164" fontId="8" fillId="0" borderId="3" xfId="3" applyNumberFormat="1" applyFont="1" applyBorder="1" applyAlignment="1">
      <alignment horizontal="left" vertical="center"/>
    </xf>
    <xf numFmtId="0" fontId="9" fillId="0" borderId="3" xfId="3" applyFont="1" applyBorder="1" applyAlignment="1">
      <alignment horizontal="left" vertical="center" indent="2"/>
    </xf>
    <xf numFmtId="0" fontId="9" fillId="0" borderId="3" xfId="3" applyFont="1" applyBorder="1" applyAlignment="1">
      <alignment horizontal="left" vertical="center" wrapText="1"/>
    </xf>
    <xf numFmtId="0" fontId="8" fillId="0" borderId="3" xfId="3" applyFont="1" applyBorder="1" applyAlignment="1">
      <alignment horizontal="left" vertical="center" wrapText="1"/>
    </xf>
    <xf numFmtId="0" fontId="8" fillId="12" borderId="3" xfId="3" applyFont="1" applyFill="1" applyBorder="1" applyAlignment="1">
      <alignment horizontal="left" vertical="center" wrapText="1"/>
    </xf>
    <xf numFmtId="164" fontId="8" fillId="16" borderId="0" xfId="1" applyNumberFormat="1" applyFont="1" applyFill="1" applyBorder="1" applyAlignment="1">
      <alignment horizontal="right" vertical="center"/>
    </xf>
    <xf numFmtId="0" fontId="9" fillId="16" borderId="3" xfId="3" applyFont="1" applyFill="1" applyBorder="1" applyAlignment="1">
      <alignment horizontal="left" vertical="center" wrapText="1"/>
    </xf>
    <xf numFmtId="0" fontId="9" fillId="13" borderId="3" xfId="3" applyFont="1" applyFill="1" applyBorder="1" applyAlignment="1">
      <alignment horizontal="left" vertical="center"/>
    </xf>
    <xf numFmtId="164" fontId="4" fillId="15" borderId="6" xfId="1" applyNumberFormat="1" applyFont="1" applyFill="1" applyBorder="1" applyAlignment="1">
      <alignment horizontal="right" vertical="center"/>
    </xf>
    <xf numFmtId="0" fontId="1" fillId="29" borderId="3" xfId="3" applyFill="1" applyBorder="1" applyAlignment="1">
      <alignment horizontal="left" vertical="center"/>
    </xf>
    <xf numFmtId="164" fontId="4" fillId="31" borderId="6" xfId="1" applyNumberFormat="1" applyFont="1" applyFill="1" applyBorder="1" applyAlignment="1">
      <alignment horizontal="right" vertical="center"/>
    </xf>
    <xf numFmtId="164" fontId="2" fillId="27" borderId="6" xfId="1" applyNumberFormat="1" applyFont="1" applyFill="1" applyBorder="1" applyAlignment="1">
      <alignment horizontal="right" vertical="center"/>
    </xf>
    <xf numFmtId="164" fontId="4" fillId="0" borderId="3" xfId="3" applyNumberFormat="1" applyFont="1" applyBorder="1" applyAlignment="1">
      <alignment horizontal="left" vertical="center"/>
    </xf>
    <xf numFmtId="0" fontId="5" fillId="25" borderId="10" xfId="3" applyFont="1" applyFill="1" applyBorder="1" applyAlignment="1">
      <alignment horizontal="left" vertical="center"/>
    </xf>
    <xf numFmtId="164" fontId="2" fillId="26" borderId="10" xfId="1" applyNumberFormat="1" applyFont="1" applyFill="1" applyBorder="1" applyAlignment="1">
      <alignment horizontal="right" vertical="center"/>
    </xf>
    <xf numFmtId="41" fontId="0" fillId="0" borderId="0" xfId="2" applyFont="1"/>
    <xf numFmtId="0" fontId="9" fillId="0" borderId="0" xfId="3" applyFont="1" applyAlignment="1">
      <alignment vertical="center"/>
    </xf>
    <xf numFmtId="164" fontId="5" fillId="2" borderId="2" xfId="1" applyNumberFormat="1" applyFont="1" applyFill="1" applyBorder="1" applyAlignment="1">
      <alignment horizontal="center" vertical="center"/>
    </xf>
    <xf numFmtId="164" fontId="5" fillId="37" borderId="2" xfId="1" applyNumberFormat="1" applyFont="1" applyFill="1" applyBorder="1" applyAlignment="1">
      <alignment horizontal="center" vertical="center"/>
    </xf>
    <xf numFmtId="164" fontId="5" fillId="2" borderId="4" xfId="4" applyFont="1" applyFill="1" applyBorder="1" applyAlignment="1">
      <alignment horizontal="center" vertical="center"/>
    </xf>
    <xf numFmtId="164" fontId="1" fillId="4" borderId="3" xfId="1" applyNumberFormat="1" applyFont="1" applyFill="1" applyBorder="1" applyAlignment="1">
      <alignment horizontal="left" vertical="center"/>
    </xf>
    <xf numFmtId="164" fontId="1" fillId="5" borderId="3" xfId="1" applyNumberFormat="1" applyFont="1" applyFill="1" applyBorder="1" applyAlignment="1">
      <alignment horizontal="left" vertical="center"/>
    </xf>
    <xf numFmtId="164" fontId="8" fillId="4" borderId="3" xfId="1" applyNumberFormat="1" applyFont="1" applyFill="1" applyBorder="1" applyAlignment="1">
      <alignment horizontal="right" vertical="center"/>
    </xf>
    <xf numFmtId="164" fontId="4" fillId="7" borderId="3" xfId="1" applyNumberFormat="1" applyFont="1" applyFill="1" applyBorder="1" applyAlignment="1">
      <alignment horizontal="left" vertical="center"/>
    </xf>
    <xf numFmtId="164" fontId="4" fillId="8" borderId="3" xfId="1" applyNumberFormat="1" applyFont="1" applyFill="1" applyBorder="1" applyAlignment="1">
      <alignment horizontal="left" vertical="center"/>
    </xf>
    <xf numFmtId="164" fontId="4" fillId="4" borderId="3" xfId="1" applyNumberFormat="1" applyFont="1" applyFill="1" applyBorder="1" applyAlignment="1">
      <alignment horizontal="left" vertical="center"/>
    </xf>
    <xf numFmtId="164" fontId="4" fillId="5" borderId="3" xfId="1" applyNumberFormat="1" applyFont="1" applyFill="1" applyBorder="1" applyAlignment="1">
      <alignment horizontal="left" vertical="center"/>
    </xf>
    <xf numFmtId="164" fontId="8" fillId="5" borderId="3" xfId="1" applyNumberFormat="1" applyFont="1" applyFill="1" applyBorder="1" applyAlignment="1">
      <alignment horizontal="left" vertical="center"/>
    </xf>
    <xf numFmtId="164" fontId="1" fillId="5" borderId="3" xfId="1" applyNumberFormat="1" applyFont="1" applyFill="1" applyBorder="1" applyAlignment="1">
      <alignment horizontal="left"/>
    </xf>
    <xf numFmtId="4" fontId="8" fillId="0" borderId="3" xfId="5" quotePrefix="1" applyFont="1" applyBorder="1" applyAlignment="1">
      <alignment vertical="top" wrapText="1"/>
    </xf>
    <xf numFmtId="164" fontId="9" fillId="4" borderId="3" xfId="1" applyNumberFormat="1" applyFont="1" applyFill="1" applyBorder="1" applyAlignment="1">
      <alignment horizontal="right" vertical="center"/>
    </xf>
    <xf numFmtId="164" fontId="8" fillId="18" borderId="3" xfId="1" applyNumberFormat="1" applyFont="1" applyFill="1" applyBorder="1" applyAlignment="1">
      <alignment horizontal="right" vertical="center"/>
    </xf>
    <xf numFmtId="164" fontId="4" fillId="0" borderId="3" xfId="1" applyNumberFormat="1" applyFont="1" applyFill="1" applyBorder="1" applyAlignment="1">
      <alignment horizontal="right" vertical="center"/>
    </xf>
    <xf numFmtId="164" fontId="9" fillId="5" borderId="3" xfId="1" applyNumberFormat="1" applyFont="1" applyFill="1" applyBorder="1" applyAlignment="1">
      <alignment horizontal="right" vertical="center"/>
    </xf>
    <xf numFmtId="164" fontId="1" fillId="0" borderId="3" xfId="1" applyNumberFormat="1" applyFont="1" applyFill="1" applyBorder="1" applyAlignment="1">
      <alignment horizontal="right" vertical="center"/>
    </xf>
    <xf numFmtId="0" fontId="0" fillId="0" borderId="3" xfId="0" applyBorder="1"/>
    <xf numFmtId="164" fontId="1" fillId="3" borderId="3" xfId="1" applyNumberFormat="1" applyFont="1" applyFill="1" applyBorder="1" applyAlignment="1">
      <alignment horizontal="right" vertical="center"/>
    </xf>
    <xf numFmtId="43" fontId="1" fillId="0" borderId="3" xfId="6" applyNumberFormat="1" applyBorder="1" applyAlignment="1">
      <alignment horizontal="left" vertical="center"/>
    </xf>
    <xf numFmtId="164" fontId="4" fillId="16" borderId="3" xfId="1" applyNumberFormat="1" applyFont="1" applyFill="1" applyBorder="1" applyAlignment="1">
      <alignment horizontal="left" vertical="center"/>
    </xf>
    <xf numFmtId="164" fontId="9" fillId="5" borderId="3" xfId="2" applyNumberFormat="1" applyFont="1" applyFill="1" applyBorder="1" applyAlignment="1">
      <alignment horizontal="right" vertical="center"/>
    </xf>
    <xf numFmtId="164" fontId="9" fillId="16" borderId="3" xfId="2" applyNumberFormat="1" applyFont="1" applyFill="1" applyBorder="1" applyAlignment="1">
      <alignment horizontal="right" vertical="center"/>
    </xf>
    <xf numFmtId="164" fontId="1" fillId="0" borderId="3" xfId="1" applyNumberFormat="1" applyFont="1" applyBorder="1" applyAlignment="1">
      <alignment horizontal="right" vertical="center"/>
    </xf>
    <xf numFmtId="164" fontId="8" fillId="28" borderId="3" xfId="1" applyNumberFormat="1" applyFont="1" applyFill="1" applyBorder="1" applyAlignment="1">
      <alignment horizontal="right" vertical="center"/>
    </xf>
    <xf numFmtId="164" fontId="8" fillId="0" borderId="3" xfId="4" applyFont="1" applyBorder="1" applyAlignment="1">
      <alignment horizontal="left" vertical="center"/>
    </xf>
    <xf numFmtId="0" fontId="8" fillId="0" borderId="3" xfId="6" applyFont="1" applyBorder="1" applyAlignment="1">
      <alignment horizontal="left" vertical="center" wrapText="1"/>
    </xf>
    <xf numFmtId="0" fontId="5" fillId="25" borderId="3" xfId="3" applyFont="1" applyFill="1" applyBorder="1" applyAlignment="1">
      <alignment horizontal="left" vertical="center"/>
    </xf>
    <xf numFmtId="0" fontId="16" fillId="0" borderId="0" xfId="9" applyFont="1" applyAlignment="1">
      <alignment horizontal="center" vertical="top"/>
    </xf>
    <xf numFmtId="0" fontId="17" fillId="0" borderId="0" xfId="0" applyFont="1"/>
    <xf numFmtId="0" fontId="18" fillId="0" borderId="0" xfId="0" applyFont="1"/>
    <xf numFmtId="166" fontId="18" fillId="0" borderId="0" xfId="0" applyNumberFormat="1" applyFont="1"/>
    <xf numFmtId="0" fontId="19" fillId="0" borderId="0" xfId="10" applyFont="1"/>
    <xf numFmtId="0" fontId="20" fillId="0" borderId="0" xfId="10" applyFont="1"/>
    <xf numFmtId="0" fontId="20" fillId="0" borderId="0" xfId="10" applyFont="1" applyAlignment="1">
      <alignment horizontal="center"/>
    </xf>
    <xf numFmtId="166" fontId="20" fillId="0" borderId="0" xfId="11" applyNumberFormat="1" applyFont="1" applyFill="1" applyAlignment="1">
      <alignment horizontal="center"/>
    </xf>
    <xf numFmtId="0" fontId="21" fillId="0" borderId="0" xfId="10" applyFont="1"/>
    <xf numFmtId="166" fontId="22" fillId="0" borderId="0" xfId="10" applyNumberFormat="1" applyFont="1"/>
    <xf numFmtId="0" fontId="19" fillId="0" borderId="0" xfId="10" applyFont="1" applyAlignment="1">
      <alignment horizontal="center"/>
    </xf>
    <xf numFmtId="0" fontId="22" fillId="0" borderId="0" xfId="10" applyFont="1"/>
    <xf numFmtId="166" fontId="20" fillId="0" borderId="0" xfId="1" applyNumberFormat="1" applyFont="1" applyFill="1" applyAlignment="1">
      <alignment horizontal="center"/>
    </xf>
    <xf numFmtId="0" fontId="19" fillId="0" borderId="15" xfId="10" quotePrefix="1" applyFont="1" applyBorder="1"/>
    <xf numFmtId="0" fontId="19" fillId="0" borderId="0" xfId="10" quotePrefix="1" applyFont="1"/>
    <xf numFmtId="0" fontId="19" fillId="0" borderId="15" xfId="10" quotePrefix="1" applyFont="1" applyBorder="1" applyAlignment="1">
      <alignment horizontal="center"/>
    </xf>
    <xf numFmtId="0" fontId="24" fillId="0" borderId="15" xfId="10" applyFont="1" applyBorder="1" applyAlignment="1">
      <alignment horizontal="center"/>
    </xf>
    <xf numFmtId="0" fontId="19" fillId="0" borderId="17" xfId="10" applyFont="1" applyBorder="1" applyAlignment="1">
      <alignment horizontal="center"/>
    </xf>
    <xf numFmtId="0" fontId="19" fillId="0" borderId="18" xfId="10" quotePrefix="1" applyFont="1" applyBorder="1" applyAlignment="1">
      <alignment horizontal="center"/>
    </xf>
    <xf numFmtId="0" fontId="19" fillId="0" borderId="15" xfId="10" applyFont="1" applyBorder="1" applyAlignment="1">
      <alignment horizontal="center"/>
    </xf>
    <xf numFmtId="166" fontId="20" fillId="0" borderId="0" xfId="1" applyNumberFormat="1" applyFont="1" applyFill="1" applyBorder="1" applyAlignment="1"/>
    <xf numFmtId="166" fontId="20" fillId="0" borderId="0" xfId="1" applyNumberFormat="1" applyFont="1" applyFill="1" applyBorder="1" applyAlignment="1">
      <alignment horizontal="center"/>
    </xf>
    <xf numFmtId="41" fontId="20" fillId="0" borderId="0" xfId="7" applyFont="1" applyFill="1" applyAlignment="1">
      <alignment horizontal="center"/>
    </xf>
    <xf numFmtId="0" fontId="25" fillId="0" borderId="0" xfId="10" applyFont="1"/>
    <xf numFmtId="0" fontId="26" fillId="0" borderId="0" xfId="10" applyFont="1"/>
    <xf numFmtId="41" fontId="20" fillId="0" borderId="0" xfId="7" applyFont="1" applyFill="1" applyBorder="1" applyAlignment="1"/>
    <xf numFmtId="41" fontId="20" fillId="0" borderId="15" xfId="7" applyFont="1" applyFill="1" applyBorder="1" applyAlignment="1"/>
    <xf numFmtId="166" fontId="19" fillId="0" borderId="15" xfId="1" applyNumberFormat="1" applyFont="1" applyFill="1" applyBorder="1" applyAlignment="1"/>
    <xf numFmtId="166" fontId="19" fillId="0" borderId="0" xfId="1" applyNumberFormat="1" applyFont="1" applyFill="1" applyAlignment="1">
      <alignment horizontal="center"/>
    </xf>
    <xf numFmtId="0" fontId="25" fillId="0" borderId="0" xfId="10" applyFont="1" applyAlignment="1">
      <alignment horizontal="center"/>
    </xf>
    <xf numFmtId="166" fontId="25" fillId="0" borderId="0" xfId="1" applyNumberFormat="1" applyFont="1" applyFill="1" applyAlignment="1">
      <alignment horizontal="center"/>
    </xf>
    <xf numFmtId="0" fontId="22" fillId="0" borderId="0" xfId="10" quotePrefix="1" applyFont="1"/>
    <xf numFmtId="0" fontId="26" fillId="0" borderId="0" xfId="10" quotePrefix="1" applyFont="1"/>
    <xf numFmtId="0" fontId="26" fillId="0" borderId="0" xfId="0" applyFont="1"/>
    <xf numFmtId="41" fontId="25" fillId="0" borderId="0" xfId="7" applyFont="1" applyFill="1" applyAlignment="1">
      <alignment horizontal="center"/>
    </xf>
    <xf numFmtId="166" fontId="20" fillId="0" borderId="15" xfId="1" applyNumberFormat="1" applyFont="1" applyFill="1" applyBorder="1" applyAlignment="1">
      <alignment horizontal="center"/>
    </xf>
    <xf numFmtId="166" fontId="19" fillId="0" borderId="19" xfId="1" applyNumberFormat="1" applyFont="1" applyFill="1" applyBorder="1" applyAlignment="1"/>
    <xf numFmtId="0" fontId="19" fillId="0" borderId="18" xfId="10" applyFont="1" applyBorder="1" applyAlignment="1">
      <alignment horizontal="center"/>
    </xf>
    <xf numFmtId="167" fontId="20" fillId="0" borderId="0" xfId="1" applyNumberFormat="1" applyFont="1" applyFill="1" applyBorder="1" applyAlignment="1">
      <alignment horizontal="center"/>
    </xf>
    <xf numFmtId="41" fontId="20" fillId="0" borderId="15" xfId="7" applyFont="1" applyFill="1" applyBorder="1" applyAlignment="1">
      <alignment horizontal="center"/>
    </xf>
    <xf numFmtId="167" fontId="20" fillId="0" borderId="17" xfId="1" applyNumberFormat="1" applyFont="1" applyFill="1" applyBorder="1" applyAlignment="1">
      <alignment horizontal="center"/>
    </xf>
    <xf numFmtId="6" fontId="26" fillId="0" borderId="0" xfId="10" applyNumberFormat="1" applyFont="1" applyAlignment="1">
      <alignment horizontal="left" vertical="center"/>
    </xf>
    <xf numFmtId="0" fontId="26" fillId="0" borderId="0" xfId="10" applyFont="1" applyAlignment="1">
      <alignment horizontal="left" vertical="center"/>
    </xf>
    <xf numFmtId="167" fontId="20" fillId="0" borderId="0" xfId="12" applyNumberFormat="1" applyFont="1"/>
    <xf numFmtId="164" fontId="20" fillId="0" borderId="0" xfId="1" applyNumberFormat="1" applyFont="1" applyFill="1" applyBorder="1" applyAlignment="1"/>
    <xf numFmtId="0" fontId="24" fillId="0" borderId="0" xfId="10" applyFont="1"/>
    <xf numFmtId="166" fontId="20" fillId="0" borderId="0" xfId="1" applyNumberFormat="1" applyFont="1" applyFill="1"/>
    <xf numFmtId="0" fontId="28" fillId="0" borderId="0" xfId="10" applyFont="1" applyAlignment="1">
      <alignment horizontal="right"/>
    </xf>
    <xf numFmtId="0" fontId="29" fillId="0" borderId="0" xfId="10" applyFont="1" applyAlignment="1">
      <alignment horizontal="center"/>
    </xf>
    <xf numFmtId="166" fontId="29" fillId="0" borderId="0" xfId="1" applyNumberFormat="1" applyFont="1" applyFill="1" applyBorder="1" applyAlignment="1">
      <alignment horizontal="center"/>
    </xf>
    <xf numFmtId="166" fontId="29" fillId="0" borderId="0" xfId="1" applyNumberFormat="1" applyFont="1" applyFill="1" applyAlignment="1">
      <alignment horizontal="center"/>
    </xf>
    <xf numFmtId="166" fontId="20" fillId="0" borderId="0" xfId="10" applyNumberFormat="1" applyFont="1"/>
    <xf numFmtId="41" fontId="20" fillId="0" borderId="0" xfId="10" applyNumberFormat="1" applyFont="1" applyAlignment="1">
      <alignment horizontal="center"/>
    </xf>
    <xf numFmtId="9" fontId="20" fillId="0" borderId="0" xfId="8" applyFont="1" applyFill="1" applyAlignment="1">
      <alignment horizontal="center"/>
    </xf>
    <xf numFmtId="10" fontId="20" fillId="0" borderId="0" xfId="8" applyNumberFormat="1" applyFont="1" applyFill="1" applyAlignment="1">
      <alignment horizontal="center"/>
    </xf>
    <xf numFmtId="164" fontId="1" fillId="39" borderId="3" xfId="3" applyNumberFormat="1" applyFill="1" applyBorder="1" applyAlignment="1">
      <alignment horizontal="left" vertical="center"/>
    </xf>
    <xf numFmtId="164" fontId="8" fillId="39" borderId="3" xfId="3" applyNumberFormat="1" applyFont="1" applyFill="1" applyBorder="1" applyAlignment="1">
      <alignment horizontal="left" vertical="center"/>
    </xf>
    <xf numFmtId="164" fontId="4" fillId="39" borderId="3" xfId="3" applyNumberFormat="1" applyFont="1" applyFill="1" applyBorder="1" applyAlignment="1">
      <alignment horizontal="left" vertical="center"/>
    </xf>
    <xf numFmtId="164" fontId="0" fillId="0" borderId="0" xfId="0" applyNumberFormat="1"/>
    <xf numFmtId="164" fontId="0" fillId="0" borderId="0" xfId="2" applyNumberFormat="1" applyFont="1"/>
    <xf numFmtId="164" fontId="5" fillId="2" borderId="2" xfId="2" applyNumberFormat="1" applyFont="1" applyFill="1" applyBorder="1" applyAlignment="1">
      <alignment horizontal="center" vertical="center"/>
    </xf>
    <xf numFmtId="164" fontId="5" fillId="2" borderId="4" xfId="4" quotePrefix="1" applyFont="1" applyFill="1" applyBorder="1" applyAlignment="1">
      <alignment horizontal="center" vertical="center"/>
    </xf>
    <xf numFmtId="164" fontId="5" fillId="37" borderId="4" xfId="4" quotePrefix="1" applyFont="1" applyFill="1" applyBorder="1" applyAlignment="1">
      <alignment horizontal="center" vertical="center"/>
    </xf>
    <xf numFmtId="164" fontId="5" fillId="2" borderId="4" xfId="2" applyNumberFormat="1" applyFont="1" applyFill="1" applyBorder="1" applyAlignment="1">
      <alignment horizontal="center" vertical="center"/>
    </xf>
    <xf numFmtId="164" fontId="5" fillId="2" borderId="4" xfId="2" quotePrefix="1" applyNumberFormat="1" applyFont="1" applyFill="1" applyBorder="1" applyAlignment="1">
      <alignment horizontal="center" vertical="center"/>
    </xf>
    <xf numFmtId="164" fontId="4" fillId="0" borderId="3" xfId="2" applyNumberFormat="1" applyFont="1" applyBorder="1" applyAlignment="1">
      <alignment horizontal="left" vertical="center"/>
    </xf>
    <xf numFmtId="164" fontId="1" fillId="0" borderId="3" xfId="2" applyNumberFormat="1" applyFont="1" applyBorder="1" applyAlignment="1">
      <alignment horizontal="left" vertical="center"/>
    </xf>
    <xf numFmtId="164" fontId="8" fillId="0" borderId="3" xfId="2" applyNumberFormat="1" applyFont="1" applyBorder="1" applyAlignment="1">
      <alignment horizontal="right" vertical="center"/>
    </xf>
    <xf numFmtId="164" fontId="8" fillId="0" borderId="3" xfId="2" applyNumberFormat="1" applyFont="1" applyFill="1" applyBorder="1" applyAlignment="1">
      <alignment horizontal="right" vertical="center"/>
    </xf>
    <xf numFmtId="164" fontId="9" fillId="0" borderId="3" xfId="2" applyNumberFormat="1" applyFont="1" applyBorder="1" applyAlignment="1">
      <alignment horizontal="right" vertical="center"/>
    </xf>
    <xf numFmtId="164" fontId="4" fillId="6" borderId="3" xfId="2" applyNumberFormat="1" applyFont="1" applyFill="1" applyBorder="1" applyAlignment="1">
      <alignment horizontal="left" vertical="center"/>
    </xf>
    <xf numFmtId="164" fontId="4" fillId="9" borderId="3" xfId="3" applyNumberFormat="1" applyFont="1" applyFill="1" applyBorder="1" applyAlignment="1">
      <alignment horizontal="left" vertical="center"/>
    </xf>
    <xf numFmtId="164" fontId="4" fillId="9" borderId="3" xfId="2" applyNumberFormat="1" applyFont="1" applyFill="1" applyBorder="1" applyAlignment="1">
      <alignment horizontal="right" vertical="center"/>
    </xf>
    <xf numFmtId="164" fontId="8" fillId="12" borderId="3" xfId="3" applyNumberFormat="1" applyFont="1" applyFill="1" applyBorder="1" applyAlignment="1">
      <alignment horizontal="left" vertical="center"/>
    </xf>
    <xf numFmtId="164" fontId="4" fillId="0" borderId="3" xfId="2" applyNumberFormat="1" applyFont="1" applyFill="1" applyBorder="1" applyAlignment="1">
      <alignment horizontal="left" vertical="center"/>
    </xf>
    <xf numFmtId="164" fontId="4" fillId="4" borderId="3" xfId="3" applyNumberFormat="1" applyFont="1" applyFill="1" applyBorder="1" applyAlignment="1">
      <alignment horizontal="left" vertical="center"/>
    </xf>
    <xf numFmtId="164" fontId="4" fillId="40" borderId="3" xfId="3" applyNumberFormat="1" applyFont="1" applyFill="1" applyBorder="1" applyAlignment="1">
      <alignment horizontal="left" vertical="center"/>
    </xf>
    <xf numFmtId="164" fontId="4" fillId="13" borderId="3" xfId="3" applyNumberFormat="1" applyFont="1" applyFill="1" applyBorder="1" applyAlignment="1">
      <alignment horizontal="left" vertical="center"/>
    </xf>
    <xf numFmtId="164" fontId="4" fillId="41" borderId="3" xfId="3" applyNumberFormat="1" applyFont="1" applyFill="1" applyBorder="1" applyAlignment="1">
      <alignment horizontal="left" vertical="center"/>
    </xf>
    <xf numFmtId="164" fontId="9" fillId="0" borderId="3" xfId="3" applyNumberFormat="1" applyFont="1" applyBorder="1" applyAlignment="1">
      <alignment horizontal="left" vertical="center"/>
    </xf>
    <xf numFmtId="164" fontId="9" fillId="39" borderId="3" xfId="3" applyNumberFormat="1" applyFont="1" applyFill="1" applyBorder="1" applyAlignment="1">
      <alignment horizontal="left" vertical="center"/>
    </xf>
    <xf numFmtId="164" fontId="8" fillId="16" borderId="3" xfId="2" applyNumberFormat="1" applyFont="1" applyFill="1" applyBorder="1" applyAlignment="1">
      <alignment horizontal="right" vertical="center"/>
    </xf>
    <xf numFmtId="164" fontId="1" fillId="16" borderId="3" xfId="3" applyNumberFormat="1" applyFill="1" applyBorder="1" applyAlignment="1">
      <alignment horizontal="left" vertical="center"/>
    </xf>
    <xf numFmtId="164" fontId="1" fillId="0" borderId="3" xfId="2" applyNumberFormat="1" applyFont="1" applyFill="1" applyBorder="1" applyAlignment="1">
      <alignment horizontal="right" vertical="center"/>
    </xf>
    <xf numFmtId="164" fontId="1" fillId="12" borderId="3" xfId="3" applyNumberFormat="1" applyFill="1" applyBorder="1" applyAlignment="1">
      <alignment horizontal="left" vertical="center"/>
    </xf>
    <xf numFmtId="164" fontId="8" fillId="0" borderId="3" xfId="5" quotePrefix="1" applyNumberFormat="1" applyFont="1" applyBorder="1" applyAlignment="1">
      <alignment vertical="top" wrapText="1"/>
    </xf>
    <xf numFmtId="164" fontId="8" fillId="39" borderId="3" xfId="5" quotePrefix="1" applyNumberFormat="1" applyFont="1" applyFill="1" applyBorder="1" applyAlignment="1">
      <alignment vertical="top" wrapText="1"/>
    </xf>
    <xf numFmtId="164" fontId="9" fillId="0" borderId="3" xfId="2" applyNumberFormat="1" applyFont="1" applyFill="1" applyBorder="1" applyAlignment="1">
      <alignment horizontal="right" vertical="center"/>
    </xf>
    <xf numFmtId="164" fontId="7" fillId="12" borderId="3" xfId="3" applyNumberFormat="1" applyFont="1" applyFill="1" applyBorder="1" applyAlignment="1">
      <alignment horizontal="left" vertical="center"/>
    </xf>
    <xf numFmtId="164" fontId="7" fillId="0" borderId="3" xfId="3" applyNumberFormat="1" applyFont="1" applyBorder="1" applyAlignment="1">
      <alignment horizontal="left" vertical="center"/>
    </xf>
    <xf numFmtId="164" fontId="4" fillId="9" borderId="3" xfId="6" applyNumberFormat="1" applyFont="1" applyFill="1" applyBorder="1" applyAlignment="1">
      <alignment horizontal="left" vertical="center"/>
    </xf>
    <xf numFmtId="164" fontId="4" fillId="40" borderId="3" xfId="6" applyNumberFormat="1" applyFont="1" applyFill="1" applyBorder="1" applyAlignment="1">
      <alignment horizontal="left" vertical="center"/>
    </xf>
    <xf numFmtId="164" fontId="4" fillId="20" borderId="3" xfId="3" applyNumberFormat="1" applyFont="1" applyFill="1" applyBorder="1" applyAlignment="1">
      <alignment horizontal="left" vertical="center"/>
    </xf>
    <xf numFmtId="164" fontId="4" fillId="20" borderId="3" xfId="2" applyNumberFormat="1" applyFont="1" applyFill="1" applyBorder="1" applyAlignment="1">
      <alignment horizontal="right" vertical="center"/>
    </xf>
    <xf numFmtId="164" fontId="4" fillId="17" borderId="3" xfId="3" applyNumberFormat="1" applyFont="1" applyFill="1" applyBorder="1" applyAlignment="1">
      <alignment horizontal="left" vertical="center"/>
    </xf>
    <xf numFmtId="164" fontId="4" fillId="22" borderId="3" xfId="3" applyNumberFormat="1" applyFont="1" applyFill="1" applyBorder="1" applyAlignment="1">
      <alignment horizontal="left" vertical="center"/>
    </xf>
    <xf numFmtId="164" fontId="4" fillId="42" borderId="3" xfId="3" applyNumberFormat="1" applyFont="1" applyFill="1" applyBorder="1" applyAlignment="1">
      <alignment horizontal="left" vertical="center"/>
    </xf>
    <xf numFmtId="164" fontId="2" fillId="25" borderId="3" xfId="3" applyNumberFormat="1" applyFont="1" applyFill="1" applyBorder="1" applyAlignment="1">
      <alignment horizontal="left" vertical="center"/>
    </xf>
    <xf numFmtId="164" fontId="2" fillId="43" borderId="3" xfId="3" applyNumberFormat="1" applyFont="1" applyFill="1" applyBorder="1" applyAlignment="1">
      <alignment horizontal="left" vertical="center"/>
    </xf>
    <xf numFmtId="164" fontId="0" fillId="0" borderId="3" xfId="0" applyNumberFormat="1" applyBorder="1"/>
    <xf numFmtId="164" fontId="0" fillId="39" borderId="3" xfId="0" applyNumberFormat="1" applyFill="1" applyBorder="1"/>
    <xf numFmtId="164" fontId="10" fillId="0" borderId="3" xfId="3" applyNumberFormat="1" applyFont="1" applyBorder="1" applyAlignment="1">
      <alignment horizontal="left" vertical="center"/>
    </xf>
    <xf numFmtId="164" fontId="10" fillId="39" borderId="3" xfId="3" applyNumberFormat="1" applyFont="1" applyFill="1" applyBorder="1" applyAlignment="1">
      <alignment horizontal="left" vertical="center"/>
    </xf>
    <xf numFmtId="164" fontId="1" fillId="18" borderId="3" xfId="2" applyNumberFormat="1" applyFont="1" applyFill="1" applyBorder="1" applyAlignment="1">
      <alignment horizontal="right" vertical="center"/>
    </xf>
    <xf numFmtId="164" fontId="1" fillId="21" borderId="3" xfId="2" applyNumberFormat="1" applyFont="1" applyFill="1" applyBorder="1" applyAlignment="1">
      <alignment horizontal="right" vertical="center"/>
    </xf>
    <xf numFmtId="164" fontId="1" fillId="0" borderId="3" xfId="3" applyNumberFormat="1" applyBorder="1" applyAlignment="1">
      <alignment horizontal="left" vertical="center" indent="1"/>
    </xf>
    <xf numFmtId="164" fontId="1" fillId="39" borderId="3" xfId="3" applyNumberFormat="1" applyFill="1" applyBorder="1" applyAlignment="1">
      <alignment horizontal="left" vertical="center" indent="1"/>
    </xf>
    <xf numFmtId="164" fontId="1" fillId="0" borderId="3" xfId="2" applyNumberFormat="1" applyFont="1" applyBorder="1" applyAlignment="1">
      <alignment horizontal="right" vertical="center"/>
    </xf>
    <xf numFmtId="164" fontId="3" fillId="0" borderId="3" xfId="3" applyNumberFormat="1" applyFont="1" applyBorder="1" applyAlignment="1">
      <alignment horizontal="left" vertical="center"/>
    </xf>
    <xf numFmtId="164" fontId="3" fillId="39" borderId="3" xfId="3" applyNumberFormat="1" applyFont="1" applyFill="1" applyBorder="1" applyAlignment="1">
      <alignment horizontal="left" vertical="center"/>
    </xf>
    <xf numFmtId="164" fontId="1" fillId="0" borderId="3" xfId="6" applyNumberFormat="1" applyBorder="1" applyAlignment="1">
      <alignment horizontal="left" vertical="center"/>
    </xf>
    <xf numFmtId="164" fontId="1" fillId="39" borderId="3" xfId="6" applyNumberFormat="1" applyFill="1" applyBorder="1" applyAlignment="1">
      <alignment horizontal="left" vertical="center"/>
    </xf>
    <xf numFmtId="164" fontId="4" fillId="29" borderId="3" xfId="3" applyNumberFormat="1" applyFont="1" applyFill="1" applyBorder="1" applyAlignment="1">
      <alignment horizontal="left" vertical="center"/>
    </xf>
    <xf numFmtId="164" fontId="4" fillId="44" borderId="3" xfId="3" applyNumberFormat="1" applyFont="1" applyFill="1" applyBorder="1" applyAlignment="1">
      <alignment horizontal="left" vertical="center"/>
    </xf>
    <xf numFmtId="164" fontId="13" fillId="0" borderId="3" xfId="3" applyNumberFormat="1" applyFont="1" applyBorder="1" applyAlignment="1">
      <alignment horizontal="left" vertical="center"/>
    </xf>
    <xf numFmtId="164" fontId="13" fillId="39" borderId="3" xfId="3" applyNumberFormat="1" applyFont="1" applyFill="1" applyBorder="1" applyAlignment="1">
      <alignment horizontal="left" vertical="center"/>
    </xf>
    <xf numFmtId="164" fontId="4" fillId="0" borderId="3" xfId="3" applyNumberFormat="1" applyFont="1" applyBorder="1" applyAlignment="1">
      <alignment vertical="center"/>
    </xf>
    <xf numFmtId="164" fontId="4" fillId="39" borderId="3" xfId="3" applyNumberFormat="1" applyFont="1" applyFill="1" applyBorder="1" applyAlignment="1">
      <alignment vertical="center"/>
    </xf>
    <xf numFmtId="164" fontId="1" fillId="0" borderId="3" xfId="3" applyNumberFormat="1" applyBorder="1" applyAlignment="1">
      <alignment vertical="center"/>
    </xf>
    <xf numFmtId="164" fontId="1" fillId="39" borderId="3" xfId="3" applyNumberFormat="1" applyFill="1" applyBorder="1" applyAlignment="1">
      <alignment vertical="center"/>
    </xf>
    <xf numFmtId="164" fontId="1" fillId="0" borderId="3" xfId="3" applyNumberFormat="1" applyBorder="1" applyAlignment="1">
      <alignment horizontal="left" vertical="center" indent="2"/>
    </xf>
    <xf numFmtId="164" fontId="1" fillId="39" borderId="3" xfId="3" applyNumberFormat="1" applyFill="1" applyBorder="1" applyAlignment="1">
      <alignment horizontal="left" vertical="center" indent="2"/>
    </xf>
    <xf numFmtId="164" fontId="10" fillId="16" borderId="3" xfId="3" applyNumberFormat="1" applyFont="1" applyFill="1" applyBorder="1" applyAlignment="1">
      <alignment horizontal="left" vertical="center"/>
    </xf>
    <xf numFmtId="164" fontId="4" fillId="32" borderId="3" xfId="3" applyNumberFormat="1" applyFont="1" applyFill="1" applyBorder="1" applyAlignment="1">
      <alignment horizontal="left" vertical="center"/>
    </xf>
    <xf numFmtId="164" fontId="1" fillId="34" borderId="3" xfId="3" applyNumberFormat="1" applyFill="1" applyBorder="1" applyAlignment="1">
      <alignment horizontal="left" vertical="center"/>
    </xf>
    <xf numFmtId="164" fontId="4" fillId="16" borderId="3" xfId="3" applyNumberFormat="1" applyFont="1" applyFill="1" applyBorder="1" applyAlignment="1">
      <alignment horizontal="left" vertical="center"/>
    </xf>
    <xf numFmtId="164" fontId="8" fillId="16" borderId="3" xfId="3" applyNumberFormat="1" applyFont="1" applyFill="1" applyBorder="1" applyAlignment="1">
      <alignment horizontal="left" vertical="center"/>
    </xf>
    <xf numFmtId="164" fontId="9" fillId="35" borderId="3" xfId="3" applyNumberFormat="1" applyFont="1" applyFill="1" applyBorder="1" applyAlignment="1">
      <alignment horizontal="left" vertical="center"/>
    </xf>
    <xf numFmtId="164" fontId="9" fillId="0" borderId="3" xfId="2" applyNumberFormat="1" applyFont="1" applyFill="1" applyBorder="1" applyAlignment="1">
      <alignment horizontal="left" vertical="center"/>
    </xf>
    <xf numFmtId="164" fontId="9" fillId="39" borderId="3" xfId="2" applyNumberFormat="1" applyFont="1" applyFill="1" applyBorder="1" applyAlignment="1">
      <alignment horizontal="left" vertical="center"/>
    </xf>
    <xf numFmtId="164" fontId="9" fillId="4" borderId="3" xfId="2" applyNumberFormat="1" applyFont="1" applyFill="1" applyBorder="1" applyAlignment="1">
      <alignment horizontal="right" vertical="center"/>
    </xf>
    <xf numFmtId="164" fontId="8" fillId="4" borderId="3" xfId="2" applyNumberFormat="1" applyFont="1" applyFill="1" applyBorder="1" applyAlignment="1">
      <alignment horizontal="right" vertical="center"/>
    </xf>
    <xf numFmtId="164" fontId="7" fillId="0" borderId="3" xfId="2" applyNumberFormat="1" applyFont="1" applyFill="1" applyBorder="1" applyAlignment="1">
      <alignment horizontal="right" vertical="center"/>
    </xf>
    <xf numFmtId="164" fontId="9" fillId="0" borderId="3" xfId="3" applyNumberFormat="1" applyFont="1" applyBorder="1" applyAlignment="1">
      <alignment horizontal="left" vertical="center" wrapText="1"/>
    </xf>
    <xf numFmtId="164" fontId="9" fillId="39" borderId="3" xfId="3" applyNumberFormat="1" applyFont="1" applyFill="1" applyBorder="1" applyAlignment="1">
      <alignment horizontal="left" vertical="center" wrapText="1"/>
    </xf>
    <xf numFmtId="164" fontId="8" fillId="0" borderId="3" xfId="3" applyNumberFormat="1" applyFont="1" applyBorder="1" applyAlignment="1">
      <alignment horizontal="left" vertical="center" wrapText="1"/>
    </xf>
    <xf numFmtId="164" fontId="8" fillId="39" borderId="3" xfId="3" applyNumberFormat="1" applyFont="1" applyFill="1" applyBorder="1" applyAlignment="1">
      <alignment horizontal="left" vertical="center" wrapText="1"/>
    </xf>
    <xf numFmtId="164" fontId="8" fillId="12" borderId="3" xfId="3" applyNumberFormat="1" applyFont="1" applyFill="1" applyBorder="1" applyAlignment="1">
      <alignment horizontal="left" vertical="center" wrapText="1"/>
    </xf>
    <xf numFmtId="164" fontId="8" fillId="0" borderId="3" xfId="6" applyNumberFormat="1" applyFont="1" applyBorder="1" applyAlignment="1">
      <alignment horizontal="left" vertical="center" wrapText="1"/>
    </xf>
    <xf numFmtId="164" fontId="8" fillId="39" borderId="3" xfId="6" applyNumberFormat="1" applyFont="1" applyFill="1" applyBorder="1" applyAlignment="1">
      <alignment horizontal="left" vertical="center" wrapText="1"/>
    </xf>
    <xf numFmtId="164" fontId="9" fillId="16" borderId="3" xfId="3" applyNumberFormat="1" applyFont="1" applyFill="1" applyBorder="1" applyAlignment="1">
      <alignment horizontal="left" vertical="center" wrapText="1"/>
    </xf>
    <xf numFmtId="164" fontId="9" fillId="13" borderId="3" xfId="3" applyNumberFormat="1" applyFont="1" applyFill="1" applyBorder="1" applyAlignment="1">
      <alignment horizontal="left" vertical="center"/>
    </xf>
    <xf numFmtId="164" fontId="9" fillId="41" borderId="3" xfId="3" applyNumberFormat="1" applyFont="1" applyFill="1" applyBorder="1" applyAlignment="1">
      <alignment horizontal="left" vertical="center"/>
    </xf>
    <xf numFmtId="164" fontId="5" fillId="25" borderId="10" xfId="3" applyNumberFormat="1" applyFont="1" applyFill="1" applyBorder="1" applyAlignment="1">
      <alignment horizontal="left" vertical="center"/>
    </xf>
    <xf numFmtId="164" fontId="5" fillId="43" borderId="10" xfId="3" applyNumberFormat="1" applyFont="1" applyFill="1" applyBorder="1" applyAlignment="1">
      <alignment horizontal="left" vertical="center"/>
    </xf>
    <xf numFmtId="164" fontId="5" fillId="25" borderId="3" xfId="3" applyNumberFormat="1" applyFont="1" applyFill="1" applyBorder="1" applyAlignment="1">
      <alignment horizontal="left" vertical="center"/>
    </xf>
    <xf numFmtId="164" fontId="5" fillId="43" borderId="3" xfId="3" applyNumberFormat="1" applyFont="1" applyFill="1" applyBorder="1" applyAlignment="1">
      <alignment horizontal="left" vertical="center"/>
    </xf>
    <xf numFmtId="164" fontId="0" fillId="0" borderId="0" xfId="2" applyNumberFormat="1" applyFont="1" applyFill="1"/>
    <xf numFmtId="0" fontId="20" fillId="16" borderId="0" xfId="10" applyFont="1" applyFill="1"/>
    <xf numFmtId="0" fontId="20" fillId="16" borderId="0" xfId="10" applyFont="1" applyFill="1" applyAlignment="1">
      <alignment horizontal="center"/>
    </xf>
    <xf numFmtId="166" fontId="20" fillId="16" borderId="0" xfId="1" applyNumberFormat="1" applyFont="1" applyFill="1" applyAlignment="1">
      <alignment horizontal="center"/>
    </xf>
    <xf numFmtId="164" fontId="20" fillId="16" borderId="15" xfId="1" applyNumberFormat="1" applyFont="1" applyFill="1" applyBorder="1" applyAlignment="1"/>
    <xf numFmtId="0" fontId="22" fillId="16" borderId="0" xfId="10" applyFont="1" applyFill="1"/>
    <xf numFmtId="0" fontId="26" fillId="16" borderId="0" xfId="10" applyFont="1" applyFill="1"/>
    <xf numFmtId="166" fontId="20" fillId="16" borderId="15" xfId="1" applyNumberFormat="1" applyFont="1" applyFill="1" applyBorder="1" applyAlignment="1">
      <alignment horizontal="center"/>
    </xf>
    <xf numFmtId="17" fontId="19" fillId="0" borderId="15" xfId="10" applyNumberFormat="1" applyFont="1" applyBorder="1" applyAlignment="1">
      <alignment horizontal="center"/>
    </xf>
    <xf numFmtId="0" fontId="0" fillId="28" borderId="0" xfId="0" applyFill="1"/>
    <xf numFmtId="0" fontId="30" fillId="28" borderId="0" xfId="0" applyFont="1" applyFill="1"/>
    <xf numFmtId="0" fontId="20" fillId="28" borderId="0" xfId="10" applyFont="1" applyFill="1"/>
    <xf numFmtId="0" fontId="31" fillId="28" borderId="0" xfId="12" applyFont="1" applyFill="1"/>
    <xf numFmtId="0" fontId="20" fillId="28" borderId="0" xfId="10" applyFont="1" applyFill="1" applyAlignment="1">
      <alignment horizontal="center"/>
    </xf>
    <xf numFmtId="166" fontId="20" fillId="28" borderId="0" xfId="1" applyNumberFormat="1" applyFont="1" applyFill="1" applyAlignment="1">
      <alignment horizontal="center"/>
    </xf>
    <xf numFmtId="0" fontId="31" fillId="0" borderId="0" xfId="12" applyFont="1"/>
    <xf numFmtId="167" fontId="34" fillId="0" borderId="0" xfId="14" applyNumberFormat="1" applyFont="1" applyFill="1" applyBorder="1" applyAlignment="1">
      <alignment horizontal="right"/>
    </xf>
    <xf numFmtId="167" fontId="34" fillId="0" borderId="15" xfId="14" applyNumberFormat="1" applyFont="1" applyFill="1" applyBorder="1" applyAlignment="1">
      <alignment horizontal="right"/>
    </xf>
    <xf numFmtId="167" fontId="37" fillId="0" borderId="15" xfId="14" applyNumberFormat="1" applyFont="1" applyFill="1" applyBorder="1" applyAlignment="1">
      <alignment horizontal="right"/>
    </xf>
    <xf numFmtId="9" fontId="31" fillId="0" borderId="0" xfId="8" applyFont="1" applyFill="1"/>
    <xf numFmtId="167" fontId="31" fillId="0" borderId="0" xfId="14" applyNumberFormat="1" applyFont="1" applyFill="1" applyAlignment="1"/>
    <xf numFmtId="167" fontId="31" fillId="0" borderId="0" xfId="15" applyNumberFormat="1" applyFont="1" applyFill="1" applyBorder="1" applyAlignment="1"/>
    <xf numFmtId="167" fontId="31" fillId="0" borderId="17" xfId="15" applyNumberFormat="1" applyFont="1" applyFill="1" applyBorder="1" applyAlignment="1"/>
    <xf numFmtId="167" fontId="32" fillId="0" borderId="15" xfId="14" applyNumberFormat="1" applyFont="1" applyFill="1" applyBorder="1"/>
    <xf numFmtId="167" fontId="32" fillId="0" borderId="0" xfId="14" applyNumberFormat="1" applyFont="1" applyFill="1" applyBorder="1" applyAlignment="1"/>
    <xf numFmtId="167" fontId="32" fillId="0" borderId="15" xfId="14" applyNumberFormat="1" applyFont="1" applyFill="1" applyBorder="1" applyAlignment="1">
      <alignment horizontal="right"/>
    </xf>
    <xf numFmtId="43" fontId="32" fillId="0" borderId="15" xfId="1" applyFont="1" applyFill="1" applyBorder="1" applyAlignment="1">
      <alignment horizontal="right"/>
    </xf>
    <xf numFmtId="164" fontId="32" fillId="0" borderId="15" xfId="7" applyNumberFormat="1" applyFont="1" applyFill="1" applyBorder="1" applyAlignment="1">
      <alignment horizontal="right"/>
    </xf>
    <xf numFmtId="41" fontId="32" fillId="0" borderId="15" xfId="7" applyFont="1" applyFill="1" applyBorder="1" applyAlignment="1">
      <alignment horizontal="right"/>
    </xf>
    <xf numFmtId="41" fontId="32" fillId="0" borderId="0" xfId="7" applyFont="1" applyFill="1" applyBorder="1" applyAlignment="1">
      <alignment horizontal="right"/>
    </xf>
    <xf numFmtId="164" fontId="32" fillId="0" borderId="0" xfId="7" applyNumberFormat="1" applyFont="1" applyFill="1" applyBorder="1" applyAlignment="1">
      <alignment horizontal="right"/>
    </xf>
    <xf numFmtId="0" fontId="31" fillId="28" borderId="0" xfId="12" applyFont="1" applyFill="1" applyAlignment="1">
      <alignment horizontal="center"/>
    </xf>
    <xf numFmtId="0" fontId="23" fillId="28" borderId="0" xfId="12" applyFont="1" applyFill="1"/>
    <xf numFmtId="167" fontId="31" fillId="28" borderId="0" xfId="12" applyNumberFormat="1" applyFont="1" applyFill="1"/>
    <xf numFmtId="0" fontId="20" fillId="28" borderId="0" xfId="12" applyFont="1" applyFill="1"/>
    <xf numFmtId="167" fontId="31" fillId="28" borderId="0" xfId="12" applyNumberFormat="1" applyFont="1" applyFill="1" applyAlignment="1">
      <alignment horizontal="center"/>
    </xf>
    <xf numFmtId="166" fontId="29" fillId="28" borderId="0" xfId="1" applyNumberFormat="1" applyFont="1" applyFill="1"/>
    <xf numFmtId="169" fontId="29" fillId="28" borderId="0" xfId="12" applyNumberFormat="1" applyFont="1" applyFill="1"/>
    <xf numFmtId="0" fontId="43" fillId="28" borderId="0" xfId="0" applyFont="1" applyFill="1"/>
    <xf numFmtId="167" fontId="20" fillId="28" borderId="0" xfId="15" applyNumberFormat="1" applyFont="1" applyFill="1" applyAlignment="1"/>
    <xf numFmtId="0" fontId="28" fillId="28" borderId="0" xfId="12" applyFont="1" applyFill="1" applyAlignment="1">
      <alignment horizontal="right"/>
    </xf>
    <xf numFmtId="167" fontId="29" fillId="34" borderId="0" xfId="12" applyNumberFormat="1" applyFont="1" applyFill="1"/>
    <xf numFmtId="0" fontId="29" fillId="28" borderId="0" xfId="12" applyFont="1" applyFill="1"/>
    <xf numFmtId="0" fontId="4" fillId="0" borderId="0" xfId="0" applyFont="1"/>
    <xf numFmtId="164" fontId="1" fillId="18" borderId="3" xfId="1" applyNumberFormat="1" applyFont="1" applyFill="1" applyBorder="1" applyAlignment="1">
      <alignment horizontal="right" vertical="center"/>
    </xf>
    <xf numFmtId="164" fontId="8" fillId="18" borderId="0" xfId="1" applyNumberFormat="1" applyFont="1" applyFill="1" applyBorder="1" applyAlignment="1">
      <alignment horizontal="right" vertical="center"/>
    </xf>
    <xf numFmtId="164" fontId="9" fillId="5" borderId="6" xfId="7" applyNumberFormat="1" applyFont="1" applyFill="1" applyBorder="1" applyAlignment="1">
      <alignment horizontal="right" vertical="center"/>
    </xf>
    <xf numFmtId="164" fontId="9" fillId="5" borderId="0" xfId="7" applyNumberFormat="1" applyFont="1" applyFill="1" applyBorder="1" applyAlignment="1">
      <alignment horizontal="right" vertical="center"/>
    </xf>
    <xf numFmtId="164" fontId="8" fillId="0" borderId="0" xfId="1" applyNumberFormat="1" applyFont="1" applyFill="1" applyAlignment="1">
      <alignment horizontal="left" vertical="center"/>
    </xf>
    <xf numFmtId="164" fontId="8" fillId="0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0" fontId="44" fillId="0" borderId="0" xfId="13" applyFont="1"/>
    <xf numFmtId="164" fontId="44" fillId="0" borderId="0" xfId="13" applyNumberFormat="1" applyFont="1"/>
    <xf numFmtId="0" fontId="44" fillId="0" borderId="0" xfId="13" applyFont="1" applyAlignment="1">
      <alignment horizontal="center"/>
    </xf>
    <xf numFmtId="0" fontId="45" fillId="0" borderId="0" xfId="13" applyFont="1"/>
    <xf numFmtId="164" fontId="45" fillId="0" borderId="0" xfId="13" applyNumberFormat="1" applyFont="1" applyAlignment="1">
      <alignment horizontal="center"/>
    </xf>
    <xf numFmtId="164" fontId="46" fillId="0" borderId="0" xfId="13" applyNumberFormat="1" applyFont="1"/>
    <xf numFmtId="164" fontId="44" fillId="0" borderId="0" xfId="13" applyNumberFormat="1" applyFont="1" applyAlignment="1">
      <alignment horizontal="center"/>
    </xf>
    <xf numFmtId="164" fontId="44" fillId="0" borderId="0" xfId="16" applyFont="1" applyFill="1" applyBorder="1" applyAlignment="1">
      <alignment horizontal="center" vertical="center" wrapText="1"/>
    </xf>
    <xf numFmtId="0" fontId="46" fillId="0" borderId="0" xfId="13" applyFont="1"/>
    <xf numFmtId="166" fontId="45" fillId="0" borderId="0" xfId="1" applyNumberFormat="1" applyFont="1"/>
    <xf numFmtId="166" fontId="45" fillId="0" borderId="0" xfId="1" applyNumberFormat="1" applyFont="1" applyAlignment="1">
      <alignment horizontal="center"/>
    </xf>
    <xf numFmtId="171" fontId="44" fillId="0" borderId="0" xfId="17" applyNumberFormat="1" applyFont="1" applyAlignment="1">
      <alignment horizontal="center"/>
    </xf>
    <xf numFmtId="171" fontId="44" fillId="0" borderId="0" xfId="17" applyNumberFormat="1" applyFont="1" applyAlignment="1">
      <alignment horizontal="center" wrapText="1"/>
    </xf>
    <xf numFmtId="164" fontId="47" fillId="0" borderId="0" xfId="16" applyFont="1" applyFill="1" applyBorder="1" applyAlignment="1">
      <alignment horizontal="center" wrapText="1"/>
    </xf>
    <xf numFmtId="164" fontId="47" fillId="0" borderId="0" xfId="16" applyFont="1" applyFill="1" applyBorder="1" applyAlignment="1">
      <alignment horizontal="center" vertical="center" wrapText="1"/>
    </xf>
    <xf numFmtId="166" fontId="45" fillId="0" borderId="0" xfId="13" applyNumberFormat="1" applyFont="1"/>
    <xf numFmtId="164" fontId="47" fillId="0" borderId="0" xfId="16" applyFont="1" applyFill="1" applyBorder="1" applyAlignment="1">
      <alignment horizontal="center" vertical="center"/>
    </xf>
    <xf numFmtId="43" fontId="44" fillId="0" borderId="0" xfId="1" applyFont="1" applyAlignment="1">
      <alignment horizontal="center"/>
    </xf>
    <xf numFmtId="43" fontId="46" fillId="0" borderId="0" xfId="13" applyNumberFormat="1" applyFont="1"/>
    <xf numFmtId="0" fontId="47" fillId="0" borderId="0" xfId="13" applyFont="1" applyAlignment="1">
      <alignment horizontal="center"/>
    </xf>
    <xf numFmtId="0" fontId="47" fillId="0" borderId="15" xfId="13" applyFont="1" applyBorder="1" applyAlignment="1">
      <alignment horizontal="center"/>
    </xf>
    <xf numFmtId="164" fontId="47" fillId="0" borderId="15" xfId="16" applyFont="1" applyFill="1" applyBorder="1" applyAlignment="1">
      <alignment horizontal="center" vertical="center"/>
    </xf>
    <xf numFmtId="171" fontId="47" fillId="0" borderId="15" xfId="17" applyNumberFormat="1" applyFont="1" applyBorder="1" applyAlignment="1">
      <alignment horizontal="center"/>
    </xf>
    <xf numFmtId="0" fontId="44" fillId="0" borderId="0" xfId="13" applyFont="1" applyAlignment="1">
      <alignment vertical="top"/>
    </xf>
    <xf numFmtId="0" fontId="45" fillId="0" borderId="0" xfId="13" applyFont="1" applyAlignment="1">
      <alignment vertical="top"/>
    </xf>
    <xf numFmtId="41" fontId="44" fillId="0" borderId="0" xfId="7" applyFont="1" applyFill="1"/>
    <xf numFmtId="167" fontId="49" fillId="0" borderId="0" xfId="12" applyNumberFormat="1" applyFont="1"/>
    <xf numFmtId="41" fontId="44" fillId="0" borderId="0" xfId="7" applyFont="1" applyFill="1" applyBorder="1"/>
    <xf numFmtId="164" fontId="44" fillId="0" borderId="0" xfId="13" applyNumberFormat="1" applyFont="1" applyAlignment="1">
      <alignment horizontal="right" vertical="center" wrapText="1"/>
    </xf>
    <xf numFmtId="0" fontId="47" fillId="0" borderId="0" xfId="19" applyFont="1" applyAlignment="1">
      <alignment vertical="center"/>
    </xf>
    <xf numFmtId="164" fontId="45" fillId="0" borderId="0" xfId="13" applyNumberFormat="1" applyFont="1" applyAlignment="1">
      <alignment horizontal="right" vertical="center" wrapText="1"/>
    </xf>
    <xf numFmtId="0" fontId="51" fillId="0" borderId="0" xfId="0" applyFont="1" applyAlignment="1">
      <alignment vertical="center"/>
    </xf>
    <xf numFmtId="164" fontId="45" fillId="0" borderId="0" xfId="14" applyFont="1" applyFill="1" applyBorder="1" applyAlignment="1">
      <alignment horizontal="right" vertical="center" wrapText="1"/>
    </xf>
    <xf numFmtId="0" fontId="45" fillId="0" borderId="0" xfId="13" applyFont="1" applyAlignment="1">
      <alignment horizontal="right" vertical="center" wrapText="1"/>
    </xf>
    <xf numFmtId="41" fontId="45" fillId="0" borderId="0" xfId="7" applyFont="1" applyFill="1" applyBorder="1"/>
    <xf numFmtId="0" fontId="52" fillId="0" borderId="0" xfId="0" applyFont="1" applyAlignment="1">
      <alignment vertical="center"/>
    </xf>
    <xf numFmtId="164" fontId="45" fillId="0" borderId="15" xfId="14" applyFont="1" applyFill="1" applyBorder="1" applyAlignment="1">
      <alignment horizontal="right" vertical="center" wrapText="1"/>
    </xf>
    <xf numFmtId="164" fontId="45" fillId="0" borderId="15" xfId="13" applyNumberFormat="1" applyFont="1" applyBorder="1" applyAlignment="1">
      <alignment horizontal="right" vertical="center" wrapText="1"/>
    </xf>
    <xf numFmtId="41" fontId="45" fillId="0" borderId="15" xfId="7" applyFont="1" applyFill="1" applyBorder="1"/>
    <xf numFmtId="164" fontId="45" fillId="0" borderId="0" xfId="20" applyNumberFormat="1" applyFont="1" applyAlignment="1">
      <alignment horizontal="right" vertical="center" wrapText="1"/>
    </xf>
    <xf numFmtId="0" fontId="44" fillId="0" borderId="0" xfId="13" applyFont="1" applyAlignment="1">
      <alignment horizontal="right" vertical="center" wrapText="1"/>
    </xf>
    <xf numFmtId="164" fontId="44" fillId="0" borderId="0" xfId="20" applyNumberFormat="1" applyFont="1" applyAlignment="1">
      <alignment horizontal="right" vertical="center" wrapText="1"/>
    </xf>
    <xf numFmtId="0" fontId="45" fillId="0" borderId="0" xfId="13" applyFont="1" applyAlignment="1">
      <alignment horizontal="center" vertical="top"/>
    </xf>
    <xf numFmtId="41" fontId="50" fillId="0" borderId="0" xfId="7" applyFont="1" applyFill="1" applyBorder="1"/>
    <xf numFmtId="164" fontId="45" fillId="0" borderId="15" xfId="20" applyNumberFormat="1" applyFont="1" applyBorder="1" applyAlignment="1">
      <alignment horizontal="right" vertical="center" wrapText="1"/>
    </xf>
    <xf numFmtId="164" fontId="44" fillId="0" borderId="19" xfId="13" applyNumberFormat="1" applyFont="1" applyBorder="1" applyAlignment="1">
      <alignment horizontal="right" vertical="center" wrapText="1"/>
    </xf>
    <xf numFmtId="0" fontId="54" fillId="0" borderId="0" xfId="13" applyFont="1"/>
    <xf numFmtId="0" fontId="52" fillId="28" borderId="0" xfId="0" applyFont="1" applyFill="1" applyAlignment="1">
      <alignment vertical="center"/>
    </xf>
    <xf numFmtId="0" fontId="55" fillId="0" borderId="0" xfId="13" applyFont="1"/>
    <xf numFmtId="0" fontId="45" fillId="0" borderId="0" xfId="13" applyFont="1" applyAlignment="1">
      <alignment horizontal="right" vertical="top"/>
    </xf>
    <xf numFmtId="164" fontId="45" fillId="0" borderId="0" xfId="20" applyNumberFormat="1" applyFont="1"/>
    <xf numFmtId="167" fontId="44" fillId="0" borderId="0" xfId="13" applyNumberFormat="1" applyFont="1"/>
    <xf numFmtId="0" fontId="44" fillId="0" borderId="0" xfId="13" applyFont="1" applyAlignment="1">
      <alignment vertical="center"/>
    </xf>
    <xf numFmtId="166" fontId="45" fillId="0" borderId="0" xfId="1" applyNumberFormat="1" applyFont="1" applyFill="1" applyAlignment="1">
      <alignment vertical="center"/>
    </xf>
    <xf numFmtId="164" fontId="50" fillId="0" borderId="0" xfId="13" applyNumberFormat="1" applyFont="1" applyAlignment="1">
      <alignment horizontal="right" vertical="top"/>
    </xf>
    <xf numFmtId="0" fontId="50" fillId="0" borderId="0" xfId="13" applyFont="1" applyAlignment="1">
      <alignment horizontal="right" vertical="top"/>
    </xf>
    <xf numFmtId="164" fontId="50" fillId="0" borderId="0" xfId="20" applyNumberFormat="1" applyFont="1"/>
    <xf numFmtId="164" fontId="50" fillId="0" borderId="0" xfId="13" applyNumberFormat="1" applyFont="1"/>
    <xf numFmtId="166" fontId="46" fillId="0" borderId="0" xfId="13" applyNumberFormat="1" applyFont="1"/>
    <xf numFmtId="0" fontId="50" fillId="0" borderId="0" xfId="13" applyFont="1"/>
    <xf numFmtId="43" fontId="45" fillId="0" borderId="0" xfId="1" applyFont="1" applyFill="1" applyAlignment="1">
      <alignment horizontal="right" vertical="top"/>
    </xf>
    <xf numFmtId="166" fontId="45" fillId="0" borderId="0" xfId="1" applyNumberFormat="1" applyFont="1" applyFill="1"/>
    <xf numFmtId="171" fontId="47" fillId="0" borderId="0" xfId="17" applyNumberFormat="1" applyFont="1" applyAlignment="1">
      <alignment horizontal="center"/>
    </xf>
    <xf numFmtId="164" fontId="44" fillId="0" borderId="0" xfId="16" applyFont="1" applyFill="1" applyBorder="1" applyAlignment="1">
      <alignment horizontal="center" vertical="center"/>
    </xf>
    <xf numFmtId="164" fontId="47" fillId="0" borderId="15" xfId="16" applyFont="1" applyFill="1" applyBorder="1" applyAlignment="1">
      <alignment horizontal="center"/>
    </xf>
    <xf numFmtId="164" fontId="47" fillId="0" borderId="0" xfId="16" applyFont="1" applyFill="1" applyBorder="1" applyAlignment="1">
      <alignment horizontal="center"/>
    </xf>
    <xf numFmtId="0" fontId="44" fillId="0" borderId="0" xfId="18" applyFont="1"/>
    <xf numFmtId="41" fontId="44" fillId="0" borderId="0" xfId="2" applyFont="1" applyFill="1" applyAlignment="1">
      <alignment horizontal="center"/>
    </xf>
    <xf numFmtId="41" fontId="44" fillId="0" borderId="0" xfId="2" applyFont="1" applyAlignment="1">
      <alignment horizontal="center"/>
    </xf>
    <xf numFmtId="41" fontId="49" fillId="0" borderId="0" xfId="2" applyFont="1"/>
    <xf numFmtId="0" fontId="8" fillId="0" borderId="0" xfId="11" applyNumberFormat="1" applyFont="1" applyAlignment="1">
      <alignment horizontal="right" vertical="center"/>
    </xf>
    <xf numFmtId="166" fontId="8" fillId="0" borderId="0" xfId="11" applyNumberFormat="1" applyFont="1" applyAlignment="1">
      <alignment horizontal="right" vertical="center"/>
    </xf>
    <xf numFmtId="167" fontId="1" fillId="0" borderId="0" xfId="3" applyNumberFormat="1" applyAlignment="1">
      <alignment horizontal="right" vertical="center"/>
    </xf>
    <xf numFmtId="164" fontId="1" fillId="0" borderId="3" xfId="1" applyNumberFormat="1" applyFont="1" applyBorder="1" applyAlignment="1">
      <alignment horizontal="left" vertical="center"/>
    </xf>
    <xf numFmtId="164" fontId="4" fillId="6" borderId="3" xfId="1" applyNumberFormat="1" applyFont="1" applyFill="1" applyBorder="1" applyAlignment="1">
      <alignment horizontal="left" vertical="center"/>
    </xf>
    <xf numFmtId="164" fontId="4" fillId="9" borderId="5" xfId="1" applyNumberFormat="1" applyFont="1" applyFill="1" applyBorder="1" applyAlignment="1">
      <alignment horizontal="right" vertical="center"/>
    </xf>
    <xf numFmtId="164" fontId="4" fillId="0" borderId="3" xfId="1" applyNumberFormat="1" applyFont="1" applyFill="1" applyBorder="1" applyAlignment="1">
      <alignment horizontal="left" vertical="center"/>
    </xf>
    <xf numFmtId="164" fontId="4" fillId="9" borderId="3" xfId="1" applyNumberFormat="1" applyFont="1" applyFill="1" applyBorder="1" applyAlignment="1">
      <alignment horizontal="right" vertical="center"/>
    </xf>
    <xf numFmtId="164" fontId="8" fillId="0" borderId="5" xfId="1" applyNumberFormat="1" applyFont="1" applyBorder="1" applyAlignment="1">
      <alignment horizontal="right" vertical="center"/>
    </xf>
    <xf numFmtId="164" fontId="4" fillId="13" borderId="3" xfId="1" applyNumberFormat="1" applyFont="1" applyFill="1" applyBorder="1" applyAlignment="1">
      <alignment horizontal="right" vertical="center"/>
    </xf>
    <xf numFmtId="164" fontId="4" fillId="0" borderId="3" xfId="1" applyNumberFormat="1" applyFont="1" applyBorder="1" applyAlignment="1">
      <alignment horizontal="left" vertical="center"/>
    </xf>
    <xf numFmtId="164" fontId="9" fillId="0" borderId="3" xfId="1" applyNumberFormat="1" applyFont="1" applyFill="1" applyBorder="1" applyAlignment="1">
      <alignment horizontal="right" vertical="center"/>
    </xf>
    <xf numFmtId="164" fontId="4" fillId="20" borderId="5" xfId="1" applyNumberFormat="1" applyFont="1" applyFill="1" applyBorder="1" applyAlignment="1">
      <alignment horizontal="right" vertical="center"/>
    </xf>
    <xf numFmtId="164" fontId="4" fillId="22" borderId="3" xfId="1" applyNumberFormat="1" applyFont="1" applyFill="1" applyBorder="1" applyAlignment="1">
      <alignment horizontal="right" vertical="center"/>
    </xf>
    <xf numFmtId="164" fontId="2" fillId="25" borderId="3" xfId="1" applyNumberFormat="1" applyFont="1" applyFill="1" applyBorder="1" applyAlignment="1">
      <alignment horizontal="right" vertical="center"/>
    </xf>
    <xf numFmtId="164" fontId="9" fillId="0" borderId="3" xfId="1" applyNumberFormat="1" applyFont="1" applyBorder="1" applyAlignment="1">
      <alignment horizontal="right" vertical="center"/>
    </xf>
    <xf numFmtId="164" fontId="10" fillId="0" borderId="3" xfId="1" applyNumberFormat="1" applyFont="1" applyFill="1" applyBorder="1" applyAlignment="1">
      <alignment horizontal="right" vertical="center"/>
    </xf>
    <xf numFmtId="164" fontId="4" fillId="29" borderId="3" xfId="1" applyNumberFormat="1" applyFont="1" applyFill="1" applyBorder="1" applyAlignment="1">
      <alignment horizontal="right" vertical="center"/>
    </xf>
    <xf numFmtId="164" fontId="9" fillId="33" borderId="6" xfId="1" applyNumberFormat="1" applyFont="1" applyFill="1" applyBorder="1" applyAlignment="1">
      <alignment horizontal="right" vertical="center"/>
    </xf>
    <xf numFmtId="164" fontId="4" fillId="0" borderId="5" xfId="1" applyNumberFormat="1" applyFont="1" applyBorder="1" applyAlignment="1">
      <alignment horizontal="right" vertical="center"/>
    </xf>
    <xf numFmtId="164" fontId="8" fillId="17" borderId="3" xfId="1" applyNumberFormat="1" applyFont="1" applyFill="1" applyBorder="1" applyAlignment="1">
      <alignment horizontal="right" vertical="center"/>
    </xf>
    <xf numFmtId="164" fontId="4" fillId="35" borderId="0" xfId="1" applyNumberFormat="1" applyFont="1" applyFill="1" applyBorder="1" applyAlignment="1">
      <alignment horizontal="right" vertical="center"/>
    </xf>
    <xf numFmtId="41" fontId="9" fillId="0" borderId="3" xfId="7" applyFont="1" applyFill="1" applyBorder="1" applyAlignment="1">
      <alignment horizontal="right" vertical="center"/>
    </xf>
    <xf numFmtId="41" fontId="8" fillId="0" borderId="3" xfId="7" applyFont="1" applyFill="1" applyBorder="1" applyAlignment="1">
      <alignment horizontal="right" vertical="center"/>
    </xf>
    <xf numFmtId="164" fontId="8" fillId="0" borderId="3" xfId="7" applyNumberFormat="1" applyFont="1" applyFill="1" applyBorder="1" applyAlignment="1">
      <alignment horizontal="right" vertical="center"/>
    </xf>
    <xf numFmtId="164" fontId="9" fillId="35" borderId="0" xfId="1" applyNumberFormat="1" applyFont="1" applyFill="1" applyBorder="1" applyAlignment="1">
      <alignment horizontal="right" vertical="center"/>
    </xf>
    <xf numFmtId="164" fontId="8" fillId="36" borderId="3" xfId="1" applyNumberFormat="1" applyFont="1" applyFill="1" applyBorder="1" applyAlignment="1">
      <alignment horizontal="right" vertical="center"/>
    </xf>
    <xf numFmtId="164" fontId="4" fillId="9" borderId="6" xfId="1" applyNumberFormat="1" applyFont="1" applyFill="1" applyBorder="1" applyAlignment="1">
      <alignment horizontal="right" vertical="center"/>
    </xf>
    <xf numFmtId="164" fontId="4" fillId="13" borderId="5" xfId="1" applyNumberFormat="1" applyFont="1" applyFill="1" applyBorder="1" applyAlignment="1">
      <alignment horizontal="right" vertical="center"/>
    </xf>
    <xf numFmtId="164" fontId="4" fillId="29" borderId="5" xfId="1" applyNumberFormat="1" applyFont="1" applyFill="1" applyBorder="1" applyAlignment="1">
      <alignment horizontal="right" vertical="center"/>
    </xf>
    <xf numFmtId="164" fontId="2" fillId="25" borderId="5" xfId="1" applyNumberFormat="1" applyFont="1" applyFill="1" applyBorder="1" applyAlignment="1">
      <alignment horizontal="right" vertical="center"/>
    </xf>
    <xf numFmtId="164" fontId="4" fillId="0" borderId="3" xfId="1" applyNumberFormat="1" applyFont="1" applyBorder="1" applyAlignment="1">
      <alignment horizontal="right" vertical="center"/>
    </xf>
    <xf numFmtId="164" fontId="2" fillId="25" borderId="11" xfId="1" applyNumberFormat="1" applyFont="1" applyFill="1" applyBorder="1" applyAlignment="1">
      <alignment horizontal="right" vertical="center"/>
    </xf>
    <xf numFmtId="164" fontId="2" fillId="25" borderId="10" xfId="1" applyNumberFormat="1" applyFont="1" applyFill="1" applyBorder="1" applyAlignment="1">
      <alignment horizontal="right" vertical="center"/>
    </xf>
    <xf numFmtId="164" fontId="8" fillId="0" borderId="0" xfId="3" applyNumberFormat="1" applyFont="1" applyAlignment="1">
      <alignment horizontal="left" vertical="center"/>
    </xf>
    <xf numFmtId="0" fontId="45" fillId="0" borderId="15" xfId="13" applyFont="1" applyBorder="1" applyAlignment="1">
      <alignment horizontal="right" vertical="center" wrapText="1"/>
    </xf>
    <xf numFmtId="164" fontId="44" fillId="0" borderId="20" xfId="13" applyNumberFormat="1" applyFont="1" applyBorder="1" applyAlignment="1">
      <alignment horizontal="right" vertical="center" wrapText="1"/>
    </xf>
    <xf numFmtId="0" fontId="0" fillId="16" borderId="0" xfId="0" applyFill="1"/>
    <xf numFmtId="41" fontId="45" fillId="0" borderId="15" xfId="2" applyFont="1" applyBorder="1" applyAlignment="1">
      <alignment horizontal="right" vertical="center" wrapText="1"/>
    </xf>
    <xf numFmtId="0" fontId="37" fillId="0" borderId="0" xfId="21" applyFont="1" applyAlignment="1">
      <alignment vertical="center"/>
    </xf>
    <xf numFmtId="0" fontId="34" fillId="0" borderId="0" xfId="21" applyFont="1" applyAlignment="1">
      <alignment vertical="center"/>
    </xf>
    <xf numFmtId="0" fontId="34" fillId="0" borderId="0" xfId="21" applyFont="1" applyAlignment="1">
      <alignment horizontal="center" vertical="center"/>
    </xf>
    <xf numFmtId="172" fontId="34" fillId="0" borderId="0" xfId="21" applyNumberFormat="1" applyFont="1" applyAlignment="1">
      <alignment vertical="center"/>
    </xf>
    <xf numFmtId="0" fontId="34" fillId="0" borderId="0" xfId="22" applyAlignment="1">
      <alignment vertical="center"/>
    </xf>
    <xf numFmtId="0" fontId="37" fillId="0" borderId="0" xfId="21" applyFont="1" applyAlignment="1">
      <alignment horizontal="center" vertical="center"/>
    </xf>
    <xf numFmtId="0" fontId="37" fillId="0" borderId="15" xfId="21" applyFont="1" applyBorder="1" applyAlignment="1">
      <alignment horizontal="center" vertical="center"/>
    </xf>
    <xf numFmtId="16" fontId="37" fillId="0" borderId="0" xfId="21" applyNumberFormat="1" applyFont="1" applyAlignment="1">
      <alignment horizontal="center" vertical="center"/>
    </xf>
    <xf numFmtId="0" fontId="57" fillId="0" borderId="0" xfId="21" applyFont="1" applyAlignment="1">
      <alignment vertical="center"/>
    </xf>
    <xf numFmtId="0" fontId="41" fillId="0" borderId="0" xfId="23" applyFont="1" applyAlignment="1">
      <alignment vertical="center"/>
    </xf>
    <xf numFmtId="164" fontId="34" fillId="0" borderId="0" xfId="21" applyNumberFormat="1" applyFont="1" applyAlignment="1">
      <alignment vertical="center"/>
    </xf>
    <xf numFmtId="173" fontId="34" fillId="0" borderId="0" xfId="21" applyNumberFormat="1" applyFont="1" applyAlignment="1">
      <alignment vertical="center"/>
    </xf>
    <xf numFmtId="0" fontId="26" fillId="0" borderId="0" xfId="23" applyFont="1" applyAlignment="1">
      <alignment horizontal="left" vertical="center"/>
    </xf>
    <xf numFmtId="0" fontId="34" fillId="0" borderId="0" xfId="22" quotePrefix="1" applyAlignment="1">
      <alignment vertical="center"/>
    </xf>
    <xf numFmtId="164" fontId="39" fillId="0" borderId="0" xfId="21" applyNumberFormat="1" applyFont="1" applyAlignment="1">
      <alignment vertical="center"/>
    </xf>
    <xf numFmtId="167" fontId="34" fillId="0" borderId="0" xfId="21" applyNumberFormat="1" applyFont="1" applyAlignment="1">
      <alignment vertical="center"/>
    </xf>
    <xf numFmtId="0" fontId="39" fillId="0" borderId="0" xfId="21" applyFont="1" applyAlignment="1">
      <alignment horizontal="center" vertical="center"/>
    </xf>
    <xf numFmtId="167" fontId="34" fillId="28" borderId="0" xfId="21" applyNumberFormat="1" applyFont="1" applyFill="1" applyAlignment="1">
      <alignment vertical="center"/>
    </xf>
    <xf numFmtId="0" fontId="34" fillId="0" borderId="0" xfId="21" applyFont="1"/>
    <xf numFmtId="0" fontId="34" fillId="0" borderId="0" xfId="21" applyFont="1" applyAlignment="1">
      <alignment horizontal="center" vertical="center" wrapText="1"/>
    </xf>
    <xf numFmtId="164" fontId="34" fillId="0" borderId="15" xfId="21" applyNumberFormat="1" applyFont="1" applyBorder="1" applyAlignment="1">
      <alignment vertical="center"/>
    </xf>
    <xf numFmtId="167" fontId="39" fillId="28" borderId="0" xfId="21" applyNumberFormat="1" applyFont="1" applyFill="1" applyAlignment="1">
      <alignment vertical="center"/>
    </xf>
    <xf numFmtId="167" fontId="34" fillId="28" borderId="15" xfId="21" applyNumberFormat="1" applyFont="1" applyFill="1" applyBorder="1" applyAlignment="1">
      <alignment vertical="center"/>
    </xf>
    <xf numFmtId="0" fontId="39" fillId="0" borderId="0" xfId="21" applyFont="1" applyAlignment="1">
      <alignment vertical="center"/>
    </xf>
    <xf numFmtId="0" fontId="58" fillId="0" borderId="0" xfId="23" applyFont="1" applyAlignment="1">
      <alignment vertical="center"/>
    </xf>
    <xf numFmtId="164" fontId="31" fillId="0" borderId="0" xfId="24" applyFont="1" applyFill="1" applyAlignment="1">
      <alignment vertical="center"/>
    </xf>
    <xf numFmtId="174" fontId="34" fillId="0" borderId="0" xfId="21" applyNumberFormat="1" applyFont="1" applyAlignment="1">
      <alignment vertical="center"/>
    </xf>
    <xf numFmtId="174" fontId="34" fillId="0" borderId="15" xfId="21" applyNumberFormat="1" applyFont="1" applyBorder="1" applyAlignment="1">
      <alignment vertical="center"/>
    </xf>
    <xf numFmtId="0" fontId="59" fillId="0" borderId="0" xfId="22" applyFont="1" applyAlignment="1">
      <alignment vertical="center"/>
    </xf>
    <xf numFmtId="164" fontId="31" fillId="0" borderId="0" xfId="24" applyFont="1" applyFill="1" applyBorder="1" applyAlignment="1">
      <alignment vertical="center"/>
    </xf>
    <xf numFmtId="0" fontId="57" fillId="0" borderId="0" xfId="21" applyFont="1" applyAlignment="1">
      <alignment horizontal="center" vertical="center"/>
    </xf>
    <xf numFmtId="164" fontId="37" fillId="0" borderId="16" xfId="21" applyNumberFormat="1" applyFont="1" applyBorder="1" applyAlignment="1">
      <alignment vertical="center"/>
    </xf>
    <xf numFmtId="174" fontId="37" fillId="0" borderId="16" xfId="21" applyNumberFormat="1" applyFont="1" applyBorder="1" applyAlignment="1">
      <alignment vertical="center"/>
    </xf>
    <xf numFmtId="0" fontId="41" fillId="0" borderId="0" xfId="22" applyFont="1" applyAlignment="1">
      <alignment vertical="center"/>
    </xf>
    <xf numFmtId="164" fontId="57" fillId="0" borderId="0" xfId="21" applyNumberFormat="1" applyFont="1" applyAlignment="1">
      <alignment vertical="center"/>
    </xf>
    <xf numFmtId="174" fontId="57" fillId="0" borderId="0" xfId="21" applyNumberFormat="1" applyFont="1" applyAlignment="1">
      <alignment vertical="center"/>
    </xf>
    <xf numFmtId="0" fontId="32" fillId="0" borderId="0" xfId="22" applyFont="1" applyAlignment="1">
      <alignment vertical="center"/>
    </xf>
    <xf numFmtId="0" fontId="20" fillId="0" borderId="0" xfId="21" applyFont="1" applyAlignment="1">
      <alignment vertical="center"/>
    </xf>
    <xf numFmtId="0" fontId="26" fillId="0" borderId="0" xfId="23" applyFont="1" applyAlignment="1">
      <alignment vertical="center"/>
    </xf>
    <xf numFmtId="0" fontId="20" fillId="0" borderId="0" xfId="22" applyFont="1" applyAlignment="1">
      <alignment vertical="center"/>
    </xf>
    <xf numFmtId="174" fontId="34" fillId="0" borderId="21" xfId="21" applyNumberFormat="1" applyFont="1" applyBorder="1" applyAlignment="1">
      <alignment vertical="center"/>
    </xf>
    <xf numFmtId="0" fontId="24" fillId="0" borderId="0" xfId="23" applyFont="1" applyAlignment="1">
      <alignment horizontal="left" vertical="center"/>
    </xf>
    <xf numFmtId="0" fontId="60" fillId="0" borderId="0" xfId="22" applyFont="1" applyAlignment="1">
      <alignment vertical="center"/>
    </xf>
    <xf numFmtId="0" fontId="37" fillId="0" borderId="0" xfId="21" applyFont="1" applyAlignment="1">
      <alignment horizontal="left" vertical="center"/>
    </xf>
    <xf numFmtId="0" fontId="19" fillId="0" borderId="0" xfId="21" applyFont="1" applyAlignment="1">
      <alignment vertical="center"/>
    </xf>
    <xf numFmtId="0" fontId="24" fillId="0" borderId="0" xfId="22" applyFont="1" applyAlignment="1">
      <alignment vertical="center"/>
    </xf>
    <xf numFmtId="164" fontId="37" fillId="0" borderId="0" xfId="21" applyNumberFormat="1" applyFont="1" applyAlignment="1">
      <alignment vertical="center"/>
    </xf>
    <xf numFmtId="174" fontId="37" fillId="0" borderId="0" xfId="21" applyNumberFormat="1" applyFont="1" applyAlignment="1">
      <alignment vertical="center"/>
    </xf>
    <xf numFmtId="164" fontId="37" fillId="0" borderId="21" xfId="21" applyNumberFormat="1" applyFont="1" applyBorder="1" applyAlignment="1">
      <alignment vertical="center"/>
    </xf>
    <xf numFmtId="174" fontId="37" fillId="0" borderId="21" xfId="21" applyNumberFormat="1" applyFont="1" applyBorder="1" applyAlignment="1">
      <alignment vertical="center"/>
    </xf>
    <xf numFmtId="164" fontId="37" fillId="0" borderId="22" xfId="21" applyNumberFormat="1" applyFont="1" applyBorder="1" applyAlignment="1">
      <alignment vertical="center"/>
    </xf>
    <xf numFmtId="174" fontId="37" fillId="0" borderId="22" xfId="21" applyNumberFormat="1" applyFont="1" applyBorder="1" applyAlignment="1">
      <alignment vertical="center"/>
    </xf>
    <xf numFmtId="0" fontId="26" fillId="0" borderId="0" xfId="22" applyFont="1" applyAlignment="1">
      <alignment vertical="center"/>
    </xf>
    <xf numFmtId="0" fontId="23" fillId="0" borderId="0" xfId="21" applyFont="1" applyAlignment="1">
      <alignment vertical="center"/>
    </xf>
    <xf numFmtId="0" fontId="63" fillId="0" borderId="0" xfId="22" applyFont="1" applyAlignment="1">
      <alignment vertical="center"/>
    </xf>
    <xf numFmtId="167" fontId="64" fillId="0" borderId="0" xfId="21" applyNumberFormat="1" applyFont="1"/>
    <xf numFmtId="167" fontId="65" fillId="0" borderId="0" xfId="21" applyNumberFormat="1" applyFont="1"/>
    <xf numFmtId="167" fontId="66" fillId="0" borderId="0" xfId="21" applyNumberFormat="1" applyFont="1" applyAlignment="1">
      <alignment horizontal="center" vertical="center" wrapText="1"/>
    </xf>
    <xf numFmtId="0" fontId="64" fillId="0" borderId="0" xfId="21" applyFont="1"/>
    <xf numFmtId="0" fontId="56" fillId="0" borderId="0" xfId="21"/>
    <xf numFmtId="3" fontId="64" fillId="0" borderId="0" xfId="21" applyNumberFormat="1" applyFont="1"/>
    <xf numFmtId="164" fontId="66" fillId="0" borderId="0" xfId="21" applyNumberFormat="1" applyFont="1" applyAlignment="1">
      <alignment horizontal="center" vertical="center" wrapText="1"/>
    </xf>
    <xf numFmtId="0" fontId="64" fillId="0" borderId="4" xfId="21" applyFont="1" applyBorder="1"/>
    <xf numFmtId="167" fontId="67" fillId="45" borderId="23" xfId="21" applyNumberFormat="1" applyFont="1" applyFill="1" applyBorder="1" applyAlignment="1">
      <alignment horizontal="center" vertical="center" wrapText="1"/>
    </xf>
    <xf numFmtId="0" fontId="64" fillId="0" borderId="0" xfId="21" applyFont="1" applyAlignment="1">
      <alignment horizontal="center" vertical="center" wrapText="1"/>
    </xf>
    <xf numFmtId="0" fontId="64" fillId="0" borderId="8" xfId="21" applyFont="1" applyBorder="1"/>
    <xf numFmtId="175" fontId="65" fillId="0" borderId="3" xfId="21" applyNumberFormat="1" applyFont="1" applyBorder="1" applyAlignment="1">
      <alignment horizontal="center"/>
    </xf>
    <xf numFmtId="167" fontId="71" fillId="0" borderId="0" xfId="21" applyNumberFormat="1" applyFont="1" applyAlignment="1">
      <alignment horizontal="center" vertical="center" wrapText="1"/>
    </xf>
    <xf numFmtId="167" fontId="71" fillId="53" borderId="0" xfId="21" applyNumberFormat="1" applyFont="1" applyFill="1" applyAlignment="1">
      <alignment horizontal="center" vertical="center" wrapText="1"/>
    </xf>
    <xf numFmtId="167" fontId="64" fillId="0" borderId="8" xfId="21" applyNumberFormat="1" applyFont="1" applyBorder="1"/>
    <xf numFmtId="167" fontId="66" fillId="54" borderId="26" xfId="21" applyNumberFormat="1" applyFont="1" applyFill="1" applyBorder="1" applyAlignment="1">
      <alignment horizontal="center" vertical="center" wrapText="1"/>
    </xf>
    <xf numFmtId="167" fontId="74" fillId="54" borderId="26" xfId="21" applyNumberFormat="1" applyFont="1" applyFill="1" applyBorder="1" applyAlignment="1">
      <alignment horizontal="center" vertical="center" wrapText="1"/>
    </xf>
    <xf numFmtId="167" fontId="66" fillId="0" borderId="26" xfId="21" applyNumberFormat="1" applyFont="1" applyBorder="1" applyAlignment="1">
      <alignment horizontal="center" vertical="center" wrapText="1"/>
    </xf>
    <xf numFmtId="167" fontId="66" fillId="46" borderId="26" xfId="21" applyNumberFormat="1" applyFont="1" applyFill="1" applyBorder="1" applyAlignment="1">
      <alignment horizontal="center" vertical="center" wrapText="1"/>
    </xf>
    <xf numFmtId="167" fontId="66" fillId="0" borderId="3" xfId="21" applyNumberFormat="1" applyFont="1" applyBorder="1" applyAlignment="1">
      <alignment horizontal="center" vertical="center" wrapText="1"/>
    </xf>
    <xf numFmtId="167" fontId="64" fillId="0" borderId="0" xfId="21" applyNumberFormat="1" applyFont="1" applyAlignment="1">
      <alignment horizontal="right"/>
    </xf>
    <xf numFmtId="41" fontId="64" fillId="0" borderId="0" xfId="7" applyFont="1"/>
    <xf numFmtId="167" fontId="66" fillId="46" borderId="23" xfId="21" applyNumberFormat="1" applyFont="1" applyFill="1" applyBorder="1" applyAlignment="1">
      <alignment horizontal="center" vertical="center" wrapText="1"/>
    </xf>
    <xf numFmtId="167" fontId="74" fillId="46" borderId="23" xfId="21" applyNumberFormat="1" applyFont="1" applyFill="1" applyBorder="1" applyAlignment="1">
      <alignment horizontal="center" vertical="center" wrapText="1"/>
    </xf>
    <xf numFmtId="167" fontId="66" fillId="0" borderId="23" xfId="21" applyNumberFormat="1" applyFont="1" applyBorder="1" applyAlignment="1">
      <alignment horizontal="center" vertical="center" wrapText="1"/>
    </xf>
    <xf numFmtId="0" fontId="65" fillId="0" borderId="3" xfId="21" applyFont="1" applyBorder="1" applyAlignment="1">
      <alignment horizontal="center"/>
    </xf>
    <xf numFmtId="167" fontId="69" fillId="0" borderId="10" xfId="21" applyNumberFormat="1" applyFont="1" applyBorder="1" applyAlignment="1">
      <alignment horizontal="center" vertical="center" wrapText="1"/>
    </xf>
    <xf numFmtId="167" fontId="76" fillId="0" borderId="0" xfId="21" applyNumberFormat="1" applyFont="1" applyAlignment="1">
      <alignment horizontal="right"/>
    </xf>
    <xf numFmtId="0" fontId="64" fillId="0" borderId="27" xfId="21" applyFont="1" applyBorder="1"/>
    <xf numFmtId="0" fontId="65" fillId="0" borderId="10" xfId="21" applyFont="1" applyBorder="1" applyAlignment="1">
      <alignment horizontal="center"/>
    </xf>
    <xf numFmtId="0" fontId="65" fillId="0" borderId="8" xfId="21" applyFont="1" applyBorder="1" applyAlignment="1">
      <alignment horizontal="left" vertical="center"/>
    </xf>
    <xf numFmtId="0" fontId="64" fillId="0" borderId="1" xfId="21" applyFont="1" applyBorder="1"/>
    <xf numFmtId="0" fontId="64" fillId="55" borderId="0" xfId="21" applyFont="1" applyFill="1"/>
    <xf numFmtId="0" fontId="64" fillId="0" borderId="8" xfId="21" applyFont="1" applyBorder="1" applyAlignment="1">
      <alignment horizontal="left" vertical="center" wrapText="1"/>
    </xf>
    <xf numFmtId="167" fontId="77" fillId="0" borderId="3" xfId="21" applyNumberFormat="1" applyFont="1" applyBorder="1"/>
    <xf numFmtId="167" fontId="64" fillId="46" borderId="0" xfId="21" applyNumberFormat="1" applyFont="1" applyFill="1"/>
    <xf numFmtId="164" fontId="64" fillId="0" borderId="0" xfId="21" applyNumberFormat="1" applyFont="1"/>
    <xf numFmtId="167" fontId="64" fillId="56" borderId="0" xfId="21" applyNumberFormat="1" applyFont="1" applyFill="1"/>
    <xf numFmtId="167" fontId="64" fillId="57" borderId="0" xfId="21" applyNumberFormat="1" applyFont="1" applyFill="1"/>
    <xf numFmtId="167" fontId="64" fillId="58" borderId="0" xfId="21" applyNumberFormat="1" applyFont="1" applyFill="1"/>
    <xf numFmtId="167" fontId="64" fillId="55" borderId="0" xfId="21" applyNumberFormat="1" applyFont="1" applyFill="1"/>
    <xf numFmtId="167" fontId="64" fillId="59" borderId="0" xfId="21" applyNumberFormat="1" applyFont="1" applyFill="1"/>
    <xf numFmtId="0" fontId="56" fillId="28" borderId="0" xfId="21" applyFill="1"/>
    <xf numFmtId="0" fontId="78" fillId="0" borderId="8" xfId="21" applyFont="1" applyBorder="1" applyAlignment="1">
      <alignment horizontal="left" vertical="center" wrapText="1" indent="1"/>
    </xf>
    <xf numFmtId="164" fontId="64" fillId="57" borderId="0" xfId="21" applyNumberFormat="1" applyFont="1" applyFill="1"/>
    <xf numFmtId="3" fontId="73" fillId="0" borderId="0" xfId="21" applyNumberFormat="1" applyFont="1"/>
    <xf numFmtId="167" fontId="64" fillId="60" borderId="0" xfId="21" applyNumberFormat="1" applyFont="1" applyFill="1"/>
    <xf numFmtId="0" fontId="64" fillId="0" borderId="8" xfId="21" applyFont="1" applyBorder="1" applyAlignment="1">
      <alignment horizontal="left" wrapText="1"/>
    </xf>
    <xf numFmtId="167" fontId="65" fillId="0" borderId="1" xfId="21" applyNumberFormat="1" applyFont="1" applyBorder="1"/>
    <xf numFmtId="0" fontId="64" fillId="0" borderId="8" xfId="21" applyFont="1" applyBorder="1" applyAlignment="1">
      <alignment vertical="center" wrapText="1"/>
    </xf>
    <xf numFmtId="167" fontId="64" fillId="0" borderId="3" xfId="21" applyNumberFormat="1" applyFont="1" applyBorder="1"/>
    <xf numFmtId="0" fontId="65" fillId="0" borderId="8" xfId="21" applyFont="1" applyBorder="1" applyAlignment="1">
      <alignment horizontal="left" vertical="center" wrapText="1"/>
    </xf>
    <xf numFmtId="0" fontId="64" fillId="0" borderId="3" xfId="21" applyFont="1" applyBorder="1" applyAlignment="1">
      <alignment horizontal="left" vertical="center" wrapText="1"/>
    </xf>
    <xf numFmtId="167" fontId="64" fillId="61" borderId="0" xfId="21" applyNumberFormat="1" applyFont="1" applyFill="1"/>
    <xf numFmtId="167" fontId="79" fillId="0" borderId="28" xfId="21" applyNumberFormat="1" applyFont="1" applyBorder="1"/>
    <xf numFmtId="167" fontId="64" fillId="0" borderId="3" xfId="21" applyNumberFormat="1" applyFont="1" applyBorder="1" applyAlignment="1">
      <alignment horizontal="left"/>
    </xf>
    <xf numFmtId="0" fontId="64" fillId="0" borderId="8" xfId="21" applyFont="1" applyBorder="1" applyAlignment="1">
      <alignment horizontal="left" vertical="center"/>
    </xf>
    <xf numFmtId="167" fontId="64" fillId="0" borderId="1" xfId="21" applyNumberFormat="1" applyFont="1" applyBorder="1"/>
    <xf numFmtId="0" fontId="64" fillId="0" borderId="3" xfId="21" applyFont="1" applyBorder="1"/>
    <xf numFmtId="0" fontId="65" fillId="0" borderId="27" xfId="21" applyFont="1" applyBorder="1" applyAlignment="1">
      <alignment horizontal="left" vertical="center" wrapText="1"/>
    </xf>
    <xf numFmtId="167" fontId="64" fillId="0" borderId="10" xfId="21" applyNumberFormat="1" applyFont="1" applyBorder="1"/>
    <xf numFmtId="0" fontId="64" fillId="55" borderId="21" xfId="21" applyFont="1" applyFill="1" applyBorder="1"/>
    <xf numFmtId="0" fontId="64" fillId="0" borderId="21" xfId="21" applyFont="1" applyBorder="1"/>
    <xf numFmtId="0" fontId="64" fillId="0" borderId="0" xfId="21" applyFont="1" applyAlignment="1">
      <alignment vertical="center"/>
    </xf>
    <xf numFmtId="167" fontId="66" fillId="0" borderId="29" xfId="21" applyNumberFormat="1" applyFont="1" applyBorder="1" applyAlignment="1">
      <alignment horizontal="center" vertical="center" wrapText="1"/>
    </xf>
    <xf numFmtId="167" fontId="76" fillId="0" borderId="0" xfId="21" applyNumberFormat="1" applyFont="1"/>
    <xf numFmtId="167" fontId="71" fillId="64" borderId="0" xfId="21" applyNumberFormat="1" applyFont="1" applyFill="1" applyAlignment="1">
      <alignment horizontal="center" vertical="center" wrapText="1"/>
    </xf>
    <xf numFmtId="0" fontId="71" fillId="64" borderId="0" xfId="21" applyFont="1" applyFill="1" applyAlignment="1">
      <alignment horizontal="center" vertical="center" wrapText="1"/>
    </xf>
    <xf numFmtId="175" fontId="65" fillId="0" borderId="8" xfId="21" applyNumberFormat="1" applyFont="1" applyBorder="1" applyAlignment="1">
      <alignment horizontal="center"/>
    </xf>
    <xf numFmtId="167" fontId="76" fillId="0" borderId="3" xfId="21" applyNumberFormat="1" applyFont="1" applyBorder="1"/>
    <xf numFmtId="164" fontId="4" fillId="0" borderId="0" xfId="3" applyNumberFormat="1" applyFont="1" applyAlignment="1">
      <alignment horizontal="right" vertical="center"/>
    </xf>
    <xf numFmtId="164" fontId="1" fillId="0" borderId="3" xfId="1" applyNumberFormat="1" applyFont="1" applyFill="1" applyBorder="1" applyAlignment="1">
      <alignment horizontal="left" vertical="center"/>
    </xf>
    <xf numFmtId="164" fontId="1" fillId="0" borderId="3" xfId="2" applyNumberFormat="1" applyFont="1" applyFill="1" applyBorder="1" applyAlignment="1">
      <alignment horizontal="left" vertical="center"/>
    </xf>
    <xf numFmtId="164" fontId="45" fillId="16" borderId="15" xfId="20" applyNumberFormat="1" applyFont="1" applyFill="1" applyBorder="1" applyAlignment="1">
      <alignment horizontal="right" vertical="center" wrapText="1"/>
    </xf>
    <xf numFmtId="17" fontId="44" fillId="0" borderId="0" xfId="13" applyNumberFormat="1" applyFont="1" applyAlignment="1">
      <alignment vertical="top"/>
    </xf>
    <xf numFmtId="0" fontId="44" fillId="0" borderId="0" xfId="13" applyFont="1" applyAlignment="1">
      <alignment horizontal="right" vertical="top"/>
    </xf>
    <xf numFmtId="164" fontId="44" fillId="0" borderId="0" xfId="20" applyNumberFormat="1" applyFont="1"/>
    <xf numFmtId="164" fontId="44" fillId="0" borderId="0" xfId="13" applyNumberFormat="1" applyFont="1" applyAlignment="1">
      <alignment horizontal="right" vertical="top"/>
    </xf>
    <xf numFmtId="166" fontId="0" fillId="0" borderId="0" xfId="0" applyNumberFormat="1"/>
    <xf numFmtId="41" fontId="4" fillId="68" borderId="24" xfId="2" applyFont="1" applyFill="1" applyBorder="1" applyAlignment="1">
      <alignment horizontal="center" vertical="center"/>
    </xf>
    <xf numFmtId="41" fontId="4" fillId="72" borderId="24" xfId="2" applyFont="1" applyFill="1" applyBorder="1" applyAlignment="1">
      <alignment horizontal="center" vertical="center"/>
    </xf>
    <xf numFmtId="0" fontId="1" fillId="0" borderId="0" xfId="0" applyFont="1"/>
    <xf numFmtId="0" fontId="0" fillId="0" borderId="31" xfId="0" applyBorder="1"/>
    <xf numFmtId="0" fontId="0" fillId="0" borderId="34" xfId="0" applyBorder="1"/>
    <xf numFmtId="0" fontId="0" fillId="0" borderId="9" xfId="0" applyBorder="1"/>
    <xf numFmtId="41" fontId="0" fillId="0" borderId="31" xfId="2" applyFont="1" applyBorder="1"/>
    <xf numFmtId="164" fontId="10" fillId="9" borderId="3" xfId="3" applyNumberFormat="1" applyFont="1" applyFill="1" applyBorder="1" applyAlignment="1">
      <alignment horizontal="left" vertical="center"/>
    </xf>
    <xf numFmtId="164" fontId="10" fillId="13" borderId="3" xfId="3" applyNumberFormat="1" applyFont="1" applyFill="1" applyBorder="1" applyAlignment="1">
      <alignment horizontal="left" vertical="center"/>
    </xf>
    <xf numFmtId="164" fontId="10" fillId="9" borderId="3" xfId="6" applyNumberFormat="1" applyFont="1" applyFill="1" applyBorder="1" applyAlignment="1">
      <alignment horizontal="left" vertical="center"/>
    </xf>
    <xf numFmtId="164" fontId="10" fillId="20" borderId="3" xfId="3" applyNumberFormat="1" applyFont="1" applyFill="1" applyBorder="1" applyAlignment="1">
      <alignment horizontal="left" vertical="center"/>
    </xf>
    <xf numFmtId="164" fontId="10" fillId="17" borderId="3" xfId="3" applyNumberFormat="1" applyFont="1" applyFill="1" applyBorder="1" applyAlignment="1">
      <alignment horizontal="left" vertical="center"/>
    </xf>
    <xf numFmtId="164" fontId="10" fillId="22" borderId="3" xfId="3" applyNumberFormat="1" applyFont="1" applyFill="1" applyBorder="1" applyAlignment="1">
      <alignment horizontal="left" vertical="center"/>
    </xf>
    <xf numFmtId="164" fontId="10" fillId="25" borderId="3" xfId="3" applyNumberFormat="1" applyFont="1" applyFill="1" applyBorder="1" applyAlignment="1">
      <alignment horizontal="left" vertical="center"/>
    </xf>
    <xf numFmtId="164" fontId="10" fillId="29" borderId="3" xfId="3" applyNumberFormat="1" applyFont="1" applyFill="1" applyBorder="1" applyAlignment="1">
      <alignment horizontal="left" vertical="center"/>
    </xf>
    <xf numFmtId="164" fontId="10" fillId="0" borderId="3" xfId="3" applyNumberFormat="1" applyFont="1" applyBorder="1" applyAlignment="1">
      <alignment vertical="center"/>
    </xf>
    <xf numFmtId="164" fontId="10" fillId="32" borderId="3" xfId="3" applyNumberFormat="1" applyFont="1" applyFill="1" applyBorder="1" applyAlignment="1">
      <alignment horizontal="left" vertical="center"/>
    </xf>
    <xf numFmtId="164" fontId="10" fillId="35" borderId="3" xfId="3" applyNumberFormat="1" applyFont="1" applyFill="1" applyBorder="1" applyAlignment="1">
      <alignment horizontal="left" vertical="center"/>
    </xf>
    <xf numFmtId="164" fontId="10" fillId="0" borderId="3" xfId="2" applyNumberFormat="1" applyFont="1" applyFill="1" applyBorder="1" applyAlignment="1">
      <alignment horizontal="left" vertical="center"/>
    </xf>
    <xf numFmtId="164" fontId="10" fillId="0" borderId="3" xfId="3" applyNumberFormat="1" applyFont="1" applyBorder="1" applyAlignment="1">
      <alignment horizontal="left" vertical="center" wrapText="1"/>
    </xf>
    <xf numFmtId="164" fontId="10" fillId="16" borderId="3" xfId="3" applyNumberFormat="1" applyFont="1" applyFill="1" applyBorder="1" applyAlignment="1">
      <alignment horizontal="left" vertical="center" wrapText="1"/>
    </xf>
    <xf numFmtId="164" fontId="10" fillId="25" borderId="10" xfId="3" applyNumberFormat="1" applyFont="1" applyFill="1" applyBorder="1" applyAlignment="1">
      <alignment horizontal="left" vertical="center"/>
    </xf>
    <xf numFmtId="164" fontId="10" fillId="0" borderId="0" xfId="0" applyNumberFormat="1" applyFont="1"/>
    <xf numFmtId="164" fontId="10" fillId="12" borderId="3" xfId="3" applyNumberFormat="1" applyFont="1" applyFill="1" applyBorder="1" applyAlignment="1">
      <alignment horizontal="left" vertical="center"/>
    </xf>
    <xf numFmtId="164" fontId="10" fillId="0" borderId="3" xfId="5" quotePrefix="1" applyNumberFormat="1" applyFont="1" applyBorder="1" applyAlignment="1">
      <alignment vertical="top" wrapText="1"/>
    </xf>
    <xf numFmtId="164" fontId="10" fillId="0" borderId="3" xfId="0" applyNumberFormat="1" applyFont="1" applyBorder="1"/>
    <xf numFmtId="164" fontId="10" fillId="0" borderId="3" xfId="3" applyNumberFormat="1" applyFont="1" applyBorder="1" applyAlignment="1">
      <alignment horizontal="left" vertical="center" indent="1"/>
    </xf>
    <xf numFmtId="164" fontId="10" fillId="0" borderId="3" xfId="6" applyNumberFormat="1" applyFont="1" applyBorder="1" applyAlignment="1">
      <alignment horizontal="left" vertical="center"/>
    </xf>
    <xf numFmtId="164" fontId="10" fillId="0" borderId="3" xfId="3" applyNumberFormat="1" applyFont="1" applyBorder="1" applyAlignment="1">
      <alignment horizontal="left" vertical="center" indent="2"/>
    </xf>
    <xf numFmtId="164" fontId="10" fillId="34" borderId="3" xfId="3" applyNumberFormat="1" applyFont="1" applyFill="1" applyBorder="1" applyAlignment="1">
      <alignment horizontal="left" vertical="center"/>
    </xf>
    <xf numFmtId="164" fontId="10" fillId="12" borderId="3" xfId="3" applyNumberFormat="1" applyFont="1" applyFill="1" applyBorder="1" applyAlignment="1">
      <alignment horizontal="left" vertical="center" wrapText="1"/>
    </xf>
    <xf numFmtId="164" fontId="10" fillId="0" borderId="3" xfId="6" applyNumberFormat="1" applyFont="1" applyBorder="1" applyAlignment="1">
      <alignment horizontal="left" vertical="center" wrapText="1"/>
    </xf>
    <xf numFmtId="164" fontId="2" fillId="38" borderId="3" xfId="3" applyNumberFormat="1" applyFont="1" applyFill="1" applyBorder="1" applyAlignment="1">
      <alignment horizontal="center" vertical="center"/>
    </xf>
    <xf numFmtId="41" fontId="0" fillId="0" borderId="0" xfId="7" applyFont="1"/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41" fontId="0" fillId="0" borderId="0" xfId="7" applyFont="1" applyBorder="1"/>
    <xf numFmtId="41" fontId="10" fillId="0" borderId="0" xfId="7" applyFont="1"/>
    <xf numFmtId="0" fontId="4" fillId="0" borderId="15" xfId="0" applyFont="1" applyBorder="1" applyAlignment="1">
      <alignment horizontal="center"/>
    </xf>
    <xf numFmtId="0" fontId="0" fillId="0" borderId="0" xfId="0" applyAlignment="1">
      <alignment horizontal="left" indent="1"/>
    </xf>
    <xf numFmtId="166" fontId="10" fillId="0" borderId="0" xfId="1" applyNumberFormat="1" applyFont="1"/>
    <xf numFmtId="166" fontId="10" fillId="0" borderId="0" xfId="1" applyNumberFormat="1" applyFont="1" applyBorder="1"/>
    <xf numFmtId="176" fontId="4" fillId="0" borderId="19" xfId="7" applyNumberFormat="1" applyFont="1" applyBorder="1"/>
    <xf numFmtId="176" fontId="4" fillId="0" borderId="0" xfId="7" applyNumberFormat="1" applyFont="1" applyBorder="1"/>
    <xf numFmtId="176" fontId="4" fillId="0" borderId="0" xfId="7" applyNumberFormat="1" applyFont="1"/>
    <xf numFmtId="17" fontId="4" fillId="0" borderId="0" xfId="0" applyNumberFormat="1" applyFont="1" applyAlignment="1">
      <alignment horizontal="center"/>
    </xf>
    <xf numFmtId="0" fontId="4" fillId="73" borderId="0" xfId="0" applyFont="1" applyFill="1"/>
    <xf numFmtId="0" fontId="0" fillId="73" borderId="0" xfId="0" applyFill="1"/>
    <xf numFmtId="0" fontId="0" fillId="74" borderId="0" xfId="0" applyFill="1"/>
    <xf numFmtId="9" fontId="0" fillId="74" borderId="0" xfId="8" applyFont="1" applyFill="1"/>
    <xf numFmtId="9" fontId="31" fillId="74" borderId="0" xfId="8" applyFont="1" applyFill="1"/>
    <xf numFmtId="0" fontId="31" fillId="74" borderId="0" xfId="12" applyFont="1" applyFill="1"/>
    <xf numFmtId="17" fontId="4" fillId="75" borderId="0" xfId="0" applyNumberFormat="1" applyFont="1" applyFill="1"/>
    <xf numFmtId="0" fontId="0" fillId="75" borderId="0" xfId="0" applyFill="1"/>
    <xf numFmtId="0" fontId="4" fillId="75" borderId="0" xfId="0" applyFont="1" applyFill="1"/>
    <xf numFmtId="0" fontId="0" fillId="76" borderId="0" xfId="0" applyFill="1"/>
    <xf numFmtId="0" fontId="34" fillId="0" borderId="34" xfId="0" applyFont="1" applyBorder="1"/>
    <xf numFmtId="0" fontId="34" fillId="0" borderId="9" xfId="0" applyFont="1" applyBorder="1"/>
    <xf numFmtId="0" fontId="34" fillId="0" borderId="31" xfId="0" applyFont="1" applyBorder="1"/>
    <xf numFmtId="164" fontId="8" fillId="0" borderId="6" xfId="1" applyNumberFormat="1" applyFont="1" applyBorder="1" applyAlignment="1">
      <alignment horizontal="right" vertical="center"/>
    </xf>
    <xf numFmtId="164" fontId="4" fillId="20" borderId="6" xfId="1" applyNumberFormat="1" applyFont="1" applyFill="1" applyBorder="1" applyAlignment="1">
      <alignment horizontal="right" vertical="center"/>
    </xf>
    <xf numFmtId="164" fontId="4" fillId="0" borderId="6" xfId="1" applyNumberFormat="1" applyFont="1" applyBorder="1" applyAlignment="1">
      <alignment horizontal="right" vertical="center"/>
    </xf>
    <xf numFmtId="164" fontId="4" fillId="13" borderId="6" xfId="1" applyNumberFormat="1" applyFont="1" applyFill="1" applyBorder="1" applyAlignment="1">
      <alignment horizontal="right" vertical="center"/>
    </xf>
    <xf numFmtId="164" fontId="4" fillId="29" borderId="6" xfId="1" applyNumberFormat="1" applyFont="1" applyFill="1" applyBorder="1" applyAlignment="1">
      <alignment horizontal="right" vertical="center"/>
    </xf>
    <xf numFmtId="164" fontId="2" fillId="25" borderId="6" xfId="1" applyNumberFormat="1" applyFont="1" applyFill="1" applyBorder="1" applyAlignment="1">
      <alignment horizontal="right" vertical="center"/>
    </xf>
    <xf numFmtId="164" fontId="8" fillId="0" borderId="0" xfId="1" applyNumberFormat="1" applyFont="1" applyBorder="1" applyAlignment="1">
      <alignment horizontal="right" vertical="center"/>
    </xf>
    <xf numFmtId="164" fontId="2" fillId="25" borderId="35" xfId="1" applyNumberFormat="1" applyFont="1" applyFill="1" applyBorder="1" applyAlignment="1">
      <alignment horizontal="right" vertical="center"/>
    </xf>
    <xf numFmtId="0" fontId="8" fillId="0" borderId="0" xfId="11" applyNumberFormat="1" applyFont="1" applyFill="1" applyAlignment="1">
      <alignment horizontal="right" vertical="center"/>
    </xf>
    <xf numFmtId="166" fontId="8" fillId="0" borderId="0" xfId="11" applyNumberFormat="1" applyFont="1" applyFill="1" applyAlignment="1">
      <alignment horizontal="right" vertical="center"/>
    </xf>
    <xf numFmtId="164" fontId="5" fillId="75" borderId="0" xfId="1" applyNumberFormat="1" applyFont="1" applyFill="1" applyBorder="1" applyAlignment="1">
      <alignment horizontal="center" vertical="center"/>
    </xf>
    <xf numFmtId="164" fontId="5" fillId="75" borderId="0" xfId="4" applyFont="1" applyFill="1" applyBorder="1" applyAlignment="1">
      <alignment horizontal="center" vertical="center"/>
    </xf>
    <xf numFmtId="0" fontId="4" fillId="75" borderId="3" xfId="3" applyFont="1" applyFill="1" applyBorder="1" applyAlignment="1">
      <alignment horizontal="left" vertical="center"/>
    </xf>
    <xf numFmtId="164" fontId="1" fillId="75" borderId="3" xfId="1" applyNumberFormat="1" applyFont="1" applyFill="1" applyBorder="1" applyAlignment="1">
      <alignment horizontal="left" vertical="center"/>
    </xf>
    <xf numFmtId="164" fontId="8" fillId="75" borderId="3" xfId="1" applyNumberFormat="1" applyFont="1" applyFill="1" applyBorder="1" applyAlignment="1">
      <alignment horizontal="right" vertical="center"/>
    </xf>
    <xf numFmtId="164" fontId="4" fillId="75" borderId="6" xfId="1" applyNumberFormat="1" applyFont="1" applyFill="1" applyBorder="1" applyAlignment="1">
      <alignment horizontal="right" vertical="center"/>
    </xf>
    <xf numFmtId="164" fontId="4" fillId="75" borderId="3" xfId="1" applyNumberFormat="1" applyFont="1" applyFill="1" applyBorder="1" applyAlignment="1">
      <alignment horizontal="left" vertical="center"/>
    </xf>
    <xf numFmtId="164" fontId="4" fillId="75" borderId="3" xfId="1" applyNumberFormat="1" applyFont="1" applyFill="1" applyBorder="1" applyAlignment="1">
      <alignment horizontal="right" vertical="center"/>
    </xf>
    <xf numFmtId="164" fontId="8" fillId="75" borderId="6" xfId="1" applyNumberFormat="1" applyFont="1" applyFill="1" applyBorder="1" applyAlignment="1">
      <alignment horizontal="right" vertical="center"/>
    </xf>
    <xf numFmtId="164" fontId="4" fillId="75" borderId="3" xfId="2" applyNumberFormat="1" applyFont="1" applyFill="1" applyBorder="1" applyAlignment="1">
      <alignment horizontal="right" vertical="center"/>
    </xf>
    <xf numFmtId="164" fontId="1" fillId="75" borderId="3" xfId="1" applyNumberFormat="1" applyFont="1" applyFill="1" applyBorder="1" applyAlignment="1">
      <alignment horizontal="right" vertical="center"/>
    </xf>
    <xf numFmtId="164" fontId="1" fillId="75" borderId="6" xfId="1" applyNumberFormat="1" applyFont="1" applyFill="1" applyBorder="1" applyAlignment="1">
      <alignment horizontal="right" vertical="center"/>
    </xf>
    <xf numFmtId="164" fontId="9" fillId="75" borderId="3" xfId="1" applyNumberFormat="1" applyFont="1" applyFill="1" applyBorder="1" applyAlignment="1">
      <alignment horizontal="right" vertical="center"/>
    </xf>
    <xf numFmtId="164" fontId="4" fillId="75" borderId="3" xfId="3" applyNumberFormat="1" applyFont="1" applyFill="1" applyBorder="1" applyAlignment="1">
      <alignment horizontal="left" vertical="center"/>
    </xf>
    <xf numFmtId="164" fontId="2" fillId="75" borderId="3" xfId="1" applyNumberFormat="1" applyFont="1" applyFill="1" applyBorder="1" applyAlignment="1">
      <alignment horizontal="right" vertical="center"/>
    </xf>
    <xf numFmtId="164" fontId="10" fillId="75" borderId="3" xfId="1" applyNumberFormat="1" applyFont="1" applyFill="1" applyBorder="1" applyAlignment="1">
      <alignment horizontal="right" vertical="center"/>
    </xf>
    <xf numFmtId="164" fontId="9" fillId="75" borderId="6" xfId="1" applyNumberFormat="1" applyFont="1" applyFill="1" applyBorder="1" applyAlignment="1">
      <alignment horizontal="right" vertical="center"/>
    </xf>
    <xf numFmtId="164" fontId="1" fillId="75" borderId="3" xfId="3" applyNumberFormat="1" applyFill="1" applyBorder="1" applyAlignment="1">
      <alignment horizontal="left" vertical="center"/>
    </xf>
    <xf numFmtId="164" fontId="4" fillId="75" borderId="0" xfId="1" applyNumberFormat="1" applyFont="1" applyFill="1" applyBorder="1" applyAlignment="1">
      <alignment horizontal="right" vertical="center"/>
    </xf>
    <xf numFmtId="41" fontId="9" fillId="75" borderId="3" xfId="7" applyFont="1" applyFill="1" applyBorder="1" applyAlignment="1">
      <alignment horizontal="right" vertical="center"/>
    </xf>
    <xf numFmtId="41" fontId="8" fillId="75" borderId="3" xfId="7" applyFont="1" applyFill="1" applyBorder="1" applyAlignment="1">
      <alignment horizontal="right" vertical="center"/>
    </xf>
    <xf numFmtId="164" fontId="8" fillId="75" borderId="3" xfId="7" applyNumberFormat="1" applyFont="1" applyFill="1" applyBorder="1" applyAlignment="1">
      <alignment horizontal="right" vertical="center"/>
    </xf>
    <xf numFmtId="164" fontId="9" fillId="75" borderId="0" xfId="1" applyNumberFormat="1" applyFont="1" applyFill="1" applyBorder="1" applyAlignment="1">
      <alignment horizontal="right" vertical="center"/>
    </xf>
    <xf numFmtId="164" fontId="2" fillId="75" borderId="6" xfId="1" applyNumberFormat="1" applyFont="1" applyFill="1" applyBorder="1" applyAlignment="1">
      <alignment horizontal="right" vertical="center"/>
    </xf>
    <xf numFmtId="164" fontId="8" fillId="75" borderId="0" xfId="1" applyNumberFormat="1" applyFont="1" applyFill="1" applyBorder="1" applyAlignment="1">
      <alignment horizontal="right" vertical="center"/>
    </xf>
    <xf numFmtId="164" fontId="2" fillId="75" borderId="35" xfId="1" applyNumberFormat="1" applyFont="1" applyFill="1" applyBorder="1" applyAlignment="1">
      <alignment horizontal="right" vertical="center"/>
    </xf>
    <xf numFmtId="41" fontId="8" fillId="16" borderId="3" xfId="2" applyFont="1" applyFill="1" applyBorder="1" applyAlignment="1">
      <alignment horizontal="left" vertical="center"/>
    </xf>
    <xf numFmtId="0" fontId="1" fillId="16" borderId="3" xfId="3" applyFill="1" applyBorder="1" applyAlignment="1">
      <alignment horizontal="center" vertical="center"/>
    </xf>
    <xf numFmtId="0" fontId="1" fillId="16" borderId="0" xfId="3" applyFill="1"/>
    <xf numFmtId="164" fontId="1" fillId="16" borderId="6" xfId="1" applyNumberFormat="1" applyFont="1" applyFill="1" applyBorder="1" applyAlignment="1">
      <alignment horizontal="right" vertical="center"/>
    </xf>
    <xf numFmtId="164" fontId="1" fillId="36" borderId="3" xfId="1" applyNumberFormat="1" applyFont="1" applyFill="1" applyBorder="1" applyAlignment="1">
      <alignment horizontal="right" vertical="center"/>
    </xf>
    <xf numFmtId="169" fontId="4" fillId="0" borderId="0" xfId="3" applyNumberFormat="1" applyFont="1" applyAlignment="1">
      <alignment horizontal="right" vertical="center"/>
    </xf>
    <xf numFmtId="169" fontId="0" fillId="0" borderId="0" xfId="0" applyNumberFormat="1"/>
    <xf numFmtId="177" fontId="0" fillId="0" borderId="0" xfId="0" applyNumberFormat="1"/>
    <xf numFmtId="169" fontId="1" fillId="0" borderId="3" xfId="3" applyNumberFormat="1" applyBorder="1" applyAlignment="1">
      <alignment horizontal="left" vertical="center"/>
    </xf>
    <xf numFmtId="169" fontId="8" fillId="0" borderId="3" xfId="3" applyNumberFormat="1" applyFont="1" applyBorder="1" applyAlignment="1">
      <alignment horizontal="left" vertical="center"/>
    </xf>
    <xf numFmtId="169" fontId="8" fillId="12" borderId="3" xfId="3" applyNumberFormat="1" applyFont="1" applyFill="1" applyBorder="1" applyAlignment="1">
      <alignment horizontal="left" vertical="center"/>
    </xf>
    <xf numFmtId="169" fontId="1" fillId="0" borderId="0" xfId="3" applyNumberFormat="1" applyAlignment="1">
      <alignment horizontal="right" vertical="center"/>
    </xf>
    <xf numFmtId="169" fontId="5" fillId="2" borderId="2" xfId="1" applyNumberFormat="1" applyFont="1" applyFill="1" applyBorder="1" applyAlignment="1">
      <alignment horizontal="center" vertical="center"/>
    </xf>
    <xf numFmtId="169" fontId="5" fillId="37" borderId="2" xfId="1" applyNumberFormat="1" applyFont="1" applyFill="1" applyBorder="1" applyAlignment="1">
      <alignment horizontal="center" vertical="center"/>
    </xf>
    <xf numFmtId="169" fontId="5" fillId="2" borderId="4" xfId="4" quotePrefix="1" applyNumberFormat="1" applyFont="1" applyFill="1" applyBorder="1" applyAlignment="1">
      <alignment horizontal="center" vertical="center"/>
    </xf>
    <xf numFmtId="169" fontId="5" fillId="37" borderId="4" xfId="4" quotePrefix="1" applyNumberFormat="1" applyFont="1" applyFill="1" applyBorder="1" applyAlignment="1">
      <alignment horizontal="center" vertical="center"/>
    </xf>
    <xf numFmtId="169" fontId="4" fillId="0" borderId="3" xfId="3" applyNumberFormat="1" applyFont="1" applyBorder="1" applyAlignment="1">
      <alignment horizontal="left" vertical="center"/>
    </xf>
    <xf numFmtId="169" fontId="4" fillId="9" borderId="5" xfId="1" applyNumberFormat="1" applyFont="1" applyFill="1" applyBorder="1" applyAlignment="1">
      <alignment horizontal="right" vertical="center"/>
    </xf>
    <xf numFmtId="169" fontId="4" fillId="9" borderId="3" xfId="1" applyNumberFormat="1" applyFont="1" applyFill="1" applyBorder="1" applyAlignment="1">
      <alignment horizontal="right" vertical="center"/>
    </xf>
    <xf numFmtId="169" fontId="8" fillId="0" borderId="5" xfId="1" applyNumberFormat="1" applyFont="1" applyBorder="1" applyAlignment="1">
      <alignment horizontal="right" vertical="center"/>
    </xf>
    <xf numFmtId="169" fontId="4" fillId="13" borderId="3" xfId="1" applyNumberFormat="1" applyFont="1" applyFill="1" applyBorder="1" applyAlignment="1">
      <alignment horizontal="right" vertical="center"/>
    </xf>
    <xf numFmtId="169" fontId="9" fillId="0" borderId="3" xfId="3" applyNumberFormat="1" applyFont="1" applyBorder="1" applyAlignment="1">
      <alignment horizontal="left" vertical="center"/>
    </xf>
    <xf numFmtId="169" fontId="4" fillId="9" borderId="3" xfId="2" applyNumberFormat="1" applyFont="1" applyFill="1" applyBorder="1" applyAlignment="1">
      <alignment horizontal="right" vertical="center"/>
    </xf>
    <xf numFmtId="169" fontId="1" fillId="16" borderId="3" xfId="3" applyNumberFormat="1" applyFill="1" applyBorder="1" applyAlignment="1">
      <alignment horizontal="left" vertical="center"/>
    </xf>
    <xf numFmtId="169" fontId="1" fillId="12" borderId="3" xfId="3" applyNumberFormat="1" applyFill="1" applyBorder="1" applyAlignment="1">
      <alignment horizontal="left" vertical="center"/>
    </xf>
    <xf numFmtId="169" fontId="8" fillId="16" borderId="3" xfId="3" applyNumberFormat="1" applyFont="1" applyFill="1" applyBorder="1" applyAlignment="1">
      <alignment horizontal="left" vertical="center"/>
    </xf>
    <xf numFmtId="169" fontId="8" fillId="0" borderId="3" xfId="5" quotePrefix="1" applyNumberFormat="1" applyFont="1" applyBorder="1" applyAlignment="1">
      <alignment vertical="top" wrapText="1"/>
    </xf>
    <xf numFmtId="169" fontId="7" fillId="12" borderId="3" xfId="3" applyNumberFormat="1" applyFont="1" applyFill="1" applyBorder="1" applyAlignment="1">
      <alignment horizontal="left" vertical="center"/>
    </xf>
    <xf numFmtId="169" fontId="7" fillId="0" borderId="3" xfId="3" applyNumberFormat="1" applyFont="1" applyBorder="1" applyAlignment="1">
      <alignment horizontal="left" vertical="center"/>
    </xf>
    <xf numFmtId="169" fontId="4" fillId="9" borderId="3" xfId="3" applyNumberFormat="1" applyFont="1" applyFill="1" applyBorder="1" applyAlignment="1">
      <alignment horizontal="left" vertical="center"/>
    </xf>
    <xf numFmtId="169" fontId="4" fillId="20" borderId="3" xfId="3" applyNumberFormat="1" applyFont="1" applyFill="1" applyBorder="1" applyAlignment="1">
      <alignment horizontal="left" vertical="center"/>
    </xf>
    <xf numFmtId="169" fontId="4" fillId="20" borderId="5" xfId="1" applyNumberFormat="1" applyFont="1" applyFill="1" applyBorder="1" applyAlignment="1">
      <alignment horizontal="right" vertical="center"/>
    </xf>
    <xf numFmtId="169" fontId="4" fillId="17" borderId="3" xfId="3" applyNumberFormat="1" applyFont="1" applyFill="1" applyBorder="1" applyAlignment="1">
      <alignment horizontal="left" vertical="center"/>
    </xf>
    <xf numFmtId="169" fontId="4" fillId="22" borderId="3" xfId="1" applyNumberFormat="1" applyFont="1" applyFill="1" applyBorder="1" applyAlignment="1">
      <alignment horizontal="right" vertical="center"/>
    </xf>
    <xf numFmtId="169" fontId="2" fillId="25" borderId="3" xfId="1" applyNumberFormat="1" applyFont="1" applyFill="1" applyBorder="1" applyAlignment="1">
      <alignment horizontal="right" vertical="center"/>
    </xf>
    <xf numFmtId="169" fontId="0" fillId="0" borderId="3" xfId="0" applyNumberFormat="1" applyBorder="1"/>
    <xf numFmtId="169" fontId="10" fillId="0" borderId="3" xfId="3" applyNumberFormat="1" applyFont="1" applyBorder="1" applyAlignment="1">
      <alignment horizontal="left" vertical="center"/>
    </xf>
    <xf numFmtId="169" fontId="1" fillId="0" borderId="3" xfId="3" applyNumberFormat="1" applyBorder="1" applyAlignment="1">
      <alignment horizontal="left" vertical="center" indent="1"/>
    </xf>
    <xf numFmtId="169" fontId="3" fillId="0" borderId="3" xfId="3" applyNumberFormat="1" applyFont="1" applyBorder="1" applyAlignment="1">
      <alignment horizontal="left" vertical="center"/>
    </xf>
    <xf numFmtId="169" fontId="1" fillId="0" borderId="3" xfId="6" applyNumberFormat="1" applyBorder="1" applyAlignment="1">
      <alignment horizontal="left" vertical="center"/>
    </xf>
    <xf numFmtId="169" fontId="4" fillId="29" borderId="3" xfId="1" applyNumberFormat="1" applyFont="1" applyFill="1" applyBorder="1" applyAlignment="1">
      <alignment horizontal="right" vertical="center"/>
    </xf>
    <xf numFmtId="169" fontId="13" fillId="0" borderId="3" xfId="3" applyNumberFormat="1" applyFont="1" applyBorder="1" applyAlignment="1">
      <alignment horizontal="left" vertical="center"/>
    </xf>
    <xf numFmtId="169" fontId="4" fillId="0" borderId="3" xfId="3" applyNumberFormat="1" applyFont="1" applyBorder="1" applyAlignment="1">
      <alignment vertical="center"/>
    </xf>
    <xf numFmtId="169" fontId="1" fillId="0" borderId="3" xfId="3" applyNumberFormat="1" applyBorder="1" applyAlignment="1">
      <alignment vertical="center"/>
    </xf>
    <xf numFmtId="169" fontId="1" fillId="0" borderId="3" xfId="3" applyNumberFormat="1" applyBorder="1" applyAlignment="1">
      <alignment horizontal="left" vertical="center" indent="2"/>
    </xf>
    <xf numFmtId="169" fontId="10" fillId="16" borderId="3" xfId="3" applyNumberFormat="1" applyFont="1" applyFill="1" applyBorder="1" applyAlignment="1">
      <alignment horizontal="left" vertical="center"/>
    </xf>
    <xf numFmtId="169" fontId="9" fillId="33" borderId="6" xfId="1" applyNumberFormat="1" applyFont="1" applyFill="1" applyBorder="1" applyAlignment="1">
      <alignment horizontal="right" vertical="center"/>
    </xf>
    <xf numFmtId="169" fontId="4" fillId="33" borderId="3" xfId="1" applyNumberFormat="1" applyFont="1" applyFill="1" applyBorder="1" applyAlignment="1">
      <alignment horizontal="right" vertical="center"/>
    </xf>
    <xf numFmtId="169" fontId="1" fillId="34" borderId="3" xfId="3" applyNumberFormat="1" applyFill="1" applyBorder="1" applyAlignment="1">
      <alignment horizontal="left" vertical="center"/>
    </xf>
    <xf numFmtId="169" fontId="4" fillId="16" borderId="3" xfId="3" applyNumberFormat="1" applyFont="1" applyFill="1" applyBorder="1" applyAlignment="1">
      <alignment horizontal="left" vertical="center"/>
    </xf>
    <xf numFmtId="169" fontId="4" fillId="0" borderId="5" xfId="1" applyNumberFormat="1" applyFont="1" applyBorder="1" applyAlignment="1">
      <alignment horizontal="right" vertical="center"/>
    </xf>
    <xf numFmtId="169" fontId="4" fillId="35" borderId="0" xfId="1" applyNumberFormat="1" applyFont="1" applyFill="1" applyBorder="1" applyAlignment="1">
      <alignment horizontal="right" vertical="center"/>
    </xf>
    <xf numFmtId="169" fontId="9" fillId="0" borderId="3" xfId="2" applyNumberFormat="1" applyFont="1" applyFill="1" applyBorder="1" applyAlignment="1">
      <alignment horizontal="left" vertical="center"/>
    </xf>
    <xf numFmtId="169" fontId="9" fillId="35" borderId="0" xfId="1" applyNumberFormat="1" applyFont="1" applyFill="1" applyBorder="1" applyAlignment="1">
      <alignment horizontal="right" vertical="center"/>
    </xf>
    <xf numFmtId="169" fontId="9" fillId="0" borderId="3" xfId="3" applyNumberFormat="1" applyFont="1" applyBorder="1" applyAlignment="1">
      <alignment horizontal="left" vertical="center" wrapText="1"/>
    </xf>
    <xf numFmtId="169" fontId="8" fillId="0" borderId="3" xfId="3" applyNumberFormat="1" applyFont="1" applyBorder="1" applyAlignment="1">
      <alignment horizontal="left" vertical="center" wrapText="1"/>
    </xf>
    <xf numFmtId="169" fontId="8" fillId="12" borderId="3" xfId="3" applyNumberFormat="1" applyFont="1" applyFill="1" applyBorder="1" applyAlignment="1">
      <alignment horizontal="left" vertical="center" wrapText="1"/>
    </xf>
    <xf numFmtId="169" fontId="8" fillId="0" borderId="3" xfId="6" applyNumberFormat="1" applyFont="1" applyBorder="1" applyAlignment="1">
      <alignment horizontal="left" vertical="center" wrapText="1"/>
    </xf>
    <xf numFmtId="169" fontId="9" fillId="16" borderId="3" xfId="3" applyNumberFormat="1" applyFont="1" applyFill="1" applyBorder="1" applyAlignment="1">
      <alignment horizontal="left" vertical="center" wrapText="1"/>
    </xf>
    <xf numFmtId="169" fontId="4" fillId="9" borderId="6" xfId="1" applyNumberFormat="1" applyFont="1" applyFill="1" applyBorder="1" applyAlignment="1">
      <alignment horizontal="right" vertical="center"/>
    </xf>
    <xf numFmtId="169" fontId="4" fillId="13" borderId="5" xfId="1" applyNumberFormat="1" applyFont="1" applyFill="1" applyBorder="1" applyAlignment="1">
      <alignment horizontal="right" vertical="center"/>
    </xf>
    <xf numFmtId="169" fontId="4" fillId="29" borderId="5" xfId="1" applyNumberFormat="1" applyFont="1" applyFill="1" applyBorder="1" applyAlignment="1">
      <alignment horizontal="right" vertical="center"/>
    </xf>
    <xf numFmtId="169" fontId="2" fillId="25" borderId="5" xfId="1" applyNumberFormat="1" applyFont="1" applyFill="1" applyBorder="1" applyAlignment="1">
      <alignment horizontal="right" vertical="center"/>
    </xf>
    <xf numFmtId="169" fontId="4" fillId="0" borderId="3" xfId="1" applyNumberFormat="1" applyFont="1" applyBorder="1" applyAlignment="1">
      <alignment horizontal="right" vertical="center"/>
    </xf>
    <xf numFmtId="169" fontId="2" fillId="25" borderId="11" xfId="1" applyNumberFormat="1" applyFont="1" applyFill="1" applyBorder="1" applyAlignment="1">
      <alignment horizontal="right" vertical="center"/>
    </xf>
    <xf numFmtId="169" fontId="8" fillId="0" borderId="3" xfId="1" applyNumberFormat="1" applyFont="1" applyBorder="1" applyAlignment="1">
      <alignment horizontal="right" vertical="center"/>
    </xf>
    <xf numFmtId="169" fontId="2" fillId="25" borderId="10" xfId="1" applyNumberFormat="1" applyFont="1" applyFill="1" applyBorder="1" applyAlignment="1">
      <alignment horizontal="right" vertical="center"/>
    </xf>
    <xf numFmtId="164" fontId="1" fillId="0" borderId="0" xfId="3" applyNumberFormat="1" applyAlignment="1">
      <alignment horizontal="right" vertical="center"/>
    </xf>
    <xf numFmtId="164" fontId="7" fillId="12" borderId="3" xfId="2" applyNumberFormat="1" applyFont="1" applyFill="1" applyBorder="1" applyAlignment="1">
      <alignment horizontal="left" vertical="center"/>
    </xf>
    <xf numFmtId="164" fontId="10" fillId="0" borderId="0" xfId="3" applyNumberFormat="1" applyFont="1" applyAlignment="1">
      <alignment horizontal="right" vertical="center"/>
    </xf>
    <xf numFmtId="164" fontId="10" fillId="9" borderId="6" xfId="1" applyNumberFormat="1" applyFont="1" applyFill="1" applyBorder="1" applyAlignment="1">
      <alignment horizontal="right" vertical="center"/>
    </xf>
    <xf numFmtId="164" fontId="10" fillId="6" borderId="3" xfId="1" applyNumberFormat="1" applyFont="1" applyFill="1" applyBorder="1" applyAlignment="1">
      <alignment horizontal="left" vertical="center"/>
    </xf>
    <xf numFmtId="164" fontId="10" fillId="0" borderId="3" xfId="1" applyNumberFormat="1" applyFont="1" applyFill="1" applyBorder="1" applyAlignment="1">
      <alignment horizontal="left" vertical="center"/>
    </xf>
    <xf numFmtId="164" fontId="10" fillId="9" borderId="3" xfId="1" applyNumberFormat="1" applyFont="1" applyFill="1" applyBorder="1" applyAlignment="1">
      <alignment horizontal="right" vertical="center"/>
    </xf>
    <xf numFmtId="164" fontId="10" fillId="13" borderId="3" xfId="1" applyNumberFormat="1" applyFont="1" applyFill="1" applyBorder="1" applyAlignment="1">
      <alignment horizontal="right" vertical="center"/>
    </xf>
    <xf numFmtId="164" fontId="10" fillId="9" borderId="3" xfId="2" applyNumberFormat="1" applyFont="1" applyFill="1" applyBorder="1" applyAlignment="1">
      <alignment horizontal="right" vertical="center"/>
    </xf>
    <xf numFmtId="164" fontId="10" fillId="0" borderId="3" xfId="1" applyNumberFormat="1" applyFont="1" applyBorder="1" applyAlignment="1">
      <alignment horizontal="left" vertical="center"/>
    </xf>
    <xf numFmtId="164" fontId="10" fillId="20" borderId="6" xfId="1" applyNumberFormat="1" applyFont="1" applyFill="1" applyBorder="1" applyAlignment="1">
      <alignment horizontal="right" vertical="center"/>
    </xf>
    <xf numFmtId="164" fontId="10" fillId="22" borderId="3" xfId="1" applyNumberFormat="1" applyFont="1" applyFill="1" applyBorder="1" applyAlignment="1">
      <alignment horizontal="right" vertical="center"/>
    </xf>
    <xf numFmtId="164" fontId="10" fillId="25" borderId="3" xfId="1" applyNumberFormat="1" applyFont="1" applyFill="1" applyBorder="1" applyAlignment="1">
      <alignment horizontal="right" vertical="center"/>
    </xf>
    <xf numFmtId="164" fontId="10" fillId="0" borderId="3" xfId="1" applyNumberFormat="1" applyFont="1" applyBorder="1" applyAlignment="1">
      <alignment horizontal="right" vertical="center"/>
    </xf>
    <xf numFmtId="164" fontId="10" fillId="29" borderId="3" xfId="1" applyNumberFormat="1" applyFont="1" applyFill="1" applyBorder="1" applyAlignment="1">
      <alignment horizontal="right" vertical="center"/>
    </xf>
    <xf numFmtId="164" fontId="10" fillId="33" borderId="6" xfId="1" applyNumberFormat="1" applyFont="1" applyFill="1" applyBorder="1" applyAlignment="1">
      <alignment horizontal="right" vertical="center"/>
    </xf>
    <xf numFmtId="164" fontId="10" fillId="33" borderId="3" xfId="1" applyNumberFormat="1" applyFont="1" applyFill="1" applyBorder="1" applyAlignment="1">
      <alignment horizontal="right" vertical="center"/>
    </xf>
    <xf numFmtId="164" fontId="10" fillId="0" borderId="6" xfId="1" applyNumberFormat="1" applyFont="1" applyBorder="1" applyAlignment="1">
      <alignment horizontal="right" vertical="center"/>
    </xf>
    <xf numFmtId="164" fontId="10" fillId="35" borderId="0" xfId="1" applyNumberFormat="1" applyFont="1" applyFill="1" applyBorder="1" applyAlignment="1">
      <alignment horizontal="right" vertical="center"/>
    </xf>
    <xf numFmtId="41" fontId="10" fillId="0" borderId="3" xfId="7" applyFont="1" applyFill="1" applyBorder="1" applyAlignment="1">
      <alignment horizontal="right" vertical="center"/>
    </xf>
    <xf numFmtId="164" fontId="10" fillId="13" borderId="6" xfId="1" applyNumberFormat="1" applyFont="1" applyFill="1" applyBorder="1" applyAlignment="1">
      <alignment horizontal="right" vertical="center"/>
    </xf>
    <xf numFmtId="164" fontId="10" fillId="29" borderId="6" xfId="1" applyNumberFormat="1" applyFont="1" applyFill="1" applyBorder="1" applyAlignment="1">
      <alignment horizontal="right" vertical="center"/>
    </xf>
    <xf numFmtId="164" fontId="10" fillId="25" borderId="6" xfId="1" applyNumberFormat="1" applyFont="1" applyFill="1" applyBorder="1" applyAlignment="1">
      <alignment horizontal="right" vertical="center"/>
    </xf>
    <xf numFmtId="164" fontId="10" fillId="25" borderId="35" xfId="1" applyNumberFormat="1" applyFont="1" applyFill="1" applyBorder="1" applyAlignment="1">
      <alignment horizontal="right" vertical="center"/>
    </xf>
    <xf numFmtId="0" fontId="10" fillId="0" borderId="0" xfId="3" applyFont="1" applyAlignment="1">
      <alignment horizontal="left" vertical="center"/>
    </xf>
    <xf numFmtId="0" fontId="10" fillId="0" borderId="0" xfId="11" applyNumberFormat="1" applyFont="1" applyAlignment="1">
      <alignment horizontal="right" vertical="center"/>
    </xf>
    <xf numFmtId="167" fontId="10" fillId="0" borderId="0" xfId="3" applyNumberFormat="1" applyFont="1" applyAlignment="1">
      <alignment horizontal="right" vertical="center"/>
    </xf>
    <xf numFmtId="166" fontId="10" fillId="0" borderId="0" xfId="11" applyNumberFormat="1" applyFont="1" applyAlignment="1">
      <alignment horizontal="right" vertical="center"/>
    </xf>
    <xf numFmtId="164" fontId="10" fillId="16" borderId="3" xfId="1" applyNumberFormat="1" applyFont="1" applyFill="1" applyBorder="1" applyAlignment="1">
      <alignment horizontal="right" vertical="center"/>
    </xf>
    <xf numFmtId="164" fontId="10" fillId="0" borderId="6" xfId="1" applyNumberFormat="1" applyFont="1" applyFill="1" applyBorder="1" applyAlignment="1">
      <alignment horizontal="right" vertical="center"/>
    </xf>
    <xf numFmtId="164" fontId="10" fillId="17" borderId="3" xfId="1" applyNumberFormat="1" applyFont="1" applyFill="1" applyBorder="1" applyAlignment="1">
      <alignment horizontal="right" vertical="center"/>
    </xf>
    <xf numFmtId="164" fontId="10" fillId="0" borderId="3" xfId="7" applyNumberFormat="1" applyFont="1" applyFill="1" applyBorder="1" applyAlignment="1">
      <alignment horizontal="right" vertical="center"/>
    </xf>
    <xf numFmtId="164" fontId="10" fillId="36" borderId="3" xfId="1" applyNumberFormat="1" applyFont="1" applyFill="1" applyBorder="1" applyAlignment="1">
      <alignment horizontal="right" vertical="center"/>
    </xf>
    <xf numFmtId="164" fontId="10" fillId="0" borderId="0" xfId="1" applyNumberFormat="1" applyFont="1" applyBorder="1" applyAlignment="1">
      <alignment horizontal="right" vertical="center"/>
    </xf>
    <xf numFmtId="164" fontId="9" fillId="16" borderId="3" xfId="1" applyNumberFormat="1" applyFont="1" applyFill="1" applyBorder="1" applyAlignment="1">
      <alignment horizontal="right" vertical="center"/>
    </xf>
    <xf numFmtId="164" fontId="4" fillId="14" borderId="3" xfId="1" applyNumberFormat="1" applyFont="1" applyFill="1" applyBorder="1" applyAlignment="1">
      <alignment horizontal="left" vertical="center"/>
    </xf>
    <xf numFmtId="166" fontId="20" fillId="34" borderId="0" xfId="1" applyNumberFormat="1" applyFont="1" applyFill="1" applyBorder="1" applyAlignment="1"/>
    <xf numFmtId="166" fontId="20" fillId="34" borderId="0" xfId="1" applyNumberFormat="1" applyFont="1" applyFill="1" applyBorder="1" applyAlignment="1">
      <alignment horizontal="center"/>
    </xf>
    <xf numFmtId="166" fontId="20" fillId="34" borderId="0" xfId="1" applyNumberFormat="1" applyFont="1" applyFill="1" applyAlignment="1">
      <alignment horizontal="center"/>
    </xf>
    <xf numFmtId="0" fontId="34" fillId="0" borderId="0" xfId="0" applyFont="1" applyAlignment="1">
      <alignment vertical="center" wrapText="1"/>
    </xf>
    <xf numFmtId="0" fontId="85" fillId="28" borderId="0" xfId="3" applyFont="1" applyFill="1" applyAlignment="1">
      <alignment horizontal="left" vertical="center"/>
    </xf>
    <xf numFmtId="0" fontId="85" fillId="28" borderId="0" xfId="3" applyFont="1" applyFill="1" applyAlignment="1">
      <alignment horizontal="center" vertical="center"/>
    </xf>
    <xf numFmtId="0" fontId="85" fillId="0" borderId="0" xfId="0" quotePrefix="1" applyFont="1" applyAlignment="1">
      <alignment horizontal="center"/>
    </xf>
    <xf numFmtId="0" fontId="85" fillId="0" borderId="0" xfId="0" applyFont="1"/>
    <xf numFmtId="0" fontId="73" fillId="28" borderId="0" xfId="3" applyFont="1" applyFill="1"/>
    <xf numFmtId="0" fontId="86" fillId="28" borderId="0" xfId="3" applyFont="1" applyFill="1"/>
    <xf numFmtId="0" fontId="85" fillId="0" borderId="15" xfId="0" quotePrefix="1" applyFont="1" applyBorder="1" applyAlignment="1">
      <alignment horizontal="center"/>
    </xf>
    <xf numFmtId="0" fontId="85" fillId="28" borderId="0" xfId="4" quotePrefix="1" applyNumberFormat="1" applyFont="1" applyFill="1" applyBorder="1" applyAlignment="1">
      <alignment horizontal="center" vertical="center"/>
    </xf>
    <xf numFmtId="0" fontId="73" fillId="28" borderId="0" xfId="3" applyFont="1" applyFill="1" applyAlignment="1">
      <alignment horizontal="left" vertical="center"/>
    </xf>
    <xf numFmtId="164" fontId="56" fillId="28" borderId="0" xfId="1" applyNumberFormat="1" applyFont="1" applyFill="1" applyBorder="1" applyAlignment="1">
      <alignment horizontal="right" vertical="center"/>
    </xf>
    <xf numFmtId="0" fontId="87" fillId="28" borderId="0" xfId="3" applyFont="1" applyFill="1" applyAlignment="1">
      <alignment horizontal="left" vertical="center"/>
    </xf>
    <xf numFmtId="0" fontId="86" fillId="28" borderId="0" xfId="3" applyFont="1" applyFill="1" applyAlignment="1">
      <alignment horizontal="left" vertical="center"/>
    </xf>
    <xf numFmtId="0" fontId="56" fillId="28" borderId="0" xfId="3" applyFont="1" applyFill="1" applyAlignment="1">
      <alignment horizontal="left" vertical="center"/>
    </xf>
    <xf numFmtId="0" fontId="88" fillId="28" borderId="0" xfId="3" applyFont="1" applyFill="1" applyAlignment="1">
      <alignment horizontal="left" vertical="center"/>
    </xf>
    <xf numFmtId="164" fontId="56" fillId="28" borderId="15" xfId="1" applyNumberFormat="1" applyFont="1" applyFill="1" applyBorder="1" applyAlignment="1">
      <alignment horizontal="right" vertical="center"/>
    </xf>
    <xf numFmtId="0" fontId="89" fillId="28" borderId="0" xfId="3" applyFont="1" applyFill="1" applyAlignment="1">
      <alignment horizontal="left" vertical="center"/>
    </xf>
    <xf numFmtId="164" fontId="89" fillId="28" borderId="0" xfId="1" applyNumberFormat="1" applyFont="1" applyFill="1" applyBorder="1" applyAlignment="1">
      <alignment horizontal="right" vertical="center"/>
    </xf>
    <xf numFmtId="0" fontId="85" fillId="28" borderId="0" xfId="3" applyFont="1" applyFill="1"/>
    <xf numFmtId="0" fontId="90" fillId="28" borderId="0" xfId="3" applyFont="1" applyFill="1" applyAlignment="1">
      <alignment horizontal="left" vertical="center"/>
    </xf>
    <xf numFmtId="164" fontId="56" fillId="77" borderId="15" xfId="1" applyNumberFormat="1" applyFont="1" applyFill="1" applyBorder="1" applyAlignment="1">
      <alignment horizontal="right" vertical="center"/>
    </xf>
    <xf numFmtId="164" fontId="56" fillId="77" borderId="0" xfId="1" applyNumberFormat="1" applyFont="1" applyFill="1" applyBorder="1" applyAlignment="1">
      <alignment horizontal="right" vertical="center"/>
    </xf>
    <xf numFmtId="164" fontId="89" fillId="28" borderId="18" xfId="1" applyNumberFormat="1" applyFont="1" applyFill="1" applyBorder="1" applyAlignment="1">
      <alignment horizontal="right" vertical="center"/>
    </xf>
    <xf numFmtId="164" fontId="56" fillId="78" borderId="15" xfId="1" applyNumberFormat="1" applyFont="1" applyFill="1" applyBorder="1" applyAlignment="1">
      <alignment horizontal="right" vertical="center"/>
    </xf>
    <xf numFmtId="0" fontId="85" fillId="28" borderId="0" xfId="7" applyNumberFormat="1" applyFont="1" applyFill="1" applyBorder="1" applyAlignment="1">
      <alignment horizontal="left" vertical="center"/>
    </xf>
    <xf numFmtId="41" fontId="89" fillId="28" borderId="0" xfId="7" applyFont="1" applyFill="1" applyBorder="1" applyAlignment="1">
      <alignment horizontal="left" vertical="center"/>
    </xf>
    <xf numFmtId="164" fontId="89" fillId="28" borderId="0" xfId="7" applyNumberFormat="1" applyFont="1" applyFill="1" applyBorder="1" applyAlignment="1">
      <alignment horizontal="right" vertical="center"/>
    </xf>
    <xf numFmtId="41" fontId="85" fillId="28" borderId="0" xfId="7" applyFont="1" applyFill="1" applyBorder="1"/>
    <xf numFmtId="0" fontId="87" fillId="28" borderId="0" xfId="7" applyNumberFormat="1" applyFont="1" applyFill="1" applyBorder="1" applyAlignment="1">
      <alignment horizontal="left" vertical="center"/>
    </xf>
    <xf numFmtId="41" fontId="90" fillId="28" borderId="0" xfId="7" applyFont="1" applyFill="1" applyBorder="1" applyAlignment="1">
      <alignment horizontal="left" vertical="center"/>
    </xf>
    <xf numFmtId="0" fontId="85" fillId="79" borderId="0" xfId="3" applyFont="1" applyFill="1" applyAlignment="1">
      <alignment horizontal="left" vertical="center"/>
    </xf>
    <xf numFmtId="0" fontId="89" fillId="79" borderId="0" xfId="3" applyFont="1" applyFill="1" applyAlignment="1">
      <alignment horizontal="left" vertical="center"/>
    </xf>
    <xf numFmtId="164" fontId="89" fillId="79" borderId="0" xfId="1" applyNumberFormat="1" applyFont="1" applyFill="1" applyBorder="1" applyAlignment="1">
      <alignment horizontal="right" vertical="center"/>
    </xf>
    <xf numFmtId="0" fontId="85" fillId="79" borderId="0" xfId="3" applyFont="1" applyFill="1"/>
    <xf numFmtId="0" fontId="87" fillId="79" borderId="0" xfId="3" applyFont="1" applyFill="1" applyAlignment="1">
      <alignment horizontal="left" vertical="center"/>
    </xf>
    <xf numFmtId="0" fontId="90" fillId="79" borderId="0" xfId="3" applyFont="1" applyFill="1" applyAlignment="1">
      <alignment horizontal="left" vertical="center"/>
    </xf>
    <xf numFmtId="0" fontId="56" fillId="79" borderId="0" xfId="3" applyFont="1" applyFill="1" applyAlignment="1">
      <alignment horizontal="left" vertical="center"/>
    </xf>
    <xf numFmtId="164" fontId="56" fillId="79" borderId="0" xfId="1" applyNumberFormat="1" applyFont="1" applyFill="1" applyBorder="1" applyAlignment="1">
      <alignment horizontal="right" vertical="center"/>
    </xf>
    <xf numFmtId="0" fontId="88" fillId="79" borderId="0" xfId="3" applyFont="1" applyFill="1" applyAlignment="1">
      <alignment horizontal="left" vertical="center"/>
    </xf>
    <xf numFmtId="164" fontId="56" fillId="79" borderId="15" xfId="1" applyNumberFormat="1" applyFont="1" applyFill="1" applyBorder="1" applyAlignment="1">
      <alignment horizontal="right" vertical="center"/>
    </xf>
    <xf numFmtId="0" fontId="85" fillId="28" borderId="0" xfId="7" applyNumberFormat="1" applyFont="1" applyFill="1" applyBorder="1" applyAlignment="1">
      <alignment vertical="center"/>
    </xf>
    <xf numFmtId="0" fontId="87" fillId="28" borderId="0" xfId="7" applyNumberFormat="1" applyFont="1" applyFill="1" applyBorder="1" applyAlignment="1">
      <alignment vertical="center"/>
    </xf>
    <xf numFmtId="164" fontId="56" fillId="4" borderId="0" xfId="1" applyNumberFormat="1" applyFont="1" applyFill="1" applyBorder="1" applyAlignment="1">
      <alignment horizontal="right" vertical="center"/>
    </xf>
    <xf numFmtId="0" fontId="85" fillId="28" borderId="0" xfId="3" applyFont="1" applyFill="1" applyAlignment="1">
      <alignment vertical="center"/>
    </xf>
    <xf numFmtId="0" fontId="87" fillId="28" borderId="0" xfId="3" applyFont="1" applyFill="1" applyAlignment="1">
      <alignment vertical="center"/>
    </xf>
    <xf numFmtId="0" fontId="85" fillId="28" borderId="0" xfId="3" applyFont="1" applyFill="1" applyAlignment="1">
      <alignment horizontal="left" vertical="center" indent="2"/>
    </xf>
    <xf numFmtId="0" fontId="87" fillId="28" borderId="0" xfId="3" applyFont="1" applyFill="1" applyAlignment="1">
      <alignment horizontal="left" vertical="center" indent="2"/>
    </xf>
    <xf numFmtId="164" fontId="89" fillId="28" borderId="15" xfId="1" applyNumberFormat="1" applyFont="1" applyFill="1" applyBorder="1" applyAlignment="1">
      <alignment horizontal="right" vertical="center"/>
    </xf>
    <xf numFmtId="0" fontId="87" fillId="28" borderId="0" xfId="1" applyNumberFormat="1" applyFont="1" applyFill="1" applyBorder="1" applyAlignment="1">
      <alignment horizontal="left" vertical="center"/>
    </xf>
    <xf numFmtId="0" fontId="86" fillId="28" borderId="0" xfId="1" applyNumberFormat="1" applyFont="1" applyFill="1" applyBorder="1" applyAlignment="1">
      <alignment horizontal="left" vertical="center"/>
    </xf>
    <xf numFmtId="0" fontId="73" fillId="28" borderId="0" xfId="1" applyNumberFormat="1" applyFont="1" applyFill="1" applyBorder="1" applyAlignment="1">
      <alignment horizontal="left" vertical="center"/>
    </xf>
    <xf numFmtId="0" fontId="86" fillId="28" borderId="0" xfId="3" applyFont="1" applyFill="1" applyAlignment="1">
      <alignment horizontal="left" vertical="center" indent="2"/>
    </xf>
    <xf numFmtId="164" fontId="85" fillId="28" borderId="0" xfId="1" applyNumberFormat="1" applyFont="1" applyFill="1" applyBorder="1" applyAlignment="1">
      <alignment horizontal="right" vertical="center"/>
    </xf>
    <xf numFmtId="164" fontId="56" fillId="28" borderId="0" xfId="1" applyNumberFormat="1" applyFont="1" applyFill="1" applyBorder="1" applyAlignment="1">
      <alignment horizontal="left" vertical="center"/>
    </xf>
    <xf numFmtId="0" fontId="91" fillId="0" borderId="0" xfId="0" applyFont="1"/>
    <xf numFmtId="164" fontId="3" fillId="0" borderId="0" xfId="0" applyNumberFormat="1" applyFont="1"/>
    <xf numFmtId="0" fontId="3" fillId="0" borderId="0" xfId="0" applyFont="1"/>
    <xf numFmtId="0" fontId="91" fillId="0" borderId="0" xfId="0" applyFont="1" applyAlignment="1">
      <alignment horizontal="right"/>
    </xf>
    <xf numFmtId="41" fontId="0" fillId="0" borderId="0" xfId="0" applyNumberFormat="1"/>
    <xf numFmtId="41" fontId="91" fillId="0" borderId="0" xfId="0" applyNumberFormat="1" applyFont="1"/>
    <xf numFmtId="164" fontId="91" fillId="0" borderId="0" xfId="0" applyNumberFormat="1" applyFont="1"/>
    <xf numFmtId="176" fontId="91" fillId="0" borderId="0" xfId="0" applyNumberFormat="1" applyFont="1"/>
    <xf numFmtId="178" fontId="8" fillId="0" borderId="3" xfId="3" applyNumberFormat="1" applyFont="1" applyBorder="1" applyAlignment="1">
      <alignment horizontal="left" vertical="center"/>
    </xf>
    <xf numFmtId="169" fontId="8" fillId="74" borderId="3" xfId="3" applyNumberFormat="1" applyFont="1" applyFill="1" applyBorder="1" applyAlignment="1">
      <alignment horizontal="left" vertical="center"/>
    </xf>
    <xf numFmtId="49" fontId="37" fillId="0" borderId="0" xfId="0" applyNumberFormat="1" applyFont="1" applyAlignment="1">
      <alignment horizontal="left" vertical="top" indent="4"/>
    </xf>
    <xf numFmtId="179" fontId="60" fillId="0" borderId="18" xfId="0" applyNumberFormat="1" applyFont="1" applyBorder="1" applyAlignment="1">
      <alignment horizontal="right" vertical="top"/>
    </xf>
    <xf numFmtId="180" fontId="60" fillId="0" borderId="18" xfId="0" applyNumberFormat="1" applyFont="1" applyBorder="1" applyAlignment="1">
      <alignment horizontal="right" vertical="top"/>
    </xf>
    <xf numFmtId="49" fontId="59" fillId="0" borderId="0" xfId="0" applyNumberFormat="1" applyFont="1" applyAlignment="1">
      <alignment horizontal="left" vertical="top" indent="4"/>
    </xf>
    <xf numFmtId="179" fontId="59" fillId="0" borderId="0" xfId="0" applyNumberFormat="1" applyFont="1" applyAlignment="1">
      <alignment horizontal="right" vertical="top"/>
    </xf>
    <xf numFmtId="180" fontId="34" fillId="0" borderId="0" xfId="0" applyNumberFormat="1" applyFont="1" applyAlignment="1">
      <alignment horizontal="right" vertical="top"/>
    </xf>
    <xf numFmtId="49" fontId="59" fillId="0" borderId="0" xfId="0" applyNumberFormat="1" applyFont="1" applyAlignment="1">
      <alignment horizontal="left" vertical="top" indent="5"/>
    </xf>
    <xf numFmtId="181" fontId="34" fillId="0" borderId="0" xfId="0" applyNumberFormat="1" applyFont="1" applyAlignment="1">
      <alignment horizontal="right" vertical="top"/>
    </xf>
    <xf numFmtId="181" fontId="59" fillId="0" borderId="0" xfId="0" applyNumberFormat="1" applyFont="1" applyAlignment="1">
      <alignment horizontal="right" vertical="top"/>
    </xf>
    <xf numFmtId="49" fontId="37" fillId="0" borderId="0" xfId="0" applyNumberFormat="1" applyFont="1" applyAlignment="1">
      <alignment horizontal="left" vertical="top" indent="2"/>
    </xf>
    <xf numFmtId="179" fontId="37" fillId="0" borderId="18" xfId="0" applyNumberFormat="1" applyFont="1" applyBorder="1" applyAlignment="1">
      <alignment horizontal="right" vertical="top"/>
    </xf>
    <xf numFmtId="180" fontId="37" fillId="0" borderId="18" xfId="0" applyNumberFormat="1" applyFont="1" applyBorder="1" applyAlignment="1">
      <alignment horizontal="right" vertical="top"/>
    </xf>
    <xf numFmtId="179" fontId="60" fillId="0" borderId="15" xfId="0" applyNumberFormat="1" applyFont="1" applyBorder="1" applyAlignment="1">
      <alignment horizontal="right" vertical="top"/>
    </xf>
    <xf numFmtId="180" fontId="60" fillId="0" borderId="15" xfId="0" applyNumberFormat="1" applyFont="1" applyBorder="1" applyAlignment="1">
      <alignment horizontal="right" vertical="top"/>
    </xf>
    <xf numFmtId="179" fontId="37" fillId="0" borderId="15" xfId="0" applyNumberFormat="1" applyFont="1" applyBorder="1" applyAlignment="1">
      <alignment horizontal="right" vertical="top"/>
    </xf>
    <xf numFmtId="180" fontId="37" fillId="0" borderId="15" xfId="0" applyNumberFormat="1" applyFont="1" applyBorder="1" applyAlignment="1">
      <alignment horizontal="right" vertical="top"/>
    </xf>
    <xf numFmtId="181" fontId="37" fillId="0" borderId="15" xfId="0" applyNumberFormat="1" applyFont="1" applyBorder="1" applyAlignment="1">
      <alignment horizontal="right" vertical="top"/>
    </xf>
    <xf numFmtId="181" fontId="60" fillId="0" borderId="18" xfId="0" applyNumberFormat="1" applyFont="1" applyBorder="1" applyAlignment="1">
      <alignment horizontal="right" vertical="top"/>
    </xf>
    <xf numFmtId="182" fontId="59" fillId="0" borderId="0" xfId="0" applyNumberFormat="1" applyFont="1" applyAlignment="1">
      <alignment horizontal="right" vertical="top"/>
    </xf>
    <xf numFmtId="0" fontId="0" fillId="0" borderId="0" xfId="0" applyAlignment="1">
      <alignment horizontal="left"/>
    </xf>
    <xf numFmtId="49" fontId="37" fillId="76" borderId="0" xfId="0" applyNumberFormat="1" applyFont="1" applyFill="1" applyAlignment="1">
      <alignment horizontal="left" vertical="top" indent="4"/>
    </xf>
    <xf numFmtId="0" fontId="57" fillId="0" borderId="0" xfId="0" applyFont="1" applyAlignment="1">
      <alignment vertical="center" wrapText="1"/>
    </xf>
    <xf numFmtId="0" fontId="80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 wrapText="1"/>
    </xf>
    <xf numFmtId="0" fontId="80" fillId="0" borderId="0" xfId="0" applyFont="1" applyAlignment="1">
      <alignment horizontal="right"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right" vertical="center" wrapText="1"/>
    </xf>
    <xf numFmtId="0" fontId="34" fillId="0" borderId="0" xfId="0" applyFont="1" applyAlignment="1">
      <alignment horizontal="justify" vertical="center" wrapText="1"/>
    </xf>
    <xf numFmtId="0" fontId="80" fillId="0" borderId="0" xfId="0" applyFont="1" applyAlignment="1">
      <alignment horizontal="justify" vertical="center" wrapText="1"/>
    </xf>
    <xf numFmtId="0" fontId="92" fillId="0" borderId="0" xfId="0" applyFont="1" applyAlignment="1">
      <alignment vertical="center" wrapText="1"/>
    </xf>
    <xf numFmtId="0" fontId="92" fillId="0" borderId="0" xfId="0" applyFont="1" applyAlignment="1">
      <alignment horizontal="right" vertical="center" wrapText="1"/>
    </xf>
    <xf numFmtId="0" fontId="82" fillId="0" borderId="0" xfId="0" applyFont="1" applyAlignment="1">
      <alignment horizontal="justify" vertical="center" wrapText="1"/>
    </xf>
    <xf numFmtId="0" fontId="59" fillId="0" borderId="0" xfId="0" applyFont="1" applyAlignment="1">
      <alignment horizontal="justify" vertical="center" wrapText="1"/>
    </xf>
    <xf numFmtId="41" fontId="34" fillId="0" borderId="0" xfId="2" applyFont="1" applyAlignment="1">
      <alignment horizontal="right" vertical="center" wrapText="1"/>
    </xf>
    <xf numFmtId="0" fontId="81" fillId="0" borderId="0" xfId="0" applyFont="1" applyAlignment="1">
      <alignment horizontal="justify" vertical="center" wrapText="1"/>
    </xf>
    <xf numFmtId="0" fontId="62" fillId="0" borderId="0" xfId="0" applyFont="1" applyAlignment="1">
      <alignment horizontal="justify" vertical="center" wrapText="1"/>
    </xf>
    <xf numFmtId="0" fontId="61" fillId="0" borderId="0" xfId="0" applyFont="1" applyAlignment="1">
      <alignment horizontal="right" vertical="center" wrapText="1"/>
    </xf>
    <xf numFmtId="0" fontId="83" fillId="0" borderId="0" xfId="0" applyFont="1" applyAlignment="1">
      <alignment horizontal="justify" vertical="center" wrapText="1"/>
    </xf>
    <xf numFmtId="0" fontId="80" fillId="0" borderId="0" xfId="0" applyFont="1" applyAlignment="1">
      <alignment vertical="center" wrapText="1"/>
    </xf>
    <xf numFmtId="41" fontId="57" fillId="0" borderId="0" xfId="2" applyFont="1" applyAlignment="1">
      <alignment horizontal="center" vertical="center" wrapText="1"/>
    </xf>
    <xf numFmtId="41" fontId="80" fillId="0" borderId="16" xfId="2" applyFont="1" applyBorder="1" applyAlignment="1">
      <alignment horizontal="center" vertical="center" wrapText="1"/>
    </xf>
    <xf numFmtId="41" fontId="37" fillId="0" borderId="0" xfId="2" applyFont="1" applyAlignment="1">
      <alignment horizontal="center" vertical="center" wrapText="1"/>
    </xf>
    <xf numFmtId="41" fontId="60" fillId="0" borderId="0" xfId="2" applyFont="1" applyAlignment="1">
      <alignment horizontal="center" vertical="center" wrapText="1"/>
    </xf>
    <xf numFmtId="41" fontId="92" fillId="0" borderId="0" xfId="2" applyFont="1" applyAlignment="1">
      <alignment horizontal="right" vertical="center" wrapText="1"/>
    </xf>
    <xf numFmtId="41" fontId="37" fillId="0" borderId="0" xfId="2" applyFont="1" applyAlignment="1">
      <alignment horizontal="right" vertical="center" wrapText="1"/>
    </xf>
    <xf numFmtId="41" fontId="34" fillId="0" borderId="16" xfId="2" applyFont="1" applyBorder="1" applyAlignment="1">
      <alignment horizontal="right" vertical="center" wrapText="1"/>
    </xf>
    <xf numFmtId="41" fontId="37" fillId="0" borderId="16" xfId="2" applyFont="1" applyBorder="1" applyAlignment="1">
      <alignment horizontal="right" vertical="center" wrapText="1"/>
    </xf>
    <xf numFmtId="41" fontId="61" fillId="0" borderId="37" xfId="2" applyFont="1" applyBorder="1" applyAlignment="1">
      <alignment horizontal="right" vertical="center" wrapText="1"/>
    </xf>
    <xf numFmtId="41" fontId="37" fillId="0" borderId="19" xfId="2" applyFont="1" applyBorder="1" applyAlignment="1">
      <alignment horizontal="right" vertical="center" wrapText="1"/>
    </xf>
    <xf numFmtId="0" fontId="57" fillId="0" borderId="0" xfId="0" applyFont="1" applyAlignment="1">
      <alignment horizontal="justify" vertical="center" wrapText="1"/>
    </xf>
    <xf numFmtId="0" fontId="39" fillId="0" borderId="0" xfId="0" applyFont="1" applyAlignment="1">
      <alignment horizontal="justify" vertical="center" wrapText="1"/>
    </xf>
    <xf numFmtId="0" fontId="37" fillId="0" borderId="0" xfId="0" applyFont="1" applyAlignment="1">
      <alignment horizontal="justify" vertical="center" wrapText="1"/>
    </xf>
    <xf numFmtId="0" fontId="93" fillId="0" borderId="0" xfId="0" applyFont="1" applyAlignment="1">
      <alignment horizontal="justify" vertical="center" wrapText="1"/>
    </xf>
    <xf numFmtId="3" fontId="0" fillId="0" borderId="0" xfId="0" applyNumberFormat="1"/>
    <xf numFmtId="3" fontId="8" fillId="0" borderId="0" xfId="3" applyNumberFormat="1" applyFont="1" applyAlignment="1">
      <alignment horizontal="left" vertical="center"/>
    </xf>
    <xf numFmtId="4" fontId="34" fillId="0" borderId="0" xfId="0" applyNumberFormat="1" applyFont="1"/>
    <xf numFmtId="3" fontId="37" fillId="0" borderId="0" xfId="0" applyNumberFormat="1" applyFont="1" applyAlignment="1">
      <alignment horizontal="right"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justify" vertical="center" wrapText="1"/>
    </xf>
    <xf numFmtId="41" fontId="0" fillId="0" borderId="0" xfId="2" applyFont="1" applyFill="1"/>
    <xf numFmtId="0" fontId="4" fillId="80" borderId="0" xfId="0" applyFont="1" applyFill="1"/>
    <xf numFmtId="0" fontId="0" fillId="80" borderId="0" xfId="0" applyFill="1"/>
    <xf numFmtId="0" fontId="0" fillId="0" borderId="0" xfId="0" applyAlignment="1">
      <alignment horizontal="right"/>
    </xf>
    <xf numFmtId="164" fontId="0" fillId="0" borderId="0" xfId="4" applyFont="1"/>
    <xf numFmtId="164" fontId="4" fillId="0" borderId="20" xfId="4" applyFont="1" applyBorder="1"/>
    <xf numFmtId="41" fontId="4" fillId="80" borderId="0" xfId="2" applyFont="1" applyFill="1"/>
    <xf numFmtId="41" fontId="0" fillId="80" borderId="0" xfId="2" applyFont="1" applyFill="1"/>
    <xf numFmtId="41" fontId="4" fillId="0" borderId="0" xfId="2" applyFont="1"/>
    <xf numFmtId="41" fontId="0" fillId="0" borderId="0" xfId="2" applyFont="1" applyAlignment="1">
      <alignment horizontal="right"/>
    </xf>
    <xf numFmtId="41" fontId="4" fillId="0" borderId="20" xfId="2" applyFont="1" applyBorder="1"/>
    <xf numFmtId="0" fontId="4" fillId="74" borderId="0" xfId="0" applyFont="1" applyFill="1"/>
    <xf numFmtId="41" fontId="96" fillId="0" borderId="0" xfId="2" applyFont="1" applyAlignment="1">
      <alignment horizontal="right"/>
    </xf>
    <xf numFmtId="0" fontId="10" fillId="0" borderId="0" xfId="0" applyFont="1"/>
    <xf numFmtId="41" fontId="4" fillId="0" borderId="0" xfId="2" applyFont="1" applyBorder="1"/>
    <xf numFmtId="41" fontId="4" fillId="74" borderId="0" xfId="2" applyFont="1" applyFill="1"/>
    <xf numFmtId="41" fontId="4" fillId="74" borderId="0" xfId="2" applyFont="1" applyFill="1" applyBorder="1"/>
    <xf numFmtId="41" fontId="0" fillId="74" borderId="0" xfId="2" applyFont="1" applyFill="1"/>
    <xf numFmtId="176" fontId="10" fillId="0" borderId="0" xfId="0" applyNumberFormat="1" applyFont="1"/>
    <xf numFmtId="183" fontId="4" fillId="9" borderId="5" xfId="1" applyNumberFormat="1" applyFont="1" applyFill="1" applyBorder="1" applyAlignment="1">
      <alignment horizontal="right" vertical="center"/>
    </xf>
    <xf numFmtId="183" fontId="4" fillId="9" borderId="3" xfId="1" applyNumberFormat="1" applyFont="1" applyFill="1" applyBorder="1" applyAlignment="1">
      <alignment horizontal="right" vertical="center"/>
    </xf>
    <xf numFmtId="169" fontId="4" fillId="0" borderId="3" xfId="1" applyNumberFormat="1" applyFont="1" applyFill="1" applyBorder="1" applyAlignment="1">
      <alignment horizontal="right" vertical="center"/>
    </xf>
    <xf numFmtId="183" fontId="2" fillId="25" borderId="3" xfId="1" applyNumberFormat="1" applyFont="1" applyFill="1" applyBorder="1" applyAlignment="1">
      <alignment horizontal="right" vertical="center"/>
    </xf>
    <xf numFmtId="184" fontId="4" fillId="0" borderId="0" xfId="3" applyNumberFormat="1" applyFont="1" applyAlignment="1">
      <alignment horizontal="right" vertical="center"/>
    </xf>
    <xf numFmtId="183" fontId="8" fillId="0" borderId="3" xfId="1" applyNumberFormat="1" applyFont="1" applyBorder="1" applyAlignment="1">
      <alignment horizontal="right" vertical="center"/>
    </xf>
    <xf numFmtId="17" fontId="4" fillId="0" borderId="15" xfId="0" applyNumberFormat="1" applyFont="1" applyBorder="1" applyAlignment="1">
      <alignment horizontal="center"/>
    </xf>
    <xf numFmtId="165" fontId="34" fillId="0" borderId="15" xfId="14" applyNumberFormat="1" applyFont="1" applyFill="1" applyBorder="1" applyAlignment="1">
      <alignment horizontal="right"/>
    </xf>
    <xf numFmtId="165" fontId="31" fillId="0" borderId="0" xfId="8" applyNumberFormat="1" applyFont="1" applyFill="1"/>
    <xf numFmtId="165" fontId="32" fillId="0" borderId="15" xfId="1" applyNumberFormat="1" applyFont="1" applyFill="1" applyBorder="1" applyAlignment="1">
      <alignment horizontal="right"/>
    </xf>
    <xf numFmtId="183" fontId="8" fillId="0" borderId="3" xfId="1" applyNumberFormat="1" applyFont="1" applyFill="1" applyBorder="1" applyAlignment="1">
      <alignment horizontal="right" vertical="center"/>
    </xf>
    <xf numFmtId="183" fontId="4" fillId="29" borderId="5" xfId="1" applyNumberFormat="1" applyFont="1" applyFill="1" applyBorder="1" applyAlignment="1">
      <alignment horizontal="right" vertical="center"/>
    </xf>
    <xf numFmtId="183" fontId="2" fillId="25" borderId="5" xfId="1" applyNumberFormat="1" applyFont="1" applyFill="1" applyBorder="1" applyAlignment="1">
      <alignment horizontal="right" vertical="center"/>
    </xf>
    <xf numFmtId="183" fontId="8" fillId="0" borderId="5" xfId="1" applyNumberFormat="1" applyFont="1" applyFill="1" applyBorder="1" applyAlignment="1">
      <alignment horizontal="right" vertical="center"/>
    </xf>
    <xf numFmtId="183" fontId="8" fillId="0" borderId="9" xfId="1" applyNumberFormat="1" applyFont="1" applyBorder="1" applyAlignment="1">
      <alignment horizontal="right" vertical="center"/>
    </xf>
    <xf numFmtId="183" fontId="4" fillId="0" borderId="3" xfId="1" applyNumberFormat="1" applyFont="1" applyBorder="1" applyAlignment="1">
      <alignment horizontal="right" vertical="center"/>
    </xf>
    <xf numFmtId="183" fontId="2" fillId="25" borderId="11" xfId="1" applyNumberFormat="1" applyFont="1" applyFill="1" applyBorder="1" applyAlignment="1">
      <alignment horizontal="right" vertical="center"/>
    </xf>
    <xf numFmtId="183" fontId="2" fillId="25" borderId="10" xfId="1" applyNumberFormat="1" applyFont="1" applyFill="1" applyBorder="1" applyAlignment="1">
      <alignment horizontal="right" vertical="center"/>
    </xf>
    <xf numFmtId="169" fontId="8" fillId="0" borderId="3" xfId="1" applyNumberFormat="1" applyFont="1" applyFill="1" applyBorder="1" applyAlignment="1">
      <alignment horizontal="right" vertical="center"/>
    </xf>
    <xf numFmtId="183" fontId="8" fillId="17" borderId="3" xfId="1" applyNumberFormat="1" applyFont="1" applyFill="1" applyBorder="1" applyAlignment="1">
      <alignment horizontal="right" vertical="center"/>
    </xf>
    <xf numFmtId="183" fontId="4" fillId="35" borderId="0" xfId="1" applyNumberFormat="1" applyFont="1" applyFill="1" applyBorder="1" applyAlignment="1">
      <alignment horizontal="right" vertical="center"/>
    </xf>
    <xf numFmtId="183" fontId="9" fillId="0" borderId="3" xfId="7" applyNumberFormat="1" applyFont="1" applyFill="1" applyBorder="1" applyAlignment="1">
      <alignment horizontal="right" vertical="center"/>
    </xf>
    <xf numFmtId="183" fontId="8" fillId="0" borderId="3" xfId="7" applyNumberFormat="1" applyFont="1" applyFill="1" applyBorder="1" applyAlignment="1">
      <alignment horizontal="right" vertical="center"/>
    </xf>
    <xf numFmtId="183" fontId="9" fillId="35" borderId="0" xfId="1" applyNumberFormat="1" applyFont="1" applyFill="1" applyBorder="1" applyAlignment="1">
      <alignment horizontal="right" vertical="center"/>
    </xf>
    <xf numFmtId="183" fontId="8" fillId="36" borderId="3" xfId="1" applyNumberFormat="1" applyFont="1" applyFill="1" applyBorder="1" applyAlignment="1">
      <alignment horizontal="right" vertical="center"/>
    </xf>
    <xf numFmtId="183" fontId="1" fillId="0" borderId="3" xfId="1" applyNumberFormat="1" applyFont="1" applyFill="1" applyBorder="1" applyAlignment="1">
      <alignment horizontal="right" vertical="center"/>
    </xf>
    <xf numFmtId="183" fontId="9" fillId="0" borderId="3" xfId="1" applyNumberFormat="1" applyFont="1" applyFill="1" applyBorder="1" applyAlignment="1">
      <alignment horizontal="right" vertical="center"/>
    </xf>
    <xf numFmtId="183" fontId="4" fillId="9" borderId="6" xfId="1" applyNumberFormat="1" applyFont="1" applyFill="1" applyBorder="1" applyAlignment="1">
      <alignment horizontal="right" vertical="center"/>
    </xf>
    <xf numFmtId="183" fontId="4" fillId="13" borderId="5" xfId="1" applyNumberFormat="1" applyFont="1" applyFill="1" applyBorder="1" applyAlignment="1">
      <alignment horizontal="right" vertical="center"/>
    </xf>
    <xf numFmtId="41" fontId="20" fillId="16" borderId="15" xfId="2" applyFont="1" applyFill="1" applyBorder="1" applyAlignment="1"/>
    <xf numFmtId="176" fontId="8" fillId="0" borderId="3" xfId="2" applyNumberFormat="1" applyFont="1" applyBorder="1" applyAlignment="1">
      <alignment horizontal="left" vertical="center"/>
    </xf>
    <xf numFmtId="169" fontId="9" fillId="12" borderId="3" xfId="3" applyNumberFormat="1" applyFont="1" applyFill="1" applyBorder="1" applyAlignment="1">
      <alignment horizontal="left" vertical="center"/>
    </xf>
    <xf numFmtId="185" fontId="0" fillId="0" borderId="0" xfId="0" applyNumberFormat="1"/>
    <xf numFmtId="169" fontId="8" fillId="76" borderId="3" xfId="3" applyNumberFormat="1" applyFont="1" applyFill="1" applyBorder="1" applyAlignment="1">
      <alignment horizontal="left" vertical="center"/>
    </xf>
    <xf numFmtId="166" fontId="34" fillId="0" borderId="0" xfId="1" applyNumberFormat="1" applyFont="1" applyAlignment="1">
      <alignment vertical="center"/>
    </xf>
    <xf numFmtId="1" fontId="37" fillId="0" borderId="15" xfId="21" quotePrefix="1" applyNumberFormat="1" applyFont="1" applyBorder="1" applyAlignment="1">
      <alignment horizontal="center" vertical="center"/>
    </xf>
    <xf numFmtId="164" fontId="65" fillId="0" borderId="0" xfId="21" applyNumberFormat="1" applyFont="1"/>
    <xf numFmtId="164" fontId="56" fillId="0" borderId="0" xfId="21" applyNumberFormat="1"/>
    <xf numFmtId="164" fontId="64" fillId="0" borderId="4" xfId="21" applyNumberFormat="1" applyFont="1" applyBorder="1"/>
    <xf numFmtId="164" fontId="67" fillId="45" borderId="23" xfId="21" applyNumberFormat="1" applyFont="1" applyFill="1" applyBorder="1" applyAlignment="1">
      <alignment horizontal="center" vertical="center" wrapText="1"/>
    </xf>
    <xf numFmtId="164" fontId="64" fillId="0" borderId="0" xfId="21" applyNumberFormat="1" applyFont="1" applyAlignment="1">
      <alignment horizontal="center" vertical="center" wrapText="1"/>
    </xf>
    <xf numFmtId="164" fontId="64" fillId="0" borderId="8" xfId="21" applyNumberFormat="1" applyFont="1" applyBorder="1"/>
    <xf numFmtId="164" fontId="65" fillId="0" borderId="3" xfId="21" applyNumberFormat="1" applyFont="1" applyBorder="1" applyAlignment="1">
      <alignment horizontal="center"/>
    </xf>
    <xf numFmtId="164" fontId="71" fillId="0" borderId="0" xfId="21" applyNumberFormat="1" applyFont="1" applyAlignment="1">
      <alignment horizontal="center" vertical="center" wrapText="1"/>
    </xf>
    <xf numFmtId="164" fontId="71" fillId="53" borderId="0" xfId="21" applyNumberFormat="1" applyFont="1" applyFill="1" applyAlignment="1">
      <alignment horizontal="center" vertical="center" wrapText="1"/>
    </xf>
    <xf numFmtId="164" fontId="66" fillId="54" borderId="26" xfId="21" applyNumberFormat="1" applyFont="1" applyFill="1" applyBorder="1" applyAlignment="1">
      <alignment horizontal="center" vertical="center" wrapText="1"/>
    </xf>
    <xf numFmtId="164" fontId="74" fillId="54" borderId="26" xfId="21" applyNumberFormat="1" applyFont="1" applyFill="1" applyBorder="1" applyAlignment="1">
      <alignment horizontal="center" vertical="center" wrapText="1"/>
    </xf>
    <xf numFmtId="164" fontId="75" fillId="54" borderId="26" xfId="21" applyNumberFormat="1" applyFont="1" applyFill="1" applyBorder="1" applyAlignment="1">
      <alignment horizontal="center" vertical="center" wrapText="1"/>
    </xf>
    <xf numFmtId="164" fontId="66" fillId="66" borderId="23" xfId="21" applyNumberFormat="1" applyFont="1" applyFill="1" applyBorder="1" applyAlignment="1">
      <alignment horizontal="center" vertical="center" wrapText="1"/>
    </xf>
    <xf numFmtId="164" fontId="66" fillId="0" borderId="26" xfId="21" applyNumberFormat="1" applyFont="1" applyBorder="1" applyAlignment="1">
      <alignment horizontal="center" vertical="center" wrapText="1"/>
    </xf>
    <xf numFmtId="164" fontId="66" fillId="46" borderId="26" xfId="21" applyNumberFormat="1" applyFont="1" applyFill="1" applyBorder="1" applyAlignment="1">
      <alignment horizontal="center" vertical="center" wrapText="1"/>
    </xf>
    <xf numFmtId="164" fontId="66" fillId="0" borderId="3" xfId="21" applyNumberFormat="1" applyFont="1" applyBorder="1" applyAlignment="1">
      <alignment horizontal="center" vertical="center" wrapText="1"/>
    </xf>
    <xf numFmtId="164" fontId="64" fillId="0" borderId="0" xfId="21" applyNumberFormat="1" applyFont="1" applyAlignment="1">
      <alignment horizontal="right"/>
    </xf>
    <xf numFmtId="164" fontId="66" fillId="46" borderId="23" xfId="21" applyNumberFormat="1" applyFont="1" applyFill="1" applyBorder="1" applyAlignment="1">
      <alignment horizontal="center" vertical="center" wrapText="1"/>
    </xf>
    <xf numFmtId="164" fontId="66" fillId="46" borderId="30" xfId="21" applyNumberFormat="1" applyFont="1" applyFill="1" applyBorder="1" applyAlignment="1">
      <alignment horizontal="center" vertical="center" wrapText="1"/>
    </xf>
    <xf numFmtId="164" fontId="74" fillId="46" borderId="23" xfId="21" applyNumberFormat="1" applyFont="1" applyFill="1" applyBorder="1" applyAlignment="1">
      <alignment horizontal="center" vertical="center" wrapText="1"/>
    </xf>
    <xf numFmtId="164" fontId="75" fillId="54" borderId="23" xfId="21" applyNumberFormat="1" applyFont="1" applyFill="1" applyBorder="1" applyAlignment="1">
      <alignment horizontal="center" vertical="center" wrapText="1"/>
    </xf>
    <xf numFmtId="164" fontId="66" fillId="0" borderId="23" xfId="21" applyNumberFormat="1" applyFont="1" applyBorder="1" applyAlignment="1">
      <alignment horizontal="center" vertical="center" wrapText="1"/>
    </xf>
    <xf numFmtId="164" fontId="76" fillId="0" borderId="0" xfId="21" applyNumberFormat="1" applyFont="1" applyAlignment="1">
      <alignment horizontal="right"/>
    </xf>
    <xf numFmtId="164" fontId="69" fillId="0" borderId="10" xfId="21" applyNumberFormat="1" applyFont="1" applyBorder="1" applyAlignment="1">
      <alignment horizontal="center" vertical="center" wrapText="1"/>
    </xf>
    <xf numFmtId="164" fontId="64" fillId="0" borderId="27" xfId="21" applyNumberFormat="1" applyFont="1" applyBorder="1"/>
    <xf numFmtId="164" fontId="65" fillId="0" borderId="10" xfId="21" applyNumberFormat="1" applyFont="1" applyBorder="1" applyAlignment="1">
      <alignment horizontal="center"/>
    </xf>
    <xf numFmtId="164" fontId="65" fillId="0" borderId="8" xfId="21" applyNumberFormat="1" applyFont="1" applyBorder="1" applyAlignment="1">
      <alignment horizontal="left" vertical="center"/>
    </xf>
    <xf numFmtId="164" fontId="64" fillId="0" borderId="1" xfId="21" applyNumberFormat="1" applyFont="1" applyBorder="1"/>
    <xf numFmtId="164" fontId="64" fillId="55" borderId="0" xfId="21" applyNumberFormat="1" applyFont="1" applyFill="1"/>
    <xf numFmtId="164" fontId="64" fillId="0" borderId="8" xfId="21" applyNumberFormat="1" applyFont="1" applyBorder="1" applyAlignment="1">
      <alignment horizontal="left" vertical="center" wrapText="1"/>
    </xf>
    <xf numFmtId="164" fontId="77" fillId="0" borderId="3" xfId="21" applyNumberFormat="1" applyFont="1" applyBorder="1"/>
    <xf numFmtId="164" fontId="64" fillId="46" borderId="0" xfId="21" applyNumberFormat="1" applyFont="1" applyFill="1"/>
    <xf numFmtId="164" fontId="64" fillId="56" borderId="0" xfId="21" applyNumberFormat="1" applyFont="1" applyFill="1"/>
    <xf numFmtId="164" fontId="64" fillId="58" borderId="0" xfId="21" applyNumberFormat="1" applyFont="1" applyFill="1"/>
    <xf numFmtId="164" fontId="64" fillId="21" borderId="0" xfId="7" applyNumberFormat="1" applyFont="1" applyFill="1"/>
    <xf numFmtId="164" fontId="64" fillId="59" borderId="0" xfId="21" applyNumberFormat="1" applyFont="1" applyFill="1"/>
    <xf numFmtId="164" fontId="64" fillId="0" borderId="0" xfId="1" applyNumberFormat="1" applyFont="1"/>
    <xf numFmtId="164" fontId="64" fillId="21" borderId="0" xfId="21" applyNumberFormat="1" applyFont="1" applyFill="1"/>
    <xf numFmtId="164" fontId="56" fillId="28" borderId="0" xfId="21" applyNumberFormat="1" applyFill="1"/>
    <xf numFmtId="164" fontId="78" fillId="0" borderId="8" xfId="21" applyNumberFormat="1" applyFont="1" applyBorder="1" applyAlignment="1">
      <alignment horizontal="left" vertical="center" wrapText="1" indent="1"/>
    </xf>
    <xf numFmtId="164" fontId="64" fillId="0" borderId="0" xfId="7" applyNumberFormat="1" applyFont="1"/>
    <xf numFmtId="164" fontId="56" fillId="16" borderId="0" xfId="1" applyNumberFormat="1" applyFont="1" applyFill="1"/>
    <xf numFmtId="164" fontId="73" fillId="0" borderId="0" xfId="21" applyNumberFormat="1" applyFont="1"/>
    <xf numFmtId="164" fontId="64" fillId="60" borderId="0" xfId="21" applyNumberFormat="1" applyFont="1" applyFill="1"/>
    <xf numFmtId="164" fontId="64" fillId="0" borderId="8" xfId="21" applyNumberFormat="1" applyFont="1" applyBorder="1" applyAlignment="1">
      <alignment horizontal="left" wrapText="1"/>
    </xf>
    <xf numFmtId="164" fontId="65" fillId="0" borderId="1" xfId="21" applyNumberFormat="1" applyFont="1" applyBorder="1"/>
    <xf numFmtId="164" fontId="64" fillId="0" borderId="8" xfId="21" applyNumberFormat="1" applyFont="1" applyBorder="1" applyAlignment="1">
      <alignment vertical="center" wrapText="1"/>
    </xf>
    <xf numFmtId="164" fontId="64" fillId="0" borderId="3" xfId="21" applyNumberFormat="1" applyFont="1" applyBorder="1"/>
    <xf numFmtId="164" fontId="65" fillId="0" borderId="8" xfId="21" applyNumberFormat="1" applyFont="1" applyBorder="1" applyAlignment="1">
      <alignment horizontal="left" vertical="center" wrapText="1"/>
    </xf>
    <xf numFmtId="164" fontId="64" fillId="0" borderId="3" xfId="21" applyNumberFormat="1" applyFont="1" applyBorder="1" applyAlignment="1">
      <alignment horizontal="left" vertical="center" wrapText="1"/>
    </xf>
    <xf numFmtId="164" fontId="64" fillId="61" borderId="0" xfId="21" applyNumberFormat="1" applyFont="1" applyFill="1"/>
    <xf numFmtId="164" fontId="79" fillId="0" borderId="28" xfId="21" applyNumberFormat="1" applyFont="1" applyBorder="1"/>
    <xf numFmtId="164" fontId="64" fillId="0" borderId="3" xfId="21" applyNumberFormat="1" applyFont="1" applyBorder="1" applyAlignment="1">
      <alignment horizontal="left"/>
    </xf>
    <xf numFmtId="164" fontId="64" fillId="0" borderId="8" xfId="21" applyNumberFormat="1" applyFont="1" applyBorder="1" applyAlignment="1">
      <alignment horizontal="left" vertical="center"/>
    </xf>
    <xf numFmtId="164" fontId="65" fillId="0" borderId="27" xfId="21" applyNumberFormat="1" applyFont="1" applyBorder="1" applyAlignment="1">
      <alignment horizontal="left" vertical="center" wrapText="1"/>
    </xf>
    <xf numFmtId="164" fontId="64" fillId="0" borderId="10" xfId="21" applyNumberFormat="1" applyFont="1" applyBorder="1"/>
    <xf numFmtId="164" fontId="64" fillId="55" borderId="21" xfId="21" applyNumberFormat="1" applyFont="1" applyFill="1" applyBorder="1"/>
    <xf numFmtId="164" fontId="64" fillId="0" borderId="21" xfId="21" applyNumberFormat="1" applyFont="1" applyBorder="1"/>
    <xf numFmtId="164" fontId="64" fillId="0" borderId="0" xfId="21" applyNumberFormat="1" applyFont="1" applyAlignment="1">
      <alignment vertical="center"/>
    </xf>
    <xf numFmtId="164" fontId="66" fillId="0" borderId="29" xfId="21" applyNumberFormat="1" applyFont="1" applyBorder="1" applyAlignment="1">
      <alignment horizontal="center" vertical="center" wrapText="1"/>
    </xf>
    <xf numFmtId="164" fontId="76" fillId="0" borderId="0" xfId="21" applyNumberFormat="1" applyFont="1"/>
    <xf numFmtId="186" fontId="65" fillId="0" borderId="3" xfId="21" applyNumberFormat="1" applyFont="1" applyBorder="1" applyAlignment="1">
      <alignment horizontal="center"/>
    </xf>
    <xf numFmtId="166" fontId="19" fillId="0" borderId="0" xfId="1" applyNumberFormat="1" applyFont="1" applyFill="1" applyBorder="1" applyAlignment="1"/>
    <xf numFmtId="41" fontId="19" fillId="0" borderId="0" xfId="7" applyFont="1" applyFill="1" applyAlignment="1">
      <alignment horizontal="center"/>
    </xf>
    <xf numFmtId="166" fontId="19" fillId="34" borderId="0" xfId="1" applyNumberFormat="1" applyFont="1" applyFill="1" applyBorder="1" applyAlignment="1"/>
    <xf numFmtId="169" fontId="34" fillId="0" borderId="0" xfId="21" applyNumberFormat="1" applyFont="1" applyAlignment="1">
      <alignment vertical="center"/>
    </xf>
    <xf numFmtId="178" fontId="34" fillId="0" borderId="0" xfId="21" applyNumberFormat="1" applyFont="1" applyAlignment="1">
      <alignment vertical="center"/>
    </xf>
    <xf numFmtId="41" fontId="34" fillId="0" borderId="0" xfId="2" applyFont="1" applyAlignment="1">
      <alignment vertical="center"/>
    </xf>
    <xf numFmtId="169" fontId="34" fillId="0" borderId="0" xfId="2" applyNumberFormat="1" applyFont="1" applyAlignment="1">
      <alignment vertical="center"/>
    </xf>
    <xf numFmtId="167" fontId="68" fillId="46" borderId="26" xfId="21" applyNumberFormat="1" applyFont="1" applyFill="1" applyBorder="1" applyAlignment="1">
      <alignment horizontal="center" vertical="center" wrapText="1"/>
    </xf>
    <xf numFmtId="167" fontId="56" fillId="0" borderId="0" xfId="1" applyNumberFormat="1" applyFont="1"/>
    <xf numFmtId="167" fontId="64" fillId="76" borderId="0" xfId="21" applyNumberFormat="1" applyFont="1" applyFill="1"/>
    <xf numFmtId="167" fontId="56" fillId="0" borderId="0" xfId="21" applyNumberFormat="1"/>
    <xf numFmtId="0" fontId="0" fillId="82" borderId="0" xfId="0" applyFill="1"/>
    <xf numFmtId="49" fontId="59" fillId="0" borderId="0" xfId="0" applyNumberFormat="1" applyFont="1" applyAlignment="1">
      <alignment horizontal="left" vertical="top" indent="2"/>
    </xf>
    <xf numFmtId="49" fontId="59" fillId="0" borderId="0" xfId="0" applyNumberFormat="1" applyFont="1" applyAlignment="1">
      <alignment horizontal="left" vertical="top" indent="3"/>
    </xf>
    <xf numFmtId="181" fontId="60" fillId="0" borderId="15" xfId="0" applyNumberFormat="1" applyFont="1" applyBorder="1" applyAlignment="1">
      <alignment horizontal="right" vertical="top"/>
    </xf>
    <xf numFmtId="179" fontId="0" fillId="0" borderId="0" xfId="0" applyNumberFormat="1"/>
    <xf numFmtId="41" fontId="4" fillId="0" borderId="15" xfId="2" applyFont="1" applyBorder="1" applyAlignment="1">
      <alignment horizontal="center"/>
    </xf>
    <xf numFmtId="187" fontId="50" fillId="0" borderId="0" xfId="20" applyNumberFormat="1" applyFont="1"/>
    <xf numFmtId="187" fontId="50" fillId="0" borderId="0" xfId="13" applyNumberFormat="1" applyFont="1"/>
    <xf numFmtId="187" fontId="44" fillId="0" borderId="0" xfId="20" applyNumberFormat="1" applyFont="1"/>
    <xf numFmtId="187" fontId="44" fillId="0" borderId="0" xfId="13" applyNumberFormat="1" applyFont="1"/>
    <xf numFmtId="176" fontId="8" fillId="76" borderId="3" xfId="2" applyNumberFormat="1" applyFont="1" applyFill="1" applyBorder="1" applyAlignment="1">
      <alignment horizontal="left" vertical="center"/>
    </xf>
    <xf numFmtId="164" fontId="8" fillId="76" borderId="3" xfId="3" applyNumberFormat="1" applyFont="1" applyFill="1" applyBorder="1" applyAlignment="1">
      <alignment horizontal="left" vertical="center"/>
    </xf>
    <xf numFmtId="164" fontId="1" fillId="76" borderId="3" xfId="3" applyNumberFormat="1" applyFill="1" applyBorder="1" applyAlignment="1">
      <alignment horizontal="left" vertical="center"/>
    </xf>
    <xf numFmtId="0" fontId="91" fillId="0" borderId="34" xfId="0" applyFont="1" applyBorder="1"/>
    <xf numFmtId="167" fontId="44" fillId="0" borderId="0" xfId="7" applyNumberFormat="1" applyFont="1" applyFill="1"/>
    <xf numFmtId="167" fontId="44" fillId="0" borderId="0" xfId="7" applyNumberFormat="1" applyFont="1" applyFill="1" applyBorder="1"/>
    <xf numFmtId="167" fontId="44" fillId="0" borderId="0" xfId="13" applyNumberFormat="1" applyFont="1" applyAlignment="1">
      <alignment horizontal="right" vertical="center" wrapText="1"/>
    </xf>
    <xf numFmtId="167" fontId="45" fillId="0" borderId="0" xfId="7" applyNumberFormat="1" applyFont="1" applyFill="1" applyBorder="1"/>
    <xf numFmtId="167" fontId="45" fillId="0" borderId="0" xfId="13" applyNumberFormat="1" applyFont="1" applyAlignment="1">
      <alignment horizontal="right" vertical="center" wrapText="1"/>
    </xf>
    <xf numFmtId="167" fontId="45" fillId="0" borderId="15" xfId="7" applyNumberFormat="1" applyFont="1" applyFill="1" applyBorder="1"/>
    <xf numFmtId="167" fontId="45" fillId="0" borderId="15" xfId="13" applyNumberFormat="1" applyFont="1" applyBorder="1" applyAlignment="1">
      <alignment horizontal="right" vertical="center" wrapText="1"/>
    </xf>
    <xf numFmtId="167" fontId="45" fillId="0" borderId="0" xfId="20" applyNumberFormat="1" applyFont="1" applyAlignment="1">
      <alignment horizontal="right" vertical="center" wrapText="1"/>
    </xf>
    <xf numFmtId="167" fontId="44" fillId="0" borderId="19" xfId="13" applyNumberFormat="1" applyFont="1" applyBorder="1" applyAlignment="1">
      <alignment horizontal="right" vertical="center" wrapText="1"/>
    </xf>
    <xf numFmtId="167" fontId="44" fillId="0" borderId="0" xfId="20" applyNumberFormat="1" applyFont="1" applyAlignment="1">
      <alignment horizontal="right" vertical="center" wrapText="1"/>
    </xf>
    <xf numFmtId="167" fontId="50" fillId="0" borderId="0" xfId="7" applyNumberFormat="1" applyFont="1" applyFill="1" applyBorder="1"/>
    <xf numFmtId="167" fontId="45" fillId="0" borderId="15" xfId="20" applyNumberFormat="1" applyFont="1" applyBorder="1" applyAlignment="1">
      <alignment horizontal="right" vertical="center" wrapText="1"/>
    </xf>
    <xf numFmtId="167" fontId="45" fillId="0" borderId="0" xfId="13" applyNumberFormat="1" applyFont="1"/>
    <xf numFmtId="167" fontId="44" fillId="0" borderId="19" xfId="2" applyNumberFormat="1" applyFont="1" applyBorder="1" applyAlignment="1">
      <alignment horizontal="right" vertical="center" wrapText="1"/>
    </xf>
    <xf numFmtId="167" fontId="45" fillId="0" borderId="0" xfId="20" applyNumberFormat="1" applyFont="1"/>
    <xf numFmtId="167" fontId="45" fillId="0" borderId="0" xfId="2" applyNumberFormat="1" applyFont="1" applyAlignment="1">
      <alignment horizontal="right" vertical="center" wrapText="1"/>
    </xf>
    <xf numFmtId="167" fontId="45" fillId="16" borderId="15" xfId="20" applyNumberFormat="1" applyFont="1" applyFill="1" applyBorder="1" applyAlignment="1">
      <alignment horizontal="right" vertical="center" wrapText="1"/>
    </xf>
    <xf numFmtId="17" fontId="44" fillId="0" borderId="0" xfId="13" applyNumberFormat="1" applyFont="1" applyAlignment="1">
      <alignment horizontal="left" vertical="top"/>
    </xf>
    <xf numFmtId="164" fontId="56" fillId="76" borderId="0" xfId="1" applyNumberFormat="1" applyFont="1" applyFill="1" applyBorder="1" applyAlignment="1">
      <alignment horizontal="right" vertical="center"/>
    </xf>
    <xf numFmtId="164" fontId="85" fillId="76" borderId="18" xfId="1" applyNumberFormat="1" applyFont="1" applyFill="1" applyBorder="1" applyAlignment="1">
      <alignment horizontal="right" vertical="center"/>
    </xf>
    <xf numFmtId="184" fontId="56" fillId="28" borderId="0" xfId="1" applyNumberFormat="1" applyFont="1" applyFill="1" applyBorder="1" applyAlignment="1">
      <alignment horizontal="left" vertical="center"/>
    </xf>
    <xf numFmtId="184" fontId="3" fillId="0" borderId="0" xfId="0" applyNumberFormat="1" applyFont="1"/>
    <xf numFmtId="164" fontId="56" fillId="28" borderId="0" xfId="7" applyNumberFormat="1" applyFont="1" applyFill="1" applyBorder="1" applyAlignment="1">
      <alignment horizontal="left" vertical="center"/>
    </xf>
    <xf numFmtId="164" fontId="9" fillId="12" borderId="3" xfId="3" applyNumberFormat="1" applyFont="1" applyFill="1" applyBorder="1" applyAlignment="1">
      <alignment horizontal="left" vertical="center" wrapText="1"/>
    </xf>
    <xf numFmtId="41" fontId="4" fillId="0" borderId="0" xfId="2" applyFont="1" applyBorder="1" applyAlignment="1">
      <alignment horizontal="center"/>
    </xf>
    <xf numFmtId="41" fontId="20" fillId="0" borderId="15" xfId="2" applyFont="1" applyFill="1" applyBorder="1" applyAlignment="1"/>
    <xf numFmtId="164" fontId="20" fillId="0" borderId="15" xfId="1" applyNumberFormat="1" applyFont="1" applyFill="1" applyBorder="1" applyAlignment="1"/>
    <xf numFmtId="0" fontId="32" fillId="0" borderId="0" xfId="12" applyFont="1"/>
    <xf numFmtId="0" fontId="30" fillId="0" borderId="0" xfId="0" applyFont="1"/>
    <xf numFmtId="0" fontId="19" fillId="0" borderId="16" xfId="10" quotePrefix="1" applyFont="1" applyBorder="1" applyAlignment="1">
      <alignment horizontal="center"/>
    </xf>
    <xf numFmtId="0" fontId="19" fillId="0" borderId="16" xfId="10" applyFont="1" applyBorder="1" applyAlignment="1">
      <alignment horizontal="center"/>
    </xf>
    <xf numFmtId="0" fontId="31" fillId="0" borderId="0" xfId="12" applyFont="1" applyAlignment="1">
      <alignment horizontal="center"/>
    </xf>
    <xf numFmtId="167" fontId="31" fillId="0" borderId="0" xfId="12" applyNumberFormat="1" applyFont="1"/>
    <xf numFmtId="167" fontId="0" fillId="0" borderId="0" xfId="0" applyNumberFormat="1"/>
    <xf numFmtId="0" fontId="35" fillId="0" borderId="0" xfId="12" applyFont="1"/>
    <xf numFmtId="165" fontId="31" fillId="0" borderId="0" xfId="12" applyNumberFormat="1" applyFont="1"/>
    <xf numFmtId="0" fontId="36" fillId="0" borderId="0" xfId="12" applyFont="1"/>
    <xf numFmtId="0" fontId="38" fillId="0" borderId="0" xfId="12" applyFont="1"/>
    <xf numFmtId="0" fontId="38" fillId="0" borderId="0" xfId="12" applyFont="1" applyAlignment="1">
      <alignment horizontal="center"/>
    </xf>
    <xf numFmtId="167" fontId="31" fillId="0" borderId="15" xfId="12" applyNumberFormat="1" applyFont="1" applyBorder="1"/>
    <xf numFmtId="0" fontId="32" fillId="0" borderId="0" xfId="12" applyFont="1" applyAlignment="1">
      <alignment horizontal="center"/>
    </xf>
    <xf numFmtId="168" fontId="32" fillId="0" borderId="0" xfId="12" applyNumberFormat="1" applyFont="1" applyAlignment="1">
      <alignment horizontal="right"/>
    </xf>
    <xf numFmtId="0" fontId="39" fillId="0" borderId="0" xfId="12" applyFont="1"/>
    <xf numFmtId="0" fontId="40" fillId="0" borderId="0" xfId="12" applyFont="1"/>
    <xf numFmtId="165" fontId="31" fillId="0" borderId="17" xfId="12" applyNumberFormat="1" applyFont="1" applyBorder="1"/>
    <xf numFmtId="167" fontId="31" fillId="0" borderId="17" xfId="12" applyNumberFormat="1" applyFont="1" applyBorder="1"/>
    <xf numFmtId="165" fontId="32" fillId="0" borderId="15" xfId="12" applyNumberFormat="1" applyFont="1" applyBorder="1" applyAlignment="1">
      <alignment horizontal="right"/>
    </xf>
    <xf numFmtId="167" fontId="32" fillId="0" borderId="15" xfId="12" applyNumberFormat="1" applyFont="1" applyBorder="1" applyAlignment="1">
      <alignment horizontal="right"/>
    </xf>
    <xf numFmtId="165" fontId="32" fillId="0" borderId="15" xfId="2" applyNumberFormat="1" applyFont="1" applyFill="1" applyBorder="1" applyAlignment="1">
      <alignment horizontal="right"/>
    </xf>
    <xf numFmtId="167" fontId="32" fillId="0" borderId="0" xfId="12" applyNumberFormat="1" applyFont="1" applyAlignment="1">
      <alignment horizontal="right"/>
    </xf>
    <xf numFmtId="167" fontId="32" fillId="0" borderId="0" xfId="12" applyNumberFormat="1" applyFont="1"/>
    <xf numFmtId="0" fontId="35" fillId="0" borderId="0" xfId="12" applyFont="1" applyAlignment="1">
      <alignment wrapText="1"/>
    </xf>
    <xf numFmtId="165" fontId="32" fillId="0" borderId="0" xfId="12" applyNumberFormat="1" applyFont="1" applyAlignment="1">
      <alignment horizontal="right"/>
    </xf>
    <xf numFmtId="0" fontId="32" fillId="0" borderId="0" xfId="0" applyFont="1"/>
    <xf numFmtId="2" fontId="31" fillId="0" borderId="0" xfId="12" applyNumberFormat="1" applyFont="1" applyAlignment="1">
      <alignment horizontal="center"/>
    </xf>
    <xf numFmtId="2" fontId="42" fillId="0" borderId="0" xfId="0" applyNumberFormat="1" applyFont="1"/>
    <xf numFmtId="2" fontId="19" fillId="0" borderId="0" xfId="12" applyNumberFormat="1" applyFont="1"/>
    <xf numFmtId="0" fontId="35" fillId="0" borderId="0" xfId="0" applyFont="1"/>
    <xf numFmtId="167" fontId="45" fillId="0" borderId="0" xfId="20" applyNumberFormat="1" applyFont="1" applyAlignment="1">
      <alignment horizontal="right" wrapText="1"/>
    </xf>
    <xf numFmtId="0" fontId="4" fillId="76" borderId="0" xfId="0" applyFont="1" applyFill="1"/>
    <xf numFmtId="0" fontId="31" fillId="0" borderId="60" xfId="12" applyFont="1" applyBorder="1" applyAlignment="1">
      <alignment horizontal="center"/>
    </xf>
    <xf numFmtId="41" fontId="10" fillId="0" borderId="0" xfId="2" applyFont="1"/>
    <xf numFmtId="41" fontId="0" fillId="0" borderId="0" xfId="2" applyFont="1" applyAlignment="1">
      <alignment horizontal="left"/>
    </xf>
    <xf numFmtId="41" fontId="0" fillId="12" borderId="0" xfId="2" applyFont="1" applyFill="1"/>
    <xf numFmtId="41" fontId="0" fillId="0" borderId="0" xfId="32" applyFont="1"/>
    <xf numFmtId="0" fontId="20" fillId="0" borderId="0" xfId="25" applyFont="1" applyAlignment="1">
      <alignment vertical="center"/>
    </xf>
    <xf numFmtId="0" fontId="59" fillId="0" borderId="0" xfId="25" applyFont="1" applyAlignment="1">
      <alignment vertical="center"/>
    </xf>
    <xf numFmtId="174" fontId="34" fillId="0" borderId="0" xfId="21" applyNumberFormat="1" applyFont="1" applyAlignment="1">
      <alignment horizontal="right" vertical="center"/>
    </xf>
    <xf numFmtId="164" fontId="34" fillId="0" borderId="0" xfId="21" applyNumberFormat="1" applyFont="1" applyAlignment="1">
      <alignment horizontal="right" vertical="center"/>
    </xf>
    <xf numFmtId="164" fontId="34" fillId="0" borderId="17" xfId="21" applyNumberFormat="1" applyFont="1" applyBorder="1" applyAlignment="1">
      <alignment vertical="center"/>
    </xf>
    <xf numFmtId="174" fontId="34" fillId="0" borderId="17" xfId="21" applyNumberFormat="1" applyFont="1" applyBorder="1" applyAlignment="1">
      <alignment vertical="center"/>
    </xf>
    <xf numFmtId="174" fontId="34" fillId="0" borderId="59" xfId="21" applyNumberFormat="1" applyFont="1" applyBorder="1" applyAlignment="1">
      <alignment vertical="center"/>
    </xf>
    <xf numFmtId="167" fontId="37" fillId="0" borderId="0" xfId="14" applyNumberFormat="1" applyFont="1" applyFill="1" applyBorder="1" applyAlignment="1">
      <alignment horizontal="right"/>
    </xf>
    <xf numFmtId="167" fontId="32" fillId="0" borderId="0" xfId="14" applyNumberFormat="1" applyFont="1" applyFill="1" applyBorder="1"/>
    <xf numFmtId="167" fontId="32" fillId="0" borderId="0" xfId="14" applyNumberFormat="1" applyFont="1" applyFill="1" applyBorder="1" applyAlignment="1">
      <alignment horizontal="right"/>
    </xf>
    <xf numFmtId="43" fontId="32" fillId="0" borderId="0" xfId="1" applyFont="1" applyFill="1" applyBorder="1" applyAlignment="1">
      <alignment horizontal="right"/>
    </xf>
    <xf numFmtId="178" fontId="8" fillId="78" borderId="6" xfId="1" applyNumberFormat="1" applyFont="1" applyFill="1" applyBorder="1" applyAlignment="1">
      <alignment horizontal="right" vertical="center"/>
    </xf>
    <xf numFmtId="169" fontId="1" fillId="78" borderId="3" xfId="1" applyNumberFormat="1" applyFont="1" applyFill="1" applyBorder="1" applyAlignment="1">
      <alignment horizontal="right" vertical="center"/>
    </xf>
    <xf numFmtId="169" fontId="8" fillId="78" borderId="3" xfId="1" applyNumberFormat="1" applyFont="1" applyFill="1" applyBorder="1" applyAlignment="1">
      <alignment horizontal="right" vertical="center"/>
    </xf>
    <xf numFmtId="164" fontId="8" fillId="78" borderId="3" xfId="1" applyNumberFormat="1" applyFont="1" applyFill="1" applyBorder="1" applyAlignment="1">
      <alignment horizontal="right" vertical="center"/>
    </xf>
    <xf numFmtId="183" fontId="8" fillId="78" borderId="6" xfId="1" applyNumberFormat="1" applyFont="1" applyFill="1" applyBorder="1" applyAlignment="1">
      <alignment horizontal="right" vertical="center"/>
    </xf>
    <xf numFmtId="169" fontId="8" fillId="78" borderId="3" xfId="3" applyNumberFormat="1" applyFont="1" applyFill="1" applyBorder="1" applyAlignment="1">
      <alignment horizontal="left" vertical="center"/>
    </xf>
    <xf numFmtId="164" fontId="8" fillId="78" borderId="3" xfId="3" applyNumberFormat="1" applyFont="1" applyFill="1" applyBorder="1" applyAlignment="1">
      <alignment horizontal="left" vertical="center"/>
    </xf>
    <xf numFmtId="0" fontId="16" fillId="0" borderId="0" xfId="13" applyFont="1" applyAlignment="1">
      <alignment horizontal="center" vertical="center"/>
    </xf>
    <xf numFmtId="9" fontId="4" fillId="0" borderId="0" xfId="8" applyFont="1" applyFill="1"/>
    <xf numFmtId="9" fontId="31" fillId="0" borderId="0" xfId="8" applyFont="1" applyFill="1" applyBorder="1"/>
    <xf numFmtId="186" fontId="24" fillId="0" borderId="0" xfId="10" quotePrefix="1" applyNumberFormat="1" applyFont="1" applyAlignment="1">
      <alignment horizontal="center"/>
    </xf>
    <xf numFmtId="9" fontId="4" fillId="0" borderId="0" xfId="8" applyFont="1" applyFill="1" applyBorder="1"/>
    <xf numFmtId="167" fontId="31" fillId="0" borderId="0" xfId="14" applyNumberFormat="1" applyFont="1" applyFill="1" applyBorder="1" applyAlignment="1"/>
    <xf numFmtId="164" fontId="56" fillId="0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5" fillId="2" borderId="0" xfId="4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5" fillId="0" borderId="0" xfId="4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right" vertical="center"/>
    </xf>
    <xf numFmtId="164" fontId="9" fillId="0" borderId="6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>
      <alignment horizontal="right" vertical="center"/>
    </xf>
    <xf numFmtId="164" fontId="2" fillId="0" borderId="6" xfId="1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horizontal="right" vertical="center"/>
    </xf>
    <xf numFmtId="164" fontId="2" fillId="0" borderId="35" xfId="1" applyNumberFormat="1" applyFont="1" applyFill="1" applyBorder="1" applyAlignment="1">
      <alignment horizontal="right" vertical="center"/>
    </xf>
    <xf numFmtId="183" fontId="4" fillId="13" borderId="6" xfId="1" applyNumberFormat="1" applyFont="1" applyFill="1" applyBorder="1" applyAlignment="1">
      <alignment horizontal="right" vertical="center"/>
    </xf>
    <xf numFmtId="183" fontId="8" fillId="0" borderId="6" xfId="1" applyNumberFormat="1" applyFont="1" applyFill="1" applyBorder="1" applyAlignment="1">
      <alignment horizontal="right" vertical="center"/>
    </xf>
    <xf numFmtId="183" fontId="4" fillId="29" borderId="6" xfId="1" applyNumberFormat="1" applyFont="1" applyFill="1" applyBorder="1" applyAlignment="1">
      <alignment horizontal="right" vertical="center"/>
    </xf>
    <xf numFmtId="183" fontId="2" fillId="25" borderId="6" xfId="1" applyNumberFormat="1" applyFont="1" applyFill="1" applyBorder="1" applyAlignment="1">
      <alignment horizontal="right" vertical="center"/>
    </xf>
    <xf numFmtId="183" fontId="8" fillId="0" borderId="0" xfId="1" applyNumberFormat="1" applyFont="1" applyBorder="1" applyAlignment="1">
      <alignment horizontal="right" vertical="center"/>
    </xf>
    <xf numFmtId="183" fontId="2" fillId="25" borderId="35" xfId="1" applyNumberFormat="1" applyFont="1" applyFill="1" applyBorder="1" applyAlignment="1">
      <alignment horizontal="right" vertical="center"/>
    </xf>
    <xf numFmtId="41" fontId="8" fillId="0" borderId="0" xfId="2" applyFont="1" applyAlignment="1">
      <alignment horizontal="left" vertical="center"/>
    </xf>
    <xf numFmtId="164" fontId="5" fillId="2" borderId="8" xfId="4" applyFont="1" applyFill="1" applyBorder="1" applyAlignment="1">
      <alignment horizontal="center" vertical="center"/>
    </xf>
    <xf numFmtId="169" fontId="4" fillId="0" borderId="6" xfId="1" applyNumberFormat="1" applyFont="1" applyBorder="1" applyAlignment="1">
      <alignment horizontal="right" vertical="center"/>
    </xf>
    <xf numFmtId="164" fontId="8" fillId="12" borderId="6" xfId="3" applyNumberFormat="1" applyFont="1" applyFill="1" applyBorder="1" applyAlignment="1">
      <alignment horizontal="left" vertical="center"/>
    </xf>
    <xf numFmtId="164" fontId="56" fillId="16" borderId="15" xfId="1" applyNumberFormat="1" applyFont="1" applyFill="1" applyBorder="1" applyAlignment="1">
      <alignment horizontal="right" vertical="center"/>
    </xf>
    <xf numFmtId="164" fontId="56" fillId="16" borderId="0" xfId="1" applyNumberFormat="1" applyFont="1" applyFill="1" applyBorder="1" applyAlignment="1">
      <alignment horizontal="right" vertical="center"/>
    </xf>
    <xf numFmtId="164" fontId="56" fillId="83" borderId="0" xfId="1" applyNumberFormat="1" applyFont="1" applyFill="1" applyBorder="1" applyAlignment="1">
      <alignment horizontal="right" vertical="center"/>
    </xf>
    <xf numFmtId="164" fontId="56" fillId="56" borderId="15" xfId="1" applyNumberFormat="1" applyFont="1" applyFill="1" applyBorder="1" applyAlignment="1">
      <alignment horizontal="right" vertical="center"/>
    </xf>
    <xf numFmtId="164" fontId="56" fillId="56" borderId="0" xfId="1" applyNumberFormat="1" applyFont="1" applyFill="1" applyBorder="1" applyAlignment="1">
      <alignment horizontal="right" vertical="center"/>
    </xf>
    <xf numFmtId="179" fontId="59" fillId="16" borderId="0" xfId="0" applyNumberFormat="1" applyFont="1" applyFill="1" applyAlignment="1">
      <alignment horizontal="right" vertical="top"/>
    </xf>
    <xf numFmtId="169" fontId="4" fillId="12" borderId="3" xfId="3" applyNumberFormat="1" applyFont="1" applyFill="1" applyBorder="1" applyAlignment="1">
      <alignment horizontal="left" vertical="center"/>
    </xf>
    <xf numFmtId="0" fontId="22" fillId="0" borderId="0" xfId="10" applyFont="1" applyAlignment="1">
      <alignment horizontal="right"/>
    </xf>
    <xf numFmtId="186" fontId="4" fillId="0" borderId="0" xfId="0" applyNumberFormat="1" applyFont="1" applyAlignment="1">
      <alignment horizontal="center"/>
    </xf>
    <xf numFmtId="164" fontId="65" fillId="0" borderId="0" xfId="21" applyNumberFormat="1" applyFont="1" applyAlignment="1">
      <alignment horizontal="right"/>
    </xf>
    <xf numFmtId="164" fontId="65" fillId="16" borderId="0" xfId="21" applyNumberFormat="1" applyFont="1" applyFill="1"/>
    <xf numFmtId="164" fontId="89" fillId="0" borderId="0" xfId="21" applyNumberFormat="1" applyFont="1" applyAlignment="1">
      <alignment horizontal="right"/>
    </xf>
    <xf numFmtId="1" fontId="34" fillId="0" borderId="0" xfId="21" applyNumberFormat="1" applyFont="1" applyAlignment="1">
      <alignment vertical="center"/>
    </xf>
    <xf numFmtId="164" fontId="89" fillId="85" borderId="18" xfId="1" applyNumberFormat="1" applyFont="1" applyFill="1" applyBorder="1" applyAlignment="1">
      <alignment horizontal="right" vertical="center"/>
    </xf>
    <xf numFmtId="164" fontId="89" fillId="85" borderId="0" xfId="1" applyNumberFormat="1" applyFont="1" applyFill="1" applyBorder="1" applyAlignment="1">
      <alignment horizontal="right" vertical="center"/>
    </xf>
    <xf numFmtId="0" fontId="4" fillId="76" borderId="3" xfId="3" applyFont="1" applyFill="1" applyBorder="1" applyAlignment="1">
      <alignment horizontal="left" vertical="center"/>
    </xf>
    <xf numFmtId="0" fontId="1" fillId="76" borderId="3" xfId="3" applyFill="1" applyBorder="1" applyAlignment="1">
      <alignment horizontal="left" vertical="center"/>
    </xf>
    <xf numFmtId="0" fontId="4" fillId="86" borderId="6" xfId="3" applyFont="1" applyFill="1" applyBorder="1" applyAlignment="1">
      <alignment horizontal="left" vertical="center"/>
    </xf>
    <xf numFmtId="0" fontId="8" fillId="76" borderId="3" xfId="3" applyFont="1" applyFill="1" applyBorder="1" applyAlignment="1">
      <alignment horizontal="left" vertical="center"/>
    </xf>
    <xf numFmtId="0" fontId="4" fillId="86" borderId="3" xfId="3" applyFont="1" applyFill="1" applyBorder="1" applyAlignment="1">
      <alignment horizontal="left" vertical="center"/>
    </xf>
    <xf numFmtId="0" fontId="4" fillId="87" borderId="3" xfId="3" applyFont="1" applyFill="1" applyBorder="1" applyAlignment="1">
      <alignment horizontal="left" vertical="center"/>
    </xf>
    <xf numFmtId="0" fontId="9" fillId="76" borderId="3" xfId="3" applyFont="1" applyFill="1" applyBorder="1" applyAlignment="1">
      <alignment horizontal="left" vertical="center"/>
    </xf>
    <xf numFmtId="0" fontId="2" fillId="88" borderId="3" xfId="3" applyFont="1" applyFill="1" applyBorder="1" applyAlignment="1">
      <alignment horizontal="left" vertical="center"/>
    </xf>
    <xf numFmtId="166" fontId="4" fillId="76" borderId="3" xfId="3" applyNumberFormat="1" applyFont="1" applyFill="1" applyBorder="1" applyAlignment="1">
      <alignment horizontal="left" vertical="center"/>
    </xf>
    <xf numFmtId="0" fontId="0" fillId="76" borderId="3" xfId="0" applyFill="1" applyBorder="1"/>
    <xf numFmtId="0" fontId="10" fillId="76" borderId="3" xfId="3" applyFont="1" applyFill="1" applyBorder="1" applyAlignment="1">
      <alignment horizontal="left" vertical="center"/>
    </xf>
    <xf numFmtId="0" fontId="1" fillId="76" borderId="3" xfId="3" applyFill="1" applyBorder="1" applyAlignment="1">
      <alignment horizontal="left" vertical="center" indent="1"/>
    </xf>
    <xf numFmtId="165" fontId="1" fillId="76" borderId="3" xfId="3" applyNumberFormat="1" applyFill="1" applyBorder="1" applyAlignment="1">
      <alignment horizontal="left" vertical="center"/>
    </xf>
    <xf numFmtId="165" fontId="3" fillId="76" borderId="3" xfId="3" applyNumberFormat="1" applyFont="1" applyFill="1" applyBorder="1" applyAlignment="1">
      <alignment horizontal="left" vertical="center"/>
    </xf>
    <xf numFmtId="43" fontId="1" fillId="76" borderId="3" xfId="6" applyNumberFormat="1" applyFill="1" applyBorder="1" applyAlignment="1">
      <alignment horizontal="left" vertical="center"/>
    </xf>
    <xf numFmtId="0" fontId="4" fillId="89" borderId="3" xfId="3" applyFont="1" applyFill="1" applyBorder="1" applyAlignment="1">
      <alignment horizontal="left" vertical="center"/>
    </xf>
    <xf numFmtId="165" fontId="9" fillId="76" borderId="3" xfId="3" applyNumberFormat="1" applyFont="1" applyFill="1" applyBorder="1" applyAlignment="1">
      <alignment horizontal="left" vertical="center"/>
    </xf>
    <xf numFmtId="0" fontId="13" fillId="76" borderId="3" xfId="3" applyFont="1" applyFill="1" applyBorder="1" applyAlignment="1">
      <alignment horizontal="left" vertical="center"/>
    </xf>
    <xf numFmtId="0" fontId="4" fillId="76" borderId="3" xfId="3" applyFont="1" applyFill="1" applyBorder="1" applyAlignment="1">
      <alignment vertical="center"/>
    </xf>
    <xf numFmtId="0" fontId="1" fillId="76" borderId="3" xfId="3" applyFill="1" applyBorder="1" applyAlignment="1">
      <alignment vertical="center"/>
    </xf>
    <xf numFmtId="0" fontId="1" fillId="76" borderId="3" xfId="3" applyFill="1" applyBorder="1" applyAlignment="1">
      <alignment horizontal="left" vertical="center" indent="2"/>
    </xf>
    <xf numFmtId="0" fontId="4" fillId="76" borderId="6" xfId="3" applyFont="1" applyFill="1" applyBorder="1" applyAlignment="1">
      <alignment horizontal="left" vertical="center"/>
    </xf>
    <xf numFmtId="0" fontId="9" fillId="76" borderId="0" xfId="3" applyFont="1" applyFill="1" applyAlignment="1">
      <alignment horizontal="left" vertical="center"/>
    </xf>
    <xf numFmtId="41" fontId="9" fillId="76" borderId="3" xfId="2" applyFont="1" applyFill="1" applyBorder="1" applyAlignment="1">
      <alignment horizontal="left" vertical="center"/>
    </xf>
    <xf numFmtId="41" fontId="8" fillId="76" borderId="3" xfId="2" applyFont="1" applyFill="1" applyBorder="1" applyAlignment="1">
      <alignment horizontal="left" vertical="center"/>
    </xf>
    <xf numFmtId="0" fontId="9" fillId="76" borderId="3" xfId="3" applyFont="1" applyFill="1" applyBorder="1" applyAlignment="1">
      <alignment horizontal="left" vertical="center" wrapText="1"/>
    </xf>
    <xf numFmtId="0" fontId="8" fillId="76" borderId="3" xfId="3" applyFont="1" applyFill="1" applyBorder="1" applyAlignment="1">
      <alignment horizontal="left" vertical="center" wrapText="1"/>
    </xf>
    <xf numFmtId="0" fontId="8" fillId="76" borderId="3" xfId="6" applyFont="1" applyFill="1" applyBorder="1" applyAlignment="1">
      <alignment horizontal="left" vertical="center" wrapText="1"/>
    </xf>
    <xf numFmtId="0" fontId="9" fillId="87" borderId="6" xfId="3" applyFont="1" applyFill="1" applyBorder="1" applyAlignment="1">
      <alignment horizontal="left" vertical="center"/>
    </xf>
    <xf numFmtId="0" fontId="4" fillId="89" borderId="6" xfId="3" applyFont="1" applyFill="1" applyBorder="1" applyAlignment="1">
      <alignment horizontal="left" vertical="center"/>
    </xf>
    <xf numFmtId="0" fontId="2" fillId="88" borderId="6" xfId="3" applyFont="1" applyFill="1" applyBorder="1" applyAlignment="1">
      <alignment horizontal="left" vertical="center"/>
    </xf>
    <xf numFmtId="164" fontId="4" fillId="76" borderId="3" xfId="3" applyNumberFormat="1" applyFont="1" applyFill="1" applyBorder="1" applyAlignment="1">
      <alignment horizontal="left" vertical="center"/>
    </xf>
    <xf numFmtId="0" fontId="5" fillId="88" borderId="35" xfId="3" applyFont="1" applyFill="1" applyBorder="1" applyAlignment="1">
      <alignment horizontal="left" vertical="center"/>
    </xf>
    <xf numFmtId="0" fontId="5" fillId="88" borderId="3" xfId="3" applyFont="1" applyFill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164" fontId="1" fillId="0" borderId="6" xfId="3" applyNumberFormat="1" applyBorder="1" applyAlignment="1">
      <alignment horizontal="left" vertical="center"/>
    </xf>
    <xf numFmtId="164" fontId="3" fillId="0" borderId="6" xfId="3" applyNumberFormat="1" applyFont="1" applyBorder="1" applyAlignment="1">
      <alignment horizontal="left" vertical="center"/>
    </xf>
    <xf numFmtId="164" fontId="1" fillId="0" borderId="9" xfId="3" applyNumberFormat="1" applyBorder="1" applyAlignment="1">
      <alignment horizontal="left" vertical="center"/>
    </xf>
    <xf numFmtId="164" fontId="1" fillId="0" borderId="6" xfId="6" applyNumberFormat="1" applyBorder="1" applyAlignment="1">
      <alignment horizontal="left" vertical="center"/>
    </xf>
    <xf numFmtId="165" fontId="10" fillId="76" borderId="3" xfId="3" applyNumberFormat="1" applyFont="1" applyFill="1" applyBorder="1" applyAlignment="1">
      <alignment horizontal="left" vertical="center"/>
    </xf>
    <xf numFmtId="17" fontId="19" fillId="0" borderId="15" xfId="10" quotePrefix="1" applyNumberFormat="1" applyFont="1" applyBorder="1" applyAlignment="1">
      <alignment horizontal="center"/>
    </xf>
    <xf numFmtId="164" fontId="4" fillId="11" borderId="3" xfId="2" applyNumberFormat="1" applyFont="1" applyFill="1" applyBorder="1" applyAlignment="1">
      <alignment horizontal="right" vertical="center"/>
    </xf>
    <xf numFmtId="164" fontId="4" fillId="11" borderId="3" xfId="3" applyNumberFormat="1" applyFont="1" applyFill="1" applyBorder="1" applyAlignment="1">
      <alignment horizontal="left" vertical="center"/>
    </xf>
    <xf numFmtId="164" fontId="10" fillId="5" borderId="3" xfId="1" applyNumberFormat="1" applyFont="1" applyFill="1" applyBorder="1" applyAlignment="1">
      <alignment horizontal="right" vertical="center"/>
    </xf>
    <xf numFmtId="164" fontId="1" fillId="5" borderId="3" xfId="3" applyNumberFormat="1" applyFill="1" applyBorder="1" applyAlignment="1">
      <alignment horizontal="left" vertical="center"/>
    </xf>
    <xf numFmtId="164" fontId="4" fillId="5" borderId="0" xfId="1" applyNumberFormat="1" applyFont="1" applyFill="1" applyBorder="1" applyAlignment="1">
      <alignment horizontal="right" vertical="center"/>
    </xf>
    <xf numFmtId="41" fontId="9" fillId="5" borderId="3" xfId="7" applyFont="1" applyFill="1" applyBorder="1" applyAlignment="1">
      <alignment horizontal="right" vertical="center"/>
    </xf>
    <xf numFmtId="41" fontId="8" fillId="5" borderId="3" xfId="7" applyFont="1" applyFill="1" applyBorder="1" applyAlignment="1">
      <alignment horizontal="right" vertical="center"/>
    </xf>
    <xf numFmtId="164" fontId="8" fillId="5" borderId="3" xfId="7" applyNumberFormat="1" applyFont="1" applyFill="1" applyBorder="1" applyAlignment="1">
      <alignment horizontal="right" vertical="center"/>
    </xf>
    <xf numFmtId="164" fontId="2" fillId="27" borderId="35" xfId="1" applyNumberFormat="1" applyFont="1" applyFill="1" applyBorder="1" applyAlignment="1">
      <alignment horizontal="right" vertical="center"/>
    </xf>
    <xf numFmtId="167" fontId="44" fillId="0" borderId="0" xfId="2" applyNumberFormat="1" applyFont="1" applyBorder="1" applyAlignment="1">
      <alignment horizontal="right" vertical="center" wrapText="1"/>
    </xf>
    <xf numFmtId="17" fontId="37" fillId="0" borderId="15" xfId="21" quotePrefix="1" applyNumberFormat="1" applyFont="1" applyBorder="1" applyAlignment="1">
      <alignment horizontal="center" vertical="center"/>
    </xf>
    <xf numFmtId="0" fontId="37" fillId="0" borderId="15" xfId="21" quotePrefix="1" applyFont="1" applyBorder="1" applyAlignment="1">
      <alignment horizontal="center" vertical="center"/>
    </xf>
    <xf numFmtId="176" fontId="34" fillId="0" borderId="0" xfId="21" applyNumberFormat="1" applyFont="1" applyAlignment="1">
      <alignment vertical="center"/>
    </xf>
    <xf numFmtId="0" fontId="97" fillId="0" borderId="0" xfId="0" applyFont="1"/>
    <xf numFmtId="0" fontId="14" fillId="0" borderId="0" xfId="0" applyFont="1"/>
    <xf numFmtId="41" fontId="97" fillId="0" borderId="15" xfId="2" applyFont="1" applyBorder="1"/>
    <xf numFmtId="41" fontId="0" fillId="0" borderId="15" xfId="2" applyFont="1" applyBorder="1"/>
    <xf numFmtId="41" fontId="4" fillId="0" borderId="19" xfId="2" applyFont="1" applyBorder="1"/>
    <xf numFmtId="41" fontId="4" fillId="0" borderId="16" xfId="2" applyFont="1" applyBorder="1"/>
    <xf numFmtId="9" fontId="0" fillId="0" borderId="0" xfId="2" applyNumberFormat="1" applyFont="1" applyAlignment="1">
      <alignment horizontal="center"/>
    </xf>
    <xf numFmtId="41" fontId="0" fillId="0" borderId="0" xfId="2" applyFont="1" applyAlignment="1">
      <alignment horizontal="center"/>
    </xf>
    <xf numFmtId="0" fontId="4" fillId="90" borderId="0" xfId="0" applyFont="1" applyFill="1"/>
    <xf numFmtId="0" fontId="0" fillId="90" borderId="0" xfId="0" applyFill="1"/>
    <xf numFmtId="41" fontId="0" fillId="90" borderId="0" xfId="2" applyFont="1" applyFill="1"/>
    <xf numFmtId="164" fontId="0" fillId="0" borderId="15" xfId="2" applyNumberFormat="1" applyFont="1" applyBorder="1"/>
    <xf numFmtId="0" fontId="0" fillId="0" borderId="0" xfId="0" applyAlignment="1">
      <alignment horizontal="left" indent="2"/>
    </xf>
    <xf numFmtId="0" fontId="14" fillId="0" borderId="0" xfId="0" applyFont="1" applyAlignment="1">
      <alignment horizontal="left" indent="2"/>
    </xf>
    <xf numFmtId="0" fontId="4" fillId="0" borderId="0" xfId="0" applyFont="1" applyAlignment="1">
      <alignment horizontal="left"/>
    </xf>
    <xf numFmtId="167" fontId="0" fillId="0" borderId="15" xfId="2" applyNumberFormat="1" applyFont="1" applyBorder="1"/>
    <xf numFmtId="167" fontId="0" fillId="0" borderId="0" xfId="2" applyNumberFormat="1" applyFont="1"/>
    <xf numFmtId="167" fontId="4" fillId="0" borderId="20" xfId="2" applyNumberFormat="1" applyFont="1" applyBorder="1"/>
    <xf numFmtId="167" fontId="4" fillId="0" borderId="0" xfId="2" applyNumberFormat="1" applyFont="1"/>
    <xf numFmtId="167" fontId="0" fillId="90" borderId="0" xfId="2" applyNumberFormat="1" applyFont="1" applyFill="1"/>
    <xf numFmtId="167" fontId="0" fillId="0" borderId="0" xfId="2" applyNumberFormat="1" applyFont="1" applyFill="1"/>
    <xf numFmtId="167" fontId="97" fillId="0" borderId="15" xfId="2" applyNumberFormat="1" applyFont="1" applyBorder="1"/>
    <xf numFmtId="167" fontId="4" fillId="0" borderId="16" xfId="2" applyNumberFormat="1" applyFont="1" applyBorder="1"/>
    <xf numFmtId="167" fontId="0" fillId="0" borderId="0" xfId="2" applyNumberFormat="1" applyFont="1" applyBorder="1"/>
    <xf numFmtId="167" fontId="4" fillId="0" borderId="61" xfId="2" applyNumberFormat="1" applyFont="1" applyBorder="1"/>
    <xf numFmtId="164" fontId="0" fillId="90" borderId="0" xfId="2" applyNumberFormat="1" applyFont="1" applyFill="1"/>
    <xf numFmtId="164" fontId="4" fillId="0" borderId="0" xfId="2" applyNumberFormat="1" applyFont="1"/>
    <xf numFmtId="164" fontId="97" fillId="0" borderId="15" xfId="2" applyNumberFormat="1" applyFont="1" applyBorder="1"/>
    <xf numFmtId="164" fontId="4" fillId="0" borderId="61" xfId="2" applyNumberFormat="1" applyFont="1" applyBorder="1"/>
    <xf numFmtId="164" fontId="97" fillId="0" borderId="0" xfId="2" applyNumberFormat="1" applyFont="1"/>
    <xf numFmtId="164" fontId="4" fillId="0" borderId="20" xfId="2" applyNumberFormat="1" applyFont="1" applyBorder="1"/>
    <xf numFmtId="0" fontId="14" fillId="16" borderId="0" xfId="0" applyFont="1" applyFill="1"/>
    <xf numFmtId="41" fontId="4" fillId="0" borderId="20" xfId="0" applyNumberFormat="1" applyFont="1" applyBorder="1"/>
    <xf numFmtId="41" fontId="4" fillId="0" borderId="61" xfId="0" applyNumberFormat="1" applyFont="1" applyBorder="1"/>
    <xf numFmtId="164" fontId="0" fillId="0" borderId="15" xfId="0" applyNumberFormat="1" applyBorder="1"/>
    <xf numFmtId="164" fontId="4" fillId="0" borderId="0" xfId="0" applyNumberFormat="1" applyFont="1"/>
    <xf numFmtId="164" fontId="4" fillId="0" borderId="20" xfId="0" applyNumberFormat="1" applyFont="1" applyBorder="1"/>
    <xf numFmtId="41" fontId="10" fillId="0" borderId="0" xfId="2" applyFont="1" applyBorder="1"/>
    <xf numFmtId="0" fontId="96" fillId="0" borderId="0" xfId="0" applyFont="1"/>
    <xf numFmtId="167" fontId="10" fillId="0" borderId="0" xfId="0" applyNumberFormat="1" applyFont="1"/>
    <xf numFmtId="167" fontId="4" fillId="0" borderId="15" xfId="2" applyNumberFormat="1" applyFont="1" applyBorder="1"/>
    <xf numFmtId="164" fontId="96" fillId="0" borderId="0" xfId="2" applyNumberFormat="1" applyFont="1"/>
    <xf numFmtId="41" fontId="96" fillId="0" borderId="0" xfId="2" applyFont="1"/>
    <xf numFmtId="41" fontId="4" fillId="0" borderId="18" xfId="2" applyFont="1" applyBorder="1"/>
    <xf numFmtId="41" fontId="0" fillId="0" borderId="15" xfId="0" applyNumberFormat="1" applyBorder="1"/>
    <xf numFmtId="41" fontId="96" fillId="0" borderId="0" xfId="0" applyNumberFormat="1" applyFont="1"/>
    <xf numFmtId="41" fontId="0" fillId="0" borderId="20" xfId="0" applyNumberFormat="1" applyBorder="1"/>
    <xf numFmtId="41" fontId="4" fillId="0" borderId="19" xfId="0" applyNumberFormat="1" applyFont="1" applyBorder="1"/>
    <xf numFmtId="41" fontId="4" fillId="0" borderId="18" xfId="0" applyNumberFormat="1" applyFont="1" applyBorder="1"/>
    <xf numFmtId="0" fontId="4" fillId="0" borderId="0" xfId="0" applyFont="1" applyAlignment="1">
      <alignment wrapText="1"/>
    </xf>
    <xf numFmtId="0" fontId="97" fillId="0" borderId="0" xfId="0" applyFont="1" applyAlignment="1">
      <alignment wrapText="1"/>
    </xf>
    <xf numFmtId="0" fontId="4" fillId="0" borderId="15" xfId="2" applyNumberFormat="1" applyFont="1" applyBorder="1" applyAlignment="1">
      <alignment horizontal="center"/>
    </xf>
    <xf numFmtId="0" fontId="1" fillId="0" borderId="0" xfId="2" applyNumberFormat="1" applyFont="1" applyAlignment="1">
      <alignment horizontal="center"/>
    </xf>
    <xf numFmtId="41" fontId="97" fillId="0" borderId="20" xfId="0" applyNumberFormat="1" applyFont="1" applyBorder="1"/>
    <xf numFmtId="164" fontId="80" fillId="0" borderId="0" xfId="0" applyNumberFormat="1" applyFont="1" applyAlignment="1">
      <alignment vertical="center" wrapText="1"/>
    </xf>
    <xf numFmtId="164" fontId="57" fillId="0" borderId="0" xfId="0" applyNumberFormat="1" applyFont="1" applyAlignment="1">
      <alignment horizontal="center" vertical="center" wrapText="1"/>
    </xf>
    <xf numFmtId="164" fontId="80" fillId="0" borderId="0" xfId="0" applyNumberFormat="1" applyFont="1" applyAlignment="1">
      <alignment horizontal="center" vertical="center" wrapText="1"/>
    </xf>
    <xf numFmtId="164" fontId="57" fillId="0" borderId="0" xfId="2" applyNumberFormat="1" applyFont="1" applyAlignment="1">
      <alignment horizontal="center" vertical="center" wrapText="1"/>
    </xf>
    <xf numFmtId="164" fontId="80" fillId="0" borderId="0" xfId="2" applyNumberFormat="1" applyFont="1" applyAlignment="1">
      <alignment horizontal="center" vertical="center" wrapText="1"/>
    </xf>
    <xf numFmtId="164" fontId="61" fillId="0" borderId="0" xfId="0" applyNumberFormat="1" applyFont="1" applyAlignment="1">
      <alignment horizontal="right" vertical="center" wrapText="1"/>
    </xf>
    <xf numFmtId="164" fontId="61" fillId="0" borderId="0" xfId="2" applyNumberFormat="1" applyFont="1" applyAlignment="1">
      <alignment horizontal="right" vertical="center" wrapText="1"/>
    </xf>
    <xf numFmtId="164" fontId="62" fillId="0" borderId="0" xfId="0" applyNumberFormat="1" applyFont="1" applyAlignment="1">
      <alignment vertical="center" wrapText="1"/>
    </xf>
    <xf numFmtId="164" fontId="37" fillId="0" borderId="0" xfId="0" applyNumberFormat="1" applyFont="1" applyAlignment="1">
      <alignment horizontal="right" vertical="center" wrapText="1"/>
    </xf>
    <xf numFmtId="164" fontId="37" fillId="0" borderId="0" xfId="2" applyNumberFormat="1" applyFont="1" applyAlignment="1">
      <alignment horizontal="right" vertical="center" wrapText="1"/>
    </xf>
    <xf numFmtId="164" fontId="80" fillId="0" borderId="0" xfId="0" applyNumberFormat="1" applyFont="1" applyAlignment="1">
      <alignment vertical="center"/>
    </xf>
    <xf numFmtId="164" fontId="34" fillId="0" borderId="0" xfId="0" applyNumberFormat="1" applyFont="1" applyAlignment="1">
      <alignment horizontal="right" vertical="center" wrapText="1"/>
    </xf>
    <xf numFmtId="164" fontId="34" fillId="0" borderId="0" xfId="2" applyNumberFormat="1" applyFont="1" applyAlignment="1">
      <alignment horizontal="right" vertical="center" wrapText="1"/>
    </xf>
    <xf numFmtId="164" fontId="81" fillId="0" borderId="0" xfId="0" applyNumberFormat="1" applyFont="1" applyAlignment="1">
      <alignment vertical="center"/>
    </xf>
    <xf numFmtId="164" fontId="81" fillId="0" borderId="0" xfId="0" applyNumberFormat="1" applyFont="1" applyAlignment="1">
      <alignment vertical="center" wrapText="1"/>
    </xf>
    <xf numFmtId="164" fontId="59" fillId="0" borderId="0" xfId="0" applyNumberFormat="1" applyFont="1" applyAlignment="1">
      <alignment vertical="center"/>
    </xf>
    <xf numFmtId="164" fontId="59" fillId="0" borderId="0" xfId="0" applyNumberFormat="1" applyFont="1" applyAlignment="1">
      <alignment vertical="center" wrapText="1"/>
    </xf>
    <xf numFmtId="164" fontId="34" fillId="0" borderId="36" xfId="2" applyNumberFormat="1" applyFont="1" applyBorder="1" applyAlignment="1">
      <alignment horizontal="right" vertical="center" wrapText="1"/>
    </xf>
    <xf numFmtId="164" fontId="83" fillId="0" borderId="0" xfId="0" applyNumberFormat="1" applyFont="1" applyAlignment="1">
      <alignment vertical="center"/>
    </xf>
    <xf numFmtId="164" fontId="83" fillId="0" borderId="0" xfId="0" applyNumberFormat="1" applyFont="1" applyAlignment="1">
      <alignment vertical="center" wrapText="1"/>
    </xf>
    <xf numFmtId="164" fontId="37" fillId="0" borderId="36" xfId="0" applyNumberFormat="1" applyFont="1" applyBorder="1" applyAlignment="1">
      <alignment horizontal="right" vertical="center" wrapText="1"/>
    </xf>
    <xf numFmtId="164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 wrapText="1"/>
    </xf>
    <xf numFmtId="164" fontId="34" fillId="0" borderId="36" xfId="0" applyNumberFormat="1" applyFont="1" applyBorder="1" applyAlignment="1">
      <alignment horizontal="right" vertical="center" wrapText="1"/>
    </xf>
    <xf numFmtId="164" fontId="82" fillId="0" borderId="0" xfId="0" applyNumberFormat="1" applyFont="1" applyAlignment="1">
      <alignment vertical="center"/>
    </xf>
    <xf numFmtId="164" fontId="82" fillId="0" borderId="0" xfId="0" applyNumberFormat="1" applyFont="1" applyAlignment="1">
      <alignment vertical="center" wrapText="1"/>
    </xf>
    <xf numFmtId="164" fontId="94" fillId="0" borderId="0" xfId="0" applyNumberFormat="1" applyFont="1" applyAlignment="1">
      <alignment horizontal="right" vertical="center" wrapText="1"/>
    </xf>
    <xf numFmtId="164" fontId="94" fillId="0" borderId="37" xfId="2" applyNumberFormat="1" applyFont="1" applyBorder="1" applyAlignment="1">
      <alignment horizontal="right" vertical="center" wrapText="1"/>
    </xf>
    <xf numFmtId="164" fontId="95" fillId="0" borderId="0" xfId="0" applyNumberFormat="1" applyFont="1" applyAlignment="1">
      <alignment vertical="center"/>
    </xf>
    <xf numFmtId="164" fontId="95" fillId="0" borderId="0" xfId="0" applyNumberFormat="1" applyFont="1" applyAlignment="1">
      <alignment vertical="center" wrapText="1"/>
    </xf>
    <xf numFmtId="164" fontId="37" fillId="0" borderId="19" xfId="2" applyNumberFormat="1" applyFont="1" applyBorder="1" applyAlignment="1">
      <alignment horizontal="right" vertical="center" wrapText="1"/>
    </xf>
    <xf numFmtId="164" fontId="34" fillId="0" borderId="0" xfId="0" applyNumberFormat="1" applyFont="1" applyAlignment="1">
      <alignment vertical="center" wrapText="1"/>
    </xf>
    <xf numFmtId="164" fontId="37" fillId="0" borderId="0" xfId="0" applyNumberFormat="1" applyFont="1" applyAlignment="1">
      <alignment horizontal="center" vertical="center" wrapText="1"/>
    </xf>
    <xf numFmtId="164" fontId="37" fillId="0" borderId="37" xfId="0" applyNumberFormat="1" applyFont="1" applyBorder="1" applyAlignment="1">
      <alignment horizontal="center" vertical="center" wrapText="1"/>
    </xf>
    <xf numFmtId="164" fontId="60" fillId="0" borderId="0" xfId="0" applyNumberFormat="1" applyFont="1" applyAlignment="1">
      <alignment horizontal="center" vertical="center" wrapText="1"/>
    </xf>
    <xf numFmtId="164" fontId="60" fillId="0" borderId="36" xfId="0" applyNumberFormat="1" applyFont="1" applyBorder="1" applyAlignment="1">
      <alignment horizontal="center" vertical="center" wrapText="1"/>
    </xf>
    <xf numFmtId="164" fontId="92" fillId="0" borderId="0" xfId="0" applyNumberFormat="1" applyFont="1" applyAlignment="1">
      <alignment horizontal="center" vertical="center" wrapText="1"/>
    </xf>
    <xf numFmtId="164" fontId="61" fillId="0" borderId="37" xfId="0" applyNumberFormat="1" applyFont="1" applyBorder="1" applyAlignment="1">
      <alignment horizontal="right" vertical="center" wrapText="1"/>
    </xf>
    <xf numFmtId="164" fontId="37" fillId="0" borderId="19" xfId="0" applyNumberFormat="1" applyFont="1" applyBorder="1" applyAlignment="1">
      <alignment horizontal="right" vertical="center" wrapText="1"/>
    </xf>
    <xf numFmtId="164" fontId="37" fillId="0" borderId="0" xfId="0" applyNumberFormat="1" applyFont="1" applyAlignment="1">
      <alignment vertical="center" wrapText="1"/>
    </xf>
    <xf numFmtId="164" fontId="84" fillId="0" borderId="0" xfId="0" applyNumberFormat="1" applyFont="1" applyAlignment="1">
      <alignment vertical="center" wrapText="1"/>
    </xf>
    <xf numFmtId="164" fontId="84" fillId="0" borderId="0" xfId="0" applyNumberFormat="1" applyFont="1" applyAlignment="1">
      <alignment horizontal="right" vertical="center" wrapText="1"/>
    </xf>
    <xf numFmtId="0" fontId="98" fillId="0" borderId="0" xfId="0" applyFont="1"/>
    <xf numFmtId="164" fontId="98" fillId="0" borderId="0" xfId="0" applyNumberFormat="1" applyFont="1"/>
    <xf numFmtId="164" fontId="98" fillId="0" borderId="0" xfId="2" applyNumberFormat="1" applyFont="1"/>
    <xf numFmtId="0" fontId="99" fillId="16" borderId="0" xfId="0" applyFont="1" applyFill="1"/>
    <xf numFmtId="0" fontId="98" fillId="16" borderId="0" xfId="0" applyFont="1" applyFill="1"/>
    <xf numFmtId="164" fontId="98" fillId="0" borderId="36" xfId="0" applyNumberFormat="1" applyFont="1" applyBorder="1" applyAlignment="1">
      <alignment vertical="top" wrapText="1"/>
    </xf>
    <xf numFmtId="164" fontId="98" fillId="16" borderId="0" xfId="0" applyNumberFormat="1" applyFont="1" applyFill="1"/>
    <xf numFmtId="0" fontId="37" fillId="0" borderId="0" xfId="0" applyFont="1"/>
    <xf numFmtId="0" fontId="34" fillId="0" borderId="0" xfId="0" applyFont="1"/>
    <xf numFmtId="164" fontId="34" fillId="0" borderId="0" xfId="0" applyNumberFormat="1" applyFont="1"/>
    <xf numFmtId="164" fontId="34" fillId="0" borderId="0" xfId="2" applyNumberFormat="1" applyFont="1" applyFill="1"/>
    <xf numFmtId="0" fontId="100" fillId="0" borderId="0" xfId="0" applyFont="1" applyAlignment="1">
      <alignment vertical="center" wrapText="1"/>
    </xf>
    <xf numFmtId="164" fontId="59" fillId="0" borderId="0" xfId="0" applyNumberFormat="1" applyFont="1" applyAlignment="1">
      <alignment horizontal="right" vertical="center" wrapText="1"/>
    </xf>
    <xf numFmtId="164" fontId="101" fillId="0" borderId="0" xfId="0" applyNumberFormat="1" applyFont="1" applyAlignment="1">
      <alignment vertical="center" wrapText="1"/>
    </xf>
    <xf numFmtId="164" fontId="34" fillId="0" borderId="19" xfId="0" applyNumberFormat="1" applyFont="1" applyBorder="1" applyAlignment="1">
      <alignment horizontal="right" vertical="center" wrapText="1"/>
    </xf>
    <xf numFmtId="164" fontId="34" fillId="0" borderId="0" xfId="2" applyNumberFormat="1" applyFont="1"/>
    <xf numFmtId="164" fontId="59" fillId="0" borderId="0" xfId="0" applyNumberFormat="1" applyFont="1" applyAlignment="1">
      <alignment horizontal="center" vertical="center" wrapText="1"/>
    </xf>
    <xf numFmtId="164" fontId="92" fillId="0" borderId="0" xfId="0" applyNumberFormat="1" applyFont="1" applyAlignment="1">
      <alignment vertical="center" wrapText="1"/>
    </xf>
    <xf numFmtId="164" fontId="99" fillId="0" borderId="0" xfId="0" applyNumberFormat="1" applyFont="1"/>
    <xf numFmtId="164" fontId="102" fillId="0" borderId="0" xfId="0" applyNumberFormat="1" applyFont="1"/>
    <xf numFmtId="164" fontId="98" fillId="91" borderId="0" xfId="0" applyNumberFormat="1" applyFont="1" applyFill="1"/>
    <xf numFmtId="164" fontId="37" fillId="91" borderId="0" xfId="0" applyNumberFormat="1" applyFont="1" applyFill="1" applyAlignment="1">
      <alignment horizontal="center" vertical="center" wrapText="1"/>
    </xf>
    <xf numFmtId="164" fontId="37" fillId="91" borderId="0" xfId="0" applyNumberFormat="1" applyFont="1" applyFill="1" applyAlignment="1">
      <alignment vertical="center" wrapText="1"/>
    </xf>
    <xf numFmtId="164" fontId="92" fillId="91" borderId="0" xfId="0" applyNumberFormat="1" applyFont="1" applyFill="1" applyAlignment="1">
      <alignment vertical="center" wrapText="1"/>
    </xf>
    <xf numFmtId="164" fontId="59" fillId="91" borderId="0" xfId="0" applyNumberFormat="1" applyFont="1" applyFill="1" applyAlignment="1">
      <alignment vertical="center" wrapText="1"/>
    </xf>
    <xf numFmtId="164" fontId="34" fillId="91" borderId="0" xfId="0" applyNumberFormat="1" applyFont="1" applyFill="1"/>
    <xf numFmtId="0" fontId="100" fillId="0" borderId="0" xfId="0" quotePrefix="1" applyFont="1" applyAlignment="1">
      <alignment vertical="center" wrapText="1"/>
    </xf>
    <xf numFmtId="164" fontId="8" fillId="0" borderId="31" xfId="11" applyNumberFormat="1" applyFont="1" applyBorder="1" applyAlignment="1">
      <alignment horizontal="right" vertical="center"/>
    </xf>
    <xf numFmtId="164" fontId="8" fillId="0" borderId="31" xfId="11" applyNumberFormat="1" applyFont="1" applyFill="1" applyBorder="1" applyAlignment="1">
      <alignment horizontal="right" vertical="center"/>
    </xf>
    <xf numFmtId="164" fontId="1" fillId="0" borderId="3" xfId="2" applyNumberFormat="1" applyBorder="1" applyAlignment="1">
      <alignment horizontal="left" vertical="center"/>
    </xf>
    <xf numFmtId="164" fontId="4" fillId="9" borderId="6" xfId="2" applyNumberFormat="1" applyFont="1" applyFill="1" applyBorder="1" applyAlignment="1">
      <alignment horizontal="left" vertical="center"/>
    </xf>
    <xf numFmtId="164" fontId="8" fillId="0" borderId="3" xfId="2" applyNumberFormat="1" applyFont="1" applyBorder="1" applyAlignment="1">
      <alignment horizontal="left" vertical="center"/>
    </xf>
    <xf numFmtId="164" fontId="8" fillId="12" borderId="3" xfId="2" applyNumberFormat="1" applyFont="1" applyFill="1" applyBorder="1" applyAlignment="1">
      <alignment horizontal="left" vertical="center"/>
    </xf>
    <xf numFmtId="164" fontId="4" fillId="9" borderId="3" xfId="2" applyNumberFormat="1" applyFont="1" applyFill="1" applyBorder="1" applyAlignment="1">
      <alignment horizontal="left" vertical="center"/>
    </xf>
    <xf numFmtId="164" fontId="1" fillId="0" borderId="6" xfId="2" applyNumberFormat="1" applyBorder="1" applyAlignment="1">
      <alignment horizontal="left" vertical="center"/>
    </xf>
    <xf numFmtId="164" fontId="4" fillId="13" borderId="3" xfId="2" applyNumberFormat="1" applyFont="1" applyFill="1" applyBorder="1" applyAlignment="1">
      <alignment horizontal="left" vertical="center"/>
    </xf>
    <xf numFmtId="164" fontId="9" fillId="0" borderId="3" xfId="2" applyNumberFormat="1" applyFont="1" applyBorder="1" applyAlignment="1">
      <alignment horizontal="left" vertical="center"/>
    </xf>
    <xf numFmtId="164" fontId="1" fillId="16" borderId="3" xfId="2" applyNumberFormat="1" applyFill="1" applyBorder="1" applyAlignment="1">
      <alignment horizontal="left" vertical="center"/>
    </xf>
    <xf numFmtId="164" fontId="1" fillId="12" borderId="3" xfId="2" applyNumberFormat="1" applyFill="1" applyBorder="1" applyAlignment="1">
      <alignment horizontal="left" vertical="center"/>
    </xf>
    <xf numFmtId="164" fontId="8" fillId="16" borderId="3" xfId="2" applyNumberFormat="1" applyFont="1" applyFill="1" applyBorder="1" applyAlignment="1">
      <alignment horizontal="left" vertical="center"/>
    </xf>
    <xf numFmtId="164" fontId="8" fillId="0" borderId="3" xfId="2" quotePrefix="1" applyNumberFormat="1" applyFont="1" applyBorder="1" applyAlignment="1">
      <alignment vertical="top" wrapText="1"/>
    </xf>
    <xf numFmtId="164" fontId="7" fillId="0" borderId="3" xfId="2" applyNumberFormat="1" applyFont="1" applyBorder="1" applyAlignment="1">
      <alignment horizontal="left" vertical="center"/>
    </xf>
    <xf numFmtId="164" fontId="4" fillId="20" borderId="3" xfId="2" applyNumberFormat="1" applyFont="1" applyFill="1" applyBorder="1" applyAlignment="1">
      <alignment horizontal="left" vertical="center"/>
    </xf>
    <xf numFmtId="164" fontId="4" fillId="20" borderId="6" xfId="2" applyNumberFormat="1" applyFont="1" applyFill="1" applyBorder="1" applyAlignment="1">
      <alignment horizontal="left" vertical="center"/>
    </xf>
    <xf numFmtId="164" fontId="4" fillId="17" borderId="3" xfId="2" applyNumberFormat="1" applyFont="1" applyFill="1" applyBorder="1" applyAlignment="1">
      <alignment horizontal="left" vertical="center"/>
    </xf>
    <xf numFmtId="164" fontId="4" fillId="22" borderId="3" xfId="2" applyNumberFormat="1" applyFont="1" applyFill="1" applyBorder="1" applyAlignment="1">
      <alignment horizontal="left" vertical="center"/>
    </xf>
    <xf numFmtId="164" fontId="2" fillId="25" borderId="3" xfId="2" applyNumberFormat="1" applyFont="1" applyFill="1" applyBorder="1" applyAlignment="1">
      <alignment horizontal="left" vertical="center"/>
    </xf>
    <xf numFmtId="164" fontId="0" fillId="0" borderId="3" xfId="2" applyNumberFormat="1" applyFont="1" applyBorder="1"/>
    <xf numFmtId="164" fontId="10" fillId="0" borderId="3" xfId="2" applyNumberFormat="1" applyFont="1" applyBorder="1" applyAlignment="1">
      <alignment horizontal="left" vertical="center"/>
    </xf>
    <xf numFmtId="164" fontId="1" fillId="0" borderId="3" xfId="2" applyNumberFormat="1" applyBorder="1" applyAlignment="1">
      <alignment horizontal="left" vertical="center" indent="1"/>
    </xf>
    <xf numFmtId="164" fontId="4" fillId="29" borderId="3" xfId="2" applyNumberFormat="1" applyFont="1" applyFill="1" applyBorder="1" applyAlignment="1">
      <alignment horizontal="left" vertical="center"/>
    </xf>
    <xf numFmtId="164" fontId="13" fillId="0" borderId="3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vertical="center"/>
    </xf>
    <xf numFmtId="164" fontId="1" fillId="0" borderId="3" xfId="2" applyNumberFormat="1" applyBorder="1" applyAlignment="1">
      <alignment vertical="center"/>
    </xf>
    <xf numFmtId="164" fontId="1" fillId="0" borderId="3" xfId="2" applyNumberFormat="1" applyBorder="1" applyAlignment="1">
      <alignment horizontal="left" vertical="center" indent="2"/>
    </xf>
    <xf numFmtId="164" fontId="10" fillId="16" borderId="3" xfId="2" applyNumberFormat="1" applyFont="1" applyFill="1" applyBorder="1" applyAlignment="1">
      <alignment horizontal="left" vertical="center"/>
    </xf>
    <xf numFmtId="164" fontId="4" fillId="32" borderId="6" xfId="2" applyNumberFormat="1" applyFont="1" applyFill="1" applyBorder="1" applyAlignment="1">
      <alignment horizontal="left" vertical="center"/>
    </xf>
    <xf numFmtId="164" fontId="4" fillId="32" borderId="3" xfId="2" applyNumberFormat="1" applyFont="1" applyFill="1" applyBorder="1" applyAlignment="1">
      <alignment horizontal="left" vertical="center"/>
    </xf>
    <xf numFmtId="164" fontId="1" fillId="34" borderId="3" xfId="2" applyNumberFormat="1" applyFill="1" applyBorder="1" applyAlignment="1">
      <alignment horizontal="left" vertical="center"/>
    </xf>
    <xf numFmtId="164" fontId="4" fillId="16" borderId="3" xfId="2" applyNumberFormat="1" applyFont="1" applyFill="1" applyBorder="1" applyAlignment="1">
      <alignment horizontal="left" vertical="center"/>
    </xf>
    <xf numFmtId="164" fontId="4" fillId="0" borderId="6" xfId="2" applyNumberFormat="1" applyFont="1" applyBorder="1" applyAlignment="1">
      <alignment horizontal="left" vertical="center"/>
    </xf>
    <xf numFmtId="164" fontId="9" fillId="35" borderId="0" xfId="2" applyNumberFormat="1" applyFont="1" applyFill="1" applyBorder="1" applyAlignment="1">
      <alignment horizontal="left" vertical="center"/>
    </xf>
    <xf numFmtId="164" fontId="9" fillId="0" borderId="3" xfId="2" applyNumberFormat="1" applyFont="1" applyBorder="1" applyAlignment="1">
      <alignment horizontal="left" vertical="center" wrapText="1"/>
    </xf>
    <xf numFmtId="164" fontId="8" fillId="0" borderId="3" xfId="2" applyNumberFormat="1" applyFont="1" applyBorder="1" applyAlignment="1">
      <alignment horizontal="left" vertical="center" wrapText="1"/>
    </xf>
    <xf numFmtId="164" fontId="8" fillId="12" borderId="3" xfId="2" applyNumberFormat="1" applyFont="1" applyFill="1" applyBorder="1" applyAlignment="1">
      <alignment horizontal="left" vertical="center" wrapText="1"/>
    </xf>
    <xf numFmtId="164" fontId="9" fillId="16" borderId="3" xfId="2" applyNumberFormat="1" applyFont="1" applyFill="1" applyBorder="1" applyAlignment="1">
      <alignment horizontal="left" vertical="center" wrapText="1"/>
    </xf>
    <xf numFmtId="164" fontId="9" fillId="13" borderId="6" xfId="2" applyNumberFormat="1" applyFont="1" applyFill="1" applyBorder="1" applyAlignment="1">
      <alignment horizontal="left" vertical="center"/>
    </xf>
    <xf numFmtId="164" fontId="4" fillId="29" borderId="6" xfId="2" applyNumberFormat="1" applyFont="1" applyFill="1" applyBorder="1" applyAlignment="1">
      <alignment horizontal="left" vertical="center"/>
    </xf>
    <xf numFmtId="164" fontId="2" fillId="25" borderId="6" xfId="2" applyNumberFormat="1" applyFont="1" applyFill="1" applyBorder="1" applyAlignment="1">
      <alignment horizontal="left" vertical="center"/>
    </xf>
    <xf numFmtId="164" fontId="5" fillId="25" borderId="35" xfId="2" applyNumberFormat="1" applyFont="1" applyFill="1" applyBorder="1" applyAlignment="1">
      <alignment horizontal="left" vertical="center"/>
    </xf>
    <xf numFmtId="164" fontId="5" fillId="25" borderId="3" xfId="2" applyNumberFormat="1" applyFont="1" applyFill="1" applyBorder="1" applyAlignment="1">
      <alignment horizontal="left" vertical="center"/>
    </xf>
    <xf numFmtId="0" fontId="8" fillId="0" borderId="31" xfId="3" applyFont="1" applyBorder="1" applyAlignment="1">
      <alignment horizontal="left" vertical="center"/>
    </xf>
    <xf numFmtId="164" fontId="20" fillId="0" borderId="0" xfId="1" applyNumberFormat="1" applyFont="1" applyFill="1" applyAlignment="1">
      <alignment horizontal="center"/>
    </xf>
    <xf numFmtId="164" fontId="20" fillId="0" borderId="0" xfId="1" applyNumberFormat="1" applyFont="1" applyFill="1" applyBorder="1" applyAlignment="1">
      <alignment horizontal="center"/>
    </xf>
    <xf numFmtId="164" fontId="20" fillId="0" borderId="15" xfId="1" applyNumberFormat="1" applyFont="1" applyFill="1" applyBorder="1" applyAlignment="1">
      <alignment horizontal="center"/>
    </xf>
    <xf numFmtId="164" fontId="19" fillId="0" borderId="15" xfId="1" applyNumberFormat="1" applyFont="1" applyFill="1" applyBorder="1" applyAlignment="1">
      <alignment horizontal="center"/>
    </xf>
    <xf numFmtId="164" fontId="25" fillId="0" borderId="0" xfId="1" applyNumberFormat="1" applyFont="1" applyFill="1" applyAlignment="1">
      <alignment horizontal="center"/>
    </xf>
    <xf numFmtId="164" fontId="25" fillId="0" borderId="15" xfId="1" applyNumberFormat="1" applyFont="1" applyFill="1" applyBorder="1" applyAlignment="1">
      <alignment horizontal="center"/>
    </xf>
    <xf numFmtId="164" fontId="19" fillId="0" borderId="18" xfId="1" applyNumberFormat="1" applyFont="1" applyFill="1" applyBorder="1" applyAlignment="1">
      <alignment horizontal="center"/>
    </xf>
    <xf numFmtId="164" fontId="19" fillId="0" borderId="20" xfId="1" applyNumberFormat="1" applyFont="1" applyFill="1" applyBorder="1" applyAlignment="1">
      <alignment horizontal="center"/>
    </xf>
    <xf numFmtId="164" fontId="19" fillId="0" borderId="15" xfId="1" applyNumberFormat="1" applyFont="1" applyFill="1" applyBorder="1" applyAlignment="1"/>
    <xf numFmtId="164" fontId="19" fillId="0" borderId="19" xfId="1" applyNumberFormat="1" applyFont="1" applyFill="1" applyBorder="1" applyAlignment="1">
      <alignment horizontal="center"/>
    </xf>
    <xf numFmtId="164" fontId="29" fillId="0" borderId="0" xfId="1" applyNumberFormat="1" applyFont="1" applyFill="1" applyAlignment="1">
      <alignment horizontal="center"/>
    </xf>
    <xf numFmtId="164" fontId="1" fillId="78" borderId="3" xfId="1" applyNumberFormat="1" applyFont="1" applyFill="1" applyBorder="1" applyAlignment="1">
      <alignment horizontal="right" vertical="center"/>
    </xf>
    <xf numFmtId="167" fontId="20" fillId="0" borderId="31" xfId="7" applyNumberFormat="1" applyFont="1" applyBorder="1"/>
    <xf numFmtId="164" fontId="8" fillId="0" borderId="0" xfId="11" applyNumberFormat="1" applyFont="1" applyAlignment="1">
      <alignment horizontal="right" vertical="center"/>
    </xf>
    <xf numFmtId="164" fontId="9" fillId="0" borderId="3" xfId="7" applyNumberFormat="1" applyFont="1" applyFill="1" applyBorder="1" applyAlignment="1">
      <alignment horizontal="right" vertical="center"/>
    </xf>
    <xf numFmtId="169" fontId="103" fillId="0" borderId="0" xfId="0" applyNumberFormat="1" applyFont="1"/>
    <xf numFmtId="164" fontId="104" fillId="0" borderId="0" xfId="21" applyNumberFormat="1" applyFont="1"/>
    <xf numFmtId="164" fontId="104" fillId="28" borderId="0" xfId="21" applyNumberFormat="1" applyFont="1" applyFill="1"/>
    <xf numFmtId="164" fontId="104" fillId="16" borderId="0" xfId="1" applyNumberFormat="1" applyFont="1" applyFill="1"/>
    <xf numFmtId="164" fontId="105" fillId="0" borderId="0" xfId="21" applyNumberFormat="1" applyFont="1" applyAlignment="1">
      <alignment horizontal="right"/>
    </xf>
    <xf numFmtId="164" fontId="105" fillId="45" borderId="23" xfId="21" applyNumberFormat="1" applyFont="1" applyFill="1" applyBorder="1" applyAlignment="1">
      <alignment horizontal="center" vertical="center" wrapText="1"/>
    </xf>
    <xf numFmtId="164" fontId="107" fillId="0" borderId="0" xfId="21" applyNumberFormat="1" applyFont="1" applyAlignment="1">
      <alignment horizontal="center" vertical="center" wrapText="1"/>
    </xf>
    <xf numFmtId="164" fontId="107" fillId="53" borderId="0" xfId="21" applyNumberFormat="1" applyFont="1" applyFill="1" applyAlignment="1">
      <alignment horizontal="center" vertical="center" wrapText="1"/>
    </xf>
    <xf numFmtId="167" fontId="107" fillId="53" borderId="0" xfId="21" applyNumberFormat="1" applyFont="1" applyFill="1" applyAlignment="1">
      <alignment horizontal="center" vertical="center" wrapText="1"/>
    </xf>
    <xf numFmtId="164" fontId="64" fillId="54" borderId="26" xfId="21" applyNumberFormat="1" applyFont="1" applyFill="1" applyBorder="1" applyAlignment="1">
      <alignment horizontal="center" vertical="center" wrapText="1"/>
    </xf>
    <xf numFmtId="164" fontId="77" fillId="54" borderId="26" xfId="21" applyNumberFormat="1" applyFont="1" applyFill="1" applyBorder="1" applyAlignment="1">
      <alignment horizontal="center" vertical="center" wrapText="1"/>
    </xf>
    <xf numFmtId="164" fontId="79" fillId="54" borderId="26" xfId="21" applyNumberFormat="1" applyFont="1" applyFill="1" applyBorder="1" applyAlignment="1">
      <alignment horizontal="center" vertical="center" wrapText="1"/>
    </xf>
    <xf numFmtId="164" fontId="64" fillId="66" borderId="23" xfId="21" applyNumberFormat="1" applyFont="1" applyFill="1" applyBorder="1" applyAlignment="1">
      <alignment horizontal="center" vertical="center" wrapText="1"/>
    </xf>
    <xf numFmtId="164" fontId="64" fillId="0" borderId="26" xfId="21" applyNumberFormat="1" applyFont="1" applyBorder="1" applyAlignment="1">
      <alignment horizontal="center" vertical="center" wrapText="1"/>
    </xf>
    <xf numFmtId="164" fontId="64" fillId="46" borderId="26" xfId="21" applyNumberFormat="1" applyFont="1" applyFill="1" applyBorder="1" applyAlignment="1">
      <alignment horizontal="center" vertical="center" wrapText="1"/>
    </xf>
    <xf numFmtId="164" fontId="64" fillId="0" borderId="3" xfId="21" applyNumberFormat="1" applyFont="1" applyBorder="1" applyAlignment="1">
      <alignment horizontal="center" vertical="center" wrapText="1"/>
    </xf>
    <xf numFmtId="164" fontId="64" fillId="46" borderId="23" xfId="21" applyNumberFormat="1" applyFont="1" applyFill="1" applyBorder="1" applyAlignment="1">
      <alignment horizontal="center" vertical="center" wrapText="1"/>
    </xf>
    <xf numFmtId="164" fontId="64" fillId="46" borderId="30" xfId="21" applyNumberFormat="1" applyFont="1" applyFill="1" applyBorder="1" applyAlignment="1">
      <alignment horizontal="center" vertical="center" wrapText="1"/>
    </xf>
    <xf numFmtId="164" fontId="77" fillId="46" borderId="23" xfId="21" applyNumberFormat="1" applyFont="1" applyFill="1" applyBorder="1" applyAlignment="1">
      <alignment horizontal="center" vertical="center" wrapText="1"/>
    </xf>
    <xf numFmtId="164" fontId="79" fillId="54" borderId="23" xfId="21" applyNumberFormat="1" applyFont="1" applyFill="1" applyBorder="1" applyAlignment="1">
      <alignment horizontal="center" vertical="center" wrapText="1"/>
    </xf>
    <xf numFmtId="164" fontId="64" fillId="0" borderId="23" xfId="21" applyNumberFormat="1" applyFont="1" applyBorder="1" applyAlignment="1">
      <alignment horizontal="center" vertical="center" wrapText="1"/>
    </xf>
    <xf numFmtId="164" fontId="65" fillId="0" borderId="10" xfId="21" applyNumberFormat="1" applyFont="1" applyBorder="1" applyAlignment="1">
      <alignment horizontal="center" vertical="center" wrapText="1"/>
    </xf>
    <xf numFmtId="164" fontId="64" fillId="0" borderId="29" xfId="21" applyNumberFormat="1" applyFont="1" applyBorder="1" applyAlignment="1">
      <alignment horizontal="center" vertical="center" wrapText="1"/>
    </xf>
    <xf numFmtId="164" fontId="64" fillId="16" borderId="0" xfId="21" applyNumberFormat="1" applyFont="1" applyFill="1"/>
    <xf numFmtId="0" fontId="60" fillId="0" borderId="18" xfId="0" applyFont="1" applyBorder="1" applyAlignment="1">
      <alignment horizontal="right" vertical="top"/>
    </xf>
    <xf numFmtId="0" fontId="60" fillId="16" borderId="18" xfId="0" quotePrefix="1" applyFont="1" applyFill="1" applyBorder="1" applyAlignment="1">
      <alignment horizontal="right" vertical="top"/>
    </xf>
    <xf numFmtId="49" fontId="34" fillId="0" borderId="0" xfId="0" applyNumberFormat="1" applyFont="1" applyAlignment="1">
      <alignment horizontal="left" vertical="top" indent="2"/>
    </xf>
    <xf numFmtId="179" fontId="34" fillId="0" borderId="18" xfId="0" applyNumberFormat="1" applyFont="1" applyBorder="1" applyAlignment="1">
      <alignment horizontal="right" vertical="top"/>
    </xf>
    <xf numFmtId="180" fontId="34" fillId="0" borderId="18" xfId="0" applyNumberFormat="1" applyFont="1" applyBorder="1" applyAlignment="1">
      <alignment horizontal="right" vertical="top"/>
    </xf>
    <xf numFmtId="49" fontId="34" fillId="0" borderId="0" xfId="0" applyNumberFormat="1" applyFont="1" applyAlignment="1">
      <alignment horizontal="left" vertical="top" indent="4"/>
    </xf>
    <xf numFmtId="179" fontId="59" fillId="0" borderId="18" xfId="0" applyNumberFormat="1" applyFont="1" applyBorder="1" applyAlignment="1">
      <alignment horizontal="right" vertical="top"/>
    </xf>
    <xf numFmtId="180" fontId="59" fillId="0" borderId="18" xfId="0" applyNumberFormat="1" applyFont="1" applyBorder="1" applyAlignment="1">
      <alignment horizontal="right" vertical="top"/>
    </xf>
    <xf numFmtId="179" fontId="59" fillId="0" borderId="15" xfId="0" applyNumberFormat="1" applyFont="1" applyBorder="1" applyAlignment="1">
      <alignment horizontal="right" vertical="top"/>
    </xf>
    <xf numFmtId="180" fontId="59" fillId="0" borderId="15" xfId="0" applyNumberFormat="1" applyFont="1" applyBorder="1" applyAlignment="1">
      <alignment horizontal="right" vertical="top"/>
    </xf>
    <xf numFmtId="179" fontId="34" fillId="0" borderId="15" xfId="0" applyNumberFormat="1" applyFont="1" applyBorder="1" applyAlignment="1">
      <alignment horizontal="right" vertical="top"/>
    </xf>
    <xf numFmtId="180" fontId="34" fillId="0" borderId="15" xfId="0" applyNumberFormat="1" applyFont="1" applyBorder="1" applyAlignment="1">
      <alignment horizontal="right" vertical="top"/>
    </xf>
    <xf numFmtId="181" fontId="34" fillId="0" borderId="15" xfId="0" applyNumberFormat="1" applyFont="1" applyBorder="1" applyAlignment="1">
      <alignment horizontal="right" vertical="top"/>
    </xf>
    <xf numFmtId="181" fontId="59" fillId="0" borderId="18" xfId="0" applyNumberFormat="1" applyFont="1" applyBorder="1" applyAlignment="1">
      <alignment horizontal="right" vertical="top"/>
    </xf>
    <xf numFmtId="41" fontId="0" fillId="0" borderId="0" xfId="2" applyFont="1" applyBorder="1" applyAlignment="1">
      <alignment horizontal="left"/>
    </xf>
    <xf numFmtId="41" fontId="0" fillId="0" borderId="15" xfId="2" applyFont="1" applyBorder="1" applyAlignment="1">
      <alignment horizontal="left"/>
    </xf>
    <xf numFmtId="164" fontId="4" fillId="0" borderId="15" xfId="2" applyNumberFormat="1" applyFont="1" applyBorder="1"/>
    <xf numFmtId="164" fontId="5" fillId="37" borderId="2" xfId="2" applyNumberFormat="1" applyFont="1" applyFill="1" applyBorder="1" applyAlignment="1">
      <alignment horizontal="center" vertical="center"/>
    </xf>
    <xf numFmtId="164" fontId="5" fillId="37" borderId="4" xfId="2" quotePrefix="1" applyNumberFormat="1" applyFont="1" applyFill="1" applyBorder="1" applyAlignment="1">
      <alignment horizontal="center" vertical="center"/>
    </xf>
    <xf numFmtId="167" fontId="64" fillId="16" borderId="0" xfId="21" applyNumberFormat="1" applyFont="1" applyFill="1"/>
    <xf numFmtId="181" fontId="59" fillId="0" borderId="15" xfId="0" applyNumberFormat="1" applyFont="1" applyBorder="1" applyAlignment="1">
      <alignment horizontal="right" vertical="top"/>
    </xf>
    <xf numFmtId="0" fontId="4" fillId="94" borderId="0" xfId="0" applyFont="1" applyFill="1"/>
    <xf numFmtId="164" fontId="4" fillId="86" borderId="3" xfId="3" applyNumberFormat="1" applyFont="1" applyFill="1" applyBorder="1" applyAlignment="1">
      <alignment horizontal="left" vertical="center"/>
    </xf>
    <xf numFmtId="10" fontId="1" fillId="76" borderId="3" xfId="3" applyNumberFormat="1" applyFill="1" applyBorder="1" applyAlignment="1">
      <alignment horizontal="left" vertical="center"/>
    </xf>
    <xf numFmtId="43" fontId="4" fillId="76" borderId="3" xfId="3" applyNumberFormat="1" applyFont="1" applyFill="1" applyBorder="1" applyAlignment="1">
      <alignment horizontal="left" vertical="center"/>
    </xf>
    <xf numFmtId="178" fontId="0" fillId="0" borderId="0" xfId="2" applyNumberFormat="1" applyFont="1"/>
    <xf numFmtId="178" fontId="10" fillId="0" borderId="0" xfId="2" applyNumberFormat="1" applyFont="1"/>
    <xf numFmtId="178" fontId="0" fillId="0" borderId="0" xfId="2" applyNumberFormat="1" applyFont="1" applyFill="1"/>
    <xf numFmtId="178" fontId="10" fillId="0" borderId="0" xfId="2" applyNumberFormat="1" applyFont="1" applyFill="1"/>
    <xf numFmtId="178" fontId="5" fillId="2" borderId="2" xfId="2" applyNumberFormat="1" applyFont="1" applyFill="1" applyBorder="1" applyAlignment="1">
      <alignment horizontal="center" vertical="center"/>
    </xf>
    <xf numFmtId="178" fontId="5" fillId="2" borderId="4" xfId="2" quotePrefix="1" applyNumberFormat="1" applyFont="1" applyFill="1" applyBorder="1" applyAlignment="1">
      <alignment horizontal="center" vertical="center"/>
    </xf>
    <xf numFmtId="178" fontId="2" fillId="38" borderId="3" xfId="3" applyNumberFormat="1" applyFont="1" applyFill="1" applyBorder="1" applyAlignment="1">
      <alignment horizontal="center" vertical="center"/>
    </xf>
    <xf numFmtId="178" fontId="5" fillId="2" borderId="4" xfId="2" applyNumberFormat="1" applyFont="1" applyFill="1" applyBorder="1" applyAlignment="1">
      <alignment horizontal="center" vertical="center"/>
    </xf>
    <xf numFmtId="178" fontId="4" fillId="0" borderId="3" xfId="2" applyNumberFormat="1" applyFont="1" applyBorder="1" applyAlignment="1">
      <alignment horizontal="left" vertical="center"/>
    </xf>
    <xf numFmtId="178" fontId="10" fillId="0" borderId="3" xfId="2" applyNumberFormat="1" applyFont="1" applyBorder="1" applyAlignment="1">
      <alignment horizontal="left" vertical="center"/>
    </xf>
    <xf numFmtId="178" fontId="1" fillId="0" borderId="3" xfId="2" applyNumberFormat="1" applyBorder="1" applyAlignment="1">
      <alignment horizontal="left" vertical="center"/>
    </xf>
    <xf numFmtId="178" fontId="4" fillId="9" borderId="6" xfId="2" applyNumberFormat="1" applyFont="1" applyFill="1" applyBorder="1" applyAlignment="1">
      <alignment horizontal="left" vertical="center"/>
    </xf>
    <xf numFmtId="178" fontId="10" fillId="9" borderId="6" xfId="2" applyNumberFormat="1" applyFont="1" applyFill="1" applyBorder="1" applyAlignment="1">
      <alignment horizontal="left" vertical="center"/>
    </xf>
    <xf numFmtId="178" fontId="8" fillId="0" borderId="3" xfId="2" applyNumberFormat="1" applyFont="1" applyBorder="1" applyAlignment="1">
      <alignment horizontal="left" vertical="center"/>
    </xf>
    <xf numFmtId="178" fontId="8" fillId="12" borderId="3" xfId="2" applyNumberFormat="1" applyFont="1" applyFill="1" applyBorder="1" applyAlignment="1">
      <alignment horizontal="left" vertical="center"/>
    </xf>
    <xf numFmtId="178" fontId="10" fillId="12" borderId="3" xfId="2" applyNumberFormat="1" applyFont="1" applyFill="1" applyBorder="1" applyAlignment="1">
      <alignment horizontal="left" vertical="center"/>
    </xf>
    <xf numFmtId="178" fontId="4" fillId="9" borderId="3" xfId="2" applyNumberFormat="1" applyFont="1" applyFill="1" applyBorder="1" applyAlignment="1">
      <alignment horizontal="left" vertical="center"/>
    </xf>
    <xf numFmtId="178" fontId="10" fillId="9" borderId="3" xfId="2" applyNumberFormat="1" applyFont="1" applyFill="1" applyBorder="1" applyAlignment="1">
      <alignment horizontal="left" vertical="center"/>
    </xf>
    <xf numFmtId="178" fontId="1" fillId="0" borderId="6" xfId="2" applyNumberFormat="1" applyBorder="1" applyAlignment="1">
      <alignment horizontal="left" vertical="center"/>
    </xf>
    <xf numFmtId="178" fontId="10" fillId="0" borderId="6" xfId="2" applyNumberFormat="1" applyFont="1" applyBorder="1" applyAlignment="1">
      <alignment horizontal="left" vertical="center"/>
    </xf>
    <xf numFmtId="178" fontId="4" fillId="13" borderId="3" xfId="2" applyNumberFormat="1" applyFont="1" applyFill="1" applyBorder="1" applyAlignment="1">
      <alignment horizontal="left" vertical="center"/>
    </xf>
    <xf numFmtId="178" fontId="10" fillId="13" borderId="3" xfId="2" applyNumberFormat="1" applyFont="1" applyFill="1" applyBorder="1" applyAlignment="1">
      <alignment horizontal="left" vertical="center"/>
    </xf>
    <xf numFmtId="178" fontId="9" fillId="0" borderId="3" xfId="2" applyNumberFormat="1" applyFont="1" applyBorder="1" applyAlignment="1">
      <alignment horizontal="left" vertical="center"/>
    </xf>
    <xf numFmtId="178" fontId="1" fillId="16" borderId="3" xfId="2" applyNumberFormat="1" applyFill="1" applyBorder="1" applyAlignment="1">
      <alignment horizontal="left" vertical="center"/>
    </xf>
    <xf numFmtId="178" fontId="10" fillId="16" borderId="3" xfId="2" applyNumberFormat="1" applyFont="1" applyFill="1" applyBorder="1" applyAlignment="1">
      <alignment horizontal="left" vertical="center"/>
    </xf>
    <xf numFmtId="178" fontId="1" fillId="12" borderId="3" xfId="2" applyNumberFormat="1" applyFill="1" applyBorder="1" applyAlignment="1">
      <alignment horizontal="left" vertical="center"/>
    </xf>
    <xf numFmtId="178" fontId="8" fillId="16" borderId="3" xfId="2" applyNumberFormat="1" applyFont="1" applyFill="1" applyBorder="1" applyAlignment="1">
      <alignment horizontal="left" vertical="center"/>
    </xf>
    <xf numFmtId="178" fontId="8" fillId="0" borderId="3" xfId="2" quotePrefix="1" applyNumberFormat="1" applyFont="1" applyBorder="1" applyAlignment="1">
      <alignment vertical="top" wrapText="1"/>
    </xf>
    <xf numFmtId="178" fontId="10" fillId="0" borderId="3" xfId="2" quotePrefix="1" applyNumberFormat="1" applyFont="1" applyBorder="1" applyAlignment="1">
      <alignment vertical="top" wrapText="1"/>
    </xf>
    <xf numFmtId="178" fontId="7" fillId="12" borderId="3" xfId="2" applyNumberFormat="1" applyFont="1" applyFill="1" applyBorder="1" applyAlignment="1">
      <alignment horizontal="left" vertical="center"/>
    </xf>
    <xf numFmtId="178" fontId="7" fillId="0" borderId="3" xfId="2" applyNumberFormat="1" applyFont="1" applyBorder="1" applyAlignment="1">
      <alignment horizontal="left" vertical="center"/>
    </xf>
    <xf numFmtId="178" fontId="4" fillId="20" borderId="3" xfId="2" applyNumberFormat="1" applyFont="1" applyFill="1" applyBorder="1" applyAlignment="1">
      <alignment horizontal="left" vertical="center"/>
    </xf>
    <xf numFmtId="178" fontId="10" fillId="20" borderId="3" xfId="2" applyNumberFormat="1" applyFont="1" applyFill="1" applyBorder="1" applyAlignment="1">
      <alignment horizontal="left" vertical="center"/>
    </xf>
    <xf numFmtId="178" fontId="4" fillId="20" borderId="6" xfId="2" applyNumberFormat="1" applyFont="1" applyFill="1" applyBorder="1" applyAlignment="1">
      <alignment horizontal="left" vertical="center"/>
    </xf>
    <xf numFmtId="178" fontId="10" fillId="20" borderId="6" xfId="2" applyNumberFormat="1" applyFont="1" applyFill="1" applyBorder="1" applyAlignment="1">
      <alignment horizontal="left" vertical="center"/>
    </xf>
    <xf numFmtId="178" fontId="4" fillId="17" borderId="3" xfId="2" applyNumberFormat="1" applyFont="1" applyFill="1" applyBorder="1" applyAlignment="1">
      <alignment horizontal="left" vertical="center"/>
    </xf>
    <xf numFmtId="178" fontId="10" fillId="17" borderId="3" xfId="2" applyNumberFormat="1" applyFont="1" applyFill="1" applyBorder="1" applyAlignment="1">
      <alignment horizontal="left" vertical="center"/>
    </xf>
    <xf numFmtId="178" fontId="4" fillId="22" borderId="3" xfId="2" applyNumberFormat="1" applyFont="1" applyFill="1" applyBorder="1" applyAlignment="1">
      <alignment horizontal="left" vertical="center"/>
    </xf>
    <xf numFmtId="178" fontId="10" fillId="22" borderId="3" xfId="2" applyNumberFormat="1" applyFont="1" applyFill="1" applyBorder="1" applyAlignment="1">
      <alignment horizontal="left" vertical="center"/>
    </xf>
    <xf numFmtId="178" fontId="2" fillId="25" borderId="3" xfId="2" applyNumberFormat="1" applyFont="1" applyFill="1" applyBorder="1" applyAlignment="1">
      <alignment horizontal="left" vertical="center"/>
    </xf>
    <xf numFmtId="178" fontId="10" fillId="25" borderId="3" xfId="2" applyNumberFormat="1" applyFont="1" applyFill="1" applyBorder="1" applyAlignment="1">
      <alignment horizontal="left" vertical="center"/>
    </xf>
    <xf numFmtId="178" fontId="0" fillId="0" borderId="3" xfId="2" applyNumberFormat="1" applyFont="1" applyBorder="1"/>
    <xf numFmtId="178" fontId="10" fillId="0" borderId="3" xfId="2" applyNumberFormat="1" applyFont="1" applyBorder="1"/>
    <xf numFmtId="178" fontId="1" fillId="0" borderId="3" xfId="2" applyNumberFormat="1" applyBorder="1" applyAlignment="1">
      <alignment horizontal="left" vertical="center" indent="1"/>
    </xf>
    <xf numFmtId="178" fontId="10" fillId="0" borderId="3" xfId="2" applyNumberFormat="1" applyFont="1" applyBorder="1" applyAlignment="1">
      <alignment horizontal="left" vertical="center" indent="1"/>
    </xf>
    <xf numFmtId="178" fontId="3" fillId="0" borderId="3" xfId="2" applyNumberFormat="1" applyFont="1" applyBorder="1" applyAlignment="1">
      <alignment horizontal="left" vertical="center"/>
    </xf>
    <xf numFmtId="178" fontId="4" fillId="29" borderId="3" xfId="2" applyNumberFormat="1" applyFont="1" applyFill="1" applyBorder="1" applyAlignment="1">
      <alignment horizontal="left" vertical="center"/>
    </xf>
    <xf numFmtId="178" fontId="10" fillId="29" borderId="3" xfId="2" applyNumberFormat="1" applyFont="1" applyFill="1" applyBorder="1" applyAlignment="1">
      <alignment horizontal="left" vertical="center"/>
    </xf>
    <xf numFmtId="178" fontId="13" fillId="0" borderId="3" xfId="2" applyNumberFormat="1" applyFont="1" applyBorder="1" applyAlignment="1">
      <alignment horizontal="left" vertical="center"/>
    </xf>
    <xf numFmtId="178" fontId="4" fillId="0" borderId="3" xfId="2" applyNumberFormat="1" applyFont="1" applyBorder="1" applyAlignment="1">
      <alignment vertical="center"/>
    </xf>
    <xf numFmtId="178" fontId="10" fillId="0" borderId="3" xfId="2" applyNumberFormat="1" applyFont="1" applyBorder="1" applyAlignment="1">
      <alignment vertical="center"/>
    </xf>
    <xf numFmtId="178" fontId="1" fillId="0" borderId="3" xfId="2" applyNumberFormat="1" applyBorder="1" applyAlignment="1">
      <alignment vertical="center"/>
    </xf>
    <xf numFmtId="178" fontId="1" fillId="0" borderId="3" xfId="2" applyNumberFormat="1" applyBorder="1" applyAlignment="1">
      <alignment horizontal="left" vertical="center" indent="2"/>
    </xf>
    <xf numFmtId="178" fontId="10" fillId="0" borderId="3" xfId="2" applyNumberFormat="1" applyFont="1" applyBorder="1" applyAlignment="1">
      <alignment horizontal="left" vertical="center" indent="2"/>
    </xf>
    <xf numFmtId="178" fontId="4" fillId="32" borderId="6" xfId="2" applyNumberFormat="1" applyFont="1" applyFill="1" applyBorder="1" applyAlignment="1">
      <alignment horizontal="left" vertical="center"/>
    </xf>
    <xf numFmtId="178" fontId="10" fillId="32" borderId="6" xfId="2" applyNumberFormat="1" applyFont="1" applyFill="1" applyBorder="1" applyAlignment="1">
      <alignment horizontal="left" vertical="center"/>
    </xf>
    <xf numFmtId="178" fontId="4" fillId="32" borderId="3" xfId="2" applyNumberFormat="1" applyFont="1" applyFill="1" applyBorder="1" applyAlignment="1">
      <alignment horizontal="left" vertical="center"/>
    </xf>
    <xf numFmtId="178" fontId="10" fillId="32" borderId="3" xfId="2" applyNumberFormat="1" applyFont="1" applyFill="1" applyBorder="1" applyAlignment="1">
      <alignment horizontal="left" vertical="center"/>
    </xf>
    <xf numFmtId="178" fontId="1" fillId="34" borderId="3" xfId="2" applyNumberFormat="1" applyFill="1" applyBorder="1" applyAlignment="1">
      <alignment horizontal="left" vertical="center"/>
    </xf>
    <xf numFmtId="178" fontId="10" fillId="34" borderId="3" xfId="2" applyNumberFormat="1" applyFont="1" applyFill="1" applyBorder="1" applyAlignment="1">
      <alignment horizontal="left" vertical="center"/>
    </xf>
    <xf numFmtId="178" fontId="4" fillId="16" borderId="3" xfId="2" applyNumberFormat="1" applyFont="1" applyFill="1" applyBorder="1" applyAlignment="1">
      <alignment horizontal="left" vertical="center"/>
    </xf>
    <xf numFmtId="178" fontId="4" fillId="0" borderId="6" xfId="2" applyNumberFormat="1" applyFont="1" applyBorder="1" applyAlignment="1">
      <alignment horizontal="left" vertical="center"/>
    </xf>
    <xf numFmtId="178" fontId="9" fillId="35" borderId="0" xfId="2" applyNumberFormat="1" applyFont="1" applyFill="1" applyBorder="1" applyAlignment="1">
      <alignment horizontal="left" vertical="center"/>
    </xf>
    <xf numFmtId="178" fontId="10" fillId="35" borderId="0" xfId="2" applyNumberFormat="1" applyFont="1" applyFill="1" applyBorder="1" applyAlignment="1">
      <alignment horizontal="left" vertical="center"/>
    </xf>
    <xf numFmtId="178" fontId="9" fillId="0" borderId="3" xfId="2" applyNumberFormat="1" applyFont="1" applyFill="1" applyBorder="1" applyAlignment="1">
      <alignment horizontal="left" vertical="center"/>
    </xf>
    <xf numFmtId="178" fontId="10" fillId="0" borderId="3" xfId="2" applyNumberFormat="1" applyFont="1" applyFill="1" applyBorder="1" applyAlignment="1">
      <alignment horizontal="left" vertical="center"/>
    </xf>
    <xf numFmtId="178" fontId="9" fillId="0" borderId="3" xfId="2" applyNumberFormat="1" applyFont="1" applyBorder="1" applyAlignment="1">
      <alignment horizontal="left" vertical="center" wrapText="1"/>
    </xf>
    <xf numFmtId="178" fontId="10" fillId="0" borderId="3" xfId="2" applyNumberFormat="1" applyFont="1" applyBorder="1" applyAlignment="1">
      <alignment horizontal="left" vertical="center" wrapText="1"/>
    </xf>
    <xf numFmtId="178" fontId="8" fillId="0" borderId="3" xfId="2" applyNumberFormat="1" applyFont="1" applyBorder="1" applyAlignment="1">
      <alignment horizontal="left" vertical="center" wrapText="1"/>
    </xf>
    <xf numFmtId="178" fontId="8" fillId="12" borderId="3" xfId="2" applyNumberFormat="1" applyFont="1" applyFill="1" applyBorder="1" applyAlignment="1">
      <alignment horizontal="left" vertical="center" wrapText="1"/>
    </xf>
    <xf numFmtId="178" fontId="10" fillId="12" borderId="3" xfId="2" applyNumberFormat="1" applyFont="1" applyFill="1" applyBorder="1" applyAlignment="1">
      <alignment horizontal="left" vertical="center" wrapText="1"/>
    </xf>
    <xf numFmtId="178" fontId="9" fillId="16" borderId="3" xfId="2" applyNumberFormat="1" applyFont="1" applyFill="1" applyBorder="1" applyAlignment="1">
      <alignment horizontal="left" vertical="center" wrapText="1"/>
    </xf>
    <xf numFmtId="178" fontId="10" fillId="16" borderId="3" xfId="2" applyNumberFormat="1" applyFont="1" applyFill="1" applyBorder="1" applyAlignment="1">
      <alignment horizontal="left" vertical="center" wrapText="1"/>
    </xf>
    <xf numFmtId="178" fontId="9" fillId="13" borderId="6" xfId="2" applyNumberFormat="1" applyFont="1" applyFill="1" applyBorder="1" applyAlignment="1">
      <alignment horizontal="left" vertical="center"/>
    </xf>
    <xf numFmtId="178" fontId="10" fillId="13" borderId="6" xfId="2" applyNumberFormat="1" applyFont="1" applyFill="1" applyBorder="1" applyAlignment="1">
      <alignment horizontal="left" vertical="center"/>
    </xf>
    <xf numFmtId="178" fontId="8" fillId="21" borderId="3" xfId="2" applyNumberFormat="1" applyFont="1" applyFill="1" applyBorder="1" applyAlignment="1">
      <alignment horizontal="left" vertical="center"/>
    </xf>
    <xf numFmtId="178" fontId="4" fillId="29" borderId="6" xfId="2" applyNumberFormat="1" applyFont="1" applyFill="1" applyBorder="1" applyAlignment="1">
      <alignment horizontal="left" vertical="center"/>
    </xf>
    <xf numFmtId="178" fontId="10" fillId="29" borderId="6" xfId="2" applyNumberFormat="1" applyFont="1" applyFill="1" applyBorder="1" applyAlignment="1">
      <alignment horizontal="left" vertical="center"/>
    </xf>
    <xf numFmtId="178" fontId="2" fillId="25" borderId="6" xfId="2" applyNumberFormat="1" applyFont="1" applyFill="1" applyBorder="1" applyAlignment="1">
      <alignment horizontal="left" vertical="center"/>
    </xf>
    <xf numFmtId="178" fontId="10" fillId="25" borderId="6" xfId="2" applyNumberFormat="1" applyFont="1" applyFill="1" applyBorder="1" applyAlignment="1">
      <alignment horizontal="left" vertical="center"/>
    </xf>
    <xf numFmtId="178" fontId="5" fillId="25" borderId="35" xfId="2" applyNumberFormat="1" applyFont="1" applyFill="1" applyBorder="1" applyAlignment="1">
      <alignment horizontal="left" vertical="center"/>
    </xf>
    <xf numFmtId="178" fontId="10" fillId="25" borderId="35" xfId="2" applyNumberFormat="1" applyFont="1" applyFill="1" applyBorder="1" applyAlignment="1">
      <alignment horizontal="left" vertical="center"/>
    </xf>
    <xf numFmtId="178" fontId="5" fillId="25" borderId="3" xfId="2" applyNumberFormat="1" applyFont="1" applyFill="1" applyBorder="1" applyAlignment="1">
      <alignment horizontal="left" vertical="center"/>
    </xf>
    <xf numFmtId="178" fontId="8" fillId="3" borderId="3" xfId="2" applyNumberFormat="1" applyFont="1" applyFill="1" applyBorder="1" applyAlignment="1">
      <alignment horizontal="left" vertical="center"/>
    </xf>
    <xf numFmtId="178" fontId="1" fillId="3" borderId="3" xfId="2" applyNumberFormat="1" applyFill="1" applyBorder="1" applyAlignment="1">
      <alignment horizontal="left" vertical="center"/>
    </xf>
    <xf numFmtId="178" fontId="1" fillId="0" borderId="31" xfId="3" applyNumberFormat="1" applyBorder="1" applyAlignment="1">
      <alignment horizontal="left" vertical="center"/>
    </xf>
    <xf numFmtId="178" fontId="8" fillId="3" borderId="3" xfId="2" applyNumberFormat="1" applyFont="1" applyFill="1" applyBorder="1" applyAlignment="1">
      <alignment horizontal="left" vertical="center" wrapText="1"/>
    </xf>
    <xf numFmtId="10" fontId="18" fillId="0" borderId="0" xfId="8" applyNumberFormat="1" applyFont="1"/>
    <xf numFmtId="41" fontId="34" fillId="0" borderId="0" xfId="2" applyFont="1" applyFill="1" applyBorder="1" applyAlignment="1">
      <alignment horizontal="right"/>
    </xf>
    <xf numFmtId="9" fontId="0" fillId="0" borderId="0" xfId="0" applyNumberFormat="1"/>
    <xf numFmtId="164" fontId="4" fillId="4" borderId="6" xfId="1" applyNumberFormat="1" applyFont="1" applyFill="1" applyBorder="1" applyAlignment="1">
      <alignment horizontal="right" vertical="center"/>
    </xf>
    <xf numFmtId="164" fontId="4" fillId="95" borderId="6" xfId="1" applyNumberFormat="1" applyFont="1" applyFill="1" applyBorder="1" applyAlignment="1">
      <alignment horizontal="right" vertical="center"/>
    </xf>
    <xf numFmtId="164" fontId="4" fillId="95" borderId="3" xfId="1" applyNumberFormat="1" applyFont="1" applyFill="1" applyBorder="1" applyAlignment="1">
      <alignment horizontal="right" vertical="center"/>
    </xf>
    <xf numFmtId="164" fontId="10" fillId="79" borderId="3" xfId="1" applyNumberFormat="1" applyFont="1" applyFill="1" applyBorder="1" applyAlignment="1">
      <alignment horizontal="right" vertical="center"/>
    </xf>
    <xf numFmtId="164" fontId="4" fillId="79" borderId="3" xfId="1" applyNumberFormat="1" applyFont="1" applyFill="1" applyBorder="1" applyAlignment="1">
      <alignment horizontal="right" vertical="center"/>
    </xf>
    <xf numFmtId="164" fontId="1" fillId="79" borderId="3" xfId="1" applyNumberFormat="1" applyFont="1" applyFill="1" applyBorder="1" applyAlignment="1">
      <alignment horizontal="right" vertical="center"/>
    </xf>
    <xf numFmtId="164" fontId="9" fillId="79" borderId="6" xfId="1" applyNumberFormat="1" applyFont="1" applyFill="1" applyBorder="1" applyAlignment="1">
      <alignment horizontal="right" vertical="center"/>
    </xf>
    <xf numFmtId="41" fontId="18" fillId="0" borderId="0" xfId="2" applyFont="1"/>
    <xf numFmtId="10" fontId="22" fillId="0" borderId="0" xfId="8" applyNumberFormat="1" applyFont="1"/>
    <xf numFmtId="41" fontId="0" fillId="0" borderId="0" xfId="2" applyFont="1" applyBorder="1"/>
    <xf numFmtId="164" fontId="89" fillId="4" borderId="0" xfId="1" applyNumberFormat="1" applyFont="1" applyFill="1" applyBorder="1" applyAlignment="1">
      <alignment horizontal="right" vertical="center"/>
    </xf>
    <xf numFmtId="164" fontId="89" fillId="84" borderId="0" xfId="1" applyNumberFormat="1" applyFont="1" applyFill="1" applyBorder="1" applyAlignment="1">
      <alignment horizontal="right" vertical="center"/>
    </xf>
    <xf numFmtId="164" fontId="89" fillId="76" borderId="0" xfId="1" applyNumberFormat="1" applyFont="1" applyFill="1" applyBorder="1" applyAlignment="1">
      <alignment horizontal="right" vertical="center"/>
    </xf>
    <xf numFmtId="41" fontId="4" fillId="0" borderId="0" xfId="0" applyNumberFormat="1" applyFont="1"/>
    <xf numFmtId="167" fontId="0" fillId="0" borderId="15" xfId="0" applyNumberFormat="1" applyBorder="1"/>
    <xf numFmtId="167" fontId="4" fillId="0" borderId="19" xfId="0" applyNumberFormat="1" applyFont="1" applyBorder="1"/>
    <xf numFmtId="167" fontId="4" fillId="0" borderId="0" xfId="0" applyNumberFormat="1" applyFont="1"/>
    <xf numFmtId="3" fontId="22" fillId="0" borderId="0" xfId="10" applyNumberFormat="1" applyFont="1"/>
    <xf numFmtId="41" fontId="34" fillId="0" borderId="0" xfId="21" applyNumberFormat="1" applyFont="1" applyAlignment="1">
      <alignment vertical="center"/>
    </xf>
    <xf numFmtId="188" fontId="1" fillId="76" borderId="3" xfId="3" applyNumberFormat="1" applyFill="1" applyBorder="1" applyAlignment="1">
      <alignment horizontal="left" vertical="center"/>
    </xf>
    <xf numFmtId="41" fontId="1" fillId="76" borderId="3" xfId="2" applyFill="1" applyBorder="1" applyAlignment="1">
      <alignment horizontal="left" vertical="center"/>
    </xf>
    <xf numFmtId="41" fontId="1" fillId="5" borderId="3" xfId="2" applyFill="1" applyBorder="1" applyAlignment="1">
      <alignment horizontal="left" vertical="center"/>
    </xf>
    <xf numFmtId="41" fontId="1" fillId="96" borderId="3" xfId="2" applyFill="1" applyBorder="1" applyAlignment="1">
      <alignment horizontal="left" vertical="center"/>
    </xf>
    <xf numFmtId="41" fontId="1" fillId="78" borderId="3" xfId="2" applyFill="1" applyBorder="1" applyAlignment="1">
      <alignment horizontal="left" vertical="center"/>
    </xf>
    <xf numFmtId="178" fontId="1" fillId="76" borderId="3" xfId="3" applyNumberFormat="1" applyFill="1" applyBorder="1" applyAlignment="1">
      <alignment horizontal="left" vertical="center"/>
    </xf>
    <xf numFmtId="164" fontId="89" fillId="34" borderId="0" xfId="1" applyNumberFormat="1" applyFont="1" applyFill="1" applyBorder="1" applyAlignment="1">
      <alignment horizontal="right" vertical="center"/>
    </xf>
    <xf numFmtId="164" fontId="89" fillId="34" borderId="18" xfId="1" applyNumberFormat="1" applyFont="1" applyFill="1" applyBorder="1" applyAlignment="1">
      <alignment horizontal="right" vertical="center"/>
    </xf>
    <xf numFmtId="164" fontId="56" fillId="34" borderId="0" xfId="1" applyNumberFormat="1" applyFont="1" applyFill="1" applyBorder="1" applyAlignment="1">
      <alignment horizontal="right" vertical="center"/>
    </xf>
    <xf numFmtId="41" fontId="31" fillId="0" borderId="0" xfId="2" applyFont="1"/>
    <xf numFmtId="41" fontId="37" fillId="0" borderId="0" xfId="2" applyFont="1" applyFill="1" applyBorder="1" applyAlignment="1">
      <alignment horizontal="right"/>
    </xf>
    <xf numFmtId="41" fontId="4" fillId="0" borderId="0" xfId="2" applyFont="1" applyFill="1" applyBorder="1"/>
    <xf numFmtId="41" fontId="31" fillId="0" borderId="0" xfId="2" applyFont="1" applyFill="1" applyBorder="1" applyAlignment="1"/>
    <xf numFmtId="41" fontId="32" fillId="0" borderId="0" xfId="2" applyFont="1" applyFill="1" applyBorder="1"/>
    <xf numFmtId="41" fontId="32" fillId="0" borderId="0" xfId="2" applyFont="1" applyFill="1" applyBorder="1" applyAlignment="1"/>
    <xf numFmtId="41" fontId="32" fillId="0" borderId="0" xfId="2" applyFont="1" applyFill="1" applyBorder="1" applyAlignment="1">
      <alignment horizontal="right"/>
    </xf>
    <xf numFmtId="41" fontId="32" fillId="0" borderId="0" xfId="2" applyFont="1" applyAlignment="1">
      <alignment horizontal="right"/>
    </xf>
    <xf numFmtId="41" fontId="31" fillId="0" borderId="0" xfId="2" applyFont="1" applyFill="1" applyBorder="1"/>
    <xf numFmtId="41" fontId="32" fillId="0" borderId="0" xfId="2" applyFont="1"/>
    <xf numFmtId="41" fontId="31" fillId="0" borderId="0" xfId="2" applyFont="1" applyAlignment="1">
      <alignment horizontal="center"/>
    </xf>
    <xf numFmtId="10" fontId="8" fillId="76" borderId="3" xfId="8" applyNumberFormat="1" applyFont="1" applyFill="1" applyBorder="1" applyAlignment="1">
      <alignment horizontal="left" vertical="center" wrapText="1"/>
    </xf>
    <xf numFmtId="10" fontId="8" fillId="76" borderId="3" xfId="3" applyNumberFormat="1" applyFont="1" applyFill="1" applyBorder="1" applyAlignment="1">
      <alignment horizontal="left" vertical="center" wrapText="1"/>
    </xf>
    <xf numFmtId="10" fontId="8" fillId="75" borderId="3" xfId="8" applyNumberFormat="1" applyFont="1" applyFill="1" applyBorder="1" applyAlignment="1">
      <alignment horizontal="left" vertical="center"/>
    </xf>
    <xf numFmtId="10" fontId="8" fillId="75" borderId="3" xfId="1" applyNumberFormat="1" applyFont="1" applyFill="1" applyBorder="1" applyAlignment="1">
      <alignment horizontal="right" vertical="center"/>
    </xf>
    <xf numFmtId="164" fontId="8" fillId="16" borderId="3" xfId="2" applyNumberFormat="1" applyFont="1" applyFill="1" applyBorder="1" applyAlignment="1">
      <alignment horizontal="left" vertical="center" wrapText="1"/>
    </xf>
    <xf numFmtId="41" fontId="19" fillId="0" borderId="15" xfId="7" applyFont="1" applyFill="1" applyBorder="1" applyAlignment="1">
      <alignment horizontal="center"/>
    </xf>
    <xf numFmtId="167" fontId="45" fillId="0" borderId="0" xfId="7" applyNumberFormat="1" applyFont="1" applyFill="1" applyBorder="1" applyAlignment="1">
      <alignment horizontal="left"/>
    </xf>
    <xf numFmtId="0" fontId="51" fillId="74" borderId="0" xfId="0" applyFont="1" applyFill="1" applyAlignment="1">
      <alignment vertical="center"/>
    </xf>
    <xf numFmtId="0" fontId="45" fillId="74" borderId="0" xfId="13" applyFont="1" applyFill="1"/>
    <xf numFmtId="0" fontId="45" fillId="74" borderId="0" xfId="13" applyFont="1" applyFill="1" applyAlignment="1">
      <alignment vertical="top"/>
    </xf>
    <xf numFmtId="0" fontId="45" fillId="74" borderId="0" xfId="13" applyFont="1" applyFill="1" applyAlignment="1">
      <alignment horizontal="center" vertical="top"/>
    </xf>
    <xf numFmtId="164" fontId="45" fillId="74" borderId="0" xfId="14" applyFont="1" applyFill="1" applyBorder="1" applyAlignment="1">
      <alignment horizontal="right" vertical="center" wrapText="1"/>
    </xf>
    <xf numFmtId="164" fontId="45" fillId="74" borderId="0" xfId="20" applyNumberFormat="1" applyFont="1" applyFill="1" applyAlignment="1">
      <alignment horizontal="right" vertical="center" wrapText="1"/>
    </xf>
    <xf numFmtId="167" fontId="45" fillId="74" borderId="0" xfId="20" applyNumberFormat="1" applyFont="1" applyFill="1" applyAlignment="1">
      <alignment horizontal="right" wrapText="1"/>
    </xf>
    <xf numFmtId="167" fontId="45" fillId="74" borderId="0" xfId="20" applyNumberFormat="1" applyFont="1" applyFill="1" applyAlignment="1">
      <alignment horizontal="right" vertical="center" wrapText="1"/>
    </xf>
    <xf numFmtId="167" fontId="45" fillId="74" borderId="0" xfId="13" applyNumberFormat="1" applyFont="1" applyFill="1" applyAlignment="1">
      <alignment horizontal="right" vertical="center" wrapText="1"/>
    </xf>
    <xf numFmtId="0" fontId="52" fillId="74" borderId="0" xfId="0" applyFont="1" applyFill="1" applyAlignment="1">
      <alignment vertical="center"/>
    </xf>
    <xf numFmtId="164" fontId="45" fillId="74" borderId="15" xfId="14" applyFont="1" applyFill="1" applyBorder="1" applyAlignment="1">
      <alignment horizontal="right" vertical="center" wrapText="1"/>
    </xf>
    <xf numFmtId="164" fontId="45" fillId="74" borderId="15" xfId="20" applyNumberFormat="1" applyFont="1" applyFill="1" applyBorder="1" applyAlignment="1">
      <alignment horizontal="right" vertical="center" wrapText="1"/>
    </xf>
    <xf numFmtId="167" fontId="45" fillId="74" borderId="15" xfId="20" applyNumberFormat="1" applyFont="1" applyFill="1" applyBorder="1" applyAlignment="1">
      <alignment horizontal="right" vertical="center" wrapText="1"/>
    </xf>
    <xf numFmtId="167" fontId="45" fillId="74" borderId="0" xfId="13" applyNumberFormat="1" applyFont="1" applyFill="1"/>
    <xf numFmtId="167" fontId="45" fillId="74" borderId="15" xfId="13" applyNumberFormat="1" applyFont="1" applyFill="1" applyBorder="1" applyAlignment="1">
      <alignment horizontal="right" vertical="center" wrapText="1"/>
    </xf>
    <xf numFmtId="0" fontId="55" fillId="74" borderId="0" xfId="13" applyFont="1" applyFill="1"/>
    <xf numFmtId="0" fontId="44" fillId="74" borderId="0" xfId="13" applyFont="1" applyFill="1" applyAlignment="1">
      <alignment vertical="top"/>
    </xf>
    <xf numFmtId="0" fontId="45" fillId="74" borderId="0" xfId="13" applyFont="1" applyFill="1" applyAlignment="1">
      <alignment horizontal="right" vertical="center" wrapText="1"/>
    </xf>
    <xf numFmtId="0" fontId="46" fillId="74" borderId="0" xfId="13" applyFont="1" applyFill="1"/>
    <xf numFmtId="0" fontId="44" fillId="74" borderId="0" xfId="13" applyFont="1" applyFill="1"/>
    <xf numFmtId="164" fontId="44" fillId="74" borderId="19" xfId="13" applyNumberFormat="1" applyFont="1" applyFill="1" applyBorder="1" applyAlignment="1">
      <alignment horizontal="right" vertical="center" wrapText="1"/>
    </xf>
    <xf numFmtId="164" fontId="44" fillId="74" borderId="0" xfId="13" applyNumberFormat="1" applyFont="1" applyFill="1" applyAlignment="1">
      <alignment horizontal="right" vertical="center" wrapText="1"/>
    </xf>
    <xf numFmtId="167" fontId="44" fillId="74" borderId="0" xfId="13" applyNumberFormat="1" applyFont="1" applyFill="1" applyAlignment="1">
      <alignment horizontal="right" vertical="center" wrapText="1"/>
    </xf>
    <xf numFmtId="0" fontId="47" fillId="74" borderId="0" xfId="19" applyFont="1" applyFill="1" applyAlignment="1">
      <alignment vertical="center"/>
    </xf>
    <xf numFmtId="164" fontId="45" fillId="74" borderId="0" xfId="20" applyNumberFormat="1" applyFont="1" applyFill="1"/>
    <xf numFmtId="0" fontId="45" fillId="74" borderId="0" xfId="13" applyFont="1" applyFill="1" applyAlignment="1">
      <alignment horizontal="right" vertical="top"/>
    </xf>
    <xf numFmtId="167" fontId="45" fillId="74" borderId="0" xfId="20" applyNumberFormat="1" applyFont="1" applyFill="1"/>
    <xf numFmtId="167" fontId="45" fillId="74" borderId="0" xfId="20" applyNumberFormat="1" applyFont="1" applyFill="1" applyAlignment="1">
      <alignment horizontal="left"/>
    </xf>
    <xf numFmtId="0" fontId="54" fillId="74" borderId="0" xfId="13" applyFont="1" applyFill="1"/>
    <xf numFmtId="167" fontId="45" fillId="74" borderId="0" xfId="20" applyNumberFormat="1" applyFont="1" applyFill="1" applyAlignment="1">
      <alignment horizontal="right"/>
    </xf>
    <xf numFmtId="164" fontId="45" fillId="74" borderId="0" xfId="13" applyNumberFormat="1" applyFont="1" applyFill="1" applyAlignment="1">
      <alignment horizontal="right" vertical="center" wrapText="1"/>
    </xf>
    <xf numFmtId="167" fontId="45" fillId="74" borderId="0" xfId="7" applyNumberFormat="1" applyFont="1" applyFill="1" applyBorder="1" applyAlignment="1">
      <alignment horizontal="left"/>
    </xf>
    <xf numFmtId="167" fontId="44" fillId="74" borderId="0" xfId="13" applyNumberFormat="1" applyFont="1" applyFill="1"/>
    <xf numFmtId="167" fontId="45" fillId="74" borderId="15" xfId="20" applyNumberFormat="1" applyFont="1" applyFill="1" applyBorder="1" applyAlignment="1">
      <alignment horizontal="left" vertical="center" wrapText="1"/>
    </xf>
    <xf numFmtId="0" fontId="45" fillId="0" borderId="0" xfId="13" applyFont="1" applyAlignment="1">
      <alignment horizontal="center"/>
    </xf>
    <xf numFmtId="0" fontId="60" fillId="0" borderId="0" xfId="0" quotePrefix="1" applyFont="1" applyAlignment="1">
      <alignment horizontal="right" vertical="top"/>
    </xf>
    <xf numFmtId="49" fontId="37" fillId="76" borderId="0" xfId="0" applyNumberFormat="1" applyFont="1" applyFill="1" applyAlignment="1">
      <alignment horizontal="right" vertical="top" indent="4"/>
    </xf>
    <xf numFmtId="164" fontId="64" fillId="0" borderId="0" xfId="7" applyNumberFormat="1" applyFont="1" applyFill="1"/>
    <xf numFmtId="164" fontId="0" fillId="16" borderId="0" xfId="0" applyNumberFormat="1" applyFill="1"/>
    <xf numFmtId="164" fontId="0" fillId="16" borderId="15" xfId="0" applyNumberFormat="1" applyFill="1" applyBorder="1"/>
    <xf numFmtId="167" fontId="0" fillId="16" borderId="0" xfId="2" applyNumberFormat="1" applyFont="1" applyFill="1"/>
    <xf numFmtId="0" fontId="85" fillId="0" borderId="0" xfId="4" quotePrefix="1" applyNumberFormat="1" applyFont="1" applyFill="1" applyBorder="1" applyAlignment="1">
      <alignment horizontal="center" vertical="center"/>
    </xf>
    <xf numFmtId="164" fontId="89" fillId="0" borderId="0" xfId="1" applyNumberFormat="1" applyFont="1" applyFill="1" applyBorder="1" applyAlignment="1">
      <alignment horizontal="right" vertical="center"/>
    </xf>
    <xf numFmtId="164" fontId="89" fillId="0" borderId="0" xfId="7" applyNumberFormat="1" applyFont="1" applyFill="1" applyBorder="1" applyAlignment="1">
      <alignment horizontal="right" vertical="center"/>
    </xf>
    <xf numFmtId="164" fontId="85" fillId="0" borderId="0" xfId="1" applyNumberFormat="1" applyFont="1" applyFill="1" applyBorder="1" applyAlignment="1">
      <alignment horizontal="right" vertical="center"/>
    </xf>
    <xf numFmtId="164" fontId="56" fillId="0" borderId="0" xfId="1" applyNumberFormat="1" applyFont="1" applyFill="1" applyBorder="1" applyAlignment="1">
      <alignment horizontal="left" vertical="center"/>
    </xf>
    <xf numFmtId="164" fontId="56" fillId="0" borderId="0" xfId="7" applyNumberFormat="1" applyFont="1" applyFill="1" applyBorder="1" applyAlignment="1">
      <alignment horizontal="left" vertical="center"/>
    </xf>
    <xf numFmtId="184" fontId="56" fillId="0" borderId="0" xfId="1" applyNumberFormat="1" applyFont="1" applyFill="1" applyBorder="1" applyAlignment="1">
      <alignment horizontal="left" vertical="center"/>
    </xf>
    <xf numFmtId="0" fontId="85" fillId="0" borderId="0" xfId="3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0" fontId="85" fillId="0" borderId="0" xfId="3" applyFont="1" applyAlignment="1">
      <alignment horizontal="left" vertical="center"/>
    </xf>
    <xf numFmtId="0" fontId="56" fillId="0" borderId="0" xfId="3" applyFont="1" applyAlignment="1">
      <alignment horizontal="left" vertical="center"/>
    </xf>
    <xf numFmtId="0" fontId="89" fillId="0" borderId="0" xfId="3" applyFont="1" applyAlignment="1">
      <alignment horizontal="left" vertical="center"/>
    </xf>
    <xf numFmtId="41" fontId="89" fillId="0" borderId="0" xfId="7" applyFont="1" applyFill="1" applyBorder="1" applyAlignment="1">
      <alignment horizontal="left" vertical="center"/>
    </xf>
    <xf numFmtId="174" fontId="34" fillId="28" borderId="0" xfId="21" applyNumberFormat="1" applyFont="1" applyFill="1" applyAlignment="1">
      <alignment vertical="center"/>
    </xf>
    <xf numFmtId="174" fontId="39" fillId="28" borderId="0" xfId="21" applyNumberFormat="1" applyFont="1" applyFill="1" applyAlignment="1">
      <alignment vertical="center"/>
    </xf>
    <xf numFmtId="174" fontId="34" fillId="28" borderId="15" xfId="21" applyNumberFormat="1" applyFont="1" applyFill="1" applyBorder="1" applyAlignment="1">
      <alignment vertical="center"/>
    </xf>
    <xf numFmtId="174" fontId="39" fillId="0" borderId="0" xfId="21" applyNumberFormat="1" applyFont="1" applyAlignment="1">
      <alignment vertical="center"/>
    </xf>
    <xf numFmtId="174" fontId="34" fillId="0" borderId="0" xfId="7" applyNumberFormat="1" applyFont="1" applyAlignment="1">
      <alignment vertical="center"/>
    </xf>
    <xf numFmtId="167" fontId="31" fillId="0" borderId="0" xfId="8" applyNumberFormat="1" applyFont="1" applyFill="1"/>
    <xf numFmtId="167" fontId="32" fillId="0" borderId="15" xfId="1" applyNumberFormat="1" applyFont="1" applyFill="1" applyBorder="1" applyAlignment="1">
      <alignment horizontal="right"/>
    </xf>
    <xf numFmtId="167" fontId="32" fillId="0" borderId="15" xfId="7" applyNumberFormat="1" applyFont="1" applyFill="1" applyBorder="1" applyAlignment="1">
      <alignment horizontal="right"/>
    </xf>
    <xf numFmtId="167" fontId="32" fillId="0" borderId="0" xfId="7" applyNumberFormat="1" applyFont="1" applyFill="1" applyBorder="1" applyAlignment="1">
      <alignment horizontal="right"/>
    </xf>
    <xf numFmtId="0" fontId="37" fillId="0" borderId="0" xfId="26" applyFont="1"/>
    <xf numFmtId="0" fontId="34" fillId="0" borderId="0" xfId="26" applyFont="1"/>
    <xf numFmtId="0" fontId="37" fillId="0" borderId="0" xfId="26" applyFont="1" applyAlignment="1">
      <alignment vertical="center"/>
    </xf>
    <xf numFmtId="164" fontId="34" fillId="0" borderId="0" xfId="26" applyNumberFormat="1" applyFont="1"/>
    <xf numFmtId="164" fontId="34" fillId="0" borderId="23" xfId="27" applyNumberFormat="1" applyFont="1" applyBorder="1"/>
    <xf numFmtId="164" fontId="37" fillId="0" borderId="0" xfId="26" applyNumberFormat="1" applyFont="1"/>
    <xf numFmtId="3" fontId="34" fillId="0" borderId="0" xfId="26" applyNumberFormat="1" applyFont="1"/>
    <xf numFmtId="0" fontId="57" fillId="73" borderId="56" xfId="26" applyFont="1" applyFill="1" applyBorder="1" applyAlignment="1">
      <alignment horizontal="center" vertical="center" wrapText="1"/>
    </xf>
    <xf numFmtId="16" fontId="57" fillId="73" borderId="42" xfId="26" applyNumberFormat="1" applyFont="1" applyFill="1" applyBorder="1" applyAlignment="1">
      <alignment horizontal="center" vertical="center" wrapText="1"/>
    </xf>
    <xf numFmtId="0" fontId="57" fillId="73" borderId="42" xfId="26" applyFont="1" applyFill="1" applyBorder="1" applyAlignment="1">
      <alignment horizontal="center" vertical="center" wrapText="1"/>
    </xf>
    <xf numFmtId="0" fontId="57" fillId="73" borderId="47" xfId="26" applyFont="1" applyFill="1" applyBorder="1" applyAlignment="1">
      <alignment horizontal="center" vertical="center" wrapText="1"/>
    </xf>
    <xf numFmtId="174" fontId="37" fillId="0" borderId="0" xfId="2" applyNumberFormat="1" applyFont="1"/>
    <xf numFmtId="41" fontId="34" fillId="0" borderId="0" xfId="27" applyFont="1"/>
    <xf numFmtId="174" fontId="37" fillId="0" borderId="0" xfId="2" applyNumberFormat="1" applyFont="1" applyAlignment="1">
      <alignment vertical="center"/>
    </xf>
    <xf numFmtId="174" fontId="34" fillId="0" borderId="0" xfId="2" applyNumberFormat="1" applyFont="1"/>
    <xf numFmtId="16" fontId="37" fillId="73" borderId="58" xfId="2" applyNumberFormat="1" applyFont="1" applyFill="1" applyBorder="1" applyAlignment="1">
      <alignment horizontal="center" vertical="center"/>
    </xf>
    <xf numFmtId="0" fontId="57" fillId="73" borderId="40" xfId="26" applyFont="1" applyFill="1" applyBorder="1" applyAlignment="1">
      <alignment horizontal="center" vertical="center" wrapText="1"/>
    </xf>
    <xf numFmtId="0" fontId="57" fillId="73" borderId="71" xfId="26" applyFont="1" applyFill="1" applyBorder="1" applyAlignment="1">
      <alignment horizontal="center" vertical="center" wrapText="1"/>
    </xf>
    <xf numFmtId="0" fontId="57" fillId="73" borderId="71" xfId="26" applyFont="1" applyFill="1" applyBorder="1" applyAlignment="1">
      <alignment horizontal="center" vertical="center"/>
    </xf>
    <xf numFmtId="17" fontId="37" fillId="74" borderId="0" xfId="27" applyNumberFormat="1" applyFont="1" applyFill="1" applyBorder="1" applyAlignment="1">
      <alignment horizontal="center"/>
    </xf>
    <xf numFmtId="17" fontId="37" fillId="4" borderId="0" xfId="26" applyNumberFormat="1" applyFont="1" applyFill="1"/>
    <xf numFmtId="0" fontId="37" fillId="0" borderId="41" xfId="26" applyFont="1" applyBorder="1" applyAlignment="1">
      <alignment horizontal="left" vertical="center"/>
    </xf>
    <xf numFmtId="174" fontId="37" fillId="0" borderId="42" xfId="2" applyNumberFormat="1" applyFont="1" applyBorder="1" applyAlignment="1">
      <alignment horizontal="left" vertical="center"/>
    </xf>
    <xf numFmtId="0" fontId="34" fillId="0" borderId="42" xfId="26" applyFont="1" applyBorder="1" applyAlignment="1">
      <alignment vertical="center" wrapText="1"/>
    </xf>
    <xf numFmtId="0" fontId="34" fillId="0" borderId="0" xfId="26" applyFont="1" applyAlignment="1">
      <alignment vertical="center" wrapText="1"/>
    </xf>
    <xf numFmtId="0" fontId="37" fillId="0" borderId="43" xfId="26" applyFont="1" applyBorder="1" applyAlignment="1">
      <alignment horizontal="right" vertical="center"/>
    </xf>
    <xf numFmtId="0" fontId="37" fillId="0" borderId="0" xfId="26" applyFont="1" applyAlignment="1">
      <alignment horizontal="right" vertical="center"/>
    </xf>
    <xf numFmtId="41" fontId="34" fillId="0" borderId="25" xfId="27" applyFont="1" applyBorder="1"/>
    <xf numFmtId="0" fontId="60" fillId="0" borderId="41" xfId="26" applyFont="1" applyBorder="1" applyAlignment="1">
      <alignment horizontal="left" vertical="center"/>
    </xf>
    <xf numFmtId="174" fontId="60" fillId="0" borderId="42" xfId="2" applyNumberFormat="1" applyFont="1" applyBorder="1" applyAlignment="1">
      <alignment horizontal="left" vertical="center"/>
    </xf>
    <xf numFmtId="0" fontId="59" fillId="0" borderId="43" xfId="26" applyFont="1" applyBorder="1" applyAlignment="1">
      <alignment horizontal="right" vertical="center"/>
    </xf>
    <xf numFmtId="0" fontId="59" fillId="0" borderId="0" xfId="26" applyFont="1" applyAlignment="1">
      <alignment horizontal="right" vertical="center"/>
    </xf>
    <xf numFmtId="41" fontId="34" fillId="0" borderId="23" xfId="27" applyFont="1" applyBorder="1"/>
    <xf numFmtId="0" fontId="34" fillId="0" borderId="41" xfId="26" applyFont="1" applyBorder="1" applyAlignment="1">
      <alignment horizontal="left" vertical="center"/>
    </xf>
    <xf numFmtId="174" fontId="34" fillId="0" borderId="42" xfId="2" applyNumberFormat="1" applyFont="1" applyBorder="1" applyAlignment="1">
      <alignment horizontal="left" vertical="center"/>
    </xf>
    <xf numFmtId="164" fontId="34" fillId="0" borderId="42" xfId="27" applyNumberFormat="1" applyFont="1" applyBorder="1" applyAlignment="1">
      <alignment horizontal="right" vertical="center"/>
    </xf>
    <xf numFmtId="164" fontId="34" fillId="0" borderId="0" xfId="27" applyNumberFormat="1" applyFont="1" applyAlignment="1">
      <alignment horizontal="right" vertical="center"/>
    </xf>
    <xf numFmtId="164" fontId="34" fillId="0" borderId="41" xfId="27" applyNumberFormat="1" applyFont="1" applyBorder="1" applyAlignment="1">
      <alignment horizontal="right" vertical="center"/>
    </xf>
    <xf numFmtId="164" fontId="34" fillId="0" borderId="0" xfId="26" applyNumberFormat="1" applyFont="1" applyAlignment="1">
      <alignment horizontal="right" vertical="center"/>
    </xf>
    <xf numFmtId="164" fontId="34" fillId="0" borderId="42" xfId="27" applyNumberFormat="1" applyFont="1" applyBorder="1" applyAlignment="1">
      <alignment horizontal="right" vertical="center" wrapText="1"/>
    </xf>
    <xf numFmtId="0" fontId="34" fillId="0" borderId="44" xfId="26" applyFont="1" applyBorder="1" applyAlignment="1">
      <alignment horizontal="left" vertical="center"/>
    </xf>
    <xf numFmtId="174" fontId="34" fillId="0" borderId="44" xfId="2" applyNumberFormat="1" applyFont="1" applyBorder="1" applyAlignment="1">
      <alignment horizontal="left" vertical="center"/>
    </xf>
    <xf numFmtId="164" fontId="34" fillId="0" borderId="44" xfId="27" applyNumberFormat="1" applyFont="1" applyBorder="1" applyAlignment="1">
      <alignment horizontal="right" vertical="center" wrapText="1"/>
    </xf>
    <xf numFmtId="164" fontId="34" fillId="0" borderId="45" xfId="27" applyNumberFormat="1" applyFont="1" applyBorder="1" applyAlignment="1">
      <alignment horizontal="right" vertical="center" wrapText="1"/>
    </xf>
    <xf numFmtId="164" fontId="34" fillId="0" borderId="46" xfId="27" applyNumberFormat="1" applyFont="1" applyBorder="1"/>
    <xf numFmtId="0" fontId="37" fillId="0" borderId="44" xfId="26" applyFont="1" applyBorder="1" applyAlignment="1">
      <alignment horizontal="left" vertical="center"/>
    </xf>
    <xf numFmtId="164" fontId="37" fillId="0" borderId="47" xfId="27" applyNumberFormat="1" applyFont="1" applyBorder="1" applyAlignment="1">
      <alignment horizontal="right" vertical="center" wrapText="1"/>
    </xf>
    <xf numFmtId="164" fontId="37" fillId="0" borderId="0" xfId="26" applyNumberFormat="1" applyFont="1" applyAlignment="1">
      <alignment horizontal="right" vertical="center" wrapText="1"/>
    </xf>
    <xf numFmtId="164" fontId="37" fillId="0" borderId="48" xfId="27" applyNumberFormat="1" applyFont="1" applyBorder="1"/>
    <xf numFmtId="164" fontId="37" fillId="0" borderId="49" xfId="27" applyNumberFormat="1" applyFont="1" applyBorder="1"/>
    <xf numFmtId="9" fontId="37" fillId="0" borderId="50" xfId="28" applyFont="1" applyBorder="1"/>
    <xf numFmtId="9" fontId="37" fillId="0" borderId="51" xfId="28" applyFont="1" applyBorder="1"/>
    <xf numFmtId="164" fontId="34" fillId="0" borderId="42" xfId="26" applyNumberFormat="1" applyFont="1" applyBorder="1" applyAlignment="1">
      <alignment vertical="top" wrapText="1"/>
    </xf>
    <xf numFmtId="164" fontId="34" fillId="0" borderId="42" xfId="26" applyNumberFormat="1" applyFont="1" applyBorder="1" applyAlignment="1">
      <alignment horizontal="right" vertical="center"/>
    </xf>
    <xf numFmtId="164" fontId="34" fillId="0" borderId="25" xfId="27" applyNumberFormat="1" applyFont="1" applyBorder="1"/>
    <xf numFmtId="9" fontId="34" fillId="0" borderId="25" xfId="28" applyFont="1" applyBorder="1"/>
    <xf numFmtId="174" fontId="34" fillId="0" borderId="47" xfId="2" applyNumberFormat="1" applyFont="1" applyBorder="1" applyAlignment="1">
      <alignment horizontal="left" vertical="center"/>
    </xf>
    <xf numFmtId="164" fontId="34" fillId="0" borderId="47" xfId="27" applyNumberFormat="1" applyFont="1" applyBorder="1" applyAlignment="1">
      <alignment horizontal="right" vertical="center"/>
    </xf>
    <xf numFmtId="0" fontId="37" fillId="0" borderId="52" xfId="26" applyFont="1" applyBorder="1" applyAlignment="1">
      <alignment horizontal="left" vertical="center"/>
    </xf>
    <xf numFmtId="174" fontId="37" fillId="0" borderId="53" xfId="27" applyNumberFormat="1" applyFont="1" applyBorder="1" applyAlignment="1">
      <alignment horizontal="right" vertical="center" wrapText="1"/>
    </xf>
    <xf numFmtId="164" fontId="37" fillId="0" borderId="53" xfId="27" applyNumberFormat="1" applyFont="1" applyBorder="1" applyAlignment="1">
      <alignment horizontal="right" vertical="center" wrapText="1"/>
    </xf>
    <xf numFmtId="164" fontId="37" fillId="0" borderId="51" xfId="27" applyNumberFormat="1" applyFont="1" applyBorder="1"/>
    <xf numFmtId="0" fontId="37" fillId="76" borderId="44" xfId="26" applyFont="1" applyFill="1" applyBorder="1" applyAlignment="1">
      <alignment horizontal="left" vertical="center"/>
    </xf>
    <xf numFmtId="174" fontId="37" fillId="76" borderId="54" xfId="27" applyNumberFormat="1" applyFont="1" applyFill="1" applyBorder="1" applyAlignment="1">
      <alignment horizontal="right" vertical="center" wrapText="1"/>
    </xf>
    <xf numFmtId="164" fontId="37" fillId="76" borderId="54" xfId="27" applyNumberFormat="1" applyFont="1" applyFill="1" applyBorder="1" applyAlignment="1">
      <alignment horizontal="right" vertical="center" wrapText="1"/>
    </xf>
    <xf numFmtId="164" fontId="37" fillId="76" borderId="0" xfId="26" applyNumberFormat="1" applyFont="1" applyFill="1" applyAlignment="1">
      <alignment horizontal="right" vertical="center" wrapText="1"/>
    </xf>
    <xf numFmtId="164" fontId="37" fillId="76" borderId="0" xfId="26" applyNumberFormat="1" applyFont="1" applyFill="1"/>
    <xf numFmtId="164" fontId="37" fillId="76" borderId="55" xfId="27" applyNumberFormat="1" applyFont="1" applyFill="1" applyBorder="1"/>
    <xf numFmtId="0" fontId="37" fillId="76" borderId="0" xfId="26" applyFont="1" applyFill="1"/>
    <xf numFmtId="9" fontId="37" fillId="76" borderId="55" xfId="28" applyFont="1" applyFill="1" applyBorder="1"/>
    <xf numFmtId="0" fontId="34" fillId="0" borderId="41" xfId="26" applyFont="1" applyBorder="1"/>
    <xf numFmtId="174" fontId="34" fillId="0" borderId="42" xfId="2" applyNumberFormat="1" applyFont="1" applyBorder="1"/>
    <xf numFmtId="164" fontId="34" fillId="0" borderId="42" xfId="26" applyNumberFormat="1" applyFont="1" applyBorder="1" applyAlignment="1">
      <alignment vertical="center" wrapText="1"/>
    </xf>
    <xf numFmtId="164" fontId="37" fillId="0" borderId="42" xfId="26" applyNumberFormat="1" applyFont="1" applyBorder="1" applyAlignment="1">
      <alignment horizontal="right" vertical="center"/>
    </xf>
    <xf numFmtId="164" fontId="37" fillId="0" borderId="0" xfId="26" applyNumberFormat="1" applyFont="1" applyAlignment="1">
      <alignment horizontal="right" vertical="center"/>
    </xf>
    <xf numFmtId="0" fontId="60" fillId="0" borderId="41" xfId="26" applyFont="1" applyBorder="1" applyAlignment="1">
      <alignment horizontal="left" vertical="center" wrapText="1"/>
    </xf>
    <xf numFmtId="174" fontId="60" fillId="0" borderId="42" xfId="2" applyNumberFormat="1" applyFont="1" applyBorder="1" applyAlignment="1">
      <alignment horizontal="left" vertical="center" wrapText="1"/>
    </xf>
    <xf numFmtId="164" fontId="59" fillId="0" borderId="42" xfId="26" applyNumberFormat="1" applyFont="1" applyBorder="1" applyAlignment="1">
      <alignment horizontal="right" vertical="center"/>
    </xf>
    <xf numFmtId="164" fontId="59" fillId="0" borderId="0" xfId="26" applyNumberFormat="1" applyFont="1" applyAlignment="1">
      <alignment horizontal="right" vertical="center"/>
    </xf>
    <xf numFmtId="0" fontId="39" fillId="0" borderId="41" xfId="26" applyFont="1" applyBorder="1" applyAlignment="1">
      <alignment horizontal="left" vertical="center" wrapText="1"/>
    </xf>
    <xf numFmtId="174" fontId="39" fillId="0" borderId="42" xfId="2" applyNumberFormat="1" applyFont="1" applyBorder="1" applyAlignment="1">
      <alignment horizontal="left" vertical="center" wrapText="1"/>
    </xf>
    <xf numFmtId="0" fontId="34" fillId="0" borderId="41" xfId="26" applyFont="1" applyBorder="1" applyAlignment="1">
      <alignment horizontal="left" vertical="center" wrapText="1"/>
    </xf>
    <xf numFmtId="174" fontId="34" fillId="0" borderId="42" xfId="2" applyNumberFormat="1" applyFont="1" applyBorder="1" applyAlignment="1">
      <alignment horizontal="left" vertical="center" wrapText="1"/>
    </xf>
    <xf numFmtId="0" fontId="39" fillId="0" borderId="41" xfId="26" applyFont="1" applyBorder="1" applyAlignment="1">
      <alignment horizontal="left" vertical="center" wrapText="1" indent="1"/>
    </xf>
    <xf numFmtId="174" fontId="39" fillId="0" borderId="42" xfId="2" applyNumberFormat="1" applyFont="1" applyBorder="1" applyAlignment="1">
      <alignment horizontal="left" vertical="center" wrapText="1" indent="1"/>
    </xf>
    <xf numFmtId="164" fontId="34" fillId="0" borderId="0" xfId="27" applyNumberFormat="1" applyFont="1" applyBorder="1" applyAlignment="1">
      <alignment horizontal="right" vertical="center"/>
    </xf>
    <xf numFmtId="0" fontId="39" fillId="0" borderId="44" xfId="26" applyFont="1" applyBorder="1" applyAlignment="1">
      <alignment horizontal="left" vertical="center" wrapText="1" indent="1"/>
    </xf>
    <xf numFmtId="174" fontId="39" fillId="0" borderId="47" xfId="2" applyNumberFormat="1" applyFont="1" applyBorder="1" applyAlignment="1">
      <alignment horizontal="left" vertical="center" wrapText="1" indent="1"/>
    </xf>
    <xf numFmtId="0" fontId="37" fillId="0" borderId="44" xfId="26" applyFont="1" applyBorder="1" applyAlignment="1">
      <alignment horizontal="left" vertical="center" wrapText="1"/>
    </xf>
    <xf numFmtId="174" fontId="37" fillId="0" borderId="47" xfId="27" applyNumberFormat="1" applyFont="1" applyBorder="1" applyAlignment="1">
      <alignment horizontal="right" vertical="center" wrapText="1"/>
    </xf>
    <xf numFmtId="0" fontId="39" fillId="0" borderId="41" xfId="26" applyFont="1" applyBorder="1" applyAlignment="1">
      <alignment horizontal="left" vertical="center"/>
    </xf>
    <xf numFmtId="174" fontId="39" fillId="0" borderId="42" xfId="2" applyNumberFormat="1" applyFont="1" applyBorder="1" applyAlignment="1">
      <alignment horizontal="left" vertical="center"/>
    </xf>
    <xf numFmtId="0" fontId="39" fillId="0" borderId="41" xfId="26" applyFont="1" applyBorder="1" applyAlignment="1">
      <alignment horizontal="left" vertical="center" indent="1"/>
    </xf>
    <xf numFmtId="174" fontId="39" fillId="0" borderId="42" xfId="2" applyNumberFormat="1" applyFont="1" applyBorder="1" applyAlignment="1">
      <alignment horizontal="left" vertical="center" indent="1"/>
    </xf>
    <xf numFmtId="164" fontId="37" fillId="0" borderId="50" xfId="27" applyNumberFormat="1" applyFont="1" applyBorder="1"/>
    <xf numFmtId="0" fontId="37" fillId="76" borderId="44" xfId="26" applyFont="1" applyFill="1" applyBorder="1" applyAlignment="1">
      <alignment horizontal="left" vertical="center" wrapText="1"/>
    </xf>
    <xf numFmtId="174" fontId="37" fillId="76" borderId="47" xfId="27" applyNumberFormat="1" applyFont="1" applyFill="1" applyBorder="1" applyAlignment="1">
      <alignment horizontal="right" vertical="center" wrapText="1"/>
    </xf>
    <xf numFmtId="164" fontId="37" fillId="76" borderId="47" xfId="27" applyNumberFormat="1" applyFont="1" applyFill="1" applyBorder="1" applyAlignment="1">
      <alignment horizontal="right" vertical="center" wrapText="1"/>
    </xf>
    <xf numFmtId="164" fontId="37" fillId="76" borderId="50" xfId="27" applyNumberFormat="1" applyFont="1" applyFill="1" applyBorder="1"/>
    <xf numFmtId="9" fontId="37" fillId="76" borderId="51" xfId="28" applyFont="1" applyFill="1" applyBorder="1"/>
    <xf numFmtId="0" fontId="34" fillId="0" borderId="41" xfId="26" applyFont="1" applyBorder="1" applyAlignment="1">
      <alignment vertical="center"/>
    </xf>
    <xf numFmtId="174" fontId="34" fillId="0" borderId="42" xfId="2" applyNumberFormat="1" applyFont="1" applyBorder="1" applyAlignment="1">
      <alignment vertical="center"/>
    </xf>
    <xf numFmtId="164" fontId="34" fillId="0" borderId="42" xfId="27" applyNumberFormat="1" applyFont="1" applyBorder="1" applyAlignment="1">
      <alignment vertical="center" wrapText="1"/>
    </xf>
    <xf numFmtId="164" fontId="34" fillId="0" borderId="0" xfId="26" applyNumberFormat="1" applyFont="1" applyAlignment="1">
      <alignment vertical="center"/>
    </xf>
    <xf numFmtId="164" fontId="34" fillId="0" borderId="0" xfId="27" applyNumberFormat="1" applyFont="1" applyBorder="1" applyAlignment="1">
      <alignment horizontal="right" vertical="center" wrapText="1"/>
    </xf>
    <xf numFmtId="164" fontId="34" fillId="0" borderId="42" xfId="27" applyNumberFormat="1" applyFont="1" applyBorder="1" applyAlignment="1">
      <alignment vertical="center"/>
    </xf>
    <xf numFmtId="164" fontId="34" fillId="0" borderId="47" xfId="27" applyNumberFormat="1" applyFont="1" applyBorder="1" applyAlignment="1">
      <alignment horizontal="right" vertical="center" wrapText="1"/>
    </xf>
    <xf numFmtId="0" fontId="59" fillId="0" borderId="0" xfId="26" applyFont="1" applyAlignment="1">
      <alignment horizontal="left" vertical="center"/>
    </xf>
    <xf numFmtId="41" fontId="34" fillId="0" borderId="31" xfId="27" applyFont="1" applyBorder="1"/>
    <xf numFmtId="0" fontId="34" fillId="0" borderId="31" xfId="26" applyFont="1" applyBorder="1"/>
    <xf numFmtId="164" fontId="34" fillId="0" borderId="31" xfId="27" applyNumberFormat="1" applyFont="1" applyBorder="1"/>
    <xf numFmtId="9" fontId="34" fillId="0" borderId="31" xfId="28" applyFont="1" applyBorder="1"/>
    <xf numFmtId="164" fontId="34" fillId="0" borderId="50" xfId="27" applyNumberFormat="1" applyFont="1" applyBorder="1"/>
    <xf numFmtId="9" fontId="34" fillId="0" borderId="50" xfId="28" applyFont="1" applyBorder="1"/>
    <xf numFmtId="17" fontId="37" fillId="74" borderId="52" xfId="26" applyNumberFormat="1" applyFont="1" applyFill="1" applyBorder="1" applyAlignment="1">
      <alignment horizontal="center"/>
    </xf>
    <xf numFmtId="17" fontId="37" fillId="4" borderId="52" xfId="26" applyNumberFormat="1" applyFont="1" applyFill="1" applyBorder="1" applyAlignment="1">
      <alignment horizontal="center"/>
    </xf>
    <xf numFmtId="0" fontId="34" fillId="0" borderId="67" xfId="26" applyFont="1" applyBorder="1" applyAlignment="1">
      <alignment horizontal="left" vertical="center" wrapText="1"/>
    </xf>
    <xf numFmtId="164" fontId="34" fillId="0" borderId="31" xfId="27" applyNumberFormat="1" applyFont="1" applyBorder="1" applyAlignment="1">
      <alignment horizontal="right"/>
    </xf>
    <xf numFmtId="0" fontId="37" fillId="0" borderId="67" xfId="26" applyFont="1" applyBorder="1" applyAlignment="1">
      <alignment horizontal="left" vertical="center" wrapText="1"/>
    </xf>
    <xf numFmtId="164" fontId="37" fillId="0" borderId="31" xfId="27" applyNumberFormat="1" applyFont="1" applyBorder="1"/>
    <xf numFmtId="9" fontId="37" fillId="0" borderId="31" xfId="28" applyFont="1" applyBorder="1"/>
    <xf numFmtId="164" fontId="34" fillId="0" borderId="68" xfId="27" applyNumberFormat="1" applyFont="1" applyBorder="1" applyAlignment="1">
      <alignment horizontal="right"/>
    </xf>
    <xf numFmtId="9" fontId="34" fillId="0" borderId="0" xfId="26" applyNumberFormat="1" applyFont="1"/>
    <xf numFmtId="164" fontId="37" fillId="0" borderId="25" xfId="27" applyNumberFormat="1" applyFont="1" applyBorder="1"/>
    <xf numFmtId="9" fontId="37" fillId="0" borderId="25" xfId="28" applyFont="1" applyBorder="1"/>
    <xf numFmtId="0" fontId="37" fillId="0" borderId="52" xfId="26" applyFont="1" applyBorder="1" applyAlignment="1">
      <alignment horizontal="left" vertical="center" wrapText="1"/>
    </xf>
    <xf numFmtId="167" fontId="57" fillId="0" borderId="52" xfId="26" applyNumberFormat="1" applyFont="1" applyBorder="1" applyAlignment="1">
      <alignment horizontal="right" vertical="center" wrapText="1"/>
    </xf>
    <xf numFmtId="164" fontId="57" fillId="0" borderId="52" xfId="27" applyNumberFormat="1" applyFont="1" applyBorder="1" applyAlignment="1">
      <alignment horizontal="right" vertical="center" wrapText="1"/>
    </xf>
    <xf numFmtId="0" fontId="37" fillId="0" borderId="62" xfId="26" applyFont="1" applyBorder="1" applyAlignment="1">
      <alignment horizontal="left" vertical="center" wrapText="1"/>
    </xf>
    <xf numFmtId="167" fontId="57" fillId="0" borderId="62" xfId="26" applyNumberFormat="1" applyFont="1" applyBorder="1" applyAlignment="1">
      <alignment horizontal="right" vertical="center" wrapText="1"/>
    </xf>
    <xf numFmtId="167" fontId="57" fillId="0" borderId="44" xfId="26" applyNumberFormat="1" applyFont="1" applyBorder="1" applyAlignment="1">
      <alignment horizontal="right" vertical="center" wrapText="1"/>
    </xf>
    <xf numFmtId="167" fontId="39" fillId="0" borderId="62" xfId="27" applyNumberFormat="1" applyFont="1" applyBorder="1" applyAlignment="1">
      <alignment horizontal="right" vertical="center" wrapText="1"/>
    </xf>
    <xf numFmtId="164" fontId="39" fillId="0" borderId="62" xfId="27" applyNumberFormat="1" applyFont="1" applyBorder="1" applyAlignment="1">
      <alignment horizontal="right" vertical="center" wrapText="1"/>
    </xf>
    <xf numFmtId="164" fontId="37" fillId="0" borderId="44" xfId="27" applyNumberFormat="1" applyFont="1" applyBorder="1" applyAlignment="1">
      <alignment horizontal="right"/>
    </xf>
    <xf numFmtId="0" fontId="34" fillId="0" borderId="62" xfId="26" applyFont="1" applyBorder="1" applyAlignment="1">
      <alignment horizontal="left" vertical="center" wrapText="1"/>
    </xf>
    <xf numFmtId="167" fontId="39" fillId="0" borderId="62" xfId="26" applyNumberFormat="1" applyFont="1" applyBorder="1" applyAlignment="1">
      <alignment horizontal="right" vertical="center" wrapText="1"/>
    </xf>
    <xf numFmtId="167" fontId="39" fillId="0" borderId="41" xfId="26" applyNumberFormat="1" applyFont="1" applyBorder="1" applyAlignment="1">
      <alignment horizontal="right" vertical="center" wrapText="1"/>
    </xf>
    <xf numFmtId="167" fontId="57" fillId="0" borderId="41" xfId="26" applyNumberFormat="1" applyFont="1" applyBorder="1" applyAlignment="1">
      <alignment horizontal="right" vertical="center" wrapText="1"/>
    </xf>
    <xf numFmtId="164" fontId="37" fillId="0" borderId="41" xfId="27" applyNumberFormat="1" applyFont="1" applyBorder="1" applyAlignment="1">
      <alignment horizontal="right"/>
    </xf>
    <xf numFmtId="0" fontId="37" fillId="0" borderId="75" xfId="26" applyFont="1" applyBorder="1" applyAlignment="1">
      <alignment horizontal="left" vertical="center" wrapText="1"/>
    </xf>
    <xf numFmtId="176" fontId="39" fillId="0" borderId="44" xfId="27" applyNumberFormat="1" applyFont="1" applyBorder="1" applyAlignment="1">
      <alignment horizontal="right" vertical="center" wrapText="1"/>
    </xf>
    <xf numFmtId="167" fontId="39" fillId="0" borderId="41" xfId="26" applyNumberFormat="1" applyFont="1" applyBorder="1" applyAlignment="1">
      <alignment vertical="center" wrapText="1"/>
    </xf>
    <xf numFmtId="164" fontId="34" fillId="0" borderId="41" xfId="27" applyNumberFormat="1" applyFont="1" applyBorder="1" applyAlignment="1"/>
    <xf numFmtId="164" fontId="39" fillId="0" borderId="41" xfId="27" applyNumberFormat="1" applyFont="1" applyBorder="1" applyAlignment="1">
      <alignment vertical="center" wrapText="1"/>
    </xf>
    <xf numFmtId="164" fontId="57" fillId="0" borderId="52" xfId="27" applyNumberFormat="1" applyFont="1" applyBorder="1" applyAlignment="1">
      <alignment vertical="center" wrapText="1"/>
    </xf>
    <xf numFmtId="167" fontId="57" fillId="0" borderId="52" xfId="26" applyNumberFormat="1" applyFont="1" applyBorder="1" applyAlignment="1">
      <alignment vertical="center" wrapText="1"/>
    </xf>
    <xf numFmtId="167" fontId="57" fillId="0" borderId="41" xfId="26" applyNumberFormat="1" applyFont="1" applyBorder="1" applyAlignment="1">
      <alignment vertical="center" wrapText="1"/>
    </xf>
    <xf numFmtId="164" fontId="57" fillId="0" borderId="41" xfId="27" applyNumberFormat="1" applyFont="1" applyBorder="1" applyAlignment="1">
      <alignment vertical="center" wrapText="1"/>
    </xf>
    <xf numFmtId="167" fontId="57" fillId="0" borderId="62" xfId="26" applyNumberFormat="1" applyFont="1" applyBorder="1" applyAlignment="1">
      <alignment vertical="center" wrapText="1"/>
    </xf>
    <xf numFmtId="164" fontId="37" fillId="0" borderId="62" xfId="26" applyNumberFormat="1" applyFont="1" applyBorder="1"/>
    <xf numFmtId="164" fontId="57" fillId="0" borderId="44" xfId="27" applyNumberFormat="1" applyFont="1" applyBorder="1" applyAlignment="1">
      <alignment vertical="center" wrapText="1"/>
    </xf>
    <xf numFmtId="167" fontId="39" fillId="0" borderId="62" xfId="27" applyNumberFormat="1" applyFont="1" applyBorder="1" applyAlignment="1">
      <alignment vertical="center" wrapText="1"/>
    </xf>
    <xf numFmtId="164" fontId="34" fillId="0" borderId="62" xfId="27" applyNumberFormat="1" applyFont="1" applyBorder="1" applyAlignment="1"/>
    <xf numFmtId="164" fontId="39" fillId="0" borderId="62" xfId="27" applyNumberFormat="1" applyFont="1" applyBorder="1" applyAlignment="1">
      <alignment vertical="center" wrapText="1"/>
    </xf>
    <xf numFmtId="164" fontId="37" fillId="0" borderId="44" xfId="27" applyNumberFormat="1" applyFont="1" applyBorder="1" applyAlignment="1"/>
    <xf numFmtId="169" fontId="37" fillId="0" borderId="75" xfId="43" applyNumberFormat="1" applyFont="1" applyBorder="1" applyAlignment="1"/>
    <xf numFmtId="164" fontId="34" fillId="0" borderId="41" xfId="27" applyNumberFormat="1" applyFont="1" applyBorder="1" applyAlignment="1">
      <alignment vertical="center"/>
    </xf>
    <xf numFmtId="0" fontId="37" fillId="74" borderId="52" xfId="26" applyFont="1" applyFill="1" applyBorder="1"/>
    <xf numFmtId="0" fontId="37" fillId="4" borderId="52" xfId="26" applyFont="1" applyFill="1" applyBorder="1" applyAlignment="1">
      <alignment horizontal="center"/>
    </xf>
    <xf numFmtId="0" fontId="37" fillId="4" borderId="52" xfId="26" applyFont="1" applyFill="1" applyBorder="1"/>
    <xf numFmtId="0" fontId="57" fillId="79" borderId="62" xfId="26" applyFont="1" applyFill="1" applyBorder="1" applyAlignment="1">
      <alignment horizontal="center" vertical="center" wrapText="1"/>
    </xf>
    <xf numFmtId="0" fontId="57" fillId="79" borderId="44" xfId="26" applyFont="1" applyFill="1" applyBorder="1" applyAlignment="1">
      <alignment horizontal="center" vertical="center" wrapText="1"/>
    </xf>
    <xf numFmtId="0" fontId="57" fillId="79" borderId="52" xfId="26" applyFont="1" applyFill="1" applyBorder="1" applyAlignment="1">
      <alignment horizontal="center" vertical="center" wrapText="1"/>
    </xf>
    <xf numFmtId="0" fontId="57" fillId="79" borderId="52" xfId="26" applyFont="1" applyFill="1" applyBorder="1" applyAlignment="1">
      <alignment horizontal="center" vertical="center"/>
    </xf>
    <xf numFmtId="0" fontId="80" fillId="0" borderId="66" xfId="26" applyFont="1" applyBorder="1" applyAlignment="1">
      <alignment horizontal="justify" vertical="center"/>
    </xf>
    <xf numFmtId="0" fontId="80" fillId="0" borderId="72" xfId="26" applyFont="1" applyBorder="1" applyAlignment="1">
      <alignment horizontal="justify" vertical="center"/>
    </xf>
    <xf numFmtId="0" fontId="34" fillId="0" borderId="72" xfId="26" applyFont="1" applyBorder="1" applyAlignment="1">
      <alignment vertical="center"/>
    </xf>
    <xf numFmtId="0" fontId="34" fillId="0" borderId="73" xfId="26" applyFont="1" applyBorder="1" applyAlignment="1">
      <alignment vertical="center"/>
    </xf>
    <xf numFmtId="0" fontId="39" fillId="0" borderId="67" xfId="26" applyFont="1" applyBorder="1" applyAlignment="1">
      <alignment horizontal="justify" vertical="center"/>
    </xf>
    <xf numFmtId="9" fontId="39" fillId="0" borderId="31" xfId="28" applyFont="1" applyBorder="1" applyAlignment="1">
      <alignment horizontal="right" vertical="center" wrapText="1"/>
    </xf>
    <xf numFmtId="9" fontId="39" fillId="0" borderId="68" xfId="28" applyFont="1" applyBorder="1" applyAlignment="1">
      <alignment horizontal="right" vertical="center" wrapText="1"/>
    </xf>
    <xf numFmtId="166" fontId="34" fillId="0" borderId="0" xfId="1" applyNumberFormat="1" applyFont="1"/>
    <xf numFmtId="10" fontId="39" fillId="0" borderId="31" xfId="28" applyNumberFormat="1" applyFont="1" applyBorder="1" applyAlignment="1">
      <alignment horizontal="right" vertical="center"/>
    </xf>
    <xf numFmtId="166" fontId="29" fillId="0" borderId="0" xfId="26" applyNumberFormat="1" applyFont="1"/>
    <xf numFmtId="0" fontId="57" fillId="0" borderId="67" xfId="26" applyFont="1" applyBorder="1" applyAlignment="1">
      <alignment horizontal="justify" vertical="center"/>
    </xf>
    <xf numFmtId="10" fontId="39" fillId="0" borderId="68" xfId="28" applyNumberFormat="1" applyFont="1" applyBorder="1" applyAlignment="1">
      <alignment horizontal="right" vertical="center" wrapText="1"/>
    </xf>
    <xf numFmtId="0" fontId="80" fillId="0" borderId="67" xfId="26" applyFont="1" applyBorder="1" applyAlignment="1">
      <alignment horizontal="justify" vertical="center"/>
    </xf>
    <xf numFmtId="10" fontId="80" fillId="0" borderId="31" xfId="28" applyNumberFormat="1" applyFont="1" applyBorder="1" applyAlignment="1">
      <alignment horizontal="right" vertical="center"/>
    </xf>
    <xf numFmtId="9" fontId="34" fillId="0" borderId="31" xfId="28" applyFont="1" applyBorder="1" applyAlignment="1">
      <alignment horizontal="right" vertical="center"/>
    </xf>
    <xf numFmtId="9" fontId="34" fillId="0" borderId="68" xfId="28" applyFont="1" applyBorder="1" applyAlignment="1">
      <alignment horizontal="right" vertical="center"/>
    </xf>
    <xf numFmtId="0" fontId="80" fillId="28" borderId="67" xfId="26" applyFont="1" applyFill="1" applyBorder="1" applyAlignment="1">
      <alignment horizontal="justify" vertical="center"/>
    </xf>
    <xf numFmtId="10" fontId="80" fillId="28" borderId="31" xfId="28" applyNumberFormat="1" applyFont="1" applyFill="1" applyBorder="1" applyAlignment="1">
      <alignment horizontal="right" vertical="center"/>
    </xf>
    <xf numFmtId="9" fontId="39" fillId="28" borderId="31" xfId="28" applyFont="1" applyFill="1" applyBorder="1" applyAlignment="1">
      <alignment horizontal="right" vertical="center"/>
    </xf>
    <xf numFmtId="9" fontId="39" fillId="28" borderId="68" xfId="28" applyFont="1" applyFill="1" applyBorder="1" applyAlignment="1">
      <alignment horizontal="right" vertical="center"/>
    </xf>
    <xf numFmtId="0" fontId="39" fillId="28" borderId="67" xfId="26" applyFont="1" applyFill="1" applyBorder="1" applyAlignment="1">
      <alignment horizontal="justify" vertical="center"/>
    </xf>
    <xf numFmtId="41" fontId="39" fillId="0" borderId="31" xfId="27" applyFont="1" applyBorder="1" applyAlignment="1">
      <alignment horizontal="right" vertical="center"/>
    </xf>
    <xf numFmtId="9" fontId="39" fillId="28" borderId="31" xfId="28" applyFont="1" applyFill="1" applyBorder="1" applyAlignment="1">
      <alignment horizontal="right" vertical="center" wrapText="1"/>
    </xf>
    <xf numFmtId="9" fontId="39" fillId="28" borderId="68" xfId="28" applyFont="1" applyFill="1" applyBorder="1" applyAlignment="1">
      <alignment horizontal="right" vertical="center" wrapText="1"/>
    </xf>
    <xf numFmtId="0" fontId="29" fillId="28" borderId="67" xfId="26" applyFont="1" applyFill="1" applyBorder="1" applyAlignment="1">
      <alignment horizontal="justify" vertical="center"/>
    </xf>
    <xf numFmtId="10" fontId="39" fillId="28" borderId="31" xfId="28" applyNumberFormat="1" applyFont="1" applyFill="1" applyBorder="1" applyAlignment="1">
      <alignment horizontal="right" vertical="center" wrapText="1"/>
    </xf>
    <xf numFmtId="0" fontId="34" fillId="28" borderId="67" xfId="26" applyFont="1" applyFill="1" applyBorder="1" applyAlignment="1">
      <alignment horizontal="justify" vertical="center"/>
    </xf>
    <xf numFmtId="10" fontId="34" fillId="28" borderId="31" xfId="28" applyNumberFormat="1" applyFont="1" applyFill="1" applyBorder="1" applyAlignment="1">
      <alignment horizontal="right" vertical="center"/>
    </xf>
    <xf numFmtId="0" fontId="80" fillId="28" borderId="67" xfId="26" applyFont="1" applyFill="1" applyBorder="1" applyAlignment="1">
      <alignment horizontal="justify" vertical="center" wrapText="1"/>
    </xf>
    <xf numFmtId="10" fontId="80" fillId="28" borderId="31" xfId="28" applyNumberFormat="1" applyFont="1" applyFill="1" applyBorder="1" applyAlignment="1">
      <alignment horizontal="right" vertical="center" wrapText="1"/>
    </xf>
    <xf numFmtId="9" fontId="34" fillId="28" borderId="31" xfId="28" applyFont="1" applyFill="1" applyBorder="1" applyAlignment="1">
      <alignment horizontal="right" vertical="center" indent="5"/>
    </xf>
    <xf numFmtId="9" fontId="34" fillId="28" borderId="68" xfId="28" applyFont="1" applyFill="1" applyBorder="1" applyAlignment="1">
      <alignment horizontal="right" vertical="center" indent="5"/>
    </xf>
    <xf numFmtId="9" fontId="34" fillId="0" borderId="31" xfId="28" applyFont="1" applyBorder="1" applyAlignment="1">
      <alignment horizontal="right" vertical="center" wrapText="1"/>
    </xf>
    <xf numFmtId="9" fontId="34" fillId="0" borderId="68" xfId="28" applyFont="1" applyBorder="1" applyAlignment="1">
      <alignment horizontal="right" vertical="center" wrapText="1"/>
    </xf>
    <xf numFmtId="0" fontId="34" fillId="0" borderId="67" xfId="26" applyFont="1" applyBorder="1" applyAlignment="1">
      <alignment vertical="center"/>
    </xf>
    <xf numFmtId="10" fontId="34" fillId="0" borderId="31" xfId="28" applyNumberFormat="1" applyFont="1" applyBorder="1" applyAlignment="1">
      <alignment horizontal="right" vertical="center"/>
    </xf>
    <xf numFmtId="9" fontId="39" fillId="0" borderId="31" xfId="28" applyFont="1" applyBorder="1" applyAlignment="1">
      <alignment horizontal="right" vertical="center"/>
    </xf>
    <xf numFmtId="9" fontId="39" fillId="0" borderId="68" xfId="28" applyFont="1" applyBorder="1" applyAlignment="1">
      <alignment horizontal="right" vertical="center"/>
    </xf>
    <xf numFmtId="10" fontId="57" fillId="0" borderId="31" xfId="28" applyNumberFormat="1" applyFont="1" applyBorder="1" applyAlignment="1">
      <alignment horizontal="right" vertical="center"/>
    </xf>
    <xf numFmtId="9" fontId="39" fillId="0" borderId="31" xfId="8" applyFont="1" applyBorder="1" applyAlignment="1">
      <alignment horizontal="right" vertical="center"/>
    </xf>
    <xf numFmtId="9" fontId="39" fillId="0" borderId="31" xfId="8" applyFont="1" applyBorder="1" applyAlignment="1">
      <alignment horizontal="right" vertical="center" wrapText="1"/>
    </xf>
    <xf numFmtId="0" fontId="39" fillId="0" borderId="48" xfId="26" applyFont="1" applyBorder="1" applyAlignment="1">
      <alignment horizontal="justify" vertical="center"/>
    </xf>
    <xf numFmtId="9" fontId="39" fillId="0" borderId="50" xfId="8" applyFont="1" applyBorder="1" applyAlignment="1">
      <alignment horizontal="right" vertical="center" wrapText="1"/>
    </xf>
    <xf numFmtId="9" fontId="39" fillId="0" borderId="69" xfId="28" applyFont="1" applyBorder="1" applyAlignment="1">
      <alignment horizontal="right" vertical="center" wrapText="1"/>
    </xf>
    <xf numFmtId="0" fontId="34" fillId="0" borderId="0" xfId="26" applyFont="1" applyAlignment="1">
      <alignment vertical="center"/>
    </xf>
    <xf numFmtId="0" fontId="37" fillId="0" borderId="23" xfId="26" applyFont="1" applyBorder="1" applyAlignment="1">
      <alignment vertical="center"/>
    </xf>
    <xf numFmtId="164" fontId="34" fillId="0" borderId="23" xfId="43" applyNumberFormat="1" applyFont="1" applyBorder="1" applyAlignment="1">
      <alignment vertical="center"/>
    </xf>
    <xf numFmtId="10" fontId="34" fillId="0" borderId="23" xfId="28" applyNumberFormat="1" applyFont="1" applyBorder="1" applyAlignment="1">
      <alignment vertical="center"/>
    </xf>
    <xf numFmtId="176" fontId="34" fillId="0" borderId="0" xfId="27" applyNumberFormat="1" applyFont="1" applyBorder="1" applyAlignment="1">
      <alignment vertical="center"/>
    </xf>
    <xf numFmtId="164" fontId="37" fillId="0" borderId="0" xfId="43" applyNumberFormat="1" applyFont="1" applyAlignment="1">
      <alignment vertical="center"/>
    </xf>
    <xf numFmtId="0" fontId="34" fillId="0" borderId="0" xfId="44" applyFont="1" applyAlignment="1">
      <alignment vertical="center"/>
    </xf>
    <xf numFmtId="164" fontId="34" fillId="0" borderId="0" xfId="43" applyNumberFormat="1" applyFont="1" applyAlignment="1">
      <alignment vertical="center"/>
    </xf>
    <xf numFmtId="41" fontId="34" fillId="0" borderId="0" xfId="27" applyFont="1" applyAlignment="1">
      <alignment vertical="center"/>
    </xf>
    <xf numFmtId="0" fontId="29" fillId="0" borderId="0" xfId="26" applyFont="1" applyAlignment="1">
      <alignment vertical="center"/>
    </xf>
    <xf numFmtId="10" fontId="34" fillId="0" borderId="0" xfId="28" applyNumberFormat="1" applyFont="1" applyAlignment="1">
      <alignment vertical="center"/>
    </xf>
    <xf numFmtId="0" fontId="37" fillId="73" borderId="65" xfId="26" applyFont="1" applyFill="1" applyBorder="1" applyAlignment="1">
      <alignment horizontal="center" vertical="center" wrapText="1"/>
    </xf>
    <xf numFmtId="0" fontId="37" fillId="74" borderId="52" xfId="26" applyFont="1" applyFill="1" applyBorder="1" applyAlignment="1">
      <alignment horizontal="center"/>
    </xf>
    <xf numFmtId="0" fontId="34" fillId="0" borderId="66" xfId="26" applyFont="1" applyBorder="1"/>
    <xf numFmtId="0" fontId="34" fillId="0" borderId="76" xfId="26" applyFont="1" applyBorder="1"/>
    <xf numFmtId="167" fontId="34" fillId="0" borderId="76" xfId="26" applyNumberFormat="1" applyFont="1" applyBorder="1"/>
    <xf numFmtId="0" fontId="34" fillId="0" borderId="72" xfId="26" applyFont="1" applyBorder="1"/>
    <xf numFmtId="0" fontId="34" fillId="0" borderId="73" xfId="26" applyFont="1" applyBorder="1"/>
    <xf numFmtId="0" fontId="37" fillId="0" borderId="67" xfId="26" applyFont="1" applyBorder="1" applyAlignment="1">
      <alignment horizontal="left" vertical="center" wrapText="1" indent="1"/>
    </xf>
    <xf numFmtId="0" fontId="37" fillId="0" borderId="9" xfId="26" applyFont="1" applyBorder="1" applyAlignment="1">
      <alignment horizontal="left" vertical="center" wrapText="1" indent="1"/>
    </xf>
    <xf numFmtId="167" fontId="37" fillId="0" borderId="9" xfId="26" applyNumberFormat="1" applyFont="1" applyBorder="1" applyAlignment="1">
      <alignment horizontal="left" vertical="center" wrapText="1" indent="1"/>
    </xf>
    <xf numFmtId="0" fontId="60" fillId="0" borderId="31" xfId="26" applyFont="1" applyBorder="1" applyAlignment="1">
      <alignment horizontal="right" vertical="center" wrapText="1"/>
    </xf>
    <xf numFmtId="0" fontId="60" fillId="0" borderId="31" xfId="26" applyFont="1" applyBorder="1" applyAlignment="1">
      <alignment vertical="center" wrapText="1"/>
    </xf>
    <xf numFmtId="0" fontId="60" fillId="0" borderId="68" xfId="26" applyFont="1" applyBorder="1" applyAlignment="1">
      <alignment vertical="center" wrapText="1"/>
    </xf>
    <xf numFmtId="0" fontId="60" fillId="0" borderId="0" xfId="26" applyFont="1" applyAlignment="1">
      <alignment horizontal="right" vertical="center" wrapText="1"/>
    </xf>
    <xf numFmtId="0" fontId="34" fillId="0" borderId="0" xfId="26" applyFont="1" applyAlignment="1">
      <alignment horizontal="justify" vertical="center" wrapText="1"/>
    </xf>
    <xf numFmtId="165" fontId="34" fillId="0" borderId="34" xfId="26" applyNumberFormat="1" applyFont="1" applyBorder="1" applyAlignment="1">
      <alignment horizontal="left" vertical="center" wrapText="1"/>
    </xf>
    <xf numFmtId="165" fontId="34" fillId="0" borderId="9" xfId="26" applyNumberFormat="1" applyFont="1" applyBorder="1" applyAlignment="1">
      <alignment horizontal="left" vertical="center" wrapText="1"/>
    </xf>
    <xf numFmtId="167" fontId="34" fillId="0" borderId="31" xfId="26" applyNumberFormat="1" applyFont="1" applyBorder="1" applyAlignment="1">
      <alignment horizontal="left" vertical="center" wrapText="1"/>
    </xf>
    <xf numFmtId="164" fontId="34" fillId="0" borderId="31" xfId="43" applyNumberFormat="1" applyFont="1" applyBorder="1"/>
    <xf numFmtId="164" fontId="34" fillId="0" borderId="42" xfId="27" applyNumberFormat="1" applyFont="1" applyBorder="1"/>
    <xf numFmtId="164" fontId="34" fillId="0" borderId="0" xfId="26" applyNumberFormat="1" applyFont="1" applyAlignment="1">
      <alignment horizontal="center" vertical="center" wrapText="1"/>
    </xf>
    <xf numFmtId="0" fontId="34" fillId="0" borderId="0" xfId="26" applyFont="1" applyAlignment="1">
      <alignment horizontal="center" vertical="center" wrapText="1"/>
    </xf>
    <xf numFmtId="0" fontId="59" fillId="0" borderId="0" xfId="26" applyFont="1" applyAlignment="1">
      <alignment horizontal="right" vertical="center" wrapText="1"/>
    </xf>
    <xf numFmtId="167" fontId="34" fillId="0" borderId="9" xfId="26" applyNumberFormat="1" applyFont="1" applyBorder="1" applyAlignment="1">
      <alignment horizontal="left" vertical="center" wrapText="1"/>
    </xf>
    <xf numFmtId="164" fontId="37" fillId="0" borderId="31" xfId="27" applyNumberFormat="1" applyFont="1" applyFill="1" applyBorder="1" applyAlignment="1">
      <alignment horizontal="right" vertical="center" wrapText="1"/>
    </xf>
    <xf numFmtId="164" fontId="37" fillId="0" borderId="31" xfId="27" applyNumberFormat="1" applyFont="1" applyFill="1" applyBorder="1" applyAlignment="1">
      <alignment vertical="center" wrapText="1"/>
    </xf>
    <xf numFmtId="164" fontId="37" fillId="0" borderId="68" xfId="27" applyNumberFormat="1" applyFont="1" applyFill="1" applyBorder="1" applyAlignment="1">
      <alignment vertical="center" wrapText="1"/>
    </xf>
    <xf numFmtId="164" fontId="37" fillId="0" borderId="0" xfId="26" applyNumberFormat="1" applyFont="1" applyAlignment="1">
      <alignment horizontal="center" vertical="center" wrapText="1"/>
    </xf>
    <xf numFmtId="0" fontId="37" fillId="0" borderId="0" xfId="26" applyFont="1" applyAlignment="1">
      <alignment horizontal="center" vertical="center" wrapText="1"/>
    </xf>
    <xf numFmtId="165" fontId="37" fillId="0" borderId="9" xfId="26" applyNumberFormat="1" applyFont="1" applyBorder="1" applyAlignment="1">
      <alignment horizontal="left" vertical="center" wrapText="1" indent="1"/>
    </xf>
    <xf numFmtId="164" fontId="34" fillId="0" borderId="31" xfId="14" applyFont="1" applyBorder="1" applyAlignment="1">
      <alignment horizontal="right"/>
    </xf>
    <xf numFmtId="164" fontId="34" fillId="0" borderId="31" xfId="27" applyNumberFormat="1" applyFont="1" applyFill="1" applyBorder="1" applyAlignment="1">
      <alignment vertical="center" wrapText="1"/>
    </xf>
    <xf numFmtId="164" fontId="34" fillId="0" borderId="68" xfId="27" applyNumberFormat="1" applyFont="1" applyFill="1" applyBorder="1" applyAlignment="1">
      <alignment vertical="center" wrapText="1"/>
    </xf>
    <xf numFmtId="164" fontId="34" fillId="0" borderId="0" xfId="26" applyNumberFormat="1" applyFont="1" applyAlignment="1">
      <alignment vertical="center" wrapText="1"/>
    </xf>
    <xf numFmtId="164" fontId="37" fillId="0" borderId="0" xfId="26" applyNumberFormat="1" applyFont="1" applyAlignment="1">
      <alignment vertical="center" wrapText="1"/>
    </xf>
    <xf numFmtId="0" fontId="37" fillId="0" borderId="0" xfId="26" applyFont="1" applyAlignment="1">
      <alignment vertical="center" wrapText="1"/>
    </xf>
    <xf numFmtId="165" fontId="37" fillId="0" borderId="9" xfId="26" applyNumberFormat="1" applyFont="1" applyBorder="1" applyAlignment="1">
      <alignment horizontal="left" vertical="center" wrapText="1"/>
    </xf>
    <xf numFmtId="167" fontId="37" fillId="0" borderId="9" xfId="26" applyNumberFormat="1" applyFont="1" applyBorder="1" applyAlignment="1">
      <alignment horizontal="left" vertical="center" wrapText="1"/>
    </xf>
    <xf numFmtId="164" fontId="37" fillId="0" borderId="68" xfId="27" applyNumberFormat="1" applyFont="1" applyFill="1" applyBorder="1" applyAlignment="1">
      <alignment horizontal="right" vertical="center" wrapText="1"/>
    </xf>
    <xf numFmtId="41" fontId="34" fillId="0" borderId="0" xfId="26" applyNumberFormat="1" applyFont="1"/>
    <xf numFmtId="0" fontId="37" fillId="0" borderId="48" xfId="26" applyFont="1" applyBorder="1" applyAlignment="1">
      <alignment horizontal="left" vertical="center" wrapText="1" indent="1"/>
    </xf>
    <xf numFmtId="165" fontId="37" fillId="0" borderId="74" xfId="26" applyNumberFormat="1" applyFont="1" applyBorder="1" applyAlignment="1">
      <alignment horizontal="left" vertical="center" wrapText="1" indent="1"/>
    </xf>
    <xf numFmtId="167" fontId="37" fillId="0" borderId="74" xfId="26" applyNumberFormat="1" applyFont="1" applyBorder="1" applyAlignment="1">
      <alignment horizontal="left" vertical="center" wrapText="1" indent="1"/>
    </xf>
    <xf numFmtId="164" fontId="37" fillId="0" borderId="50" xfId="27" applyNumberFormat="1" applyFont="1" applyFill="1" applyBorder="1" applyAlignment="1">
      <alignment vertical="center" wrapText="1"/>
    </xf>
    <xf numFmtId="164" fontId="37" fillId="0" borderId="69" xfId="27" applyNumberFormat="1" applyFont="1" applyFill="1" applyBorder="1" applyAlignment="1">
      <alignment vertical="center" wrapText="1"/>
    </xf>
    <xf numFmtId="0" fontId="37" fillId="0" borderId="25" xfId="26" applyFont="1" applyBorder="1" applyAlignment="1">
      <alignment vertical="center"/>
    </xf>
    <xf numFmtId="164" fontId="34" fillId="0" borderId="25" xfId="43" applyNumberFormat="1" applyFont="1" applyBorder="1" applyAlignment="1">
      <alignment vertical="center"/>
    </xf>
    <xf numFmtId="183" fontId="8" fillId="0" borderId="0" xfId="3" applyNumberFormat="1" applyFont="1" applyAlignment="1">
      <alignment horizontal="left" vertical="center"/>
    </xf>
    <xf numFmtId="164" fontId="10" fillId="0" borderId="0" xfId="3" applyNumberFormat="1" applyFont="1" applyAlignment="1">
      <alignment horizontal="left" vertical="center"/>
    </xf>
    <xf numFmtId="180" fontId="0" fillId="0" borderId="0" xfId="0" applyNumberFormat="1"/>
    <xf numFmtId="4" fontId="8" fillId="78" borderId="31" xfId="5" quotePrefix="1" applyFont="1" applyFill="1" applyBorder="1" applyAlignment="1">
      <alignment vertical="top" wrapText="1"/>
    </xf>
    <xf numFmtId="164" fontId="1" fillId="0" borderId="6" xfId="2" applyNumberFormat="1" applyFont="1" applyFill="1" applyBorder="1" applyAlignment="1">
      <alignment horizontal="right" vertical="center"/>
    </xf>
    <xf numFmtId="164" fontId="10" fillId="9" borderId="6" xfId="2" applyNumberFormat="1" applyFont="1" applyFill="1" applyBorder="1" applyAlignment="1">
      <alignment horizontal="left" vertical="center"/>
    </xf>
    <xf numFmtId="164" fontId="10" fillId="12" borderId="3" xfId="2" applyNumberFormat="1" applyFont="1" applyFill="1" applyBorder="1" applyAlignment="1">
      <alignment horizontal="left" vertical="center"/>
    </xf>
    <xf numFmtId="164" fontId="10" fillId="9" borderId="3" xfId="2" applyNumberFormat="1" applyFont="1" applyFill="1" applyBorder="1" applyAlignment="1">
      <alignment horizontal="left" vertical="center"/>
    </xf>
    <xf numFmtId="164" fontId="10" fillId="0" borderId="6" xfId="2" applyNumberFormat="1" applyFont="1" applyBorder="1" applyAlignment="1">
      <alignment horizontal="left" vertical="center"/>
    </xf>
    <xf numFmtId="164" fontId="10" fillId="13" borderId="3" xfId="2" applyNumberFormat="1" applyFont="1" applyFill="1" applyBorder="1" applyAlignment="1">
      <alignment horizontal="left" vertical="center"/>
    </xf>
    <xf numFmtId="164" fontId="10" fillId="20" borderId="3" xfId="2" applyNumberFormat="1" applyFont="1" applyFill="1" applyBorder="1" applyAlignment="1">
      <alignment horizontal="left" vertical="center"/>
    </xf>
    <xf numFmtId="164" fontId="10" fillId="20" borderId="6" xfId="2" applyNumberFormat="1" applyFont="1" applyFill="1" applyBorder="1" applyAlignment="1">
      <alignment horizontal="left" vertical="center"/>
    </xf>
    <xf numFmtId="164" fontId="10" fillId="17" borderId="3" xfId="2" applyNumberFormat="1" applyFont="1" applyFill="1" applyBorder="1" applyAlignment="1">
      <alignment horizontal="left" vertical="center"/>
    </xf>
    <xf numFmtId="164" fontId="10" fillId="22" borderId="3" xfId="2" applyNumberFormat="1" applyFont="1" applyFill="1" applyBorder="1" applyAlignment="1">
      <alignment horizontal="left" vertical="center"/>
    </xf>
    <xf numFmtId="164" fontId="10" fillId="25" borderId="3" xfId="2" applyNumberFormat="1" applyFont="1" applyFill="1" applyBorder="1" applyAlignment="1">
      <alignment horizontal="left" vertical="center"/>
    </xf>
    <xf numFmtId="164" fontId="10" fillId="0" borderId="3" xfId="2" applyNumberFormat="1" applyFont="1" applyBorder="1" applyAlignment="1">
      <alignment horizontal="left" vertical="center" indent="1"/>
    </xf>
    <xf numFmtId="164" fontId="10" fillId="29" borderId="3" xfId="2" applyNumberFormat="1" applyFont="1" applyFill="1" applyBorder="1" applyAlignment="1">
      <alignment horizontal="left" vertical="center"/>
    </xf>
    <xf numFmtId="164" fontId="10" fillId="0" borderId="3" xfId="2" applyNumberFormat="1" applyFont="1" applyBorder="1" applyAlignment="1">
      <alignment vertical="center"/>
    </xf>
    <xf numFmtId="164" fontId="10" fillId="0" borderId="3" xfId="2" applyNumberFormat="1" applyFont="1" applyBorder="1" applyAlignment="1">
      <alignment horizontal="left" vertical="center" indent="2"/>
    </xf>
    <xf numFmtId="164" fontId="10" fillId="32" borderId="6" xfId="2" applyNumberFormat="1" applyFont="1" applyFill="1" applyBorder="1" applyAlignment="1">
      <alignment horizontal="left" vertical="center"/>
    </xf>
    <xf numFmtId="164" fontId="10" fillId="32" borderId="3" xfId="2" applyNumberFormat="1" applyFont="1" applyFill="1" applyBorder="1" applyAlignment="1">
      <alignment horizontal="left" vertical="center"/>
    </xf>
    <xf numFmtId="164" fontId="10" fillId="34" borderId="3" xfId="2" applyNumberFormat="1" applyFont="1" applyFill="1" applyBorder="1" applyAlignment="1">
      <alignment horizontal="left" vertical="center"/>
    </xf>
    <xf numFmtId="164" fontId="10" fillId="35" borderId="0" xfId="2" applyNumberFormat="1" applyFont="1" applyFill="1" applyBorder="1" applyAlignment="1">
      <alignment horizontal="left" vertical="center"/>
    </xf>
    <xf numFmtId="164" fontId="10" fillId="0" borderId="3" xfId="2" applyNumberFormat="1" applyFont="1" applyBorder="1" applyAlignment="1">
      <alignment horizontal="left" vertical="center" wrapText="1"/>
    </xf>
    <xf numFmtId="164" fontId="10" fillId="12" borderId="3" xfId="2" applyNumberFormat="1" applyFont="1" applyFill="1" applyBorder="1" applyAlignment="1">
      <alignment horizontal="left" vertical="center" wrapText="1"/>
    </xf>
    <xf numFmtId="164" fontId="10" fillId="25" borderId="6" xfId="2" applyNumberFormat="1" applyFont="1" applyFill="1" applyBorder="1" applyAlignment="1">
      <alignment horizontal="left" vertical="center"/>
    </xf>
    <xf numFmtId="164" fontId="10" fillId="25" borderId="35" xfId="2" applyNumberFormat="1" applyFont="1" applyFill="1" applyBorder="1" applyAlignment="1">
      <alignment horizontal="left" vertical="center"/>
    </xf>
    <xf numFmtId="164" fontId="10" fillId="0" borderId="0" xfId="2" applyNumberFormat="1" applyFont="1" applyFill="1"/>
    <xf numFmtId="164" fontId="10" fillId="0" borderId="0" xfId="2" applyNumberFormat="1" applyFont="1"/>
    <xf numFmtId="178" fontId="8" fillId="0" borderId="3" xfId="2" applyNumberFormat="1" applyFont="1" applyFill="1" applyBorder="1" applyAlignment="1">
      <alignment horizontal="left" vertical="center"/>
    </xf>
    <xf numFmtId="164" fontId="8" fillId="0" borderId="3" xfId="2" applyNumberFormat="1" applyFont="1" applyFill="1" applyBorder="1" applyAlignment="1">
      <alignment horizontal="left" vertical="center"/>
    </xf>
    <xf numFmtId="178" fontId="8" fillId="0" borderId="6" xfId="2" applyNumberFormat="1" applyFont="1" applyFill="1" applyBorder="1" applyAlignment="1">
      <alignment horizontal="left" vertical="center"/>
    </xf>
    <xf numFmtId="178" fontId="10" fillId="0" borderId="6" xfId="2" applyNumberFormat="1" applyFont="1" applyFill="1" applyBorder="1" applyAlignment="1">
      <alignment horizontal="left" vertical="center"/>
    </xf>
    <xf numFmtId="0" fontId="8" fillId="0" borderId="6" xfId="3" applyFont="1" applyBorder="1" applyAlignment="1">
      <alignment horizontal="left" vertical="center"/>
    </xf>
    <xf numFmtId="164" fontId="8" fillId="0" borderId="6" xfId="2" applyNumberFormat="1" applyFont="1" applyFill="1" applyBorder="1" applyAlignment="1">
      <alignment horizontal="left" vertical="center"/>
    </xf>
    <xf numFmtId="164" fontId="8" fillId="0" borderId="6" xfId="3" applyNumberFormat="1" applyFont="1" applyBorder="1" applyAlignment="1">
      <alignment horizontal="left" vertical="center"/>
    </xf>
    <xf numFmtId="169" fontId="8" fillId="0" borderId="6" xfId="3" applyNumberFormat="1" applyFont="1" applyBorder="1" applyAlignment="1">
      <alignment horizontal="left" vertical="center"/>
    </xf>
    <xf numFmtId="4" fontId="8" fillId="0" borderId="31" xfId="5" quotePrefix="1" applyFont="1" applyBorder="1" applyAlignment="1">
      <alignment vertical="top" wrapText="1"/>
    </xf>
    <xf numFmtId="164" fontId="8" fillId="0" borderId="3" xfId="2" quotePrefix="1" applyNumberFormat="1" applyFont="1" applyFill="1" applyBorder="1" applyAlignment="1">
      <alignment vertical="top" wrapText="1"/>
    </xf>
    <xf numFmtId="0" fontId="8" fillId="74" borderId="0" xfId="3" applyFont="1" applyFill="1" applyAlignment="1">
      <alignment horizontal="left" vertical="center"/>
    </xf>
    <xf numFmtId="0" fontId="8" fillId="74" borderId="3" xfId="3" applyFont="1" applyFill="1" applyBorder="1" applyAlignment="1">
      <alignment horizontal="left" vertical="center" wrapText="1"/>
    </xf>
    <xf numFmtId="0" fontId="8" fillId="74" borderId="3" xfId="3" applyFont="1" applyFill="1" applyBorder="1" applyAlignment="1">
      <alignment horizontal="left" vertical="center"/>
    </xf>
    <xf numFmtId="41" fontId="0" fillId="0" borderId="31" xfId="2" applyFont="1" applyFill="1" applyBorder="1"/>
    <xf numFmtId="164" fontId="64" fillId="0" borderId="77" xfId="21" applyNumberFormat="1" applyFont="1" applyBorder="1" applyAlignment="1">
      <alignment horizontal="center" vertical="center" wrapText="1"/>
    </xf>
    <xf numFmtId="164" fontId="8" fillId="3" borderId="3" xfId="2" applyNumberFormat="1" applyFont="1" applyFill="1" applyBorder="1" applyAlignment="1">
      <alignment horizontal="left" vertical="center"/>
    </xf>
    <xf numFmtId="164" fontId="1" fillId="0" borderId="3" xfId="2" applyNumberFormat="1" applyFont="1" applyBorder="1"/>
    <xf numFmtId="164" fontId="9" fillId="0" borderId="6" xfId="2" applyNumberFormat="1" applyFont="1" applyFill="1" applyBorder="1" applyAlignment="1">
      <alignment horizontal="left" vertical="center"/>
    </xf>
    <xf numFmtId="164" fontId="3" fillId="0" borderId="3" xfId="2" applyNumberFormat="1" applyFont="1" applyBorder="1" applyAlignment="1">
      <alignment horizontal="left" vertical="center"/>
    </xf>
    <xf numFmtId="164" fontId="1" fillId="3" borderId="3" xfId="2" applyNumberFormat="1" applyFill="1" applyBorder="1" applyAlignment="1">
      <alignment horizontal="left" vertical="center"/>
    </xf>
    <xf numFmtId="164" fontId="1" fillId="0" borderId="31" xfId="3" applyNumberFormat="1" applyBorder="1" applyAlignment="1">
      <alignment horizontal="left" vertical="center"/>
    </xf>
    <xf numFmtId="164" fontId="8" fillId="3" borderId="3" xfId="2" applyNumberFormat="1" applyFont="1" applyFill="1" applyBorder="1" applyAlignment="1">
      <alignment horizontal="left" vertical="center" wrapText="1"/>
    </xf>
    <xf numFmtId="164" fontId="4" fillId="0" borderId="0" xfId="3" applyNumberFormat="1" applyFont="1" applyAlignment="1">
      <alignment horizontal="left" vertical="center"/>
    </xf>
    <xf numFmtId="164" fontId="4" fillId="86" borderId="6" xfId="3" applyNumberFormat="1" applyFont="1" applyFill="1" applyBorder="1" applyAlignment="1">
      <alignment horizontal="left" vertical="center"/>
    </xf>
    <xf numFmtId="164" fontId="10" fillId="0" borderId="3" xfId="2" quotePrefix="1" applyNumberFormat="1" applyFont="1" applyBorder="1" applyAlignment="1">
      <alignment vertical="top" wrapText="1"/>
    </xf>
    <xf numFmtId="164" fontId="1" fillId="5" borderId="3" xfId="2" applyNumberFormat="1" applyFill="1" applyBorder="1" applyAlignment="1">
      <alignment horizontal="left" vertical="center"/>
    </xf>
    <xf numFmtId="164" fontId="1" fillId="78" borderId="3" xfId="2" applyNumberFormat="1" applyFill="1" applyBorder="1" applyAlignment="1">
      <alignment horizontal="left" vertical="center"/>
    </xf>
    <xf numFmtId="164" fontId="10" fillId="0" borderId="3" xfId="2" applyNumberFormat="1" applyFont="1" applyBorder="1"/>
    <xf numFmtId="164" fontId="0" fillId="76" borderId="3" xfId="0" applyNumberFormat="1" applyFill="1" applyBorder="1"/>
    <xf numFmtId="164" fontId="10" fillId="0" borderId="6" xfId="2" applyNumberFormat="1" applyFont="1" applyFill="1" applyBorder="1" applyAlignment="1">
      <alignment horizontal="left" vertical="center"/>
    </xf>
    <xf numFmtId="164" fontId="10" fillId="76" borderId="3" xfId="3" applyNumberFormat="1" applyFont="1" applyFill="1" applyBorder="1" applyAlignment="1">
      <alignment horizontal="left" vertical="center"/>
    </xf>
    <xf numFmtId="164" fontId="9" fillId="76" borderId="3" xfId="3" applyNumberFormat="1" applyFont="1" applyFill="1" applyBorder="1" applyAlignment="1">
      <alignment horizontal="left" vertical="center"/>
    </xf>
    <xf numFmtId="164" fontId="1" fillId="76" borderId="3" xfId="3" applyNumberFormat="1" applyFill="1" applyBorder="1" applyAlignment="1">
      <alignment horizontal="left" vertical="center" indent="1"/>
    </xf>
    <xf numFmtId="164" fontId="3" fillId="76" borderId="3" xfId="3" applyNumberFormat="1" applyFont="1" applyFill="1" applyBorder="1" applyAlignment="1">
      <alignment horizontal="left" vertical="center"/>
    </xf>
    <xf numFmtId="164" fontId="1" fillId="76" borderId="3" xfId="6" applyNumberFormat="1" applyFill="1" applyBorder="1" applyAlignment="1">
      <alignment horizontal="left" vertical="center"/>
    </xf>
    <xf numFmtId="164" fontId="4" fillId="89" borderId="3" xfId="3" applyNumberFormat="1" applyFont="1" applyFill="1" applyBorder="1" applyAlignment="1">
      <alignment horizontal="left" vertical="center"/>
    </xf>
    <xf numFmtId="164" fontId="13" fillId="76" borderId="3" xfId="3" applyNumberFormat="1" applyFont="1" applyFill="1" applyBorder="1" applyAlignment="1">
      <alignment horizontal="left" vertical="center"/>
    </xf>
    <xf numFmtId="164" fontId="4" fillId="76" borderId="3" xfId="3" applyNumberFormat="1" applyFont="1" applyFill="1" applyBorder="1" applyAlignment="1">
      <alignment vertical="center"/>
    </xf>
    <xf numFmtId="164" fontId="1" fillId="76" borderId="3" xfId="3" applyNumberFormat="1" applyFill="1" applyBorder="1" applyAlignment="1">
      <alignment vertical="center"/>
    </xf>
    <xf numFmtId="164" fontId="1" fillId="76" borderId="3" xfId="3" applyNumberFormat="1" applyFill="1" applyBorder="1" applyAlignment="1">
      <alignment horizontal="left" vertical="center" indent="2"/>
    </xf>
    <xf numFmtId="164" fontId="4" fillId="76" borderId="6" xfId="3" applyNumberFormat="1" applyFont="1" applyFill="1" applyBorder="1" applyAlignment="1">
      <alignment horizontal="left" vertical="center"/>
    </xf>
    <xf numFmtId="164" fontId="4" fillId="87" borderId="3" xfId="3" applyNumberFormat="1" applyFont="1" applyFill="1" applyBorder="1" applyAlignment="1">
      <alignment horizontal="left" vertical="center"/>
    </xf>
    <xf numFmtId="164" fontId="2" fillId="88" borderId="3" xfId="3" applyNumberFormat="1" applyFont="1" applyFill="1" applyBorder="1" applyAlignment="1">
      <alignment horizontal="left" vertical="center"/>
    </xf>
    <xf numFmtId="164" fontId="9" fillId="76" borderId="0" xfId="3" applyNumberFormat="1" applyFont="1" applyFill="1" applyAlignment="1">
      <alignment horizontal="left" vertical="center"/>
    </xf>
    <xf numFmtId="164" fontId="9" fillId="76" borderId="3" xfId="2" applyNumberFormat="1" applyFont="1" applyFill="1" applyBorder="1" applyAlignment="1">
      <alignment horizontal="left" vertical="center"/>
    </xf>
    <xf numFmtId="164" fontId="8" fillId="76" borderId="3" xfId="2" applyNumberFormat="1" applyFont="1" applyFill="1" applyBorder="1" applyAlignment="1">
      <alignment horizontal="left" vertical="center"/>
    </xf>
    <xf numFmtId="164" fontId="9" fillId="76" borderId="3" xfId="3" applyNumberFormat="1" applyFont="1" applyFill="1" applyBorder="1" applyAlignment="1">
      <alignment horizontal="left" vertical="center" wrapText="1"/>
    </xf>
    <xf numFmtId="164" fontId="8" fillId="76" borderId="3" xfId="8" applyNumberFormat="1" applyFont="1" applyFill="1" applyBorder="1" applyAlignment="1">
      <alignment horizontal="left" vertical="center" wrapText="1"/>
    </xf>
    <xf numFmtId="164" fontId="8" fillId="76" borderId="3" xfId="3" applyNumberFormat="1" applyFont="1" applyFill="1" applyBorder="1" applyAlignment="1">
      <alignment horizontal="left" vertical="center" wrapText="1"/>
    </xf>
    <xf numFmtId="164" fontId="8" fillId="76" borderId="3" xfId="6" applyNumberFormat="1" applyFont="1" applyFill="1" applyBorder="1" applyAlignment="1">
      <alignment horizontal="left" vertical="center" wrapText="1"/>
    </xf>
    <xf numFmtId="164" fontId="10" fillId="16" borderId="3" xfId="2" applyNumberFormat="1" applyFont="1" applyFill="1" applyBorder="1" applyAlignment="1">
      <alignment horizontal="left" vertical="center" wrapText="1"/>
    </xf>
    <xf numFmtId="164" fontId="10" fillId="13" borderId="6" xfId="2" applyNumberFormat="1" applyFont="1" applyFill="1" applyBorder="1" applyAlignment="1">
      <alignment horizontal="left" vertical="center"/>
    </xf>
    <xf numFmtId="164" fontId="9" fillId="87" borderId="6" xfId="3" applyNumberFormat="1" applyFont="1" applyFill="1" applyBorder="1" applyAlignment="1">
      <alignment horizontal="left" vertical="center"/>
    </xf>
    <xf numFmtId="164" fontId="10" fillId="29" borderId="6" xfId="2" applyNumberFormat="1" applyFont="1" applyFill="1" applyBorder="1" applyAlignment="1">
      <alignment horizontal="left" vertical="center"/>
    </xf>
    <xf numFmtId="164" fontId="4" fillId="89" borderId="6" xfId="3" applyNumberFormat="1" applyFont="1" applyFill="1" applyBorder="1" applyAlignment="1">
      <alignment horizontal="left" vertical="center"/>
    </xf>
    <xf numFmtId="164" fontId="2" fillId="88" borderId="6" xfId="3" applyNumberFormat="1" applyFont="1" applyFill="1" applyBorder="1" applyAlignment="1">
      <alignment horizontal="left" vertical="center"/>
    </xf>
    <xf numFmtId="164" fontId="5" fillId="88" borderId="35" xfId="3" applyNumberFormat="1" applyFont="1" applyFill="1" applyBorder="1" applyAlignment="1">
      <alignment horizontal="left" vertical="center"/>
    </xf>
    <xf numFmtId="164" fontId="5" fillId="88" borderId="3" xfId="3" applyNumberFormat="1" applyFont="1" applyFill="1" applyBorder="1" applyAlignment="1">
      <alignment horizontal="left" vertical="center"/>
    </xf>
    <xf numFmtId="17" fontId="47" fillId="0" borderId="0" xfId="13" applyNumberFormat="1" applyFont="1" applyAlignment="1">
      <alignment horizontal="left" vertical="top"/>
    </xf>
    <xf numFmtId="0" fontId="113" fillId="98" borderId="0" xfId="10" applyFont="1" applyFill="1" applyAlignment="1">
      <alignment horizontal="center" vertical="center"/>
    </xf>
    <xf numFmtId="0" fontId="113" fillId="0" borderId="0" xfId="10" applyFont="1" applyAlignment="1">
      <alignment horizontal="center" vertical="center"/>
    </xf>
    <xf numFmtId="0" fontId="114" fillId="0" borderId="0" xfId="136" applyNumberFormat="1" applyFont="1" applyAlignment="1">
      <alignment horizontal="center" vertical="center"/>
    </xf>
    <xf numFmtId="0" fontId="114" fillId="0" borderId="15" xfId="136" applyNumberFormat="1" applyFont="1" applyBorder="1" applyAlignment="1">
      <alignment horizontal="center" vertical="center"/>
    </xf>
    <xf numFmtId="0" fontId="113" fillId="98" borderId="0" xfId="24" applyNumberFormat="1" applyFont="1" applyFill="1" applyAlignment="1">
      <alignment horizontal="center" vertical="center"/>
    </xf>
    <xf numFmtId="0" fontId="113" fillId="98" borderId="0" xfId="137" applyNumberFormat="1" applyFont="1" applyFill="1" applyAlignment="1">
      <alignment horizontal="center" vertical="center"/>
    </xf>
    <xf numFmtId="0" fontId="113" fillId="98" borderId="0" xfId="136" applyNumberFormat="1" applyFont="1" applyFill="1" applyAlignment="1">
      <alignment horizontal="center" vertical="center"/>
    </xf>
    <xf numFmtId="0" fontId="113" fillId="0" borderId="32" xfId="10" applyFont="1" applyBorder="1" applyAlignment="1">
      <alignment horizontal="center" vertical="center"/>
    </xf>
    <xf numFmtId="0" fontId="113" fillId="0" borderId="17" xfId="10" applyFont="1" applyBorder="1" applyAlignment="1">
      <alignment horizontal="center" vertical="center"/>
    </xf>
    <xf numFmtId="191" fontId="116" fillId="0" borderId="17" xfId="136" applyFont="1" applyBorder="1" applyAlignment="1">
      <alignment vertical="center"/>
    </xf>
    <xf numFmtId="167" fontId="114" fillId="16" borderId="0" xfId="137" applyNumberFormat="1" applyFont="1" applyFill="1" applyAlignment="1">
      <alignment horizontal="center" vertical="center" wrapText="1"/>
    </xf>
    <xf numFmtId="167" fontId="117" fillId="99" borderId="17" xfId="137" applyNumberFormat="1" applyFont="1" applyFill="1" applyBorder="1" applyAlignment="1">
      <alignment horizontal="center" vertical="center" wrapText="1"/>
    </xf>
    <xf numFmtId="167" fontId="114" fillId="99" borderId="17" xfId="137" applyNumberFormat="1" applyFont="1" applyFill="1" applyBorder="1" applyAlignment="1">
      <alignment horizontal="center" vertical="center" wrapText="1"/>
    </xf>
    <xf numFmtId="0" fontId="117" fillId="99" borderId="17" xfId="138" applyFont="1" applyFill="1" applyBorder="1" applyAlignment="1">
      <alignment horizontal="center" vertical="center" wrapText="1"/>
    </xf>
    <xf numFmtId="0" fontId="118" fillId="99" borderId="17" xfId="138" applyFont="1" applyFill="1" applyBorder="1" applyAlignment="1">
      <alignment horizontal="center" vertical="center" wrapText="1"/>
    </xf>
    <xf numFmtId="191" fontId="116" fillId="0" borderId="0" xfId="136" applyFont="1" applyAlignment="1">
      <alignment horizontal="center" vertical="center" wrapText="1"/>
    </xf>
    <xf numFmtId="191" fontId="116" fillId="0" borderId="0" xfId="136" applyFont="1" applyAlignment="1">
      <alignment vertical="center"/>
    </xf>
    <xf numFmtId="0" fontId="113" fillId="0" borderId="34" xfId="10" applyFont="1" applyBorder="1" applyAlignment="1">
      <alignment horizontal="center" vertical="center"/>
    </xf>
    <xf numFmtId="167" fontId="117" fillId="99" borderId="15" xfId="137" applyNumberFormat="1" applyFont="1" applyFill="1" applyBorder="1" applyAlignment="1">
      <alignment horizontal="center" vertical="center" wrapText="1"/>
    </xf>
    <xf numFmtId="167" fontId="114" fillId="99" borderId="15" xfId="137" applyNumberFormat="1" applyFont="1" applyFill="1" applyBorder="1" applyAlignment="1">
      <alignment horizontal="center" vertical="center" wrapText="1"/>
    </xf>
    <xf numFmtId="0" fontId="117" fillId="99" borderId="0" xfId="138" applyFont="1" applyFill="1" applyAlignment="1">
      <alignment horizontal="center" vertical="center" wrapText="1"/>
    </xf>
    <xf numFmtId="0" fontId="118" fillId="99" borderId="15" xfId="138" applyFont="1" applyFill="1" applyBorder="1" applyAlignment="1">
      <alignment horizontal="center" vertical="center" wrapText="1"/>
    </xf>
    <xf numFmtId="167" fontId="118" fillId="100" borderId="0" xfId="137" applyNumberFormat="1" applyFont="1" applyFill="1" applyBorder="1" applyAlignment="1">
      <alignment horizontal="center" vertical="center" wrapText="1"/>
    </xf>
    <xf numFmtId="0" fontId="118" fillId="100" borderId="0" xfId="138" applyFont="1" applyFill="1" applyAlignment="1">
      <alignment horizontal="center" vertical="center" wrapText="1"/>
    </xf>
    <xf numFmtId="0" fontId="118" fillId="100" borderId="9" xfId="138" applyFont="1" applyFill="1" applyBorder="1" applyAlignment="1">
      <alignment horizontal="center" vertical="center" wrapText="1"/>
    </xf>
    <xf numFmtId="167" fontId="116" fillId="0" borderId="0" xfId="136" applyNumberFormat="1" applyFont="1" applyAlignment="1">
      <alignment vertical="center"/>
    </xf>
    <xf numFmtId="0" fontId="114" fillId="98" borderId="0" xfId="10" applyFont="1" applyFill="1" applyAlignment="1">
      <alignment horizontal="center" vertical="center"/>
    </xf>
    <xf numFmtId="0" fontId="114" fillId="0" borderId="34" xfId="10" applyFont="1" applyBorder="1" applyAlignment="1">
      <alignment horizontal="center" vertical="center"/>
    </xf>
    <xf numFmtId="0" fontId="114" fillId="0" borderId="0" xfId="10" applyFont="1" applyAlignment="1">
      <alignment horizontal="center" vertical="center"/>
    </xf>
    <xf numFmtId="192" fontId="114" fillId="0" borderId="9" xfId="136" applyNumberFormat="1" applyFont="1" applyBorder="1" applyAlignment="1">
      <alignment horizontal="left" vertical="center"/>
    </xf>
    <xf numFmtId="167" fontId="116" fillId="0" borderId="23" xfId="139" applyNumberFormat="1" applyFont="1" applyBorder="1" applyAlignment="1">
      <alignment horizontal="center" vertical="center" wrapText="1"/>
    </xf>
    <xf numFmtId="167" fontId="116" fillId="101" borderId="23" xfId="139" applyNumberFormat="1" applyFont="1" applyFill="1" applyBorder="1" applyAlignment="1">
      <alignment horizontal="center" vertical="center" wrapText="1"/>
    </xf>
    <xf numFmtId="167" fontId="116" fillId="16" borderId="23" xfId="139" applyNumberFormat="1" applyFont="1" applyFill="1" applyBorder="1" applyAlignment="1">
      <alignment horizontal="center" vertical="center" wrapText="1"/>
    </xf>
    <xf numFmtId="167" fontId="116" fillId="0" borderId="0" xfId="139" applyNumberFormat="1" applyFont="1" applyAlignment="1">
      <alignment vertical="center"/>
    </xf>
    <xf numFmtId="167" fontId="114" fillId="101" borderId="23" xfId="139" applyNumberFormat="1" applyFont="1" applyFill="1" applyBorder="1" applyAlignment="1">
      <alignment horizontal="center" vertical="center" wrapText="1"/>
    </xf>
    <xf numFmtId="0" fontId="113" fillId="0" borderId="78" xfId="10" applyFont="1" applyBorder="1" applyAlignment="1">
      <alignment horizontal="center" vertical="center"/>
    </xf>
    <xf numFmtId="0" fontId="113" fillId="0" borderId="15" xfId="10" applyFont="1" applyBorder="1" applyAlignment="1">
      <alignment horizontal="center" vertical="center"/>
    </xf>
    <xf numFmtId="191" fontId="116" fillId="0" borderId="15" xfId="136" applyFont="1" applyBorder="1" applyAlignment="1">
      <alignment vertical="center"/>
    </xf>
    <xf numFmtId="192" fontId="114" fillId="0" borderId="79" xfId="136" applyNumberFormat="1" applyFont="1" applyBorder="1" applyAlignment="1">
      <alignment horizontal="left" vertical="center"/>
    </xf>
    <xf numFmtId="167" fontId="114" fillId="0" borderId="23" xfId="139" applyNumberFormat="1" applyFont="1" applyBorder="1" applyAlignment="1">
      <alignment horizontal="center" vertical="center" wrapText="1"/>
    </xf>
    <xf numFmtId="191" fontId="114" fillId="0" borderId="0" xfId="136" applyFont="1" applyAlignment="1">
      <alignment horizontal="center" vertical="center"/>
    </xf>
    <xf numFmtId="191" fontId="116" fillId="0" borderId="9" xfId="136" applyFont="1" applyBorder="1" applyAlignment="1">
      <alignment vertical="center"/>
    </xf>
    <xf numFmtId="191" fontId="114" fillId="0" borderId="34" xfId="136" applyFont="1" applyBorder="1" applyAlignment="1">
      <alignment horizontal="left" vertical="center"/>
    </xf>
    <xf numFmtId="191" fontId="116" fillId="102" borderId="0" xfId="136" applyFont="1" applyFill="1" applyAlignment="1">
      <alignment vertical="center"/>
    </xf>
    <xf numFmtId="191" fontId="116" fillId="0" borderId="0" xfId="136" applyFont="1" applyAlignment="1">
      <alignment horizontal="left" vertical="center"/>
    </xf>
    <xf numFmtId="167" fontId="116" fillId="0" borderId="9" xfId="136" applyNumberFormat="1" applyFont="1" applyBorder="1" applyAlignment="1">
      <alignment vertical="center"/>
    </xf>
    <xf numFmtId="191" fontId="116" fillId="0" borderId="0" xfId="140" applyFont="1" applyAlignment="1">
      <alignment horizontal="left" vertical="center"/>
    </xf>
    <xf numFmtId="167" fontId="116" fillId="4" borderId="0" xfId="139" applyNumberFormat="1" applyFont="1" applyFill="1" applyBorder="1" applyAlignment="1">
      <alignment horizontal="center" vertical="center" wrapText="1"/>
    </xf>
    <xf numFmtId="191" fontId="116" fillId="56" borderId="0" xfId="140" applyFont="1" applyFill="1" applyAlignment="1">
      <alignment horizontal="left" vertical="center"/>
    </xf>
    <xf numFmtId="167" fontId="116" fillId="0" borderId="0" xfId="139" applyNumberFormat="1" applyFont="1" applyFill="1" applyBorder="1" applyAlignment="1">
      <alignment horizontal="center" vertical="center" wrapText="1"/>
    </xf>
    <xf numFmtId="164" fontId="116" fillId="0" borderId="0" xfId="141" applyFont="1" applyAlignment="1">
      <alignment vertical="center"/>
    </xf>
    <xf numFmtId="167" fontId="116" fillId="0" borderId="79" xfId="136" applyNumberFormat="1" applyFont="1" applyBorder="1" applyAlignment="1">
      <alignment vertical="center"/>
    </xf>
    <xf numFmtId="0" fontId="116" fillId="0" borderId="0" xfId="77" applyFont="1" applyAlignment="1">
      <alignment vertical="center"/>
    </xf>
    <xf numFmtId="0" fontId="116" fillId="0" borderId="9" xfId="77" applyFont="1" applyBorder="1" applyAlignment="1">
      <alignment vertical="center"/>
    </xf>
    <xf numFmtId="167" fontId="116" fillId="102" borderId="0" xfId="136" applyNumberFormat="1" applyFont="1" applyFill="1" applyAlignment="1">
      <alignment vertical="center"/>
    </xf>
    <xf numFmtId="0" fontId="116" fillId="0" borderId="0" xfId="77" applyFont="1" applyAlignment="1">
      <alignment horizontal="center" vertical="center"/>
    </xf>
    <xf numFmtId="164" fontId="116" fillId="0" borderId="0" xfId="24" applyFont="1" applyFill="1" applyBorder="1" applyAlignment="1">
      <alignment vertical="center"/>
    </xf>
    <xf numFmtId="0" fontId="114" fillId="0" borderId="0" xfId="77" applyFont="1" applyAlignment="1">
      <alignment horizontal="center" vertical="center"/>
    </xf>
    <xf numFmtId="167" fontId="116" fillId="0" borderId="15" xfId="136" applyNumberFormat="1" applyFont="1" applyBorder="1" applyAlignment="1">
      <alignment vertical="center"/>
    </xf>
    <xf numFmtId="191" fontId="114" fillId="0" borderId="34" xfId="140" applyFont="1" applyBorder="1" applyAlignment="1">
      <alignment horizontal="left" vertical="center"/>
    </xf>
    <xf numFmtId="167" fontId="114" fillId="0" borderId="9" xfId="136" applyNumberFormat="1" applyFont="1" applyBorder="1" applyAlignment="1">
      <alignment vertical="center"/>
    </xf>
    <xf numFmtId="0" fontId="116" fillId="0" borderId="0" xfId="10" applyFont="1" applyAlignment="1">
      <alignment horizontal="left" vertical="center"/>
    </xf>
    <xf numFmtId="191" fontId="114" fillId="0" borderId="0" xfId="140" applyFont="1" applyAlignment="1">
      <alignment horizontal="left" vertical="center"/>
    </xf>
    <xf numFmtId="164" fontId="116" fillId="0" borderId="0" xfId="136" applyNumberFormat="1" applyFont="1" applyAlignment="1">
      <alignment vertical="center"/>
    </xf>
    <xf numFmtId="165" fontId="116" fillId="0" borderId="0" xfId="142" applyFont="1" applyFill="1" applyBorder="1" applyAlignment="1">
      <alignment vertical="center"/>
    </xf>
    <xf numFmtId="0" fontId="116" fillId="0" borderId="33" xfId="77" applyFont="1" applyBorder="1" applyAlignment="1">
      <alignment vertical="center"/>
    </xf>
    <xf numFmtId="0" fontId="114" fillId="0" borderId="34" xfId="10" applyFont="1" applyBorder="1" applyAlignment="1">
      <alignment horizontal="left" vertical="center"/>
    </xf>
    <xf numFmtId="167" fontId="116" fillId="0" borderId="0" xfId="142" applyNumberFormat="1" applyFont="1" applyFill="1" applyBorder="1" applyAlignment="1">
      <alignment vertical="center"/>
    </xf>
    <xf numFmtId="167" fontId="116" fillId="0" borderId="9" xfId="136" applyNumberFormat="1" applyFont="1" applyBorder="1" applyAlignment="1">
      <alignment horizontal="left" vertical="center"/>
    </xf>
    <xf numFmtId="167" fontId="116" fillId="16" borderId="0" xfId="136" applyNumberFormat="1" applyFont="1" applyFill="1" applyAlignment="1">
      <alignment vertical="center"/>
    </xf>
    <xf numFmtId="0" fontId="116" fillId="16" borderId="0" xfId="10" applyFont="1" applyFill="1" applyAlignment="1">
      <alignment horizontal="left" vertical="center"/>
    </xf>
    <xf numFmtId="191" fontId="116" fillId="16" borderId="0" xfId="140" applyFont="1" applyFill="1" applyAlignment="1">
      <alignment horizontal="left" vertical="center"/>
    </xf>
    <xf numFmtId="191" fontId="114" fillId="0" borderId="0" xfId="136" applyFont="1" applyAlignment="1">
      <alignment horizontal="left" vertical="center"/>
    </xf>
    <xf numFmtId="167" fontId="114" fillId="0" borderId="79" xfId="136" applyNumberFormat="1" applyFont="1" applyBorder="1" applyAlignment="1">
      <alignment vertical="center"/>
    </xf>
    <xf numFmtId="0" fontId="114" fillId="0" borderId="78" xfId="10" applyFont="1" applyBorder="1" applyAlignment="1">
      <alignment vertical="center"/>
    </xf>
    <xf numFmtId="191" fontId="114" fillId="0" borderId="15" xfId="136" applyFont="1" applyBorder="1" applyAlignment="1">
      <alignment horizontal="left" vertical="center"/>
    </xf>
    <xf numFmtId="167" fontId="114" fillId="102" borderId="15" xfId="136" applyNumberFormat="1" applyFont="1" applyFill="1" applyBorder="1" applyAlignment="1">
      <alignment vertical="center"/>
    </xf>
    <xf numFmtId="167" fontId="114" fillId="33" borderId="15" xfId="137" applyNumberFormat="1" applyFont="1" applyFill="1" applyBorder="1" applyAlignment="1">
      <alignment horizontal="center" vertical="center" wrapText="1"/>
    </xf>
    <xf numFmtId="167" fontId="114" fillId="33" borderId="79" xfId="137" applyNumberFormat="1" applyFont="1" applyFill="1" applyBorder="1" applyAlignment="1">
      <alignment horizontal="center" vertical="center" wrapText="1"/>
    </xf>
    <xf numFmtId="191" fontId="114" fillId="16" borderId="0" xfId="136" applyFont="1" applyFill="1" applyAlignment="1">
      <alignment vertical="center"/>
    </xf>
    <xf numFmtId="167" fontId="114" fillId="16" borderId="0" xfId="136" applyNumberFormat="1" applyFont="1" applyFill="1" applyAlignment="1">
      <alignment vertical="center"/>
    </xf>
    <xf numFmtId="191" fontId="119" fillId="0" borderId="0" xfId="136" applyFont="1" applyAlignment="1">
      <alignment vertical="center"/>
    </xf>
    <xf numFmtId="164" fontId="16" fillId="0" borderId="0" xfId="9" applyNumberFormat="1" applyFont="1" applyAlignment="1">
      <alignment horizontal="center" vertical="top"/>
    </xf>
    <xf numFmtId="41" fontId="20" fillId="0" borderId="0" xfId="2" applyFont="1" applyFill="1"/>
    <xf numFmtId="3" fontId="20" fillId="0" borderId="0" xfId="10" applyNumberFormat="1" applyFont="1"/>
    <xf numFmtId="0" fontId="19" fillId="0" borderId="0" xfId="10" applyFont="1" applyAlignment="1">
      <alignment horizontal="right"/>
    </xf>
    <xf numFmtId="164" fontId="4" fillId="88" borderId="3" xfId="3" applyNumberFormat="1" applyFont="1" applyFill="1" applyBorder="1" applyAlignment="1">
      <alignment horizontal="left" vertical="center"/>
    </xf>
    <xf numFmtId="164" fontId="0" fillId="0" borderId="31" xfId="2" applyNumberFormat="1" applyFont="1" applyBorder="1"/>
    <xf numFmtId="9" fontId="1" fillId="76" borderId="3" xfId="3" applyNumberFormat="1" applyFill="1" applyBorder="1" applyAlignment="1">
      <alignment horizontal="left" vertical="center"/>
    </xf>
    <xf numFmtId="167" fontId="1" fillId="0" borderId="0" xfId="2" applyNumberFormat="1" applyFont="1"/>
    <xf numFmtId="193" fontId="1" fillId="0" borderId="0" xfId="3" applyNumberFormat="1"/>
    <xf numFmtId="183" fontId="1" fillId="0" borderId="0" xfId="3" applyNumberFormat="1"/>
    <xf numFmtId="3" fontId="1" fillId="0" borderId="0" xfId="3" applyNumberFormat="1"/>
    <xf numFmtId="164" fontId="96" fillId="0" borderId="0" xfId="0" applyNumberFormat="1" applyFont="1"/>
    <xf numFmtId="0" fontId="96" fillId="0" borderId="0" xfId="0" applyFont="1" applyAlignment="1">
      <alignment horizontal="right"/>
    </xf>
    <xf numFmtId="166" fontId="0" fillId="0" borderId="0" xfId="1" applyNumberFormat="1" applyFont="1"/>
    <xf numFmtId="164" fontId="1" fillId="0" borderId="0" xfId="3" applyNumberFormat="1"/>
    <xf numFmtId="164" fontId="8" fillId="103" borderId="3" xfId="2" applyNumberFormat="1" applyFont="1" applyFill="1" applyBorder="1" applyAlignment="1">
      <alignment horizontal="left" vertical="center" wrapText="1"/>
    </xf>
    <xf numFmtId="164" fontId="9" fillId="4" borderId="3" xfId="2" applyNumberFormat="1" applyFont="1" applyFill="1" applyBorder="1" applyAlignment="1">
      <alignment horizontal="left" vertical="center" wrapText="1"/>
    </xf>
    <xf numFmtId="164" fontId="8" fillId="4" borderId="3" xfId="2" applyNumberFormat="1" applyFont="1" applyFill="1" applyBorder="1" applyAlignment="1">
      <alignment horizontal="left" vertical="center" wrapText="1"/>
    </xf>
    <xf numFmtId="166" fontId="1" fillId="0" borderId="0" xfId="1" applyNumberFormat="1" applyFont="1"/>
    <xf numFmtId="166" fontId="1" fillId="0" borderId="15" xfId="1" applyNumberFormat="1" applyFont="1" applyBorder="1"/>
    <xf numFmtId="164" fontId="8" fillId="104" borderId="3" xfId="2" applyNumberFormat="1" applyFont="1" applyFill="1" applyBorder="1" applyAlignment="1">
      <alignment horizontal="left" vertical="center" wrapText="1"/>
    </xf>
    <xf numFmtId="164" fontId="8" fillId="78" borderId="3" xfId="2" applyNumberFormat="1" applyFont="1" applyFill="1" applyBorder="1" applyAlignment="1">
      <alignment horizontal="left" vertical="center" wrapText="1"/>
    </xf>
    <xf numFmtId="164" fontId="1" fillId="4" borderId="3" xfId="2" applyNumberFormat="1" applyFill="1" applyBorder="1" applyAlignment="1">
      <alignment horizontal="left" vertical="center"/>
    </xf>
    <xf numFmtId="164" fontId="10" fillId="4" borderId="3" xfId="2" applyNumberFormat="1" applyFont="1" applyFill="1" applyBorder="1" applyAlignment="1">
      <alignment horizontal="left" vertical="center"/>
    </xf>
    <xf numFmtId="164" fontId="8" fillId="4" borderId="3" xfId="2" applyNumberFormat="1" applyFont="1" applyFill="1" applyBorder="1" applyAlignment="1">
      <alignment horizontal="left" vertical="center"/>
    </xf>
    <xf numFmtId="167" fontId="31" fillId="0" borderId="0" xfId="12" applyNumberFormat="1" applyFont="1" applyAlignment="1">
      <alignment horizontal="center"/>
    </xf>
    <xf numFmtId="167" fontId="38" fillId="0" borderId="0" xfId="12" applyNumberFormat="1" applyFont="1" applyAlignment="1">
      <alignment horizontal="center"/>
    </xf>
    <xf numFmtId="167" fontId="38" fillId="0" borderId="0" xfId="12" applyNumberFormat="1" applyFont="1"/>
    <xf numFmtId="167" fontId="32" fillId="0" borderId="0" xfId="12" applyNumberFormat="1" applyFont="1" applyAlignment="1">
      <alignment horizontal="center"/>
    </xf>
    <xf numFmtId="167" fontId="31" fillId="0" borderId="0" xfId="12" applyNumberFormat="1" applyFont="1" applyAlignment="1">
      <alignment horizontal="right"/>
    </xf>
    <xf numFmtId="167" fontId="32" fillId="0" borderId="0" xfId="7" applyNumberFormat="1" applyFont="1" applyFill="1" applyAlignment="1">
      <alignment horizontal="right"/>
    </xf>
    <xf numFmtId="41" fontId="4" fillId="16" borderId="23" xfId="2" applyFont="1" applyFill="1" applyBorder="1"/>
    <xf numFmtId="41" fontId="0" fillId="99" borderId="0" xfId="2" applyFont="1" applyFill="1"/>
    <xf numFmtId="167" fontId="1" fillId="0" borderId="0" xfId="2" applyNumberFormat="1" applyFont="1" applyBorder="1"/>
    <xf numFmtId="0" fontId="120" fillId="0" borderId="0" xfId="143"/>
    <xf numFmtId="164" fontId="1" fillId="99" borderId="3" xfId="1" applyNumberFormat="1" applyFont="1" applyFill="1" applyBorder="1" applyAlignment="1">
      <alignment horizontal="right" vertical="center"/>
    </xf>
    <xf numFmtId="164" fontId="8" fillId="99" borderId="3" xfId="2" applyNumberFormat="1" applyFont="1" applyFill="1" applyBorder="1" applyAlignment="1">
      <alignment horizontal="left" vertical="center"/>
    </xf>
    <xf numFmtId="164" fontId="34" fillId="0" borderId="0" xfId="2" applyNumberFormat="1" applyFont="1" applyAlignment="1">
      <alignment vertical="center"/>
    </xf>
    <xf numFmtId="194" fontId="1" fillId="0" borderId="0" xfId="3" applyNumberFormat="1"/>
    <xf numFmtId="194" fontId="1" fillId="16" borderId="0" xfId="3" applyNumberFormat="1" applyFill="1"/>
    <xf numFmtId="193" fontId="4" fillId="16" borderId="0" xfId="3" applyNumberFormat="1" applyFont="1" applyFill="1"/>
    <xf numFmtId="41" fontId="0" fillId="16" borderId="15" xfId="0" applyNumberFormat="1" applyFill="1" applyBorder="1"/>
    <xf numFmtId="41" fontId="0" fillId="16" borderId="0" xfId="0" applyNumberFormat="1" applyFill="1"/>
    <xf numFmtId="0" fontId="45" fillId="74" borderId="0" xfId="13" applyFont="1" applyFill="1" applyAlignment="1">
      <alignment horizontal="center"/>
    </xf>
    <xf numFmtId="0" fontId="44" fillId="0" borderId="0" xfId="13" applyFont="1" applyAlignment="1">
      <alignment horizontal="center" vertical="top"/>
    </xf>
    <xf numFmtId="0" fontId="45" fillId="0" borderId="0" xfId="13" applyFont="1" applyAlignment="1">
      <alignment vertical="center"/>
    </xf>
    <xf numFmtId="43" fontId="0" fillId="0" borderId="0" xfId="1" applyFont="1"/>
    <xf numFmtId="166" fontId="0" fillId="0" borderId="0" xfId="11" applyNumberFormat="1" applyFont="1"/>
    <xf numFmtId="166" fontId="44" fillId="0" borderId="0" xfId="1" applyNumberFormat="1" applyFont="1" applyFill="1"/>
    <xf numFmtId="166" fontId="45" fillId="0" borderId="0" xfId="1" applyNumberFormat="1" applyFont="1" applyFill="1" applyAlignment="1">
      <alignment horizontal="right" vertical="center" wrapText="1"/>
    </xf>
    <xf numFmtId="166" fontId="44" fillId="0" borderId="0" xfId="1" applyNumberFormat="1" applyFont="1" applyFill="1" applyBorder="1" applyAlignment="1">
      <alignment horizontal="right" vertical="center" wrapText="1"/>
    </xf>
    <xf numFmtId="166" fontId="45" fillId="0" borderId="15" xfId="1" applyNumberFormat="1" applyFont="1" applyFill="1" applyBorder="1" applyAlignment="1">
      <alignment horizontal="right" vertical="center" wrapText="1"/>
    </xf>
    <xf numFmtId="166" fontId="45" fillId="0" borderId="0" xfId="1" applyNumberFormat="1" applyFont="1" applyAlignment="1">
      <alignment horizontal="right" vertical="center" wrapText="1"/>
    </xf>
    <xf numFmtId="166" fontId="45" fillId="0" borderId="15" xfId="1" applyNumberFormat="1" applyFont="1" applyBorder="1" applyAlignment="1">
      <alignment horizontal="right" vertical="center" wrapText="1"/>
    </xf>
    <xf numFmtId="166" fontId="44" fillId="0" borderId="0" xfId="1" applyNumberFormat="1" applyFont="1" applyAlignment="1">
      <alignment horizontal="right" vertical="center" wrapText="1"/>
    </xf>
    <xf numFmtId="166" fontId="44" fillId="0" borderId="0" xfId="1" applyNumberFormat="1" applyFont="1" applyFill="1" applyAlignment="1">
      <alignment horizontal="right" vertical="center" wrapText="1"/>
    </xf>
    <xf numFmtId="166" fontId="44" fillId="0" borderId="0" xfId="1" applyNumberFormat="1" applyFont="1" applyBorder="1" applyAlignment="1">
      <alignment horizontal="right" vertical="center" wrapText="1"/>
    </xf>
    <xf numFmtId="167" fontId="45" fillId="0" borderId="0" xfId="1" applyNumberFormat="1" applyFont="1" applyFill="1"/>
    <xf numFmtId="167" fontId="45" fillId="0" borderId="0" xfId="1" applyNumberFormat="1" applyFont="1" applyFill="1" applyAlignment="1">
      <alignment horizontal="right" vertical="center" wrapText="1"/>
    </xf>
    <xf numFmtId="0" fontId="56" fillId="0" borderId="32" xfId="21" applyBorder="1"/>
    <xf numFmtId="0" fontId="64" fillId="0" borderId="33" xfId="21" applyFont="1" applyBorder="1"/>
    <xf numFmtId="0" fontId="64" fillId="0" borderId="77" xfId="21" applyFont="1" applyBorder="1"/>
    <xf numFmtId="166" fontId="64" fillId="0" borderId="0" xfId="11" applyNumberFormat="1" applyFont="1" applyAlignment="1">
      <alignment horizontal="center" vertical="center" wrapText="1"/>
    </xf>
    <xf numFmtId="166" fontId="64" fillId="0" borderId="0" xfId="21" applyNumberFormat="1" applyFont="1"/>
    <xf numFmtId="0" fontId="56" fillId="0" borderId="34" xfId="21" applyBorder="1"/>
    <xf numFmtId="0" fontId="64" fillId="0" borderId="9" xfId="21" applyFont="1" applyBorder="1"/>
    <xf numFmtId="175" fontId="65" fillId="0" borderId="0" xfId="21" applyNumberFormat="1" applyFont="1" applyAlignment="1">
      <alignment horizontal="center"/>
    </xf>
    <xf numFmtId="167" fontId="64" fillId="0" borderId="9" xfId="21" applyNumberFormat="1" applyFont="1" applyBorder="1"/>
    <xf numFmtId="164" fontId="64" fillId="0" borderId="0" xfId="4" applyFont="1" applyFill="1"/>
    <xf numFmtId="0" fontId="65" fillId="0" borderId="6" xfId="21" applyFont="1" applyBorder="1" applyAlignment="1">
      <alignment horizontal="center"/>
    </xf>
    <xf numFmtId="0" fontId="65" fillId="0" borderId="11" xfId="21" applyFont="1" applyBorder="1" applyAlignment="1">
      <alignment horizontal="center"/>
    </xf>
    <xf numFmtId="191" fontId="65" fillId="0" borderId="9" xfId="21" applyNumberFormat="1" applyFont="1" applyBorder="1" applyAlignment="1">
      <alignment horizontal="left" vertical="center"/>
    </xf>
    <xf numFmtId="0" fontId="64" fillId="0" borderId="80" xfId="21" applyFont="1" applyBorder="1"/>
    <xf numFmtId="167" fontId="79" fillId="0" borderId="5" xfId="21" applyNumberFormat="1" applyFont="1" applyBorder="1"/>
    <xf numFmtId="191" fontId="122" fillId="0" borderId="34" xfId="21" applyNumberFormat="1" applyFont="1" applyBorder="1"/>
    <xf numFmtId="167" fontId="65" fillId="0" borderId="81" xfId="21" applyNumberFormat="1" applyFont="1" applyBorder="1"/>
    <xf numFmtId="0" fontId="123" fillId="0" borderId="34" xfId="21" applyFont="1" applyBorder="1"/>
    <xf numFmtId="167" fontId="64" fillId="0" borderId="5" xfId="21" applyNumberFormat="1" applyFont="1" applyBorder="1"/>
    <xf numFmtId="0" fontId="116" fillId="0" borderId="0" xfId="140" applyNumberFormat="1" applyFont="1" applyAlignment="1">
      <alignment horizontal="left" vertical="center"/>
    </xf>
    <xf numFmtId="167" fontId="77" fillId="0" borderId="5" xfId="21" applyNumberFormat="1" applyFont="1" applyBorder="1"/>
    <xf numFmtId="167" fontId="77" fillId="0" borderId="82" xfId="21" applyNumberFormat="1" applyFont="1" applyBorder="1"/>
    <xf numFmtId="0" fontId="122" fillId="0" borderId="34" xfId="21" applyFont="1" applyBorder="1"/>
    <xf numFmtId="167" fontId="124" fillId="0" borderId="82" xfId="21" applyNumberFormat="1" applyFont="1" applyBorder="1"/>
    <xf numFmtId="167" fontId="64" fillId="0" borderId="0" xfId="11" applyNumberFormat="1" applyFont="1" applyFill="1"/>
    <xf numFmtId="0" fontId="123" fillId="0" borderId="0" xfId="21" applyFont="1"/>
    <xf numFmtId="0" fontId="125" fillId="0" borderId="0" xfId="21" applyFont="1" applyAlignment="1">
      <alignment vertical="center"/>
    </xf>
    <xf numFmtId="0" fontId="125" fillId="0" borderId="0" xfId="21" applyFont="1"/>
    <xf numFmtId="167" fontId="79" fillId="0" borderId="82" xfId="21" applyNumberFormat="1" applyFont="1" applyBorder="1"/>
    <xf numFmtId="167" fontId="64" fillId="0" borderId="32" xfId="11" applyNumberFormat="1" applyFont="1" applyBorder="1"/>
    <xf numFmtId="0" fontId="122" fillId="0" borderId="0" xfId="21" applyFont="1"/>
    <xf numFmtId="167" fontId="65" fillId="0" borderId="78" xfId="21" applyNumberFormat="1" applyFont="1" applyBorder="1"/>
    <xf numFmtId="167" fontId="64" fillId="0" borderId="32" xfId="21" applyNumberFormat="1" applyFont="1" applyBorder="1"/>
    <xf numFmtId="167" fontId="64" fillId="0" borderId="34" xfId="21" applyNumberFormat="1" applyFont="1" applyBorder="1"/>
    <xf numFmtId="167" fontId="65" fillId="113" borderId="0" xfId="21" applyNumberFormat="1" applyFont="1" applyFill="1"/>
    <xf numFmtId="167" fontId="65" fillId="99" borderId="0" xfId="21" applyNumberFormat="1" applyFont="1" applyFill="1"/>
    <xf numFmtId="0" fontId="78" fillId="0" borderId="0" xfId="21" applyFont="1"/>
    <xf numFmtId="167" fontId="78" fillId="0" borderId="0" xfId="11" applyNumberFormat="1" applyFont="1"/>
    <xf numFmtId="167" fontId="78" fillId="0" borderId="0" xfId="21" applyNumberFormat="1" applyFont="1"/>
    <xf numFmtId="164" fontId="116" fillId="0" borderId="0" xfId="140" applyNumberFormat="1" applyFont="1" applyAlignment="1">
      <alignment horizontal="left" vertical="center"/>
    </xf>
    <xf numFmtId="0" fontId="0" fillId="0" borderId="0" xfId="0" applyAlignment="1">
      <alignment horizontal="center"/>
    </xf>
    <xf numFmtId="3" fontId="4" fillId="0" borderId="0" xfId="0" applyNumberFormat="1" applyFont="1"/>
    <xf numFmtId="167" fontId="0" fillId="0" borderId="0" xfId="1" applyNumberFormat="1" applyFont="1"/>
    <xf numFmtId="167" fontId="0" fillId="0" borderId="15" xfId="1" applyNumberFormat="1" applyFont="1" applyBorder="1"/>
    <xf numFmtId="167" fontId="4" fillId="0" borderId="0" xfId="1" applyNumberFormat="1" applyFont="1"/>
    <xf numFmtId="166" fontId="0" fillId="0" borderId="15" xfId="1" applyNumberFormat="1" applyFont="1" applyBorder="1"/>
    <xf numFmtId="0" fontId="19" fillId="0" borderId="0" xfId="10" quotePrefix="1" applyFont="1" applyAlignment="1">
      <alignment horizontal="center"/>
    </xf>
    <xf numFmtId="166" fontId="4" fillId="0" borderId="0" xfId="1" applyNumberFormat="1" applyFont="1"/>
    <xf numFmtId="167" fontId="0" fillId="0" borderId="15" xfId="11" applyNumberFormat="1" applyFont="1" applyBorder="1"/>
    <xf numFmtId="166" fontId="0" fillId="0" borderId="15" xfId="11" applyNumberFormat="1" applyFont="1" applyBorder="1"/>
    <xf numFmtId="167" fontId="4" fillId="0" borderId="0" xfId="11" applyNumberFormat="1" applyFont="1"/>
    <xf numFmtId="167" fontId="0" fillId="0" borderId="0" xfId="11" applyNumberFormat="1" applyFont="1"/>
    <xf numFmtId="164" fontId="20" fillId="0" borderId="0" xfId="2" applyNumberFormat="1" applyFont="1" applyBorder="1"/>
    <xf numFmtId="164" fontId="0" fillId="0" borderId="0" xfId="1" applyNumberFormat="1" applyFont="1"/>
    <xf numFmtId="164" fontId="19" fillId="0" borderId="0" xfId="10" quotePrefix="1" applyNumberFormat="1" applyFont="1" applyAlignment="1">
      <alignment horizontal="center"/>
    </xf>
    <xf numFmtId="17" fontId="19" fillId="0" borderId="0" xfId="10" quotePrefix="1" applyNumberFormat="1" applyFont="1" applyAlignment="1">
      <alignment horizontal="center"/>
    </xf>
    <xf numFmtId="164" fontId="19" fillId="0" borderId="15" xfId="10" applyNumberFormat="1" applyFont="1" applyBorder="1" applyAlignment="1">
      <alignment horizontal="center"/>
    </xf>
    <xf numFmtId="17" fontId="19" fillId="0" borderId="0" xfId="10" applyNumberFormat="1" applyFont="1" applyAlignment="1">
      <alignment horizontal="center"/>
    </xf>
    <xf numFmtId="164" fontId="20" fillId="0" borderId="0" xfId="10" applyNumberFormat="1" applyFont="1" applyAlignment="1">
      <alignment horizontal="center"/>
    </xf>
    <xf numFmtId="164" fontId="17" fillId="0" borderId="0" xfId="0" applyNumberFormat="1" applyFont="1"/>
    <xf numFmtId="164" fontId="19" fillId="0" borderId="0" xfId="10" quotePrefix="1" applyNumberFormat="1" applyFont="1"/>
    <xf numFmtId="164" fontId="19" fillId="0" borderId="0" xfId="10" applyNumberFormat="1" applyFont="1" applyAlignment="1">
      <alignment horizontal="center"/>
    </xf>
    <xf numFmtId="17" fontId="24" fillId="0" borderId="15" xfId="10" quotePrefix="1" applyNumberFormat="1" applyFont="1" applyBorder="1" applyAlignment="1">
      <alignment horizontal="center"/>
    </xf>
    <xf numFmtId="0" fontId="24" fillId="0" borderId="15" xfId="10" quotePrefix="1" applyFont="1" applyBorder="1" applyAlignment="1">
      <alignment horizontal="center"/>
    </xf>
    <xf numFmtId="10" fontId="20" fillId="0" borderId="0" xfId="10" applyNumberFormat="1" applyFont="1" applyAlignment="1">
      <alignment horizontal="center"/>
    </xf>
    <xf numFmtId="183" fontId="4" fillId="114" borderId="3" xfId="1" applyNumberFormat="1" applyFont="1" applyFill="1" applyBorder="1" applyAlignment="1">
      <alignment horizontal="right" vertical="center"/>
    </xf>
    <xf numFmtId="183" fontId="8" fillId="115" borderId="3" xfId="1" applyNumberFormat="1" applyFont="1" applyFill="1" applyBorder="1" applyAlignment="1">
      <alignment horizontal="right" vertical="center"/>
    </xf>
    <xf numFmtId="14" fontId="4" fillId="0" borderId="0" xfId="2" applyNumberFormat="1" applyFont="1"/>
    <xf numFmtId="0" fontId="41" fillId="0" borderId="0" xfId="12" applyFont="1"/>
    <xf numFmtId="164" fontId="25" fillId="0" borderId="0" xfId="1" applyNumberFormat="1" applyFont="1" applyFill="1" applyBorder="1" applyAlignment="1">
      <alignment horizontal="center"/>
    </xf>
    <xf numFmtId="0" fontId="55" fillId="0" borderId="0" xfId="19" applyFont="1" applyAlignment="1">
      <alignment vertical="center"/>
    </xf>
    <xf numFmtId="166" fontId="44" fillId="0" borderId="15" xfId="1" applyNumberFormat="1" applyFont="1" applyFill="1" applyBorder="1" applyAlignment="1">
      <alignment horizontal="right" vertical="center" wrapText="1"/>
    </xf>
    <xf numFmtId="0" fontId="24" fillId="0" borderId="0" xfId="10" applyFont="1" applyAlignment="1">
      <alignment horizontal="center"/>
    </xf>
    <xf numFmtId="164" fontId="4" fillId="0" borderId="0" xfId="2" applyNumberFormat="1" applyFont="1" applyBorder="1"/>
    <xf numFmtId="0" fontId="73" fillId="0" borderId="0" xfId="0" applyFont="1"/>
    <xf numFmtId="167" fontId="126" fillId="0" borderId="0" xfId="142" applyNumberFormat="1" applyFont="1" applyBorder="1" applyAlignment="1">
      <alignment horizontal="left"/>
    </xf>
    <xf numFmtId="164" fontId="0" fillId="0" borderId="0" xfId="2" applyNumberFormat="1" applyFont="1" applyBorder="1"/>
    <xf numFmtId="167" fontId="127" fillId="0" borderId="0" xfId="142" applyNumberFormat="1" applyFont="1" applyBorder="1" applyAlignment="1">
      <alignment horizontal="left"/>
    </xf>
    <xf numFmtId="164" fontId="4" fillId="0" borderId="19" xfId="2" applyNumberFormat="1" applyFont="1" applyBorder="1"/>
    <xf numFmtId="164" fontId="4" fillId="0" borderId="16" xfId="2" applyNumberFormat="1" applyFont="1" applyBorder="1"/>
    <xf numFmtId="180" fontId="59" fillId="0" borderId="0" xfId="0" applyNumberFormat="1" applyFont="1" applyAlignment="1">
      <alignment horizontal="right" vertical="top"/>
    </xf>
    <xf numFmtId="164" fontId="4" fillId="0" borderId="19" xfId="0" applyNumberFormat="1" applyFont="1" applyBorder="1"/>
    <xf numFmtId="4" fontId="25" fillId="0" borderId="0" xfId="10" applyNumberFormat="1" applyFont="1"/>
    <xf numFmtId="178" fontId="4" fillId="0" borderId="3" xfId="2" applyNumberFormat="1" applyFont="1" applyFill="1" applyBorder="1" applyAlignment="1">
      <alignment horizontal="left" vertical="center"/>
    </xf>
    <xf numFmtId="0" fontId="4" fillId="0" borderId="31" xfId="6" applyFont="1" applyBorder="1" applyAlignment="1">
      <alignment horizontal="left" vertical="center"/>
    </xf>
    <xf numFmtId="4" fontId="1" fillId="0" borderId="3" xfId="3" applyNumberFormat="1" applyBorder="1" applyAlignment="1">
      <alignment horizontal="left" vertical="center"/>
    </xf>
    <xf numFmtId="183" fontId="8" fillId="0" borderId="3" xfId="2" applyNumberFormat="1" applyFont="1" applyBorder="1" applyAlignment="1">
      <alignment horizontal="left" vertical="center"/>
    </xf>
    <xf numFmtId="164" fontId="8" fillId="83" borderId="3" xfId="2" applyNumberFormat="1" applyFont="1" applyFill="1" applyBorder="1" applyAlignment="1">
      <alignment horizontal="left" vertical="center" wrapText="1"/>
    </xf>
    <xf numFmtId="164" fontId="8" fillId="83" borderId="3" xfId="2" applyNumberFormat="1" applyFont="1" applyFill="1" applyBorder="1" applyAlignment="1">
      <alignment horizontal="left" vertical="center"/>
    </xf>
    <xf numFmtId="164" fontId="3" fillId="83" borderId="3" xfId="2" applyNumberFormat="1" applyFont="1" applyFill="1" applyBorder="1" applyAlignment="1">
      <alignment horizontal="left" vertical="center"/>
    </xf>
    <xf numFmtId="164" fontId="7" fillId="83" borderId="3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center" vertical="center"/>
    </xf>
    <xf numFmtId="164" fontId="5" fillId="0" borderId="8" xfId="2" applyNumberFormat="1" applyFont="1" applyFill="1" applyBorder="1" applyAlignment="1">
      <alignment horizontal="center" vertical="center"/>
    </xf>
    <xf numFmtId="164" fontId="1" fillId="0" borderId="3" xfId="2" applyNumberFormat="1" applyFill="1" applyBorder="1" applyAlignment="1">
      <alignment horizontal="left" vertical="center"/>
    </xf>
    <xf numFmtId="164" fontId="4" fillId="0" borderId="6" xfId="2" applyNumberFormat="1" applyFont="1" applyFill="1" applyBorder="1" applyAlignment="1">
      <alignment horizontal="left" vertical="center"/>
    </xf>
    <xf numFmtId="164" fontId="1" fillId="0" borderId="6" xfId="2" applyNumberFormat="1" applyFill="1" applyBorder="1" applyAlignment="1">
      <alignment horizontal="left" vertical="center"/>
    </xf>
    <xf numFmtId="164" fontId="7" fillId="0" borderId="3" xfId="2" applyNumberFormat="1" applyFont="1" applyFill="1" applyBorder="1" applyAlignment="1">
      <alignment horizontal="left" vertical="center"/>
    </xf>
    <xf numFmtId="164" fontId="2" fillId="0" borderId="3" xfId="2" applyNumberFormat="1" applyFont="1" applyFill="1" applyBorder="1" applyAlignment="1">
      <alignment horizontal="left" vertical="center"/>
    </xf>
    <xf numFmtId="164" fontId="0" fillId="0" borderId="3" xfId="2" applyNumberFormat="1" applyFont="1" applyFill="1" applyBorder="1"/>
    <xf numFmtId="164" fontId="1" fillId="0" borderId="3" xfId="2" applyNumberFormat="1" applyFill="1" applyBorder="1" applyAlignment="1">
      <alignment horizontal="left" vertical="center" indent="1"/>
    </xf>
    <xf numFmtId="164" fontId="3" fillId="0" borderId="3" xfId="2" applyNumberFormat="1" applyFont="1" applyFill="1" applyBorder="1" applyAlignment="1">
      <alignment horizontal="left" vertical="center"/>
    </xf>
    <xf numFmtId="164" fontId="13" fillId="0" borderId="3" xfId="2" applyNumberFormat="1" applyFont="1" applyFill="1" applyBorder="1" applyAlignment="1">
      <alignment horizontal="left" vertical="center"/>
    </xf>
    <xf numFmtId="164" fontId="4" fillId="0" borderId="3" xfId="2" applyNumberFormat="1" applyFont="1" applyFill="1" applyBorder="1" applyAlignment="1">
      <alignment vertical="center"/>
    </xf>
    <xf numFmtId="164" fontId="1" fillId="0" borderId="3" xfId="2" applyNumberFormat="1" applyFill="1" applyBorder="1" applyAlignment="1">
      <alignment vertical="center"/>
    </xf>
    <xf numFmtId="164" fontId="1" fillId="0" borderId="3" xfId="2" applyNumberFormat="1" applyFill="1" applyBorder="1" applyAlignment="1">
      <alignment horizontal="left" vertical="center" indent="2"/>
    </xf>
    <xf numFmtId="164" fontId="9" fillId="0" borderId="0" xfId="2" applyNumberFormat="1" applyFont="1" applyFill="1" applyBorder="1" applyAlignment="1">
      <alignment horizontal="left" vertical="center"/>
    </xf>
    <xf numFmtId="164" fontId="9" fillId="0" borderId="3" xfId="2" applyNumberFormat="1" applyFont="1" applyFill="1" applyBorder="1" applyAlignment="1">
      <alignment horizontal="left" vertical="center" wrapText="1"/>
    </xf>
    <xf numFmtId="164" fontId="8" fillId="0" borderId="3" xfId="2" applyNumberFormat="1" applyFont="1" applyFill="1" applyBorder="1" applyAlignment="1">
      <alignment horizontal="left" vertical="center" wrapText="1"/>
    </xf>
    <xf numFmtId="164" fontId="2" fillId="0" borderId="6" xfId="2" applyNumberFormat="1" applyFont="1" applyFill="1" applyBorder="1" applyAlignment="1">
      <alignment horizontal="left" vertical="center"/>
    </xf>
    <xf numFmtId="164" fontId="5" fillId="0" borderId="35" xfId="2" applyNumberFormat="1" applyFont="1" applyFill="1" applyBorder="1" applyAlignment="1">
      <alignment horizontal="left" vertical="center"/>
    </xf>
    <xf numFmtId="164" fontId="5" fillId="0" borderId="3" xfId="2" applyNumberFormat="1" applyFont="1" applyFill="1" applyBorder="1" applyAlignment="1">
      <alignment horizontal="left" vertical="center"/>
    </xf>
    <xf numFmtId="164" fontId="0" fillId="0" borderId="3" xfId="2" applyNumberFormat="1" applyFont="1" applyFill="1" applyBorder="1" applyAlignment="1">
      <alignment horizontal="left" vertical="center"/>
    </xf>
    <xf numFmtId="164" fontId="8" fillId="34" borderId="3" xfId="2" applyNumberFormat="1" applyFont="1" applyFill="1" applyBorder="1" applyAlignment="1">
      <alignment horizontal="left" vertical="center"/>
    </xf>
    <xf numFmtId="164" fontId="8" fillId="34" borderId="3" xfId="2" quotePrefix="1" applyNumberFormat="1" applyFont="1" applyFill="1" applyBorder="1" applyAlignment="1">
      <alignment vertical="top" wrapText="1"/>
    </xf>
    <xf numFmtId="41" fontId="0" fillId="18" borderId="0" xfId="2" applyFont="1" applyFill="1"/>
    <xf numFmtId="164" fontId="8" fillId="18" borderId="3" xfId="2" applyNumberFormat="1" applyFont="1" applyFill="1" applyBorder="1" applyAlignment="1">
      <alignment horizontal="left" vertical="center"/>
    </xf>
    <xf numFmtId="165" fontId="31" fillId="0" borderId="0" xfId="12" applyNumberFormat="1" applyFont="1" applyAlignment="1">
      <alignment horizontal="center"/>
    </xf>
    <xf numFmtId="166" fontId="8" fillId="0" borderId="3" xfId="2" applyNumberFormat="1" applyFont="1" applyBorder="1" applyAlignment="1">
      <alignment horizontal="left" vertical="center"/>
    </xf>
    <xf numFmtId="164" fontId="8" fillId="74" borderId="3" xfId="2" applyNumberFormat="1" applyFont="1" applyFill="1" applyBorder="1" applyAlignment="1">
      <alignment horizontal="left" vertical="center"/>
    </xf>
    <xf numFmtId="164" fontId="7" fillId="16" borderId="3" xfId="2" applyNumberFormat="1" applyFont="1" applyFill="1" applyBorder="1" applyAlignment="1">
      <alignment horizontal="left" vertical="center"/>
    </xf>
    <xf numFmtId="0" fontId="57" fillId="0" borderId="0" xfId="21" applyFont="1" applyAlignment="1">
      <alignment horizontal="left" vertical="center"/>
    </xf>
    <xf numFmtId="164" fontId="8" fillId="16" borderId="6" xfId="2" applyNumberFormat="1" applyFont="1" applyFill="1" applyBorder="1" applyAlignment="1">
      <alignment horizontal="left" vertical="center"/>
    </xf>
    <xf numFmtId="166" fontId="4" fillId="0" borderId="0" xfId="1" applyNumberFormat="1" applyFont="1" applyAlignment="1">
      <alignment horizontal="center"/>
    </xf>
    <xf numFmtId="164" fontId="8" fillId="0" borderId="6" xfId="2" applyNumberFormat="1" applyFont="1" applyBorder="1" applyAlignment="1">
      <alignment horizontal="left" vertical="center" wrapText="1"/>
    </xf>
    <xf numFmtId="164" fontId="10" fillId="0" borderId="6" xfId="2" applyNumberFormat="1" applyFont="1" applyBorder="1" applyAlignment="1">
      <alignment horizontal="left" vertical="center" wrapText="1"/>
    </xf>
    <xf numFmtId="164" fontId="8" fillId="0" borderId="6" xfId="2" applyNumberFormat="1" applyFont="1" applyFill="1" applyBorder="1" applyAlignment="1">
      <alignment horizontal="left" vertical="center" wrapText="1"/>
    </xf>
    <xf numFmtId="164" fontId="8" fillId="76" borderId="6" xfId="3" applyNumberFormat="1" applyFont="1" applyFill="1" applyBorder="1" applyAlignment="1">
      <alignment horizontal="left" vertical="center" wrapText="1"/>
    </xf>
    <xf numFmtId="178" fontId="8" fillId="0" borderId="6" xfId="2" applyNumberFormat="1" applyFont="1" applyBorder="1" applyAlignment="1">
      <alignment horizontal="left" vertical="center" wrapText="1"/>
    </xf>
    <xf numFmtId="178" fontId="10" fillId="0" borderId="6" xfId="2" applyNumberFormat="1" applyFont="1" applyBorder="1" applyAlignment="1">
      <alignment horizontal="left" vertical="center" wrapText="1"/>
    </xf>
    <xf numFmtId="0" fontId="8" fillId="76" borderId="6" xfId="3" applyFont="1" applyFill="1" applyBorder="1" applyAlignment="1">
      <alignment horizontal="left" vertical="center" wrapText="1"/>
    </xf>
    <xf numFmtId="164" fontId="8" fillId="0" borderId="6" xfId="3" applyNumberFormat="1" applyFont="1" applyBorder="1" applyAlignment="1">
      <alignment horizontal="left" vertical="center" wrapText="1"/>
    </xf>
    <xf numFmtId="169" fontId="8" fillId="0" borderId="6" xfId="3" applyNumberFormat="1" applyFont="1" applyBorder="1" applyAlignment="1">
      <alignment horizontal="left" vertical="center" wrapText="1"/>
    </xf>
    <xf numFmtId="164" fontId="8" fillId="0" borderId="6" xfId="2" applyNumberFormat="1" applyFont="1" applyFill="1" applyBorder="1" applyAlignment="1">
      <alignment horizontal="right" vertical="center"/>
    </xf>
    <xf numFmtId="166" fontId="1" fillId="16" borderId="0" xfId="1" applyNumberFormat="1" applyFont="1" applyFill="1"/>
    <xf numFmtId="164" fontId="8" fillId="112" borderId="3" xfId="2" applyNumberFormat="1" applyFont="1" applyFill="1" applyBorder="1" applyAlignment="1">
      <alignment horizontal="left" vertical="center" wrapText="1"/>
    </xf>
    <xf numFmtId="164" fontId="4" fillId="116" borderId="3" xfId="2" applyNumberFormat="1" applyFont="1" applyFill="1" applyBorder="1" applyAlignment="1">
      <alignment horizontal="left" vertical="center"/>
    </xf>
    <xf numFmtId="164" fontId="8" fillId="117" borderId="3" xfId="2" applyNumberFormat="1" applyFont="1" applyFill="1" applyBorder="1" applyAlignment="1">
      <alignment horizontal="left" vertical="center" wrapText="1"/>
    </xf>
    <xf numFmtId="164" fontId="8" fillId="117" borderId="6" xfId="2" applyNumberFormat="1" applyFont="1" applyFill="1" applyBorder="1" applyAlignment="1">
      <alignment horizontal="left" vertical="center"/>
    </xf>
    <xf numFmtId="166" fontId="31" fillId="0" borderId="0" xfId="1" applyNumberFormat="1" applyFont="1"/>
    <xf numFmtId="166" fontId="31" fillId="0" borderId="0" xfId="1" applyNumberFormat="1" applyFont="1" applyFill="1" applyBorder="1" applyAlignment="1"/>
    <xf numFmtId="41" fontId="0" fillId="117" borderId="0" xfId="2" applyFont="1" applyFill="1"/>
    <xf numFmtId="180" fontId="34" fillId="16" borderId="0" xfId="0" applyNumberFormat="1" applyFont="1" applyFill="1" applyAlignment="1">
      <alignment horizontal="right" vertical="top"/>
    </xf>
    <xf numFmtId="182" fontId="59" fillId="16" borderId="0" xfId="0" applyNumberFormat="1" applyFont="1" applyFill="1" applyAlignment="1">
      <alignment horizontal="right" vertical="top"/>
    </xf>
    <xf numFmtId="181" fontId="34" fillId="16" borderId="0" xfId="0" applyNumberFormat="1" applyFont="1" applyFill="1" applyAlignment="1">
      <alignment horizontal="right" vertical="top"/>
    </xf>
    <xf numFmtId="41" fontId="0" fillId="16" borderId="0" xfId="2" applyFont="1" applyFill="1"/>
    <xf numFmtId="0" fontId="58" fillId="0" borderId="0" xfId="12" applyFont="1"/>
    <xf numFmtId="0" fontId="20" fillId="0" borderId="0" xfId="10" quotePrefix="1" applyFont="1"/>
    <xf numFmtId="167" fontId="8" fillId="3" borderId="3" xfId="2" applyNumberFormat="1" applyFont="1" applyFill="1" applyBorder="1" applyAlignment="1">
      <alignment horizontal="left" vertical="center"/>
    </xf>
    <xf numFmtId="167" fontId="1" fillId="0" borderId="3" xfId="2" applyNumberFormat="1" applyBorder="1" applyAlignment="1">
      <alignment horizontal="left" vertical="center"/>
    </xf>
    <xf numFmtId="2" fontId="32" fillId="0" borderId="0" xfId="12" applyNumberFormat="1" applyFont="1" applyAlignment="1">
      <alignment horizontal="right"/>
    </xf>
    <xf numFmtId="2" fontId="32" fillId="0" borderId="0" xfId="12" applyNumberFormat="1" applyFont="1" applyAlignment="1">
      <alignment horizontal="center"/>
    </xf>
    <xf numFmtId="166" fontId="34" fillId="0" borderId="0" xfId="1" applyNumberFormat="1" applyFont="1" applyAlignment="1">
      <alignment horizontal="right" vertical="top"/>
    </xf>
    <xf numFmtId="164" fontId="8" fillId="56" borderId="3" xfId="2" applyNumberFormat="1" applyFont="1" applyFill="1" applyBorder="1" applyAlignment="1">
      <alignment horizontal="left" vertical="center"/>
    </xf>
    <xf numFmtId="164" fontId="1" fillId="56" borderId="3" xfId="2" applyNumberFormat="1" applyFill="1" applyBorder="1" applyAlignment="1">
      <alignment horizontal="left" vertical="center" indent="1"/>
    </xf>
    <xf numFmtId="164" fontId="1" fillId="56" borderId="3" xfId="2" applyNumberFormat="1" applyFill="1" applyBorder="1" applyAlignment="1">
      <alignment horizontal="left" vertical="center"/>
    </xf>
    <xf numFmtId="164" fontId="10" fillId="56" borderId="3" xfId="2" applyNumberFormat="1" applyFont="1" applyFill="1" applyBorder="1" applyAlignment="1">
      <alignment horizontal="left" vertical="center"/>
    </xf>
    <xf numFmtId="164" fontId="8" fillId="84" borderId="3" xfId="1" applyNumberFormat="1" applyFont="1" applyFill="1" applyBorder="1" applyAlignment="1">
      <alignment horizontal="right" vertical="center"/>
    </xf>
    <xf numFmtId="166" fontId="1" fillId="0" borderId="0" xfId="1" applyNumberFormat="1"/>
    <xf numFmtId="166" fontId="1" fillId="0" borderId="0" xfId="3" applyNumberFormat="1"/>
    <xf numFmtId="164" fontId="20" fillId="0" borderId="17" xfId="1" applyNumberFormat="1" applyFont="1" applyFill="1" applyBorder="1" applyAlignment="1">
      <alignment horizontal="center"/>
    </xf>
    <xf numFmtId="41" fontId="20" fillId="0" borderId="17" xfId="7" applyFont="1" applyFill="1" applyBorder="1" applyAlignment="1"/>
    <xf numFmtId="167" fontId="45" fillId="0" borderId="0" xfId="2" applyNumberFormat="1" applyFont="1" applyBorder="1" applyAlignment="1">
      <alignment horizontal="right" vertical="center" wrapText="1"/>
    </xf>
    <xf numFmtId="0" fontId="24" fillId="0" borderId="0" xfId="23" applyFont="1" applyAlignment="1">
      <alignment vertical="center"/>
    </xf>
    <xf numFmtId="164" fontId="44" fillId="0" borderId="17" xfId="13" applyNumberFormat="1" applyFont="1" applyBorder="1" applyAlignment="1">
      <alignment horizontal="right" vertical="center" wrapText="1"/>
    </xf>
    <xf numFmtId="9" fontId="0" fillId="0" borderId="0" xfId="8" applyFont="1"/>
    <xf numFmtId="41" fontId="4" fillId="67" borderId="23" xfId="7" applyFont="1" applyFill="1" applyBorder="1" applyAlignment="1">
      <alignment horizontal="center" vertical="center"/>
    </xf>
    <xf numFmtId="41" fontId="4" fillId="71" borderId="24" xfId="7" applyFont="1" applyFill="1" applyBorder="1" applyAlignment="1">
      <alignment horizontal="center" vertical="center"/>
    </xf>
    <xf numFmtId="41" fontId="4" fillId="67" borderId="24" xfId="7" applyFont="1" applyFill="1" applyBorder="1" applyAlignment="1">
      <alignment horizontal="center" vertical="center"/>
    </xf>
    <xf numFmtId="41" fontId="4" fillId="67" borderId="32" xfId="7" applyFont="1" applyFill="1" applyBorder="1" applyAlignment="1">
      <alignment horizontal="center" vertical="center"/>
    </xf>
    <xf numFmtId="41" fontId="4" fillId="67" borderId="33" xfId="7" applyFont="1" applyFill="1" applyBorder="1" applyAlignment="1">
      <alignment horizontal="center" vertical="center"/>
    </xf>
    <xf numFmtId="41" fontId="4" fillId="67" borderId="34" xfId="7" applyFont="1" applyFill="1" applyBorder="1" applyAlignment="1">
      <alignment horizontal="center" vertical="center"/>
    </xf>
    <xf numFmtId="41" fontId="4" fillId="67" borderId="9" xfId="7" applyFont="1" applyFill="1" applyBorder="1" applyAlignment="1">
      <alignment horizontal="center" vertical="center"/>
    </xf>
    <xf numFmtId="41" fontId="4" fillId="67" borderId="23" xfId="7" applyFont="1" applyFill="1" applyBorder="1" applyAlignment="1">
      <alignment horizontal="center" vertical="center" wrapText="1"/>
    </xf>
    <xf numFmtId="41" fontId="4" fillId="71" borderId="24" xfId="7" applyFont="1" applyFill="1" applyBorder="1" applyAlignment="1">
      <alignment vertical="center" wrapText="1"/>
    </xf>
    <xf numFmtId="41" fontId="4" fillId="68" borderId="23" xfId="2" applyFont="1" applyFill="1" applyBorder="1" applyAlignment="1">
      <alignment horizontal="center" vertical="center"/>
    </xf>
    <xf numFmtId="41" fontId="4" fillId="69" borderId="23" xfId="2" applyFont="1" applyFill="1" applyBorder="1" applyAlignment="1">
      <alignment horizontal="center" vertical="center"/>
    </xf>
    <xf numFmtId="41" fontId="4" fillId="70" borderId="23" xfId="2" applyFont="1" applyFill="1" applyBorder="1" applyAlignment="1">
      <alignment horizontal="center" vertical="center"/>
    </xf>
    <xf numFmtId="0" fontId="59" fillId="0" borderId="56" xfId="26" applyFont="1" applyBorder="1" applyAlignment="1">
      <alignment horizontal="left" vertical="center"/>
    </xf>
    <xf numFmtId="0" fontId="59" fillId="0" borderId="57" xfId="26" applyFont="1" applyBorder="1" applyAlignment="1">
      <alignment horizontal="left" vertical="center"/>
    </xf>
    <xf numFmtId="0" fontId="59" fillId="0" borderId="53" xfId="26" applyFont="1" applyBorder="1" applyAlignment="1">
      <alignment horizontal="left" vertical="center"/>
    </xf>
    <xf numFmtId="41" fontId="37" fillId="74" borderId="0" xfId="27" applyFont="1" applyFill="1" applyBorder="1" applyAlignment="1">
      <alignment horizontal="center"/>
    </xf>
    <xf numFmtId="0" fontId="37" fillId="4" borderId="0" xfId="26" applyFont="1" applyFill="1" applyAlignment="1">
      <alignment horizontal="center"/>
    </xf>
    <xf numFmtId="0" fontId="37" fillId="73" borderId="38" xfId="26" applyFont="1" applyFill="1" applyBorder="1" applyAlignment="1">
      <alignment horizontal="center" vertical="center"/>
    </xf>
    <xf numFmtId="0" fontId="37" fillId="73" borderId="39" xfId="26" applyFont="1" applyFill="1" applyBorder="1" applyAlignment="1">
      <alignment horizontal="center" vertical="center"/>
    </xf>
    <xf numFmtId="0" fontId="57" fillId="73" borderId="58" xfId="26" applyFont="1" applyFill="1" applyBorder="1" applyAlignment="1">
      <alignment horizontal="center" vertical="center" wrapText="1"/>
    </xf>
    <xf numFmtId="0" fontId="57" fillId="73" borderId="37" xfId="26" applyFont="1" applyFill="1" applyBorder="1" applyAlignment="1">
      <alignment horizontal="center" vertical="center" wrapText="1"/>
    </xf>
    <xf numFmtId="0" fontId="57" fillId="73" borderId="70" xfId="26" applyFont="1" applyFill="1" applyBorder="1" applyAlignment="1">
      <alignment horizontal="center" vertical="center" wrapText="1"/>
    </xf>
    <xf numFmtId="0" fontId="81" fillId="0" borderId="63" xfId="26" applyFont="1" applyBorder="1" applyAlignment="1">
      <alignment horizontal="left" vertical="center" wrapText="1"/>
    </xf>
    <xf numFmtId="0" fontId="81" fillId="0" borderId="0" xfId="26" applyFont="1" applyAlignment="1">
      <alignment horizontal="left" vertical="center" wrapText="1"/>
    </xf>
    <xf numFmtId="0" fontId="81" fillId="0" borderId="42" xfId="26" applyFont="1" applyBorder="1" applyAlignment="1">
      <alignment horizontal="left" vertical="center" wrapText="1"/>
    </xf>
    <xf numFmtId="0" fontId="81" fillId="0" borderId="64" xfId="26" applyFont="1" applyBorder="1" applyAlignment="1">
      <alignment horizontal="left" vertical="center" wrapText="1"/>
    </xf>
    <xf numFmtId="0" fontId="81" fillId="0" borderId="16" xfId="26" applyFont="1" applyBorder="1" applyAlignment="1">
      <alignment horizontal="left" vertical="center" wrapText="1"/>
    </xf>
    <xf numFmtId="0" fontId="81" fillId="0" borderId="47" xfId="26" applyFont="1" applyBorder="1" applyAlignment="1">
      <alignment horizontal="left" vertical="center" wrapText="1"/>
    </xf>
    <xf numFmtId="41" fontId="37" fillId="74" borderId="52" xfId="27" applyFont="1" applyFill="1" applyBorder="1" applyAlignment="1">
      <alignment horizontal="center"/>
    </xf>
    <xf numFmtId="0" fontId="37" fillId="4" borderId="52" xfId="26" applyFont="1" applyFill="1" applyBorder="1" applyAlignment="1">
      <alignment horizontal="center"/>
    </xf>
    <xf numFmtId="0" fontId="37" fillId="73" borderId="62" xfId="26" applyFont="1" applyFill="1" applyBorder="1" applyAlignment="1">
      <alignment horizontal="center" vertical="center" wrapText="1"/>
    </xf>
    <xf numFmtId="0" fontId="37" fillId="73" borderId="41" xfId="26" applyFont="1" applyFill="1" applyBorder="1" applyAlignment="1">
      <alignment horizontal="center" vertical="center" wrapText="1"/>
    </xf>
    <xf numFmtId="0" fontId="37" fillId="73" borderId="44" xfId="26" applyFont="1" applyFill="1" applyBorder="1" applyAlignment="1">
      <alignment horizontal="center" vertical="center" wrapText="1"/>
    </xf>
    <xf numFmtId="0" fontId="57" fillId="73" borderId="56" xfId="26" applyFont="1" applyFill="1" applyBorder="1" applyAlignment="1">
      <alignment horizontal="center" vertical="center" wrapText="1"/>
    </xf>
    <xf numFmtId="0" fontId="57" fillId="73" borderId="57" xfId="26" applyFont="1" applyFill="1" applyBorder="1" applyAlignment="1">
      <alignment horizontal="center" vertical="center" wrapText="1"/>
    </xf>
    <xf numFmtId="0" fontId="57" fillId="73" borderId="53" xfId="26" applyFont="1" applyFill="1" applyBorder="1" applyAlignment="1">
      <alignment horizontal="center" vertical="center" wrapText="1"/>
    </xf>
    <xf numFmtId="0" fontId="37" fillId="74" borderId="52" xfId="26" applyFont="1" applyFill="1" applyBorder="1" applyAlignment="1">
      <alignment horizontal="center"/>
    </xf>
    <xf numFmtId="0" fontId="57" fillId="79" borderId="62" xfId="26" applyFont="1" applyFill="1" applyBorder="1" applyAlignment="1">
      <alignment horizontal="center" vertical="center" wrapText="1"/>
    </xf>
    <xf numFmtId="0" fontId="57" fillId="79" borderId="44" xfId="26" applyFont="1" applyFill="1" applyBorder="1" applyAlignment="1">
      <alignment horizontal="center" vertical="center" wrapText="1"/>
    </xf>
    <xf numFmtId="0" fontId="57" fillId="79" borderId="56" xfId="26" applyFont="1" applyFill="1" applyBorder="1" applyAlignment="1">
      <alignment horizontal="center" vertical="center"/>
    </xf>
    <xf numFmtId="0" fontId="57" fillId="79" borderId="57" xfId="26" applyFont="1" applyFill="1" applyBorder="1" applyAlignment="1">
      <alignment horizontal="center" vertical="center"/>
    </xf>
    <xf numFmtId="0" fontId="57" fillId="79" borderId="53" xfId="26" applyFont="1" applyFill="1" applyBorder="1" applyAlignment="1">
      <alignment horizontal="center" vertical="center"/>
    </xf>
    <xf numFmtId="0" fontId="37" fillId="79" borderId="52" xfId="26" applyFont="1" applyFill="1" applyBorder="1" applyAlignment="1">
      <alignment horizontal="center" vertical="center" wrapText="1"/>
    </xf>
    <xf numFmtId="0" fontId="57" fillId="79" borderId="52" xfId="26" applyFont="1" applyFill="1" applyBorder="1" applyAlignment="1">
      <alignment horizontal="center" vertical="center" wrapText="1"/>
    </xf>
    <xf numFmtId="164" fontId="72" fillId="52" borderId="23" xfId="21" applyNumberFormat="1" applyFont="1" applyFill="1" applyBorder="1" applyAlignment="1">
      <alignment horizontal="center" vertical="center" wrapText="1"/>
    </xf>
    <xf numFmtId="167" fontId="69" fillId="81" borderId="24" xfId="21" applyNumberFormat="1" applyFont="1" applyFill="1" applyBorder="1" applyAlignment="1">
      <alignment horizontal="center" vertical="center" wrapText="1"/>
    </xf>
    <xf numFmtId="167" fontId="69" fillId="81" borderId="25" xfId="21" applyNumberFormat="1" applyFont="1" applyFill="1" applyBorder="1" applyAlignment="1">
      <alignment horizontal="center" vertical="center" wrapText="1"/>
    </xf>
    <xf numFmtId="167" fontId="69" fillId="48" borderId="24" xfId="21" applyNumberFormat="1" applyFont="1" applyFill="1" applyBorder="1" applyAlignment="1">
      <alignment horizontal="center" vertical="center" wrapText="1"/>
    </xf>
    <xf numFmtId="167" fontId="69" fillId="48" borderId="25" xfId="21" applyNumberFormat="1" applyFont="1" applyFill="1" applyBorder="1" applyAlignment="1">
      <alignment horizontal="center" vertical="center" wrapText="1"/>
    </xf>
    <xf numFmtId="164" fontId="67" fillId="46" borderId="23" xfId="21" applyNumberFormat="1" applyFont="1" applyFill="1" applyBorder="1" applyAlignment="1">
      <alignment horizontal="center" vertical="center" wrapText="1"/>
    </xf>
    <xf numFmtId="164" fontId="67" fillId="50" borderId="23" xfId="21" applyNumberFormat="1" applyFont="1" applyFill="1" applyBorder="1" applyAlignment="1">
      <alignment horizontal="center" vertical="center" wrapText="1"/>
    </xf>
    <xf numFmtId="164" fontId="67" fillId="50" borderId="24" xfId="21" applyNumberFormat="1" applyFont="1" applyFill="1" applyBorder="1" applyAlignment="1">
      <alignment horizontal="center" vertical="center" wrapText="1"/>
    </xf>
    <xf numFmtId="164" fontId="67" fillId="50" borderId="25" xfId="21" applyNumberFormat="1" applyFont="1" applyFill="1" applyBorder="1" applyAlignment="1">
      <alignment horizontal="center" vertical="center" wrapText="1"/>
    </xf>
    <xf numFmtId="164" fontId="71" fillId="51" borderId="23" xfId="21" applyNumberFormat="1" applyFont="1" applyFill="1" applyBorder="1" applyAlignment="1">
      <alignment horizontal="center" vertical="center" wrapText="1"/>
    </xf>
    <xf numFmtId="164" fontId="69" fillId="52" borderId="23" xfId="21" applyNumberFormat="1" applyFont="1" applyFill="1" applyBorder="1" applyAlignment="1">
      <alignment horizontal="center" vertical="center" wrapText="1"/>
    </xf>
    <xf numFmtId="164" fontId="69" fillId="65" borderId="24" xfId="21" applyNumberFormat="1" applyFont="1" applyFill="1" applyBorder="1" applyAlignment="1">
      <alignment horizontal="center" vertical="center" wrapText="1"/>
    </xf>
    <xf numFmtId="164" fontId="69" fillId="65" borderId="25" xfId="21" applyNumberFormat="1" applyFont="1" applyFill="1" applyBorder="1" applyAlignment="1">
      <alignment horizontal="center" vertical="center" wrapText="1"/>
    </xf>
    <xf numFmtId="164" fontId="69" fillId="48" borderId="23" xfId="21" applyNumberFormat="1" applyFont="1" applyFill="1" applyBorder="1" applyAlignment="1">
      <alignment horizontal="center" vertical="center" wrapText="1"/>
    </xf>
    <xf numFmtId="164" fontId="70" fillId="49" borderId="23" xfId="21" applyNumberFormat="1" applyFont="1" applyFill="1" applyBorder="1" applyAlignment="1">
      <alignment horizontal="center" vertical="center" wrapText="1"/>
    </xf>
    <xf numFmtId="164" fontId="67" fillId="45" borderId="23" xfId="21" applyNumberFormat="1" applyFont="1" applyFill="1" applyBorder="1" applyAlignment="1">
      <alignment horizontal="center" vertical="center" wrapText="1"/>
    </xf>
    <xf numFmtId="164" fontId="68" fillId="46" borderId="23" xfId="21" applyNumberFormat="1" applyFont="1" applyFill="1" applyBorder="1" applyAlignment="1">
      <alignment horizontal="center" vertical="center" wrapText="1"/>
    </xf>
    <xf numFmtId="164" fontId="67" fillId="62" borderId="23" xfId="21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5" fillId="2" borderId="1" xfId="3" applyFont="1" applyFill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164" fontId="5" fillId="38" borderId="12" xfId="3" applyNumberFormat="1" applyFont="1" applyFill="1" applyBorder="1" applyAlignment="1">
      <alignment horizontal="center" vertical="center"/>
    </xf>
    <xf numFmtId="164" fontId="5" fillId="38" borderId="13" xfId="3" applyNumberFormat="1" applyFont="1" applyFill="1" applyBorder="1" applyAlignment="1">
      <alignment horizontal="center" vertical="center"/>
    </xf>
    <xf numFmtId="164" fontId="5" fillId="38" borderId="14" xfId="3" applyNumberFormat="1" applyFont="1" applyFill="1" applyBorder="1" applyAlignment="1">
      <alignment horizontal="center" vertical="center"/>
    </xf>
    <xf numFmtId="178" fontId="5" fillId="38" borderId="12" xfId="3" applyNumberFormat="1" applyFont="1" applyFill="1" applyBorder="1" applyAlignment="1">
      <alignment horizontal="center" vertical="center"/>
    </xf>
    <xf numFmtId="178" fontId="5" fillId="38" borderId="13" xfId="3" applyNumberFormat="1" applyFont="1" applyFill="1" applyBorder="1" applyAlignment="1">
      <alignment horizontal="center" vertical="center"/>
    </xf>
    <xf numFmtId="178" fontId="5" fillId="38" borderId="14" xfId="3" applyNumberFormat="1" applyFont="1" applyFill="1" applyBorder="1" applyAlignment="1">
      <alignment horizontal="center" vertical="center"/>
    </xf>
    <xf numFmtId="0" fontId="19" fillId="0" borderId="0" xfId="10" quotePrefix="1" applyFont="1" applyAlignment="1">
      <alignment horizontal="center"/>
    </xf>
    <xf numFmtId="0" fontId="16" fillId="0" borderId="0" xfId="9" applyFont="1" applyAlignment="1">
      <alignment horizontal="center" vertical="top"/>
    </xf>
    <xf numFmtId="0" fontId="16" fillId="28" borderId="0" xfId="13" applyFont="1" applyFill="1" applyAlignment="1">
      <alignment horizontal="center" vertical="center"/>
    </xf>
    <xf numFmtId="0" fontId="44" fillId="0" borderId="0" xfId="13" applyFont="1" applyAlignment="1">
      <alignment horizontal="center" vertical="center"/>
    </xf>
    <xf numFmtId="0" fontId="47" fillId="0" borderId="15" xfId="13" applyFont="1" applyBorder="1" applyAlignment="1">
      <alignment horizontal="center" vertical="center"/>
    </xf>
    <xf numFmtId="164" fontId="19" fillId="0" borderId="15" xfId="1" quotePrefix="1" applyNumberFormat="1" applyFont="1" applyFill="1" applyBorder="1" applyAlignment="1">
      <alignment horizontal="center"/>
    </xf>
    <xf numFmtId="0" fontId="19" fillId="0" borderId="15" xfId="10" quotePrefix="1" applyFont="1" applyBorder="1" applyAlignment="1">
      <alignment horizontal="center"/>
    </xf>
    <xf numFmtId="0" fontId="37" fillId="0" borderId="0" xfId="21" quotePrefix="1" applyFont="1" applyAlignment="1">
      <alignment horizontal="center" vertical="center"/>
    </xf>
    <xf numFmtId="0" fontId="37" fillId="0" borderId="0" xfId="21" applyFont="1" applyAlignment="1">
      <alignment horizontal="center" vertical="center"/>
    </xf>
    <xf numFmtId="0" fontId="117" fillId="99" borderId="17" xfId="138" applyFont="1" applyFill="1" applyBorder="1" applyAlignment="1">
      <alignment horizontal="center" vertical="center" wrapText="1"/>
    </xf>
    <xf numFmtId="0" fontId="117" fillId="99" borderId="0" xfId="138" applyFont="1" applyFill="1" applyAlignment="1">
      <alignment horizontal="center" vertical="center" wrapText="1"/>
    </xf>
    <xf numFmtId="0" fontId="118" fillId="99" borderId="17" xfId="138" applyFont="1" applyFill="1" applyBorder="1" applyAlignment="1">
      <alignment horizontal="center" vertical="center" wrapText="1"/>
    </xf>
    <xf numFmtId="0" fontId="118" fillId="99" borderId="15" xfId="138" applyFont="1" applyFill="1" applyBorder="1" applyAlignment="1">
      <alignment horizontal="center" vertical="center" wrapText="1"/>
    </xf>
    <xf numFmtId="167" fontId="114" fillId="99" borderId="33" xfId="137" applyNumberFormat="1" applyFont="1" applyFill="1" applyBorder="1" applyAlignment="1">
      <alignment horizontal="center" vertical="center" wrapText="1"/>
    </xf>
    <xf numFmtId="167" fontId="114" fillId="99" borderId="79" xfId="137" applyNumberFormat="1" applyFont="1" applyFill="1" applyBorder="1" applyAlignment="1">
      <alignment horizontal="center" vertical="center" wrapText="1"/>
    </xf>
    <xf numFmtId="167" fontId="114" fillId="99" borderId="17" xfId="137" applyNumberFormat="1" applyFont="1" applyFill="1" applyBorder="1" applyAlignment="1">
      <alignment horizontal="center" vertical="center" wrapText="1"/>
    </xf>
    <xf numFmtId="167" fontId="114" fillId="99" borderId="15" xfId="137" applyNumberFormat="1" applyFont="1" applyFill="1" applyBorder="1" applyAlignment="1">
      <alignment horizontal="center" vertical="center" wrapText="1"/>
    </xf>
    <xf numFmtId="167" fontId="117" fillId="99" borderId="17" xfId="137" applyNumberFormat="1" applyFont="1" applyFill="1" applyBorder="1" applyAlignment="1">
      <alignment horizontal="center" vertical="center" wrapText="1"/>
    </xf>
    <xf numFmtId="167" fontId="117" fillId="99" borderId="15" xfId="137" applyNumberFormat="1" applyFont="1" applyFill="1" applyBorder="1" applyAlignment="1">
      <alignment horizontal="center" vertical="center" wrapText="1"/>
    </xf>
    <xf numFmtId="0" fontId="117" fillId="99" borderId="15" xfId="138" applyFont="1" applyFill="1" applyBorder="1" applyAlignment="1">
      <alignment horizontal="center" vertical="center" wrapText="1"/>
    </xf>
    <xf numFmtId="167" fontId="117" fillId="99" borderId="32" xfId="137" applyNumberFormat="1" applyFont="1" applyFill="1" applyBorder="1" applyAlignment="1">
      <alignment horizontal="center" vertical="center" wrapText="1"/>
    </xf>
    <xf numFmtId="167" fontId="117" fillId="99" borderId="78" xfId="137" applyNumberFormat="1" applyFont="1" applyFill="1" applyBorder="1" applyAlignment="1">
      <alignment horizontal="center" vertical="center" wrapText="1"/>
    </xf>
    <xf numFmtId="167" fontId="117" fillId="99" borderId="0" xfId="137" applyNumberFormat="1" applyFont="1" applyFill="1" applyBorder="1" applyAlignment="1">
      <alignment horizontal="center" vertical="center" wrapText="1"/>
    </xf>
    <xf numFmtId="0" fontId="121" fillId="109" borderId="24" xfId="21" applyFont="1" applyFill="1" applyBorder="1" applyAlignment="1">
      <alignment horizontal="center" vertical="center" wrapText="1"/>
    </xf>
    <xf numFmtId="0" fontId="121" fillId="109" borderId="31" xfId="21" applyFont="1" applyFill="1" applyBorder="1" applyAlignment="1">
      <alignment horizontal="center" vertical="center" wrapText="1"/>
    </xf>
    <xf numFmtId="0" fontId="121" fillId="110" borderId="23" xfId="21" applyFont="1" applyFill="1" applyBorder="1" applyAlignment="1">
      <alignment horizontal="center" vertical="center" wrapText="1"/>
    </xf>
    <xf numFmtId="167" fontId="121" fillId="111" borderId="23" xfId="21" applyNumberFormat="1" applyFont="1" applyFill="1" applyBorder="1" applyAlignment="1">
      <alignment horizontal="center" vertical="center" wrapText="1"/>
    </xf>
    <xf numFmtId="167" fontId="121" fillId="105" borderId="23" xfId="21" applyNumberFormat="1" applyFont="1" applyFill="1" applyBorder="1" applyAlignment="1">
      <alignment horizontal="center" vertical="center" wrapText="1"/>
    </xf>
    <xf numFmtId="167" fontId="121" fillId="107" borderId="23" xfId="21" applyNumberFormat="1" applyFont="1" applyFill="1" applyBorder="1" applyAlignment="1">
      <alignment horizontal="center" vertical="center" wrapText="1"/>
    </xf>
    <xf numFmtId="167" fontId="121" fillId="108" borderId="23" xfId="21" applyNumberFormat="1" applyFont="1" applyFill="1" applyBorder="1" applyAlignment="1">
      <alignment horizontal="center" vertical="center" wrapText="1"/>
    </xf>
    <xf numFmtId="0" fontId="121" fillId="108" borderId="23" xfId="21" applyFont="1" applyFill="1" applyBorder="1" applyAlignment="1">
      <alignment horizontal="center" vertical="center" wrapText="1"/>
    </xf>
    <xf numFmtId="0" fontId="121" fillId="109" borderId="23" xfId="21" applyFont="1" applyFill="1" applyBorder="1" applyAlignment="1">
      <alignment horizontal="center" vertical="center" wrapText="1"/>
    </xf>
    <xf numFmtId="167" fontId="121" fillId="106" borderId="23" xfId="21" applyNumberFormat="1" applyFont="1" applyFill="1" applyBorder="1" applyAlignment="1">
      <alignment horizontal="center" vertical="center" wrapText="1"/>
    </xf>
    <xf numFmtId="167" fontId="121" fillId="105" borderId="24" xfId="21" applyNumberFormat="1" applyFont="1" applyFill="1" applyBorder="1" applyAlignment="1">
      <alignment horizontal="center" vertical="center" wrapText="1"/>
    </xf>
    <xf numFmtId="167" fontId="121" fillId="105" borderId="31" xfId="21" applyNumberFormat="1" applyFont="1" applyFill="1" applyBorder="1" applyAlignment="1">
      <alignment horizontal="center" vertical="center" wrapText="1"/>
    </xf>
    <xf numFmtId="0" fontId="121" fillId="105" borderId="24" xfId="21" applyFont="1" applyFill="1" applyBorder="1" applyAlignment="1">
      <alignment horizontal="center" vertical="center" wrapText="1"/>
    </xf>
    <xf numFmtId="0" fontId="121" fillId="105" borderId="31" xfId="21" applyFont="1" applyFill="1" applyBorder="1" applyAlignment="1">
      <alignment horizontal="center" vertical="center" wrapText="1"/>
    </xf>
    <xf numFmtId="167" fontId="121" fillId="105" borderId="25" xfId="21" applyNumberFormat="1" applyFont="1" applyFill="1" applyBorder="1" applyAlignment="1">
      <alignment horizontal="center" vertical="center" wrapText="1"/>
    </xf>
    <xf numFmtId="164" fontId="76" fillId="46" borderId="23" xfId="21" applyNumberFormat="1" applyFont="1" applyFill="1" applyBorder="1" applyAlignment="1">
      <alignment horizontal="center" vertical="center" wrapText="1"/>
    </xf>
    <xf numFmtId="164" fontId="105" fillId="45" borderId="23" xfId="21" applyNumberFormat="1" applyFont="1" applyFill="1" applyBorder="1" applyAlignment="1">
      <alignment horizontal="center" vertical="center" wrapText="1"/>
    </xf>
    <xf numFmtId="164" fontId="105" fillId="62" borderId="23" xfId="21" applyNumberFormat="1" applyFont="1" applyFill="1" applyBorder="1" applyAlignment="1">
      <alignment horizontal="center" vertical="center" wrapText="1"/>
    </xf>
    <xf numFmtId="164" fontId="65" fillId="52" borderId="23" xfId="21" applyNumberFormat="1" applyFont="1" applyFill="1" applyBorder="1" applyAlignment="1">
      <alignment horizontal="center" vertical="center" wrapText="1"/>
    </xf>
    <xf numFmtId="164" fontId="105" fillId="46" borderId="23" xfId="21" applyNumberFormat="1" applyFont="1" applyFill="1" applyBorder="1" applyAlignment="1">
      <alignment horizontal="center" vertical="center" wrapText="1"/>
    </xf>
    <xf numFmtId="164" fontId="65" fillId="92" borderId="23" xfId="21" applyNumberFormat="1" applyFont="1" applyFill="1" applyBorder="1" applyAlignment="1">
      <alignment horizontal="center" vertical="center" wrapText="1"/>
    </xf>
    <xf numFmtId="164" fontId="65" fillId="65" borderId="24" xfId="21" applyNumberFormat="1" applyFont="1" applyFill="1" applyBorder="1" applyAlignment="1">
      <alignment horizontal="center" vertical="center" wrapText="1"/>
    </xf>
    <xf numFmtId="164" fontId="65" fillId="65" borderId="25" xfId="21" applyNumberFormat="1" applyFont="1" applyFill="1" applyBorder="1" applyAlignment="1">
      <alignment horizontal="center" vertical="center" wrapText="1"/>
    </xf>
    <xf numFmtId="167" fontId="65" fillId="81" borderId="24" xfId="21" applyNumberFormat="1" applyFont="1" applyFill="1" applyBorder="1" applyAlignment="1">
      <alignment horizontal="center" vertical="center" wrapText="1"/>
    </xf>
    <xf numFmtId="167" fontId="65" fillId="81" borderId="25" xfId="21" applyNumberFormat="1" applyFont="1" applyFill="1" applyBorder="1" applyAlignment="1">
      <alignment horizontal="center" vertical="center" wrapText="1"/>
    </xf>
    <xf numFmtId="167" fontId="65" fillId="48" borderId="24" xfId="21" applyNumberFormat="1" applyFont="1" applyFill="1" applyBorder="1" applyAlignment="1">
      <alignment horizontal="center" vertical="center" wrapText="1"/>
    </xf>
    <xf numFmtId="167" fontId="65" fillId="48" borderId="25" xfId="21" applyNumberFormat="1" applyFont="1" applyFill="1" applyBorder="1" applyAlignment="1">
      <alignment horizontal="center" vertical="center" wrapText="1"/>
    </xf>
    <xf numFmtId="164" fontId="65" fillId="48" borderId="23" xfId="21" applyNumberFormat="1" applyFont="1" applyFill="1" applyBorder="1" applyAlignment="1">
      <alignment horizontal="center" vertical="center" wrapText="1"/>
    </xf>
    <xf numFmtId="164" fontId="106" fillId="49" borderId="23" xfId="21" applyNumberFormat="1" applyFont="1" applyFill="1" applyBorder="1" applyAlignment="1">
      <alignment horizontal="center" vertical="center" wrapText="1"/>
    </xf>
    <xf numFmtId="164" fontId="108" fillId="52" borderId="23" xfId="21" applyNumberFormat="1" applyFont="1" applyFill="1" applyBorder="1" applyAlignment="1">
      <alignment horizontal="center" vertical="center" wrapText="1"/>
    </xf>
    <xf numFmtId="164" fontId="105" fillId="50" borderId="23" xfId="21" applyNumberFormat="1" applyFont="1" applyFill="1" applyBorder="1" applyAlignment="1">
      <alignment horizontal="center" vertical="center" wrapText="1"/>
    </xf>
    <xf numFmtId="164" fontId="105" fillId="50" borderId="24" xfId="21" applyNumberFormat="1" applyFont="1" applyFill="1" applyBorder="1" applyAlignment="1">
      <alignment horizontal="center" vertical="center" wrapText="1"/>
    </xf>
    <xf numFmtId="164" fontId="105" fillId="50" borderId="25" xfId="21" applyNumberFormat="1" applyFont="1" applyFill="1" applyBorder="1" applyAlignment="1">
      <alignment horizontal="center" vertical="center" wrapText="1"/>
    </xf>
    <xf numFmtId="0" fontId="107" fillId="51" borderId="23" xfId="21" applyFont="1" applyFill="1" applyBorder="1" applyAlignment="1">
      <alignment horizontal="center" vertical="center" wrapText="1"/>
    </xf>
    <xf numFmtId="164" fontId="107" fillId="51" borderId="23" xfId="21" applyNumberFormat="1" applyFont="1" applyFill="1" applyBorder="1" applyAlignment="1">
      <alignment horizontal="center" vertical="center" wrapText="1"/>
    </xf>
    <xf numFmtId="164" fontId="105" fillId="45" borderId="24" xfId="21" applyNumberFormat="1" applyFont="1" applyFill="1" applyBorder="1" applyAlignment="1">
      <alignment horizontal="center" vertical="center" wrapText="1"/>
    </xf>
    <xf numFmtId="164" fontId="105" fillId="45" borderId="25" xfId="21" applyNumberFormat="1" applyFont="1" applyFill="1" applyBorder="1" applyAlignment="1">
      <alignment horizontal="center" vertical="center" wrapText="1"/>
    </xf>
    <xf numFmtId="0" fontId="71" fillId="51" borderId="23" xfId="21" applyFont="1" applyFill="1" applyBorder="1" applyAlignment="1">
      <alignment horizontal="center" vertical="center" wrapText="1"/>
    </xf>
    <xf numFmtId="167" fontId="72" fillId="52" borderId="23" xfId="21" applyNumberFormat="1" applyFont="1" applyFill="1" applyBorder="1" applyAlignment="1">
      <alignment horizontal="center" vertical="center" wrapText="1"/>
    </xf>
    <xf numFmtId="167" fontId="67" fillId="45" borderId="23" xfId="21" applyNumberFormat="1" applyFont="1" applyFill="1" applyBorder="1" applyAlignment="1">
      <alignment horizontal="center" vertical="center" wrapText="1"/>
    </xf>
    <xf numFmtId="167" fontId="67" fillId="46" borderId="23" xfId="21" applyNumberFormat="1" applyFont="1" applyFill="1" applyBorder="1" applyAlignment="1">
      <alignment horizontal="center" vertical="center" wrapText="1"/>
    </xf>
    <xf numFmtId="0" fontId="67" fillId="46" borderId="23" xfId="21" applyFont="1" applyFill="1" applyBorder="1" applyAlignment="1">
      <alignment horizontal="center" vertical="center" wrapText="1"/>
    </xf>
    <xf numFmtId="0" fontId="67" fillId="50" borderId="23" xfId="21" applyFont="1" applyFill="1" applyBorder="1" applyAlignment="1">
      <alignment horizontal="center" vertical="center" wrapText="1"/>
    </xf>
    <xf numFmtId="0" fontId="67" fillId="50" borderId="24" xfId="21" applyFont="1" applyFill="1" applyBorder="1" applyAlignment="1">
      <alignment horizontal="center" vertical="center" wrapText="1"/>
    </xf>
    <xf numFmtId="0" fontId="67" fillId="50" borderId="25" xfId="21" applyFont="1" applyFill="1" applyBorder="1" applyAlignment="1">
      <alignment horizontal="center" vertical="center" wrapText="1"/>
    </xf>
    <xf numFmtId="167" fontId="70" fillId="49" borderId="23" xfId="21" applyNumberFormat="1" applyFont="1" applyFill="1" applyBorder="1" applyAlignment="1">
      <alignment horizontal="center" vertical="center" wrapText="1"/>
    </xf>
    <xf numFmtId="167" fontId="67" fillId="63" borderId="23" xfId="21" applyNumberFormat="1" applyFont="1" applyFill="1" applyBorder="1" applyAlignment="1">
      <alignment horizontal="center" vertical="center" wrapText="1"/>
    </xf>
    <xf numFmtId="167" fontId="69" fillId="52" borderId="23" xfId="21" applyNumberFormat="1" applyFont="1" applyFill="1" applyBorder="1" applyAlignment="1">
      <alignment horizontal="center" vertical="center" wrapText="1"/>
    </xf>
    <xf numFmtId="167" fontId="69" fillId="48" borderId="23" xfId="21" applyNumberFormat="1" applyFont="1" applyFill="1" applyBorder="1" applyAlignment="1">
      <alignment horizontal="center" vertical="center" wrapText="1"/>
    </xf>
    <xf numFmtId="167" fontId="67" fillId="62" borderId="23" xfId="21" applyNumberFormat="1" applyFont="1" applyFill="1" applyBorder="1" applyAlignment="1">
      <alignment horizontal="center" vertical="center" wrapText="1"/>
    </xf>
    <xf numFmtId="167" fontId="68" fillId="46" borderId="23" xfId="21" applyNumberFormat="1" applyFont="1" applyFill="1" applyBorder="1" applyAlignment="1">
      <alignment horizontal="center" vertical="center" wrapText="1"/>
    </xf>
    <xf numFmtId="167" fontId="67" fillId="47" borderId="23" xfId="21" applyNumberFormat="1" applyFont="1" applyFill="1" applyBorder="1" applyAlignment="1">
      <alignment horizontal="center" vertical="center" wrapText="1"/>
    </xf>
    <xf numFmtId="164" fontId="37" fillId="0" borderId="37" xfId="0" applyNumberFormat="1" applyFont="1" applyBorder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164" fontId="37" fillId="0" borderId="0" xfId="0" applyNumberFormat="1" applyFont="1" applyAlignment="1">
      <alignment horizontal="right" vertical="center" wrapText="1"/>
    </xf>
    <xf numFmtId="164" fontId="34" fillId="0" borderId="37" xfId="0" applyNumberFormat="1" applyFont="1" applyBorder="1" applyAlignment="1">
      <alignment horizontal="center" vertical="center" wrapText="1"/>
    </xf>
    <xf numFmtId="164" fontId="34" fillId="0" borderId="0" xfId="0" applyNumberFormat="1" applyFont="1" applyAlignment="1">
      <alignment horizontal="center" vertical="center" wrapText="1"/>
    </xf>
    <xf numFmtId="164" fontId="34" fillId="0" borderId="0" xfId="0" applyNumberFormat="1" applyFont="1" applyAlignment="1">
      <alignment horizontal="right" vertical="center" wrapText="1"/>
    </xf>
    <xf numFmtId="164" fontId="59" fillId="0" borderId="0" xfId="0" applyNumberFormat="1" applyFont="1" applyAlignment="1">
      <alignment horizontal="center" vertical="center" wrapText="1"/>
    </xf>
    <xf numFmtId="164" fontId="57" fillId="0" borderId="36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justify" vertical="center" wrapText="1"/>
    </xf>
    <xf numFmtId="164" fontId="84" fillId="0" borderId="0" xfId="0" applyNumberFormat="1" applyFont="1" applyAlignment="1">
      <alignment horizontal="right" vertical="center" wrapText="1"/>
    </xf>
    <xf numFmtId="164" fontId="60" fillId="0" borderId="0" xfId="0" applyNumberFormat="1" applyFont="1" applyAlignment="1">
      <alignment vertical="center" wrapText="1"/>
    </xf>
    <xf numFmtId="164" fontId="92" fillId="0" borderId="0" xfId="0" applyNumberFormat="1" applyFont="1" applyAlignment="1">
      <alignment horizontal="center" vertical="center" wrapText="1"/>
    </xf>
    <xf numFmtId="164" fontId="37" fillId="0" borderId="36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41" fontId="4" fillId="0" borderId="15" xfId="2" applyFont="1" applyBorder="1" applyAlignment="1">
      <alignment horizont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right" vertical="center" wrapText="1"/>
    </xf>
    <xf numFmtId="0" fontId="80" fillId="0" borderId="0" xfId="0" applyFont="1" applyAlignment="1">
      <alignment horizontal="justify" vertical="center" wrapText="1"/>
    </xf>
    <xf numFmtId="164" fontId="15" fillId="0" borderId="23" xfId="21" applyNumberFormat="1" applyFont="1" applyBorder="1" applyAlignment="1"/>
    <xf numFmtId="164" fontId="73" fillId="5" borderId="23" xfId="21" applyNumberFormat="1" applyFont="1" applyFill="1" applyBorder="1" applyAlignment="1"/>
    <xf numFmtId="0" fontId="15" fillId="112" borderId="24" xfId="21" applyFont="1" applyFill="1" applyBorder="1" applyAlignment="1"/>
    <xf numFmtId="0" fontId="15" fillId="16" borderId="24" xfId="21" applyFont="1" applyFill="1" applyBorder="1" applyAlignment="1"/>
    <xf numFmtId="164" fontId="79" fillId="0" borderId="23" xfId="21" applyNumberFormat="1" applyFont="1" applyBorder="1" applyAlignment="1"/>
    <xf numFmtId="164" fontId="79" fillId="93" borderId="23" xfId="21" applyNumberFormat="1" applyFont="1" applyFill="1" applyBorder="1" applyAlignment="1"/>
    <xf numFmtId="164" fontId="64" fillId="5" borderId="23" xfId="21" applyNumberFormat="1" applyFont="1" applyFill="1" applyBorder="1" applyAlignment="1"/>
    <xf numFmtId="0" fontId="79" fillId="0" borderId="23" xfId="21" applyFont="1" applyBorder="1" applyAlignment="1"/>
    <xf numFmtId="0" fontId="15" fillId="0" borderId="23" xfId="21" applyFont="1" applyBorder="1" applyAlignment="1"/>
    <xf numFmtId="0" fontId="15" fillId="16" borderId="23" xfId="21" applyFont="1" applyFill="1" applyBorder="1" applyAlignment="1"/>
    <xf numFmtId="0" fontId="15" fillId="34" borderId="23" xfId="21" applyFont="1" applyFill="1" applyBorder="1" applyAlignment="1"/>
    <xf numFmtId="0" fontId="73" fillId="5" borderId="23" xfId="21" applyFont="1" applyFill="1" applyBorder="1" applyAlignment="1"/>
  </cellXfs>
  <cellStyles count="244">
    <cellStyle name="Bad 2 4" xfId="51" xr:uid="{F36652F6-AD17-4A51-BDDA-6174E93CAB00}"/>
    <cellStyle name="Comma" xfId="1" builtinId="3"/>
    <cellStyle name="Comma - Style3" xfId="50" xr:uid="{A5CFD7B7-0765-4C22-AF25-D143DD9B4918}"/>
    <cellStyle name="Comma [0]" xfId="2" builtinId="6"/>
    <cellStyle name="Comma [0] 10" xfId="141" xr:uid="{9D6E85A1-99DF-4CC2-9982-4E1D2FAB6CFD}"/>
    <cellStyle name="Comma [0] 10 4" xfId="48" xr:uid="{5A882632-12DF-40BC-B893-8005654B34B8}"/>
    <cellStyle name="Comma [0] 10 4 2" xfId="7" xr:uid="{EEEBBC82-1C51-4D28-9E8D-232D42631939}"/>
    <cellStyle name="Comma [0] 10 4 2 2" xfId="35" xr:uid="{26C7F8BF-9A5A-4889-B4FA-0FC1A8E85E05}"/>
    <cellStyle name="Comma [0] 10 4 2 2 2" xfId="105" xr:uid="{CFF9EA3D-96B0-4F08-BF16-4FBEA4CC1F96}"/>
    <cellStyle name="Comma [0] 10 4 2 2 2 2" xfId="210" xr:uid="{EC067684-6F38-47B4-8577-B81F82330BD3}"/>
    <cellStyle name="Comma [0] 10 4 2 2 3" xfId="154" xr:uid="{F9C1FD1A-C82A-4C7F-8F00-ED4713FD6979}"/>
    <cellStyle name="Comma [0] 10 4 2 3" xfId="65" xr:uid="{3C1FEC57-D01C-444C-BAE9-1AB9D5726925}"/>
    <cellStyle name="Comma [0] 10 4 2 3 2" xfId="125" xr:uid="{D7973E5F-CB9C-4775-82FE-8418E7E67889}"/>
    <cellStyle name="Comma [0] 10 4 2 3 2 2" xfId="230" xr:uid="{0D65AFD6-5CE6-4695-88B6-8CA9CFE2F243}"/>
    <cellStyle name="Comma [0] 10 4 2 3 3" xfId="175" xr:uid="{68D30D8E-14AB-48FC-A7EA-0053F64FBD82}"/>
    <cellStyle name="Comma [0] 10 4 2 4" xfId="85" xr:uid="{724465F2-3016-49CB-A6C3-369CC8B95B4A}"/>
    <cellStyle name="Comma [0] 10 4 2 4 2" xfId="190" xr:uid="{FE18E7A7-0A2F-442D-B6DA-8307486A3EC9}"/>
    <cellStyle name="Comma [0] 10 4 2 5" xfId="84" xr:uid="{F95D9379-0B0E-4D87-A350-EE0C953DF8A3}"/>
    <cellStyle name="Comma [0] 10 4 2 5 2" xfId="189" xr:uid="{1C10035C-C626-4673-8D38-0B9619D7C7CE}"/>
    <cellStyle name="Comma [0] 10 4 2 6" xfId="146" xr:uid="{BA69B2C9-C14F-4FD6-BDAD-1F963A524C7B}"/>
    <cellStyle name="Comma [0] 10 4 3" xfId="117" xr:uid="{BF8AAFAE-46E7-4C72-99DC-2FFEB1023420}"/>
    <cellStyle name="Comma [0] 10 4 3 2" xfId="222" xr:uid="{7B28A0CD-FBC4-44F4-8578-A870AAC27B40}"/>
    <cellStyle name="Comma [0] 10 4 4" xfId="166" xr:uid="{CBB67CBD-BBE4-4603-9F73-A28698435877}"/>
    <cellStyle name="Comma [0] 11" xfId="145" xr:uid="{5739DBA2-57F0-40DB-A177-79052675192F}"/>
    <cellStyle name="Comma [0] 11 2 4" xfId="16" xr:uid="{20BB0801-47CC-44F7-AF44-26686EDCF9F6}"/>
    <cellStyle name="Comma [0] 11 2 4 2" xfId="39" xr:uid="{FFBD42D7-23BB-4CED-854F-BC43D570D7E6}"/>
    <cellStyle name="Comma [0] 11 2 4 2 2" xfId="68" xr:uid="{F2A39BF6-7BFF-4A4D-BD1C-540680AF4C1F}"/>
    <cellStyle name="Comma [0] 11 2 4 2 2 2" xfId="128" xr:uid="{C196D415-F9D3-432C-8000-ABD98F5E811A}"/>
    <cellStyle name="Comma [0] 11 2 4 2 2 2 2" xfId="233" xr:uid="{614772B9-B297-4CC4-A222-28171139C65E}"/>
    <cellStyle name="Comma [0] 11 2 4 2 2 3" xfId="178" xr:uid="{B8085A17-E48D-4BE7-901F-553EB4818137}"/>
    <cellStyle name="Comma [0] 11 2 4 2 3" xfId="109" xr:uid="{E024BABA-C055-4B59-B1F6-F97641687FED}"/>
    <cellStyle name="Comma [0] 11 2 4 2 3 2" xfId="214" xr:uid="{810963F9-5AC1-45F6-BD04-B4A21B1B2260}"/>
    <cellStyle name="Comma [0] 11 2 4 2 4" xfId="89" xr:uid="{BB5F8E8F-5EA3-4C1E-81C2-F96DD10DD908}"/>
    <cellStyle name="Comma [0] 11 2 4 2 4 2" xfId="194" xr:uid="{85C08F27-59A7-4015-8E90-926271DBF27E}"/>
    <cellStyle name="Comma [0] 11 2 4 2 5" xfId="158" xr:uid="{93CA53DA-2289-49A4-B169-010F56F61687}"/>
    <cellStyle name="Comma [0] 12" xfId="24" xr:uid="{A6CCB805-2D30-4A25-B83D-E76B401CC160}"/>
    <cellStyle name="Comma [0] 12 2" xfId="40" xr:uid="{9277E858-142C-400E-AA7F-94D89B26108E}"/>
    <cellStyle name="Comma [0] 12 2 2" xfId="76" xr:uid="{8FACF2A5-1A21-4ED9-AEE8-97B74D8CE05C}"/>
    <cellStyle name="Comma [0] 12 2 2 2" xfId="132" xr:uid="{E2DBABDB-4CDE-4687-B9CF-294756A764F5}"/>
    <cellStyle name="Comma [0] 12 2 2 2 2" xfId="237" xr:uid="{A0E119FE-CE5D-42F4-BE6B-A08890206D29}"/>
    <cellStyle name="Comma [0] 12 2 2 3" xfId="182" xr:uid="{D6136F0E-5B59-4837-9E20-CB036F772587}"/>
    <cellStyle name="Comma [0] 12 2 3" xfId="110" xr:uid="{FB868421-A31A-4BB1-99EF-0FD91781AA27}"/>
    <cellStyle name="Comma [0] 12 2 3 2" xfId="215" xr:uid="{068ACDD3-C144-4D77-B86D-C7FCD1E64DA0}"/>
    <cellStyle name="Comma [0] 12 2 4" xfId="94" xr:uid="{3D48315D-D951-4499-A8E7-0C500C5221A5}"/>
    <cellStyle name="Comma [0] 12 2 4 2" xfId="199" xr:uid="{F2866E84-AC91-4980-B6C9-4FF07F1003DA}"/>
    <cellStyle name="Comma [0] 12 2 5" xfId="159" xr:uid="{F08D4361-E968-4BDB-8C54-7C3A8AC92241}"/>
    <cellStyle name="Comma [0] 12 20" xfId="63" xr:uid="{BEB8A066-2D8F-4118-98F8-F2DE80610CC1}"/>
    <cellStyle name="Comma [0] 12 20 2" xfId="69" xr:uid="{45E0AF9A-5C5C-477E-9604-DCC5206193D2}"/>
    <cellStyle name="Comma [0] 12 20 2 2" xfId="129" xr:uid="{E35BD272-E62B-4A87-9AB6-479379EDD49B}"/>
    <cellStyle name="Comma [0] 12 20 2 2 2" xfId="234" xr:uid="{B92B91AE-28E0-4FD1-838F-9B884BA60F91}"/>
    <cellStyle name="Comma [0] 12 20 2 3" xfId="90" xr:uid="{DF9367FE-E334-49F2-8A3E-B8717BA8382E}"/>
    <cellStyle name="Comma [0] 12 20 2 3 2" xfId="195" xr:uid="{B5ECA093-6FDA-4955-BDF7-410AD781E19F}"/>
    <cellStyle name="Comma [0] 12 20 2 4" xfId="179" xr:uid="{2D63E422-D2E7-4BB0-A8FB-8CE25372793A}"/>
    <cellStyle name="Comma [0] 12 20 3" xfId="123" xr:uid="{7481FAEC-79AA-4226-BAC0-4825035204C6}"/>
    <cellStyle name="Comma [0] 12 20 3 2" xfId="228" xr:uid="{20102D8C-A8F7-476C-9EEF-9DA02C2E9232}"/>
    <cellStyle name="Comma [0] 12 20 4" xfId="173" xr:uid="{5E82051B-FCCE-49E5-B9AA-73F6222686AA}"/>
    <cellStyle name="Comma [0] 2" xfId="14" xr:uid="{2D86EB7A-7FE5-4223-A9C2-BF91AE1B2758}"/>
    <cellStyle name="Comma [0] 2 2" xfId="37" xr:uid="{7BB0EB91-9F40-41B5-A0E5-18EC6865DFEA}"/>
    <cellStyle name="Comma [0] 2 2 2" xfId="107" xr:uid="{F679AD88-77F6-4ACA-A2AC-777F45D85446}"/>
    <cellStyle name="Comma [0] 2 2 2 2" xfId="212" xr:uid="{64A55E60-5D3A-4ECF-8909-07282C120397}"/>
    <cellStyle name="Comma [0] 2 2 3" xfId="156" xr:uid="{F33BAE85-02C5-4C29-84BD-AEDDB2321B02}"/>
    <cellStyle name="Comma [0] 2 3" xfId="70" xr:uid="{120BCA2B-2C1E-4446-804F-360165C6D349}"/>
    <cellStyle name="Comma [0] 2 3 2" xfId="130" xr:uid="{C4B16064-0547-40B0-8DF9-AD8D9C0493D6}"/>
    <cellStyle name="Comma [0] 2 3 2 2" xfId="235" xr:uid="{D90A781A-622C-474B-8F52-D03B8CD292FB}"/>
    <cellStyle name="Comma [0] 2 3 3" xfId="91" xr:uid="{4A32E895-B31D-45E9-A462-6D2D1B7F633B}"/>
    <cellStyle name="Comma [0] 2 3 3 2" xfId="196" xr:uid="{3B723AC3-5930-4B49-97E5-ED1323F20C36}"/>
    <cellStyle name="Comma [0] 2 3 4" xfId="180" xr:uid="{A732FB10-E673-4778-B143-A722B7B226C0}"/>
    <cellStyle name="Comma [0] 2 4" xfId="61" xr:uid="{07E061A2-F655-46F1-B0FE-73218735938D}"/>
    <cellStyle name="Comma [0] 2 4 2" xfId="122" xr:uid="{205DEE8B-D563-4428-89BD-A8FCEC012D0E}"/>
    <cellStyle name="Comma [0] 2 4 2 2" xfId="227" xr:uid="{F7D9E7C0-3287-4D77-8922-05E2275093C3}"/>
    <cellStyle name="Comma [0] 2 4 3" xfId="172" xr:uid="{E7815344-FCF7-464B-99C1-ED3C94B6CA80}"/>
    <cellStyle name="Comma [0] 2 5" xfId="83" xr:uid="{D2D40CBF-DC8E-44E6-85CC-63A1583447EF}"/>
    <cellStyle name="Comma [0] 2 5 2" xfId="188" xr:uid="{6A1A3CCD-59EE-4998-A554-186966E03FC3}"/>
    <cellStyle name="Comma [0] 3" xfId="4" xr:uid="{464AB1A3-2E86-4808-829E-F5485E5029DA}"/>
    <cellStyle name="Comma [0] 3 2" xfId="33" xr:uid="{A6AA9FAA-67FD-46E4-B54D-F87C8110BCAE}"/>
    <cellStyle name="Comma [0] 3 2 2" xfId="66" xr:uid="{632DACEF-1732-4EFC-9FF7-4FF2A0178A87}"/>
    <cellStyle name="Comma [0] 3 2 2 2" xfId="57" xr:uid="{D982BD62-DA2B-4E00-AFBD-7DB257E7908B}"/>
    <cellStyle name="Comma [0] 3 2 2 2 2" xfId="74" xr:uid="{4293B801-1DE4-4A0A-9B45-D3E86F32BDEA}"/>
    <cellStyle name="Comma [0] 3 2 2 2 3" xfId="120" xr:uid="{CD91CA8D-66C2-4CB6-A6A2-28D4B283C1EE}"/>
    <cellStyle name="Comma [0] 3 2 2 2 3 2" xfId="225" xr:uid="{A93E0C2E-D857-4AB9-BE71-8A0A599022CB}"/>
    <cellStyle name="Comma [0] 3 2 2 2 4" xfId="169" xr:uid="{1E50E83B-E2EE-4B6E-AD30-5EC725173B49}"/>
    <cellStyle name="Comma [0] 3 2 2 3" xfId="126" xr:uid="{3540645E-0770-4D61-966D-6CA4A604BF4A}"/>
    <cellStyle name="Comma [0] 3 2 2 3 2" xfId="231" xr:uid="{E9A42DBF-2471-4E80-80B7-854957A4F759}"/>
    <cellStyle name="Comma [0] 3 2 2 4" xfId="176" xr:uid="{83CBFD3B-3E28-424C-BA94-EEA67946539E}"/>
    <cellStyle name="Comma [0] 3 2 3" xfId="56" xr:uid="{E263041D-47D2-4550-9C4B-72FD6AA125EF}"/>
    <cellStyle name="Comma [0] 3 2 3 2" xfId="73" xr:uid="{CFB3094E-1ACC-48E2-9F67-5CC0E13FA3B9}"/>
    <cellStyle name="Comma [0] 3 2 3 3" xfId="119" xr:uid="{20B48FEB-3BFD-4549-AD34-A0D32B0D7EDD}"/>
    <cellStyle name="Comma [0] 3 2 3 3 2" xfId="224" xr:uid="{B6CAB45F-3263-40BC-842A-D4CA0B9B6D79}"/>
    <cellStyle name="Comma [0] 3 2 3 4" xfId="168" xr:uid="{F8EFD93A-611F-46B6-B4BC-AF3E3E4318C9}"/>
    <cellStyle name="Comma [0] 3 2 4" xfId="103" xr:uid="{4BB97EE0-1164-4344-A8E3-CB142CCC13F3}"/>
    <cellStyle name="Comma [0] 3 2 4 2" xfId="208" xr:uid="{BA47D34B-6254-4915-810A-9699A614B03D}"/>
    <cellStyle name="Comma [0] 3 2 5" xfId="86" xr:uid="{A27C10B4-B706-4244-905A-A9F4BB94D21D}"/>
    <cellStyle name="Comma [0] 3 2 5 2" xfId="191" xr:uid="{F898215A-3F9A-4833-B2AE-7BAE10B32B94}"/>
    <cellStyle name="Comma [0] 3 2 6" xfId="152" xr:uid="{2149E4B1-93C5-4DD5-B0BC-722CEF6B6854}"/>
    <cellStyle name="Comma [0] 4" xfId="32" xr:uid="{FBE52B02-DF70-4068-A518-91CD943BFEA9}"/>
    <cellStyle name="Comma [0] 4 2" xfId="79" xr:uid="{D9E8BB0F-E39D-4DCA-92CC-236A5F86795B}"/>
    <cellStyle name="Comma [0] 4 2 2" xfId="134" xr:uid="{D764CEEE-46A4-4149-91BE-8FE3A2CF931B}"/>
    <cellStyle name="Comma [0] 4 2 2 2" xfId="239" xr:uid="{AE02261D-66EE-442C-A790-FBB16F1642D7}"/>
    <cellStyle name="Comma [0] 4 2 3" xfId="184" xr:uid="{61A52093-9BDC-4675-AAD0-F168B1FB8F8B}"/>
    <cellStyle name="Comma [0] 4 3" xfId="102" xr:uid="{1E5A6847-BA7B-4C07-8178-F66C8FB5AC27}"/>
    <cellStyle name="Comma [0] 4 3 2" xfId="207" xr:uid="{987F73D3-D0EC-45AB-B390-19187F5EA088}"/>
    <cellStyle name="Comma [0] 4 4" xfId="96" xr:uid="{4A6AEA65-C357-4CB7-B9DA-D21DE39B5CDC}"/>
    <cellStyle name="Comma [0] 4 4 2" xfId="201" xr:uid="{2B96CE3F-48C4-41D0-97FD-AF976D6A48CB}"/>
    <cellStyle name="Comma [0] 4 5" xfId="151" xr:uid="{1EDC9339-C0D9-4545-9267-3D6EDB7BF04B}"/>
    <cellStyle name="Comma [0] 5" xfId="30" xr:uid="{9373E516-142B-4B6A-8B9D-19709C0C9C6B}"/>
    <cellStyle name="Comma [0] 5 2" xfId="47" xr:uid="{7D02274D-C1EC-4239-A4F1-5EBC7920EC5D}"/>
    <cellStyle name="Comma [0] 5 2 2" xfId="116" xr:uid="{A8CB6626-68B9-4B10-BC00-F5248FC591B2}"/>
    <cellStyle name="Comma [0] 5 2 2 2" xfId="221" xr:uid="{1EBCADD8-2870-4FDD-ADB4-53BF5CCAA825}"/>
    <cellStyle name="Comma [0] 5 2 3" xfId="165" xr:uid="{15D683AD-56C0-4413-9419-BC0DB423612D}"/>
    <cellStyle name="Comma [0] 5 3" xfId="100" xr:uid="{94A0618C-AA4F-4E4B-8A35-8B5038E284E6}"/>
    <cellStyle name="Comma [0] 5 3 2" xfId="205" xr:uid="{F64A78C6-1B32-43A7-AB8D-2A9DEA69165A}"/>
    <cellStyle name="Comma [0] 5 4" xfId="149" xr:uid="{27EDBEFC-04B6-48F7-BA5C-BDF5E95DCCA9}"/>
    <cellStyle name="Comma [0] 50" xfId="27" xr:uid="{FCC50DBD-F8CF-4644-B92F-D85F2BCEFAD1}"/>
    <cellStyle name="Comma [0] 50 2" xfId="41" xr:uid="{1D47B575-E0F8-4F33-8329-58C8FD5F078A}"/>
    <cellStyle name="Comma [0] 50 2 2" xfId="111" xr:uid="{7DF6D14B-C6DA-49ED-A28D-A38AA6A59237}"/>
    <cellStyle name="Comma [0] 50 2 2 2" xfId="216" xr:uid="{6AB3EA9E-3CBB-4E61-8D03-80E5CEF401E1}"/>
    <cellStyle name="Comma [0] 50 2 3" xfId="160" xr:uid="{7DC6D690-06C6-40CE-BC6E-C0CCE20667A0}"/>
    <cellStyle name="Comma [0] 50 3" xfId="98" xr:uid="{12A90863-8B34-438D-92DF-3A0BEAD24D4E}"/>
    <cellStyle name="Comma [0] 50 3 2" xfId="203" xr:uid="{0956863D-6BB9-47D4-8916-A78F7E3771B8}"/>
    <cellStyle name="Comma [0] 50 4" xfId="147" xr:uid="{C61EFA9C-7A0E-43DC-B3B6-8F978CE98A89}"/>
    <cellStyle name="Comma [0] 6" xfId="46" xr:uid="{396CE3B3-7713-496F-A38F-296DB909D04D}"/>
    <cellStyle name="Comma [0] 6 2" xfId="115" xr:uid="{EC1572C7-794D-4439-A14D-6BE46B396E79}"/>
    <cellStyle name="Comma [0] 6 2 2" xfId="220" xr:uid="{FAB880D9-297F-46F7-A99F-FF86DC63D0E7}"/>
    <cellStyle name="Comma [0] 6 3" xfId="164" xr:uid="{AABFFFA7-6F89-4984-A9BB-9DB2D625FE80}"/>
    <cellStyle name="Comma [0] 7" xfId="52" xr:uid="{BE684526-9656-4389-8E2A-EE7060BCDEE2}"/>
    <cellStyle name="Comma [0] 7 2" xfId="118" xr:uid="{B1B98F4E-6C39-4B51-8274-0545665F2963}"/>
    <cellStyle name="Comma [0] 7 2 2" xfId="223" xr:uid="{4053BC7A-0A54-4426-8E3F-AF47FE905BFD}"/>
    <cellStyle name="Comma [0] 7 3" xfId="167" xr:uid="{0259A783-6E45-4D38-B485-515B9F758825}"/>
    <cellStyle name="Comma [0] 8" xfId="93" xr:uid="{DC32A91F-2942-4216-9E9D-71BAA83CEC9B}"/>
    <cellStyle name="Comma [0] 8 2" xfId="198" xr:uid="{1A70100B-2C69-4053-A5A7-4C0C6D834F54}"/>
    <cellStyle name="Comma [0] 9" xfId="82" xr:uid="{F79A4A44-EDAD-475B-BE40-31705345B479}"/>
    <cellStyle name="Comma [0] 9 2" xfId="187" xr:uid="{1FA524E4-7934-4BB5-BD45-D9C9442E1FCA}"/>
    <cellStyle name="Comma 10" xfId="87" xr:uid="{21C90498-7BEE-4B04-B8A7-21DC78BCAE44}"/>
    <cellStyle name="Comma 10 2" xfId="192" xr:uid="{41E385E9-C5C5-451C-98DE-CE82A05BCD3E}"/>
    <cellStyle name="Comma 11" xfId="81" xr:uid="{AE12241F-F15A-42D3-BE19-CB2FB80A791D}"/>
    <cellStyle name="Comma 11 2" xfId="186" xr:uid="{1B05302B-B0D5-482C-B3F0-E9DE9E92D543}"/>
    <cellStyle name="Comma 12" xfId="144" xr:uid="{6AE88E74-0FD3-406F-964C-86712E2180D1}"/>
    <cellStyle name="Comma 13" xfId="170" xr:uid="{E06B715A-B7E4-457B-9006-F530D934481D}"/>
    <cellStyle name="Comma 2" xfId="15" xr:uid="{E2032BAD-6DA0-4F0F-B2C8-69CA84C7F159}"/>
    <cellStyle name="Comma 2 2" xfId="38" xr:uid="{3402C8D4-F438-4425-8DF3-6BDB1DE530BD}"/>
    <cellStyle name="Comma 2 2 2" xfId="71" xr:uid="{C0CF9714-D537-4FA4-B2F3-2B961FAC4DD7}"/>
    <cellStyle name="Comma 2 2 2 2" xfId="131" xr:uid="{A15F6DDC-706A-47ED-BDCB-C5E99D60A0CA}"/>
    <cellStyle name="Comma 2 2 2 2 2" xfId="236" xr:uid="{6E604194-9557-48FD-8F1C-BCB4CECFFAE3}"/>
    <cellStyle name="Comma 2 2 2 3" xfId="181" xr:uid="{B3AC1C7E-5898-450A-A09B-D1CA27C1AA5A}"/>
    <cellStyle name="Comma 2 2 3" xfId="108" xr:uid="{D4571572-2C50-4B99-AA2E-7BBE49525A9E}"/>
    <cellStyle name="Comma 2 2 3 2" xfId="213" xr:uid="{29CDB711-DCEE-4721-A241-A86563854AF0}"/>
    <cellStyle name="Comma 2 2 4" xfId="92" xr:uid="{A928651F-A545-49F5-AAFB-470E5274EA6E}"/>
    <cellStyle name="Comma 2 2 4 2" xfId="197" xr:uid="{D24D585C-D1A7-4207-980B-6A47EE732023}"/>
    <cellStyle name="Comma 2 2 5" xfId="157" xr:uid="{E4699B1E-85C5-4B4A-8B4B-4CE9042F3247}"/>
    <cellStyle name="Comma 3" xfId="11" xr:uid="{E3CCFFC2-45A7-4422-B724-5127269A5D0C}"/>
    <cellStyle name="Comma 3 2" xfId="36" xr:uid="{0DF85EA6-613D-4CE0-BC2F-867F778509A8}"/>
    <cellStyle name="Comma 3 2 2" xfId="67" xr:uid="{B8206812-CE59-4B64-871A-FDCC2AD15DDA}"/>
    <cellStyle name="Comma 3 2 2 2" xfId="127" xr:uid="{94C2C996-4E01-425A-9B7C-8F98289E0A2A}"/>
    <cellStyle name="Comma 3 2 2 2 2" xfId="232" xr:uid="{7E3693BC-5A3C-428F-AFE3-E52869893AD1}"/>
    <cellStyle name="Comma 3 2 2 3" xfId="177" xr:uid="{CCBAB181-5BF1-4023-AC6C-2F49DF93796F}"/>
    <cellStyle name="Comma 3 2 3" xfId="106" xr:uid="{A62D61AE-121A-4631-A68B-C79E474FC579}"/>
    <cellStyle name="Comma 3 2 3 2" xfId="211" xr:uid="{9684B454-3DB0-4949-9CA6-597B57DC25D9}"/>
    <cellStyle name="Comma 3 2 4" xfId="88" xr:uid="{8E252048-B8EF-469D-BF44-4DB9B37401B7}"/>
    <cellStyle name="Comma 3 2 4 2" xfId="193" xr:uid="{A895CC57-E7D1-4C1D-A2A7-44F2BDF6EB46}"/>
    <cellStyle name="Comma 3 2 5" xfId="155" xr:uid="{E4BB135A-B4EC-443F-9FA1-068FAD9219B7}"/>
    <cellStyle name="Comma 30" xfId="64" xr:uid="{40BB15DE-2041-420C-81BE-1F3D79F48FC6}"/>
    <cellStyle name="Comma 30 2" xfId="124" xr:uid="{36DB6EE8-80B7-47DE-B7A2-3AAA6DAD43AD}"/>
    <cellStyle name="Comma 30 2 2" xfId="229" xr:uid="{0764C958-38B3-4770-BCE4-2683C1E69082}"/>
    <cellStyle name="Comma 30 3" xfId="142" xr:uid="{B1C9DCCD-A9ED-4CD7-AFD2-DD64674B3092}"/>
    <cellStyle name="Comma 30 3 2" xfId="243" xr:uid="{1D237179-DD3F-483E-9874-81C1E0D0FAF9}"/>
    <cellStyle name="Comma 30 4" xfId="174" xr:uid="{EB1C468C-EA61-4601-B7DA-7B2AFE482037}"/>
    <cellStyle name="Comma 33" xfId="139" xr:uid="{34D21854-414C-4F14-942F-4BF1B93BD563}"/>
    <cellStyle name="Comma 33 2" xfId="242" xr:uid="{DBFD273C-ABAB-4591-A9F6-75A19DEF71CF}"/>
    <cellStyle name="Comma 4" xfId="31" xr:uid="{DE760892-93DE-4292-B00C-D10E2B3D96ED}"/>
    <cellStyle name="Comma 4 2" xfId="78" xr:uid="{D511B8E4-6357-4E49-B16D-2311C7617DDE}"/>
    <cellStyle name="Comma 4 2 2" xfId="133" xr:uid="{246FCFA9-E7D5-4311-AEDE-44300EA6EC7E}"/>
    <cellStyle name="Comma 4 2 2 2" xfId="238" xr:uid="{07690438-9E3D-44D1-9C3E-248D64BF0B61}"/>
    <cellStyle name="Comma 4 2 3" xfId="183" xr:uid="{D9DB88E5-0EB2-4AC0-AB2A-942BC78573F9}"/>
    <cellStyle name="Comma 4 3" xfId="101" xr:uid="{58E89E1C-F9A1-4E2A-AFE9-42251CE7059D}"/>
    <cellStyle name="Comma 4 3 2" xfId="206" xr:uid="{2D487C46-6D3D-4EA1-B0BC-FBBD9B33CE63}"/>
    <cellStyle name="Comma 4 4" xfId="95" xr:uid="{F16AF42F-7E3B-4523-8790-6F8F4BA5A4D2}"/>
    <cellStyle name="Comma 4 4 2" xfId="200" xr:uid="{82CF8566-F82F-4BB7-A8BA-7BEF174DC499}"/>
    <cellStyle name="Comma 4 5" xfId="150" xr:uid="{8B2A7689-DEE6-45A8-9A9B-698F7F841D25}"/>
    <cellStyle name="Comma 420" xfId="43" xr:uid="{FDE8584E-4D88-4F10-99CF-51D7850020ED}"/>
    <cellStyle name="Comma 420 2" xfId="113" xr:uid="{8B2E8701-42E9-4650-9A08-2C868FCE0281}"/>
    <cellStyle name="Comma 420 2 2" xfId="218" xr:uid="{0118CB1F-3443-4FF0-BDC7-A94A558588DD}"/>
    <cellStyle name="Comma 420 3" xfId="162" xr:uid="{BCDB0239-7843-47C2-8D44-E0DEA59BDF2E}"/>
    <cellStyle name="Comma 5" xfId="29" xr:uid="{6A48B9F7-0622-4CA5-98B7-2375F920DE15}"/>
    <cellStyle name="Comma 5 2" xfId="80" xr:uid="{5E195C31-496C-4C5B-9D59-2F609E085AB2}"/>
    <cellStyle name="Comma 5 2 2" xfId="135" xr:uid="{EF44ADAC-7E95-4703-BAB7-5FC9AC1024D3}"/>
    <cellStyle name="Comma 5 2 2 2" xfId="240" xr:uid="{3BBD78AE-2046-4138-8FB8-8EE4882CF744}"/>
    <cellStyle name="Comma 5 2 3" xfId="185" xr:uid="{A64EEE13-2EA1-47E9-9E8C-EAB956B8FAF5}"/>
    <cellStyle name="Comma 5 3" xfId="99" xr:uid="{6D67DD3C-3EB7-4358-9752-0D9B97E49E7D}"/>
    <cellStyle name="Comma 5 3 2" xfId="204" xr:uid="{8CFAEFBC-D0B8-47F6-A166-4B6C8ADDC2B9}"/>
    <cellStyle name="Comma 5 4" xfId="97" xr:uid="{1CDD8AF5-37BD-4A4A-BFAE-5B2B125109A2}"/>
    <cellStyle name="Comma 5 4 2" xfId="202" xr:uid="{8DF49AC3-5362-48AB-BC3A-FAFCBAE8E438}"/>
    <cellStyle name="Comma 5 5" xfId="148" xr:uid="{75678E53-871D-4777-9C53-DEB05558AC04}"/>
    <cellStyle name="Comma 6" xfId="34" xr:uid="{A87B79FF-B315-4ADA-A26E-8C27C6A41C49}"/>
    <cellStyle name="Comma 6 2" xfId="104" xr:uid="{52F07A76-3268-4EE0-B7A0-7A8EE8929230}"/>
    <cellStyle name="Comma 6 2 2" xfId="209" xr:uid="{23096C34-0E1B-4D0F-AE4C-D1FB0CD3114D}"/>
    <cellStyle name="Comma 6 3" xfId="153" xr:uid="{B3C07B74-2F76-4DB7-B962-65FAD090ABD6}"/>
    <cellStyle name="Comma 7" xfId="42" xr:uid="{080E7348-557E-4A02-9D79-F3C983D600D5}"/>
    <cellStyle name="Comma 7 2" xfId="112" xr:uid="{C8310D29-8553-4283-976A-09482CA6467F}"/>
    <cellStyle name="Comma 7 2 2" xfId="137" xr:uid="{7C616EC0-243A-4F3B-8D23-57B00AF530FE}"/>
    <cellStyle name="Comma 7 2 2 2" xfId="241" xr:uid="{FAA35E2A-E98B-4FD7-B5EC-B6ED6D83052E}"/>
    <cellStyle name="Comma 7 2 3" xfId="217" xr:uid="{55A4B6B6-6F5D-4248-B7C0-5C8FCD95EF9F}"/>
    <cellStyle name="Comma 7 3" xfId="161" xr:uid="{00BCBB45-CC8F-41A5-AA21-3FD55E4CD561}"/>
    <cellStyle name="Comma 8" xfId="45" xr:uid="{CC90C8CA-C823-4017-98A5-71C95FF459FA}"/>
    <cellStyle name="Comma 8 2" xfId="114" xr:uid="{8AAF29FE-85AA-4070-A72A-2B4B084F6EFA}"/>
    <cellStyle name="Comma 8 2 2" xfId="219" xr:uid="{3DA915D1-F7A0-4786-9B29-62E783E16921}"/>
    <cellStyle name="Comma 8 3" xfId="163" xr:uid="{826D31FA-9750-487F-A2AA-B2E563A031B2}"/>
    <cellStyle name="Comma 9" xfId="60" xr:uid="{7D2AB24E-F0B9-4EA3-BAF3-F3E578D50A76}"/>
    <cellStyle name="Comma 9 2" xfId="121" xr:uid="{419B998E-6E1C-4460-A4D8-69892D391A5F}"/>
    <cellStyle name="Comma 9 2 2" xfId="226" xr:uid="{CD06A8A6-08CA-4FFB-BBF3-FE1196674F30}"/>
    <cellStyle name="Comma 9 3" xfId="171" xr:uid="{838E77E4-715C-459A-AD2F-72C8F685EA57}"/>
    <cellStyle name="Hyperlink" xfId="143" builtinId="8"/>
    <cellStyle name="Normal" xfId="0" builtinId="0"/>
    <cellStyle name="Normal 10 1" xfId="13" xr:uid="{348B64E3-2ED6-4C58-8D51-0ED06A8CB68C}"/>
    <cellStyle name="Normal 12" xfId="19" xr:uid="{D14903A8-C9D8-42B8-8189-D6189C7EE8F8}"/>
    <cellStyle name="Normal 176" xfId="25" xr:uid="{18E5EA2A-5235-4C27-9AE8-2D6217476FB5}"/>
    <cellStyle name="Normal 2" xfId="12" xr:uid="{ECFDC6DD-4570-4176-8EB9-8A8E15977A56}"/>
    <cellStyle name="Normal 2 1" xfId="9" xr:uid="{FE97332E-C966-4608-8E36-DE92803A7387}"/>
    <cellStyle name="Normal 2 2" xfId="23" xr:uid="{3F0F4B80-024A-4D38-8C58-5361AD4305BB}"/>
    <cellStyle name="Normal 3" xfId="3" xr:uid="{22172253-1952-4356-94F9-EDDBEBBB76BD}"/>
    <cellStyle name="Normal 3 2 2 2" xfId="18" xr:uid="{141540C5-8FEC-4EDB-AFF3-B9A96B19B890}"/>
    <cellStyle name="Normal 3 3" xfId="59" xr:uid="{9888A3A8-FD26-4CC8-81C7-AD6F9A61AD9C}"/>
    <cellStyle name="Normal 3 3 2" xfId="6" xr:uid="{9D6AFB0D-AEEA-465E-9B03-6F282666B6FB}"/>
    <cellStyle name="Normal 33 2" xfId="22" xr:uid="{76FA4E7E-E7C5-470F-A6C8-C4C4D9FFE9D8}"/>
    <cellStyle name="Normal 33 2 2" xfId="136" xr:uid="{6396BDFC-9F8A-4727-A098-BB13CD8B2A49}"/>
    <cellStyle name="Normal 33 2 3" xfId="49" xr:uid="{77D66740-CE02-4432-87D2-92E791C05B02}"/>
    <cellStyle name="Normal 33 6 2" xfId="140" xr:uid="{16F72C1D-D85B-4329-B46C-6278334EB7DB}"/>
    <cellStyle name="Normal 4" xfId="53" xr:uid="{019807F5-C175-4F90-8E50-0401F6E09185}"/>
    <cellStyle name="Normal 4 2" xfId="77" xr:uid="{B2684CB2-D932-4009-A6A1-7B4AEBC5EC76}"/>
    <cellStyle name="Normal 4 2 2" xfId="55" xr:uid="{DC00E801-25BC-41F2-BCD9-8E587042AB66}"/>
    <cellStyle name="Normal 4 2 2 2" xfId="72" xr:uid="{21A43C46-471B-44FE-A1C2-B73E063F3569}"/>
    <cellStyle name="Normal 43" xfId="26" xr:uid="{E4627794-9EE8-43C1-A64C-36BC2EFF5316}"/>
    <cellStyle name="Normal 5 13" xfId="44" xr:uid="{6532DA0F-5D62-4602-BACD-FC6470E07B29}"/>
    <cellStyle name="Normal 5 2" xfId="75" xr:uid="{22713F06-E805-4A49-A719-2AECC49D761E}"/>
    <cellStyle name="Normal 6" xfId="54" xr:uid="{64450415-D9F4-476E-9BF0-3055838344F3}"/>
    <cellStyle name="Normal 7" xfId="21" xr:uid="{D346687A-6854-41BF-83B5-77F5079725FD}"/>
    <cellStyle name="Normal_4 Gab" xfId="20" xr:uid="{43888EAF-3F7D-46D5-90C5-68B4945A320F}"/>
    <cellStyle name="Normal_EKUITAS 4" xfId="17" xr:uid="{A428321D-3CED-4E9F-92AE-B985FDD6FF6D}"/>
    <cellStyle name="Normal_LeadSheet2002" xfId="138" xr:uid="{06CE12D9-AEF2-41AF-83CD-0EF253008282}"/>
    <cellStyle name="Normal_worksheet report updated" xfId="10" xr:uid="{A0D9C5D6-0267-40CB-BA22-06972BBE6B30}"/>
    <cellStyle name="Percent" xfId="8" builtinId="5"/>
    <cellStyle name="Percent 2" xfId="62" xr:uid="{0F1C4BEE-E565-43E2-AAA9-FA1FE006782D}"/>
    <cellStyle name="Percent 25" xfId="28" xr:uid="{73D144D5-234B-4E39-A2B9-7FD8EDC04FC0}"/>
    <cellStyle name="Percent 3" xfId="58" xr:uid="{4133C465-9463-4EAB-BB67-BAD17001109E}"/>
    <cellStyle name="S7" xfId="5" xr:uid="{448ADA7B-2A6D-4E71-AE0E-767058BA97B9}"/>
  </cellStyles>
  <dxfs count="0"/>
  <tableStyles count="0" defaultTableStyle="TableStyleMedium2" defaultPivotStyle="PivotStyleLight16"/>
  <colors>
    <mruColors>
      <color rgb="FFFFCCFF"/>
      <color rgb="FFCCCCFF"/>
      <color rgb="FFFFFFCC"/>
      <color rgb="FFFCF85A"/>
      <color rgb="FFCDB0FC"/>
      <color rgb="FFCCFFFF"/>
      <color rgb="FFFA7B6A"/>
      <color rgb="FF660066"/>
      <color rgb="FFFCA99E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60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externalLink" Target="externalLinks/externalLink6.xml"/><Relationship Id="rId84" Type="http://schemas.openxmlformats.org/officeDocument/2006/relationships/externalLink" Target="externalLinks/externalLink27.xml"/><Relationship Id="rId138" Type="http://schemas.openxmlformats.org/officeDocument/2006/relationships/externalLink" Target="externalLinks/externalLink81.xml"/><Relationship Id="rId159" Type="http://schemas.openxmlformats.org/officeDocument/2006/relationships/externalLink" Target="externalLinks/externalLink102.xml"/><Relationship Id="rId170" Type="http://schemas.openxmlformats.org/officeDocument/2006/relationships/externalLink" Target="externalLinks/externalLink113.xml"/><Relationship Id="rId191" Type="http://schemas.openxmlformats.org/officeDocument/2006/relationships/externalLink" Target="externalLinks/externalLink134.xml"/><Relationship Id="rId205" Type="http://schemas.openxmlformats.org/officeDocument/2006/relationships/externalLink" Target="externalLinks/externalLink148.xml"/><Relationship Id="rId226" Type="http://schemas.openxmlformats.org/officeDocument/2006/relationships/externalLink" Target="externalLinks/externalLink169.xml"/><Relationship Id="rId247" Type="http://schemas.openxmlformats.org/officeDocument/2006/relationships/externalLink" Target="externalLinks/externalLink190.xml"/><Relationship Id="rId107" Type="http://schemas.openxmlformats.org/officeDocument/2006/relationships/externalLink" Target="externalLinks/externalLink50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externalLink" Target="externalLinks/externalLink17.xml"/><Relationship Id="rId128" Type="http://schemas.openxmlformats.org/officeDocument/2006/relationships/externalLink" Target="externalLinks/externalLink71.xml"/><Relationship Id="rId149" Type="http://schemas.openxmlformats.org/officeDocument/2006/relationships/externalLink" Target="externalLinks/externalLink92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38.xml"/><Relationship Id="rId160" Type="http://schemas.openxmlformats.org/officeDocument/2006/relationships/externalLink" Target="externalLinks/externalLink103.xml"/><Relationship Id="rId181" Type="http://schemas.openxmlformats.org/officeDocument/2006/relationships/externalLink" Target="externalLinks/externalLink124.xml"/><Relationship Id="rId216" Type="http://schemas.openxmlformats.org/officeDocument/2006/relationships/externalLink" Target="externalLinks/externalLink159.xml"/><Relationship Id="rId237" Type="http://schemas.openxmlformats.org/officeDocument/2006/relationships/externalLink" Target="externalLinks/externalLink18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externalLink" Target="externalLinks/externalLink7.xml"/><Relationship Id="rId118" Type="http://schemas.openxmlformats.org/officeDocument/2006/relationships/externalLink" Target="externalLinks/externalLink61.xml"/><Relationship Id="rId139" Type="http://schemas.openxmlformats.org/officeDocument/2006/relationships/externalLink" Target="externalLinks/externalLink82.xml"/><Relationship Id="rId85" Type="http://schemas.openxmlformats.org/officeDocument/2006/relationships/externalLink" Target="externalLinks/externalLink28.xml"/><Relationship Id="rId150" Type="http://schemas.openxmlformats.org/officeDocument/2006/relationships/externalLink" Target="externalLinks/externalLink93.xml"/><Relationship Id="rId171" Type="http://schemas.openxmlformats.org/officeDocument/2006/relationships/externalLink" Target="externalLinks/externalLink114.xml"/><Relationship Id="rId192" Type="http://schemas.openxmlformats.org/officeDocument/2006/relationships/externalLink" Target="externalLinks/externalLink135.xml"/><Relationship Id="rId206" Type="http://schemas.openxmlformats.org/officeDocument/2006/relationships/externalLink" Target="externalLinks/externalLink149.xml"/><Relationship Id="rId227" Type="http://schemas.openxmlformats.org/officeDocument/2006/relationships/externalLink" Target="externalLinks/externalLink170.xml"/><Relationship Id="rId248" Type="http://schemas.openxmlformats.org/officeDocument/2006/relationships/externalLink" Target="externalLinks/externalLink19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externalLink" Target="externalLinks/externalLink51.xml"/><Relationship Id="rId129" Type="http://schemas.openxmlformats.org/officeDocument/2006/relationships/externalLink" Target="externalLinks/externalLink72.xml"/><Relationship Id="rId54" Type="http://schemas.openxmlformats.org/officeDocument/2006/relationships/worksheet" Target="worksheets/sheet54.xml"/><Relationship Id="rId75" Type="http://schemas.openxmlformats.org/officeDocument/2006/relationships/externalLink" Target="externalLinks/externalLink18.xml"/><Relationship Id="rId96" Type="http://schemas.openxmlformats.org/officeDocument/2006/relationships/externalLink" Target="externalLinks/externalLink39.xml"/><Relationship Id="rId140" Type="http://schemas.openxmlformats.org/officeDocument/2006/relationships/externalLink" Target="externalLinks/externalLink83.xml"/><Relationship Id="rId161" Type="http://schemas.openxmlformats.org/officeDocument/2006/relationships/externalLink" Target="externalLinks/externalLink104.xml"/><Relationship Id="rId182" Type="http://schemas.openxmlformats.org/officeDocument/2006/relationships/externalLink" Target="externalLinks/externalLink125.xml"/><Relationship Id="rId217" Type="http://schemas.openxmlformats.org/officeDocument/2006/relationships/externalLink" Target="externalLinks/externalLink160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181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62.xml"/><Relationship Id="rId44" Type="http://schemas.openxmlformats.org/officeDocument/2006/relationships/worksheet" Target="worksheets/sheet44.xml"/><Relationship Id="rId65" Type="http://schemas.openxmlformats.org/officeDocument/2006/relationships/externalLink" Target="externalLinks/externalLink8.xml"/><Relationship Id="rId86" Type="http://schemas.openxmlformats.org/officeDocument/2006/relationships/externalLink" Target="externalLinks/externalLink29.xml"/><Relationship Id="rId130" Type="http://schemas.openxmlformats.org/officeDocument/2006/relationships/externalLink" Target="externalLinks/externalLink73.xml"/><Relationship Id="rId151" Type="http://schemas.openxmlformats.org/officeDocument/2006/relationships/externalLink" Target="externalLinks/externalLink94.xml"/><Relationship Id="rId172" Type="http://schemas.openxmlformats.org/officeDocument/2006/relationships/externalLink" Target="externalLinks/externalLink115.xml"/><Relationship Id="rId193" Type="http://schemas.openxmlformats.org/officeDocument/2006/relationships/externalLink" Target="externalLinks/externalLink136.xml"/><Relationship Id="rId207" Type="http://schemas.openxmlformats.org/officeDocument/2006/relationships/externalLink" Target="externalLinks/externalLink150.xml"/><Relationship Id="rId228" Type="http://schemas.openxmlformats.org/officeDocument/2006/relationships/externalLink" Target="externalLinks/externalLink171.xml"/><Relationship Id="rId249" Type="http://schemas.openxmlformats.org/officeDocument/2006/relationships/externalLink" Target="externalLinks/externalLink192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52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9.xml"/><Relationship Id="rId97" Type="http://schemas.openxmlformats.org/officeDocument/2006/relationships/externalLink" Target="externalLinks/externalLink40.xml"/><Relationship Id="rId120" Type="http://schemas.openxmlformats.org/officeDocument/2006/relationships/externalLink" Target="externalLinks/externalLink63.xml"/><Relationship Id="rId141" Type="http://schemas.openxmlformats.org/officeDocument/2006/relationships/externalLink" Target="externalLinks/externalLink84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05.xml"/><Relationship Id="rId183" Type="http://schemas.openxmlformats.org/officeDocument/2006/relationships/externalLink" Target="externalLinks/externalLink126.xml"/><Relationship Id="rId218" Type="http://schemas.openxmlformats.org/officeDocument/2006/relationships/externalLink" Target="externalLinks/externalLink161.xml"/><Relationship Id="rId239" Type="http://schemas.openxmlformats.org/officeDocument/2006/relationships/externalLink" Target="externalLinks/externalLink182.xml"/><Relationship Id="rId250" Type="http://schemas.openxmlformats.org/officeDocument/2006/relationships/externalLink" Target="externalLinks/externalLink19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9.xml"/><Relationship Id="rId87" Type="http://schemas.openxmlformats.org/officeDocument/2006/relationships/externalLink" Target="externalLinks/externalLink30.xml"/><Relationship Id="rId110" Type="http://schemas.openxmlformats.org/officeDocument/2006/relationships/externalLink" Target="externalLinks/externalLink53.xml"/><Relationship Id="rId131" Type="http://schemas.openxmlformats.org/officeDocument/2006/relationships/externalLink" Target="externalLinks/externalLink74.xml"/><Relationship Id="rId152" Type="http://schemas.openxmlformats.org/officeDocument/2006/relationships/externalLink" Target="externalLinks/externalLink95.xml"/><Relationship Id="rId173" Type="http://schemas.openxmlformats.org/officeDocument/2006/relationships/externalLink" Target="externalLinks/externalLink116.xml"/><Relationship Id="rId194" Type="http://schemas.openxmlformats.org/officeDocument/2006/relationships/externalLink" Target="externalLinks/externalLink137.xml"/><Relationship Id="rId208" Type="http://schemas.openxmlformats.org/officeDocument/2006/relationships/externalLink" Target="externalLinks/externalLink151.xml"/><Relationship Id="rId229" Type="http://schemas.openxmlformats.org/officeDocument/2006/relationships/externalLink" Target="externalLinks/externalLink172.xml"/><Relationship Id="rId240" Type="http://schemas.openxmlformats.org/officeDocument/2006/relationships/externalLink" Target="externalLinks/externalLink183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20.xml"/><Relationship Id="rId100" Type="http://schemas.openxmlformats.org/officeDocument/2006/relationships/externalLink" Target="externalLinks/externalLink43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41.xml"/><Relationship Id="rId121" Type="http://schemas.openxmlformats.org/officeDocument/2006/relationships/externalLink" Target="externalLinks/externalLink64.xml"/><Relationship Id="rId142" Type="http://schemas.openxmlformats.org/officeDocument/2006/relationships/externalLink" Target="externalLinks/externalLink85.xml"/><Relationship Id="rId163" Type="http://schemas.openxmlformats.org/officeDocument/2006/relationships/externalLink" Target="externalLinks/externalLink106.xml"/><Relationship Id="rId184" Type="http://schemas.openxmlformats.org/officeDocument/2006/relationships/externalLink" Target="externalLinks/externalLink127.xml"/><Relationship Id="rId219" Type="http://schemas.openxmlformats.org/officeDocument/2006/relationships/externalLink" Target="externalLinks/externalLink162.xml"/><Relationship Id="rId230" Type="http://schemas.openxmlformats.org/officeDocument/2006/relationships/externalLink" Target="externalLinks/externalLink173.xml"/><Relationship Id="rId251" Type="http://schemas.openxmlformats.org/officeDocument/2006/relationships/externalLink" Target="externalLinks/externalLink19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10.xml"/><Relationship Id="rId88" Type="http://schemas.openxmlformats.org/officeDocument/2006/relationships/externalLink" Target="externalLinks/externalLink31.xml"/><Relationship Id="rId111" Type="http://schemas.openxmlformats.org/officeDocument/2006/relationships/externalLink" Target="externalLinks/externalLink54.xml"/><Relationship Id="rId132" Type="http://schemas.openxmlformats.org/officeDocument/2006/relationships/externalLink" Target="externalLinks/externalLink75.xml"/><Relationship Id="rId153" Type="http://schemas.openxmlformats.org/officeDocument/2006/relationships/externalLink" Target="externalLinks/externalLink96.xml"/><Relationship Id="rId174" Type="http://schemas.openxmlformats.org/officeDocument/2006/relationships/externalLink" Target="externalLinks/externalLink117.xml"/><Relationship Id="rId195" Type="http://schemas.openxmlformats.org/officeDocument/2006/relationships/externalLink" Target="externalLinks/externalLink138.xml"/><Relationship Id="rId209" Type="http://schemas.openxmlformats.org/officeDocument/2006/relationships/externalLink" Target="externalLinks/externalLink152.xml"/><Relationship Id="rId220" Type="http://schemas.openxmlformats.org/officeDocument/2006/relationships/externalLink" Target="externalLinks/externalLink163.xml"/><Relationship Id="rId241" Type="http://schemas.openxmlformats.org/officeDocument/2006/relationships/externalLink" Target="externalLinks/externalLink18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externalLink" Target="externalLinks/externalLink21.xml"/><Relationship Id="rId99" Type="http://schemas.openxmlformats.org/officeDocument/2006/relationships/externalLink" Target="externalLinks/externalLink42.xml"/><Relationship Id="rId101" Type="http://schemas.openxmlformats.org/officeDocument/2006/relationships/externalLink" Target="externalLinks/externalLink44.xml"/><Relationship Id="rId122" Type="http://schemas.openxmlformats.org/officeDocument/2006/relationships/externalLink" Target="externalLinks/externalLink65.xml"/><Relationship Id="rId143" Type="http://schemas.openxmlformats.org/officeDocument/2006/relationships/externalLink" Target="externalLinks/externalLink86.xml"/><Relationship Id="rId164" Type="http://schemas.openxmlformats.org/officeDocument/2006/relationships/externalLink" Target="externalLinks/externalLink107.xml"/><Relationship Id="rId185" Type="http://schemas.openxmlformats.org/officeDocument/2006/relationships/externalLink" Target="externalLinks/externalLink128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53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174.xml"/><Relationship Id="rId252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externalLink" Target="externalLinks/externalLink11.xml"/><Relationship Id="rId89" Type="http://schemas.openxmlformats.org/officeDocument/2006/relationships/externalLink" Target="externalLinks/externalLink32.xml"/><Relationship Id="rId112" Type="http://schemas.openxmlformats.org/officeDocument/2006/relationships/externalLink" Target="externalLinks/externalLink55.xml"/><Relationship Id="rId133" Type="http://schemas.openxmlformats.org/officeDocument/2006/relationships/externalLink" Target="externalLinks/externalLink76.xml"/><Relationship Id="rId154" Type="http://schemas.openxmlformats.org/officeDocument/2006/relationships/externalLink" Target="externalLinks/externalLink97.xml"/><Relationship Id="rId175" Type="http://schemas.openxmlformats.org/officeDocument/2006/relationships/externalLink" Target="externalLinks/externalLink118.xml"/><Relationship Id="rId196" Type="http://schemas.openxmlformats.org/officeDocument/2006/relationships/externalLink" Target="externalLinks/externalLink139.xml"/><Relationship Id="rId200" Type="http://schemas.openxmlformats.org/officeDocument/2006/relationships/externalLink" Target="externalLinks/externalLink143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164.xml"/><Relationship Id="rId242" Type="http://schemas.openxmlformats.org/officeDocument/2006/relationships/externalLink" Target="externalLinks/externalLink185.xml"/><Relationship Id="rId37" Type="http://schemas.openxmlformats.org/officeDocument/2006/relationships/worksheet" Target="worksheets/sheet37.xml"/><Relationship Id="rId58" Type="http://schemas.openxmlformats.org/officeDocument/2006/relationships/externalLink" Target="externalLinks/externalLink1.xml"/><Relationship Id="rId79" Type="http://schemas.openxmlformats.org/officeDocument/2006/relationships/externalLink" Target="externalLinks/externalLink22.xml"/><Relationship Id="rId102" Type="http://schemas.openxmlformats.org/officeDocument/2006/relationships/externalLink" Target="externalLinks/externalLink45.xml"/><Relationship Id="rId123" Type="http://schemas.openxmlformats.org/officeDocument/2006/relationships/externalLink" Target="externalLinks/externalLink66.xml"/><Relationship Id="rId144" Type="http://schemas.openxmlformats.org/officeDocument/2006/relationships/externalLink" Target="externalLinks/externalLink87.xml"/><Relationship Id="rId90" Type="http://schemas.openxmlformats.org/officeDocument/2006/relationships/externalLink" Target="externalLinks/externalLink33.xml"/><Relationship Id="rId165" Type="http://schemas.openxmlformats.org/officeDocument/2006/relationships/externalLink" Target="externalLinks/externalLink108.xml"/><Relationship Id="rId186" Type="http://schemas.openxmlformats.org/officeDocument/2006/relationships/externalLink" Target="externalLinks/externalLink129.xml"/><Relationship Id="rId211" Type="http://schemas.openxmlformats.org/officeDocument/2006/relationships/externalLink" Target="externalLinks/externalLink154.xml"/><Relationship Id="rId232" Type="http://schemas.openxmlformats.org/officeDocument/2006/relationships/externalLink" Target="externalLinks/externalLink175.xml"/><Relationship Id="rId253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externalLink" Target="externalLinks/externalLink12.xml"/><Relationship Id="rId113" Type="http://schemas.openxmlformats.org/officeDocument/2006/relationships/externalLink" Target="externalLinks/externalLink56.xml"/><Relationship Id="rId134" Type="http://schemas.openxmlformats.org/officeDocument/2006/relationships/externalLink" Target="externalLinks/externalLink77.xml"/><Relationship Id="rId80" Type="http://schemas.openxmlformats.org/officeDocument/2006/relationships/externalLink" Target="externalLinks/externalLink23.xml"/><Relationship Id="rId155" Type="http://schemas.openxmlformats.org/officeDocument/2006/relationships/externalLink" Target="externalLinks/externalLink98.xml"/><Relationship Id="rId176" Type="http://schemas.openxmlformats.org/officeDocument/2006/relationships/externalLink" Target="externalLinks/externalLink119.xml"/><Relationship Id="rId197" Type="http://schemas.openxmlformats.org/officeDocument/2006/relationships/externalLink" Target="externalLinks/externalLink140.xml"/><Relationship Id="rId201" Type="http://schemas.openxmlformats.org/officeDocument/2006/relationships/externalLink" Target="externalLinks/externalLink144.xml"/><Relationship Id="rId222" Type="http://schemas.openxmlformats.org/officeDocument/2006/relationships/externalLink" Target="externalLinks/externalLink165.xml"/><Relationship Id="rId243" Type="http://schemas.openxmlformats.org/officeDocument/2006/relationships/externalLink" Target="externalLinks/externalLink18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externalLink" Target="externalLinks/externalLink2.xml"/><Relationship Id="rId103" Type="http://schemas.openxmlformats.org/officeDocument/2006/relationships/externalLink" Target="externalLinks/externalLink46.xml"/><Relationship Id="rId124" Type="http://schemas.openxmlformats.org/officeDocument/2006/relationships/externalLink" Target="externalLinks/externalLink67.xml"/><Relationship Id="rId70" Type="http://schemas.openxmlformats.org/officeDocument/2006/relationships/externalLink" Target="externalLinks/externalLink13.xml"/><Relationship Id="rId91" Type="http://schemas.openxmlformats.org/officeDocument/2006/relationships/externalLink" Target="externalLinks/externalLink34.xml"/><Relationship Id="rId145" Type="http://schemas.openxmlformats.org/officeDocument/2006/relationships/externalLink" Target="externalLinks/externalLink88.xml"/><Relationship Id="rId166" Type="http://schemas.openxmlformats.org/officeDocument/2006/relationships/externalLink" Target="externalLinks/externalLink109.xml"/><Relationship Id="rId187" Type="http://schemas.openxmlformats.org/officeDocument/2006/relationships/externalLink" Target="externalLinks/externalLink130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55.xml"/><Relationship Id="rId233" Type="http://schemas.openxmlformats.org/officeDocument/2006/relationships/externalLink" Target="externalLinks/externalLink176.xml"/><Relationship Id="rId254" Type="http://schemas.openxmlformats.org/officeDocument/2006/relationships/sharedStrings" Target="sharedString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57.xml"/><Relationship Id="rId60" Type="http://schemas.openxmlformats.org/officeDocument/2006/relationships/externalLink" Target="externalLinks/externalLink3.xml"/><Relationship Id="rId81" Type="http://schemas.openxmlformats.org/officeDocument/2006/relationships/externalLink" Target="externalLinks/externalLink24.xml"/><Relationship Id="rId135" Type="http://schemas.openxmlformats.org/officeDocument/2006/relationships/externalLink" Target="externalLinks/externalLink78.xml"/><Relationship Id="rId156" Type="http://schemas.openxmlformats.org/officeDocument/2006/relationships/externalLink" Target="externalLinks/externalLink99.xml"/><Relationship Id="rId177" Type="http://schemas.openxmlformats.org/officeDocument/2006/relationships/externalLink" Target="externalLinks/externalLink120.xml"/><Relationship Id="rId198" Type="http://schemas.openxmlformats.org/officeDocument/2006/relationships/externalLink" Target="externalLinks/externalLink141.xml"/><Relationship Id="rId202" Type="http://schemas.openxmlformats.org/officeDocument/2006/relationships/externalLink" Target="externalLinks/externalLink145.xml"/><Relationship Id="rId223" Type="http://schemas.openxmlformats.org/officeDocument/2006/relationships/externalLink" Target="externalLinks/externalLink166.xml"/><Relationship Id="rId244" Type="http://schemas.openxmlformats.org/officeDocument/2006/relationships/externalLink" Target="externalLinks/externalLink18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externalLink" Target="externalLinks/externalLink47.xml"/><Relationship Id="rId125" Type="http://schemas.openxmlformats.org/officeDocument/2006/relationships/externalLink" Target="externalLinks/externalLink68.xml"/><Relationship Id="rId146" Type="http://schemas.openxmlformats.org/officeDocument/2006/relationships/externalLink" Target="externalLinks/externalLink89.xml"/><Relationship Id="rId167" Type="http://schemas.openxmlformats.org/officeDocument/2006/relationships/externalLink" Target="externalLinks/externalLink110.xml"/><Relationship Id="rId188" Type="http://schemas.openxmlformats.org/officeDocument/2006/relationships/externalLink" Target="externalLinks/externalLink131.xml"/><Relationship Id="rId71" Type="http://schemas.openxmlformats.org/officeDocument/2006/relationships/externalLink" Target="externalLinks/externalLink14.xml"/><Relationship Id="rId92" Type="http://schemas.openxmlformats.org/officeDocument/2006/relationships/externalLink" Target="externalLinks/externalLink35.xml"/><Relationship Id="rId213" Type="http://schemas.openxmlformats.org/officeDocument/2006/relationships/externalLink" Target="externalLinks/externalLink156.xml"/><Relationship Id="rId234" Type="http://schemas.openxmlformats.org/officeDocument/2006/relationships/externalLink" Target="externalLinks/externalLink17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calcChain" Target="calcChain.xml"/><Relationship Id="rId40" Type="http://schemas.openxmlformats.org/officeDocument/2006/relationships/worksheet" Target="worksheets/sheet40.xml"/><Relationship Id="rId115" Type="http://schemas.openxmlformats.org/officeDocument/2006/relationships/externalLink" Target="externalLinks/externalLink58.xml"/><Relationship Id="rId136" Type="http://schemas.openxmlformats.org/officeDocument/2006/relationships/externalLink" Target="externalLinks/externalLink79.xml"/><Relationship Id="rId157" Type="http://schemas.openxmlformats.org/officeDocument/2006/relationships/externalLink" Target="externalLinks/externalLink100.xml"/><Relationship Id="rId178" Type="http://schemas.openxmlformats.org/officeDocument/2006/relationships/externalLink" Target="externalLinks/externalLink121.xml"/><Relationship Id="rId61" Type="http://schemas.openxmlformats.org/officeDocument/2006/relationships/externalLink" Target="externalLinks/externalLink4.xml"/><Relationship Id="rId82" Type="http://schemas.openxmlformats.org/officeDocument/2006/relationships/externalLink" Target="externalLinks/externalLink25.xml"/><Relationship Id="rId199" Type="http://schemas.openxmlformats.org/officeDocument/2006/relationships/externalLink" Target="externalLinks/externalLink142.xml"/><Relationship Id="rId203" Type="http://schemas.openxmlformats.org/officeDocument/2006/relationships/externalLink" Target="externalLinks/externalLink146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167.xml"/><Relationship Id="rId245" Type="http://schemas.openxmlformats.org/officeDocument/2006/relationships/externalLink" Target="externalLinks/externalLink188.xml"/><Relationship Id="rId30" Type="http://schemas.openxmlformats.org/officeDocument/2006/relationships/worksheet" Target="worksheets/sheet30.xml"/><Relationship Id="rId105" Type="http://schemas.openxmlformats.org/officeDocument/2006/relationships/externalLink" Target="externalLinks/externalLink48.xml"/><Relationship Id="rId126" Type="http://schemas.openxmlformats.org/officeDocument/2006/relationships/externalLink" Target="externalLinks/externalLink69.xml"/><Relationship Id="rId147" Type="http://schemas.openxmlformats.org/officeDocument/2006/relationships/externalLink" Target="externalLinks/externalLink90.xml"/><Relationship Id="rId168" Type="http://schemas.openxmlformats.org/officeDocument/2006/relationships/externalLink" Target="externalLinks/externalLink111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5.xml"/><Relationship Id="rId93" Type="http://schemas.openxmlformats.org/officeDocument/2006/relationships/externalLink" Target="externalLinks/externalLink36.xml"/><Relationship Id="rId189" Type="http://schemas.openxmlformats.org/officeDocument/2006/relationships/externalLink" Target="externalLinks/externalLink13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57.xml"/><Relationship Id="rId235" Type="http://schemas.openxmlformats.org/officeDocument/2006/relationships/externalLink" Target="externalLinks/externalLink178.xml"/><Relationship Id="rId116" Type="http://schemas.openxmlformats.org/officeDocument/2006/relationships/externalLink" Target="externalLinks/externalLink59.xml"/><Relationship Id="rId137" Type="http://schemas.openxmlformats.org/officeDocument/2006/relationships/externalLink" Target="externalLinks/externalLink80.xml"/><Relationship Id="rId158" Type="http://schemas.openxmlformats.org/officeDocument/2006/relationships/externalLink" Target="externalLinks/externalLink10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externalLink" Target="externalLinks/externalLink5.xml"/><Relationship Id="rId83" Type="http://schemas.openxmlformats.org/officeDocument/2006/relationships/externalLink" Target="externalLinks/externalLink26.xml"/><Relationship Id="rId179" Type="http://schemas.openxmlformats.org/officeDocument/2006/relationships/externalLink" Target="externalLinks/externalLink122.xml"/><Relationship Id="rId190" Type="http://schemas.openxmlformats.org/officeDocument/2006/relationships/externalLink" Target="externalLinks/externalLink133.xml"/><Relationship Id="rId204" Type="http://schemas.openxmlformats.org/officeDocument/2006/relationships/externalLink" Target="externalLinks/externalLink147.xml"/><Relationship Id="rId225" Type="http://schemas.openxmlformats.org/officeDocument/2006/relationships/externalLink" Target="externalLinks/externalLink168.xml"/><Relationship Id="rId246" Type="http://schemas.openxmlformats.org/officeDocument/2006/relationships/externalLink" Target="externalLinks/externalLink189.xml"/><Relationship Id="rId106" Type="http://schemas.openxmlformats.org/officeDocument/2006/relationships/externalLink" Target="externalLinks/externalLink49.xml"/><Relationship Id="rId127" Type="http://schemas.openxmlformats.org/officeDocument/2006/relationships/externalLink" Target="externalLinks/externalLink70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externalLink" Target="externalLinks/externalLink16.xml"/><Relationship Id="rId94" Type="http://schemas.openxmlformats.org/officeDocument/2006/relationships/externalLink" Target="externalLinks/externalLink37.xml"/><Relationship Id="rId148" Type="http://schemas.openxmlformats.org/officeDocument/2006/relationships/externalLink" Target="externalLinks/externalLink91.xml"/><Relationship Id="rId169" Type="http://schemas.openxmlformats.org/officeDocument/2006/relationships/externalLink" Target="externalLinks/externalLink112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23.xml"/><Relationship Id="rId215" Type="http://schemas.openxmlformats.org/officeDocument/2006/relationships/externalLink" Target="externalLinks/externalLink158.xml"/><Relationship Id="rId236" Type="http://schemas.openxmlformats.org/officeDocument/2006/relationships/externalLink" Target="externalLinks/externalLink17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ajenggot\komputer%20aria\My%20Documents\Pemeriksaan\Kadera-ar\KKP-DN%20Jul-Ag'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HORI/TXA2003/PBA/Ch-TB-03(PBA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BOARDMTG\9899%20Bd%20Mtg\NZMPS\CF98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ATA\EXCEL\EXPTAX97\PTSFSI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_s_h_mto75\SharedDocs\FINANCE\DECKY\Report%202001-2002\fs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oltak\PT%20EXAMPLE-2001\Working%20Paper\K.%20Cash%20&amp;%20Cash%20Equivalen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ARI/YEARLY/2007/1771/PT%20ALTECH/Documents%20and%20Settings/auditor/My%20Documents/yi/Documents%20and%20Settings/Windows/My%20Documents/PT%20Yohzu%20Indonesia/J_Taxation/K.%20Cash%20&amp;%20Cash%20Equival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ATA%20I\Poltak\PT%20EXAMPLE-2001\Working%20Paper\K.%20Cash%20&amp;%20Cash%20Equivale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lenxp-cmp\My%20eBooks\Documents%20and%20Settings\user\My%20Documents\CLIENTS\YAMAKAWA\2005\Accounting\Dec_2005\Dec_2005_R5_Revisi%20STP%20PPh2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10042S3\100423f3\&#31649;&#29702;&#35506;\NISHIUTI\&#30456;&#27169;&#21407;\01&#24180;&#24230;&#36009;&#31038;&#12463;&#12524;&#12540;&#12512;&#21066;&#28187;&#35336;&#3001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ade/ade/DATA%20ADE/ade%20mgn/Project/PT%20Pahoa/2016/PT%20PAHOA_WBS_2016_Revisi_1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ocuments%20and%20Settings\Roro\My%20Documents\PAJAK\2008\Documents%20and%20Settings\Roro\Local%20Settings\Temporary%20Internet%20Files\Content.IE5\N902Y5VH\Documents%20and%20Settings\palti\Local%20Settings\Temporary%20Internet%20Files\Content.IE5\9N33D1KE\DATA%20OVERTIME%20?D5592CDD" TargetMode="External"/><Relationship Id="rId1" Type="http://schemas.openxmlformats.org/officeDocument/2006/relationships/externalLinkPath" Target="file:///\\D5592CDD\DATA%20OVERTIME%20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Copy%20of%20FARSWP-CA2003(2.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sa_Marga-mo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SILAS/SWP/Fixed%20Assets/Copy%20of%20FARSWP-CA2003(4.1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Documents%20and%20Settings/shaun.ong/Local%20Settings/Temporary%20Internet%20Files/OLK4/Finance%20wkgs/Mgt%20report%20format/2005-revised%20excelload/Trading-E%20(2005)map_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WINDOWS/Temporary%20Internet%20Files/OLK5175/CPK02-map%20(Chinese)%20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My%20Received%20Files\PSK%20&amp;%20PSL\DRAFT\PSK%20%20&amp;%20%20PSL\DRAFT%20PEMERIKSAAN\PSK%20%20&amp;%20%20PSL\NOTA%20HITUNG\My%20Documents\LOTUS\123R5W\WORK\Gratt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Cad\PT%20Numar-01\Cad\PT%20Numar-01\My%20Documents\Auditnewly\LANDIS\My%20Documents\PSK\PUNINAR\dep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Cad\PT%20Numar-01\Cad\PT%20Numar-01\Master%20KKP%20Global%2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My%20Documents\STOCKHAUSEN\KKP\Cad\PT%20Numar-01\Cad\PT%20Numar-01\My%20Documents\Auditnewly\LANDIS\My%20Documents\PSK\PUNINAR\dep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aajkap\Desktop\BTI\Working%20Paper\BTI%20AA%20Loa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aajkap\Desktop\BTI\Working%20Paper\BTI%20AA%20Loan%20-%20Cop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dianhan\My%20Documents\supporting%20documents%20gak%20usah%20diprint\GL%20Covert%20to%20ID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MSOFFICE/TOM/KANTOR/LAIN2X/NOTHI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Year%202009/Premier%20Group/P-70%2031.12.2009/Premier%20Pacific%2009/Thai%20Sarco/2007/Pre%20final/Fromk.Mark/Year%20end%20pack%2006_29Ja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Nanang\Tabel%20Gabunga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20150113%20CASH%20VALUE%20BPJS%20PER%2031%20DES%202014%20FIX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FRISILIA%20MGN/LAPTOP%20FRISILIA/KLIEN%202022/PT%20Itatsu%20Indonesia/1000%20Risk%20Assesment/Monetary%20Unit%20Sampling%202022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Cad\PT%20Numar-01\Cad\PT%20Numar-01\My%20Documents\Auditnewly\LANDIS\INVOICE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My%20Documents\exmeilani\1998\VAT\VAT1-98%20to%2012-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ajenggot\komputer%20aria\My%20Documents\PMA5\Pemeriksaan\Disk1\Dataku\Pemeriksaan\P%20S%20K\IndoSummit\Cad\PT%20Numar-01\Cad\PT%20Numar-01\My%20Documents\Auditnewly\LANDIS\My%20Documents\PSK\PUNINAR\dep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Cad\PT%20Numar-01\Cad\PT%20Numar-01\My%20Documents\Auditnewly\LANDIS\My%20Documents\PSK\PUNINAR\dep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Vinna/Vinna/Totoku/2007/TB/TB%20Totoku-06'07-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Fuji%20Seimitsu_Bank%20Cash%20121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4\TAHUN%202004\Agustus%20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FD\BanCashBefore\Sumitmas%20Yen%2007-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w\Atra%20Widaya%20agung\Audit-2003\Documents%20and%20Settings\Kadek%20Sumadi\Desktop\B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SS2005/TAX/Lianty/BHP/1999%20CITR/1999%20CIT%20calc%20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Audit7/D/DOCUME~1/dp/LOCALS~1/Temp/mis006/oh00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\PT%20Numar-01\Cad\PT%20Numar-01\Master%20KKP%20Global%2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u_s\Documents\My%20Documents\mah%20sing\KKPmahsi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pepeh/BAB1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BSU_2000_GTI_A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Audit4/c/Documents%20and%20Settings/manutsanun/Desktop/Master/Summary/RBL_Asset_110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gaji%20maret%202011/NSS2005/SHARED/Clients/M-P/Marsh/2001%20CITR/Marshalling%20Schedule-FIN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0522/aws/SHARED/TAX/Ditta/Hadiputranto%20Hadinoto/SPT%201771%201998/marshall%20spt%201771%201998%20ke%20satu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ocuments%20and%20Settings\Roro\My%20Documents\PAJAK\2008\Documents%20and%20Settings\Roro\Local%20Settings\Temporary%20Internet%20Files\Content.IE5\N902Y5VH\Documents%20and%20Settings\palti\Local%20Settings\Temporary%20Internet%20Files\Content.IE5\9N33D1KE\ABSENSI%20AS%20PER?D5592CDD" TargetMode="External"/><Relationship Id="rId1" Type="http://schemas.openxmlformats.org/officeDocument/2006/relationships/externalLinkPath" Target="file:///\\D5592CDD\ABSENSI%20AS%20PER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4630%20Imperia\IMPERIA-budget-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1\TNA\JANNY\WSMONT~1\HBWORKS\HBWORK~2\PEMBEL~1\SAMPLEP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SOCG0001/2000SPTamendment/Tax2000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NSS2005/SHARED/Clients/M-P/Marsh/2001%20CITR/Marshalling%20Schedule-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INSA/Titip/My%20Documents/2016/PAJAK%20PPH/PASAL%2004-23/SPT/PPH%202016-08-00%20PS%2004-23.xlsb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Documents%20and%20Settings/PAIMPA/My%20Documents/1_TRANS/PBC%20TRay/Trial%20Balance%20June%20200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Audit4/c/Documents%20and%20Settings/manutsanun/Local%20Settings/Temporary%20Internet%20Files/Content.IE5/4567KHAV/AA%20Master%20Data%20Conversion_STAG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-1\data_a1\Hi%20(Doraemon)\Ragam%20Coral%20Adiyasa\1999\BB-199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My%20Documents/06%20audit%20account/2001-2002/adi%20pt/01%20BS%20PT%20ADI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si\Fahmititip\My%20Documents\pepeh\BAB14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WHT%202007/PPH%20KONOIKE%20TRANSPORT%20INDONESIA/2007/Rekap%20Salary%20Jepang/My%20Documents/pepeh/BAB1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My%20Documents\Projects\Y2001\Panyu\Estimates\New%20Format\Bid%20Estimates!!!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Projects\TTM\Top%20files\TTM%20EXAMPL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WINDOWS/TEMP/notesE1EF34/WINDOWS/TEMP/notesE1EF34/SHARED/TAX/Marwan/DBS%20BUANA/DBS-SPT1771-1998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Cad\PT%20Numar-01\Cad\PT%20Numar-01\My%20Documents\Auditnewly\LANDIS\INVOICE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MA&#25312;&#28857;CIVIC%201.6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2\TAHUN%202004\Agustus%2020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y\072004\xy\2004\032004\xy\2004\022004\SALE_022004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GL%20NNA%202009-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My%20Documents\exmeilani\1998\VAT\VAT1-98%20to%2012-9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Vinna/Vinna/Totoku/2007/TB/TB%20Totoku-02'07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BUDGET/B0002_PD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firm@n/STEP/2009/Rekap%20Sales/PRICE%20SALDOM%20March%20200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Yanti/Data/2007-2008/2008/Namicoh/Report/Lap%20Keu%2007-08%20namicoh.xls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microsoft.com/office/2019/04/relationships/externalLinkLongPath" Target="file:///J:\BSEE\BSEE_2022\12.%20Desember%202022\FS\DOCUME~1\SUKRIS~1.SUK\LOCALS~1\Temp\Rar$DI02.172\WINDOWS\TEMP\My%20Music\kompak\grdf\LAPBUL%202002\Laporan%20Bulanan\WINDOWS\Desktop\Teknik\Laporan%20Bulanan\Laporan%20Teknik%20GBB\DES%20GBB.xls?AEFFD9C8" TargetMode="External"/><Relationship Id="rId1" Type="http://schemas.openxmlformats.org/officeDocument/2006/relationships/externalLinkPath" Target="file:///\\AEFFD9C8\DES%20GBB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ng\Report\TNA\JANNY\WSMONT~1\HBWORKS\HBWORK~2\PEMBEL~1\SAMPLEPO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s1\office2008\CASWARI_2008\KIMIA%20FARMA%20PSAK%202007\data%20pegawai-2007%20PTKF%20(EDIT)\VALID%20DATA%20INCOME%20KF-APOTEK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Cad\PT%20Numar-01\Cad\PT%20Numar-01\Master%20KKP%20Global%204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BIN\Program\HKEIKA\NMS010_99021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sales\2001-2002\PT%20Sales%20Day%20Book\PT%20Sales%20Day%20Book-PR'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pt%20fdin\Carriage%20I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jprodpc004\Yoe\Data%20Sjamsul\DATA\AGP7\Laporan\0407\Prog\Lap\April\design0205-BARU-11-04-05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ri%20I\client\AHI\windows\TEMP\worksheet%20Asno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ANNY\WSMONT~1\HBWORKS\HBWORK~2\PEMBEL~1\SAMPLEPO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T_108FromDP_notebook/2005/Year%20End%20Pack%2005_T_108%20Rev.1%20Jan25,0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no_3\c\ART\WORKSHEET\WS%2002-03%20COMBINE-tri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NSS2005/Daru/Personal/CLTACR97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y\072004\xy\2004\032004\xy\2004\022004\xy\2004\012004\xy\2003\122003\xy\2003\082003\2003\062003\Sale_060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SHARED/Clients/I-L/JW%20Thompson/1998/1998%20CITR/JWT%20Adforce-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Agulatex-one\Cad\PT%20Numar-01\Cad\PT%20Numar-01\My%20Documents\Auditnewly\LANDIS\My%20Documents\PSK\PUNINAR\depo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2008HRIS/2008TPEIMedClaim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arutup\MHP\Documents%20and%20Settings\Administrator\My%20Documents\ANALISA%20PENERIMAAN%20ERWIN\Penerimaan%202007\Penerimaan%20MPN%20Versi%207%20%202007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microsoft.com/office/2019/04/relationships/externalLinkLongPath" Target="/Program%20Files%20(x86)/Paperless%20Audit/Assignment/2009%20BIOFARMA,%2031%20DEC/Document/Finance/Report/Report%202/Fin.%20Report%20YEJ'05/TB_Y05/Finance/Report/Report%202/Fin.%20Report%20YEJ'04/TCM/TCM_Input_Template_PT%20Bima_04-04.xls?AD12B92A" TargetMode="External"/><Relationship Id="rId1" Type="http://schemas.openxmlformats.org/officeDocument/2006/relationships/externalLinkPath" Target="file:///\\AD12B92A\TCM_Input_Template_PT%20Bima_04-04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Audit%202007/&#3619;&#3640;&#3656;&#3591;&#3648;&#3619;&#3639;&#3629;&#3591;&#3630;&#3629;&#3609;&#3604;&#3657;&#3634;&#3605;&#3619;&#3633;&#3591;%2050/&#3619;&#3640;&#3656;&#3591;&#3648;&#3619;&#3639;&#3629;&#3591;&#3630;&#3629;&#3609;&#3604;&#3657;&#3634;&#3605;&#3619;&#3633;&#3591;49/RR_PACK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ATA\EXCEL\RESTRUCT\ASSETS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WINNT\Profiles\PGalvez\Temporary%20Internet%20Files\OLK5\Budget%20TTM%20Rev%204a%20Euro%20rat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DATA%20INGE/1DATA%20ACCOUNTING/1TAS%20PUNINAR/04APRIL2008%20SD%20MARCH%202009/0908SEP.TPEI/09KeuSep'08.TPEI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Firman%20(2%20Nov%2010)/shimada/2011/Rekap%20PPh/Shimada_Rekap%20PPh%20Masa%20Jan%201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Akt-yacob/c/LAPORAN%202003/TW%20III/Agustus/SBU%20I/Nrc-LR-0803-SBU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IPEM\epmi\est3178\LLDES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usic\unit%20ker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Agulatex-one\Cad\PT%20Numar-01\Cad\PT%20Numar-01\Master%20KKP%20Global%204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Agulatex-one\Cad\PT%20Numar-01\Cad\PT%20Numar-01\My%20Documents\Auditnewly\LANDIS\INVOICE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IPEM\epmi\est3178\VAALCO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7\Yoanna\Rekon\My%20Documents\LKTKP%20DES%2005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7\Yoanna\Rekon\WINDOWS\TEMP\LKTKP\Lktkp\LKTKP\LKTKP-12-2004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7\Yoanna\Rekon\WINDOWS\TEMP\LKTKP\Lktkp\LKTKP\Jerry\LKTKP\LKTKP-03-2005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microsoft.com/office/2019/04/relationships/externalLinkLongPath" Target="file:///J:\BSEE\BSEE_2022\12.%20Desember%202022\FS\DOCUME~1\SUKRIS~1.SUK\LOCALS~1\Temp\Rar$DI02.172\WINDOWS\TEMP\My%20Music\kompak\grdf\LAPBUL%202002\Laporan%20Bulanan\WINDOWS\Desktop\Teknik\Laporan%20Bulanan\Laporan%20Bengkel\Desember%202000.xls?CB30D931" TargetMode="External"/><Relationship Id="rId1" Type="http://schemas.openxmlformats.org/officeDocument/2006/relationships/externalLinkPath" Target="file:///\\CB30D931\Desember%202000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~1\SUKRIS~1.SUK\LOCALS~1\Temp\Rar$DI02.172\WINDOWS\TEMP\My%20Music\kompak\grdf\LAPBUL%202002\Laporan%20Bulanan\WINDOWS\Desktop\Teknik\Laporan%20Bulanan\Laporan%20Kc.%20Jepang\De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taxjac02/LOCALS~1/Temp/071107Payroll0711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ama/LOCALS~1/Temp/2008/WHT/TPEI/September/NB101080921Payroll0809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NSS2005/TAX/ROSA/1999/Alteco%20Chemical%20Ind/CITR/RAlteco98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FY0708TPEIDriverAttendance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Zulkarnaen/lajur/Permintaan/REPORT18050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GL%202007%20MOL%20ACI-DE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Program%20Files/MsgPopupEN/down/GL%202007%20MOL%20ACI-DE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veline_n/My%20Documents/Downloads/Buku%20BANK%20dan%20KAS%20PT%20SMP%20Jkt%202016%20(5)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BSEE\DELTA\DATA_2016\MARET\Buku%20BANK%20dan%20KAS%20PT%20BSEE%20Jkt%202016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purwanto_s\Purwanto's%20Documents\HSBC\HSBC\HSBC-EKS%20RIZA\KKP&amp;LAMPIRAN\Banking-Master-Kap-Kkp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ersonal/LOCALS~1/Temp/Rar$DI00.875/Audit/CLIENT/AT%20Group/Bosch%20Rexroth/Client's%20Data/P%20&amp;%20L%202001%20New%20format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My%20Documents\Projects\Panyu\Bid%20Estimates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Dyanna/ABC/FIN%20REPORT/2006/CPM-EKS%2012'04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ABHI0001/ACR%202002/INDTAX/BANK0001/ATR/ACR97/BPEDEC97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ENERGIZER/ACR%20ENI%2003/ACR%20'03%20Calculation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WINDOWS\TEMP\My%20Received%20Files\PSK%20&amp;%20PSL\DRAFT\PSK%20%20&amp;%20%20PSL\DRAFT%20PEMERIKSAAN\PSK%20%20&amp;%20%20PSL\NOTA%20HITUNG\My%20Documents\LOTUS\123R5W\WORK\Gratti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anto\Penerimaan\Documents%20and%20Settings\Maseka\My%20Documents\Data%20Eka\Waskon%202\Daftar%20AR%20Seluruh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HANANTA/5.%20NAKAYO%20AKIRA%20PRATAMA%20(NAP)/WP/1.%20Buku%20Besar%20PT%20NAP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arutup\MHP\Documents%20and%20Settings\060088185\My%20Documents\EVALUASI%20PENERIMAAN\LPP%20PER%20AR\Penerimaan%20MPN%20AR%204%20SUMIN%20OKE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Shimada%20Karya%20Indonesia/Radiator%20Hose/Format/Finance/Restitusi%202008,2009%20&amp;%202010/PROGRES/Biaya%20Departemen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ITATSU/YANTI/Data/Data%202005-2006/2005/Navalux/Novalux/Apr'05%20-%20Mar'06/Report/Data%20Accounting/Filtech/Apr'04-Mar'05/BANKCASH/BANCA0305.fi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Users\Seriwanty\AppData\Local\Microsoft\Windows\Temporary%20Internet%20Files\Content.Outlook\199SV00I\DOCUME~1\jac\LOCALS~1\Temp\Data%20(E)\ZelFiiNa%20JoB'S\YEARLY\1721%20(%20SPT%2021%20TAHUNAN)\2005\REKAP%20SALARY%20CLIENT\PT%20YG%20FIXED%20THN%202005\FILTECH%200404.xls?0ECC5FBF" TargetMode="External"/><Relationship Id="rId1" Type="http://schemas.openxmlformats.org/officeDocument/2006/relationships/externalLinkPath" Target="file:///\\0ECC5FBF\FILTECH%200404.xls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5141%20Cash%20on%20hand%20-%20Rupiah%20Combined%20Leadsheet?0A67E580" TargetMode="External"/><Relationship Id="rId1" Type="http://schemas.openxmlformats.org/officeDocument/2006/relationships/externalLinkPath" Target="file:///\\0A67E580\Worksheet%20in%205141%20Cash%20on%20hand%20-%20Rupiah%20Combined%20Leadsheet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&#65296;&#65294;Mo\&#26368;&#26032;&#36039;&#26009;\&#20013;&#22269;5,7,12&#29694;&#35519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My%20Documents\STOCKHAUSEN\KKP\Cad\PT%20Numar-01\Cad\PT%20Numar-01\My%20Documents\Auditnewly\LANDIS\My%20Documents\PSK\PUNINAR\depo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isqi_a/My%20Documents/Downloads/10%20BDMS%20Logistic%20Fuel%20Report%20OKTOBER%202011_Input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001%20BALI%20%20LOGISTIC%20REPORT_2011/001%20LOGISTIC%20FUEL%20REPORT%202011/003%20BDMS%20FUEL%20REPORT%202011/10%20BDMS%20Logistic%20Fuel%20Report%20OKTOBER%202011%20Site%20Malinau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ATA\EXCEL\CORPTAX\DEC97\TAXDEPN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Sales%20Record%20Monthly/GB%20Sales%20Day%20Book/GB%20Sales%20Day%20Book-PR'04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04.keu0410.WWI.revisi%202.xls,yang%20dipake%20buat%20auditor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TBG3\COST_C~2\UBTG-3~1\INKING~1\8424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-server\082008HRM\FY0809TPEILOCAttendance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071106AttendanceSystem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0522/aws/SHARED/Clients/C-D/Dong%20SUng/99CITR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udi%20Document\MstB1Dat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WIN95/TEMP/Marsall-EI-2001-Revision-email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0522/aws/Documents%20and%20Settings/Dono%20Pertolo/My%20Documents/DBS%20CITR%202002/DBS-CITR2001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3\KPI\RO%20Distribusi%20Feb03%20revisi.xls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microsoft.com/office/2019/04/relationships/externalLinkLongPath" Target="/JK001333/aws/WINDOWS/TEMP/notesE1EF34/WINDOWS/TEMP/notesE1EF34/WINDOWS/TEMP/notesE1EF34/Documents%20and%20Settings/gracoc/My%20Documents/clients/IIS%20and%20AARJ%20Dec%202003/Taxation%20IIS%20Riau%20+%20AARJ%20Group/Data-?87390C0E" TargetMode="External"/><Relationship Id="rId1" Type="http://schemas.openxmlformats.org/officeDocument/2006/relationships/externalLinkPath" Target="file:///\\87390C0E\Data-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OK-PPN\ARUT-1-99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TAX\Andi\ChaseBank\Annual98\23CITR98eForm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4\TAHUN%202004\April%202004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DK_BPJS%20KESEHATAN_31122015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Excel\FORECAST\TAX%20DEPN-99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NSS2005/INDTAX/Swed0001/Atr/1771/COR9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sanee\My%20Documents\OreRoomMixing\Mixing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ama/LOCALS~1/Temp/NSS2005/TAX/Lianty/BHP/1999%20CITR/1999%20CIT%20calc%20Final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General%20Service\2005\FORM\tahun%202001\Agus\PEMDA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honggowidjojo/Local%20Settings/Temporary%20Internet%20Files/OLK1/BSPLFA%2020021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JISHIR04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/Acc_rgms/acc-rgms-d/MY%20DOCUMENT/FILES/sunardi/1999/rgms1299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SHARED/TAX/CRIST/B_Soc/1998/CITR98/marshall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Dirjen%20Pajak/My%20Documents/BOWO/FORMULIR%20SPT/SPT/Karya%20Gue/spt%20lb/2001/fajar%20bahagia/kkp%2021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ama/LOCALS~1/Temp/NSS2005/SHARED/Clients/M-P/Marsh/2001%20CITR/Marshalling%20Schedule-FINAL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TEMP/hardware100445_B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FY0708TPEIAttendance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mprasetyo/PT%20Nagai%20Plastic%20Indonesia/TXA2000/TR-NAGAI%20-%202000%20Corporate%20Tax%20Return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boi\TTM%20Project%20New\General\Budget%20TTM%20Rev%208b%20JP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3\TAHUN%202004\Agustus%202004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mono\shareddocs\My%20Documents\2009\PAJAK%20PPH\PPH%2023\07%20BUKTI%20POTONG%20MASA%20AGUSTUS%2009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Sales%20Record%20Monthly/Sales%20Record%20Monthly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Sales/Sales%20Record%20Monthly/Sales%20Record%20Monthly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ATA\BUDGET\98\WORKINGS\SE\SE-FEB97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tri\shared%20Documen\Khairil\Bumiputera\Final\Lampiran\Lamp_LHP_RBS_BP_Fin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My%20Documents/04%20adc%20indonesia/packages/December%202001/unit%20return-0110%20adci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326218D2/PMSSversiLaojanan%20SR8.12%20prod%201-2jt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ing-2\VAT\PPN_MeiwaKogyoIndonesia%202008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WARB0001/Atr03/Client%20Data/A3-Dec_2003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ITATSU/SHIBAURA%202006/Audit%20WBS-WPL-SSI%202006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2.080229TAS%20JV/TPEI/Live/HRM/FY0809TPEILOCAttendance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WORK/JASCO%2019/New%20folder/Estimated%20Post%20Employment%20Liabilites%202019%20&amp;%202020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My%20Documents\verifikasi\Tahun%20Berjalan\Samudra%20Ferro%20Eng\2001_VAT_R01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anto\Penerimaan\Documents%20and%20Settings\Maseka\My%20Documents\Data%20Eka\Waskon%202\Daftar%20AR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Sales%20Record%20Monthly/PT%20Sales%20Day%20Book/PT%20Sales%20Day%20Book-PR'04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CIVIC%201.7&#65324;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220DBB41\Accounting\INDAH\ACCOUNTING\SHIPPING%20INSTRUCTION\Shipping%20Instructions%2014%20Desember%202017.xlsx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&#65296;&#65294;Mo\&#26368;&#26032;&#36039;&#26009;\&#65393;&#65381;&#22826;&#24030;&#35336;&#30011;MK&#65402;&#65405;&#65412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DIANA_~1/LOCALS~1/Temp/Rar$DI00.265/06-LK%20Jan-Juni%202007.xls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1.%20Juni%202024\WBS%20Konsolidasi\WBS%20Konsolidasi%20IAS-ISP%20GA%2023_29%20Mei%202024_.xlsx" TargetMode="External"/><Relationship Id="rId1" Type="http://schemas.openxmlformats.org/officeDocument/2006/relationships/externalLinkPath" Target="/Users/user/Downloads/RIA/KONSOLIDASI%20IAS-ISP/04-1.%20AFTER%20IPO/1.%20Juni%202024/WBS%20Konsolidasi/WBS%20Konsolidasi%20IAS-ISP%20GA%2023_29%20Mei%202024_.xlsx" TargetMode="External"/></Relationships>
</file>

<file path=xl/externalLinks/_rels/externalLink18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KAPMGN%201\Documents\Backup%20Lidya%202024\Backup%20Lidya%2004.07.23\Backup%20Lidya\DATA%20LIDYA\Data%20Klien%20kap%20mgn\Klien%202024\PT%20IAS%20Tbk%20dan%20Entitas%20Anak_Des%202024\5000%20Reporting\Draft%204\R.3%20WBS%20IAS%20Desember%202024_Audit.xlsx" TargetMode="External"/><Relationship Id="rId2" Type="http://schemas.microsoft.com/office/2019/04/relationships/externalLinkLongPath" Target="/Users/KAPMGN%201/Documents/Backup%20Lidya%202024/Backup%20Lidya%2004.07.23/Backup%20Lidya/DATA%20LIDYA/Data%20Klien%20kap%20mgn/Klien%202024/PT%20IAS%20Tbk%20dan%20Entitas%20Anak_Des%202024/5000%20Reporting/Draft%204/R.3%20WBS%20IAS%20Desember%202024_Audit.xlsx?E6ED3EF4" TargetMode="External"/><Relationship Id="rId1" Type="http://schemas.openxmlformats.org/officeDocument/2006/relationships/externalLinkPath" Target="file:///\\E6ED3EF4\R.3%20WBS%20IAS%20Desember%202024_Audit.xlsx" TargetMode="External"/></Relationships>
</file>

<file path=xl/externalLinks/_rels/externalLink19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KAPMGN%201\Documents\Backup%20Lidya%202024\Backup%20Lidya%2004.07.23\Backup%20Lidya\DATA%20LIDYA\Data%20Klien%20kap%20mgn\Klien%202024\PT%20IAS%20Tbk%20dan%20Entitas%20Anak_Des%202024\5000%20Reporting\Draft%2012\R.3%20WBS%20IAS%20Desember%202024_Audit.xlsx" TargetMode="External"/><Relationship Id="rId2" Type="http://schemas.microsoft.com/office/2019/04/relationships/externalLinkLongPath" Target="/Users/KAPMGN%201/Documents/Backup%20Lidya%202024/Backup%20Lidya%2004.07.23/Backup%20Lidya/DATA%20LIDYA/Data%20Klien%20kap%20mgn/Klien%202024/PT%20IAS%20Tbk%20dan%20Entitas%20Anak_Des%202024/5000%20Reporting/Draft%2012/R.3%20WBS%20IAS%20Desember%202024_Audit.xlsx?9178F8F7" TargetMode="External"/><Relationship Id="rId1" Type="http://schemas.openxmlformats.org/officeDocument/2006/relationships/externalLinkPath" Target="file:///\\9178F8F7\R.3%20WBS%20IAS%20Desember%202024_Audit.xlsx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WBS%20PT%20ISP%20KAP%20MGN_12.3.24_R3-SQS%20JUNI%2024.xlsx" TargetMode="External"/><Relationship Id="rId1" Type="http://schemas.openxmlformats.org/officeDocument/2006/relationships/externalLinkPath" Target="/Users/LENOVO/Downloads/WBS%20PT%20ISP%20KAP%20MGN_12.3.24_R3-SQS%20JUNI%2024.xlsx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WBS%20Konsolidasi\WBS%20Konsolidasi%20IAS-ISP%20GA%2023_2024.xlsx" TargetMode="External"/><Relationship Id="rId1" Type="http://schemas.openxmlformats.org/officeDocument/2006/relationships/externalLinkPath" Target="/Users/user/Downloads/RIA/KONSOLIDASI%20IAS-ISP/04-1.%20AFTER%20IPO/WBS%20Konsolidasi/WBS%20Konsolidasi%20IAS-ISP%20GA%2023_2024.xlsx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WBS%20Konsolidasi\WBS%20Konsolidasi%20IAS-ISP%20GA%2023_19%20Apr%202024-Update%20Pak%20Farid%20030524)%20-%20Copy.xlsx" TargetMode="External"/><Relationship Id="rId1" Type="http://schemas.openxmlformats.org/officeDocument/2006/relationships/externalLinkPath" Target="/Users/user/Downloads/RIA/KONSOLIDASI%20IAS-ISP/04-1.%20AFTER%20IPO/WBS%20Konsolidasi/WBS%20Konsolidasi%20IAS-ISP%20GA%2023_19%20Apr%202024-Update%20Pak%20Farid%20030524)%20-%20Copy.xlsx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1.%20COMFORT%20LETTER\3.%20MARET%2024\WBS%20Konsolidasi%20IAS-ISP%20GA%2023_19%20Apr%202024-Maret%2024%20Rev%201.xlsx" TargetMode="External"/><Relationship Id="rId1" Type="http://schemas.openxmlformats.org/officeDocument/2006/relationships/externalLinkPath" Target="/Users/user/Downloads/RIA/KONSOLIDASI%20IAS-ISP/01.%20COMFORT%20LETTER/3.%20MARET%2024/WBS%20Konsolidasi%20IAS-ISP%20GA%2023_19%20Apr%202024-Maret%2024%20Rev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A-4"/>
      <sheetName val="A-4.1"/>
      <sheetName val="A-4.1.1"/>
      <sheetName val="JUL"/>
      <sheetName val="Sheet1"/>
      <sheetName val="Sheet2"/>
      <sheetName val="Sheet3"/>
      <sheetName val="REV_1702"/>
      <sheetName val="A-4_1"/>
      <sheetName val="A-4_1_1"/>
      <sheetName val="Pembyrnperbulan"/>
      <sheetName val="A1-B ASSET"/>
      <sheetName val="TB_1 Desember 2012 audit"/>
      <sheetName val="P1-B"/>
      <sheetName val="O.1 Post-Employment Benefits"/>
      <sheetName val="A-4_11"/>
      <sheetName val="A-4_1_11"/>
      <sheetName val="TB"/>
      <sheetName val="SPI"/>
      <sheetName val="WBS2"/>
      <sheetName val="WBS1"/>
      <sheetName val="G2"/>
      <sheetName val="PDCC"/>
      <sheetName val="SPI GMBH"/>
      <sheetName val="UK"/>
      <sheetName val="SSI"/>
      <sheetName val="Syntegra"/>
      <sheetName val="A-4_17"/>
      <sheetName val="A-4_1_17"/>
      <sheetName val="A1-B_ASSET5"/>
      <sheetName val="TB_1_Desember_2012_audit5"/>
      <sheetName val="O_1_Post-Employment_Benefits5"/>
      <sheetName val="SPI_GMBH5"/>
      <sheetName val="A-4_12"/>
      <sheetName val="A-4_1_12"/>
      <sheetName val="A1-B_ASSET"/>
      <sheetName val="TB_1_Desember_2012_audit"/>
      <sheetName val="O_1_Post-Employment_Benefits"/>
      <sheetName val="SPI_GMBH"/>
      <sheetName val="A-4_14"/>
      <sheetName val="A-4_1_14"/>
      <sheetName val="A1-B_ASSET2"/>
      <sheetName val="TB_1_Desember_2012_audit2"/>
      <sheetName val="O_1_Post-Employment_Benefits2"/>
      <sheetName val="SPI_GMBH2"/>
      <sheetName val="A-4_13"/>
      <sheetName val="A-4_1_13"/>
      <sheetName val="A1-B_ASSET1"/>
      <sheetName val="TB_1_Desember_2012_audit1"/>
      <sheetName val="O_1_Post-Employment_Benefits1"/>
      <sheetName val="SPI_GMBH1"/>
      <sheetName val="A-4_15"/>
      <sheetName val="A-4_1_15"/>
      <sheetName val="A1-B_ASSET3"/>
      <sheetName val="TB_1_Desember_2012_audit3"/>
      <sheetName val="O_1_Post-Employment_Benefits3"/>
      <sheetName val="SPI_GMBH3"/>
      <sheetName val="A-4_16"/>
      <sheetName val="A-4_1_16"/>
      <sheetName val="A1-B_ASSET4"/>
      <sheetName val="TB_1_Desember_2012_audit4"/>
      <sheetName val="O_1_Post-Employment_Benefits4"/>
      <sheetName val="SPI_GMBH4"/>
      <sheetName val="A-4_110"/>
      <sheetName val="A-4_1_110"/>
      <sheetName val="A1-B_ASSET8"/>
      <sheetName val="TB_1_Desember_2012_audit8"/>
      <sheetName val="O_1_Post-Employment_Benefits8"/>
      <sheetName val="SPI_GMBH8"/>
      <sheetName val="A-4_18"/>
      <sheetName val="A-4_1_18"/>
      <sheetName val="A1-B_ASSET6"/>
      <sheetName val="TB_1_Desember_2012_audit6"/>
      <sheetName val="O_1_Post-Employment_Benefits6"/>
      <sheetName val="SPI_GMBH6"/>
      <sheetName val="A-4_19"/>
      <sheetName val="A-4_1_19"/>
      <sheetName val="A1-B_ASSET7"/>
      <sheetName val="TB_1_Desember_2012_audit7"/>
      <sheetName val="O_1_Post-Employment_Benefits7"/>
      <sheetName val="SPI_GMBH7"/>
      <sheetName val="A-4_113"/>
      <sheetName val="A-4_1_113"/>
      <sheetName val="A1-B_ASSET11"/>
      <sheetName val="TB_1_Desember_2012_audit11"/>
      <sheetName val="O_1_Post-Employment_Benefits11"/>
      <sheetName val="SPI_GMBH11"/>
      <sheetName val="A-4_112"/>
      <sheetName val="A-4_1_112"/>
      <sheetName val="A1-B_ASSET10"/>
      <sheetName val="TB_1_Desember_2012_audit10"/>
      <sheetName val="O_1_Post-Employment_Benefits10"/>
      <sheetName val="SPI_GMBH10"/>
      <sheetName val="A-4_111"/>
      <sheetName val="A-4_1_111"/>
      <sheetName val="A1-B_ASSET9"/>
      <sheetName val="TB_1_Desember_2012_audit9"/>
      <sheetName val="O_1_Post-Employment_Benefits9"/>
      <sheetName val="SPI_GMBH9"/>
      <sheetName val="1-551-00"/>
      <sheetName val="1-555-01 "/>
      <sheetName val="F2"/>
      <sheetName val="SAD KSO SS"/>
      <sheetName val="TB KSO SS"/>
      <sheetName val="TB SCK"/>
      <sheetName val="TB BMS"/>
      <sheetName val="NRC PCC CONS 2"/>
      <sheetName val="STK KONSOL"/>
      <sheetName val="TB KSO LV"/>
      <sheetName val="CMA Calculations- Figure 5440.1"/>
      <sheetName val="Customize Your Invoice"/>
      <sheetName val="Invoice"/>
      <sheetName val="A-4_114"/>
      <sheetName val="A-4_1_114"/>
      <sheetName val="A1-B_ASSET12"/>
      <sheetName val="TB_1_Desember_2012_audit12"/>
      <sheetName val="O_1_Post-Employment_Benefits12"/>
      <sheetName val="SPI_GMBH12"/>
      <sheetName val="F1771-2"/>
      <sheetName val="HARVEST02"/>
      <sheetName val="SUPPORT"/>
      <sheetName val="GL"/>
      <sheetName val="E.1 INVENTORY "/>
      <sheetName val="D.1 RECEIVABLES"/>
      <sheetName val="Note "/>
      <sheetName val="TB "/>
      <sheetName val="Rank"/>
      <sheetName val="POTO MAC"/>
      <sheetName val="model 2"/>
      <sheetName val="COGS"/>
      <sheetName val="A1( EXPOR)"/>
      <sheetName val="A2 ( LOKAL )"/>
      <sheetName val="A2 tidak di pungut"/>
      <sheetName val="B1 ( IMPOR )"/>
      <sheetName val="B2"/>
      <sheetName val="B3 ( TDK DPT DIKREDITKAN )"/>
      <sheetName val="Rekap AB"/>
      <sheetName val="Rekap e SPT PPN 1111"/>
      <sheetName val="Tax Resume"/>
      <sheetName val="spread-sheet"/>
      <sheetName val="spread_sheet"/>
      <sheetName val="Ref.3(8111200)"/>
      <sheetName val="Gmd3"/>
      <sheetName val="Account Code"/>
      <sheetName val="412src2"/>
      <sheetName val="A-4_115"/>
      <sheetName val="A-4_1_115"/>
      <sheetName val="A1-B_ASSET13"/>
      <sheetName val="TB_1_Desember_2012_audit13"/>
      <sheetName val="O_1_Post-Employment_Benefits13"/>
      <sheetName val="SPI_GMBH13"/>
      <sheetName val="1-555-01_"/>
      <sheetName val="SAD_KSO_SS"/>
      <sheetName val="TB_KSO_SS"/>
      <sheetName val="TB_SCK"/>
      <sheetName val="TB_BMS"/>
      <sheetName val="NRC_PCC_CONS_2"/>
      <sheetName val="STK_KONSOL"/>
      <sheetName val="TB_KSO_LV"/>
      <sheetName val="Customize_Your_Invoice"/>
      <sheetName val="CMA_Calculations-_Figure_5440_1"/>
      <sheetName val="E_1_INVENTORY_"/>
      <sheetName val="D_1_RECEIVABLES"/>
      <sheetName val="Note_"/>
      <sheetName val="TB_"/>
      <sheetName val="POTO_MAC"/>
      <sheetName val="A1(_EXPOR)"/>
      <sheetName val="A2_(_LOKAL_)"/>
      <sheetName val="A2_tidak_di_pungut"/>
      <sheetName val="B1_(_IMPOR_)"/>
      <sheetName val="B3_(_TDK_DPT_DIKREDITKAN_)"/>
      <sheetName val="Rekap_AB"/>
      <sheetName val="Rekap_e_SPT_PPN_1111"/>
      <sheetName val="Tax_Resume"/>
      <sheetName val="model_2"/>
      <sheetName val="GeneralInfo"/>
      <sheetName val="LOOKUP"/>
      <sheetName val="CIVIC_1_6L(7ｶ国MA輸出)ｺｽﾄ21"/>
      <sheetName val="CODE"/>
      <sheetName val="Attachement"/>
      <sheetName val="Recap"/>
      <sheetName val="Table"/>
      <sheetName val="Biaya_Departemen"/>
      <sheetName val="MK(7ｶ国+5,7,12万台)"/>
      <sheetName val="Table_Array"/>
      <sheetName val="Monthly_RecapLO2"/>
      <sheetName val="Monthly_Recap"/>
      <sheetName val="TaxDat"/>
      <sheetName val="Permanent_info2"/>
      <sheetName val="Permanent_info"/>
      <sheetName val="SELISIHKURSSOURCE"/>
      <sheetName val="DailyOvertime"/>
      <sheetName val="JobDesc"/>
      <sheetName val="Monthly_RecapLO"/>
      <sheetName val="CIVIC_1_7L(7ｶ国MA輸出)GKN同一63"/>
      <sheetName val="MK(W_L,D)ｺｽﾄ37"/>
      <sheetName val="Tax Summary"/>
      <sheetName val="A1(ekspor)"/>
      <sheetName val="A2(DN)"/>
      <sheetName val="B1(impor)"/>
      <sheetName val="B2(DN)"/>
      <sheetName val="B3(Tdk Dpt di Kreditkan)"/>
      <sheetName val="rekap"/>
      <sheetName val="SPT"/>
      <sheetName val="Master Data"/>
      <sheetName val="SUPPLIER"/>
      <sheetName val="Quantity"/>
      <sheetName val="Marshal"/>
      <sheetName val="SUM-IN"/>
      <sheetName val="Sheet8"/>
      <sheetName val="総勘定元帳(GL)"/>
      <sheetName val="Calc"/>
      <sheetName val="DES 02"/>
      <sheetName val="JAN"/>
      <sheetName val="FEB"/>
      <sheetName val="MAR"/>
      <sheetName val="APR"/>
      <sheetName val="MEI"/>
      <sheetName val="JUNI"/>
      <sheetName val="AGT"/>
      <sheetName val="SEPT"/>
      <sheetName val="OKT"/>
      <sheetName val="NOV"/>
      <sheetName val="DES"/>
      <sheetName val="TB98,oct99&amp;sap99-WPL"/>
      <sheetName val="ACT"/>
      <sheetName val="CRA-Detail"/>
      <sheetName val="K "/>
      <sheetName val="K.1.1 Land Right"/>
      <sheetName val="K.1.3 Building "/>
      <sheetName val="K.1.6 Vehicle"/>
      <sheetName val="K.1.1.1 Capex"/>
      <sheetName val="K.3 DEDUCT Dec"/>
      <sheetName val="EX RATE"/>
      <sheetName val="Master"/>
      <sheetName val="Original"/>
      <sheetName val="9"/>
      <sheetName val="AP Trade"/>
      <sheetName val="A.4.1"/>
      <sheetName val="A.4.2"/>
      <sheetName val="FIXED FLOAT"/>
      <sheetName val="Art 23"/>
      <sheetName val="disposal"/>
      <sheetName val="Exc. Rate"/>
      <sheetName val="tabel"/>
      <sheetName val="AJE"/>
      <sheetName val="Ex-Rate"/>
      <sheetName val="BS"/>
      <sheetName val="12-06-ins"/>
      <sheetName val="Profile"/>
      <sheetName val="PTSC0605"/>
      <sheetName val="HD-2003"/>
      <sheetName val="BSHO Report"/>
      <sheetName val="F.2 WIP CKP"/>
      <sheetName val="Check Sheet"/>
      <sheetName val="F.2.1 CKP"/>
      <sheetName val="G.1.1 CIK"/>
      <sheetName val="E.2.1 CIK"/>
      <sheetName val="Front"/>
      <sheetName val="PLHO Report"/>
      <sheetName val="PLHOENG"/>
      <sheetName val="4.1 Placement w.o.b"/>
      <sheetName val="A"/>
      <sheetName val="F-4"/>
      <sheetName val="FISIK RAB 2000"/>
      <sheetName val="Usage"/>
      <sheetName val="Adjusted"/>
      <sheetName val="Identitas"/>
      <sheetName val="G.3.2.1 Rekon PPN In Premix"/>
      <sheetName val="Artwork"/>
      <sheetName val="Tax_Summary"/>
      <sheetName val="B3(Tdk_Dpt_di_Kreditkan)"/>
      <sheetName val="Master_Data"/>
      <sheetName val="Results"/>
      <sheetName val="CP"/>
      <sheetName val="KKP-DN Jul-Ag'01"/>
      <sheetName val="CIVIC_1_6L(7??MA??)???21"/>
      <sheetName val="MK(7??+5,7,12??)"/>
      <sheetName val="CIVIC_1_7L(7??MA??)GKN??63"/>
      <sheetName val="MK(W_L,D)???37"/>
      <sheetName val="KATEGORI"/>
      <sheetName val="Code project"/>
      <sheetName val="Eligible-Data"/>
      <sheetName val="Total Earnings"/>
      <sheetName val="BS_Scale"/>
      <sheetName val="Adjustment"/>
      <sheetName val="Salary Ranges 2002"/>
      <sheetName val="SalRange2"/>
      <sheetName val="National Staff"/>
      <sheetName val="CIVIC_1_6L(7__MA__)___21"/>
      <sheetName val="MK(7__+5,7,12__)"/>
      <sheetName val="CIVIC_1_7L(7__MA__)GKN__63"/>
      <sheetName val="MK(W_L,D)___37"/>
      <sheetName val="Q-PC1"/>
      <sheetName val="Q-PC2"/>
      <sheetName val="Trend pembayaran"/>
      <sheetName val="A-4_116"/>
      <sheetName val="A-4_1_116"/>
      <sheetName val="A1-B_ASSET14"/>
      <sheetName val="TB_1_Desember_2012_audit14"/>
      <sheetName val="O_1_Post-Employment_Benefits14"/>
      <sheetName val="SPI_GMBH14"/>
      <sheetName val="1-555-01_1"/>
      <sheetName val="SAD_KSO_SS1"/>
      <sheetName val="TB_KSO_SS1"/>
      <sheetName val="TB_SCK1"/>
      <sheetName val="TB_BMS1"/>
      <sheetName val="NRC_PCC_CONS_21"/>
      <sheetName val="STK_KONSOL1"/>
      <sheetName val="TB_KSO_LV1"/>
      <sheetName val="CMA_Calculations-_Figure_5440_2"/>
      <sheetName val="Customize_Your_Invoice1"/>
      <sheetName val="E_1_INVENTORY_1"/>
      <sheetName val="D_1_RECEIVABLES1"/>
      <sheetName val="Note_1"/>
      <sheetName val="TB_1"/>
      <sheetName val="ITEM"/>
      <sheetName val="1106-M&amp;E"/>
      <sheetName val="1105-B&amp;I-OK"/>
      <sheetName val="Temp Emp"/>
      <sheetName val=".1a Movement-Interim"/>
      <sheetName val=".6 List Add FA"/>
      <sheetName val="TB 30.11.22"/>
      <sheetName val="TB AUD 31.12.2021"/>
      <sheetName val="POTO_MAC1"/>
      <sheetName val="A1(_EXPOR)1"/>
      <sheetName val="A2_(_LOKAL_)1"/>
      <sheetName val="A2_tidak_di_pungut1"/>
      <sheetName val="B1_(_IMPOR_)1"/>
      <sheetName val="B3_(_TDK_DPT_DIKREDITKAN_)1"/>
      <sheetName val="Rekap_AB1"/>
      <sheetName val="Rekap_e_SPT_PPN_11111"/>
      <sheetName val="Tax_Resume1"/>
      <sheetName val="model_21"/>
      <sheetName val="Account_Code"/>
      <sheetName val="Ref_3(8111200)"/>
      <sheetName val="A-4_117"/>
      <sheetName val="A-4_1_117"/>
      <sheetName val="A1-B_ASSET15"/>
      <sheetName val="TB_1_Desember_2012_audit15"/>
      <sheetName val="O_1_Post-Employment_Benefits15"/>
      <sheetName val="SPI_GMBH15"/>
      <sheetName val="1-555-01_2"/>
      <sheetName val="SAD_KSO_SS2"/>
      <sheetName val="TB_KSO_SS2"/>
      <sheetName val="TB_SCK2"/>
      <sheetName val="TB_BMS2"/>
      <sheetName val="NRC_PCC_CONS_22"/>
      <sheetName val="STK_KONSOL2"/>
      <sheetName val="TB_KSO_LV2"/>
      <sheetName val="CMA_Calculations-_Figure_5440_3"/>
      <sheetName val="Customize_Your_Invoice2"/>
      <sheetName val="E_1_INVENTORY_2"/>
      <sheetName val="D_1_RECEIVABLES2"/>
      <sheetName val="Note_2"/>
      <sheetName val="TB_2"/>
      <sheetName val="POTO_MAC2"/>
      <sheetName val="A1(_EXPOR)2"/>
      <sheetName val="A2_(_LOKAL_)2"/>
      <sheetName val="A2_tidak_di_pungut2"/>
      <sheetName val="B1_(_IMPOR_)2"/>
      <sheetName val="B3_(_TDK_DPT_DIKREDITKAN_)2"/>
      <sheetName val="Rekap_AB2"/>
      <sheetName val="Rekap_e_SPT_PPN_11112"/>
      <sheetName val="Tax_Resume2"/>
      <sheetName val="model_22"/>
      <sheetName val="Ref_3(8111200)1"/>
      <sheetName val="Account_Code1"/>
      <sheetName val="Tax_Summary1"/>
      <sheetName val="B3(Tdk_Dpt_di_Kreditkan)1"/>
      <sheetName val="Master_Data1"/>
      <sheetName val="A-4_118"/>
      <sheetName val="A-4_1_118"/>
      <sheetName val="A1-B_ASSET16"/>
      <sheetName val="TB_1_Desember_2012_audit16"/>
      <sheetName val="O_1_Post-Employment_Benefits16"/>
      <sheetName val="SPI_GMBH16"/>
      <sheetName val="1-555-01_3"/>
      <sheetName val="SAD_KSO_SS3"/>
      <sheetName val="TB_KSO_SS3"/>
      <sheetName val="TB_SCK3"/>
      <sheetName val="TB_BMS3"/>
      <sheetName val="NRC_PCC_CONS_23"/>
      <sheetName val="STK_KONSOL3"/>
      <sheetName val="TB_KSO_LV3"/>
      <sheetName val="CMA_Calculations-_Figure_5440_4"/>
      <sheetName val="Customize_Your_Invoice3"/>
      <sheetName val="E_1_INVENTORY_3"/>
      <sheetName val="D_1_RECEIVABLES3"/>
      <sheetName val="Note_3"/>
      <sheetName val="TB_3"/>
      <sheetName val="POTO_MAC3"/>
      <sheetName val="A1(_EXPOR)3"/>
      <sheetName val="A2_(_LOKAL_)3"/>
      <sheetName val="A2_tidak_di_pungut3"/>
      <sheetName val="B1_(_IMPOR_)3"/>
      <sheetName val="B3_(_TDK_DPT_DIKREDITKAN_)3"/>
      <sheetName val="Rekap_AB3"/>
      <sheetName val="Rekap_e_SPT_PPN_11113"/>
      <sheetName val="Tax_Resume3"/>
      <sheetName val="model_23"/>
      <sheetName val="Ref_3(8111200)2"/>
      <sheetName val="Account_Code2"/>
      <sheetName val="Tax_Summary2"/>
      <sheetName val="B3(Tdk_Dpt_di_Kreditkan)2"/>
      <sheetName val="Master_Data2"/>
      <sheetName val="A-4_119"/>
      <sheetName val="A-4_1_119"/>
      <sheetName val="A1-B_ASSET17"/>
      <sheetName val="TB_1_Desember_2012_audit17"/>
      <sheetName val="O_1_Post-Employment_Benefits17"/>
      <sheetName val="SPI_GMBH17"/>
      <sheetName val="1-555-01_4"/>
      <sheetName val="SAD_KSO_SS4"/>
      <sheetName val="TB_KSO_SS4"/>
      <sheetName val="TB_SCK4"/>
      <sheetName val="TB_BMS4"/>
      <sheetName val="NRC_PCC_CONS_24"/>
      <sheetName val="STK_KONSOL4"/>
      <sheetName val="TB_KSO_LV4"/>
      <sheetName val="CMA_Calculations-_Figure_5440_5"/>
      <sheetName val="Customize_Your_Invoice4"/>
      <sheetName val="E_1_INVENTORY_4"/>
      <sheetName val="D_1_RECEIVABLES4"/>
      <sheetName val="Note_4"/>
      <sheetName val="TB_4"/>
      <sheetName val="POTO_MAC4"/>
      <sheetName val="A1(_EXPOR)4"/>
      <sheetName val="A2_(_LOKAL_)4"/>
      <sheetName val="A2_tidak_di_pungut4"/>
      <sheetName val="B1_(_IMPOR_)4"/>
      <sheetName val="B3_(_TDK_DPT_DIKREDITKAN_)4"/>
      <sheetName val="Rekap_AB4"/>
      <sheetName val="Rekap_e_SPT_PPN_11114"/>
      <sheetName val="Tax_Resume4"/>
      <sheetName val="model_24"/>
      <sheetName val="Ref_3(8111200)3"/>
      <sheetName val="Account_Code3"/>
      <sheetName val="Tax_Summary3"/>
      <sheetName val="B3(Tdk_Dpt_di_Kreditkan)3"/>
      <sheetName val="Master_Data3"/>
      <sheetName val="A-4_123"/>
      <sheetName val="A-4_1_123"/>
      <sheetName val="A1-B_ASSET21"/>
      <sheetName val="TB_1_Desember_2012_audit21"/>
      <sheetName val="O_1_Post-Employment_Benefits21"/>
      <sheetName val="SPI_GMBH21"/>
      <sheetName val="1-555-01_8"/>
      <sheetName val="SAD_KSO_SS8"/>
      <sheetName val="TB_KSO_SS8"/>
      <sheetName val="TB_SCK8"/>
      <sheetName val="TB_BMS8"/>
      <sheetName val="NRC_PCC_CONS_28"/>
      <sheetName val="STK_KONSOL8"/>
      <sheetName val="TB_KSO_LV8"/>
      <sheetName val="CMA_Calculations-_Figure_5440_9"/>
      <sheetName val="Customize_Your_Invoice8"/>
      <sheetName val="E_1_INVENTORY_8"/>
      <sheetName val="D_1_RECEIVABLES8"/>
      <sheetName val="Note_8"/>
      <sheetName val="TB_8"/>
      <sheetName val="POTO_MAC8"/>
      <sheetName val="A1(_EXPOR)8"/>
      <sheetName val="A2_(_LOKAL_)8"/>
      <sheetName val="A2_tidak_di_pungut8"/>
      <sheetName val="B1_(_IMPOR_)8"/>
      <sheetName val="B3_(_TDK_DPT_DIKREDITKAN_)8"/>
      <sheetName val="Rekap_AB8"/>
      <sheetName val="Rekap_e_SPT_PPN_11118"/>
      <sheetName val="Tax_Resume8"/>
      <sheetName val="model_28"/>
      <sheetName val="Ref_3(8111200)7"/>
      <sheetName val="Account_Code7"/>
      <sheetName val="Tax_Summary7"/>
      <sheetName val="B3(Tdk_Dpt_di_Kreditkan)7"/>
      <sheetName val="Master_Data7"/>
      <sheetName val="A-4_120"/>
      <sheetName val="A-4_1_120"/>
      <sheetName val="A1-B_ASSET18"/>
      <sheetName val="TB_1_Desember_2012_audit18"/>
      <sheetName val="O_1_Post-Employment_Benefits18"/>
      <sheetName val="SPI_GMBH18"/>
      <sheetName val="1-555-01_5"/>
      <sheetName val="SAD_KSO_SS5"/>
      <sheetName val="TB_KSO_SS5"/>
      <sheetName val="TB_SCK5"/>
      <sheetName val="TB_BMS5"/>
      <sheetName val="NRC_PCC_CONS_25"/>
      <sheetName val="STK_KONSOL5"/>
      <sheetName val="TB_KSO_LV5"/>
      <sheetName val="CMA_Calculations-_Figure_5440_6"/>
      <sheetName val="Customize_Your_Invoice5"/>
      <sheetName val="E_1_INVENTORY_5"/>
      <sheetName val="D_1_RECEIVABLES5"/>
      <sheetName val="Note_5"/>
      <sheetName val="TB_5"/>
      <sheetName val="POTO_MAC5"/>
      <sheetName val="A1(_EXPOR)5"/>
      <sheetName val="A2_(_LOKAL_)5"/>
      <sheetName val="A2_tidak_di_pungut5"/>
      <sheetName val="B1_(_IMPOR_)5"/>
      <sheetName val="B3_(_TDK_DPT_DIKREDITKAN_)5"/>
      <sheetName val="Rekap_AB5"/>
      <sheetName val="Rekap_e_SPT_PPN_11115"/>
      <sheetName val="Tax_Resume5"/>
      <sheetName val="model_25"/>
      <sheetName val="Ref_3(8111200)4"/>
      <sheetName val="Account_Code4"/>
      <sheetName val="Tax_Summary4"/>
      <sheetName val="B3(Tdk_Dpt_di_Kreditkan)4"/>
      <sheetName val="Master_Data4"/>
      <sheetName val="A-4_121"/>
      <sheetName val="A-4_1_121"/>
      <sheetName val="A1-B_ASSET19"/>
      <sheetName val="TB_1_Desember_2012_audit19"/>
      <sheetName val="O_1_Post-Employment_Benefits19"/>
      <sheetName val="SPI_GMBH19"/>
      <sheetName val="1-555-01_6"/>
      <sheetName val="SAD_KSO_SS6"/>
      <sheetName val="TB_KSO_SS6"/>
      <sheetName val="TB_SCK6"/>
      <sheetName val="TB_BMS6"/>
      <sheetName val="NRC_PCC_CONS_26"/>
      <sheetName val="STK_KONSOL6"/>
      <sheetName val="TB_KSO_LV6"/>
      <sheetName val="CMA_Calculations-_Figure_5440_7"/>
      <sheetName val="Customize_Your_Invoice6"/>
      <sheetName val="E_1_INVENTORY_6"/>
      <sheetName val="D_1_RECEIVABLES6"/>
      <sheetName val="Note_6"/>
      <sheetName val="TB_6"/>
      <sheetName val="POTO_MAC6"/>
      <sheetName val="A1(_EXPOR)6"/>
      <sheetName val="A2_(_LOKAL_)6"/>
      <sheetName val="A2_tidak_di_pungut6"/>
      <sheetName val="B1_(_IMPOR_)6"/>
      <sheetName val="B3_(_TDK_DPT_DIKREDITKAN_)6"/>
      <sheetName val="Rekap_AB6"/>
      <sheetName val="Rekap_e_SPT_PPN_11116"/>
      <sheetName val="Tax_Resume6"/>
      <sheetName val="model_26"/>
      <sheetName val="Ref_3(8111200)5"/>
      <sheetName val="Account_Code5"/>
      <sheetName val="Tax_Summary5"/>
      <sheetName val="B3(Tdk_Dpt_di_Kreditkan)5"/>
      <sheetName val="Master_Data5"/>
      <sheetName val="A-4_122"/>
      <sheetName val="A-4_1_122"/>
      <sheetName val="A1-B_ASSET20"/>
      <sheetName val="TB_1_Desember_2012_audit20"/>
      <sheetName val="O_1_Post-Employment_Benefits20"/>
      <sheetName val="SPI_GMBH20"/>
      <sheetName val="1-555-01_7"/>
      <sheetName val="SAD_KSO_SS7"/>
      <sheetName val="TB_KSO_SS7"/>
      <sheetName val="TB_SCK7"/>
      <sheetName val="TB_BMS7"/>
      <sheetName val="NRC_PCC_CONS_27"/>
      <sheetName val="STK_KONSOL7"/>
      <sheetName val="TB_KSO_LV7"/>
      <sheetName val="CMA_Calculations-_Figure_5440_8"/>
      <sheetName val="Customize_Your_Invoice7"/>
      <sheetName val="E_1_INVENTORY_7"/>
      <sheetName val="D_1_RECEIVABLES7"/>
      <sheetName val="Note_7"/>
      <sheetName val="TB_7"/>
      <sheetName val="POTO_MAC7"/>
      <sheetName val="A1(_EXPOR)7"/>
      <sheetName val="A2_(_LOKAL_)7"/>
      <sheetName val="A2_tidak_di_pungut7"/>
      <sheetName val="B1_(_IMPOR_)7"/>
      <sheetName val="B3_(_TDK_DPT_DIKREDITKAN_)7"/>
      <sheetName val="Rekap_AB7"/>
      <sheetName val="Rekap_e_SPT_PPN_11117"/>
      <sheetName val="Tax_Resume7"/>
      <sheetName val="model_27"/>
      <sheetName val="Ref_3(8111200)6"/>
      <sheetName val="Account_Code6"/>
      <sheetName val="Tax_Summary6"/>
      <sheetName val="B3(Tdk_Dpt_di_Kreditkan)6"/>
      <sheetName val="Master_Data6"/>
      <sheetName val="A-4_124"/>
      <sheetName val="A-4_1_124"/>
      <sheetName val="A1-B_ASSET22"/>
      <sheetName val="TB_1_Desember_2012_audit22"/>
      <sheetName val="O_1_Post-Employment_Benefits22"/>
      <sheetName val="SPI_GMBH22"/>
      <sheetName val="1-555-01_9"/>
      <sheetName val="SAD_KSO_SS9"/>
      <sheetName val="TB_KSO_SS9"/>
      <sheetName val="TB_SCK9"/>
      <sheetName val="TB_BMS9"/>
      <sheetName val="NRC_PCC_CONS_29"/>
      <sheetName val="STK_KONSOL9"/>
      <sheetName val="TB_KSO_LV9"/>
      <sheetName val="CMA_Calculations-_Figure_544010"/>
      <sheetName val="Customize_Your_Invoice9"/>
      <sheetName val="E_1_INVENTORY_9"/>
      <sheetName val="D_1_RECEIVABLES9"/>
      <sheetName val="Note_9"/>
      <sheetName val="TB_9"/>
      <sheetName val="POTO_MAC9"/>
      <sheetName val="A1(_EXPOR)9"/>
      <sheetName val="A2_(_LOKAL_)9"/>
      <sheetName val="A2_tidak_di_pungut9"/>
      <sheetName val="B1_(_IMPOR_)9"/>
      <sheetName val="B3_(_TDK_DPT_DIKREDITKAN_)9"/>
      <sheetName val="Rekap_AB9"/>
      <sheetName val="Rekap_e_SPT_PPN_11119"/>
      <sheetName val="Tax_Resume9"/>
      <sheetName val="model_29"/>
      <sheetName val="Ref_3(8111200)8"/>
      <sheetName val="Account_Code8"/>
      <sheetName val="Tax_Summary8"/>
      <sheetName val="B3(Tdk_Dpt_di_Kreditkan)8"/>
      <sheetName val="Master_Data8"/>
      <sheetName val="A-4_125"/>
      <sheetName val="A-4_1_125"/>
      <sheetName val="A1-B_ASSET23"/>
      <sheetName val="TB_1_Desember_2012_audit23"/>
      <sheetName val="O_1_Post-Employment_Benefits23"/>
      <sheetName val="SPI_GMBH23"/>
      <sheetName val="1-555-01_10"/>
      <sheetName val="SAD_KSO_SS10"/>
      <sheetName val="TB_KSO_SS10"/>
      <sheetName val="TB_SCK10"/>
      <sheetName val="TB_BMS10"/>
      <sheetName val="NRC_PCC_CONS_210"/>
      <sheetName val="STK_KONSOL10"/>
      <sheetName val="TB_KSO_LV10"/>
      <sheetName val="CMA_Calculations-_Figure_544011"/>
      <sheetName val="Customize_Your_Invoice10"/>
      <sheetName val="E_1_INVENTORY_10"/>
      <sheetName val="D_1_RECEIVABLES10"/>
      <sheetName val="Note_10"/>
      <sheetName val="TB_10"/>
      <sheetName val="POTO_MAC10"/>
      <sheetName val="A1(_EXPOR)10"/>
      <sheetName val="A2_(_LOKAL_)10"/>
      <sheetName val="A2_tidak_di_pungut10"/>
      <sheetName val="B1_(_IMPOR_)10"/>
      <sheetName val="B3_(_TDK_DPT_DIKREDITKAN_)10"/>
      <sheetName val="Rekap_AB10"/>
      <sheetName val="Rekap_e_SPT_PPN_111110"/>
      <sheetName val="Tax_Resume10"/>
      <sheetName val="model_210"/>
      <sheetName val="Ref_3(8111200)9"/>
      <sheetName val="Account_Code9"/>
      <sheetName val="Tax_Summary9"/>
      <sheetName val="B3(Tdk_Dpt_di_Kreditkan)9"/>
      <sheetName val="Master_Data9"/>
      <sheetName val="Posting Adjustment"/>
      <sheetName val="B7"/>
      <sheetName val="CMTOOL"/>
      <sheetName val="Dropdown list"/>
      <sheetName val="FRYPROD"/>
      <sheetName val="GLdownload"/>
      <sheetName val="Parameters"/>
      <sheetName val="CF WORKSHEET"/>
      <sheetName val="ADD-DISP-OTHER"/>
      <sheetName val="CF_WORKSHEET"/>
      <sheetName val="I_4_1 _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IC"/>
      <sheetName val="GENERAL"/>
      <sheetName val="COMMISION"/>
      <sheetName val="TTL.COMM"/>
      <sheetName val="BANK BOOK"/>
      <sheetName val="EXPENSES"/>
      <sheetName val="T.B"/>
      <sheetName val="BS"/>
      <sheetName val="new PL"/>
      <sheetName val="PL"/>
      <sheetName val="PLASTIC PL"/>
      <sheetName val="Sheet1"/>
      <sheetName val="DIVISIONAL"/>
      <sheetName val="DIVISIONAL NEW"/>
      <sheetName val="DIV"/>
      <sheetName val="DIVCUM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WORKSHEET"/>
      <sheetName val="CF_WORKSHEET"/>
      <sheetName val="spread-sheet"/>
      <sheetName val="spread_sheet"/>
      <sheetName val="CF_WORKSHEET1"/>
      <sheetName val="Input"/>
      <sheetName val="CF_WORKSHEET7"/>
      <sheetName val="CF_WORKSHEET2"/>
      <sheetName val="CF_WORKSHEET4"/>
      <sheetName val="CF_WORKSHEET3"/>
      <sheetName val="CF_WORKSHEET5"/>
      <sheetName val="CF_WORKSHEET6"/>
      <sheetName val="CF_WORKSHEET10"/>
      <sheetName val="CF_WORKSHEET8"/>
      <sheetName val="CF_WORKSHEET9"/>
      <sheetName val="CF_WORKSHEET13"/>
      <sheetName val="CF_WORKSHEET12"/>
      <sheetName val="CF_WORKSHEET11"/>
      <sheetName val="CF_WORKSHEET14"/>
      <sheetName val="LAPORAN"/>
      <sheetName val="CF_WORKSHEET15"/>
      <sheetName val="JUL"/>
      <sheetName val="ID01"/>
      <sheetName val="daftar"/>
      <sheetName val="ban-ling"/>
      <sheetName val="cf9900"/>
      <sheetName val="Sheet2"/>
      <sheetName val="PEN 2007-2004"/>
      <sheetName val="CF_WORKSHEET16"/>
      <sheetName val="CF_WORKSHEET17"/>
      <sheetName val="CF_WORKSHEET18"/>
      <sheetName val="CF_WORKSHEET19"/>
      <sheetName val="CF_WORKSHEET23"/>
      <sheetName val="CF_WORKSHEET20"/>
      <sheetName val="CF_WORKSHEET21"/>
      <sheetName val="CF_WORKSHEET22"/>
      <sheetName val="CF_WORKSHEET24"/>
      <sheetName val="CF_WORKSHEET2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ITH"/>
      <sheetName val="NO. OF DAYS"/>
      <sheetName val="CALCULATION"/>
      <sheetName val="WORK PERMIT"/>
      <sheetName val="FORM1721"/>
      <sheetName val="PAYMENT SCHED"/>
      <sheetName val="PAYMENT"/>
      <sheetName val="PAYMENT-SORT BY EMPL"/>
      <sheetName val="POOR TAX"/>
      <sheetName val="POOR TAX-COMBINED"/>
      <sheetName val="FORM1721-A1"/>
      <sheetName val="DURHAM"/>
      <sheetName val="ROMERO"/>
      <sheetName val="SAVER"/>
      <sheetName val="VLACK"/>
      <sheetName val="BEGG"/>
      <sheetName val="UNDERDOWN"/>
      <sheetName val="WILLIAMSON"/>
      <sheetName val="LORD"/>
      <sheetName val="CLIFFORD"/>
      <sheetName val="PROTHRO"/>
      <sheetName val="EGHAGHE"/>
      <sheetName val="PATILLO"/>
      <sheetName val="LEWIS"/>
      <sheetName val="FUTORANSKY"/>
      <sheetName val="MACCALLUM"/>
      <sheetName val="DUTTON"/>
      <sheetName val="IRBY"/>
      <sheetName val="STOCKSTILL"/>
      <sheetName val="DAWSON"/>
      <sheetName val="HALL"/>
      <sheetName val="WALKER"/>
      <sheetName val="GRIEVE"/>
      <sheetName val="REILLY"/>
      <sheetName val="BROWN SJ"/>
      <sheetName val="ARCHER"/>
      <sheetName val="BUCKNER"/>
      <sheetName val="MOORE"/>
      <sheetName val="SHEPARD"/>
      <sheetName val="RANDELL"/>
      <sheetName val="DAY"/>
      <sheetName val="CHAMBERS"/>
      <sheetName val="COUGHLAN"/>
      <sheetName val="GANGELHOFF"/>
      <sheetName val="GILSENAN"/>
      <sheetName val="HOGAN"/>
      <sheetName val="KRESSIN"/>
      <sheetName val="MORAN"/>
      <sheetName val="WALKERM"/>
      <sheetName val="ZINN"/>
      <sheetName val="GANGEõ­a_x0000_"/>
      <sheetName val="CF WORKSHEET"/>
      <sheetName val="NO__OF_DAYS"/>
      <sheetName val="WORK_PERMIT"/>
      <sheetName val="PAYMENT_SCHED"/>
      <sheetName val="PAYMENT-SORT_BY_EMPL"/>
      <sheetName val="POOR_TAX"/>
      <sheetName val="POOR_TAX-COMBINED"/>
      <sheetName val="BROWN_SJ"/>
      <sheetName val="NO__OF_DAYS1"/>
      <sheetName val="WORK_PERMIT1"/>
      <sheetName val="PAYMENT_SCHED1"/>
      <sheetName val="PAYMENT-SORT_BY_EMPL1"/>
      <sheetName val="POOR_TAX1"/>
      <sheetName val="POOR_TAX-COMBINED1"/>
      <sheetName val="BROWN_SJ1"/>
      <sheetName val="CF_WORKSHEET"/>
      <sheetName val="GANGEõ­a_x005f_x0000_"/>
      <sheetName val="GANGEõ­a?"/>
      <sheetName val="GANGEõ­a_x005f_x005f_x005f_x0000_"/>
      <sheetName val="GANGEõ­a_x005f_x005f_x005f_x005f_x005f_x005f_x00"/>
      <sheetName val="GANGEõ­a_"/>
      <sheetName val="NO__OF_DAYS7"/>
      <sheetName val="WORK_PERMIT7"/>
      <sheetName val="PAYMENT_SCHED7"/>
      <sheetName val="PAYMENT-SORT_BY_EMPL7"/>
      <sheetName val="POOR_TAX7"/>
      <sheetName val="POOR_TAX-COMBINED7"/>
      <sheetName val="BROWN_SJ7"/>
      <sheetName val="CF_WORKSHEET6"/>
      <sheetName val="NO__OF_DAYS2"/>
      <sheetName val="WORK_PERMIT2"/>
      <sheetName val="PAYMENT_SCHED2"/>
      <sheetName val="PAYMENT-SORT_BY_EMPL2"/>
      <sheetName val="POOR_TAX2"/>
      <sheetName val="POOR_TAX-COMBINED2"/>
      <sheetName val="BROWN_SJ2"/>
      <sheetName val="CF_WORKSHEET1"/>
      <sheetName val="NO__OF_DAYS4"/>
      <sheetName val="WORK_PERMIT4"/>
      <sheetName val="PAYMENT_SCHED4"/>
      <sheetName val="PAYMENT-SORT_BY_EMPL4"/>
      <sheetName val="POOR_TAX4"/>
      <sheetName val="POOR_TAX-COMBINED4"/>
      <sheetName val="BROWN_SJ4"/>
      <sheetName val="CF_WORKSHEET3"/>
      <sheetName val="NO__OF_DAYS3"/>
      <sheetName val="WORK_PERMIT3"/>
      <sheetName val="PAYMENT_SCHED3"/>
      <sheetName val="PAYMENT-SORT_BY_EMPL3"/>
      <sheetName val="POOR_TAX3"/>
      <sheetName val="POOR_TAX-COMBINED3"/>
      <sheetName val="BROWN_SJ3"/>
      <sheetName val="CF_WORKSHEET2"/>
      <sheetName val="NO__OF_DAYS5"/>
      <sheetName val="WORK_PERMIT5"/>
      <sheetName val="PAYMENT_SCHED5"/>
      <sheetName val="PAYMENT-SORT_BY_EMPL5"/>
      <sheetName val="POOR_TAX5"/>
      <sheetName val="POOR_TAX-COMBINED5"/>
      <sheetName val="BROWN_SJ5"/>
      <sheetName val="CF_WORKSHEET4"/>
      <sheetName val="NO__OF_DAYS6"/>
      <sheetName val="WORK_PERMIT6"/>
      <sheetName val="PAYMENT_SCHED6"/>
      <sheetName val="PAYMENT-SORT_BY_EMPL6"/>
      <sheetName val="POOR_TAX6"/>
      <sheetName val="POOR_TAX-COMBINED6"/>
      <sheetName val="BROWN_SJ6"/>
      <sheetName val="CF_WORKSHEET5"/>
      <sheetName val="NO__OF_DAYS10"/>
      <sheetName val="WORK_PERMIT10"/>
      <sheetName val="PAYMENT_SCHED10"/>
      <sheetName val="PAYMENT-SORT_BY_EMPL10"/>
      <sheetName val="POOR_TAX10"/>
      <sheetName val="POOR_TAX-COMBINED10"/>
      <sheetName val="BROWN_SJ10"/>
      <sheetName val="CF_WORKSHEET9"/>
      <sheetName val="NO__OF_DAYS8"/>
      <sheetName val="WORK_PERMIT8"/>
      <sheetName val="PAYMENT_SCHED8"/>
      <sheetName val="PAYMENT-SORT_BY_EMPL8"/>
      <sheetName val="POOR_TAX8"/>
      <sheetName val="POOR_TAX-COMBINED8"/>
      <sheetName val="BROWN_SJ8"/>
      <sheetName val="CF_WORKSHEET7"/>
      <sheetName val="NO__OF_DAYS9"/>
      <sheetName val="WORK_PERMIT9"/>
      <sheetName val="PAYMENT_SCHED9"/>
      <sheetName val="PAYMENT-SORT_BY_EMPL9"/>
      <sheetName val="POOR_TAX9"/>
      <sheetName val="POOR_TAX-COMBINED9"/>
      <sheetName val="BROWN_SJ9"/>
      <sheetName val="CF_WORKSHEET8"/>
      <sheetName val="NO__OF_DAYS13"/>
      <sheetName val="WORK_PERMIT13"/>
      <sheetName val="PAYMENT_SCHED13"/>
      <sheetName val="PAYMENT-SORT_BY_EMPL13"/>
      <sheetName val="POOR_TAX13"/>
      <sheetName val="POOR_TAX-COMBINED13"/>
      <sheetName val="BROWN_SJ13"/>
      <sheetName val="CF_WORKSHEET12"/>
      <sheetName val="NO__OF_DAYS12"/>
      <sheetName val="WORK_PERMIT12"/>
      <sheetName val="PAYMENT_SCHED12"/>
      <sheetName val="PAYMENT-SORT_BY_EMPL12"/>
      <sheetName val="POOR_TAX12"/>
      <sheetName val="POOR_TAX-COMBINED12"/>
      <sheetName val="BROWN_SJ12"/>
      <sheetName val="CF_WORKSHEET11"/>
      <sheetName val="NO__OF_DAYS11"/>
      <sheetName val="WORK_PERMIT11"/>
      <sheetName val="PAYMENT_SCHED11"/>
      <sheetName val="PAYMENT-SORT_BY_EMPL11"/>
      <sheetName val="POOR_TAX11"/>
      <sheetName val="POOR_TAX-COMBINED11"/>
      <sheetName val="BROWN_SJ11"/>
      <sheetName val="CF_WORKSHEET10"/>
      <sheetName val="NO__OF_DAYS14"/>
      <sheetName val="WORK_PERMIT14"/>
      <sheetName val="PAYMENT_SCHED14"/>
      <sheetName val="PAYMENT-SORT_BY_EMPL14"/>
      <sheetName val="POOR_TAX14"/>
      <sheetName val="POOR_TAX-COMBINED14"/>
      <sheetName val="BROWN_SJ14"/>
      <sheetName val="CF_WORKSHEET13"/>
      <sheetName val="OLDMAP"/>
      <sheetName val="GANGEõ­a_x005f_x005f_x00"/>
      <sheetName val="GANGEõ­a_x00"/>
      <sheetName val="NO__OF_DAYS15"/>
      <sheetName val="WORK_PERMIT15"/>
      <sheetName val="PAYMENT_SCHED15"/>
      <sheetName val="PAYMENT-SORT_BY_EMPL15"/>
      <sheetName val="POOR_TAX15"/>
      <sheetName val="POOR_TAX-COMBINED15"/>
      <sheetName val="BROWN_SJ15"/>
      <sheetName val="CF_WORKSHEET14"/>
      <sheetName val="GANGE___a_x005f_x005f_x005f_x005f_x005f_x005f_x_2"/>
      <sheetName val="GANGE___a_x005f_x005f_x005f_x005f_x005f_x005f_x_3"/>
      <sheetName val="GANGEõ­a"/>
      <sheetName val="GANGE___a_x005f_x005f_x005f_x005f_x005f_x005f_x_4"/>
      <sheetName val="GANGE___a_x005f_x005f_x005f_x005f_x005f_x005f_x_5"/>
      <sheetName val="GANGE___a_x005f_x005f_x005f_x005f_x005f_x005f_x_6"/>
      <sheetName val="GANGE___a_x005f_x005f_x005f_x005f_x005f_x005f_x_7"/>
      <sheetName val="GANGEõ­a_x005f_x005f_x005f_x005f_x00"/>
      <sheetName val="GANGE___a_x005f_x005f_x005f_x005f_x005f_x005f_x00"/>
      <sheetName val="GANGE___a_x005f_x005f_x_2"/>
      <sheetName val="GANGE___a_x005f_x005f_x_3"/>
      <sheetName val="GANGE___a_x005f_x005f_x_4"/>
      <sheetName val="NO__OF_DAYS16"/>
      <sheetName val="WORK_PERMIT16"/>
      <sheetName val="PAYMENT_SCHED16"/>
      <sheetName val="PAYMENT-SORT_BY_EMPL16"/>
      <sheetName val="POOR_TAX16"/>
      <sheetName val="POOR_TAX-COMBINED16"/>
      <sheetName val="BROWN_SJ16"/>
      <sheetName val="CF_WORKSHEET15"/>
      <sheetName val="NO__OF_DAYS17"/>
      <sheetName val="WORK_PERMIT17"/>
      <sheetName val="PAYMENT_SCHED17"/>
      <sheetName val="PAYMENT-SORT_BY_EMPL17"/>
      <sheetName val="POOR_TAX17"/>
      <sheetName val="POOR_TAX-COMBINED17"/>
      <sheetName val="BROWN_SJ17"/>
      <sheetName val="CF_WORKSHEET16"/>
      <sheetName val="NO__OF_DAYS18"/>
      <sheetName val="WORK_PERMIT18"/>
      <sheetName val="PAYMENT_SCHED18"/>
      <sheetName val="PAYMENT-SORT_BY_EMPL18"/>
      <sheetName val="POOR_TAX18"/>
      <sheetName val="POOR_TAX-COMBINED18"/>
      <sheetName val="BROWN_SJ18"/>
      <sheetName val="CF_WORKSHEET17"/>
      <sheetName val="NO__OF_DAYS19"/>
      <sheetName val="WORK_PERMIT19"/>
      <sheetName val="PAYMENT_SCHED19"/>
      <sheetName val="PAYMENT-SORT_BY_EMPL19"/>
      <sheetName val="POOR_TAX19"/>
      <sheetName val="POOR_TAX-COMBINED19"/>
      <sheetName val="BROWN_SJ19"/>
      <sheetName val="CF_WORKSHEET18"/>
      <sheetName val="NO__OF_DAYS23"/>
      <sheetName val="WORK_PERMIT23"/>
      <sheetName val="PAYMENT_SCHED23"/>
      <sheetName val="PAYMENT-SORT_BY_EMPL23"/>
      <sheetName val="POOR_TAX23"/>
      <sheetName val="POOR_TAX-COMBINED23"/>
      <sheetName val="BROWN_SJ23"/>
      <sheetName val="CF_WORKSHEET22"/>
      <sheetName val="NO__OF_DAYS20"/>
      <sheetName val="WORK_PERMIT20"/>
      <sheetName val="PAYMENT_SCHED20"/>
      <sheetName val="PAYMENT-SORT_BY_EMPL20"/>
      <sheetName val="POOR_TAX20"/>
      <sheetName val="POOR_TAX-COMBINED20"/>
      <sheetName val="BROWN_SJ20"/>
      <sheetName val="CF_WORKSHEET19"/>
      <sheetName val="NO__OF_DAYS21"/>
      <sheetName val="WORK_PERMIT21"/>
      <sheetName val="PAYMENT_SCHED21"/>
      <sheetName val="PAYMENT-SORT_BY_EMPL21"/>
      <sheetName val="POOR_TAX21"/>
      <sheetName val="POOR_TAX-COMBINED21"/>
      <sheetName val="BROWN_SJ21"/>
      <sheetName val="CF_WORKSHEET20"/>
      <sheetName val="NO__OF_DAYS22"/>
      <sheetName val="WORK_PERMIT22"/>
      <sheetName val="PAYMENT_SCHED22"/>
      <sheetName val="PAYMENT-SORT_BY_EMPL22"/>
      <sheetName val="POOR_TAX22"/>
      <sheetName val="POOR_TAX-COMBINED22"/>
      <sheetName val="BROWN_SJ22"/>
      <sheetName val="CF_WORKSHEET21"/>
      <sheetName val="NO__OF_DAYS24"/>
      <sheetName val="WORK_PERMIT24"/>
      <sheetName val="PAYMENT_SCHED24"/>
      <sheetName val="PAYMENT-SORT_BY_EMPL24"/>
      <sheetName val="POOR_TAX24"/>
      <sheetName val="POOR_TAX-COMBINED24"/>
      <sheetName val="BROWN_SJ24"/>
      <sheetName val="CF_WORKSHEET23"/>
      <sheetName val="NO__OF_DAYS25"/>
      <sheetName val="WORK_PERMIT25"/>
      <sheetName val="PAYMENT_SCHED25"/>
      <sheetName val="PAYMENT-SORT_BY_EMPL25"/>
      <sheetName val="POOR_TAX25"/>
      <sheetName val="POOR_TAX-COMBINED25"/>
      <sheetName val="BROWN_SJ25"/>
      <sheetName val="CF_WORKSHEET24"/>
      <sheetName val="GANGE___a_x005f_x005f_x005f_x005f_x005f_x005f_x_8"/>
      <sheetName val="GANGE___a_x005f_x005f_x005f_x005f_x005f_x005f_x_9"/>
      <sheetName val="ACT COAL"/>
      <sheetName val="ACT OB"/>
      <sheetName val="HAUL C1,C2,C3"/>
      <sheetName val="ban-ling"/>
      <sheetName val="cf9900"/>
      <sheetName val="Upload Roadmap100117"/>
      <sheetName val="Ex_Rate"/>
      <sheetName val="GANGE___a_x005f_x005f_x_5"/>
      <sheetName val="GANGE___a_x005f_x005f_x_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y chain"/>
      <sheetName val="ROTGA(101)"/>
      <sheetName val="ban-ling"/>
      <sheetName val="bs99"/>
      <sheetName val="cf9900"/>
      <sheetName val="cashflow"/>
      <sheetName val="SMITH"/>
      <sheetName val="supply_chain"/>
      <sheetName val="supply_chain1"/>
      <sheetName val="CF WORKSHEET"/>
      <sheetName val="FRYPROD"/>
      <sheetName val="supply_chain2"/>
      <sheetName val="CF_WORKSHEET"/>
      <sheetName val="supply_chain7"/>
      <sheetName val="CF_WORKSHEET5"/>
      <sheetName val="supply_chain4"/>
      <sheetName val="CF_WORKSHEET2"/>
      <sheetName val="supply_chain3"/>
      <sheetName val="CF_WORKSHEET1"/>
      <sheetName val="supply_chain5"/>
      <sheetName val="CF_WORKSHEET3"/>
      <sheetName val="supply_chain6"/>
      <sheetName val="CF_WORKSHEET4"/>
      <sheetName val="supply_chain10"/>
      <sheetName val="CF_WORKSHEET8"/>
      <sheetName val="supply_chain8"/>
      <sheetName val="CF_WORKSHEET6"/>
      <sheetName val="supply_chain9"/>
      <sheetName val="CF_WORKSHEET7"/>
      <sheetName val="supply_chain13"/>
      <sheetName val="CF_WORKSHEET11"/>
      <sheetName val="supply_chain12"/>
      <sheetName val="CF_WORKSHEET10"/>
      <sheetName val="supply_chain11"/>
      <sheetName val="CF_WORKSHEET9"/>
      <sheetName val="supply_chain14"/>
      <sheetName val="CF_WORKSHEET12"/>
      <sheetName val="Usage"/>
      <sheetName val="Adjusted"/>
      <sheetName val="Marshal"/>
      <sheetName val="Permanent info"/>
      <sheetName val="B25-95"/>
      <sheetName val="0282A"/>
      <sheetName val="September 2020"/>
      <sheetName val="supply_chain15"/>
      <sheetName val="CF_WORKSHEET13"/>
      <sheetName val="Permanent_info"/>
      <sheetName val="ITEM"/>
      <sheetName val="WBS2"/>
      <sheetName val="INDUK21"/>
      <sheetName val="GeneralInfo"/>
      <sheetName val="WBS1"/>
      <sheetName val="Sheet1"/>
      <sheetName val="ocean voyage"/>
      <sheetName val="K.4CASHINBANK"/>
      <sheetName val="K.5CASHONHAND"/>
      <sheetName val="K.6DEPOSIT"/>
      <sheetName val="GT_Custom"/>
      <sheetName val="Narative"/>
      <sheetName val="C&amp;B"/>
      <sheetName val="Profit&amp;loss"/>
      <sheetName val="Asset A1-B"/>
      <sheetName val="Liabilities A1-C"/>
      <sheetName val="Rekapan AJE"/>
      <sheetName val="F1771-2"/>
      <sheetName val="Trading Statement"/>
      <sheetName val="OLDMAP"/>
      <sheetName val="Data"/>
      <sheetName val="IPO-KE2"/>
      <sheetName val="ABSEN"/>
      <sheetName val="supply_chain16"/>
      <sheetName val="CF_WORKSHEET14"/>
      <sheetName val="Permanent_info1"/>
      <sheetName val="September_2020"/>
      <sheetName val="Neraca detail per book"/>
      <sheetName val="運営生計"/>
      <sheetName val="系列売上"/>
      <sheetName val="Balance Sheet_Holding"/>
      <sheetName val="IS_Holding"/>
      <sheetName val="SUPPLIER"/>
      <sheetName val="supply_chain17"/>
      <sheetName val="CF_WORKSHEET15"/>
      <sheetName val="Permanent_info2"/>
      <sheetName val="September_20201"/>
      <sheetName val="supply_chain18"/>
      <sheetName val="CF_WORKSHEET16"/>
      <sheetName val="Permanent_info3"/>
      <sheetName val="September_20202"/>
      <sheetName val="supply_chain19"/>
      <sheetName val="CF_WORKSHEET17"/>
      <sheetName val="Permanent_info4"/>
      <sheetName val="September_20203"/>
      <sheetName val="supply_chain23"/>
      <sheetName val="CF_WORKSHEET21"/>
      <sheetName val="Permanent_info8"/>
      <sheetName val="September_20207"/>
      <sheetName val="supply_chain20"/>
      <sheetName val="CF_WORKSHEET18"/>
      <sheetName val="Permanent_info5"/>
      <sheetName val="September_20204"/>
      <sheetName val="supply_chain21"/>
      <sheetName val="CF_WORKSHEET19"/>
      <sheetName val="Permanent_info6"/>
      <sheetName val="September_20205"/>
      <sheetName val="supply_chain22"/>
      <sheetName val="CF_WORKSHEET20"/>
      <sheetName val="Permanent_info7"/>
      <sheetName val="September_20206"/>
      <sheetName val="supply_chain24"/>
      <sheetName val="CF_WORKSHEET22"/>
      <sheetName val="Permanent_info9"/>
      <sheetName val="September_20208"/>
      <sheetName val="supply_chain25"/>
      <sheetName val="CF_WORKSHEET23"/>
      <sheetName val="Permanent_info10"/>
      <sheetName val="September_20209"/>
      <sheetName val="Module2"/>
      <sheetName val="Ex_Rate"/>
      <sheetName val="summary-1"/>
      <sheetName val="N719(NC)"/>
      <sheetName val="A"/>
      <sheetName val="ABSENSI"/>
      <sheetName val="Sempurna"/>
      <sheetName val="K_6DEPOSIT"/>
      <sheetName val="ShareCapital "/>
      <sheetName val="Invent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rative"/>
      <sheetName val="C&amp;B"/>
      <sheetName val="Profit&amp;loss"/>
      <sheetName val="Asset A1-B"/>
      <sheetName val="Liabilities A1-C"/>
      <sheetName val="Rekapan AJE"/>
      <sheetName val="GT_Custom"/>
      <sheetName val="K.4CASHINBANK"/>
      <sheetName val="K.5CASHONHAND"/>
      <sheetName val="Sheet1"/>
      <sheetName val="K.6DEPOSIT"/>
      <sheetName val="K_6DEPOSIT"/>
      <sheetName val="COA"/>
      <sheetName val="Asset_A1-B"/>
      <sheetName val="Liabilities_A1-C"/>
      <sheetName val="Rekapan_AJE"/>
      <sheetName val="K_4CASHINBANK"/>
      <sheetName val="K_5CASHONHAND"/>
      <sheetName val="K_6DEPOSIT1"/>
      <sheetName val="adj"/>
      <sheetName val="Asset_A1-B1"/>
      <sheetName val="Liabilities_A1-C1"/>
      <sheetName val="Rekapan_AJE1"/>
      <sheetName val="K_4CASHINBANK1"/>
      <sheetName val="K_5CASHONHAND1"/>
      <sheetName val="K_6DEPOSIT2"/>
      <sheetName val="Portofolio Trading"/>
      <sheetName val="Asset_A1-B4"/>
      <sheetName val="Liabilities_A1-C4"/>
      <sheetName val="Rekapan_AJE4"/>
      <sheetName val="K_4CASHINBANK4"/>
      <sheetName val="K_5CASHONHAND4"/>
      <sheetName val="K_6DEPOSIT5"/>
      <sheetName val="Asset_A1-B2"/>
      <sheetName val="Liabilities_A1-C2"/>
      <sheetName val="Rekapan_AJE2"/>
      <sheetName val="K_4CASHINBANK2"/>
      <sheetName val="K_5CASHONHAND2"/>
      <sheetName val="K_6DEPOSIT3"/>
      <sheetName val="Asset_A1-B3"/>
      <sheetName val="Liabilities_A1-C3"/>
      <sheetName val="Rekapan_AJE3"/>
      <sheetName val="K_4CASHINBANK3"/>
      <sheetName val="K_5CASHONHAND3"/>
      <sheetName val="K_6DEPOSIT4"/>
      <sheetName val="Asset_A1-B5"/>
      <sheetName val="Liabilities_A1-C5"/>
      <sheetName val="Rekapan_AJE5"/>
      <sheetName val="K_4CASHINBANK5"/>
      <sheetName val="K_5CASHONHAND5"/>
      <sheetName val="K_6DEPOSIT6"/>
      <sheetName val="Asset_A1-B8"/>
      <sheetName val="Liabilities_A1-C8"/>
      <sheetName val="Rekapan_AJE8"/>
      <sheetName val="K_4CASHINBANK8"/>
      <sheetName val="K_5CASHONHAND8"/>
      <sheetName val="K_6DEPOSIT9"/>
      <sheetName val="Asset_A1-B7"/>
      <sheetName val="Liabilities_A1-C7"/>
      <sheetName val="Rekapan_AJE7"/>
      <sheetName val="K_4CASHINBANK7"/>
      <sheetName val="K_5CASHONHAND7"/>
      <sheetName val="K_6DEPOSIT8"/>
      <sheetName val="Asset_A1-B6"/>
      <sheetName val="Liabilities_A1-C6"/>
      <sheetName val="Rekapan_AJE6"/>
      <sheetName val="K_4CASHINBANK6"/>
      <sheetName val="K_5CASHONHAND6"/>
      <sheetName val="K_6DEPOSIT7"/>
      <sheetName val="Asset_A1-B9"/>
      <sheetName val="Liabilities_A1-C9"/>
      <sheetName val="Rekapan_AJE9"/>
      <sheetName val="K_4CASHINBANK9"/>
      <sheetName val="K_5CASHONHAND9"/>
      <sheetName val="K_6DEPOSIT10"/>
      <sheetName val="CODE"/>
      <sheetName val="Asset_A1-B10"/>
      <sheetName val="Liabilities_A1-C10"/>
      <sheetName val="Rekapan_AJE10"/>
      <sheetName val="K_4CASHINBANK10"/>
      <sheetName val="K_5CASHONHAND10"/>
      <sheetName val="K_6DEPOSIT11"/>
      <sheetName val="Asset_A1-B11"/>
      <sheetName val="Liabilities_A1-C11"/>
      <sheetName val="Rekapan_AJE11"/>
      <sheetName val="K_4CASHINBANK11"/>
      <sheetName val="K_5CASHONHAND11"/>
      <sheetName val="K_6DEPOSIT12"/>
      <sheetName val="Asset_A1-B13"/>
      <sheetName val="Liabilities_A1-C13"/>
      <sheetName val="Rekapan_AJE13"/>
      <sheetName val="K_4CASHINBANK13"/>
      <sheetName val="K_5CASHONHAND13"/>
      <sheetName val="K_6DEPOSIT14"/>
      <sheetName val="Asset_A1-B12"/>
      <sheetName val="Liabilities_A1-C12"/>
      <sheetName val="Rekapan_AJE12"/>
      <sheetName val="K_4CASHINBANK12"/>
      <sheetName val="K_5CASHONHAND12"/>
      <sheetName val="K_6DEPOSIT13"/>
      <sheetName val="Asset_A1-B15"/>
      <sheetName val="Liabilities_A1-C15"/>
      <sheetName val="Rekapan_AJE15"/>
      <sheetName val="K_4CASHINBANK15"/>
      <sheetName val="K_5CASHONHAND15"/>
      <sheetName val="K_6DEPOSIT16"/>
      <sheetName val="Asset_A1-B14"/>
      <sheetName val="Liabilities_A1-C14"/>
      <sheetName val="Rekapan_AJE14"/>
      <sheetName val="K_4CASHINBANK14"/>
      <sheetName val="K_5CASHONHAND14"/>
      <sheetName val="K_6DEPOSIT15"/>
      <sheetName val="Asset_A1-B19"/>
      <sheetName val="Liabilities_A1-C19"/>
      <sheetName val="Rekapan_AJE19"/>
      <sheetName val="K_4CASHINBANK19"/>
      <sheetName val="K_5CASHONHAND19"/>
      <sheetName val="K_6DEPOSIT20"/>
      <sheetName val="Asset_A1-B17"/>
      <sheetName val="Liabilities_A1-C17"/>
      <sheetName val="Rekapan_AJE17"/>
      <sheetName val="K_4CASHINBANK17"/>
      <sheetName val="K_5CASHONHAND17"/>
      <sheetName val="K_6DEPOSIT18"/>
      <sheetName val="Asset_A1-B16"/>
      <sheetName val="Liabilities_A1-C16"/>
      <sheetName val="Rekapan_AJE16"/>
      <sheetName val="K_4CASHINBANK16"/>
      <sheetName val="K_5CASHONHAND16"/>
      <sheetName val="K_6DEPOSIT17"/>
      <sheetName val="Asset_A1-B18"/>
      <sheetName val="Liabilities_A1-C18"/>
      <sheetName val="Rekapan_AJE18"/>
      <sheetName val="K_4CASHINBANK18"/>
      <sheetName val="K_5CASHONHAND18"/>
      <sheetName val="K_6DEPOSIT19"/>
      <sheetName val="Asset_A1-B20"/>
      <sheetName val="Liabilities_A1-C20"/>
      <sheetName val="Rekapan_AJE20"/>
      <sheetName val="K_4CASHINBANK20"/>
      <sheetName val="K_5CASHONHAND20"/>
      <sheetName val="K_6DEPOSIT21"/>
      <sheetName val="Asset_A1-B21"/>
      <sheetName val="Liabilities_A1-C21"/>
      <sheetName val="Rekapan_AJE21"/>
      <sheetName val="K_4CASHINBANK21"/>
      <sheetName val="K_5CASHONHAND21"/>
      <sheetName val="K_6DEPOSIT22"/>
      <sheetName val="Asset_A1-B23"/>
      <sheetName val="Liabilities_A1-C23"/>
      <sheetName val="Rekapan_AJE23"/>
      <sheetName val="K_4CASHINBANK23"/>
      <sheetName val="K_5CASHONHAND23"/>
      <sheetName val="K_6DEPOSIT24"/>
      <sheetName val="Asset_A1-B22"/>
      <sheetName val="Liabilities_A1-C22"/>
      <sheetName val="Rekapan_AJE22"/>
      <sheetName val="K_4CASHINBANK22"/>
      <sheetName val="K_5CASHONHAND22"/>
      <sheetName val="K_6DEPOSIT23"/>
      <sheetName val="Asset_A1-B27"/>
      <sheetName val="Liabilities_A1-C27"/>
      <sheetName val="Rekapan_AJE27"/>
      <sheetName val="K_4CASHINBANK27"/>
      <sheetName val="K_5CASHONHAND27"/>
      <sheetName val="K_6DEPOSIT28"/>
      <sheetName val="Asset_A1-B24"/>
      <sheetName val="Liabilities_A1-C24"/>
      <sheetName val="Rekapan_AJE24"/>
      <sheetName val="K_4CASHINBANK24"/>
      <sheetName val="K_5CASHONHAND24"/>
      <sheetName val="K_6DEPOSIT25"/>
      <sheetName val="Asset_A1-B26"/>
      <sheetName val="Liabilities_A1-C26"/>
      <sheetName val="Rekapan_AJE26"/>
      <sheetName val="K_4CASHINBANK26"/>
      <sheetName val="K_5CASHONHAND26"/>
      <sheetName val="K_6DEPOSIT27"/>
      <sheetName val="Asset_A1-B25"/>
      <sheetName val="Liabilities_A1-C25"/>
      <sheetName val="Rekapan_AJE25"/>
      <sheetName val="K_4CASHINBANK25"/>
      <sheetName val="K_5CASHONHAND25"/>
      <sheetName val="K_6DEPOSIT26"/>
      <sheetName val="Asset_A1-B34"/>
      <sheetName val="Liabilities_A1-C34"/>
      <sheetName val="Rekapan_AJE34"/>
      <sheetName val="K_4CASHINBANK34"/>
      <sheetName val="K_5CASHONHAND34"/>
      <sheetName val="K_6DEPOSIT35"/>
      <sheetName val="Portofolio_Trading"/>
      <sheetName val="Asset_A1-B33"/>
      <sheetName val="Liabilities_A1-C33"/>
      <sheetName val="Rekapan_AJE33"/>
      <sheetName val="K_4CASHINBANK33"/>
      <sheetName val="K_5CASHONHAND33"/>
      <sheetName val="K_6DEPOSIT34"/>
      <sheetName val="Asset_A1-B32"/>
      <sheetName val="Liabilities_A1-C32"/>
      <sheetName val="Rekapan_AJE32"/>
      <sheetName val="K_4CASHINBANK32"/>
      <sheetName val="K_5CASHONHAND32"/>
      <sheetName val="K_6DEPOSIT33"/>
      <sheetName val="Asset_A1-B29"/>
      <sheetName val="Liabilities_A1-C29"/>
      <sheetName val="Rekapan_AJE29"/>
      <sheetName val="K_4CASHINBANK29"/>
      <sheetName val="K_5CASHONHAND29"/>
      <sheetName val="K_6DEPOSIT30"/>
      <sheetName val="Asset_A1-B28"/>
      <sheetName val="Liabilities_A1-C28"/>
      <sheetName val="Rekapan_AJE28"/>
      <sheetName val="K_4CASHINBANK28"/>
      <sheetName val="K_5CASHONHAND28"/>
      <sheetName val="K_6DEPOSIT29"/>
      <sheetName val="Asset_A1-B30"/>
      <sheetName val="Liabilities_A1-C30"/>
      <sheetName val="Rekapan_AJE30"/>
      <sheetName val="K_4CASHINBANK30"/>
      <sheetName val="K_5CASHONHAND30"/>
      <sheetName val="K_6DEPOSIT31"/>
      <sheetName val="Asset_A1-B31"/>
      <sheetName val="Liabilities_A1-C31"/>
      <sheetName val="Rekapan_AJE31"/>
      <sheetName val="K_4CASHINBANK31"/>
      <sheetName val="K_5CASHONHAND31"/>
      <sheetName val="K_6DEPOSIT32"/>
      <sheetName val="Asset_A1-B35"/>
      <sheetName val="Liabilities_A1-C35"/>
      <sheetName val="Rekapan_AJE35"/>
      <sheetName val="K_4CASHINBANK35"/>
      <sheetName val="K_5CASHONHAND35"/>
      <sheetName val="K_6DEPOSIT36"/>
      <sheetName val="Portofolio_Trading1"/>
      <sheetName val="Asset_A1-B40"/>
      <sheetName val="Liabilities_A1-C40"/>
      <sheetName val="Rekapan_AJE40"/>
      <sheetName val="K_4CASHINBANK40"/>
      <sheetName val="K_5CASHONHAND40"/>
      <sheetName val="K_6DEPOSIT41"/>
      <sheetName val="Portofolio_Trading6"/>
      <sheetName val="Asset_A1-B36"/>
      <sheetName val="Liabilities_A1-C36"/>
      <sheetName val="Rekapan_AJE36"/>
      <sheetName val="K_4CASHINBANK36"/>
      <sheetName val="K_5CASHONHAND36"/>
      <sheetName val="K_6DEPOSIT37"/>
      <sheetName val="Portofolio_Trading2"/>
      <sheetName val="Asset_A1-B37"/>
      <sheetName val="Liabilities_A1-C37"/>
      <sheetName val="Rekapan_AJE37"/>
      <sheetName val="K_4CASHINBANK37"/>
      <sheetName val="K_5CASHONHAND37"/>
      <sheetName val="K_6DEPOSIT38"/>
      <sheetName val="Portofolio_Trading3"/>
      <sheetName val="Asset_A1-B38"/>
      <sheetName val="Liabilities_A1-C38"/>
      <sheetName val="Rekapan_AJE38"/>
      <sheetName val="K_4CASHINBANK38"/>
      <sheetName val="K_5CASHONHAND38"/>
      <sheetName val="K_6DEPOSIT39"/>
      <sheetName val="Portofolio_Trading4"/>
      <sheetName val="Asset_A1-B39"/>
      <sheetName val="Liabilities_A1-C39"/>
      <sheetName val="Rekapan_AJE39"/>
      <sheetName val="K_4CASHINBANK39"/>
      <sheetName val="K_5CASHONHAND39"/>
      <sheetName val="K_6DEPOSIT40"/>
      <sheetName val="Portofolio_Trading5"/>
      <sheetName val="Asset_A1-B41"/>
      <sheetName val="Liabilities_A1-C41"/>
      <sheetName val="Rekapan_AJE41"/>
      <sheetName val="K_4CASHINBANK41"/>
      <sheetName val="K_5CASHONHAND41"/>
      <sheetName val="K_6DEPOSIT42"/>
      <sheetName val="Portofolio_Trading7"/>
      <sheetName val="Asset_A1-B42"/>
      <sheetName val="Liabilities_A1-C42"/>
      <sheetName val="Rekapan_AJE42"/>
      <sheetName val="K_4CASHINBANK42"/>
      <sheetName val="K_5CASHONHAND42"/>
      <sheetName val="K_6DEPOSIT43"/>
      <sheetName val="Portofolio_Trading8"/>
      <sheetName val="Asset_A1-B44"/>
      <sheetName val="Liabilities_A1-C44"/>
      <sheetName val="Rekapan_AJE44"/>
      <sheetName val="K_4CASHINBANK44"/>
      <sheetName val="K_5CASHONHAND44"/>
      <sheetName val="K_6DEPOSIT45"/>
      <sheetName val="Portofolio_Trading10"/>
      <sheetName val="Asset_A1-B43"/>
      <sheetName val="Liabilities_A1-C43"/>
      <sheetName val="Rekapan_AJE43"/>
      <sheetName val="K_4CASHINBANK43"/>
      <sheetName val="K_5CASHONHAND43"/>
      <sheetName val="K_6DEPOSIT44"/>
      <sheetName val="Portofolio_Trading9"/>
      <sheetName val="Asset_A1-B45"/>
      <sheetName val="Liabilities_A1-C45"/>
      <sheetName val="Rekapan_AJE45"/>
      <sheetName val="K_4CASHINBANK45"/>
      <sheetName val="K_5CASHONHAND45"/>
      <sheetName val="K_6DEPOSIT46"/>
      <sheetName val="Portofolio_Trading11"/>
      <sheetName val="Asset_A1-B47"/>
      <sheetName val="Liabilities_A1-C47"/>
      <sheetName val="Rekapan_AJE47"/>
      <sheetName val="K_4CASHINBANK47"/>
      <sheetName val="K_5CASHONHAND47"/>
      <sheetName val="K_6DEPOSIT48"/>
      <sheetName val="Portofolio_Trading13"/>
      <sheetName val="Asset_A1-B46"/>
      <sheetName val="Liabilities_A1-C46"/>
      <sheetName val="Rekapan_AJE46"/>
      <sheetName val="K_4CASHINBANK46"/>
      <sheetName val="K_5CASHONHAND46"/>
      <sheetName val="K_6DEPOSIT47"/>
      <sheetName val="Portofolio_Trading12"/>
      <sheetName val="Asset_A1-B48"/>
      <sheetName val="Liabilities_A1-C48"/>
      <sheetName val="Rekapan_AJE48"/>
      <sheetName val="K_4CASHINBANK48"/>
      <sheetName val="K_5CASHONHAND48"/>
      <sheetName val="K_6DEPOSIT49"/>
      <sheetName val="Portofolio_Trading14"/>
      <sheetName val="Asset_A1-B50"/>
      <sheetName val="Liabilities_A1-C50"/>
      <sheetName val="Rekapan_AJE50"/>
      <sheetName val="K_4CASHINBANK50"/>
      <sheetName val="K_5CASHONHAND50"/>
      <sheetName val="K_6DEPOSIT51"/>
      <sheetName val="Portofolio_Trading16"/>
      <sheetName val="Asset_A1-B49"/>
      <sheetName val="Liabilities_A1-C49"/>
      <sheetName val="Rekapan_AJE49"/>
      <sheetName val="K_4CASHINBANK49"/>
      <sheetName val="K_5CASHONHAND49"/>
      <sheetName val="K_6DEPOSIT50"/>
      <sheetName val="Portofolio_Trading15"/>
      <sheetName val="Asset_A1-B51"/>
      <sheetName val="Liabilities_A1-C51"/>
      <sheetName val="Rekapan_AJE51"/>
      <sheetName val="K_4CASHINBANK51"/>
      <sheetName val="K_5CASHONHAND51"/>
      <sheetName val="K_6DEPOSIT52"/>
      <sheetName val="Portofolio_Trading17"/>
      <sheetName val="Asset_A1-B53"/>
      <sheetName val="Liabilities_A1-C53"/>
      <sheetName val="Rekapan_AJE53"/>
      <sheetName val="K_4CASHINBANK53"/>
      <sheetName val="K_5CASHONHAND53"/>
      <sheetName val="K_6DEPOSIT54"/>
      <sheetName val="Portofolio_Trading19"/>
      <sheetName val="Asset_A1-B52"/>
      <sheetName val="Liabilities_A1-C52"/>
      <sheetName val="Rekapan_AJE52"/>
      <sheetName val="K_4CASHINBANK52"/>
      <sheetName val="K_5CASHONHAND52"/>
      <sheetName val="K_6DEPOSIT53"/>
      <sheetName val="Portofolio_Trading18"/>
      <sheetName val="Asset_A1-B54"/>
      <sheetName val="Liabilities_A1-C54"/>
      <sheetName val="Rekapan_AJE54"/>
      <sheetName val="K_4CASHINBANK54"/>
      <sheetName val="K_5CASHONHAND54"/>
      <sheetName val="K_6DEPOSIT55"/>
      <sheetName val="Portofolio_Trading20"/>
      <sheetName val="Asset_A1-B56"/>
      <sheetName val="Liabilities_A1-C56"/>
      <sheetName val="Rekapan_AJE56"/>
      <sheetName val="K_4CASHINBANK56"/>
      <sheetName val="K_5CASHONHAND56"/>
      <sheetName val="K_6DEPOSIT57"/>
      <sheetName val="Portofolio_Trading22"/>
      <sheetName val="Asset_A1-B55"/>
      <sheetName val="Liabilities_A1-C55"/>
      <sheetName val="Rekapan_AJE55"/>
      <sheetName val="K_4CASHINBANK55"/>
      <sheetName val="K_5CASHONHAND55"/>
      <sheetName val="K_6DEPOSIT56"/>
      <sheetName val="Portofolio_Trading21"/>
      <sheetName val="R&amp;P"/>
      <sheetName val="Objective"/>
      <sheetName val="Cover"/>
      <sheetName val="K.1 - Lead Schedule"/>
      <sheetName val="K.2 AuditProgram"/>
      <sheetName val="K.4 CashInBanks"/>
      <sheetName val="K.4-1 BankRecon1"/>
      <sheetName val="K.5 CashOnHand"/>
      <sheetName val="K.5-1 Opname1"/>
      <sheetName val="K.5-2 Opname2"/>
      <sheetName val="K.6-1 TimeDep1"/>
      <sheetName val="K.6-2 TimeDep2"/>
      <sheetName val="K.7-1 Cert1"/>
      <sheetName val="K.7-2 Cert2"/>
      <sheetName val="K.8 Circularization"/>
      <sheetName val="K.9-1 ConReply1"/>
      <sheetName val="K.9-2 ConfReply2"/>
      <sheetName val="K.9-3 ConfReply3"/>
      <sheetName val="Pile径1m･27"/>
      <sheetName val="Asset_A1-B57"/>
      <sheetName val="Liabilities_A1-C57"/>
      <sheetName val="Rekapan_AJE57"/>
      <sheetName val="K_4CASHINBANK57"/>
      <sheetName val="K_5CASHONHAND57"/>
      <sheetName val="K_6DEPOSIT58"/>
      <sheetName val="Portofolio_Trading23"/>
      <sheetName val="MK(W L,D)ｺｽﾄ"/>
      <sheetName val="Asset_A1-B58"/>
      <sheetName val="Liabilities_A1-C58"/>
      <sheetName val="Rekapan_AJE58"/>
      <sheetName val="K_4CASHINBANK58"/>
      <sheetName val="K_5CASHONHAND58"/>
      <sheetName val="K_6DEPOSIT59"/>
      <sheetName val="Portofolio_Trading24"/>
      <sheetName val="Asset_A1-B60"/>
      <sheetName val="Liabilities_A1-C60"/>
      <sheetName val="Rekapan_AJE60"/>
      <sheetName val="K_4CASHINBANK60"/>
      <sheetName val="K_5CASHONHAND60"/>
      <sheetName val="K_6DEPOSIT61"/>
      <sheetName val="Portofolio_Trading26"/>
      <sheetName val="Asset_A1-B59"/>
      <sheetName val="Liabilities_A1-C59"/>
      <sheetName val="Rekapan_AJE59"/>
      <sheetName val="K_4CASHINBANK59"/>
      <sheetName val="K_5CASHONHAND59"/>
      <sheetName val="K_6DEPOSIT60"/>
      <sheetName val="Portofolio_Trading25"/>
      <sheetName val="Asset_A1-B61"/>
      <sheetName val="Liabilities_A1-C61"/>
      <sheetName val="Rekapan_AJE61"/>
      <sheetName val="K_4CASHINBANK61"/>
      <sheetName val="K_5CASHONHAND61"/>
      <sheetName val="K_6DEPOSIT62"/>
      <sheetName val="Portofolio_Trading27"/>
      <sheetName val="E-1-1"/>
      <sheetName val="Vendors"/>
      <sheetName val="trunking"/>
      <sheetName val="aug"/>
      <sheetName val="mei"/>
      <sheetName val="ban-ling"/>
      <sheetName val="Pile?1m?27"/>
      <sheetName val="MK(W L,D)???"/>
      <sheetName val="K_6DEPOSIT63"/>
      <sheetName val="Asset_A1-B62"/>
      <sheetName val="Liabilities_A1-C62"/>
      <sheetName val="Rekapan_AJE62"/>
      <sheetName val="K_4CASHINBANK62"/>
      <sheetName val="K_5CASHONHAND62"/>
      <sheetName val="Portofolio_Trading28"/>
      <sheetName val="MK(W_L,D)ｺｽﾄ"/>
      <sheetName val="K_1_-_Lead_Schedule"/>
      <sheetName val="K_2_AuditProgram"/>
      <sheetName val="K_4_CashInBanks"/>
      <sheetName val="K_4-1_BankRecon1"/>
      <sheetName val="K_5_CashOnHand"/>
      <sheetName val="K_5-1_Opname1"/>
      <sheetName val="K_5-2_Opname2"/>
      <sheetName val="K_6-1_TimeDep1"/>
      <sheetName val="K_6-2_TimeDep2"/>
      <sheetName val="K_7-1_Cert1"/>
      <sheetName val="K_7-2_Cert2"/>
      <sheetName val="K_8_Circularization"/>
      <sheetName val="K_9-1_ConReply1"/>
      <sheetName val="K_9-2_ConfReply2"/>
      <sheetName val="K_9-3_ConfReply3"/>
      <sheetName val="MK(W_L,D)???"/>
      <sheetName val="MFWP"/>
      <sheetName val="C1"/>
      <sheetName val="TB June 2013"/>
      <sheetName val="A2"/>
      <sheetName val="COMP"/>
      <sheetName val="MasterPlan"/>
      <sheetName val="PDPC0908"/>
      <sheetName val="PPJB"/>
      <sheetName val="Ideal"/>
      <sheetName val="B 7-1"/>
      <sheetName val="Asset_A1-B67"/>
      <sheetName val="Pile_1m_27"/>
      <sheetName val="パッキングリスト表紙"/>
      <sheetName val="Liabilities_A1-C67"/>
      <sheetName val="Rekapan_AJE67"/>
      <sheetName val="K_4CASHINBANK67"/>
      <sheetName val="K_5CASHONHAND67"/>
      <sheetName val="K_6DEPOSIT68"/>
      <sheetName val="#REF"/>
      <sheetName val="K_6DEPOSIT73"/>
      <sheetName val="Rate"/>
      <sheetName val="TB"/>
      <sheetName val="MK(W L,D)___"/>
      <sheetName val="MK(W_L,D)___"/>
      <sheetName val="K. Cash &amp; Cash Equivalents"/>
      <sheetName val="PM-BS"/>
      <sheetName val="412src2"/>
      <sheetName val="Balance Sheet_Holding"/>
      <sheetName val="IS_Holding"/>
      <sheetName val="CIP_USD"/>
      <sheetName val="Marshal"/>
      <sheetName val="Prod Calc"/>
      <sheetName val="Asset_A1-B63"/>
      <sheetName val="Liabilities_A1-C63"/>
      <sheetName val="Rekapan_AJE63"/>
      <sheetName val="K_4CASHINBANK63"/>
      <sheetName val="K_5CASHONHAND63"/>
      <sheetName val="K_6DEPOSIT64"/>
      <sheetName val="Portofolio_Trading29"/>
      <sheetName val="K_1_-_Lead_Schedule1"/>
      <sheetName val="K_2_AuditProgram1"/>
      <sheetName val="K_4_CashInBanks1"/>
      <sheetName val="K_4-1_BankRecon11"/>
      <sheetName val="K_5_CashOnHand1"/>
      <sheetName val="K_5-1_Opname11"/>
      <sheetName val="K_5-2_Opname21"/>
      <sheetName val="K_6-1_TimeDep11"/>
      <sheetName val="K_6-2_TimeDep21"/>
      <sheetName val="K_7-1_Cert11"/>
      <sheetName val="K_7-2_Cert21"/>
      <sheetName val="K_8_Circularization1"/>
      <sheetName val="K_9-1_ConReply11"/>
      <sheetName val="K_9-2_ConfReply21"/>
      <sheetName val="K_9-3_ConfReply31"/>
      <sheetName val="MK(W_L,D)ｺｽﾄ1"/>
      <sheetName val="MK(W_L,D)???1"/>
      <sheetName val="TB_June_2013"/>
      <sheetName val="B_7-1"/>
      <sheetName val="MK(W_L,D)___1"/>
      <sheetName val="Comb Sementara"/>
      <sheetName val="PC &amp; Bank Sept '18"/>
      <sheetName val="PC &amp; Bank Okt '18"/>
      <sheetName val="PC &amp; Bank Nov '18"/>
      <sheetName val="PC &amp; Bank Dec' 18"/>
      <sheetName val="PC &amp; Bank Jan' 19"/>
      <sheetName val="PC &amp; Bank Feb' 19"/>
      <sheetName val="PC &amp; Bank Mar' 19"/>
      <sheetName val="PC &amp; Bank Apr' 19"/>
      <sheetName val="Detail-PARENT"/>
      <sheetName val="aprl"/>
      <sheetName val="feb"/>
      <sheetName val="jan"/>
      <sheetName val="SG"/>
      <sheetName val="Olah"/>
      <sheetName val="Data SRL"/>
      <sheetName val="Data Prod_Graf"/>
      <sheetName val="PK RM"/>
      <sheetName val="Data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Trading Statement"/>
      <sheetName val="Asset_A1-B65"/>
      <sheetName val="Liabilities_A1-C65"/>
      <sheetName val="Rekapan_AJE65"/>
      <sheetName val="K_4CASHINBANK65"/>
      <sheetName val="K_5CASHONHAND65"/>
      <sheetName val="K_6DEPOSIT66"/>
      <sheetName val="Portofolio_Trading31"/>
      <sheetName val="K_1_-_Lead_Schedule3"/>
      <sheetName val="K_2_AuditProgram3"/>
      <sheetName val="K_4_CashInBanks3"/>
      <sheetName val="K_4-1_BankRecon13"/>
      <sheetName val="K_5_CashOnHand3"/>
      <sheetName val="K_5-1_Opname13"/>
      <sheetName val="K_5-2_Opname23"/>
      <sheetName val="K_6-1_TimeDep13"/>
      <sheetName val="K_6-2_TimeDep23"/>
      <sheetName val="K_7-1_Cert13"/>
      <sheetName val="K_7-2_Cert23"/>
      <sheetName val="K_8_Circularization3"/>
      <sheetName val="K_9-1_ConReply13"/>
      <sheetName val="K_9-2_ConfReply23"/>
      <sheetName val="K_9-3_ConfReply33"/>
      <sheetName val="MK(W_L,D)ｺｽﾄ3"/>
      <sheetName val="MK(W_L,D)???3"/>
      <sheetName val="TB_June_20132"/>
      <sheetName val="B_7-12"/>
      <sheetName val="Comb_Sementara1"/>
      <sheetName val="PC_&amp;_Bank_Sept_'181"/>
      <sheetName val="PC_&amp;_Bank_Okt_'181"/>
      <sheetName val="PC_&amp;_Bank_Nov_'181"/>
      <sheetName val="PC_&amp;_Bank_Dec'_181"/>
      <sheetName val="PC_&amp;_Bank_Jan'_191"/>
      <sheetName val="PC_&amp;_Bank_Feb'_191"/>
      <sheetName val="PC_&amp;_Bank_Mar'_191"/>
      <sheetName val="PC_&amp;_Bank_Apr'_191"/>
      <sheetName val="MK(W_L,D)___3"/>
      <sheetName val="K__Cash_&amp;_Cash_Equivalents1"/>
      <sheetName val="Balance_Sheet_Holding1"/>
      <sheetName val="Prod_Calc1"/>
      <sheetName val="Asset_A1-B64"/>
      <sheetName val="Liabilities_A1-C64"/>
      <sheetName val="Rekapan_AJE64"/>
      <sheetName val="K_4CASHINBANK64"/>
      <sheetName val="K_5CASHONHAND64"/>
      <sheetName val="K_6DEPOSIT65"/>
      <sheetName val="Portofolio_Trading30"/>
      <sheetName val="K_1_-_Lead_Schedule2"/>
      <sheetName val="K_2_AuditProgram2"/>
      <sheetName val="K_4_CashInBanks2"/>
      <sheetName val="K_4-1_BankRecon12"/>
      <sheetName val="K_5_CashOnHand2"/>
      <sheetName val="K_5-1_Opname12"/>
      <sheetName val="K_5-2_Opname22"/>
      <sheetName val="K_6-1_TimeDep12"/>
      <sheetName val="K_6-2_TimeDep22"/>
      <sheetName val="K_7-1_Cert12"/>
      <sheetName val="K_7-2_Cert22"/>
      <sheetName val="K_8_Circularization2"/>
      <sheetName val="K_9-1_ConReply12"/>
      <sheetName val="K_9-2_ConfReply22"/>
      <sheetName val="K_9-3_ConfReply32"/>
      <sheetName val="MK(W_L,D)ｺｽﾄ2"/>
      <sheetName val="MK(W_L,D)???2"/>
      <sheetName val="TB_June_20131"/>
      <sheetName val="B_7-11"/>
      <sheetName val="Comb_Sementara"/>
      <sheetName val="PC_&amp;_Bank_Sept_'18"/>
      <sheetName val="PC_&amp;_Bank_Okt_'18"/>
      <sheetName val="PC_&amp;_Bank_Nov_'18"/>
      <sheetName val="PC_&amp;_Bank_Dec'_18"/>
      <sheetName val="PC_&amp;_Bank_Jan'_19"/>
      <sheetName val="PC_&amp;_Bank_Feb'_19"/>
      <sheetName val="PC_&amp;_Bank_Mar'_19"/>
      <sheetName val="PC_&amp;_Bank_Apr'_19"/>
      <sheetName val="MK(W_L,D)___2"/>
      <sheetName val="K__Cash_&amp;_Cash_Equivalents"/>
      <sheetName val="Balance_Sheet_Holding"/>
      <sheetName val="Prod_Calc"/>
      <sheetName val="CRA-Detail"/>
      <sheetName val="Ex-Rate"/>
      <sheetName val="GeneralInfo"/>
      <sheetName val="data1+2-05"/>
      <sheetName val="data1+2-06"/>
      <sheetName val="data1+2-07"/>
      <sheetName val="hit_05"/>
      <sheetName val="hit_06"/>
      <sheetName val="hit_07"/>
      <sheetName val="inrec-formula"/>
      <sheetName val="lamp.1"/>
      <sheetName val="lamp.1 (2)"/>
      <sheetName val="lamp.2"/>
      <sheetName val="psak-psgjbr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 150"/>
      <sheetName val="kepmenaker150"/>
      <sheetName val="uu13"/>
      <sheetName val="Report"/>
      <sheetName val="Lists"/>
      <sheetName val="Delay codes"/>
      <sheetName val="Delay_codes"/>
      <sheetName val="MAT"/>
      <sheetName val="1997"/>
      <sheetName val="FRYPROD"/>
      <sheetName val="hitung ulang JEPANG"/>
      <sheetName val="LOOKUP"/>
      <sheetName val="CPIS"/>
      <sheetName val="Note"/>
      <sheetName val="Asset_A1-B72"/>
      <sheetName val="Liabilities_A1-C72"/>
      <sheetName val="Rekapan_AJE72"/>
      <sheetName val="K_4CASHINBANK72"/>
      <sheetName val="K_5CASHONHAND72"/>
      <sheetName val="Portofolio_Trading38"/>
      <sheetName val="MK(W_L,D)ｺｽﾄ10"/>
      <sheetName val="K_1_-_Lead_Schedule10"/>
      <sheetName val="K_2_AuditProgram10"/>
      <sheetName val="K_4_CashInBanks10"/>
      <sheetName val="K_4-1_BankRecon110"/>
      <sheetName val="K_5_CashOnHand10"/>
      <sheetName val="K_5-1_Opname110"/>
      <sheetName val="K_5-2_Opname210"/>
      <sheetName val="K_6-1_TimeDep110"/>
      <sheetName val="K_6-2_TimeDep210"/>
      <sheetName val="K_7-1_Cert110"/>
      <sheetName val="K_7-2_Cert210"/>
      <sheetName val="K_8_Circularization10"/>
      <sheetName val="K_9-1_ConReply110"/>
      <sheetName val="K_9-2_ConfReply210"/>
      <sheetName val="K_9-3_ConfReply310"/>
      <sheetName val="MK(W_L,D)???10"/>
      <sheetName val="K_6DEPOSIT72"/>
      <sheetName val="gl"/>
      <sheetName val="Customize Your Invoice"/>
      <sheetName val="Invoice"/>
      <sheetName val="Asset_A1-B66"/>
      <sheetName val="Liabilities_A1-C66"/>
      <sheetName val="Rekapan_AJE66"/>
      <sheetName val="K_4CASHINBANK66"/>
      <sheetName val="K_5CASHONHAND66"/>
      <sheetName val="K_6DEPOSIT67"/>
      <sheetName val="Portofolio_Trading32"/>
      <sheetName val="K_1_-_Lead_Schedule4"/>
      <sheetName val="K_2_AuditProgram4"/>
      <sheetName val="K_4_CashInBanks4"/>
      <sheetName val="K_4-1_BankRecon14"/>
      <sheetName val="K_5_CashOnHand4"/>
      <sheetName val="K_5-1_Opname14"/>
      <sheetName val="K_5-2_Opname24"/>
      <sheetName val="K_6-1_TimeDep14"/>
      <sheetName val="K_6-2_TimeDep24"/>
      <sheetName val="K_7-1_Cert14"/>
      <sheetName val="K_7-2_Cert24"/>
      <sheetName val="K_8_Circularization4"/>
      <sheetName val="K_9-1_ConReply14"/>
      <sheetName val="K_9-2_ConfReply24"/>
      <sheetName val="K_9-3_ConfReply34"/>
      <sheetName val="MK(W_L,D)ｺｽﾄ4"/>
      <sheetName val="MK(W_L,D)???4"/>
      <sheetName val="TB_June_20133"/>
      <sheetName val="B_7-13"/>
      <sheetName val="MK(W_L,D)___4"/>
      <sheetName val="K__Cash_&amp;_Cash_Equivalents2"/>
      <sheetName val="Balance_Sheet_Holding2"/>
      <sheetName val="Prod_Calc2"/>
      <sheetName val="Comb_Sementara2"/>
      <sheetName val="PC_&amp;_Bank_Sept_'182"/>
      <sheetName val="PC_&amp;_Bank_Okt_'182"/>
      <sheetName val="PC_&amp;_Bank_Nov_'182"/>
      <sheetName val="PC_&amp;_Bank_Dec'_182"/>
      <sheetName val="PC_&amp;_Bank_Jan'_192"/>
      <sheetName val="PC_&amp;_Bank_Feb'_192"/>
      <sheetName val="PC_&amp;_Bank_Mar'_192"/>
      <sheetName val="PC_&amp;_Bank_Apr'_192"/>
      <sheetName val="Data_SRL"/>
      <sheetName val="Data_Prod_Graf"/>
      <sheetName val="PK_RM"/>
      <sheetName val="Trading_Statement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Asset_A1-B68"/>
      <sheetName val="Liabilities_A1-C68"/>
      <sheetName val="Rekapan_AJE68"/>
      <sheetName val="K_4CASHINBANK68"/>
      <sheetName val="K_5CASHONHAND68"/>
      <sheetName val="K_6DEPOSIT69"/>
      <sheetName val="Portofolio_Trading33"/>
      <sheetName val="K_1_-_Lead_Schedule5"/>
      <sheetName val="K_2_AuditProgram5"/>
      <sheetName val="K_4_CashInBanks5"/>
      <sheetName val="K_4-1_BankRecon15"/>
      <sheetName val="K_5_CashOnHand5"/>
      <sheetName val="K_5-1_Opname15"/>
      <sheetName val="K_5-2_Opname25"/>
      <sheetName val="K_6-1_TimeDep15"/>
      <sheetName val="K_6-2_TimeDep25"/>
      <sheetName val="K_7-1_Cert15"/>
      <sheetName val="K_7-2_Cert25"/>
      <sheetName val="K_8_Circularization5"/>
      <sheetName val="K_9-1_ConReply15"/>
      <sheetName val="K_9-2_ConfReply25"/>
      <sheetName val="K_9-3_ConfReply35"/>
      <sheetName val="MK(W_L,D)ｺｽﾄ5"/>
      <sheetName val="MK(W_L,D)???5"/>
      <sheetName val="TB_June_20134"/>
      <sheetName val="B_7-14"/>
      <sheetName val="MK(W_L,D)___5"/>
      <sheetName val="K__Cash_&amp;_Cash_Equivalents3"/>
      <sheetName val="Balance_Sheet_Holding3"/>
      <sheetName val="Prod_Calc3"/>
      <sheetName val="Comb_Sementara3"/>
      <sheetName val="PC_&amp;_Bank_Sept_'183"/>
      <sheetName val="PC_&amp;_Bank_Okt_'183"/>
      <sheetName val="PC_&amp;_Bank_Nov_'183"/>
      <sheetName val="PC_&amp;_Bank_Dec'_183"/>
      <sheetName val="PC_&amp;_Bank_Jan'_193"/>
      <sheetName val="PC_&amp;_Bank_Feb'_193"/>
      <sheetName val="PC_&amp;_Bank_Mar'_193"/>
      <sheetName val="PC_&amp;_Bank_Apr'_193"/>
      <sheetName val="Data_SRL1"/>
      <sheetName val="Data_Prod_Graf1"/>
      <sheetName val="PK_RM1"/>
      <sheetName val="Trading_Statement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Asset_A1-B69"/>
      <sheetName val="Liabilities_A1-C69"/>
      <sheetName val="Rekapan_AJE69"/>
      <sheetName val="K_4CASHINBANK69"/>
      <sheetName val="K_5CASHONHAND69"/>
      <sheetName val="K_6DEPOSIT70"/>
      <sheetName val="Portofolio_Trading34"/>
      <sheetName val="K_1_-_Lead_Schedule6"/>
      <sheetName val="K_2_AuditProgram6"/>
      <sheetName val="K_4_CashInBanks6"/>
      <sheetName val="K_4-1_BankRecon16"/>
      <sheetName val="K_5_CashOnHand6"/>
      <sheetName val="K_5-1_Opname16"/>
      <sheetName val="K_5-2_Opname26"/>
      <sheetName val="K_6-1_TimeDep16"/>
      <sheetName val="K_6-2_TimeDep26"/>
      <sheetName val="K_7-1_Cert16"/>
      <sheetName val="K_7-2_Cert26"/>
      <sheetName val="K_8_Circularization6"/>
      <sheetName val="K_9-1_ConReply16"/>
      <sheetName val="K_9-2_ConfReply26"/>
      <sheetName val="K_9-3_ConfReply36"/>
      <sheetName val="MK(W_L,D)ｺｽﾄ6"/>
      <sheetName val="MK(W_L,D)???6"/>
      <sheetName val="TB_June_20135"/>
      <sheetName val="B_7-15"/>
      <sheetName val="MK(W_L,D)___6"/>
      <sheetName val="K__Cash_&amp;_Cash_Equivalents4"/>
      <sheetName val="Balance_Sheet_Holding4"/>
      <sheetName val="Prod_Calc4"/>
      <sheetName val="Comb_Sementara4"/>
      <sheetName val="PC_&amp;_Bank_Sept_'184"/>
      <sheetName val="PC_&amp;_Bank_Okt_'184"/>
      <sheetName val="PC_&amp;_Bank_Nov_'184"/>
      <sheetName val="PC_&amp;_Bank_Dec'_184"/>
      <sheetName val="PC_&amp;_Bank_Jan'_194"/>
      <sheetName val="PC_&amp;_Bank_Feb'_194"/>
      <sheetName val="PC_&amp;_Bank_Mar'_194"/>
      <sheetName val="PC_&amp;_Bank_Apr'_194"/>
      <sheetName val="Data_SRL2"/>
      <sheetName val="Data_Prod_Graf2"/>
      <sheetName val="PK_RM2"/>
      <sheetName val="Trading_Statement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Asset_A1-B70"/>
      <sheetName val="Liabilities_A1-C70"/>
      <sheetName val="Rekapan_AJE70"/>
      <sheetName val="K_4CASHINBANK70"/>
      <sheetName val="K_5CASHONHAND70"/>
      <sheetName val="K_6DEPOSIT71"/>
      <sheetName val="Portofolio_Trading35"/>
      <sheetName val="K_1_-_Lead_Schedule7"/>
      <sheetName val="K_2_AuditProgram7"/>
      <sheetName val="K_4_CashInBanks7"/>
      <sheetName val="K_4-1_BankRecon17"/>
      <sheetName val="K_5_CashOnHand7"/>
      <sheetName val="K_5-1_Opname17"/>
      <sheetName val="K_5-2_Opname27"/>
      <sheetName val="K_6-1_TimeDep17"/>
      <sheetName val="K_6-2_TimeDep27"/>
      <sheetName val="K_7-1_Cert17"/>
      <sheetName val="K_7-2_Cert27"/>
      <sheetName val="K_8_Circularization7"/>
      <sheetName val="K_9-1_ConReply17"/>
      <sheetName val="K_9-2_ConfReply27"/>
      <sheetName val="K_9-3_ConfReply37"/>
      <sheetName val="MK(W_L,D)ｺｽﾄ7"/>
      <sheetName val="MK(W_L,D)???7"/>
      <sheetName val="TB_June_20136"/>
      <sheetName val="B_7-16"/>
      <sheetName val="MK(W_L,D)___7"/>
      <sheetName val="K__Cash_&amp;_Cash_Equivalents5"/>
      <sheetName val="Balance_Sheet_Holding5"/>
      <sheetName val="Prod_Calc5"/>
      <sheetName val="Comb_Sementara5"/>
      <sheetName val="PC_&amp;_Bank_Sept_'185"/>
      <sheetName val="PC_&amp;_Bank_Okt_'185"/>
      <sheetName val="PC_&amp;_Bank_Nov_'185"/>
      <sheetName val="PC_&amp;_Bank_Dec'_185"/>
      <sheetName val="PC_&amp;_Bank_Jan'_195"/>
      <sheetName val="PC_&amp;_Bank_Feb'_195"/>
      <sheetName val="PC_&amp;_Bank_Mar'_195"/>
      <sheetName val="PC_&amp;_Bank_Apr'_195"/>
      <sheetName val="Data_SRL3"/>
      <sheetName val="Data_Prod_Graf3"/>
      <sheetName val="PK_RM3"/>
      <sheetName val="Trading_Statement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Asset_A1-B74"/>
      <sheetName val="Liabilities_A1-C74"/>
      <sheetName val="Rekapan_AJE74"/>
      <sheetName val="K_4CASHINBANK74"/>
      <sheetName val="K_5CASHONHAND74"/>
      <sheetName val="K_6DEPOSIT76"/>
      <sheetName val="Portofolio_Trading39"/>
      <sheetName val="K_1_-_Lead_Schedule11"/>
      <sheetName val="K_2_AuditProgram11"/>
      <sheetName val="K_4_CashInBanks11"/>
      <sheetName val="K_4-1_BankRecon111"/>
      <sheetName val="K_5_CashOnHand11"/>
      <sheetName val="K_5-1_Opname111"/>
      <sheetName val="K_5-2_Opname211"/>
      <sheetName val="K_6-1_TimeDep111"/>
      <sheetName val="K_6-2_TimeDep211"/>
      <sheetName val="K_7-1_Cert111"/>
      <sheetName val="K_7-2_Cert211"/>
      <sheetName val="K_8_Circularization11"/>
      <sheetName val="K_9-1_ConReply111"/>
      <sheetName val="K_9-2_ConfReply211"/>
      <sheetName val="K_9-3_ConfReply311"/>
      <sheetName val="MK(W_L,D)ｺｽﾄ11"/>
      <sheetName val="MK(W_L,D)???11"/>
      <sheetName val="TB_June_201310"/>
      <sheetName val="B_7-110"/>
      <sheetName val="MK(W_L,D)___11"/>
      <sheetName val="K__Cash_&amp;_Cash_Equivalents9"/>
      <sheetName val="Balance_Sheet_Holding9"/>
      <sheetName val="Prod_Calc9"/>
      <sheetName val="Comb_Sementara9"/>
      <sheetName val="PC_&amp;_Bank_Sept_'189"/>
      <sheetName val="PC_&amp;_Bank_Okt_'189"/>
      <sheetName val="PC_&amp;_Bank_Nov_'189"/>
      <sheetName val="PC_&amp;_Bank_Dec'_189"/>
      <sheetName val="PC_&amp;_Bank_Jan'_199"/>
      <sheetName val="PC_&amp;_Bank_Feb'_199"/>
      <sheetName val="PC_&amp;_Bank_Mar'_199"/>
      <sheetName val="PC_&amp;_Bank_Apr'_199"/>
      <sheetName val="Data_SRL7"/>
      <sheetName val="Data_Prod_Graf7"/>
      <sheetName val="PK_RM7"/>
      <sheetName val="Trading_Statement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Asset_A1-B71"/>
      <sheetName val="Liabilities_A1-C71"/>
      <sheetName val="Rekapan_AJE71"/>
      <sheetName val="K_4CASHINBANK71"/>
      <sheetName val="K_5CASHONHAND71"/>
      <sheetName val="Portofolio_Trading36"/>
      <sheetName val="K_1_-_Lead_Schedule8"/>
      <sheetName val="K_2_AuditProgram8"/>
      <sheetName val="K_4_CashInBanks8"/>
      <sheetName val="K_4-1_BankRecon18"/>
      <sheetName val="K_5_CashOnHand8"/>
      <sheetName val="K_5-1_Opname18"/>
      <sheetName val="K_5-2_Opname28"/>
      <sheetName val="K_6-1_TimeDep18"/>
      <sheetName val="K_6-2_TimeDep28"/>
      <sheetName val="K_7-1_Cert18"/>
      <sheetName val="K_7-2_Cert28"/>
      <sheetName val="K_8_Circularization8"/>
      <sheetName val="K_9-1_ConReply18"/>
      <sheetName val="K_9-2_ConfReply28"/>
      <sheetName val="K_9-3_ConfReply38"/>
      <sheetName val="MK(W_L,D)ｺｽﾄ8"/>
      <sheetName val="MK(W_L,D)???8"/>
      <sheetName val="TB_June_20137"/>
      <sheetName val="B_7-17"/>
      <sheetName val="MK(W_L,D)___8"/>
      <sheetName val="K__Cash_&amp;_Cash_Equivalents6"/>
      <sheetName val="Balance_Sheet_Holding6"/>
      <sheetName val="Prod_Calc6"/>
      <sheetName val="Comb_Sementara6"/>
      <sheetName val="PC_&amp;_Bank_Sept_'186"/>
      <sheetName val="PC_&amp;_Bank_Okt_'186"/>
      <sheetName val="PC_&amp;_Bank_Nov_'186"/>
      <sheetName val="PC_&amp;_Bank_Dec'_186"/>
      <sheetName val="PC_&amp;_Bank_Jan'_196"/>
      <sheetName val="PC_&amp;_Bank_Feb'_196"/>
      <sheetName val="PC_&amp;_Bank_Mar'_196"/>
      <sheetName val="PC_&amp;_Bank_Apr'_196"/>
      <sheetName val="Data_SRL4"/>
      <sheetName val="Data_Prod_Graf4"/>
      <sheetName val="PK_RM4"/>
      <sheetName val="Trading_Statement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K_6DEPOSIT74"/>
      <sheetName val="Portofolio_Trading37"/>
      <sheetName val="K_1_-_Lead_Schedule9"/>
      <sheetName val="K_2_AuditProgram9"/>
      <sheetName val="K_4_CashInBanks9"/>
      <sheetName val="K_4-1_BankRecon19"/>
      <sheetName val="K_5_CashOnHand9"/>
      <sheetName val="K_5-1_Opname19"/>
      <sheetName val="K_5-2_Opname29"/>
      <sheetName val="K_6-1_TimeDep19"/>
      <sheetName val="K_6-2_TimeDep29"/>
      <sheetName val="K_7-1_Cert19"/>
      <sheetName val="K_7-2_Cert29"/>
      <sheetName val="K_8_Circularization9"/>
      <sheetName val="K_9-1_ConReply19"/>
      <sheetName val="K_9-2_ConfReply29"/>
      <sheetName val="K_9-3_ConfReply39"/>
      <sheetName val="MK(W_L,D)ｺｽﾄ9"/>
      <sheetName val="MK(W_L,D)???9"/>
      <sheetName val="TB_June_20138"/>
      <sheetName val="B_7-18"/>
      <sheetName val="MK(W_L,D)___9"/>
      <sheetName val="K__Cash_&amp;_Cash_Equivalents7"/>
      <sheetName val="Balance_Sheet_Holding7"/>
      <sheetName val="Prod_Calc7"/>
      <sheetName val="Comb_Sementara7"/>
      <sheetName val="PC_&amp;_Bank_Sept_'187"/>
      <sheetName val="PC_&amp;_Bank_Okt_'187"/>
      <sheetName val="PC_&amp;_Bank_Nov_'187"/>
      <sheetName val="PC_&amp;_Bank_Dec'_187"/>
      <sheetName val="PC_&amp;_Bank_Jan'_197"/>
      <sheetName val="PC_&amp;_Bank_Feb'_197"/>
      <sheetName val="PC_&amp;_Bank_Mar'_197"/>
      <sheetName val="PC_&amp;_Bank_Apr'_197"/>
      <sheetName val="Data_SRL5"/>
      <sheetName val="Data_Prod_Graf5"/>
      <sheetName val="PK_RM5"/>
      <sheetName val="Trading_Statement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Asset_A1-B73"/>
      <sheetName val="Liabilities_A1-C73"/>
      <sheetName val="Rekapan_AJE73"/>
      <sheetName val="K_4CASHINBANK73"/>
      <sheetName val="K_5CASHONHAND73"/>
      <sheetName val="K_6DEPOSIT75"/>
      <sheetName val="TB_June_20139"/>
      <sheetName val="B_7-19"/>
      <sheetName val="MK(W_L,D)___10"/>
      <sheetName val="K__Cash_&amp;_Cash_Equivalents8"/>
      <sheetName val="Balance_Sheet_Holding8"/>
      <sheetName val="Prod_Calc8"/>
      <sheetName val="Comb_Sementara8"/>
      <sheetName val="PC_&amp;_Bank_Sept_'188"/>
      <sheetName val="PC_&amp;_Bank_Okt_'188"/>
      <sheetName val="PC_&amp;_Bank_Nov_'188"/>
      <sheetName val="PC_&amp;_Bank_Dec'_188"/>
      <sheetName val="PC_&amp;_Bank_Jan'_198"/>
      <sheetName val="PC_&amp;_Bank_Feb'_198"/>
      <sheetName val="PC_&amp;_Bank_Mar'_198"/>
      <sheetName val="PC_&amp;_Bank_Apr'_198"/>
      <sheetName val="Data_SRL6"/>
      <sheetName val="Data_Prod_Graf6"/>
      <sheetName val="PK_RM6"/>
      <sheetName val="Trading_Statement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Asset_A1-B75"/>
      <sheetName val="Liabilities_A1-C75"/>
      <sheetName val="Rekapan_AJE75"/>
      <sheetName val="K_4CASHINBANK75"/>
      <sheetName val="K_5CASHONHAND75"/>
      <sheetName val="K_6DEPOSIT77"/>
      <sheetName val="Portofolio_Trading40"/>
      <sheetName val="K_1_-_Lead_Schedule12"/>
      <sheetName val="K_2_AuditProgram12"/>
      <sheetName val="K_4_CashInBanks12"/>
      <sheetName val="K_4-1_BankRecon112"/>
      <sheetName val="K_5_CashOnHand12"/>
      <sheetName val="K_5-1_Opname112"/>
      <sheetName val="K_5-2_Opname212"/>
      <sheetName val="K_6-1_TimeDep112"/>
      <sheetName val="K_6-2_TimeDep212"/>
      <sheetName val="K_7-1_Cert112"/>
      <sheetName val="K_7-2_Cert212"/>
      <sheetName val="K_8_Circularization12"/>
      <sheetName val="K_9-1_ConReply112"/>
      <sheetName val="K_9-2_ConfReply212"/>
      <sheetName val="K_9-3_ConfReply312"/>
      <sheetName val="MK(W_L,D)ｺｽﾄ12"/>
      <sheetName val="MK(W_L,D)???12"/>
      <sheetName val="TB_June_201311"/>
      <sheetName val="B_7-111"/>
      <sheetName val="MK(W_L,D)___12"/>
      <sheetName val="K__Cash_&amp;_Cash_Equivalents10"/>
      <sheetName val="Balance_Sheet_Holding10"/>
      <sheetName val="Prod_Calc10"/>
      <sheetName val="Comb_Sementara10"/>
      <sheetName val="PC_&amp;_Bank_Sept_'1810"/>
      <sheetName val="PC_&amp;_Bank_Okt_'1810"/>
      <sheetName val="PC_&amp;_Bank_Nov_'1810"/>
      <sheetName val="PC_&amp;_Bank_Dec'_1810"/>
      <sheetName val="PC_&amp;_Bank_Jan'_1910"/>
      <sheetName val="PC_&amp;_Bank_Feb'_1910"/>
      <sheetName val="PC_&amp;_Bank_Mar'_1910"/>
      <sheetName val="PC_&amp;_Bank_Apr'_1910"/>
      <sheetName val="Data_SRL8"/>
      <sheetName val="Data_Prod_Graf8"/>
      <sheetName val="PK_RM8"/>
      <sheetName val="Trading_Statement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Asset_A1-B76"/>
      <sheetName val="Liabilities_A1-C76"/>
      <sheetName val="Rekapan_AJE76"/>
      <sheetName val="K_4CASHINBANK76"/>
      <sheetName val="K_5CASHONHAND76"/>
      <sheetName val="K_6DEPOSIT78"/>
      <sheetName val="Portofolio_Trading41"/>
      <sheetName val="K_1_-_Lead_Schedule13"/>
      <sheetName val="K_2_AuditProgram13"/>
      <sheetName val="K_4_CashInBanks13"/>
      <sheetName val="K_4-1_BankRecon113"/>
      <sheetName val="K_5_CashOnHand13"/>
      <sheetName val="K_5-1_Opname113"/>
      <sheetName val="K_5-2_Opname213"/>
      <sheetName val="K_6-1_TimeDep113"/>
      <sheetName val="K_6-2_TimeDep213"/>
      <sheetName val="K_7-1_Cert113"/>
      <sheetName val="K_7-2_Cert213"/>
      <sheetName val="K_8_Circularization13"/>
      <sheetName val="K_9-1_ConReply113"/>
      <sheetName val="K_9-2_ConfReply213"/>
      <sheetName val="K_9-3_ConfReply313"/>
      <sheetName val="MK(W_L,D)ｺｽﾄ13"/>
      <sheetName val="MK(W_L,D)???13"/>
      <sheetName val="TB_June_201312"/>
      <sheetName val="B_7-112"/>
      <sheetName val="MK(W_L,D)___13"/>
      <sheetName val="K__Cash_&amp;_Cash_Equivalents11"/>
      <sheetName val="Balance_Sheet_Holding11"/>
      <sheetName val="Prod_Calc11"/>
      <sheetName val="Comb_Sementara11"/>
      <sheetName val="PC_&amp;_Bank_Sept_'1811"/>
      <sheetName val="PC_&amp;_Bank_Okt_'1811"/>
      <sheetName val="PC_&amp;_Bank_Nov_'1811"/>
      <sheetName val="PC_&amp;_Bank_Dec'_1811"/>
      <sheetName val="PC_&amp;_Bank_Jan'_1911"/>
      <sheetName val="PC_&amp;_Bank_Feb'_1911"/>
      <sheetName val="PC_&amp;_Bank_Mar'_1911"/>
      <sheetName val="PC_&amp;_Bank_Apr'_1911"/>
      <sheetName val="Data_SRL9"/>
      <sheetName val="Data_Prod_Graf9"/>
      <sheetName val="PK_RM9"/>
      <sheetName val="Trading_Statement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lamp_1"/>
      <sheetName val="lamp_1_(2)"/>
      <sheetName val="lamp_2"/>
      <sheetName val="lamp_3"/>
      <sheetName val="lamp_4"/>
      <sheetName val="trf-d-i_(2)"/>
      <sheetName val="TRF_150"/>
      <sheetName val="Delay_codes1"/>
      <sheetName val="hitung_ulang_JEPANG"/>
      <sheetName val="Asset_A1-B77"/>
      <sheetName val="Liabilities_A1-C77"/>
      <sheetName val="Rekapan_AJE77"/>
      <sheetName val="K_4CASHINBANK77"/>
      <sheetName val="K_5CASHONHAND77"/>
      <sheetName val="K_6DEPOSIT79"/>
      <sheetName val="Portofolio_Trading42"/>
      <sheetName val="K_1_-_Lead_Schedule14"/>
      <sheetName val="K_2_AuditProgram14"/>
      <sheetName val="K_4_CashInBanks14"/>
      <sheetName val="K_4-1_BankRecon114"/>
      <sheetName val="K_5_CashOnHand14"/>
      <sheetName val="K_5-1_Opname114"/>
      <sheetName val="K_5-2_Opname214"/>
      <sheetName val="K_6-1_TimeDep114"/>
      <sheetName val="K_6-2_TimeDep214"/>
      <sheetName val="K_7-1_Cert114"/>
      <sheetName val="K_7-2_Cert214"/>
      <sheetName val="K_8_Circularization14"/>
      <sheetName val="K_9-1_ConReply114"/>
      <sheetName val="K_9-2_ConfReply214"/>
      <sheetName val="K_9-3_ConfReply314"/>
      <sheetName val="MK(W_L,D)ｺｽﾄ14"/>
      <sheetName val="MK(W_L,D)???14"/>
      <sheetName val="TB_June_201313"/>
      <sheetName val="B_7-113"/>
      <sheetName val="MK(W_L,D)___14"/>
      <sheetName val="K__Cash_&amp;_Cash_Equivalents12"/>
      <sheetName val="Balance_Sheet_Holding12"/>
      <sheetName val="Prod_Calc12"/>
      <sheetName val="Comb_Sementara12"/>
      <sheetName val="PC_&amp;_Bank_Sept_'1812"/>
      <sheetName val="PC_&amp;_Bank_Okt_'1812"/>
      <sheetName val="PC_&amp;_Bank_Nov_'1812"/>
      <sheetName val="PC_&amp;_Bank_Dec'_1812"/>
      <sheetName val="PC_&amp;_Bank_Jan'_1912"/>
      <sheetName val="PC_&amp;_Bank_Feb'_1912"/>
      <sheetName val="PC_&amp;_Bank_Mar'_1912"/>
      <sheetName val="PC_&amp;_Bank_Apr'_1912"/>
      <sheetName val="Data_SRL10"/>
      <sheetName val="Data_Prod_Graf10"/>
      <sheetName val="PK_RM10"/>
      <sheetName val="Trading_Statement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Asset_A1-B78"/>
      <sheetName val="Liabilities_A1-C78"/>
      <sheetName val="Rekapan_AJE78"/>
      <sheetName val="K_4CASHINBANK78"/>
      <sheetName val="K_5CASHONHAND78"/>
      <sheetName val="K_6DEPOSIT80"/>
      <sheetName val="Portofolio_Trading43"/>
      <sheetName val="K_1_-_Lead_Schedule15"/>
      <sheetName val="K_2_AuditProgram15"/>
      <sheetName val="K_4_CashInBanks15"/>
      <sheetName val="K_4-1_BankRecon115"/>
      <sheetName val="K_5_CashOnHand15"/>
      <sheetName val="K_5-1_Opname115"/>
      <sheetName val="K_5-2_Opname215"/>
      <sheetName val="K_6-1_TimeDep115"/>
      <sheetName val="K_6-2_TimeDep215"/>
      <sheetName val="K_7-1_Cert115"/>
      <sheetName val="K_7-2_Cert215"/>
      <sheetName val="K_8_Circularization15"/>
      <sheetName val="K_9-1_ConReply115"/>
      <sheetName val="K_9-2_ConfReply215"/>
      <sheetName val="K_9-3_ConfReply315"/>
      <sheetName val="MK(W_L,D)ｺｽﾄ15"/>
      <sheetName val="MK(W_L,D)???15"/>
      <sheetName val="TB_June_201314"/>
      <sheetName val="B_7-114"/>
      <sheetName val="MK(W_L,D)___15"/>
      <sheetName val="K__Cash_&amp;_Cash_Equivalents13"/>
      <sheetName val="Balance_Sheet_Holding13"/>
      <sheetName val="Prod_Calc13"/>
      <sheetName val="Comb_Sementara13"/>
      <sheetName val="PC_&amp;_Bank_Sept_'1813"/>
      <sheetName val="PC_&amp;_Bank_Okt_'1813"/>
      <sheetName val="PC_&amp;_Bank_Nov_'1813"/>
      <sheetName val="PC_&amp;_Bank_Dec'_1813"/>
      <sheetName val="PC_&amp;_Bank_Jan'_1913"/>
      <sheetName val="PC_&amp;_Bank_Feb'_1913"/>
      <sheetName val="PC_&amp;_Bank_Mar'_1913"/>
      <sheetName val="PC_&amp;_Bank_Apr'_1913"/>
      <sheetName val="Data_SRL11"/>
      <sheetName val="Data_Prod_Graf11"/>
      <sheetName val="PK_RM11"/>
      <sheetName val="Trading_Statement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lamp_11"/>
      <sheetName val="lamp_1_(2)1"/>
      <sheetName val="lamp_21"/>
      <sheetName val="lamp_31"/>
      <sheetName val="lamp_41"/>
      <sheetName val="trf-d-i_(2)1"/>
      <sheetName val="TRF_1501"/>
      <sheetName val="Delay_codes2"/>
      <sheetName val="hitung_ulang_JEPANG1"/>
      <sheetName val="Asset_A1-B80"/>
      <sheetName val="Liabilities_A1-C80"/>
      <sheetName val="Rekapan_AJE80"/>
      <sheetName val="K_4CASHINBANK80"/>
      <sheetName val="K_5CASHONHAND80"/>
      <sheetName val="K_6DEPOSIT82"/>
      <sheetName val="Portofolio_Trading45"/>
      <sheetName val="K_1_-_Lead_Schedule17"/>
      <sheetName val="K_2_AuditProgram17"/>
      <sheetName val="K_4_CashInBanks17"/>
      <sheetName val="K_4-1_BankRecon117"/>
      <sheetName val="K_5_CashOnHand17"/>
      <sheetName val="K_5-1_Opname117"/>
      <sheetName val="K_5-2_Opname217"/>
      <sheetName val="K_6-1_TimeDep117"/>
      <sheetName val="K_6-2_TimeDep217"/>
      <sheetName val="K_7-1_Cert117"/>
      <sheetName val="K_7-2_Cert217"/>
      <sheetName val="K_8_Circularization17"/>
      <sheetName val="K_9-1_ConReply117"/>
      <sheetName val="K_9-2_ConfReply217"/>
      <sheetName val="K_9-3_ConfReply317"/>
      <sheetName val="MK(W_L,D)ｺｽﾄ17"/>
      <sheetName val="MK(W_L,D)???17"/>
      <sheetName val="TB_June_201316"/>
      <sheetName val="B_7-116"/>
      <sheetName val="MK(W_L,D)___17"/>
      <sheetName val="K__Cash_&amp;_Cash_Equivalents15"/>
      <sheetName val="Balance_Sheet_Holding15"/>
      <sheetName val="Prod_Calc15"/>
      <sheetName val="Comb_Sementara15"/>
      <sheetName val="PC_&amp;_Bank_Sept_'1815"/>
      <sheetName val="PC_&amp;_Bank_Okt_'1815"/>
      <sheetName val="PC_&amp;_Bank_Nov_'1815"/>
      <sheetName val="PC_&amp;_Bank_Dec'_1815"/>
      <sheetName val="PC_&amp;_Bank_Jan'_1915"/>
      <sheetName val="PC_&amp;_Bank_Feb'_1915"/>
      <sheetName val="PC_&amp;_Bank_Mar'_1915"/>
      <sheetName val="PC_&amp;_Bank_Apr'_1915"/>
      <sheetName val="Data_SRL13"/>
      <sheetName val="Data_Prod_Graf13"/>
      <sheetName val="PK_RM13"/>
      <sheetName val="Trading_Statement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lamp_13"/>
      <sheetName val="lamp_1_(2)3"/>
      <sheetName val="lamp_23"/>
      <sheetName val="lamp_33"/>
      <sheetName val="lamp_43"/>
      <sheetName val="trf-d-i_(2)3"/>
      <sheetName val="TRF_1503"/>
      <sheetName val="Delay_codes4"/>
      <sheetName val="hitung_ulang_JEPANG3"/>
      <sheetName val="Asset_A1-B79"/>
      <sheetName val="Liabilities_A1-C79"/>
      <sheetName val="Rekapan_AJE79"/>
      <sheetName val="K_4CASHINBANK79"/>
      <sheetName val="K_5CASHONHAND79"/>
      <sheetName val="K_6DEPOSIT81"/>
      <sheetName val="Portofolio_Trading44"/>
      <sheetName val="K_1_-_Lead_Schedule16"/>
      <sheetName val="K_2_AuditProgram16"/>
      <sheetName val="K_4_CashInBanks16"/>
      <sheetName val="K_4-1_BankRecon116"/>
      <sheetName val="K_5_CashOnHand16"/>
      <sheetName val="K_5-1_Opname116"/>
      <sheetName val="K_5-2_Opname216"/>
      <sheetName val="K_6-1_TimeDep116"/>
      <sheetName val="K_6-2_TimeDep216"/>
      <sheetName val="K_7-1_Cert116"/>
      <sheetName val="K_7-2_Cert216"/>
      <sheetName val="K_8_Circularization16"/>
      <sheetName val="K_9-1_ConReply116"/>
      <sheetName val="K_9-2_ConfReply216"/>
      <sheetName val="K_9-3_ConfReply316"/>
      <sheetName val="MK(W_L,D)ｺｽﾄ16"/>
      <sheetName val="MK(W_L,D)???16"/>
      <sheetName val="TB_June_201315"/>
      <sheetName val="B_7-115"/>
      <sheetName val="MK(W_L,D)___16"/>
      <sheetName val="K__Cash_&amp;_Cash_Equivalents14"/>
      <sheetName val="Balance_Sheet_Holding14"/>
      <sheetName val="Prod_Calc14"/>
      <sheetName val="Comb_Sementara14"/>
      <sheetName val="PC_&amp;_Bank_Sept_'1814"/>
      <sheetName val="PC_&amp;_Bank_Okt_'1814"/>
      <sheetName val="PC_&amp;_Bank_Nov_'1814"/>
      <sheetName val="PC_&amp;_Bank_Dec'_1814"/>
      <sheetName val="PC_&amp;_Bank_Jan'_1914"/>
      <sheetName val="PC_&amp;_Bank_Feb'_1914"/>
      <sheetName val="PC_&amp;_Bank_Mar'_1914"/>
      <sheetName val="PC_&amp;_Bank_Apr'_1914"/>
      <sheetName val="Data_SRL12"/>
      <sheetName val="Data_Prod_Graf12"/>
      <sheetName val="PK_RM12"/>
      <sheetName val="Trading_Statement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lamp_12"/>
      <sheetName val="lamp_1_(2)2"/>
      <sheetName val="lamp_22"/>
      <sheetName val="lamp_32"/>
      <sheetName val="lamp_42"/>
      <sheetName val="trf-d-i_(2)2"/>
      <sheetName val="TRF_1502"/>
      <sheetName val="Delay_codes3"/>
      <sheetName val="hitung_ulang_JEPANG2"/>
      <sheetName val="F1771-III"/>
      <sheetName val="cf9900"/>
      <sheetName val="Permanent info"/>
      <sheetName val="ACT COAL"/>
      <sheetName val="ACT HAUL"/>
      <sheetName val="Permanent_info"/>
      <sheetName val="ACT_COAL"/>
      <sheetName val="ACT_HAUL"/>
      <sheetName val="SMITH"/>
      <sheetName val="K.7-2耀Cert2"/>
      <sheetName val="Pesanan"/>
      <sheetName val="Penju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 refreshError="1"/>
      <sheetData sheetId="1477" refreshError="1"/>
      <sheetData sheetId="1478" refreshError="1"/>
      <sheetData sheetId="147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4CASHINBANK"/>
      <sheetName val="K.5CASHONHAND"/>
      <sheetName val="Sheet1"/>
      <sheetName val="K.6DEPOSIT"/>
      <sheetName val="GT_Custo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rative"/>
      <sheetName val="C&amp;B"/>
      <sheetName val="Profit&amp;loss"/>
      <sheetName val="Asset A1-B"/>
      <sheetName val="Liabilities A1-C"/>
      <sheetName val="Rekapan AJE"/>
      <sheetName val="GT_Custom"/>
      <sheetName val="K.4CASHINBANK"/>
      <sheetName val="K.5CASHONHAND"/>
      <sheetName val="Sheet1"/>
      <sheetName val="K.6DEPOSIT"/>
      <sheetName val="FRYPROD"/>
      <sheetName val="R&amp;P"/>
      <sheetName val="K_6DEPOSIT"/>
      <sheetName val="adj"/>
      <sheetName val="COA"/>
      <sheetName val="Asset_A1-B"/>
      <sheetName val="Liabilities_A1-C"/>
      <sheetName val="Rekapan_AJE"/>
      <sheetName val="K_4CASHINBANK"/>
      <sheetName val="K_5CASHONHAND"/>
      <sheetName val="K_6DEPOSIT1"/>
      <sheetName val="Asset_A1-B1"/>
      <sheetName val="Liabilities_A1-C1"/>
      <sheetName val="Rekapan_AJE1"/>
      <sheetName val="K_4CASHINBANK1"/>
      <sheetName val="K_5CASHONHAND1"/>
      <sheetName val="K_6DEPOSIT2"/>
      <sheetName val="Portofolio Trading"/>
      <sheetName val="Asset_A1-B4"/>
      <sheetName val="Liabilities_A1-C4"/>
      <sheetName val="Rekapan_AJE4"/>
      <sheetName val="K_4CASHINBANK4"/>
      <sheetName val="K_5CASHONHAND4"/>
      <sheetName val="K_6DEPOSIT5"/>
      <sheetName val="Asset_A1-B2"/>
      <sheetName val="Liabilities_A1-C2"/>
      <sheetName val="Rekapan_AJE2"/>
      <sheetName val="K_4CASHINBANK2"/>
      <sheetName val="K_5CASHONHAND2"/>
      <sheetName val="K_6DEPOSIT3"/>
      <sheetName val="Asset_A1-B3"/>
      <sheetName val="Liabilities_A1-C3"/>
      <sheetName val="Rekapan_AJE3"/>
      <sheetName val="K_4CASHINBANK3"/>
      <sheetName val="K_5CASHONHAND3"/>
      <sheetName val="K_6DEPOSIT4"/>
      <sheetName val="Asset_A1-B5"/>
      <sheetName val="Liabilities_A1-C5"/>
      <sheetName val="Rekapan_AJE5"/>
      <sheetName val="K_4CASHINBANK5"/>
      <sheetName val="K_5CASHONHAND5"/>
      <sheetName val="K_6DEPOSIT6"/>
      <sheetName val="Asset_A1-B8"/>
      <sheetName val="Liabilities_A1-C8"/>
      <sheetName val="Rekapan_AJE8"/>
      <sheetName val="K_4CASHINBANK8"/>
      <sheetName val="K_5CASHONHAND8"/>
      <sheetName val="K_6DEPOSIT9"/>
      <sheetName val="Asset_A1-B7"/>
      <sheetName val="Liabilities_A1-C7"/>
      <sheetName val="Rekapan_AJE7"/>
      <sheetName val="K_4CASHINBANK7"/>
      <sheetName val="K_5CASHONHAND7"/>
      <sheetName val="K_6DEPOSIT8"/>
      <sheetName val="Asset_A1-B6"/>
      <sheetName val="Liabilities_A1-C6"/>
      <sheetName val="Rekapan_AJE6"/>
      <sheetName val="K_4CASHINBANK6"/>
      <sheetName val="K_5CASHONHAND6"/>
      <sheetName val="K_6DEPOSIT7"/>
      <sheetName val="Asset_A1-B9"/>
      <sheetName val="Liabilities_A1-C9"/>
      <sheetName val="Rekapan_AJE9"/>
      <sheetName val="K_4CASHINBANK9"/>
      <sheetName val="K_5CASHONHAND9"/>
      <sheetName val="K_6DEPOSIT10"/>
      <sheetName val="Asset_A1-B10"/>
      <sheetName val="Liabilities_A1-C10"/>
      <sheetName val="Rekapan_AJE10"/>
      <sheetName val="K_4CASHINBANK10"/>
      <sheetName val="K_5CASHONHAND10"/>
      <sheetName val="K_6DEPOSIT11"/>
      <sheetName val="Asset_A1-B11"/>
      <sheetName val="Liabilities_A1-C11"/>
      <sheetName val="Rekapan_AJE11"/>
      <sheetName val="K_4CASHINBANK11"/>
      <sheetName val="K_5CASHONHAND11"/>
      <sheetName val="K_6DEPOSIT12"/>
      <sheetName val="CODE"/>
      <sheetName val="Asset_A1-B13"/>
      <sheetName val="Liabilities_A1-C13"/>
      <sheetName val="Rekapan_AJE13"/>
      <sheetName val="K_4CASHINBANK13"/>
      <sheetName val="K_5CASHONHAND13"/>
      <sheetName val="K_6DEPOSIT14"/>
      <sheetName val="Asset_A1-B12"/>
      <sheetName val="Liabilities_A1-C12"/>
      <sheetName val="Rekapan_AJE12"/>
      <sheetName val="K_4CASHINBANK12"/>
      <sheetName val="K_5CASHONHAND12"/>
      <sheetName val="K_6DEPOSIT13"/>
      <sheetName val="Asset_A1-B15"/>
      <sheetName val="Liabilities_A1-C15"/>
      <sheetName val="Rekapan_AJE15"/>
      <sheetName val="K_4CASHINBANK15"/>
      <sheetName val="K_5CASHONHAND15"/>
      <sheetName val="K_6DEPOSIT16"/>
      <sheetName val="Asset_A1-B14"/>
      <sheetName val="Liabilities_A1-C14"/>
      <sheetName val="Rekapan_AJE14"/>
      <sheetName val="K_4CASHINBANK14"/>
      <sheetName val="K_5CASHONHAND14"/>
      <sheetName val="K_6DEPOSIT15"/>
      <sheetName val="Objective"/>
      <sheetName val="Cover"/>
      <sheetName val="K.1 - Lead Schedule"/>
      <sheetName val="K.2 AuditProgram"/>
      <sheetName val="K.4 CashInBanks"/>
      <sheetName val="K.4-1 BankRecon1"/>
      <sheetName val="K.5 CashOnHand"/>
      <sheetName val="K.5-1 Opname1"/>
      <sheetName val="K.5-2 Opname2"/>
      <sheetName val="K.6-1 TimeDep1"/>
      <sheetName val="K.6-2 TimeDep2"/>
      <sheetName val="K.7-1 Cert1"/>
      <sheetName val="K.7-2 Cert2"/>
      <sheetName val="K.8 Circularization"/>
      <sheetName val="K.9-1 ConReply1"/>
      <sheetName val="K.9-2 ConfReply2"/>
      <sheetName val="K.9-3 ConfReply3"/>
      <sheetName val="Pile径1m･27"/>
      <sheetName val="Permanent info"/>
      <sheetName val="Marshal"/>
      <sheetName val="hitung ulang JEPANG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USD Loan"/>
      <sheetName val="BPI"/>
      <sheetName val="CPIS"/>
      <sheetName val="BPU"/>
      <sheetName val="BPI2"/>
      <sheetName val="CPU"/>
      <sheetName val="CPI"/>
      <sheetName val="MM001-060"/>
      <sheetName val="MM061-069"/>
      <sheetName val="GJ"/>
      <sheetName val="TB"/>
      <sheetName val="TB - USD"/>
      <sheetName val="BS"/>
      <sheetName val="IS"/>
      <sheetName val="IS Details"/>
      <sheetName val="SE"/>
      <sheetName val="CF"/>
      <sheetName val="Notes"/>
      <sheetName val="Notes Printed"/>
      <sheetName val="Sch1-CashBank"/>
      <sheetName val="Sch2-AR Export List"/>
      <sheetName val="Sch3-AR Local"/>
      <sheetName val="Sch4-Inventory"/>
      <sheetName val="Sch4-Inventory-Printed"/>
      <sheetName val="Sch5-Prepaid"/>
      <sheetName val="Sch6-FA"/>
      <sheetName val="Sch7-AP"/>
      <sheetName val="A u g"/>
      <sheetName val="Art_22"/>
      <sheetName val="AC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計画提出依頼A"/>
      <sheetName val="01目標値"/>
      <sheetName val="01重点管理ｴﾘｱ"/>
      <sheetName val="計画書ﾌｫｰﾑ"/>
      <sheetName val="表紙"/>
      <sheetName val="全社計画書"/>
      <sheetName val="00年度総括"/>
      <sheetName val="伊勢原製造所"/>
      <sheetName val="大泉製造所"/>
      <sheetName val="藤岡製造所"/>
      <sheetName val="ミラー製造所"/>
      <sheetName val="データー"/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ty"/>
      <sheetName val="Memo"/>
      <sheetName val="PROGRAM"/>
      <sheetName val="AJE-RJE-CAJE"/>
      <sheetName val="H.Lead"/>
      <sheetName val="H.200 Inventaris-AC"/>
      <sheetName val="H.200 VOUC"/>
      <sheetName val="H.200 GL"/>
      <sheetName val="H.300 Gedung sekolah tahap I"/>
      <sheetName val="H.400 Gedung sekolah I. Vol 1"/>
      <sheetName val="H.500 Gedung sekolah thp II"/>
      <sheetName val="H.600 Gedung sekolah II.vol I"/>
      <sheetName val="H.700 Gedung sekolah thp III"/>
      <sheetName val="H.800 Gedung sekolah III. vol 1"/>
      <sheetName val="H.900 Gedung sekretariat PPH"/>
      <sheetName val="H.1000 Gedung Sklh thp IV"/>
      <sheetName val="H.1100 Gedung Sklh thp IV.Vol I"/>
      <sheetName val="H.1200 Gedung Sklh thp IV.Vol 2"/>
      <sheetName val="H.1300 Gedung Sklh thp V"/>
      <sheetName val="H.1400 Gedung Sklh thp V.Vol 1"/>
      <sheetName val="H.1500 Gedung Sklh thp V.Vo2"/>
      <sheetName val="H.1500 VOUC"/>
      <sheetName val="H.1500 GL"/>
      <sheetName val="H.1600 Mesin"/>
      <sheetName val="H.900 Summary Perjanjian"/>
      <sheetName val="H.3300 VOUC"/>
      <sheetName val="H.3300 GL"/>
      <sheetName val="0135"/>
      <sheetName val="0220"/>
      <sheetName val="0230"/>
      <sheetName val="0420"/>
      <sheetName val="0441"/>
      <sheetName val="0443"/>
      <sheetName val="0445"/>
      <sheetName val="0448"/>
      <sheetName val="0449"/>
      <sheetName val="0460"/>
      <sheetName val="0461"/>
      <sheetName val="0463"/>
      <sheetName val="0464"/>
      <sheetName val="0465"/>
      <sheetName val="0469"/>
      <sheetName val="0520"/>
      <sheetName val="0650"/>
      <sheetName val="0651"/>
      <sheetName val="0670"/>
      <sheetName val="0690"/>
      <sheetName val="FA Movement"/>
      <sheetName val="Summary"/>
      <sheetName val="Audit Program"/>
      <sheetName val="N"/>
      <sheetName val="NA"/>
      <sheetName val="GL Pendapatan SEwa dibayar dimk"/>
      <sheetName val="AJERJE"/>
      <sheetName val="P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"/>
      <sheetName val="data"/>
      <sheetName val="jan"/>
      <sheetName val="feb"/>
      <sheetName val="mart"/>
      <sheetName val="aprl"/>
      <sheetName val="mei"/>
      <sheetName val="jun"/>
      <sheetName val="jul"/>
      <sheetName val="aug"/>
      <sheetName val="sept"/>
      <sheetName val="o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U-Ajt'03"/>
      <sheetName val="Sheet2"/>
      <sheetName val="KS-Ajt'03"/>
      <sheetName val="KT-Ajt'03"/>
      <sheetName val="KB-Ajt'03"/>
      <sheetName val="Sum KU,KS,KT,KB"/>
      <sheetName val="Mill-Ajt'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tNaik"/>
      <sheetName val="KmtLevel"/>
      <sheetName val="RateCd"/>
      <sheetName val="CAD"/>
      <sheetName val="Ilustrasi"/>
      <sheetName val="Asumsi"/>
      <sheetName val="Rekap"/>
      <sheetName val="Hasil 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U-Ajt'03"/>
      <sheetName val="Sheet2"/>
      <sheetName val="KS-Ajt'03"/>
      <sheetName val="KT-Ajt'03"/>
      <sheetName val="KB-Ajt'03"/>
      <sheetName val="Mill-Ajt'03"/>
      <sheetName val="Sheet3"/>
      <sheetName val="Sum KU,KS,KT,KB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1B"/>
      <sheetName val="Excel load"/>
      <sheetName val="COVER PG"/>
      <sheetName val="Note"/>
      <sheetName val="Control"/>
      <sheetName val="SCH 1A"/>
      <sheetName val="SCH 2A, SCH2A-1 &amp; SCH2A-2"/>
      <sheetName val="SCH 2B"/>
      <sheetName val="SCH 3"/>
      <sheetName val="SCH 3-1"/>
      <sheetName val="SCH 3-2"/>
      <sheetName val="SCH 4 &amp; 4A"/>
      <sheetName val="SCH 4-1 &amp; 4A-1"/>
      <sheetName val="SCH 4B"/>
      <sheetName val="SCH 5"/>
      <sheetName val="SCH 6, 6-1"/>
      <sheetName val="SCH 6D"/>
      <sheetName val="SCH 7"/>
      <sheetName val="SCH 8A "/>
      <sheetName val="SCH 8B"/>
      <sheetName val="SCH 8C"/>
      <sheetName val="SCH 8D"/>
      <sheetName val="SCHs 9A &amp; 9B"/>
      <sheetName val="SCH 10"/>
      <sheetName val="SCH1-1 sales"/>
      <sheetName val="主要材料"/>
      <sheetName val="辅助材料"/>
      <sheetName val="sch 3-1 v"/>
      <sheetName val="sch 3-101 "/>
      <sheetName val="Sch 3-104"/>
      <sheetName val="财务预算明细"/>
      <sheetName val="sch 3-105"/>
      <sheetName val="sch 3-201"/>
      <sheetName val="sch 3-202"/>
      <sheetName val="sch 3-301"/>
      <sheetName val="sch3-302"/>
      <sheetName val="sch 3-303"/>
      <sheetName val="sch 3-304"/>
      <sheetName val="sch 3-401"/>
      <sheetName val="Sch 3-2(Mfg)V"/>
      <sheetName val="101"/>
      <sheetName val="104"/>
      <sheetName val="105"/>
      <sheetName val="201"/>
      <sheetName val="202"/>
      <sheetName val="301"/>
      <sheetName val="302"/>
      <sheetName val="303"/>
      <sheetName val="304"/>
      <sheetName val="40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PACK"/>
      <sheetName val="Instructions"/>
      <sheetName val="SCH 01"/>
      <sheetName val="SCH 02"/>
      <sheetName val="SCH 03"/>
      <sheetName val="SCH 04"/>
      <sheetName val="SCH 05"/>
      <sheetName val="SCH 06"/>
      <sheetName val="SCH 06A "/>
      <sheetName val="SCH 06B"/>
      <sheetName val="SCH 06C"/>
      <sheetName val="SCH 07"/>
      <sheetName val="SCH 08 "/>
      <sheetName val="SCH 08A"/>
      <sheetName val="SCH 08B"/>
      <sheetName val="SCH 09"/>
      <sheetName val="SCH 09A"/>
      <sheetName val="SCH 09B"/>
      <sheetName val="SCH 10"/>
      <sheetName val="SCH 10A "/>
      <sheetName val="SCH 11 &amp; 11-1"/>
      <sheetName val="SCH 11-2"/>
      <sheetName val="SCH 12"/>
      <sheetName val="SCH 13"/>
      <sheetName val="SCH 14 &amp; 14-1"/>
      <sheetName val="SCH 14A"/>
      <sheetName val="SCH 14B"/>
      <sheetName val="SCH 15"/>
      <sheetName val="SCH 16"/>
      <sheetName val="SCH 17"/>
      <sheetName val="SCH 18"/>
      <sheetName val="SCH 19"/>
      <sheetName val="SCH 19A"/>
      <sheetName val="SCH 19A-1"/>
      <sheetName val="SCH 19B"/>
      <sheetName val="SCH 20"/>
      <sheetName val="SCH 21"/>
      <sheetName val="SCH 22"/>
      <sheetName val="SCH 23"/>
      <sheetName val="SCH 23A"/>
      <sheetName val="SCH 24"/>
      <sheetName val="SCH 25"/>
      <sheetName val="SCH 25A"/>
      <sheetName val="SCH 26"/>
      <sheetName val="SCH 26A"/>
      <sheetName val="SCH 27"/>
      <sheetName val="SCH 27A"/>
      <sheetName val="SCH 28"/>
      <sheetName val="SCH 29"/>
      <sheetName val="SCH 30"/>
      <sheetName val="SCH 31"/>
      <sheetName val="SCH 32"/>
      <sheetName val="SCH33"/>
      <sheetName val="SCH 34"/>
      <sheetName val="SCH 34A"/>
      <sheetName val="SCH35"/>
      <sheetName val="SCH 35A"/>
      <sheetName val="SCH 35B"/>
      <sheetName val="SCH 36"/>
      <sheetName val="SCH 37"/>
      <sheetName val="SCH 37-1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34"/>
      <sheetName val="2933"/>
      <sheetName val="2930"/>
      <sheetName val="WBS1"/>
      <sheetName val="ban-ling"/>
      <sheetName val="cf9900"/>
      <sheetName val="A"/>
      <sheetName val="PDPC0908"/>
      <sheetName val="PACK"/>
      <sheetName val="Ex-Rate"/>
      <sheetName val="RATE-NEW"/>
      <sheetName val="具体的な海外生産拡大（ｱｼﾞｱ）"/>
      <sheetName val="COMP"/>
      <sheetName val="Okt"/>
      <sheetName val="Gratti"/>
      <sheetName val="Ex_Rate"/>
      <sheetName val="CIP_USD"/>
      <sheetName val="SUMMFA-USD"/>
      <sheetName val="Investment"/>
      <sheetName val="A3_USD_PL02"/>
      <sheetName val="ShareCapital"/>
      <sheetName val="Inventories"/>
      <sheetName val="CF WORKSHEET"/>
      <sheetName val="co_data"/>
      <sheetName val="101.00"/>
      <sheetName val="july"/>
      <sheetName val="june"/>
      <sheetName val="JAN"/>
      <sheetName val="GRAPH"/>
      <sheetName val="metsvsmine"/>
      <sheetName val="BONUS-01"/>
      <sheetName val="Customize Your Invoice"/>
      <sheetName val="Invoice"/>
      <sheetName val="412"/>
      <sheetName val="SELISIHKURSSOURCE"/>
      <sheetName val="412src2"/>
      <sheetName val="Carrying Cost"/>
      <sheetName val="ocean voyage"/>
      <sheetName val="DATAPASIF"/>
      <sheetName val="DATA"/>
      <sheetName val="hit-311202"/>
      <sheetName val="tr-28202"/>
      <sheetName val="TRP"/>
      <sheetName val="U2.2"/>
      <sheetName val="??????????(????)"/>
      <sheetName val="Identitas"/>
      <sheetName val="K.6DEPOSIT"/>
      <sheetName val="__________(____)"/>
      <sheetName val="공표손익"/>
      <sheetName val="TB"/>
      <sheetName val="CMA Calculations"/>
      <sheetName val="Statistics"/>
      <sheetName val="CF_WORKSHEET"/>
      <sheetName val="101_00"/>
      <sheetName val="Customize_Your_Invoice"/>
      <sheetName val="CF_WORKSHEET1"/>
      <sheetName val="101_001"/>
      <sheetName val="Customize_Your_Invoice1"/>
      <sheetName val="CF_WORKSHEET2"/>
      <sheetName val="101_002"/>
      <sheetName val="Customize_Your_Invoice2"/>
      <sheetName val="CF_WORKSHEET3"/>
      <sheetName val="101_003"/>
      <sheetName val="Customize_Your_Invoice3"/>
      <sheetName val="CF_WORKSHEET7"/>
      <sheetName val="101_007"/>
      <sheetName val="Customize_Your_Invoice7"/>
      <sheetName val="CF_WORKSHEET4"/>
      <sheetName val="101_004"/>
      <sheetName val="Customize_Your_Invoice4"/>
      <sheetName val="CF_WORKSHEET5"/>
      <sheetName val="101_005"/>
      <sheetName val="Customize_Your_Invoice5"/>
      <sheetName val="CF_WORKSHEET6"/>
      <sheetName val="101_006"/>
      <sheetName val="Customize_Your_Invoice6"/>
      <sheetName val="CF_WORKSHEET8"/>
      <sheetName val="101_008"/>
      <sheetName val="Customize_Your_Invoice8"/>
      <sheetName val="CF_WORKSHEET9"/>
      <sheetName val="101_009"/>
      <sheetName val="Customize_Your_Invoice9"/>
      <sheetName val="data Order"/>
      <sheetName val="data PL"/>
      <sheetName val="Vendors"/>
      <sheetName val="LOOKUP"/>
      <sheetName val="1770S C260606 revisi"/>
      <sheetName val="(40)g&amp;a"/>
      <sheetName val="ACC.CODE"/>
      <sheetName val="IPO-KE2"/>
      <sheetName val="5"/>
      <sheetName val="손익합산"/>
      <sheetName val="MENU"/>
      <sheetName val="EDIT"/>
      <sheetName val="Tabel"/>
      <sheetName val="ABSEN 4"/>
      <sheetName val="Status"/>
      <sheetName val="시산표"/>
      <sheetName val="2003 ACT CFlow"/>
      <sheetName val="2003 BGT C Flow"/>
      <sheetName val="HO Use"/>
      <sheetName val="assets"/>
      <sheetName val="1999US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2930"/>
      <sheetName val="2933"/>
      <sheetName val="2934"/>
      <sheetName val="SELISIH_KURSSOURCE2"/>
      <sheetName val="Sheet1_(2)"/>
      <sheetName val="N_BANDING"/>
      <sheetName val="RL_BANDING"/>
      <sheetName val="Sheet2_(2)"/>
      <sheetName val="Sheet1_(3)"/>
      <sheetName val="COMP"/>
      <sheetName val="SELISIH_KURSSOURCE21"/>
      <sheetName val="Sheet1_(2)1"/>
      <sheetName val="N_BANDING1"/>
      <sheetName val="RL_BANDING1"/>
      <sheetName val="Sheet2_(2)1"/>
      <sheetName val="Sheet1_(3)1"/>
      <sheetName val="21_x0000__x0001_䃀澘孍甀ʻʚ_x0000__x0000_≠ʻ_x0000__x0000__x0002__x0000_휁"/>
      <sheetName val="21_x005f_x0000__x005f_x0001_䃀澘孍甀ʻʚ_x005f_x0000__"/>
      <sheetName val="21?_x0001_䃀澘孍甀ʻʚ??≠ʻ??_x0002_?휁"/>
      <sheetName val="21__x0001_䃀澘孍甀ʻʚ__≠ʻ___x0002__휁"/>
      <sheetName val="21_x0000__x0001_???????_x0000__x0000_??_x0000__x0000__x0002__x0000_?"/>
      <sheetName val="21_x005f_x0000__x005f_x0001_???????_x005f_x0000__"/>
      <sheetName val="21?_x0001_?????????????_x0002_??"/>
      <sheetName val="21__x0001_???????__??___x0002__?"/>
      <sheetName val="SELISIH_KURSSOURCE27"/>
      <sheetName val="Sheet1_(2)7"/>
      <sheetName val="N_BANDING7"/>
      <sheetName val="RL_BANDING7"/>
      <sheetName val="Sheet2_(2)7"/>
      <sheetName val="Sheet1_(3)7"/>
      <sheetName val="21䃀澘孍甀ʻʚ≠ʻ휁"/>
      <sheetName val="21?䃀澘孍甀ʻʚ??≠ʻ???휁"/>
      <sheetName val="21_䃀澘孍甀ʻʚ__≠ʻ___휁"/>
      <sheetName val="SELISIH_KURSSOURCE22"/>
      <sheetName val="Sheet1_(2)2"/>
      <sheetName val="N_BANDING2"/>
      <sheetName val="RL_BANDING2"/>
      <sheetName val="Sheet2_(2)2"/>
      <sheetName val="Sheet1_(3)2"/>
      <sheetName val="SELISIH_KURSSOURCE24"/>
      <sheetName val="Sheet1_(2)4"/>
      <sheetName val="N_BANDING4"/>
      <sheetName val="RL_BANDING4"/>
      <sheetName val="Sheet2_(2)4"/>
      <sheetName val="Sheet1_(3)4"/>
      <sheetName val="SELISIH_KURSSOURCE23"/>
      <sheetName val="Sheet1_(2)3"/>
      <sheetName val="N_BANDING3"/>
      <sheetName val="RL_BANDING3"/>
      <sheetName val="Sheet2_(2)3"/>
      <sheetName val="Sheet1_(3)3"/>
      <sheetName val="SELISIH_KURSSOURCE25"/>
      <sheetName val="Sheet1_(2)5"/>
      <sheetName val="N_BANDING5"/>
      <sheetName val="RL_BANDING5"/>
      <sheetName val="Sheet2_(2)5"/>
      <sheetName val="Sheet1_(3)5"/>
      <sheetName val="SELISIH_KURSSOURCE26"/>
      <sheetName val="Sheet1_(2)6"/>
      <sheetName val="N_BANDING6"/>
      <sheetName val="RL_BANDING6"/>
      <sheetName val="Sheet2_(2)6"/>
      <sheetName val="Sheet1_(3)6"/>
      <sheetName val="SELISIH_KURSSOURCE210"/>
      <sheetName val="Sheet1_(2)10"/>
      <sheetName val="N_BANDING10"/>
      <sheetName val="RL_BANDING10"/>
      <sheetName val="Sheet2_(2)10"/>
      <sheetName val="Sheet1_(3)10"/>
      <sheetName val="SELISIH_KURSSOURCE28"/>
      <sheetName val="Sheet1_(2)8"/>
      <sheetName val="N_BANDING8"/>
      <sheetName val="RL_BANDING8"/>
      <sheetName val="Sheet2_(2)8"/>
      <sheetName val="Sheet1_(3)8"/>
      <sheetName val="SELISIH_KURSSOURCE29"/>
      <sheetName val="Sheet1_(2)9"/>
      <sheetName val="N_BANDING9"/>
      <sheetName val="RL_BANDING9"/>
      <sheetName val="Sheet2_(2)9"/>
      <sheetName val="Sheet1_(3)9"/>
      <sheetName val="SELISIH_KURSSOURCE213"/>
      <sheetName val="Sheet1_(2)13"/>
      <sheetName val="N_BANDING13"/>
      <sheetName val="RL_BANDING13"/>
      <sheetName val="Sheet2_(2)13"/>
      <sheetName val="Sheet1_(3)13"/>
      <sheetName val="SELISIH_KURSSOURCE212"/>
      <sheetName val="Sheet1_(2)12"/>
      <sheetName val="N_BANDING12"/>
      <sheetName val="RL_BANDING12"/>
      <sheetName val="Sheet2_(2)12"/>
      <sheetName val="Sheet1_(3)12"/>
      <sheetName val="SELISIH_KURSSOURCE211"/>
      <sheetName val="Sheet1_(2)11"/>
      <sheetName val="N_BANDING11"/>
      <sheetName val="RL_BANDING11"/>
      <sheetName val="Sheet2_(2)11"/>
      <sheetName val="Sheet1_(3)11"/>
      <sheetName val="21_x005f_x0000__x005f_x0001_________x005f_x0000__"/>
      <sheetName val="21__x0001_______________x0002___"/>
      <sheetName val="21??????????"/>
      <sheetName val="21????????????????"/>
      <sheetName val="21_???????__??___?"/>
      <sheetName val="bag"/>
      <sheetName val="SELISIH_KURSSOURCE214"/>
      <sheetName val="Sheet1_(2)14"/>
      <sheetName val="N_BANDING14"/>
      <sheetName val="RL_BANDING14"/>
      <sheetName val="Sheet2_(2)14"/>
      <sheetName val="Sheet1_(3)14"/>
      <sheetName val="21__________"/>
      <sheetName val="21________________"/>
      <sheetName val="GraphTemp"/>
      <sheetName val="wwancara"/>
      <sheetName val="COSTCAP (3)"/>
      <sheetName val="Module2"/>
      <sheetName val="Detail"/>
      <sheetName val="E-1-1"/>
      <sheetName val="LPP"/>
      <sheetName val="Kirim TUP"/>
      <sheetName val="KPS 6 "/>
      <sheetName val="sampul"/>
      <sheetName val="LAPORAN"/>
      <sheetName val="KKP"/>
      <sheetName val="Neraca"/>
      <sheetName val="R-L"/>
      <sheetName val="E-6"/>
      <sheetName val="E-6-1"/>
      <sheetName val="Kredit Pajak"/>
      <sheetName val="Pengantar Alket"/>
      <sheetName val="Alket"/>
      <sheetName val="NOTHIT BADAN"/>
      <sheetName val="STP BADAN"/>
      <sheetName val="NOTHIT21"/>
      <sheetName val="NOTHIT23 (2)"/>
      <sheetName val="NOTHIT23"/>
      <sheetName val="NOTHIT26"/>
      <sheetName val="NOTHIT4 ayat 2"/>
      <sheetName val="NOTHIT PPN"/>
      <sheetName val="NOTHIT PPN (2)"/>
      <sheetName val="PHP 1"/>
      <sheetName val="PHP 2"/>
      <sheetName val="Surat Tanggapan"/>
      <sheetName val="Lembar Pernyataan"/>
      <sheetName val="BAP PHP"/>
      <sheetName val="Peng-DHK"/>
      <sheetName val="DHK"/>
      <sheetName val="Peng-KLU"/>
      <sheetName val="KLU"/>
      <sheetName val="Ex_Rate"/>
      <sheetName val="ShareCapital "/>
      <sheetName val="21_x005f_x005f_x005f_x0000__x005f_x005f_x005f_x0001_䃀澘孍"/>
      <sheetName val="21__x005f_x0001_䃀澘孍甀ʻʚ__≠ʻ___x005f_x0002__"/>
      <sheetName val="21_x005f_x005f_x005f_x0000__x005f_x005f_x005f_x0001____"/>
      <sheetName val="21__x005f_x0001_______________x005f_x0002__"/>
      <sheetName val="GLdownload"/>
      <sheetName val="21_x0000__x0001_䃀澘孍甀ʻʚ_x0000__"/>
      <sheetName val="21_x0000__x0001_________x0000__"/>
      <sheetName val="21_x005f_x0000__x005f_x0001_䃀澘孍"/>
      <sheetName val="21__x0001_䃀澘孍甀ʻʚ__≠ʻ___x0002__"/>
      <sheetName val="21_x005f_x0000__x005f_x0001____"/>
      <sheetName val="21__x0001_______________x0002__"/>
      <sheetName val="21_x0000__x0001_䃀澘孍"/>
      <sheetName val="21_x0000__x0001____"/>
      <sheetName val="SELISIH_KURSSOURCE215"/>
      <sheetName val="Sheet1_(2)15"/>
      <sheetName val="N_BANDING15"/>
      <sheetName val="RL_BANDING15"/>
      <sheetName val="Sheet2_(2)15"/>
      <sheetName val="Sheet1_(3)15"/>
      <sheetName val="COSTCAP_(3)"/>
      <sheetName val="21_x0000__x0001_???????_x0000__"/>
      <sheetName val="21_x005f_x0000__x005f_x0001_________x005f_x0000_2"/>
      <sheetName val="K.6DEPOSIT"/>
      <sheetName val="PDPC0908"/>
      <sheetName val="kurs"/>
      <sheetName val="PEMAKAIAN PAKAN &amp; OBAT"/>
      <sheetName val="Attachement"/>
      <sheetName val="MK(7ｶ国+5,7,12万台)"/>
      <sheetName val="SEP"/>
      <sheetName val="KMK all 10-13"/>
      <sheetName val="PPNSPM-2012-normal"/>
      <sheetName val="PPNSPM-2012-p.1"/>
      <sheetName val="PPN SPM-2012-p.2"/>
      <sheetName val="PPNSPM-2013"/>
      <sheetName val="A1"/>
      <sheetName val="A2"/>
      <sheetName val="B1"/>
      <sheetName val="B2"/>
      <sheetName val="B3"/>
      <sheetName val="PEB"/>
      <sheetName val="MPN"/>
      <sheetName val="PEB (2)"/>
      <sheetName val="PIB"/>
      <sheetName val="Kurs KMK 2009 s.d 2011"/>
      <sheetName val="NZD"/>
      <sheetName val="KMK USD 2012-2013"/>
      <sheetName val="KMK EURO 12"/>
      <sheetName val="KMK JPY 12"/>
      <sheetName val="KMK USD13"/>
      <sheetName val="JPY 13"/>
      <sheetName val="SGD"/>
      <sheetName val="Bath 2012"/>
      <sheetName val="21_x005f_x0000__x005f_x0001_________x005f_x0000_3"/>
      <sheetName val="A"/>
      <sheetName val="Statistics"/>
      <sheetName val="Pengobatan"/>
      <sheetName val="21_x005f_x0000__x005f_x0001_________x005f_x0000_4"/>
      <sheetName val="SPAREPARTS"/>
      <sheetName val="ASU1"/>
      <sheetName val="ASU2"/>
      <sheetName val="HYD1"/>
      <sheetName val="HYD2"/>
      <sheetName val="IDCO"/>
      <sheetName val="APSA"/>
      <sheetName val="EJIP"/>
      <sheetName val="PROV"/>
      <sheetName val="REL"/>
      <sheetName val="TCN"/>
      <sheetName val="VSA"/>
      <sheetName val="LTLGroup"/>
      <sheetName val="kary21"/>
      <sheetName val="dat."/>
      <sheetName val="rekp."/>
      <sheetName val="sptmasa"/>
      <sheetName val="kredit"/>
      <sheetName val="kprikps"/>
      <sheetName val="oby."/>
      <sheetName val="Urai"/>
      <sheetName val="nothit"/>
      <sheetName val="induk php"/>
      <sheetName val="php"/>
      <sheetName val="setuju"/>
      <sheetName val="tangg"/>
      <sheetName val="I.4.1 (2)"/>
      <sheetName val="WBS1"/>
      <sheetName val="Ex-Rate"/>
      <sheetName val="SALES JULI"/>
      <sheetName val="KKP-III"/>
      <sheetName val="FKT_PJK"/>
      <sheetName val="5"/>
      <sheetName val="Trading Statement"/>
      <sheetName val="K_6DEPOSIT"/>
      <sheetName val="MTO REV.2(ARMOR)"/>
      <sheetName val="LTLGroup-Trans"/>
      <sheetName val="K_6DEPOSIT6"/>
      <sheetName val="Trading_Statement5"/>
      <sheetName val="MTO_REV_2(ARMOR)5"/>
      <sheetName val="K_6DEPOSIT1"/>
      <sheetName val="Trading_Statement"/>
      <sheetName val="MTO_REV_2(ARMOR)"/>
      <sheetName val="K_6DEPOSIT3"/>
      <sheetName val="Trading_Statement2"/>
      <sheetName val="MTO_REV_2(ARMOR)2"/>
      <sheetName val="K_6DEPOSIT2"/>
      <sheetName val="Trading_Statement1"/>
      <sheetName val="MTO_REV_2(ARMOR)1"/>
      <sheetName val="K_6DEPOSIT4"/>
      <sheetName val="Trading_Statement3"/>
      <sheetName val="MTO_REV_2(ARMOR)3"/>
      <sheetName val="K_6DEPOSIT5"/>
      <sheetName val="Trading_Statement4"/>
      <sheetName val="MTO_REV_2(ARMOR)4"/>
      <sheetName val="K_6DEPOSIT9"/>
      <sheetName val="Trading_Statement8"/>
      <sheetName val="MTO_REV_2(ARMOR)8"/>
      <sheetName val="K_6DEPOSIT7"/>
      <sheetName val="Trading_Statement6"/>
      <sheetName val="MTO_REV_2(ARMOR)6"/>
      <sheetName val="K_6DEPOSIT8"/>
      <sheetName val="Trading_Statement7"/>
      <sheetName val="MTO_REV_2(ARMOR)7"/>
      <sheetName val="K_6DEPOSIT12"/>
      <sheetName val="Trading_Statement11"/>
      <sheetName val="MTO_REV_2(ARMOR)11"/>
      <sheetName val="K_6DEPOSIT11"/>
      <sheetName val="Trading_Statement10"/>
      <sheetName val="MTO_REV_2(ARMOR)10"/>
      <sheetName val="K_6DEPOSIT10"/>
      <sheetName val="Trading_Statement9"/>
      <sheetName val="MTO_REV_2(ARMOR)9"/>
      <sheetName val="Customize Your Purchase Order"/>
      <sheetName val="K_6DEPOSIT13"/>
      <sheetName val="Trading_Statement12"/>
      <sheetName val="MTO_REV_2(ARMOR)12"/>
      <sheetName val="CRA-Detail"/>
      <sheetName val="PEDESB"/>
      <sheetName val="des"/>
      <sheetName val="JUL"/>
      <sheetName val="Trial Balance - MARCH 2006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Table Array"/>
      <sheetName val="Trial_Balance_-_MARCH_20065"/>
      <sheetName val="Kirim_TUP5"/>
      <sheetName val="KPS_6_5"/>
      <sheetName val="Kredit_Pajak5"/>
      <sheetName val="Pengantar_Alket5"/>
      <sheetName val="NOTHIT_BADAN5"/>
      <sheetName val="STP_BADAN5"/>
      <sheetName val="NOTHIT23_(2)5"/>
      <sheetName val="NOTHIT4_ayat_25"/>
      <sheetName val="NOTHIT_PPN5"/>
      <sheetName val="NOTHIT_PPN_(2)5"/>
      <sheetName val="PHP_15"/>
      <sheetName val="PHP_25"/>
      <sheetName val="Surat_Tanggapan5"/>
      <sheetName val="Lembar_Pernyataan5"/>
      <sheetName val="BAP_PHP5"/>
      <sheetName val="Projection_2007_Lampung5"/>
      <sheetName val="Projection_2007_Medan5"/>
      <sheetName val="Projection_2007_Pasuruan5"/>
      <sheetName val="Projection_2007_Pemalang5"/>
      <sheetName val="Projection_2007_PSN5"/>
      <sheetName val="Projection_2007_PSVN5"/>
      <sheetName val="Projection_2007_Sulawesi5"/>
      <sheetName val="Trial_Balance_-_MARCH_2006"/>
      <sheetName val="Kirim_TUP"/>
      <sheetName val="KPS_6_"/>
      <sheetName val="Kredit_Pajak"/>
      <sheetName val="Pengantar_Alket"/>
      <sheetName val="NOTHIT_BADAN"/>
      <sheetName val="STP_BADAN"/>
      <sheetName val="NOTHIT23_(2)"/>
      <sheetName val="NOTHIT4_ayat_2"/>
      <sheetName val="NOTHIT_PPN"/>
      <sheetName val="NOTHIT_PPN_(2)"/>
      <sheetName val="PHP_1"/>
      <sheetName val="PHP_2"/>
      <sheetName val="Surat_Tanggapan"/>
      <sheetName val="Lembar_Pernyataan"/>
      <sheetName val="BAP_PHP"/>
      <sheetName val="Projection_2007_Lampung"/>
      <sheetName val="Projection_2007_Medan"/>
      <sheetName val="Projection_2007_Pasuruan"/>
      <sheetName val="Projection_2007_Pemalang"/>
      <sheetName val="Projection_2007_PSN"/>
      <sheetName val="Projection_2007_PSVN"/>
      <sheetName val="Projection_2007_Sulawesi"/>
      <sheetName val="Trial_Balance_-_MARCH_20062"/>
      <sheetName val="Kirim_TUP2"/>
      <sheetName val="KPS_6_2"/>
      <sheetName val="Kredit_Pajak2"/>
      <sheetName val="Pengantar_Alket2"/>
      <sheetName val="NOTHIT_BADAN2"/>
      <sheetName val="STP_BADAN2"/>
      <sheetName val="NOTHIT23_(2)2"/>
      <sheetName val="NOTHIT4_ayat_22"/>
      <sheetName val="NOTHIT_PPN2"/>
      <sheetName val="NOTHIT_PPN_(2)2"/>
      <sheetName val="PHP_12"/>
      <sheetName val="PHP_22"/>
      <sheetName val="Surat_Tanggapan2"/>
      <sheetName val="Lembar_Pernyataan2"/>
      <sheetName val="BAP_PHP2"/>
      <sheetName val="Projection_2007_Lampung2"/>
      <sheetName val="Projection_2007_Medan2"/>
      <sheetName val="Projection_2007_Pasuruan2"/>
      <sheetName val="Projection_2007_Pemalang2"/>
      <sheetName val="Projection_2007_PSN2"/>
      <sheetName val="Projection_2007_PSVN2"/>
      <sheetName val="Projection_2007_Sulawesi2"/>
      <sheetName val="Trial_Balance_-_MARCH_20061"/>
      <sheetName val="Kirim_TUP1"/>
      <sheetName val="KPS_6_1"/>
      <sheetName val="Kredit_Pajak1"/>
      <sheetName val="Pengantar_Alket1"/>
      <sheetName val="NOTHIT_BADAN1"/>
      <sheetName val="STP_BADAN1"/>
      <sheetName val="NOTHIT23_(2)1"/>
      <sheetName val="NOTHIT4_ayat_21"/>
      <sheetName val="NOTHIT_PPN1"/>
      <sheetName val="NOTHIT_PPN_(2)1"/>
      <sheetName val="PHP_11"/>
      <sheetName val="PHP_21"/>
      <sheetName val="Surat_Tanggapan1"/>
      <sheetName val="Lembar_Pernyataan1"/>
      <sheetName val="BAP_PHP1"/>
      <sheetName val="Projection_2007_Lampung1"/>
      <sheetName val="Projection_2007_Medan1"/>
      <sheetName val="Projection_2007_Pasuruan1"/>
      <sheetName val="Projection_2007_Pemalang1"/>
      <sheetName val="Projection_2007_PSN1"/>
      <sheetName val="Projection_2007_PSVN1"/>
      <sheetName val="Projection_2007_Sulawesi1"/>
      <sheetName val="Trial_Balance_-_MARCH_20063"/>
      <sheetName val="Kirim_TUP3"/>
      <sheetName val="KPS_6_3"/>
      <sheetName val="Kredit_Pajak3"/>
      <sheetName val="Pengantar_Alket3"/>
      <sheetName val="NOTHIT_BADAN3"/>
      <sheetName val="STP_BADAN3"/>
      <sheetName val="NOTHIT23_(2)3"/>
      <sheetName val="NOTHIT4_ayat_23"/>
      <sheetName val="NOTHIT_PPN3"/>
      <sheetName val="NOTHIT_PPN_(2)3"/>
      <sheetName val="PHP_13"/>
      <sheetName val="PHP_23"/>
      <sheetName val="Surat_Tanggapan3"/>
      <sheetName val="Lembar_Pernyataan3"/>
      <sheetName val="BAP_PHP3"/>
      <sheetName val="Projection_2007_Lampung3"/>
      <sheetName val="Projection_2007_Medan3"/>
      <sheetName val="Projection_2007_Pasuruan3"/>
      <sheetName val="Projection_2007_Pemalang3"/>
      <sheetName val="Projection_2007_PSN3"/>
      <sheetName val="Projection_2007_PSVN3"/>
      <sheetName val="Projection_2007_Sulawesi3"/>
      <sheetName val="Trial_Balance_-_MARCH_20064"/>
      <sheetName val="Kirim_TUP4"/>
      <sheetName val="KPS_6_4"/>
      <sheetName val="Kredit_Pajak4"/>
      <sheetName val="Pengantar_Alket4"/>
      <sheetName val="NOTHIT_BADAN4"/>
      <sheetName val="STP_BADAN4"/>
      <sheetName val="NOTHIT23_(2)4"/>
      <sheetName val="NOTHIT4_ayat_24"/>
      <sheetName val="NOTHIT_PPN4"/>
      <sheetName val="NOTHIT_PPN_(2)4"/>
      <sheetName val="PHP_14"/>
      <sheetName val="PHP_24"/>
      <sheetName val="Surat_Tanggapan4"/>
      <sheetName val="Lembar_Pernyataan4"/>
      <sheetName val="BAP_PHP4"/>
      <sheetName val="Projection_2007_Lampung4"/>
      <sheetName val="Projection_2007_Medan4"/>
      <sheetName val="Projection_2007_Pasuruan4"/>
      <sheetName val="Projection_2007_Pemalang4"/>
      <sheetName val="Projection_2007_PSN4"/>
      <sheetName val="Projection_2007_PSVN4"/>
      <sheetName val="Projection_2007_Sulawesi4"/>
      <sheetName val="Trial_Balance_-_MARCH_20068"/>
      <sheetName val="Kirim_TUP8"/>
      <sheetName val="KPS_6_8"/>
      <sheetName val="Kredit_Pajak8"/>
      <sheetName val="Pengantar_Alket8"/>
      <sheetName val="NOTHIT_BADAN8"/>
      <sheetName val="STP_BADAN8"/>
      <sheetName val="NOTHIT23_(2)8"/>
      <sheetName val="NOTHIT4_ayat_28"/>
      <sheetName val="NOTHIT_PPN8"/>
      <sheetName val="NOTHIT_PPN_(2)8"/>
      <sheetName val="PHP_18"/>
      <sheetName val="PHP_28"/>
      <sheetName val="Surat_Tanggapan8"/>
      <sheetName val="21_x005f_x0000__x005f_x0001_________x005f_x0000_5"/>
      <sheetName val="TO"/>
      <sheetName val="KU-Ajt'03"/>
      <sheetName val="KS-Ajt'03"/>
      <sheetName val="KT-Ajt'03"/>
      <sheetName val="KB-Ajt'03"/>
      <sheetName val="Mill-Ajt'03"/>
      <sheetName val="Sum KU,KS,KT,KB"/>
      <sheetName val="21_x005f_x0000__x005f_x0001_________x005f_x0000_6"/>
      <sheetName val="Lembar_Pernyataan8"/>
      <sheetName val="BAP_PHP8"/>
      <sheetName val="Projection_2007_Lampung8"/>
      <sheetName val="Projection_2007_Medan8"/>
      <sheetName val="21_x005f_x0000__x005f_x0001_________x005f_x0000_7"/>
      <sheetName val="21_x005f_x005f_x005f_x0000__x005f_x005f_x005f_x0001_???"/>
      <sheetName val="21__x005f_x0001_???????__??___x005f_x0002__"/>
      <sheetName val="21_x005f_x0000__x005f_x0001_???"/>
      <sheetName val="21__x0001_???????__??___x0002__"/>
      <sheetName val="21_x0000__x0001_???"/>
      <sheetName val="MK(7??+5,7,12??)"/>
      <sheetName val="Projection_2007_Pasuruan8"/>
      <sheetName val="Projection_2007_Pemalang8"/>
      <sheetName val="Projection_2007_PSN8"/>
      <sheetName val="Projection_2007_PSVN8"/>
      <sheetName val="Projection_2007_Sulawesi8"/>
      <sheetName val="Trial_Balance_-_MARCH_20066"/>
      <sheetName val="Kirim_TUP6"/>
      <sheetName val="KPS_6_6"/>
      <sheetName val="Kredit_Pajak6"/>
      <sheetName val="Pengantar_Alket6"/>
      <sheetName val="NOTHIT_BADAN6"/>
      <sheetName val="STP_BADAN6"/>
      <sheetName val="NOTHIT23_(2)6"/>
      <sheetName val="NOTHIT4_ayat_26"/>
      <sheetName val="NOTHIT_PPN6"/>
      <sheetName val="NOTHIT_PPN_(2)6"/>
      <sheetName val="PHP_16"/>
      <sheetName val="PHP_26"/>
      <sheetName val="Surat_Tanggapan6"/>
      <sheetName val="Lembar_Pernyataan6"/>
      <sheetName val="BAP_PHP6"/>
      <sheetName val="Projection_2007_Lampung6"/>
      <sheetName val="Projection_2007_Medan6"/>
      <sheetName val="Projection_2007_Pasuruan6"/>
      <sheetName val="Projection_2007_Pemalang6"/>
      <sheetName val="Projection_2007_PSN6"/>
      <sheetName val="21?_x005f_x0001_䃀澘孍甀ʻʚ??≠ʻ??_x005f_x0002_?"/>
      <sheetName val="21?_x005f_x0001_?????????????_x005f_x0002_?"/>
      <sheetName val="21_x005f_x005f_x005f_x005f_x005f_x005f_x005f_x0000__x00"/>
      <sheetName val="21__x005f_x005f_x005f_x0001_䃀澘孍甀ʻʚ__≠ʻ___x"/>
      <sheetName val="21__x005f_x005f_x005f_x0001_______________x"/>
      <sheetName val="Projection_2007_PSVN6"/>
      <sheetName val="Projection_2007_Sulawesi6"/>
      <sheetName val="Trial_Balance_-_MARCH_20067"/>
      <sheetName val="Kirim_TUP7"/>
      <sheetName val="KPS_6_7"/>
      <sheetName val="Kredit_Pajak7"/>
      <sheetName val="Pengantar_Alket7"/>
      <sheetName val="NOTHIT_BADAN7"/>
      <sheetName val="STP_BADAN7"/>
      <sheetName val="NOTHIT23_(2)7"/>
      <sheetName val="NOTHIT4_ayat_27"/>
      <sheetName val="NOTHIT_PPN7"/>
      <sheetName val="NOTHIT_PPN_(2)7"/>
      <sheetName val="PHP_17"/>
      <sheetName val="PHP_27"/>
      <sheetName val="Surat_Tanggapan7"/>
      <sheetName val="Lembar_Pernyataan7"/>
      <sheetName val="BAP_PHP7"/>
      <sheetName val="Projection_2007_Lampung7"/>
      <sheetName val="Projection_2007_Medan7"/>
      <sheetName val="Projection_2007_Pasuruan7"/>
      <sheetName val="Projection_2007_Pemalang7"/>
      <sheetName val="Projection_2007_PSN7"/>
      <sheetName val="Projection_2007_PSVN7"/>
      <sheetName val="Projection_2007_Sulawesi7"/>
      <sheetName val="Trial_Balance_-_MARCH_200611"/>
      <sheetName val="Kirim_TUP11"/>
      <sheetName val="KPS_6_11"/>
      <sheetName val="Kredit_Pajak11"/>
      <sheetName val="Pengantar_Alket11"/>
      <sheetName val="NOTHIT_BADAN11"/>
      <sheetName val="STP_BADAN11"/>
      <sheetName val="NOTHIT23_(2)11"/>
      <sheetName val="NOTHIT4_ayat_211"/>
      <sheetName val="NOTHIT_PPN11"/>
      <sheetName val="NOTHIT_PPN_(2)11"/>
      <sheetName val="PHP_111"/>
      <sheetName val="PHP_211"/>
      <sheetName val="Surat_Tanggapan11"/>
      <sheetName val="Lembar_Pernyataan11"/>
      <sheetName val="BAP_PHP11"/>
      <sheetName val="Projection_2007_Lampung11"/>
      <sheetName val="Projection_2007_Medan11"/>
      <sheetName val="Projection_2007_Pasuruan11"/>
      <sheetName val="Projection_2007_Pemalang11"/>
      <sheetName val="Projection_2007_PSN11"/>
      <sheetName val="Projection_2007_PSVN11"/>
      <sheetName val="Projection_2007_Sulawesi11"/>
      <sheetName val="Trial_Balance_-_MARCH_200610"/>
      <sheetName val="Kirim_TUP10"/>
      <sheetName val="KPS_6_10"/>
      <sheetName val="Kredit_Pajak10"/>
      <sheetName val="Pengantar_Alket10"/>
      <sheetName val="NOTHIT_BADAN10"/>
      <sheetName val="STP_BADAN10"/>
      <sheetName val="NOTHIT23_(2)10"/>
      <sheetName val="NOTHIT4_ayat_210"/>
      <sheetName val="NOTHIT_PPN10"/>
      <sheetName val="NOTHIT_PPN_(2)10"/>
      <sheetName val="PHP_110"/>
      <sheetName val="PHP_210"/>
      <sheetName val="Surat_Tanggapan10"/>
      <sheetName val="Lembar_Pernyataan10"/>
      <sheetName val="BAP_PHP10"/>
      <sheetName val="Projection_2007_Lampung10"/>
      <sheetName val="Projection_2007_Medan10"/>
      <sheetName val="Projection_2007_Pasuruan10"/>
      <sheetName val="Projection_2007_Pemalang10"/>
      <sheetName val="Projection_2007_PSN10"/>
      <sheetName val="Projection_2007_PSVN10"/>
      <sheetName val="Projection_2007_Sulawesi10"/>
      <sheetName val="Trial_Balance_-_MARCH_20069"/>
      <sheetName val="Kirim_TUP9"/>
      <sheetName val="KPS_6_9"/>
      <sheetName val="Kredit_Pajak9"/>
      <sheetName val="Pengantar_Alket9"/>
      <sheetName val="NOTHIT_BADAN9"/>
      <sheetName val="STP_BADAN9"/>
      <sheetName val="NOTHIT23_(2)9"/>
      <sheetName val="NOTHIT4_ayat_29"/>
      <sheetName val="NOTHIT_PPN9"/>
      <sheetName val="NOTHIT_PPN_(2)9"/>
      <sheetName val="PHP_19"/>
      <sheetName val="PHP_29"/>
      <sheetName val="Surat_Tanggapan9"/>
      <sheetName val="Lembar_Pernyataan9"/>
      <sheetName val="BAP_PHP9"/>
      <sheetName val="Projection_2007_Lampung9"/>
      <sheetName val="Projection_2007_Medan9"/>
      <sheetName val="Projection_2007_Pasuruan9"/>
      <sheetName val="Projection_2007_Pemalang9"/>
      <sheetName val="Projection_2007_PSN9"/>
      <sheetName val="Projection_2007_PSVN9"/>
      <sheetName val="Projection_2007_Sulawesi9"/>
      <sheetName val="A1-B ASSET"/>
      <sheetName val="貸借対照表(BS)"/>
      <sheetName val="損益計算書(PL)"/>
      <sheetName val="TABEL DARI AKTUARIA"/>
      <sheetName val="Table_Array"/>
      <sheetName val="100152"/>
      <sheetName val="std"/>
      <sheetName val="Trial_Balance_-_MARCH_200612"/>
      <sheetName val="Kirim_TUP12"/>
      <sheetName val="KPS_6_12"/>
      <sheetName val="Kredit_Pajak12"/>
      <sheetName val="Pengantar_Alket12"/>
      <sheetName val="NOTHIT_BADAN12"/>
      <sheetName val="STP_BADAN12"/>
      <sheetName val="NOTHIT23_(2)12"/>
      <sheetName val="NOTHIT4_ayat_212"/>
      <sheetName val="NOTHIT_PPN12"/>
      <sheetName val="NOTHIT_PPN_(2)12"/>
      <sheetName val="PHP_112"/>
      <sheetName val="PHP_212"/>
      <sheetName val="Surat_Tanggapan12"/>
      <sheetName val="Family"/>
      <sheetName val="PEMAKAIAN_PAKAN_&amp;_OBAT"/>
      <sheetName val="Marshal"/>
      <sheetName val="F1771-IV"/>
      <sheetName val="F1771-V"/>
      <sheetName val="CODE"/>
      <sheetName val="5100"/>
      <sheetName val="5500"/>
      <sheetName val="6100"/>
      <sheetName val="5200"/>
      <sheetName val="7000"/>
      <sheetName val="5300 &amp; 6400"/>
      <sheetName val="5400"/>
      <sheetName val="Rate"/>
      <sheetName val="PEMAKAIAN_PAKAN_&amp;_OBAT6"/>
      <sheetName val="Customize_Your_Purchase_Order5"/>
      <sheetName val="5300_&amp;_64005"/>
      <sheetName val="PEMAKAIAN_PAKAN_&amp;_OBAT1"/>
      <sheetName val="Customize_Your_Purchase_Order"/>
      <sheetName val="5300_&amp;_6400"/>
      <sheetName val="PEMAKAIAN_PAKAN_&amp;_OBAT3"/>
      <sheetName val="Customize_Your_Purchase_Order2"/>
      <sheetName val="5300_&amp;_64002"/>
      <sheetName val="PEMAKAIAN_PAKAN_&amp;_OBAT2"/>
      <sheetName val="Customize_Your_Purchase_Order1"/>
      <sheetName val="5300_&amp;_64001"/>
      <sheetName val="PEMAKAIAN_PAKAN_&amp;_OBAT4"/>
      <sheetName val="Customize_Your_Purchase_Order3"/>
      <sheetName val="5300_&amp;_64003"/>
      <sheetName val="PEMAKAIAN_PAKAN_&amp;_OBAT5"/>
      <sheetName val="Customize_Your_Purchase_Order4"/>
      <sheetName val="5300_&amp;_64004"/>
      <sheetName val="PEMAKAIAN_PAKAN_&amp;_OBAT9"/>
      <sheetName val="Customize_Your_Purchase_Order8"/>
      <sheetName val="5300_&amp;_64008"/>
      <sheetName val="PEMAKAIAN_PAKAN_&amp;_OBAT7"/>
      <sheetName val="Customize_Your_Purchase_Order6"/>
      <sheetName val="5300_&amp;_64006"/>
      <sheetName val="PEMAKAIAN_PAKAN_&amp;_OBAT8"/>
      <sheetName val="Customize_Your_Purchase_Order7"/>
      <sheetName val="5300_&amp;_64007"/>
      <sheetName val="List PT"/>
      <sheetName val="PEMAKAIAN_PAKAN_&amp;_OBAT12"/>
      <sheetName val="Customize_Your_Purchase_Order11"/>
      <sheetName val="5300_&amp;_640011"/>
      <sheetName val="PEMAKAIAN_PAKAN_&amp;_OBAT11"/>
      <sheetName val="Customize_Your_Purchase_Order10"/>
      <sheetName val="5300_&amp;_640010"/>
      <sheetName val="PEMAKAIAN_PAKAN_&amp;_OBAT10"/>
      <sheetName val="Customize_Your_Purchase_Order9"/>
      <sheetName val="5300_&amp;_64009"/>
      <sheetName val="Effort.P"/>
      <sheetName val="PEMAKAIAN_PAKAN_&amp;_OBAT13"/>
      <sheetName val="Customize_Your_Purchase_Order12"/>
      <sheetName val="5300_&amp;_640012"/>
      <sheetName val="Biaya Departemen"/>
      <sheetName val="Links"/>
      <sheetName val="leave"/>
      <sheetName val="ADD-DISP-OTHER"/>
      <sheetName val="合成単価作成・-BLDG"/>
      <sheetName val="REKAP PPH 21"/>
      <sheetName val="ATU"/>
      <sheetName val="21_x0000__x0001_________x0000_2"/>
      <sheetName val="21_x0000__x0001_________x0000_3"/>
      <sheetName val="기준정보"/>
      <sheetName val="#REF"/>
      <sheetName val="대차대조표"/>
      <sheetName val="CMA Calculations"/>
      <sheetName val="Vendors"/>
      <sheetName val="depo"/>
      <sheetName val="SELISIH_KURSSOURCE216"/>
      <sheetName val="Sheet1_(2)16"/>
      <sheetName val="N_BANDING16"/>
      <sheetName val="RL_BANDING16"/>
      <sheetName val="Sheet2_(2)16"/>
      <sheetName val="Sheet1_(3)16"/>
      <sheetName val="COSTCAP_(3)1"/>
      <sheetName val="21䃀澘孍甀ʻʚ_"/>
      <sheetName val="21________"/>
      <sheetName val="21_䃀澘孍甀ʻʚ__≠ʻ___"/>
      <sheetName val="21_______________"/>
      <sheetName val="21䃀澘孍"/>
      <sheetName val="21___"/>
      <sheetName val="ShareCapital_"/>
      <sheetName val="21???????_"/>
      <sheetName val="KMK_all_10-13"/>
      <sheetName val="PPNSPM-2012-p_1"/>
      <sheetName val="PPN_SPM-2012-p_2"/>
      <sheetName val="PEB_(2)"/>
      <sheetName val="Kurs_KMK_2009_s_d_2011"/>
      <sheetName val="KMK_USD_2012-2013"/>
      <sheetName val="KMK_EURO_12"/>
      <sheetName val="KMK_JPY_12"/>
      <sheetName val="KMK_USD13"/>
      <sheetName val="JPY_13"/>
      <sheetName val="Bath_2012"/>
      <sheetName val="SELISIH_KURSSOURCE217"/>
      <sheetName val="Sheet1_(2)17"/>
      <sheetName val="N_BANDING17"/>
      <sheetName val="RL_BANDING17"/>
      <sheetName val="Sheet2_(2)17"/>
      <sheetName val="Sheet1_(3)17"/>
      <sheetName val="COSTCAP_(3)2"/>
      <sheetName val="ShareCapital_1"/>
      <sheetName val="KMK_all_10-131"/>
      <sheetName val="PPNSPM-2012-p_11"/>
      <sheetName val="PPN_SPM-2012-p_21"/>
      <sheetName val="PEB_(2)1"/>
      <sheetName val="Kurs_KMK_2009_s_d_20111"/>
      <sheetName val="KMK_USD_2012-20131"/>
      <sheetName val="KMK_EURO_121"/>
      <sheetName val="KMK_JPY_121"/>
      <sheetName val="KMK_USD131"/>
      <sheetName val="JPY_131"/>
      <sheetName val="Bath_20121"/>
      <sheetName val="SELISIH_KURSSOURCE218"/>
      <sheetName val="Sheet1_(2)18"/>
      <sheetName val="N_BANDING18"/>
      <sheetName val="RL_BANDING18"/>
      <sheetName val="Sheet2_(2)18"/>
      <sheetName val="Sheet1_(3)18"/>
      <sheetName val="COSTCAP_(3)3"/>
      <sheetName val="ShareCapital_2"/>
      <sheetName val="KMK_all_10-132"/>
      <sheetName val="PPNSPM-2012-p_12"/>
      <sheetName val="PPN_SPM-2012-p_22"/>
      <sheetName val="PEB_(2)2"/>
      <sheetName val="Kurs_KMK_2009_s_d_20112"/>
      <sheetName val="KMK_USD_2012-20132"/>
      <sheetName val="KMK_EURO_122"/>
      <sheetName val="KMK_JPY_122"/>
      <sheetName val="KMK_USD132"/>
      <sheetName val="JPY_132"/>
      <sheetName val="Bath_20122"/>
      <sheetName val="SELISIH_KURSSOURCE219"/>
      <sheetName val="Sheet1_(2)19"/>
      <sheetName val="N_BANDING19"/>
      <sheetName val="RL_BANDING19"/>
      <sheetName val="Sheet2_(2)19"/>
      <sheetName val="Sheet1_(3)19"/>
      <sheetName val="COSTCAP_(3)4"/>
      <sheetName val="ShareCapital_3"/>
      <sheetName val="KMK_all_10-133"/>
      <sheetName val="PPNSPM-2012-p_13"/>
      <sheetName val="PPN_SPM-2012-p_23"/>
      <sheetName val="PEB_(2)3"/>
      <sheetName val="Kurs_KMK_2009_s_d_20113"/>
      <sheetName val="KMK_USD_2012-20133"/>
      <sheetName val="KMK_EURO_123"/>
      <sheetName val="KMK_JPY_123"/>
      <sheetName val="KMK_USD133"/>
      <sheetName val="JPY_133"/>
      <sheetName val="Bath_20123"/>
      <sheetName val="SELISIH_KURSSOURCE223"/>
      <sheetName val="Sheet1_(2)23"/>
      <sheetName val="N_BANDING23"/>
      <sheetName val="RL_BANDING23"/>
      <sheetName val="Sheet2_(2)23"/>
      <sheetName val="Sheet1_(3)23"/>
      <sheetName val="COSTCAP_(3)8"/>
      <sheetName val="ShareCapital_7"/>
      <sheetName val="KMK_all_10-137"/>
      <sheetName val="PPNSPM-2012-p_17"/>
      <sheetName val="PPN_SPM-2012-p_27"/>
      <sheetName val="PEB_(2)7"/>
      <sheetName val="Kurs_KMK_2009_s_d_20117"/>
      <sheetName val="KMK_USD_2012-20137"/>
      <sheetName val="KMK_EURO_127"/>
      <sheetName val="KMK_JPY_127"/>
      <sheetName val="KMK_USD137"/>
      <sheetName val="JPY_137"/>
      <sheetName val="Bath_20127"/>
      <sheetName val="SELISIH_KURSSOURCE220"/>
      <sheetName val="Sheet1_(2)20"/>
      <sheetName val="N_BANDING20"/>
      <sheetName val="RL_BANDING20"/>
      <sheetName val="Sheet2_(2)20"/>
      <sheetName val="Sheet1_(3)20"/>
      <sheetName val="COSTCAP_(3)5"/>
      <sheetName val="ShareCapital_4"/>
      <sheetName val="KMK_all_10-134"/>
      <sheetName val="PPNSPM-2012-p_14"/>
      <sheetName val="PPN_SPM-2012-p_24"/>
      <sheetName val="PEB_(2)4"/>
      <sheetName val="Kurs_KMK_2009_s_d_20114"/>
      <sheetName val="KMK_USD_2012-20134"/>
      <sheetName val="KMK_EURO_124"/>
      <sheetName val="KMK_JPY_124"/>
      <sheetName val="KMK_USD134"/>
      <sheetName val="JPY_134"/>
      <sheetName val="Bath_20124"/>
      <sheetName val="SELISIH_KURSSOURCE221"/>
      <sheetName val="Sheet1_(2)21"/>
      <sheetName val="N_BANDING21"/>
      <sheetName val="RL_BANDING21"/>
      <sheetName val="Sheet2_(2)21"/>
      <sheetName val="Sheet1_(3)21"/>
      <sheetName val="COSTCAP_(3)6"/>
      <sheetName val="ShareCapital_5"/>
      <sheetName val="KMK_all_10-135"/>
      <sheetName val="PPNSPM-2012-p_15"/>
      <sheetName val="PPN_SPM-2012-p_25"/>
      <sheetName val="PEB_(2)5"/>
      <sheetName val="Kurs_KMK_2009_s_d_20115"/>
      <sheetName val="KMK_USD_2012-20135"/>
      <sheetName val="KMK_EURO_125"/>
      <sheetName val="KMK_JPY_125"/>
      <sheetName val="KMK_USD135"/>
      <sheetName val="JPY_135"/>
      <sheetName val="Bath_20125"/>
      <sheetName val="SELISIH_KURSSOURCE222"/>
      <sheetName val="Sheet1_(2)22"/>
      <sheetName val="N_BANDING22"/>
      <sheetName val="RL_BANDING22"/>
      <sheetName val="Sheet2_(2)22"/>
      <sheetName val="Sheet1_(3)22"/>
      <sheetName val="COSTCAP_(3)7"/>
      <sheetName val="ShareCapital_6"/>
      <sheetName val="KMK_all_10-136"/>
      <sheetName val="PPNSPM-2012-p_16"/>
      <sheetName val="PPN_SPM-2012-p_26"/>
      <sheetName val="PEB_(2)6"/>
      <sheetName val="Kurs_KMK_2009_s_d_20116"/>
      <sheetName val="KMK_USD_2012-20136"/>
      <sheetName val="KMK_EURO_126"/>
      <sheetName val="KMK_JPY_126"/>
      <sheetName val="KMK_USD136"/>
      <sheetName val="JPY_136"/>
      <sheetName val="Bath_20126"/>
      <sheetName val="SELISIH_KURSSOURCE224"/>
      <sheetName val="Sheet1_(2)24"/>
      <sheetName val="N_BANDING24"/>
      <sheetName val="RL_BANDING24"/>
      <sheetName val="Sheet2_(2)24"/>
      <sheetName val="Sheet1_(3)24"/>
      <sheetName val="COSTCAP_(3)9"/>
      <sheetName val="ShareCapital_8"/>
      <sheetName val="KMK_all_10-138"/>
      <sheetName val="PPNSPM-2012-p_18"/>
      <sheetName val="PPN_SPM-2012-p_28"/>
      <sheetName val="PEB_(2)8"/>
      <sheetName val="Kurs_KMK_2009_s_d_20118"/>
      <sheetName val="KMK_USD_2012-20138"/>
      <sheetName val="KMK_EURO_128"/>
      <sheetName val="KMK_JPY_128"/>
      <sheetName val="KMK_USD138"/>
      <sheetName val="JPY_138"/>
      <sheetName val="Bath_20128"/>
      <sheetName val="SELISIH_KURSSOURCE225"/>
      <sheetName val="Sheet1_(2)25"/>
      <sheetName val="N_BANDING25"/>
      <sheetName val="RL_BANDING25"/>
      <sheetName val="Sheet2_(2)25"/>
      <sheetName val="Sheet1_(3)25"/>
      <sheetName val="COSTCAP_(3)10"/>
      <sheetName val="ShareCapital_9"/>
      <sheetName val="KMK_all_10-139"/>
      <sheetName val="PPNSPM-2012-p_19"/>
      <sheetName val="PPN_SPM-2012-p_29"/>
      <sheetName val="PEB_(2)9"/>
      <sheetName val="Kurs_KMK_2009_s_d_20119"/>
      <sheetName val="KMK_USD_2012-20139"/>
      <sheetName val="KMK_EURO_129"/>
      <sheetName val="KMK_JPY_129"/>
      <sheetName val="KMK_USD139"/>
      <sheetName val="JPY_139"/>
      <sheetName val="Bath_20129"/>
      <sheetName val="MK(7__+5,7,12__)"/>
      <sheetName val="21_x0001_䃀澘孍甀ʻʚ≠ʻ_x0002_휁"/>
      <sheetName val="21_x0001_?????????_x0002_?"/>
      <sheetName val="21_x0001_䃀澘孍甀ʻʚ_"/>
      <sheetName val="21_x0001_________"/>
      <sheetName val="21_x0001_䃀澘孍"/>
      <sheetName val="21_x0001____"/>
      <sheetName val="21_x0001_???????_"/>
      <sheetName val="21_x0001_???"/>
      <sheetName val="21_x0001________2"/>
      <sheetName val="21_x0001________3"/>
      <sheetName val="吊上げパ_20_"/>
      <sheetName val="21_x0000__x0001_________x0000_4"/>
      <sheetName val="OpRev"/>
      <sheetName val="Taxation"/>
      <sheetName val="21_x0001___________x0002__"/>
      <sheetName val="21_x005f_x005f_x005F"/>
      <sheetName val="21__x005f_x0001_䃀澘孍甀ʻʚ__≠ʻ___x"/>
      <sheetName val="21__x005f_x0001_______________x"/>
      <sheetName val="21_x005f_x005f_x005f_x0000__x00"/>
      <sheetName val="C2"/>
      <sheetName val="TB"/>
      <sheetName val="21_x005f_x0000__x00"/>
      <sheetName val="adj"/>
      <sheetName val="Payrolsheet"/>
      <sheetName val="시산표"/>
      <sheetName val="SSP-1"/>
      <sheetName val="MENU"/>
      <sheetName val="EDIT"/>
      <sheetName val="21?_x0001_䃀澘孍甀ʻʚ??≠ʻ??_x0002_?"/>
      <sheetName val="LegalPath"/>
      <sheetName val="97년추정손익계산서"/>
      <sheetName val="Basic data"/>
      <sheetName val="IDENTITAS"/>
      <sheetName val="Marshal (2)"/>
      <sheetName val="WPL(01)"/>
      <sheetName val="G_A"/>
      <sheetName val="21_x0001_______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 refreshError="1"/>
      <sheetData sheetId="950" refreshError="1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412"/>
      <sheetName val="SELISIHKURSSOURCE"/>
      <sheetName val="412src2"/>
      <sheetName val="2_"/>
      <sheetName val="7_1"/>
      <sheetName val="Sheet2_(2)"/>
      <sheetName val="PDPC0908"/>
      <sheetName val="2_1"/>
      <sheetName val="7_11"/>
      <sheetName val="Sheet2_(2)1"/>
      <sheetName val="L.1"/>
      <sheetName val="std"/>
      <sheetName val="2_7"/>
      <sheetName val="7_17"/>
      <sheetName val="Sheet2_(2)7"/>
      <sheetName val="L_15"/>
      <sheetName val="2_2"/>
      <sheetName val="7_12"/>
      <sheetName val="Sheet2_(2)2"/>
      <sheetName val="L_1"/>
      <sheetName val="2_4"/>
      <sheetName val="7_14"/>
      <sheetName val="Sheet2_(2)4"/>
      <sheetName val="L_12"/>
      <sheetName val="2_3"/>
      <sheetName val="7_13"/>
      <sheetName val="Sheet2_(2)3"/>
      <sheetName val="L_11"/>
      <sheetName val="2_5"/>
      <sheetName val="7_15"/>
      <sheetName val="Sheet2_(2)5"/>
      <sheetName val="L_13"/>
      <sheetName val="2_6"/>
      <sheetName val="7_16"/>
      <sheetName val="Sheet2_(2)6"/>
      <sheetName val="L_14"/>
      <sheetName val="2_10"/>
      <sheetName val="7_110"/>
      <sheetName val="Sheet2_(2)10"/>
      <sheetName val="L_18"/>
      <sheetName val="2_8"/>
      <sheetName val="7_18"/>
      <sheetName val="Sheet2_(2)8"/>
      <sheetName val="L_16"/>
      <sheetName val="2_9"/>
      <sheetName val="7_19"/>
      <sheetName val="Sheet2_(2)9"/>
      <sheetName val="L_17"/>
      <sheetName val="2_13"/>
      <sheetName val="7_113"/>
      <sheetName val="Sheet2_(2)13"/>
      <sheetName val="L_111"/>
      <sheetName val="2_12"/>
      <sheetName val="7_112"/>
      <sheetName val="Sheet2_(2)12"/>
      <sheetName val="L_110"/>
      <sheetName val="2_11"/>
      <sheetName val="7_111"/>
      <sheetName val="Sheet2_(2)11"/>
      <sheetName val="L_19"/>
      <sheetName val="Amor1"/>
      <sheetName val="2_14"/>
      <sheetName val="7_114"/>
      <sheetName val="Sheet2_(2)14"/>
      <sheetName val="L_112"/>
      <sheetName val="bs"/>
      <sheetName val="GeneralInfo"/>
      <sheetName val="2930"/>
      <sheetName val="2933"/>
      <sheetName val="2934"/>
      <sheetName val="asia"/>
      <sheetName val="GLdownload"/>
      <sheetName val="dpp &amp; pk (b.1.3)"/>
      <sheetName val="WS-December'98"/>
      <sheetName val="EX RATE"/>
      <sheetName val="CODE"/>
      <sheetName val="2_15"/>
      <sheetName val="7_115"/>
      <sheetName val="Sheet2_(2)15"/>
      <sheetName val="L_113"/>
      <sheetName val="dpp_&amp;_pk_(b_1_3)"/>
      <sheetName val="SPI"/>
      <sheetName val="Purchase Order (2)"/>
      <sheetName val="Customize Your Purchase Order"/>
      <sheetName val="CIVIC 1.6L(7ｶ国MA輸出)ｺｽﾄ"/>
      <sheetName val="April"/>
      <sheetName val="rate"/>
      <sheetName val="Master KKP Global 4"/>
      <sheetName val="PO"/>
      <sheetName val="adj"/>
      <sheetName val="lhp7"/>
      <sheetName val="CRA-Detail"/>
      <sheetName val="Lamp 1"/>
      <sheetName val="LPP"/>
      <sheetName val="JUL"/>
      <sheetName val="kurs"/>
      <sheetName val="Main"/>
      <sheetName val="SHAREHOLDERS"/>
      <sheetName val="Journal Template"/>
      <sheetName val="ACC.CODE"/>
      <sheetName val="ExchRates"/>
      <sheetName val="V_List"/>
      <sheetName val="MASTER"/>
      <sheetName val="DETANAL-AUG"/>
      <sheetName val="YRACCT"/>
      <sheetName val="ACC_CODE5"/>
      <sheetName val="Lamp_15"/>
      <sheetName val="ACC_CODE"/>
      <sheetName val="Lamp_1"/>
      <sheetName val="ACC_CODE2"/>
      <sheetName val="Lamp_12"/>
      <sheetName val="ACC_CODE1"/>
      <sheetName val="Lamp_11"/>
      <sheetName val="ACC_CODE3"/>
      <sheetName val="Lamp_13"/>
      <sheetName val="ACC_CODE4"/>
      <sheetName val="Lamp_14"/>
      <sheetName val="ACC_CODE8"/>
      <sheetName val="Lamp_18"/>
      <sheetName val="ACC_CODE6"/>
      <sheetName val="Lamp_16"/>
      <sheetName val="ACC_CODE7"/>
      <sheetName val="Lamp_17"/>
      <sheetName val="Engineering Workload"/>
      <sheetName val="ACC_CODE11"/>
      <sheetName val="Lamp_111"/>
      <sheetName val="ACC_CODE10"/>
      <sheetName val="Lamp_110"/>
      <sheetName val="ACC_CODE9"/>
      <sheetName val="Lamp_19"/>
      <sheetName val="Marshal"/>
      <sheetName val="Other Addbacks"/>
      <sheetName val="Customize Your Invoice"/>
      <sheetName val="Invoice"/>
      <sheetName val="ACC_CODE12"/>
      <sheetName val="Lamp_112"/>
      <sheetName val="Purchase_Order_(2)"/>
      <sheetName val="Customize_Your_Purchase_Order"/>
      <sheetName val="CIVIC_1_6L(7ｶ国MA輸出)ｺｽﾄ"/>
      <sheetName val="KLHT"/>
      <sheetName val="DB KPP"/>
      <sheetName val="Identitas"/>
      <sheetName val="Formal"/>
      <sheetName val="Matrik"/>
      <sheetName val="LPNK"/>
      <sheetName val="S Balik WP"/>
      <sheetName val="KKP"/>
      <sheetName val="S KPP"/>
      <sheetName val="S WP"/>
      <sheetName val="SPUH"/>
      <sheetName val="Lamp SPUH"/>
      <sheetName val="26 A"/>
      <sheetName val="SK"/>
      <sheetName val="FP"/>
      <sheetName val="Sheet1"/>
      <sheetName val="SPT"/>
      <sheetName val="Tunggakan"/>
      <sheetName val="no SK"/>
      <sheetName val="Sheet3"/>
      <sheetName val="CIVIC 1.6L(7__MA__)___"/>
      <sheetName val="CIVIC_1_6L(7__MA__)___"/>
      <sheetName val="Purchase_Order_(2)6"/>
      <sheetName val="Customize_Your_Purchase_Order6"/>
      <sheetName val="CIVIC_1_6L(7ｶ国MA輸出)ｺｽﾄ6"/>
      <sheetName val="Master_KKP_Global_45"/>
      <sheetName val="Purchase_Order_(2)1"/>
      <sheetName val="Customize_Your_Purchase_Order1"/>
      <sheetName val="CIVIC_1_6L(7ｶ国MA輸出)ｺｽﾄ1"/>
      <sheetName val="Master_KKP_Global_4"/>
      <sheetName val="Purchase_Order_(2)3"/>
      <sheetName val="Customize_Your_Purchase_Order3"/>
      <sheetName val="CIVIC_1_6L(7ｶ国MA輸出)ｺｽﾄ3"/>
      <sheetName val="Master_KKP_Global_42"/>
      <sheetName val="Purchase_Order_(2)2"/>
      <sheetName val="Customize_Your_Purchase_Order2"/>
      <sheetName val="CIVIC_1_6L(7ｶ国MA輸出)ｺｽﾄ2"/>
      <sheetName val="Master_KKP_Global_41"/>
      <sheetName val="Purchase_Order_(2)4"/>
      <sheetName val="Customize_Your_Purchase_Order4"/>
      <sheetName val="CIVIC_1_6L(7ｶ国MA輸出)ｺｽﾄ4"/>
      <sheetName val="Master_KKP_Global_43"/>
      <sheetName val="Purchase_Order_(2)5"/>
      <sheetName val="Customize_Your_Purchase_Order5"/>
      <sheetName val="CIVIC_1_6L(7ｶ国MA輸出)ｺｽﾄ5"/>
      <sheetName val="Master_KKP_Global_44"/>
      <sheetName val="Purchase_Order_(2)9"/>
      <sheetName val="Customize_Your_Purchase_Order9"/>
      <sheetName val="CIVIC_1_6L(7ｶ国MA輸出)ｺｽﾄ9"/>
      <sheetName val="Master_KKP_Global_48"/>
      <sheetName val="Purchase_Order_(2)7"/>
      <sheetName val="Customize_Your_Purchase_Order7"/>
      <sheetName val="CIVIC_1_6L(7ｶ国MA輸出)ｺｽﾄ7"/>
      <sheetName val="Master_KKP_Global_46"/>
      <sheetName val="Purchase_Order_(2)8"/>
      <sheetName val="Customize_Your_Purchase_Order8"/>
      <sheetName val="CIVIC_1_6L(7ｶ国MA輸出)ｺｽﾄ8"/>
      <sheetName val="Master_KKP_Global_47"/>
      <sheetName val="CIVIC 1.6L(7??MA??)???"/>
      <sheetName val="CIVIC_1_6L(7??MA??)???"/>
      <sheetName val="Purchase_Order_(2)12"/>
      <sheetName val="Customize_Your_Purchase_Order12"/>
      <sheetName val="CIVIC_1_6L(7ｶ国MA輸出)ｺｽﾄ12"/>
      <sheetName val="Master_KKP_Global_411"/>
      <sheetName val="Purchase_Order_(2)11"/>
      <sheetName val="Customize_Your_Purchase_Order11"/>
      <sheetName val="CIVIC_1_6L(7ｶ国MA輸出)ｺｽﾄ11"/>
      <sheetName val="Master_KKP_Global_410"/>
      <sheetName val="Purchase_Order_(2)10"/>
      <sheetName val="Customize_Your_Purchase_Order10"/>
      <sheetName val="CIVIC_1_6L(7ｶ国MA輸出)ｺｽﾄ10"/>
      <sheetName val="Master_KKP_Global_49"/>
      <sheetName val="Chart2"/>
      <sheetName val="home"/>
      <sheetName val="Lokasi"/>
      <sheetName val="pemegang saham"/>
      <sheetName val="gambaran"/>
      <sheetName val="output"/>
      <sheetName val="proses produksi"/>
      <sheetName val="pemasok"/>
      <sheetName val="HubIstimewa"/>
      <sheetName val="tenaga kerja"/>
      <sheetName val="prospektus"/>
      <sheetName val="ketetapan"/>
      <sheetName val="Restitusi"/>
      <sheetName val="Kewajiban"/>
      <sheetName val="Pemeriksaan"/>
      <sheetName val="keberatan"/>
      <sheetName val="suplier"/>
      <sheetName val="PGroup"/>
      <sheetName val="Daftar Pemotong"/>
      <sheetName val="Analisa ROA dll (2)"/>
      <sheetName val="potensial"/>
      <sheetName val="Neraca"/>
      <sheetName val="Laporan Laba rugi"/>
      <sheetName val="Financial Analysis2 (2)"/>
      <sheetName val="Financial Analysis1"/>
      <sheetName val="PPH GB"/>
      <sheetName val="CIVIC_1_6L(7??MA??)???1"/>
      <sheetName val="A p r"/>
      <sheetName val="00 received in 01"/>
      <sheetName val="F e b"/>
      <sheetName val="Per GL J a n"/>
      <sheetName val="J u l"/>
      <sheetName val="Purchase_Order_(2)13"/>
      <sheetName val="Customize_Your_Purchase_Order13"/>
      <sheetName val="CIVIC_1_6L(7ｶ国MA輸出)ｺｽﾄ13"/>
      <sheetName val="Master_KKP_Global_412"/>
      <sheetName val="CIVIC_1_6L(7??MA??)???3"/>
      <sheetName val="CIVIC_1_6L(7??MA??)???2"/>
      <sheetName val="CIVIC_1_6L(7__MA__)___1"/>
      <sheetName val="Data WP"/>
      <sheetName val="2 matrik"/>
      <sheetName val="Order"/>
      <sheetName val="Schedule"/>
      <sheetName val="Schedule OK Status"/>
      <sheetName val="JVFORM"/>
      <sheetName val="tuong"/>
      <sheetName val="GVL"/>
      <sheetName val="Table"/>
      <sheetName val="Assumptions"/>
      <sheetName val="Sheet7"/>
      <sheetName val="TB-WP"/>
      <sheetName val="Schedule_OK_Status5"/>
      <sheetName val="Schedule_OK_Status"/>
      <sheetName val="Schedule_OK_Status2"/>
      <sheetName val="Schedule_OK_Status1"/>
      <sheetName val="Schedule_OK_Status3"/>
      <sheetName val="Schedule_OK_Status4"/>
      <sheetName val="Schedule_OK_Status8"/>
      <sheetName val="Schedule_OK_Status6"/>
      <sheetName val="Schedule_OK_Status7"/>
      <sheetName val="Schedule_OK_Status11"/>
      <sheetName val="Schedule_OK_Status10"/>
      <sheetName val="Schedule_OK_Status9"/>
      <sheetName val="Projects"/>
      <sheetName val="Schedule_OK_Status12"/>
      <sheetName val="AT JUAL"/>
      <sheetName val="XXXXXXX"/>
      <sheetName val="samsidb"/>
      <sheetName val="FORM OB &amp; COAL"/>
      <sheetName val="Chart1"/>
      <sheetName val="FORM HL &amp; DB"/>
      <sheetName val="COAL CRUSH PLAN"/>
      <sheetName val=" COAL MINE PLAN"/>
      <sheetName val=" OB PLAN"/>
      <sheetName val="Ktd"/>
      <sheetName val="REPORT01"/>
      <sheetName val="Report 02"/>
      <sheetName val="REPORT 03"/>
      <sheetName val="ACT COAL"/>
      <sheetName val="ACT DIRTY COAL"/>
      <sheetName val="ACT OB"/>
      <sheetName val="ACT HAUL"/>
      <sheetName val="DRILLBLAST"/>
      <sheetName val="DAILY_SUM"/>
      <sheetName val="Rain &amp; Slippery Method"/>
      <sheetName val="ACTDIRTYCOAL"/>
      <sheetName val="Rain_SlipperyMethod"/>
      <sheetName val="ADR(new)"/>
      <sheetName val="FORM_OB_&amp;_COAL"/>
      <sheetName val="FORM_HL_&amp;_DB"/>
      <sheetName val="COAL_CRUSH_PLAN"/>
      <sheetName val="_COAL_MINE_PLAN"/>
      <sheetName val="_OB_PLAN"/>
      <sheetName val="Report_02"/>
      <sheetName val="REPORT_03"/>
      <sheetName val="ACT_COAL"/>
      <sheetName val="ACT_DIRTY_COAL"/>
      <sheetName val="ACT_OB"/>
      <sheetName val="ACT_HAUL"/>
      <sheetName val="Rain_&amp;_Slippery_Method"/>
      <sheetName val="SEX"/>
      <sheetName val="Trading Statement"/>
      <sheetName val="Attendance Ratio"/>
      <sheetName val="week 3"/>
      <sheetName val="week 1"/>
      <sheetName val="BP1_23"/>
      <sheetName val="CIVIC_1_6L(7__MA__)___3"/>
      <sheetName val="CIVIC_1_6L(7__MA__)___2"/>
      <sheetName val="A"/>
      <sheetName val="기준정보"/>
      <sheetName val="#REF"/>
      <sheetName val="ppn-1"/>
      <sheetName val="rekap impor"/>
      <sheetName val="2_16"/>
      <sheetName val="7_116"/>
      <sheetName val="Sheet2_(2)16"/>
      <sheetName val="L_114"/>
      <sheetName val="dpp_&amp;_pk_(b_1_3)1"/>
      <sheetName val="EX_RATE"/>
      <sheetName val="2_17"/>
      <sheetName val="7_117"/>
      <sheetName val="Sheet2_(2)17"/>
      <sheetName val="L_115"/>
      <sheetName val="dpp_&amp;_pk_(b_1_3)2"/>
      <sheetName val="EX_RATE1"/>
      <sheetName val="2_18"/>
      <sheetName val="7_118"/>
      <sheetName val="Sheet2_(2)18"/>
      <sheetName val="L_116"/>
      <sheetName val="dpp_&amp;_pk_(b_1_3)3"/>
      <sheetName val="EX_RATE2"/>
      <sheetName val="2_19"/>
      <sheetName val="7_119"/>
      <sheetName val="Sheet2_(2)19"/>
      <sheetName val="L_117"/>
      <sheetName val="dpp_&amp;_pk_(b_1_3)4"/>
      <sheetName val="EX_RATE3"/>
      <sheetName val="2_23"/>
      <sheetName val="7_123"/>
      <sheetName val="Sheet2_(2)23"/>
      <sheetName val="L_121"/>
      <sheetName val="dpp_&amp;_pk_(b_1_3)8"/>
      <sheetName val="EX_RATE7"/>
      <sheetName val="2_20"/>
      <sheetName val="7_120"/>
      <sheetName val="Sheet2_(2)20"/>
      <sheetName val="L_118"/>
      <sheetName val="dpp_&amp;_pk_(b_1_3)5"/>
      <sheetName val="EX_RATE4"/>
      <sheetName val="2_21"/>
      <sheetName val="7_121"/>
      <sheetName val="Sheet2_(2)21"/>
      <sheetName val="L_119"/>
      <sheetName val="dpp_&amp;_pk_(b_1_3)6"/>
      <sheetName val="EX_RATE5"/>
      <sheetName val="2_22"/>
      <sheetName val="7_122"/>
      <sheetName val="Sheet2_(2)22"/>
      <sheetName val="L_120"/>
      <sheetName val="dpp_&amp;_pk_(b_1_3)7"/>
      <sheetName val="EX_RATE6"/>
      <sheetName val="2_24"/>
      <sheetName val="7_124"/>
      <sheetName val="Sheet2_(2)24"/>
      <sheetName val="L_122"/>
      <sheetName val="dpp_&amp;_pk_(b_1_3)9"/>
      <sheetName val="EX_RATE8"/>
      <sheetName val="2_25"/>
      <sheetName val="7_125"/>
      <sheetName val="Sheet2_(2)25"/>
      <sheetName val="L_123"/>
      <sheetName val="dpp_&amp;_pk_(b_1_3)10"/>
      <sheetName val="EX_RATE9"/>
      <sheetName val="RM"/>
      <sheetName val="Statistics"/>
      <sheetName val="吊上げパ_20_"/>
      <sheetName val="k.6deposit"/>
      <sheetName val="A1-C LIABILITIES"/>
      <sheetName val="Attachement"/>
      <sheetName val="Safety 2"/>
      <sheetName val="data_val"/>
      <sheetName val="시산표"/>
      <sheetName val="KPPN"/>
      <sheetName val="KPP"/>
      <sheetName val="Bank"/>
      <sheetName val="SSP-1"/>
      <sheetName val="Safety_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 refreshError="1"/>
      <sheetData sheetId="164"/>
      <sheetData sheetId="165" refreshError="1"/>
      <sheetData sheetId="166"/>
      <sheetData sheetId="167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K.6DEPOSIT"/>
      <sheetName val="SELISIH_KURSSOURCE2"/>
      <sheetName val="Sheet1_(2)"/>
      <sheetName val="N_BANDING"/>
      <sheetName val="RL_BANDING"/>
      <sheetName val="Sheet2_(2)"/>
      <sheetName val="Sheet1_(3)"/>
      <sheetName val="5"/>
      <sheetName val="Trading Statement"/>
      <sheetName val="SELISIH_KURSSOURCE21"/>
      <sheetName val="Sheet1_(2)1"/>
      <sheetName val="N_BANDING1"/>
      <sheetName val="RL_BANDING1"/>
      <sheetName val="Sheet2_(2)1"/>
      <sheetName val="Sheet1_(3)1"/>
      <sheetName val="K_6DEPOSIT"/>
      <sheetName val="MTO REV.2(ARMOR)"/>
      <sheetName val="LTLGroup-Trans"/>
      <sheetName val="SELISIH_KURSSOURCE27"/>
      <sheetName val="Sheet1_(2)7"/>
      <sheetName val="N_BANDING7"/>
      <sheetName val="RL_BANDING7"/>
      <sheetName val="Sheet2_(2)7"/>
      <sheetName val="Sheet1_(3)7"/>
      <sheetName val="K_6DEPOSIT6"/>
      <sheetName val="Trading_Statement5"/>
      <sheetName val="MTO_REV_2(ARMOR)5"/>
      <sheetName val="SELISIH_KURSSOURCE22"/>
      <sheetName val="Sheet1_(2)2"/>
      <sheetName val="N_BANDING2"/>
      <sheetName val="RL_BANDING2"/>
      <sheetName val="Sheet2_(2)2"/>
      <sheetName val="Sheet1_(3)2"/>
      <sheetName val="K_6DEPOSIT1"/>
      <sheetName val="Trading_Statement"/>
      <sheetName val="MTO_REV_2(ARMOR)"/>
      <sheetName val="SELISIH_KURSSOURCE24"/>
      <sheetName val="Sheet1_(2)4"/>
      <sheetName val="N_BANDING4"/>
      <sheetName val="RL_BANDING4"/>
      <sheetName val="Sheet2_(2)4"/>
      <sheetName val="Sheet1_(3)4"/>
      <sheetName val="K_6DEPOSIT3"/>
      <sheetName val="Trading_Statement2"/>
      <sheetName val="MTO_REV_2(ARMOR)2"/>
      <sheetName val="SELISIH_KURSSOURCE23"/>
      <sheetName val="Sheet1_(2)3"/>
      <sheetName val="N_BANDING3"/>
      <sheetName val="RL_BANDING3"/>
      <sheetName val="Sheet2_(2)3"/>
      <sheetName val="Sheet1_(3)3"/>
      <sheetName val="K_6DEPOSIT2"/>
      <sheetName val="Trading_Statement1"/>
      <sheetName val="MTO_REV_2(ARMOR)1"/>
      <sheetName val="SELISIH_KURSSOURCE25"/>
      <sheetName val="Sheet1_(2)5"/>
      <sheetName val="N_BANDING5"/>
      <sheetName val="RL_BANDING5"/>
      <sheetName val="Sheet2_(2)5"/>
      <sheetName val="Sheet1_(3)5"/>
      <sheetName val="K_6DEPOSIT4"/>
      <sheetName val="Trading_Statement3"/>
      <sheetName val="MTO_REV_2(ARMOR)3"/>
      <sheetName val="SELISIH_KURSSOURCE26"/>
      <sheetName val="Sheet1_(2)6"/>
      <sheetName val="N_BANDING6"/>
      <sheetName val="RL_BANDING6"/>
      <sheetName val="Sheet2_(2)6"/>
      <sheetName val="Sheet1_(3)6"/>
      <sheetName val="K_6DEPOSIT5"/>
      <sheetName val="Trading_Statement4"/>
      <sheetName val="MTO_REV_2(ARMOR)4"/>
      <sheetName val="SELISIH_KURSSOURCE210"/>
      <sheetName val="Sheet1_(2)10"/>
      <sheetName val="N_BANDING10"/>
      <sheetName val="RL_BANDING10"/>
      <sheetName val="Sheet2_(2)10"/>
      <sheetName val="Sheet1_(3)10"/>
      <sheetName val="K_6DEPOSIT9"/>
      <sheetName val="Trading_Statement8"/>
      <sheetName val="MTO_REV_2(ARMOR)8"/>
      <sheetName val="SELISIH_KURSSOURCE28"/>
      <sheetName val="Sheet1_(2)8"/>
      <sheetName val="N_BANDING8"/>
      <sheetName val="RL_BANDING8"/>
      <sheetName val="Sheet2_(2)8"/>
      <sheetName val="Sheet1_(3)8"/>
      <sheetName val="K_6DEPOSIT7"/>
      <sheetName val="Trading_Statement6"/>
      <sheetName val="MTO_REV_2(ARMOR)6"/>
      <sheetName val="SELISIH_KURSSOURCE29"/>
      <sheetName val="Sheet1_(2)9"/>
      <sheetName val="N_BANDING9"/>
      <sheetName val="RL_BANDING9"/>
      <sheetName val="Sheet2_(2)9"/>
      <sheetName val="Sheet1_(3)9"/>
      <sheetName val="K_6DEPOSIT8"/>
      <sheetName val="Trading_Statement7"/>
      <sheetName val="MTO_REV_2(ARMOR)7"/>
      <sheetName val="SELISIH_KURSSOURCE213"/>
      <sheetName val="Sheet1_(2)13"/>
      <sheetName val="N_BANDING13"/>
      <sheetName val="RL_BANDING13"/>
      <sheetName val="Sheet2_(2)13"/>
      <sheetName val="Sheet1_(3)13"/>
      <sheetName val="K_6DEPOSIT12"/>
      <sheetName val="Trading_Statement11"/>
      <sheetName val="MTO_REV_2(ARMOR)11"/>
      <sheetName val="SELISIH_KURSSOURCE212"/>
      <sheetName val="Sheet1_(2)12"/>
      <sheetName val="N_BANDING12"/>
      <sheetName val="RL_BANDING12"/>
      <sheetName val="Sheet2_(2)12"/>
      <sheetName val="Sheet1_(3)12"/>
      <sheetName val="K_6DEPOSIT11"/>
      <sheetName val="Trading_Statement10"/>
      <sheetName val="MTO_REV_2(ARMOR)10"/>
      <sheetName val="SELISIH_KURSSOURCE211"/>
      <sheetName val="Sheet1_(2)11"/>
      <sheetName val="N_BANDING11"/>
      <sheetName val="RL_BANDING11"/>
      <sheetName val="Sheet2_(2)11"/>
      <sheetName val="Sheet1_(3)11"/>
      <sheetName val="K_6DEPOSIT10"/>
      <sheetName val="Trading_Statement9"/>
      <sheetName val="MTO_REV_2(ARMOR)9"/>
      <sheetName val="Customize Your Purchase Order"/>
      <sheetName val="SELISIH_KURSSOURCE214"/>
      <sheetName val="Sheet1_(2)14"/>
      <sheetName val="N_BANDING14"/>
      <sheetName val="RL_BANDING14"/>
      <sheetName val="Sheet2_(2)14"/>
      <sheetName val="Sheet1_(3)14"/>
      <sheetName val="K_6DEPOSIT13"/>
      <sheetName val="Trading_Statement12"/>
      <sheetName val="MTO_REV_2(ARMOR)12"/>
      <sheetName val="TB"/>
      <sheetName val="_BY"/>
      <sheetName val="Piutang Normal Psrt"/>
      <sheetName val="2930"/>
      <sheetName val="2933"/>
      <sheetName val="2934"/>
      <sheetName val="adj"/>
      <sheetName val="SELISIH_KURSSOURCE215"/>
      <sheetName val="Sheet1_(2)15"/>
      <sheetName val="N_BANDING15"/>
      <sheetName val="RL_BANDING15"/>
      <sheetName val="Sheet2_(2)15"/>
      <sheetName val="Sheet1_(3)15"/>
      <sheetName val="K_6DEPOSIT14"/>
      <sheetName val="Trading_Statement13"/>
      <sheetName val="MTO_REV_2(ARMOR)13"/>
      <sheetName val="Customize_Your_Purchase_Order"/>
      <sheetName val="Piutang_Normal_Psrt"/>
      <sheetName val="NEW-PANEL"/>
      <sheetName val="Identitas"/>
      <sheetName val="ACC.CODE"/>
      <sheetName val="Harta"/>
      <sheetName val="Cut off purchase"/>
      <sheetName val="10-2"/>
      <sheetName val="40"/>
      <sheetName val="30 (2)"/>
      <sheetName val="H"/>
      <sheetName val="Art_22"/>
      <sheetName val="Art_23"/>
      <sheetName val="Art_25"/>
      <sheetName val="Fiskal_LN"/>
      <sheetName val="BAR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11"/>
      <sheetName val="GeneralInfo"/>
      <sheetName val="Marshal"/>
      <sheetName val="Bukubesar"/>
      <sheetName val="Family"/>
      <sheetName val="Permanent info"/>
      <sheetName val="HEADER"/>
      <sheetName val="A"/>
      <sheetName val="Tab.Daten"/>
      <sheetName val="JUAL_STD"/>
      <sheetName val="Rekonsiliasi PPh 21"/>
      <sheetName val="Data Sheet"/>
      <sheetName val="Mutasi BCA"/>
      <sheetName val="Mutasi BII"/>
      <sheetName val="Mutasi Kas"/>
      <sheetName val="tr-28202"/>
      <sheetName val="KOR"/>
      <sheetName val="SELISIH_KURSSOURCE216"/>
      <sheetName val="Sheet1_(2)16"/>
      <sheetName val="N_BANDING16"/>
      <sheetName val="RL_BANDING16"/>
      <sheetName val="Sheet2_(2)16"/>
      <sheetName val="Sheet1_(3)16"/>
      <sheetName val="K_6DEPOSIT15"/>
      <sheetName val="Trading_Statement14"/>
      <sheetName val="MTO_REV_2(ARMOR)14"/>
      <sheetName val="Customize_Your_Purchase_Order1"/>
      <sheetName val="Customize Your Invoice"/>
      <sheetName val="Invoice"/>
      <sheetName val="Piutang_Normal_Psrt1"/>
      <sheetName val="ACC_CODE"/>
      <sheetName val="SELISIH_KURSSOURCE217"/>
      <sheetName val="Sheet1_(2)17"/>
      <sheetName val="N_BANDING17"/>
      <sheetName val="RL_BANDING17"/>
      <sheetName val="Sheet2_(2)17"/>
      <sheetName val="Sheet1_(3)17"/>
      <sheetName val="K_6DEPOSIT16"/>
      <sheetName val="Trading_Statement15"/>
      <sheetName val="MTO_REV_2(ARMOR)15"/>
      <sheetName val="Customize_Your_Purchase_Order2"/>
      <sheetName val="Piutang_Normal_Psrt2"/>
      <sheetName val="ACC_CODE1"/>
      <sheetName val="SELISIH_KURSSOURCE218"/>
      <sheetName val="Sheet1_(2)18"/>
      <sheetName val="N_BANDING18"/>
      <sheetName val="RL_BANDING18"/>
      <sheetName val="Sheet2_(2)18"/>
      <sheetName val="Sheet1_(3)18"/>
      <sheetName val="K_6DEPOSIT17"/>
      <sheetName val="Trading_Statement16"/>
      <sheetName val="MTO_REV_2(ARMOR)16"/>
      <sheetName val="Customize_Your_Purchase_Order3"/>
      <sheetName val="Piutang_Normal_Psrt3"/>
      <sheetName val="ACC_CODE2"/>
      <sheetName val="SELISIH_KURSSOURCE219"/>
      <sheetName val="Sheet1_(2)19"/>
      <sheetName val="N_BANDING19"/>
      <sheetName val="RL_BANDING19"/>
      <sheetName val="Sheet2_(2)19"/>
      <sheetName val="Sheet1_(3)19"/>
      <sheetName val="K_6DEPOSIT18"/>
      <sheetName val="Trading_Statement17"/>
      <sheetName val="MTO_REV_2(ARMOR)17"/>
      <sheetName val="Customize_Your_Purchase_Order4"/>
      <sheetName val="Piutang_Normal_Psrt4"/>
      <sheetName val="ACC_CODE3"/>
      <sheetName val="SELISIH_KURSSOURCE223"/>
      <sheetName val="Sheet1_(2)23"/>
      <sheetName val="N_BANDING23"/>
      <sheetName val="RL_BANDING23"/>
      <sheetName val="Sheet2_(2)23"/>
      <sheetName val="Sheet1_(3)23"/>
      <sheetName val="K_6DEPOSIT22"/>
      <sheetName val="Trading_Statement21"/>
      <sheetName val="MTO_REV_2(ARMOR)21"/>
      <sheetName val="Customize_Your_Purchase_Order8"/>
      <sheetName val="Piutang_Normal_Psrt8"/>
      <sheetName val="ACC_CODE7"/>
      <sheetName val="SELISIH_KURSSOURCE220"/>
      <sheetName val="Sheet1_(2)20"/>
      <sheetName val="N_BANDING20"/>
      <sheetName val="RL_BANDING20"/>
      <sheetName val="Sheet2_(2)20"/>
      <sheetName val="Sheet1_(3)20"/>
      <sheetName val="K_6DEPOSIT19"/>
      <sheetName val="Trading_Statement18"/>
      <sheetName val="MTO_REV_2(ARMOR)18"/>
      <sheetName val="Customize_Your_Purchase_Order5"/>
      <sheetName val="Piutang_Normal_Psrt5"/>
      <sheetName val="ACC_CODE4"/>
      <sheetName val="SELISIH_KURSSOURCE221"/>
      <sheetName val="Sheet1_(2)21"/>
      <sheetName val="N_BANDING21"/>
      <sheetName val="RL_BANDING21"/>
      <sheetName val="Sheet2_(2)21"/>
      <sheetName val="Sheet1_(3)21"/>
      <sheetName val="K_6DEPOSIT20"/>
      <sheetName val="Trading_Statement19"/>
      <sheetName val="MTO_REV_2(ARMOR)19"/>
      <sheetName val="Customize_Your_Purchase_Order6"/>
      <sheetName val="Piutang_Normal_Psrt6"/>
      <sheetName val="ACC_CODE5"/>
      <sheetName val="SELISIH_KURSSOURCE222"/>
      <sheetName val="Sheet1_(2)22"/>
      <sheetName val="N_BANDING22"/>
      <sheetName val="RL_BANDING22"/>
      <sheetName val="Sheet2_(2)22"/>
      <sheetName val="Sheet1_(3)22"/>
      <sheetName val="K_6DEPOSIT21"/>
      <sheetName val="Trading_Statement20"/>
      <sheetName val="MTO_REV_2(ARMOR)20"/>
      <sheetName val="Customize_Your_Purchase_Order7"/>
      <sheetName val="Piutang_Normal_Psrt7"/>
      <sheetName val="ACC_CODE6"/>
      <sheetName val="SELISIH_KURSSOURCE224"/>
      <sheetName val="Sheet1_(2)24"/>
      <sheetName val="N_BANDING24"/>
      <sheetName val="RL_BANDING24"/>
      <sheetName val="Sheet2_(2)24"/>
      <sheetName val="Sheet1_(3)24"/>
      <sheetName val="K_6DEPOSIT23"/>
      <sheetName val="Trading_Statement22"/>
      <sheetName val="MTO_REV_2(ARMOR)22"/>
      <sheetName val="Customize_Your_Purchase_Order9"/>
      <sheetName val="Piutang_Normal_Psrt9"/>
      <sheetName val="ACC_CODE8"/>
      <sheetName val="SELISIH_KURSSOURCE225"/>
      <sheetName val="Sheet1_(2)25"/>
      <sheetName val="N_BANDING25"/>
      <sheetName val="RL_BANDING25"/>
      <sheetName val="Sheet2_(2)25"/>
      <sheetName val="Sheet1_(3)25"/>
      <sheetName val="K_6DEPOSIT24"/>
      <sheetName val="Trading_Statement23"/>
      <sheetName val="MTO_REV_2(ARMOR)23"/>
      <sheetName val="Customize_Your_Purchase_Order10"/>
      <sheetName val="Piutang_Normal_Psrt10"/>
      <sheetName val="ACC_CODE9"/>
      <sheetName val="RM"/>
      <sheetName val="Saldo Awal"/>
      <sheetName val="Customer&amp;Suplier"/>
      <sheetName val="CMA Calculations- Figure 5440.1"/>
      <sheetName val="시산표"/>
      <sheetName val="IPO-KE2"/>
      <sheetName val="KPPN"/>
      <sheetName val="KPP"/>
      <sheetName val="Bank"/>
      <sheetName val="CMA_Calculations-_Figure_5440_1"/>
      <sheetName val="Ex_Rate"/>
      <sheetName val="data_val"/>
      <sheetName val="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"/>
      <sheetName val="AA_1_1 B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.6 Star Eastern"/>
      <sheetName val="AA.5-Atc"/>
      <sheetName val="AA.5.1-PBC"/>
      <sheetName val="AA.5 Artha Graha"/>
      <sheetName val="Atch AA.4 "/>
      <sheetName val="Data Bunga BKP"/>
      <sheetName val="Bunga BKP"/>
      <sheetName val="bunga Inv"/>
      <sheetName val="AA.4 Bukopin"/>
      <sheetName val="Atch AA.3 "/>
      <sheetName val="AA.3.1"/>
      <sheetName val="AA.3 Bumiputera"/>
      <sheetName val="Atch. AA.2"/>
      <sheetName val="AA.2.1"/>
      <sheetName val="AA.2 Bukopin"/>
      <sheetName val="Atch. AA.1"/>
      <sheetName val="AA.1.1(2) BNI"/>
      <sheetName val="AA.1.1 BNI"/>
      <sheetName val="AA.1 BNI"/>
      <sheetName val="AA"/>
      <sheetName val="AA_1 B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change Rate"/>
      <sheetName val="Compta X - 2"/>
      <sheetName val="Sheet2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-Badan"/>
      <sheetName val="NH_Badan"/>
      <sheetName val="PPH1298S"/>
      <sheetName val="SAP PbT"/>
      <sheetName val="C1 NOV"/>
      <sheetName val="A.4.3"/>
      <sheetName val="A.4.2"/>
      <sheetName val="Sheet1"/>
      <sheetName val="#REF"/>
      <sheetName val="BANK"/>
      <sheetName val="note"/>
      <sheetName val="HPP PER BULAN"/>
      <sheetName val="(40)G&amp;A"/>
      <sheetName val="SAP_PbT1"/>
      <sheetName val="SAP_PbT"/>
      <sheetName val="Ref"/>
      <sheetName val="A_4_3"/>
      <sheetName val="A_4_2"/>
      <sheetName val="C1_NOV"/>
      <sheetName val="HPP_PER_BULAN"/>
      <sheetName val="BS"/>
      <sheetName val="SAP_PbT2"/>
      <sheetName val="A_4_31"/>
      <sheetName val="A_4_21"/>
      <sheetName val="C1_NOV1"/>
      <sheetName val="HPP_PER_BULAN1"/>
      <sheetName val="RumusTB 1 bln"/>
      <sheetName val="AKUN"/>
      <sheetName val="Link"/>
      <sheetName val="CURRENCY C.O.A."/>
      <sheetName val="DSU1001"/>
      <sheetName val="Identitas"/>
      <sheetName val="A"/>
      <sheetName val="BASIC"/>
      <sheetName val="Harga satuan"/>
      <sheetName val="STR"/>
      <sheetName val="SAT-BHN"/>
      <sheetName val="Material"/>
      <sheetName val="REKAP OMZET KAPAL"/>
      <sheetName val="GL Detail by E-Code"/>
      <sheetName val="분석 total"/>
      <sheetName val="Control"/>
      <sheetName val="EPS"/>
      <sheetName val="AUG02"/>
      <sheetName val="A9"/>
      <sheetName val="B1"/>
      <sheetName val="A26"/>
      <sheetName val="B2"/>
      <sheetName val="A24"/>
      <sheetName val="A25"/>
      <sheetName val="B3"/>
      <sheetName val="A5"/>
      <sheetName val="B4"/>
      <sheetName val="B6"/>
      <sheetName val="B5"/>
      <sheetName val="B7"/>
      <sheetName val="B8"/>
      <sheetName val="A23"/>
      <sheetName val="Trf"/>
      <sheetName val="JSiar"/>
      <sheetName val="Frontline-Melbourne1"/>
      <sheetName val="Frontline-Melbourne"/>
      <sheetName val="Advanzco-DSP1"/>
      <sheetName val="Profit &amp; Loss Account"/>
      <sheetName val="WS"/>
      <sheetName val="asli"/>
      <sheetName val="DATA"/>
      <sheetName val="Div2"/>
      <sheetName val="Penyusutan Inventaris"/>
      <sheetName val="Penyusutan Kendaraan"/>
      <sheetName val="SAP_PbT3"/>
      <sheetName val="A_4_32"/>
      <sheetName val="A_4_22"/>
      <sheetName val="C1_NOV2"/>
      <sheetName val="HPP_PER_BULAN2"/>
      <sheetName val="RumusTB_1_bln"/>
      <sheetName val="CURRENCY_C_O_A_"/>
      <sheetName val="JAD-PEL"/>
      <sheetName val="BP1_23"/>
      <sheetName val="H.Satuan"/>
      <sheetName val="amtek"/>
      <sheetName val="Sec I ML"/>
      <sheetName val="PNT"/>
      <sheetName val="Corptax2003"/>
      <sheetName val="HARSAT"/>
      <sheetName val="est proy"/>
      <sheetName val="HARGA MATERIAL"/>
      <sheetName val="BQ ARS"/>
      <sheetName val="61004"/>
      <sheetName val="upah"/>
      <sheetName val="ANTEK"/>
      <sheetName val="Agregat Halus &amp; Kasar"/>
      <sheetName val="HS"/>
      <sheetName val="MAP"/>
      <sheetName val="ANAL_WK"/>
      <sheetName val="AHS-8FO"/>
      <sheetName val="AHS-8UP"/>
      <sheetName val="5-ALAT"/>
      <sheetName val="H.DASAR"/>
      <sheetName val="DAF-3"/>
      <sheetName val="HARGA DASAR"/>
      <sheetName val="351BQMCN"/>
      <sheetName val="div7-1"/>
      <sheetName val="PERALATAN PROYEK GOL III A"/>
      <sheetName val="Analisa"/>
      <sheetName val="fr BS"/>
      <sheetName val="BEFORE ALLOCATION"/>
      <sheetName val="analysis"/>
      <sheetName val="MAT MAY 02"/>
      <sheetName val="BOQ"/>
      <sheetName val="Rate"/>
      <sheetName val="Pricing"/>
      <sheetName val="RAB"/>
      <sheetName val="railing"/>
      <sheetName val="UMUM"/>
      <sheetName val="DAF-4"/>
      <sheetName val="PROJ CASH"/>
      <sheetName val="brd2"/>
      <sheetName val="H_Satuan"/>
      <sheetName val="MAP2"/>
      <sheetName val="Df-Kuan"/>
      <sheetName val="61005"/>
      <sheetName val="61006"/>
      <sheetName val="61007"/>
      <sheetName val="61008"/>
      <sheetName val="anal-mpu"/>
      <sheetName val="DC"/>
      <sheetName val="Daftar Kuantitas &amp; Harga"/>
      <sheetName val="AnaB"/>
      <sheetName val="Huruf"/>
      <sheetName val="INFO"/>
      <sheetName val="CODE"/>
      <sheetName val="Wil 1"/>
      <sheetName val="Detail-PARENT"/>
      <sheetName val="00-MEMO"/>
      <sheetName val="rekap"/>
      <sheetName val="rcnpdp"/>
      <sheetName val="B.U.A"/>
      <sheetName val="Rekap Biaya"/>
      <sheetName val="Har Sat"/>
      <sheetName val="Harga material_1"/>
      <sheetName val="HS-2"/>
      <sheetName val="Kuantitas &amp; Harga"/>
      <sheetName val="MPU. 6-3(4).LastonAC"/>
      <sheetName val="Data Info"/>
      <sheetName val="bahan dan upah"/>
      <sheetName val="Source"/>
      <sheetName val="hasat"/>
      <sheetName val="schtng"/>
      <sheetName val="schbhn"/>
      <sheetName val="schalt"/>
      <sheetName val="Cashflow"/>
      <sheetName val="Sheet3"/>
      <sheetName val="DKH"/>
      <sheetName val="Cash Flow bulanan"/>
      <sheetName val="COVER"/>
      <sheetName val="7.공정표"/>
      <sheetName val="HSDM"/>
      <sheetName val="MAPDC"/>
      <sheetName val="Hsat-A"/>
      <sheetName val="Input Data"/>
      <sheetName val="MAP-Prog"/>
      <sheetName val="TEKNIS"/>
      <sheetName val="BoQ Total_lama"/>
      <sheetName val="ANSTRUK"/>
      <sheetName val="TBM"/>
      <sheetName val="Post tension PDMR1"/>
      <sheetName val="Rokan 1"/>
      <sheetName val="Anal"/>
      <sheetName val="610.04"/>
      <sheetName val="610.06"/>
      <sheetName val="610.07"/>
      <sheetName val="610.08"/>
      <sheetName val="DATA PROYEK"/>
      <sheetName val="pivotscd"/>
      <sheetName val="SDM"/>
      <sheetName val="6106"/>
      <sheetName val="kepmenaker150"/>
      <sheetName val="tr-28202"/>
      <sheetName val="FKT_PJK"/>
      <sheetName val="BHN+KMK"/>
      <sheetName val="RKP"/>
      <sheetName val="bearing PDMR1"/>
      <sheetName val="ALAT"/>
      <sheetName val="eval"/>
      <sheetName val="BETON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Anls-Um"/>
      <sheetName val="Sheet2"/>
      <sheetName val="A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rol"/>
      <sheetName val="s20"/>
      <sheetName val="s21"/>
      <sheetName val="s22"/>
      <sheetName val="s23"/>
      <sheetName val="s23a"/>
      <sheetName val="s24"/>
      <sheetName val="s25"/>
      <sheetName val="s27"/>
      <sheetName val="s26"/>
      <sheetName val="s28"/>
      <sheetName val="s29"/>
      <sheetName val="s30"/>
      <sheetName val="s31"/>
      <sheetName val="s32"/>
      <sheetName val="s33"/>
      <sheetName val="s33a"/>
      <sheetName val="s34"/>
      <sheetName val="s35"/>
      <sheetName val="s35a"/>
      <sheetName val="s36"/>
      <sheetName val="s37"/>
      <sheetName val="s38"/>
      <sheetName val="s39"/>
      <sheetName val="s39a"/>
      <sheetName val="s39b"/>
      <sheetName val="s39c"/>
      <sheetName val="s40"/>
      <sheetName val="s41"/>
      <sheetName val="s41a"/>
      <sheetName val="s42"/>
      <sheetName val="s43"/>
      <sheetName val="s43a"/>
      <sheetName val="s44"/>
      <sheetName val="s44a"/>
      <sheetName val="s45a"/>
      <sheetName val="s45b"/>
      <sheetName val="s46"/>
      <sheetName val="s46a"/>
      <sheetName val="s47a"/>
      <sheetName val="s47b"/>
      <sheetName val="s48"/>
      <sheetName val="s49"/>
      <sheetName val="s50"/>
      <sheetName val="s52"/>
      <sheetName val="s53"/>
      <sheetName val="s54"/>
      <sheetName val="s55"/>
      <sheetName val="s56"/>
      <sheetName val="S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iscell"/>
      <sheetName val="Surgical"/>
      <sheetName val="Mortality-Tb"/>
      <sheetName val="20-60"/>
      <sheetName val="LK 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"/>
      <sheetName val="CV FIX"/>
      <sheetName val="CTK"/>
      <sheetName val="helps"/>
      <sheetName val="new_bum"/>
      <sheetName val="data_klaim"/>
      <sheetName val="DATA PESERTA"/>
      <sheetName val="2014"/>
      <sheetName val="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ty "/>
      <sheetName val="Sampling Sales "/>
      <sheetName val="Sales "/>
      <sheetName val="Sampling Opex "/>
      <sheetName val="MUS Calculations OPEX "/>
      <sheetName val="OPEX"/>
      <sheetName val="Sampling COGS "/>
      <sheetName val="MUS Calculations COG'2"/>
      <sheetName val="MUS Calculations COGS "/>
      <sheetName val="COGS "/>
      <sheetName val="Suspense Payment "/>
      <sheetName val="CMA_SampleDesign"/>
      <sheetName val="Sampling Suspense Payment "/>
      <sheetName val="MUS Calculations Suspense Payme"/>
      <sheetName val="Advanc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SPI"/>
      <sheetName val="AutoOpen_Stub_Data"/>
      <sheetName val="Customize_Your_Invoice"/>
      <sheetName val="Intl_Data_Table"/>
      <sheetName val="2930"/>
      <sheetName val="2933"/>
      <sheetName val="2934"/>
      <sheetName val="AutoOpen_Stub_Data1"/>
      <sheetName val="Customize_Your_Invoice1"/>
      <sheetName val="Intl_Data_Table1"/>
      <sheetName val="412src2"/>
      <sheetName val="GiaVL"/>
      <sheetName val="JUL"/>
      <sheetName val="Permanent info"/>
      <sheetName val="REV_1702"/>
      <sheetName val="HARVEST02"/>
      <sheetName val="PDCC"/>
      <sheetName val="SPI GMBH"/>
      <sheetName val="UK"/>
      <sheetName val="SSI"/>
      <sheetName val="Syntegra"/>
      <sheetName val="COGS"/>
      <sheetName val="AutoOpen_Stub_Data7"/>
      <sheetName val="Customize_Your_Invoice7"/>
      <sheetName val="Intl_Data_Table7"/>
      <sheetName val="Permanent_info5"/>
      <sheetName val="SPI_GMBH5"/>
      <sheetName val="AutoOpen_Stub_Data2"/>
      <sheetName val="Customize_Your_Invoice2"/>
      <sheetName val="Intl_Data_Table2"/>
      <sheetName val="Permanent_info"/>
      <sheetName val="SPI_GMBH"/>
      <sheetName val="AutoOpen_Stub_Data4"/>
      <sheetName val="Customize_Your_Invoice4"/>
      <sheetName val="Intl_Data_Table4"/>
      <sheetName val="Permanent_info2"/>
      <sheetName val="SPI_GMBH2"/>
      <sheetName val="AutoOpen_Stub_Data3"/>
      <sheetName val="Customize_Your_Invoice3"/>
      <sheetName val="Intl_Data_Table3"/>
      <sheetName val="Permanent_info1"/>
      <sheetName val="SPI_GMBH1"/>
      <sheetName val="AutoOpen_Stub_Data5"/>
      <sheetName val="Customize_Your_Invoice5"/>
      <sheetName val="Intl_Data_Table5"/>
      <sheetName val="Permanent_info3"/>
      <sheetName val="SPI_GMBH3"/>
      <sheetName val="AutoOpen_Stub_Data6"/>
      <sheetName val="Customize_Your_Invoice6"/>
      <sheetName val="Intl_Data_Table6"/>
      <sheetName val="Permanent_info4"/>
      <sheetName val="SPI_GMBH4"/>
      <sheetName val="AutoOpen_Stub_Data10"/>
      <sheetName val="Customize_Your_Invoice10"/>
      <sheetName val="Intl_Data_Table10"/>
      <sheetName val="Permanent_info8"/>
      <sheetName val="SPI_GMBH8"/>
      <sheetName val="AutoOpen_Stub_Data8"/>
      <sheetName val="Customize_Your_Invoice8"/>
      <sheetName val="Intl_Data_Table8"/>
      <sheetName val="Permanent_info6"/>
      <sheetName val="SPI_GMBH6"/>
      <sheetName val="AutoOpen_Stub_Data9"/>
      <sheetName val="Customize_Your_Invoice9"/>
      <sheetName val="Intl_Data_Table9"/>
      <sheetName val="Permanent_info7"/>
      <sheetName val="SPI_GMBH7"/>
      <sheetName val="CMA Calculations- Figure 5440.1"/>
      <sheetName val="AutoOpen_Stub_Data13"/>
      <sheetName val="Customize_Your_Invoice13"/>
      <sheetName val="Intl_Data_Table13"/>
      <sheetName val="Permanent_info11"/>
      <sheetName val="SPI_GMBH11"/>
      <sheetName val="AutoOpen_Stub_Data12"/>
      <sheetName val="Customize_Your_Invoice12"/>
      <sheetName val="Intl_Data_Table12"/>
      <sheetName val="Permanent_info10"/>
      <sheetName val="SPI_GMBH10"/>
      <sheetName val="AutoOpen_Stub_Data11"/>
      <sheetName val="Customize_Your_Invoice11"/>
      <sheetName val="Intl_Data_Table11"/>
      <sheetName val="Permanent_info9"/>
      <sheetName val="SPI_GMBH9"/>
      <sheetName val="DATA WP"/>
      <sheetName val="Marshal"/>
      <sheetName val="NET ASSETS"/>
      <sheetName val="AutoOpen_Stub_Data14"/>
      <sheetName val="Customize_Your_Invoice14"/>
      <sheetName val="Intl_Data_Table14"/>
      <sheetName val="Permanent_info12"/>
      <sheetName val="SPI_GMBH12"/>
      <sheetName val="BSliRp"/>
      <sheetName val="Calc"/>
      <sheetName val="K.6DEPOSIT"/>
      <sheetName val="SELISIHKURSSOURCE"/>
      <sheetName val="412"/>
      <sheetName val="B 7-1"/>
      <sheetName val="総括表横"/>
      <sheetName val="Account Code"/>
      <sheetName val="AutoOpen_Stub_Data15"/>
      <sheetName val="Customize_Your_Invoice15"/>
      <sheetName val="Intl_Data_Table15"/>
      <sheetName val="Permanent_info13"/>
      <sheetName val="SPI_GMBH13"/>
      <sheetName val="CMA_Calculations-_Figure_5440_1"/>
      <sheetName val="DATA_WP"/>
      <sheetName val="NET_ASSETS"/>
      <sheetName val="K_6DEPOSIT"/>
      <sheetName val="B_7-1"/>
      <sheetName val="Sheet2"/>
      <sheetName val="BS"/>
      <sheetName val="IS"/>
      <sheetName val="PL okay"/>
      <sheetName val="BS okay"/>
      <sheetName val="TB"/>
      <sheetName val="KAS &amp; BANK"/>
      <sheetName val="FA"/>
      <sheetName val="GJ4"/>
      <sheetName val="Sales04"/>
      <sheetName val="PB04"/>
      <sheetName val="PG04"/>
      <sheetName val="Purchase04"/>
      <sheetName val="Cost04"/>
      <sheetName val="GJ5"/>
      <sheetName val="Sales05"/>
      <sheetName val="PB05"/>
      <sheetName val="PG05"/>
      <sheetName val="Purchase05"/>
      <sheetName val="Cost05"/>
      <sheetName val="GJ6"/>
      <sheetName val="Sales06"/>
      <sheetName val="PB06"/>
      <sheetName val="PG06"/>
      <sheetName val="Purchase06"/>
      <sheetName val="Cost06"/>
      <sheetName val="GJ7"/>
      <sheetName val="Sales 07"/>
      <sheetName val="PB07"/>
      <sheetName val="PG07"/>
      <sheetName val="Purchase07"/>
      <sheetName val="Cost07"/>
      <sheetName val="GJ8"/>
      <sheetName val="notes"/>
      <sheetName val="Sales 08"/>
      <sheetName val="PB08"/>
      <sheetName val="PG08"/>
      <sheetName val="Purchase08 "/>
      <sheetName val="Cost08"/>
      <sheetName val="GJ9"/>
      <sheetName val="IBJVerena"/>
      <sheetName val="Sigra-PT.Adira"/>
      <sheetName val="cover"/>
      <sheetName val="Content"/>
      <sheetName val="PPN Import Accounting"/>
      <sheetName val="Sheet1"/>
      <sheetName val="SE"/>
      <sheetName val="CF"/>
      <sheetName val="Note-FS"/>
      <sheetName val="GL"/>
      <sheetName val="GJ"/>
      <sheetName val="C&amp;B"/>
      <sheetName val="AR-2"/>
      <sheetName val="Prepaid-3"/>
      <sheetName val="SecDep-5"/>
      <sheetName val="Advance-6"/>
      <sheetName val="AP-7"/>
      <sheetName val="Sheet3"/>
      <sheetName val="Loan-8"/>
      <sheetName val="Accrued-9"/>
      <sheetName val="Sales-10"/>
      <sheetName val="Marshal -1"/>
      <sheetName val="LOOKUP"/>
      <sheetName val="5"/>
      <sheetName val="Ideal"/>
      <sheetName val="MUS Calculations- Figure 5410.1"/>
      <sheetName val="Links"/>
      <sheetName val="Gmd3"/>
      <sheetName val="KOR"/>
      <sheetName val="Utilities Volume general"/>
      <sheetName val="DSU1001"/>
      <sheetName val="RK1"/>
      <sheetName val="INVOICE1"/>
      <sheetName val="Assumption"/>
      <sheetName val="Marshal_-1"/>
      <sheetName val="Customize Your Purchase Order"/>
      <sheetName val="NC"/>
      <sheetName val="FE-1770-I"/>
      <sheetName val="FE-1770.P1"/>
      <sheetName val="FE-1770-II"/>
      <sheetName val="Balance Sheet"/>
      <sheetName val="Income Statement"/>
      <sheetName val="adj"/>
      <sheetName val="EPS"/>
      <sheetName val="Marshal_-16"/>
      <sheetName val="Customize_Your_Purchase_Order5"/>
      <sheetName val="FE-1770_P15"/>
      <sheetName val="Balance_Sheet5"/>
      <sheetName val="Income_Statement5"/>
      <sheetName val="Marshal_-11"/>
      <sheetName val="Customize_Your_Purchase_Order"/>
      <sheetName val="FE-1770_P1"/>
      <sheetName val="Balance_Sheet"/>
      <sheetName val="Income_Statement"/>
      <sheetName val="Marshal_-13"/>
      <sheetName val="Customize_Your_Purchase_Order2"/>
      <sheetName val="FE-1770_P12"/>
      <sheetName val="Balance_Sheet2"/>
      <sheetName val="Income_Statement2"/>
      <sheetName val="Marshal_-12"/>
      <sheetName val="Customize_Your_Purchase_Order1"/>
      <sheetName val="FE-1770_P11"/>
      <sheetName val="Balance_Sheet1"/>
      <sheetName val="Income_Statement1"/>
      <sheetName val="Marshal_-14"/>
      <sheetName val="Customize_Your_Purchase_Order3"/>
      <sheetName val="FE-1770_P13"/>
      <sheetName val="Balance_Sheet3"/>
      <sheetName val="Income_Statement3"/>
      <sheetName val="Marshal_-15"/>
      <sheetName val="Customize_Your_Purchase_Order4"/>
      <sheetName val="FE-1770_P14"/>
      <sheetName val="Balance_Sheet4"/>
      <sheetName val="Income_Statement4"/>
      <sheetName val="Marshal_-19"/>
      <sheetName val="Customize_Your_Purchase_Order8"/>
      <sheetName val="FE-1770_P18"/>
      <sheetName val="Balance_Sheet8"/>
      <sheetName val="Income_Statement8"/>
      <sheetName val="Marshal_-17"/>
      <sheetName val="Customize_Your_Purchase_Order6"/>
      <sheetName val="FE-1770_P16"/>
      <sheetName val="Balance_Sheet6"/>
      <sheetName val="Income_Statement6"/>
      <sheetName val="Marshal_-18"/>
      <sheetName val="Customize_Your_Purchase_Order7"/>
      <sheetName val="FE-1770_P17"/>
      <sheetName val="Balance_Sheet7"/>
      <sheetName val="Income_Statement7"/>
      <sheetName val="Danamon LK"/>
      <sheetName val="Marshal_-112"/>
      <sheetName val="Customize_Your_Purchase_Order11"/>
      <sheetName val="FE-1770_P111"/>
      <sheetName val="Balance_Sheet11"/>
      <sheetName val="Income_Statement11"/>
      <sheetName val="Marshal_-111"/>
      <sheetName val="Customize_Your_Purchase_Order10"/>
      <sheetName val="FE-1770_P110"/>
      <sheetName val="Balance_Sheet10"/>
      <sheetName val="Income_Statement10"/>
      <sheetName val="Marshal_-110"/>
      <sheetName val="Customize_Your_Purchase_Order9"/>
      <sheetName val="FE-1770_P19"/>
      <sheetName val="Balance_Sheet9"/>
      <sheetName val="Income_Statement9"/>
      <sheetName val="Data Ben"/>
      <sheetName val="Data0308"/>
      <sheetName val="Marshal_-113"/>
      <sheetName val="Customize_Your_Purchase_Order12"/>
      <sheetName val="FE-1770_P112"/>
      <sheetName val="Balance_Sheet12"/>
      <sheetName val="Income_Statement12"/>
      <sheetName val="A"/>
      <sheetName val="JAN"/>
      <sheetName val="2002"/>
      <sheetName val="Sheet8"/>
      <sheetName val="Exchange Rate"/>
      <sheetName val="Compta X - 2"/>
      <sheetName val="feb"/>
      <sheetName val="mar"/>
      <sheetName val="apr"/>
      <sheetName val="may"/>
      <sheetName val="jun"/>
      <sheetName val="aug"/>
      <sheetName val="sept"/>
      <sheetName val="okt"/>
      <sheetName val="nov"/>
      <sheetName val="dec"/>
      <sheetName val="2012-PC4"/>
      <sheetName val="OLDDATA"/>
      <sheetName val="Sheet1 (2)"/>
      <sheetName val="Index"/>
      <sheetName val="HPP-New"/>
      <sheetName val="source"/>
      <sheetName val="DATA21"/>
      <sheetName val="Marshal_-114"/>
      <sheetName val="Customize_Your_Purchase_Order13"/>
      <sheetName val="FE-1770_P113"/>
      <sheetName val="Balance_Sheet13"/>
      <sheetName val="Income_Statement13"/>
      <sheetName val="Danamon_LK"/>
      <sheetName val="Data_Ben"/>
      <sheetName val="Sheet1_(2)"/>
      <sheetName val="Data23"/>
      <sheetName val="Data26"/>
      <sheetName val="LIST"/>
      <sheetName val="Order"/>
      <sheetName val="Schedule"/>
      <sheetName val="Schedule OK Status"/>
      <sheetName val="Stamping Process"/>
      <sheetName val="Purchase Order (2)"/>
      <sheetName val="Projects"/>
      <sheetName val="LABARUGI"/>
      <sheetName val="NERACA"/>
      <sheetName val="Schedule_OK_Status"/>
      <sheetName val="Stamping_Process"/>
      <sheetName val="Purchase_Order_(2)"/>
      <sheetName val="Exch.rate"/>
      <sheetName val="GeneralInfo"/>
      <sheetName val="FE_1770_I"/>
      <sheetName val="FE_1770_P1"/>
      <sheetName val="FE_1770_II"/>
      <sheetName val="計算結果"/>
      <sheetName val="Faktor"/>
      <sheetName val="SAD"/>
      <sheetName val="100100-100220"/>
      <sheetName val="HUT-MESIN"/>
      <sheetName val="GA Page 7"/>
      <sheetName val="Irregular Income"/>
      <sheetName val="GFM"/>
      <sheetName val="PL"/>
      <sheetName val="Daftar"/>
      <sheetName val="Assump"/>
      <sheetName val="DATA"/>
      <sheetName val="SCH12"/>
      <sheetName val="PL_okay"/>
      <sheetName val="BS_okay"/>
      <sheetName val="KAS_&amp;_BANK"/>
      <sheetName val="Sales_07"/>
      <sheetName val="Sales_08"/>
      <sheetName val="Purchase08_"/>
      <sheetName val="Sigra-PT_Adira"/>
      <sheetName val="PPN_Import_Accounting"/>
      <sheetName val="????"/>
      <sheetName val="PPh25"/>
      <sheetName val="Rank"/>
      <sheetName val="GLdownload"/>
      <sheetName val="MEytd"/>
      <sheetName val="data_val"/>
      <sheetName val="AutoOpen_Stub_Data16"/>
      <sheetName val="Customize_Your_Invoice16"/>
      <sheetName val="Intl_Data_Table16"/>
      <sheetName val="Permanent_info14"/>
      <sheetName val="SPI_GMBH14"/>
      <sheetName val="CMA_Calculations-_Figure_5440_2"/>
      <sheetName val="DATA_WP1"/>
      <sheetName val="NET_ASSETS1"/>
      <sheetName val="K_6DEPOSIT1"/>
      <sheetName val="____"/>
      <sheetName val="B_7-11"/>
      <sheetName val="Account_Code"/>
      <sheetName val="MUS_Calculations-_Figure_5410_1"/>
      <sheetName val="AutoOpen_Stub_Data17"/>
      <sheetName val="Customize_Your_Invoice17"/>
      <sheetName val="Intl_Data_Table17"/>
      <sheetName val="Permanent_info15"/>
      <sheetName val="SPI_GMBH15"/>
      <sheetName val="CMA_Calculations-_Figure_5440_3"/>
      <sheetName val="DATA_WP2"/>
      <sheetName val="NET_ASSETS2"/>
      <sheetName val="K_6DEPOSIT2"/>
      <sheetName val="B_7-12"/>
      <sheetName val="Account_Code1"/>
      <sheetName val="PL_okay1"/>
      <sheetName val="BS_okay1"/>
      <sheetName val="KAS_&amp;_BANK1"/>
      <sheetName val="Sales_071"/>
      <sheetName val="Sales_081"/>
      <sheetName val="Purchase08_1"/>
      <sheetName val="Sigra-PT_Adira1"/>
      <sheetName val="PPN_Import_Accounting1"/>
      <sheetName val="MUS_Calculations-_Figure_5410_2"/>
      <sheetName val="AutoOpen_Stub_Data18"/>
      <sheetName val="Customize_Your_Invoice18"/>
      <sheetName val="Intl_Data_Table18"/>
      <sheetName val="Permanent_info16"/>
      <sheetName val="SPI_GMBH16"/>
      <sheetName val="CMA_Calculations-_Figure_5440_4"/>
      <sheetName val="DATA_WP3"/>
      <sheetName val="NET_ASSETS3"/>
      <sheetName val="K_6DEPOSIT3"/>
      <sheetName val="B_7-13"/>
      <sheetName val="Account_Code2"/>
      <sheetName val="PL_okay2"/>
      <sheetName val="BS_okay2"/>
      <sheetName val="KAS_&amp;_BANK2"/>
      <sheetName val="Sales_072"/>
      <sheetName val="Sales_082"/>
      <sheetName val="Purchase08_2"/>
      <sheetName val="Sigra-PT_Adira2"/>
      <sheetName val="PPN_Import_Accounting2"/>
      <sheetName val="MUS_Calculations-_Figure_5410_3"/>
      <sheetName val="AutoOpen_Stub_Data19"/>
      <sheetName val="Customize_Your_Invoice19"/>
      <sheetName val="Intl_Data_Table19"/>
      <sheetName val="Permanent_info17"/>
      <sheetName val="SPI_GMBH17"/>
      <sheetName val="CMA_Calculations-_Figure_5440_5"/>
      <sheetName val="DATA_WP4"/>
      <sheetName val="NET_ASSETS4"/>
      <sheetName val="K_6DEPOSIT4"/>
      <sheetName val="B_7-14"/>
      <sheetName val="Account_Code3"/>
      <sheetName val="PL_okay3"/>
      <sheetName val="BS_okay3"/>
      <sheetName val="KAS_&amp;_BANK3"/>
      <sheetName val="Sales_073"/>
      <sheetName val="Sales_083"/>
      <sheetName val="Purchase08_3"/>
      <sheetName val="Sigra-PT_Adira3"/>
      <sheetName val="PPN_Import_Accounting3"/>
      <sheetName val="MUS_Calculations-_Figure_5410_4"/>
      <sheetName val="AutoOpen_Stub_Data23"/>
      <sheetName val="Customize_Your_Invoice23"/>
      <sheetName val="Intl_Data_Table23"/>
      <sheetName val="Permanent_info21"/>
      <sheetName val="SPI_GMBH21"/>
      <sheetName val="CMA_Calculations-_Figure_5440_9"/>
      <sheetName val="DATA_WP8"/>
      <sheetName val="NET_ASSETS8"/>
      <sheetName val="K_6DEPOSIT8"/>
      <sheetName val="B_7-18"/>
      <sheetName val="Account_Code7"/>
      <sheetName val="PL_okay7"/>
      <sheetName val="BS_okay7"/>
      <sheetName val="KAS_&amp;_BANK7"/>
      <sheetName val="Sales_077"/>
      <sheetName val="Sales_087"/>
      <sheetName val="Purchase08_7"/>
      <sheetName val="Sigra-PT_Adira7"/>
      <sheetName val="PPN_Import_Accounting7"/>
      <sheetName val="MUS_Calculations-_Figure_5410_8"/>
      <sheetName val="AutoOpen_Stub_Data20"/>
      <sheetName val="Customize_Your_Invoice20"/>
      <sheetName val="Intl_Data_Table20"/>
      <sheetName val="Permanent_info18"/>
      <sheetName val="SPI_GMBH18"/>
      <sheetName val="CMA_Calculations-_Figure_5440_6"/>
      <sheetName val="DATA_WP5"/>
      <sheetName val="NET_ASSETS5"/>
      <sheetName val="K_6DEPOSIT5"/>
      <sheetName val="B_7-15"/>
      <sheetName val="Account_Code4"/>
      <sheetName val="PL_okay4"/>
      <sheetName val="BS_okay4"/>
      <sheetName val="KAS_&amp;_BANK4"/>
      <sheetName val="Sales_074"/>
      <sheetName val="Sales_084"/>
      <sheetName val="Purchase08_4"/>
      <sheetName val="Sigra-PT_Adira4"/>
      <sheetName val="PPN_Import_Accounting4"/>
      <sheetName val="MUS_Calculations-_Figure_5410_5"/>
      <sheetName val="AutoOpen_Stub_Data21"/>
      <sheetName val="Customize_Your_Invoice21"/>
      <sheetName val="Intl_Data_Table21"/>
      <sheetName val="Permanent_info19"/>
      <sheetName val="SPI_GMBH19"/>
      <sheetName val="CMA_Calculations-_Figure_5440_7"/>
      <sheetName val="DATA_WP6"/>
      <sheetName val="NET_ASSETS6"/>
      <sheetName val="K_6DEPOSIT6"/>
      <sheetName val="B_7-16"/>
      <sheetName val="Account_Code5"/>
      <sheetName val="PL_okay5"/>
      <sheetName val="BS_okay5"/>
      <sheetName val="KAS_&amp;_BANK5"/>
      <sheetName val="Sales_075"/>
      <sheetName val="Sales_085"/>
      <sheetName val="Purchase08_5"/>
      <sheetName val="Sigra-PT_Adira5"/>
      <sheetName val="PPN_Import_Accounting5"/>
      <sheetName val="MUS_Calculations-_Figure_5410_6"/>
      <sheetName val="AutoOpen_Stub_Data22"/>
      <sheetName val="Customize_Your_Invoice22"/>
      <sheetName val="Intl_Data_Table22"/>
      <sheetName val="Permanent_info20"/>
      <sheetName val="SPI_GMBH20"/>
      <sheetName val="CMA_Calculations-_Figure_5440_8"/>
      <sheetName val="DATA_WP7"/>
      <sheetName val="NET_ASSETS7"/>
      <sheetName val="K_6DEPOSIT7"/>
      <sheetName val="B_7-17"/>
      <sheetName val="Account_Code6"/>
      <sheetName val="PL_okay6"/>
      <sheetName val="BS_okay6"/>
      <sheetName val="KAS_&amp;_BANK6"/>
      <sheetName val="Sales_076"/>
      <sheetName val="Sales_086"/>
      <sheetName val="Purchase08_6"/>
      <sheetName val="Sigra-PT_Adira6"/>
      <sheetName val="PPN_Import_Accounting6"/>
      <sheetName val="MUS_Calculations-_Figure_5410_7"/>
      <sheetName val="AutoOpen_Stub_Data24"/>
      <sheetName val="Customize_Your_Invoice24"/>
      <sheetName val="Intl_Data_Table24"/>
      <sheetName val="Permanent_info22"/>
      <sheetName val="SPI_GMBH22"/>
      <sheetName val="CMA_Calculations-_Figure_544010"/>
      <sheetName val="DATA_WP9"/>
      <sheetName val="NET_ASSETS9"/>
      <sheetName val="K_6DEPOSIT9"/>
      <sheetName val="B_7-19"/>
      <sheetName val="Account_Code8"/>
      <sheetName val="PL_okay8"/>
      <sheetName val="BS_okay8"/>
      <sheetName val="KAS_&amp;_BANK8"/>
      <sheetName val="Sales_078"/>
      <sheetName val="Sales_088"/>
      <sheetName val="Purchase08_8"/>
      <sheetName val="Sigra-PT_Adira8"/>
      <sheetName val="PPN_Import_Accounting8"/>
      <sheetName val="MUS_Calculations-_Figure_5410_9"/>
      <sheetName val="AutoOpen_Stub_Data25"/>
      <sheetName val="Customize_Your_Invoice25"/>
      <sheetName val="Intl_Data_Table25"/>
      <sheetName val="Permanent_info23"/>
      <sheetName val="SPI_GMBH23"/>
      <sheetName val="CMA_Calculations-_Figure_544011"/>
      <sheetName val="DATA_WP10"/>
      <sheetName val="NET_ASSETS10"/>
      <sheetName val="K_6DEPOSIT10"/>
      <sheetName val="B_7-110"/>
      <sheetName val="Account_Code9"/>
      <sheetName val="PL_okay9"/>
      <sheetName val="BS_okay9"/>
      <sheetName val="KAS_&amp;_BANK9"/>
      <sheetName val="Sales_079"/>
      <sheetName val="Sales_089"/>
      <sheetName val="Purchase08_9"/>
      <sheetName val="Sigra-PT_Adira9"/>
      <sheetName val="PPN_Import_Accounting9"/>
      <sheetName val="MUS_Calculations-_Figure_541010"/>
      <sheetName val="Terms"/>
      <sheetName val="Prod. Rate.Calc"/>
      <sheetName val="CF-OILCalcul"/>
      <sheetName val="Data Update"/>
      <sheetName val="Job Families"/>
      <sheetName val="FX Table"/>
      <sheetName val="Beli1-7"/>
      <sheetName val="Data Sheet"/>
      <sheetName val="AA.1 BNI"/>
      <sheetName val="CMTOOL"/>
      <sheetName val="PF-OFFICE"/>
      <sheetName val="aug02"/>
      <sheetName val="Param"/>
      <sheetName val="ban-ling"/>
      <sheetName val="cf9900"/>
      <sheetName val="내역서"/>
      <sheetName val="SMITH"/>
      <sheetName val="12"/>
      <sheetName val="tabel"/>
      <sheetName val="daftar penyusutan harta"/>
      <sheetName val="data2004"/>
      <sheetName val="pl_items"/>
      <sheetName val="Temp"/>
      <sheetName val="RWP 33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analysis"/>
      <sheetName val="Summary"/>
      <sheetName val="VAT 1-98 to 12-98"/>
      <sheetName val="IN RETURN NOT BOOKED"/>
      <sheetName val="Customize Your Invoice"/>
      <sheetName val="Invoice"/>
      <sheetName val="Summary_1998"/>
      <sheetName val="Rec_to_control_sheet"/>
      <sheetName val="vat_status"/>
      <sheetName val="Summary_1997"/>
      <sheetName val="VAT_1-98_to_12-98"/>
      <sheetName val="IN_RETURN_NOT_BOOKED"/>
      <sheetName val="412"/>
      <sheetName val="SELISIHKURSSOURCE"/>
      <sheetName val="412src2"/>
      <sheetName val="Summary_19981"/>
      <sheetName val="Rec_to_control_sheet1"/>
      <sheetName val="vat_status1"/>
      <sheetName val="Summary_19971"/>
      <sheetName val="VAT_1-98_to_12-981"/>
      <sheetName val="IN_RETURN_NOT_BOOKED1"/>
      <sheetName val="Customize_Your_Invoice"/>
      <sheetName val="HARVEST02"/>
      <sheetName val="Summary_19987"/>
      <sheetName val="Rec_to_control_sheet7"/>
      <sheetName val="vat_status7"/>
      <sheetName val="Summary_19977"/>
      <sheetName val="VAT_1-98_to_12-987"/>
      <sheetName val="IN_RETURN_NOT_BOOKED7"/>
      <sheetName val="Customize_Your_Invoice6"/>
      <sheetName val="Summary_19982"/>
      <sheetName val="Rec_to_control_sheet2"/>
      <sheetName val="vat_status2"/>
      <sheetName val="Summary_19972"/>
      <sheetName val="VAT_1-98_to_12-982"/>
      <sheetName val="IN_RETURN_NOT_BOOKED2"/>
      <sheetName val="Customize_Your_Invoice1"/>
      <sheetName val="Summary_19984"/>
      <sheetName val="Rec_to_control_sheet4"/>
      <sheetName val="vat_status4"/>
      <sheetName val="Summary_19974"/>
      <sheetName val="VAT_1-98_to_12-984"/>
      <sheetName val="IN_RETURN_NOT_BOOKED4"/>
      <sheetName val="Customize_Your_Invoice3"/>
      <sheetName val="Summary_19983"/>
      <sheetName val="Rec_to_control_sheet3"/>
      <sheetName val="vat_status3"/>
      <sheetName val="Summary_19973"/>
      <sheetName val="VAT_1-98_to_12-983"/>
      <sheetName val="IN_RETURN_NOT_BOOKED3"/>
      <sheetName val="Customize_Your_Invoice2"/>
      <sheetName val="Summary_19985"/>
      <sheetName val="Rec_to_control_sheet5"/>
      <sheetName val="vat_status5"/>
      <sheetName val="Summary_19975"/>
      <sheetName val="VAT_1-98_to_12-985"/>
      <sheetName val="IN_RETURN_NOT_BOOKED5"/>
      <sheetName val="Customize_Your_Invoice4"/>
      <sheetName val="Summary_19986"/>
      <sheetName val="Rec_to_control_sheet6"/>
      <sheetName val="vat_status6"/>
      <sheetName val="Summary_19976"/>
      <sheetName val="VAT_1-98_to_12-986"/>
      <sheetName val="IN_RETURN_NOT_BOOKED6"/>
      <sheetName val="Customize_Your_Invoice5"/>
      <sheetName val="Summary_199810"/>
      <sheetName val="Rec_to_control_sheet10"/>
      <sheetName val="vat_status10"/>
      <sheetName val="Summary_199710"/>
      <sheetName val="VAT_1-98_to_12-9810"/>
      <sheetName val="IN_RETURN_NOT_BOOKED10"/>
      <sheetName val="Customize_Your_Invoice9"/>
      <sheetName val="Summary_19988"/>
      <sheetName val="Rec_to_control_sheet8"/>
      <sheetName val="vat_status8"/>
      <sheetName val="Summary_19978"/>
      <sheetName val="VAT_1-98_to_12-988"/>
      <sheetName val="IN_RETURN_NOT_BOOKED8"/>
      <sheetName val="Customize_Your_Invoice7"/>
      <sheetName val="Summary_19989"/>
      <sheetName val="Rec_to_control_sheet9"/>
      <sheetName val="vat_status9"/>
      <sheetName val="Summary_19979"/>
      <sheetName val="VAT_1-98_to_12-989"/>
      <sheetName val="IN_RETURN_NOT_BOOKED9"/>
      <sheetName val="Customize_Your_Invoice8"/>
      <sheetName val="Summary_199813"/>
      <sheetName val="Rec_to_control_sheet13"/>
      <sheetName val="vat_status13"/>
      <sheetName val="Summary_199713"/>
      <sheetName val="VAT_1-98_to_12-9813"/>
      <sheetName val="IN_RETURN_NOT_BOOKED13"/>
      <sheetName val="Customize_Your_Invoice12"/>
      <sheetName val="Summary_199812"/>
      <sheetName val="Rec_to_control_sheet12"/>
      <sheetName val="vat_status12"/>
      <sheetName val="Summary_199712"/>
      <sheetName val="VAT_1-98_to_12-9812"/>
      <sheetName val="IN_RETURN_NOT_BOOKED12"/>
      <sheetName val="Customize_Your_Invoice11"/>
      <sheetName val="Summary_199811"/>
      <sheetName val="Rec_to_control_sheet11"/>
      <sheetName val="vat_status11"/>
      <sheetName val="Summary_199711"/>
      <sheetName val="VAT_1-98_to_12-9811"/>
      <sheetName val="IN_RETURN_NOT_BOOKED11"/>
      <sheetName val="Customize_Your_Invoice10"/>
      <sheetName val="Sheet5"/>
      <sheetName val="Summary_199814"/>
      <sheetName val="Rec_to_control_sheet14"/>
      <sheetName val="vat_status14"/>
      <sheetName val="Summary_199714"/>
      <sheetName val="VAT_1-98_to_12-9814"/>
      <sheetName val="IN_RETURN_NOT_BOOKED14"/>
      <sheetName val="Customize_Your_Invoice13"/>
      <sheetName val="Marshal"/>
      <sheetName val="ban-ling"/>
      <sheetName val="cf9900"/>
      <sheetName val="Permanent info"/>
      <sheetName val="GeneralInfo"/>
      <sheetName val="Summary_199815"/>
      <sheetName val="Rec_to_control_sheet15"/>
      <sheetName val="vat_status15"/>
      <sheetName val="Summary_199715"/>
      <sheetName val="VAT_1-98_to_12-9815"/>
      <sheetName val="IN_RETURN_NOT_BOOKED15"/>
      <sheetName val="Customize_Your_Invoice14"/>
      <sheetName val="INP-FARMER USE"/>
      <sheetName val="Amor1"/>
      <sheetName val="5"/>
      <sheetName val="CMA Calculations- Figure 5440.1"/>
      <sheetName val="Dati base"/>
      <sheetName val="Cal"/>
      <sheetName val="Assumption"/>
      <sheetName val="Sheet1"/>
      <sheetName val="Exchange Rate"/>
      <sheetName val="Compta X - 2"/>
      <sheetName val="Sheet2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c"/>
      <sheetName val="adj"/>
      <sheetName val="B 7-1"/>
      <sheetName val="data_val"/>
      <sheetName val="Summary_199816"/>
      <sheetName val="Rec_to_control_sheet16"/>
      <sheetName val="vat_status16"/>
      <sheetName val="Summary_199716"/>
      <sheetName val="VAT_1-98_to_12-9816"/>
      <sheetName val="IN_RETURN_NOT_BOOKED16"/>
      <sheetName val="Customize_Your_Invoice15"/>
      <sheetName val="Temp"/>
      <sheetName val="Permanent_info"/>
      <sheetName val="INP-FARMER_USE"/>
      <sheetName val="Summary_199817"/>
      <sheetName val="Rec_to_control_sheet17"/>
      <sheetName val="vat_status17"/>
      <sheetName val="Summary_199717"/>
      <sheetName val="VAT_1-98_to_12-9817"/>
      <sheetName val="IN_RETURN_NOT_BOOKED17"/>
      <sheetName val="Customize_Your_Invoice16"/>
      <sheetName val="Permanent_info1"/>
      <sheetName val="INP-FARMER_USE1"/>
      <sheetName val="Summary_199818"/>
      <sheetName val="Rec_to_control_sheet18"/>
      <sheetName val="vat_status18"/>
      <sheetName val="Summary_199718"/>
      <sheetName val="VAT_1-98_to_12-9818"/>
      <sheetName val="IN_RETURN_NOT_BOOKED18"/>
      <sheetName val="Customize_Your_Invoice17"/>
      <sheetName val="Permanent_info2"/>
      <sheetName val="INP-FARMER_USE2"/>
      <sheetName val="Summary_199819"/>
      <sheetName val="Rec_to_control_sheet19"/>
      <sheetName val="vat_status19"/>
      <sheetName val="Summary_199719"/>
      <sheetName val="VAT_1-98_to_12-9819"/>
      <sheetName val="IN_RETURN_NOT_BOOKED19"/>
      <sheetName val="Customize_Your_Invoice18"/>
      <sheetName val="Permanent_info3"/>
      <sheetName val="INP-FARMER_USE3"/>
      <sheetName val="Summary_199823"/>
      <sheetName val="Rec_to_control_sheet23"/>
      <sheetName val="vat_status23"/>
      <sheetName val="Summary_199723"/>
      <sheetName val="VAT_1-98_to_12-9823"/>
      <sheetName val="IN_RETURN_NOT_BOOKED23"/>
      <sheetName val="Customize_Your_Invoice22"/>
      <sheetName val="Permanent_info7"/>
      <sheetName val="INP-FARMER_USE7"/>
      <sheetName val="Summary_199820"/>
      <sheetName val="Rec_to_control_sheet20"/>
      <sheetName val="vat_status20"/>
      <sheetName val="Summary_199720"/>
      <sheetName val="VAT_1-98_to_12-9820"/>
      <sheetName val="IN_RETURN_NOT_BOOKED20"/>
      <sheetName val="Customize_Your_Invoice19"/>
      <sheetName val="Permanent_info4"/>
      <sheetName val="INP-FARMER_USE4"/>
      <sheetName val="Summary_199821"/>
      <sheetName val="Rec_to_control_sheet21"/>
      <sheetName val="vat_status21"/>
      <sheetName val="Summary_199721"/>
      <sheetName val="VAT_1-98_to_12-9821"/>
      <sheetName val="IN_RETURN_NOT_BOOKED21"/>
      <sheetName val="Customize_Your_Invoice20"/>
      <sheetName val="Permanent_info5"/>
      <sheetName val="INP-FARMER_USE5"/>
      <sheetName val="Summary_199822"/>
      <sheetName val="Rec_to_control_sheet22"/>
      <sheetName val="vat_status22"/>
      <sheetName val="Summary_199722"/>
      <sheetName val="VAT_1-98_to_12-9822"/>
      <sheetName val="IN_RETURN_NOT_BOOKED22"/>
      <sheetName val="Customize_Your_Invoice21"/>
      <sheetName val="Permanent_info6"/>
      <sheetName val="INP-FARMER_USE6"/>
      <sheetName val="Summary_199824"/>
      <sheetName val="Rec_to_control_sheet24"/>
      <sheetName val="vat_status24"/>
      <sheetName val="Summary_199724"/>
      <sheetName val="VAT_1-98_to_12-9824"/>
      <sheetName val="IN_RETURN_NOT_BOOKED24"/>
      <sheetName val="Customize_Your_Invoice23"/>
      <sheetName val="Permanent_info8"/>
      <sheetName val="INP-FARMER_USE8"/>
      <sheetName val="Summary_199825"/>
      <sheetName val="Rec_to_control_sheet25"/>
      <sheetName val="vat_status25"/>
      <sheetName val="Summary_199725"/>
      <sheetName val="VAT_1-98_to_12-9825"/>
      <sheetName val="IN_RETURN_NOT_BOOKED25"/>
      <sheetName val="Customize_Your_Invoice24"/>
      <sheetName val="Permanent_info9"/>
      <sheetName val="INP-FARMER_USE9"/>
      <sheetName val="Gmd3"/>
      <sheetName val="Rank"/>
      <sheetName val="K.6DEPOSIT"/>
      <sheetName val="Constrained Gen"/>
      <sheetName val="Block Prices"/>
      <sheetName val="FRYPROD"/>
      <sheetName val="K_6DEPOSIT"/>
      <sheetName val="Constrained_Gen"/>
      <sheetName val="Block_Prices"/>
      <sheetName val="B2 (Act by Mth) Total"/>
      <sheetName val="2003 Bgt"/>
      <sheetName val="HO"/>
      <sheetName val="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GLdownload"/>
      <sheetName val="PDPC0908"/>
      <sheetName val="SELISIH_KURSSOURCE2"/>
      <sheetName val="Sheet1_(2)"/>
      <sheetName val="N_BANDING"/>
      <sheetName val="RL_BANDING"/>
      <sheetName val="Sheet2_(2)"/>
      <sheetName val="Sheet1_(3)"/>
      <sheetName val="INPUT"/>
      <sheetName val="SELISIH_KURSSOURCE21"/>
      <sheetName val="Sheet1_(2)1"/>
      <sheetName val="N_BANDING1"/>
      <sheetName val="RL_BANDING1"/>
      <sheetName val="Sheet2_(2)1"/>
      <sheetName val="Sheet1_(3)1"/>
      <sheetName val="SPI"/>
      <sheetName val="PEJ LR"/>
      <sheetName val="EDIT"/>
      <sheetName val="Stamping Process"/>
      <sheetName val="SELISIH_KURSSOURCE27"/>
      <sheetName val="Sheet1_(2)7"/>
      <sheetName val="N_BANDING7"/>
      <sheetName val="RL_BANDING7"/>
      <sheetName val="Sheet2_(2)7"/>
      <sheetName val="Sheet1_(3)7"/>
      <sheetName val="PEJ_LR5"/>
      <sheetName val="Stamping_Process5"/>
      <sheetName val="SELISIH_KURSSOURCE22"/>
      <sheetName val="Sheet1_(2)2"/>
      <sheetName val="N_BANDING2"/>
      <sheetName val="RL_BANDING2"/>
      <sheetName val="Sheet2_(2)2"/>
      <sheetName val="Sheet1_(3)2"/>
      <sheetName val="PEJ_LR"/>
      <sheetName val="Stamping_Process"/>
      <sheetName val="SELISIH_KURSSOURCE24"/>
      <sheetName val="Sheet1_(2)4"/>
      <sheetName val="N_BANDING4"/>
      <sheetName val="RL_BANDING4"/>
      <sheetName val="Sheet2_(2)4"/>
      <sheetName val="Sheet1_(3)4"/>
      <sheetName val="PEJ_LR2"/>
      <sheetName val="Stamping_Process2"/>
      <sheetName val="SELISIH_KURSSOURCE23"/>
      <sheetName val="Sheet1_(2)3"/>
      <sheetName val="N_BANDING3"/>
      <sheetName val="RL_BANDING3"/>
      <sheetName val="Sheet2_(2)3"/>
      <sheetName val="Sheet1_(3)3"/>
      <sheetName val="PEJ_LR1"/>
      <sheetName val="Stamping_Process1"/>
      <sheetName val="SELISIH_KURSSOURCE25"/>
      <sheetName val="Sheet1_(2)5"/>
      <sheetName val="N_BANDING5"/>
      <sheetName val="RL_BANDING5"/>
      <sheetName val="Sheet2_(2)5"/>
      <sheetName val="Sheet1_(3)5"/>
      <sheetName val="PEJ_LR3"/>
      <sheetName val="Stamping_Process3"/>
      <sheetName val="SELISIH_KURSSOURCE26"/>
      <sheetName val="Sheet1_(2)6"/>
      <sheetName val="N_BANDING6"/>
      <sheetName val="RL_BANDING6"/>
      <sheetName val="Sheet2_(2)6"/>
      <sheetName val="Sheet1_(3)6"/>
      <sheetName val="PEJ_LR4"/>
      <sheetName val="Stamping_Process4"/>
      <sheetName val="SELISIH_KURSSOURCE210"/>
      <sheetName val="Sheet1_(2)10"/>
      <sheetName val="N_BANDING10"/>
      <sheetName val="RL_BANDING10"/>
      <sheetName val="Sheet2_(2)10"/>
      <sheetName val="Sheet1_(3)10"/>
      <sheetName val="PEJ_LR8"/>
      <sheetName val="Stamping_Process8"/>
      <sheetName val="SELISIH_KURSSOURCE28"/>
      <sheetName val="Sheet1_(2)8"/>
      <sheetName val="N_BANDING8"/>
      <sheetName val="RL_BANDING8"/>
      <sheetName val="Sheet2_(2)8"/>
      <sheetName val="Sheet1_(3)8"/>
      <sheetName val="PEJ_LR6"/>
      <sheetName val="Stamping_Process6"/>
      <sheetName val="SELISIH_KURSSOURCE29"/>
      <sheetName val="Sheet1_(2)9"/>
      <sheetName val="N_BANDING9"/>
      <sheetName val="RL_BANDING9"/>
      <sheetName val="Sheet2_(2)9"/>
      <sheetName val="Sheet1_(3)9"/>
      <sheetName val="PEJ_LR7"/>
      <sheetName val="Stamping_Process7"/>
      <sheetName val="SELISIH_KURSSOURCE213"/>
      <sheetName val="Sheet1_(2)13"/>
      <sheetName val="N_BANDING13"/>
      <sheetName val="RL_BANDING13"/>
      <sheetName val="Sheet2_(2)13"/>
      <sheetName val="Sheet1_(3)13"/>
      <sheetName val="PEJ_LR11"/>
      <sheetName val="Stamping_Process11"/>
      <sheetName val="SELISIH_KURSSOURCE212"/>
      <sheetName val="Sheet1_(2)12"/>
      <sheetName val="N_BANDING12"/>
      <sheetName val="RL_BANDING12"/>
      <sheetName val="Sheet2_(2)12"/>
      <sheetName val="Sheet1_(3)12"/>
      <sheetName val="PEJ_LR10"/>
      <sheetName val="Stamping_Process10"/>
      <sheetName val="SELISIH_KURSSOURCE211"/>
      <sheetName val="Sheet1_(2)11"/>
      <sheetName val="N_BANDING11"/>
      <sheetName val="RL_BANDING11"/>
      <sheetName val="Sheet2_(2)11"/>
      <sheetName val="Sheet1_(3)11"/>
      <sheetName val="PEJ_LR9"/>
      <sheetName val="Stamping_Process9"/>
      <sheetName val="Client AJE"/>
      <sheetName val="SELISIH_KURSSOURCE214"/>
      <sheetName val="Sheet1_(2)14"/>
      <sheetName val="N_BANDING14"/>
      <sheetName val="RL_BANDING14"/>
      <sheetName val="Sheet2_(2)14"/>
      <sheetName val="Sheet1_(3)14"/>
      <sheetName val="PEJ_LR12"/>
      <sheetName val="Stamping_Process12"/>
      <sheetName val="Permanent info"/>
      <sheetName val="des"/>
      <sheetName val="Customize Your Invoice"/>
      <sheetName val="Invoice"/>
      <sheetName val="JUL"/>
      <sheetName val="NAMA DEPT"/>
      <sheetName val="SELISIH_KURSSOURCE215"/>
      <sheetName val="Sheet1_(2)15"/>
      <sheetName val="N_BANDING15"/>
      <sheetName val="RL_BANDING15"/>
      <sheetName val="Sheet2_(2)15"/>
      <sheetName val="Sheet1_(3)15"/>
      <sheetName val="Stamping_Process13"/>
      <sheetName val="PEJ_LR13"/>
      <sheetName val="Client_AJE"/>
      <sheetName val="Permanent_info"/>
      <sheetName val="Customize_Your_Invoice"/>
      <sheetName val="_BY"/>
      <sheetName val="Marshal"/>
      <sheetName val="KOR"/>
      <sheetName val="Cal"/>
      <sheetName val="IS 02"/>
      <sheetName val="Vehicles"/>
      <sheetName val="Vehicles$"/>
      <sheetName val="Notes"/>
      <sheetName val="Furn&amp;Fix"/>
      <sheetName val="Furn&amp;Fix$"/>
      <sheetName val="Identitas"/>
      <sheetName val="Properties"/>
      <sheetName val="DAT-1"/>
      <sheetName val="I.3"/>
      <sheetName val="Exc. Rate"/>
      <sheetName val="CRA-Detail"/>
      <sheetName val="MOTOR"/>
      <sheetName val="K.6DEPOSIT"/>
      <sheetName val="CMA Calculations- Figure 5440.1"/>
      <sheetName val="SELISIH_KURSSOURCE216"/>
      <sheetName val="Sheet1_(2)16"/>
      <sheetName val="N_BANDING16"/>
      <sheetName val="RL_BANDING16"/>
      <sheetName val="Sheet2_(2)16"/>
      <sheetName val="Sheet1_(3)16"/>
      <sheetName val="PEJ_LR14"/>
      <sheetName val="Stamping_Process14"/>
      <sheetName val="Client_AJE1"/>
      <sheetName val="Permanent_info1"/>
      <sheetName val="Customize_Your_Invoice1"/>
      <sheetName val="NAMA_DEPT"/>
      <sheetName val="SELISIH_KURSSOURCE217"/>
      <sheetName val="Sheet1_(2)17"/>
      <sheetName val="N_BANDING17"/>
      <sheetName val="RL_BANDING17"/>
      <sheetName val="Sheet2_(2)17"/>
      <sheetName val="Sheet1_(3)17"/>
      <sheetName val="PEJ_LR15"/>
      <sheetName val="Stamping_Process15"/>
      <sheetName val="Client_AJE2"/>
      <sheetName val="Permanent_info2"/>
      <sheetName val="Customize_Your_Invoice2"/>
      <sheetName val="NAMA_DEPT1"/>
      <sheetName val="SELISIH_KURSSOURCE218"/>
      <sheetName val="Sheet1_(2)18"/>
      <sheetName val="N_BANDING18"/>
      <sheetName val="RL_BANDING18"/>
      <sheetName val="Sheet2_(2)18"/>
      <sheetName val="Sheet1_(3)18"/>
      <sheetName val="PEJ_LR16"/>
      <sheetName val="Stamping_Process16"/>
      <sheetName val="Client_AJE3"/>
      <sheetName val="Permanent_info3"/>
      <sheetName val="Customize_Your_Invoice3"/>
      <sheetName val="NAMA_DEPT2"/>
      <sheetName val="SELISIH_KURSSOURCE219"/>
      <sheetName val="Sheet1_(2)19"/>
      <sheetName val="N_BANDING19"/>
      <sheetName val="RL_BANDING19"/>
      <sheetName val="Sheet2_(2)19"/>
      <sheetName val="Sheet1_(3)19"/>
      <sheetName val="PEJ_LR17"/>
      <sheetName val="Stamping_Process17"/>
      <sheetName val="Client_AJE4"/>
      <sheetName val="Permanent_info4"/>
      <sheetName val="Customize_Your_Invoice4"/>
      <sheetName val="NAMA_DEPT3"/>
      <sheetName val="SELISIH_KURSSOURCE223"/>
      <sheetName val="Sheet1_(2)23"/>
      <sheetName val="N_BANDING23"/>
      <sheetName val="RL_BANDING23"/>
      <sheetName val="Sheet2_(2)23"/>
      <sheetName val="Sheet1_(3)23"/>
      <sheetName val="PEJ_LR21"/>
      <sheetName val="Stamping_Process21"/>
      <sheetName val="Client_AJE8"/>
      <sheetName val="Permanent_info8"/>
      <sheetName val="Customize_Your_Invoice8"/>
      <sheetName val="NAMA_DEPT7"/>
      <sheetName val="SELISIH_KURSSOURCE220"/>
      <sheetName val="Sheet1_(2)20"/>
      <sheetName val="N_BANDING20"/>
      <sheetName val="RL_BANDING20"/>
      <sheetName val="Sheet2_(2)20"/>
      <sheetName val="Sheet1_(3)20"/>
      <sheetName val="PEJ_LR18"/>
      <sheetName val="Stamping_Process18"/>
      <sheetName val="Client_AJE5"/>
      <sheetName val="Permanent_info5"/>
      <sheetName val="Customize_Your_Invoice5"/>
      <sheetName val="NAMA_DEPT4"/>
      <sheetName val="SELISIH_KURSSOURCE221"/>
      <sheetName val="Sheet1_(2)21"/>
      <sheetName val="N_BANDING21"/>
      <sheetName val="RL_BANDING21"/>
      <sheetName val="Sheet2_(2)21"/>
      <sheetName val="Sheet1_(3)21"/>
      <sheetName val="PEJ_LR19"/>
      <sheetName val="Stamping_Process19"/>
      <sheetName val="Client_AJE6"/>
      <sheetName val="Permanent_info6"/>
      <sheetName val="Customize_Your_Invoice6"/>
      <sheetName val="NAMA_DEPT5"/>
      <sheetName val="SELISIH_KURSSOURCE222"/>
      <sheetName val="Sheet1_(2)22"/>
      <sheetName val="N_BANDING22"/>
      <sheetName val="RL_BANDING22"/>
      <sheetName val="Sheet2_(2)22"/>
      <sheetName val="Sheet1_(3)22"/>
      <sheetName val="PEJ_LR20"/>
      <sheetName val="Stamping_Process20"/>
      <sheetName val="Client_AJE7"/>
      <sheetName val="Permanent_info7"/>
      <sheetName val="Customize_Your_Invoice7"/>
      <sheetName val="NAMA_DEPT6"/>
      <sheetName val="SELISIH_KURSSOURCE224"/>
      <sheetName val="Sheet1_(2)24"/>
      <sheetName val="N_BANDING24"/>
      <sheetName val="RL_BANDING24"/>
      <sheetName val="Sheet2_(2)24"/>
      <sheetName val="Sheet1_(3)24"/>
      <sheetName val="PEJ_LR22"/>
      <sheetName val="Stamping_Process22"/>
      <sheetName val="Client_AJE9"/>
      <sheetName val="Permanent_info9"/>
      <sheetName val="Customize_Your_Invoice9"/>
      <sheetName val="NAMA_DEPT8"/>
      <sheetName val="SELISIH_KURSSOURCE225"/>
      <sheetName val="Sheet1_(2)25"/>
      <sheetName val="N_BANDING25"/>
      <sheetName val="RL_BANDING25"/>
      <sheetName val="Sheet2_(2)25"/>
      <sheetName val="Sheet1_(3)25"/>
      <sheetName val="PEJ_LR23"/>
      <sheetName val="Stamping_Process23"/>
      <sheetName val="Client_AJE10"/>
      <sheetName val="Permanent_info10"/>
      <sheetName val="Customize_Your_Invoice10"/>
      <sheetName val="NAMA_DEPT9"/>
      <sheetName val="RumusTB 1 bln"/>
      <sheetName val="ban-ling"/>
      <sheetName val="g2.02 lease"/>
      <sheetName val="adj"/>
      <sheetName val="data_val"/>
      <sheetName val="cf9900"/>
      <sheetName val="CF WORKSHEET"/>
      <sheetName val="K_6DEPOSIT"/>
      <sheetName val="CF_WORKSHEET"/>
      <sheetName val="Master"/>
      <sheetName val="Akomodasi"/>
      <sheetName val="RWP 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 refreshError="1"/>
      <sheetData sheetId="335" refreshError="1"/>
      <sheetData sheetId="33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kurs"/>
      <sheetName val="SELISIH_KURSSOURCE2"/>
      <sheetName val="Sheet1_(2)"/>
      <sheetName val="N_BANDING"/>
      <sheetName val="RL_BANDING"/>
      <sheetName val="Sheet2_(2)"/>
      <sheetName val="Sheet1_(3)"/>
      <sheetName val="CRA-Detail"/>
      <sheetName val="SELISIH_KURSSOURCE21"/>
      <sheetName val="Sheet1_(2)1"/>
      <sheetName val="N_BANDING1"/>
      <sheetName val="RL_BANDING1"/>
      <sheetName val="Sheet2_(2)1"/>
      <sheetName val="Sheet1_(3)1"/>
      <sheetName val="PEDESB"/>
      <sheetName val="des"/>
      <sheetName val="A"/>
      <sheetName val="E-1-1"/>
      <sheetName val="LPP"/>
      <sheetName val="Kirim TUP"/>
      <sheetName val="KPS 6 "/>
      <sheetName val="sampul"/>
      <sheetName val="LAPORAN"/>
      <sheetName val="KKP"/>
      <sheetName val="Neraca"/>
      <sheetName val="R-L"/>
      <sheetName val="E-6"/>
      <sheetName val="E-6-1"/>
      <sheetName val="Kredit Pajak"/>
      <sheetName val="Pengantar Alket"/>
      <sheetName val="Alket"/>
      <sheetName val="NOTHIT BADAN"/>
      <sheetName val="STP BADAN"/>
      <sheetName val="NOTHIT21"/>
      <sheetName val="NOTHIT23 (2)"/>
      <sheetName val="NOTHIT23"/>
      <sheetName val="NOTHIT26"/>
      <sheetName val="NOTHIT4 ayat 2"/>
      <sheetName val="NOTHIT PPN"/>
      <sheetName val="NOTHIT PPN (2)"/>
      <sheetName val="PHP 1"/>
      <sheetName val="PHP 2"/>
      <sheetName val="Surat Tanggapan"/>
      <sheetName val="Lembar Pernyataan"/>
      <sheetName val="BAP PHP"/>
      <sheetName val="Peng-DHK"/>
      <sheetName val="DHK"/>
      <sheetName val="Peng-KLU"/>
      <sheetName val="KLU"/>
      <sheetName val="JUL"/>
      <sheetName val="Trial Balance - MARCH 2006"/>
      <sheetName val="Table Array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SELISIH_KURSSOURCE27"/>
      <sheetName val="Sheet1_(2)7"/>
      <sheetName val="N_BANDING7"/>
      <sheetName val="RL_BANDING7"/>
      <sheetName val="Sheet2_(2)7"/>
      <sheetName val="Sheet1_(3)7"/>
      <sheetName val="Trial_Balance_-_MARCH_20065"/>
      <sheetName val="Kirim_TUP5"/>
      <sheetName val="KPS_6_5"/>
      <sheetName val="Kredit_Pajak5"/>
      <sheetName val="Pengantar_Alket5"/>
      <sheetName val="NOTHIT_BADAN5"/>
      <sheetName val="STP_BADAN5"/>
      <sheetName val="NOTHIT23_(2)5"/>
      <sheetName val="NOTHIT4_ayat_25"/>
      <sheetName val="NOTHIT_PPN5"/>
      <sheetName val="NOTHIT_PPN_(2)5"/>
      <sheetName val="PHP_15"/>
      <sheetName val="PHP_25"/>
      <sheetName val="Surat_Tanggapan5"/>
      <sheetName val="Lembar_Pernyataan5"/>
      <sheetName val="BAP_PHP5"/>
      <sheetName val="Projection_2007_Lampung5"/>
      <sheetName val="Projection_2007_Medan5"/>
      <sheetName val="Projection_2007_Pasuruan5"/>
      <sheetName val="Projection_2007_Pemalang5"/>
      <sheetName val="Projection_2007_PSN5"/>
      <sheetName val="Projection_2007_PSVN5"/>
      <sheetName val="Projection_2007_Sulawesi5"/>
      <sheetName val="SELISIH_KURSSOURCE22"/>
      <sheetName val="Sheet1_(2)2"/>
      <sheetName val="N_BANDING2"/>
      <sheetName val="RL_BANDING2"/>
      <sheetName val="Sheet2_(2)2"/>
      <sheetName val="Sheet1_(3)2"/>
      <sheetName val="Trial_Balance_-_MARCH_2006"/>
      <sheetName val="Kirim_TUP"/>
      <sheetName val="KPS_6_"/>
      <sheetName val="Kredit_Pajak"/>
      <sheetName val="Pengantar_Alket"/>
      <sheetName val="NOTHIT_BADAN"/>
      <sheetName val="STP_BADAN"/>
      <sheetName val="NOTHIT23_(2)"/>
      <sheetName val="NOTHIT4_ayat_2"/>
      <sheetName val="NOTHIT_PPN"/>
      <sheetName val="NOTHIT_PPN_(2)"/>
      <sheetName val="PHP_1"/>
      <sheetName val="PHP_2"/>
      <sheetName val="Surat_Tanggapan"/>
      <sheetName val="Lembar_Pernyataan"/>
      <sheetName val="BAP_PHP"/>
      <sheetName val="Projection_2007_Lampung"/>
      <sheetName val="Projection_2007_Medan"/>
      <sheetName val="Projection_2007_Pasuruan"/>
      <sheetName val="Projection_2007_Pemalang"/>
      <sheetName val="Projection_2007_PSN"/>
      <sheetName val="Projection_2007_PSVN"/>
      <sheetName val="Projection_2007_Sulawesi"/>
      <sheetName val="SELISIH_KURSSOURCE24"/>
      <sheetName val="Sheet1_(2)4"/>
      <sheetName val="N_BANDING4"/>
      <sheetName val="RL_BANDING4"/>
      <sheetName val="Sheet2_(2)4"/>
      <sheetName val="Sheet1_(3)4"/>
      <sheetName val="Trial_Balance_-_MARCH_20062"/>
      <sheetName val="Kirim_TUP2"/>
      <sheetName val="KPS_6_2"/>
      <sheetName val="Kredit_Pajak2"/>
      <sheetName val="Pengantar_Alket2"/>
      <sheetName val="NOTHIT_BADAN2"/>
      <sheetName val="STP_BADAN2"/>
      <sheetName val="NOTHIT23_(2)2"/>
      <sheetName val="NOTHIT4_ayat_22"/>
      <sheetName val="NOTHIT_PPN2"/>
      <sheetName val="NOTHIT_PPN_(2)2"/>
      <sheetName val="PHP_12"/>
      <sheetName val="PHP_22"/>
      <sheetName val="Surat_Tanggapan2"/>
      <sheetName val="Lembar_Pernyataan2"/>
      <sheetName val="BAP_PHP2"/>
      <sheetName val="Projection_2007_Lampung2"/>
      <sheetName val="Projection_2007_Medan2"/>
      <sheetName val="Projection_2007_Pasuruan2"/>
      <sheetName val="Projection_2007_Pemalang2"/>
      <sheetName val="Projection_2007_PSN2"/>
      <sheetName val="Projection_2007_PSVN2"/>
      <sheetName val="Projection_2007_Sulawesi2"/>
      <sheetName val="SELISIH_KURSSOURCE23"/>
      <sheetName val="Sheet1_(2)3"/>
      <sheetName val="N_BANDING3"/>
      <sheetName val="RL_BANDING3"/>
      <sheetName val="Sheet2_(2)3"/>
      <sheetName val="Sheet1_(3)3"/>
      <sheetName val="Trial_Balance_-_MARCH_20061"/>
      <sheetName val="Kirim_TUP1"/>
      <sheetName val="KPS_6_1"/>
      <sheetName val="Kredit_Pajak1"/>
      <sheetName val="Pengantar_Alket1"/>
      <sheetName val="NOTHIT_BADAN1"/>
      <sheetName val="STP_BADAN1"/>
      <sheetName val="NOTHIT23_(2)1"/>
      <sheetName val="NOTHIT4_ayat_21"/>
      <sheetName val="NOTHIT_PPN1"/>
      <sheetName val="NOTHIT_PPN_(2)1"/>
      <sheetName val="PHP_11"/>
      <sheetName val="PHP_21"/>
      <sheetName val="Surat_Tanggapan1"/>
      <sheetName val="Lembar_Pernyataan1"/>
      <sheetName val="BAP_PHP1"/>
      <sheetName val="Projection_2007_Lampung1"/>
      <sheetName val="Projection_2007_Medan1"/>
      <sheetName val="Projection_2007_Pasuruan1"/>
      <sheetName val="Projection_2007_Pemalang1"/>
      <sheetName val="Projection_2007_PSN1"/>
      <sheetName val="Projection_2007_PSVN1"/>
      <sheetName val="Projection_2007_Sulawesi1"/>
      <sheetName val="SELISIH_KURSSOURCE25"/>
      <sheetName val="Sheet1_(2)5"/>
      <sheetName val="N_BANDING5"/>
      <sheetName val="RL_BANDING5"/>
      <sheetName val="Sheet2_(2)5"/>
      <sheetName val="Sheet1_(3)5"/>
      <sheetName val="Trial_Balance_-_MARCH_20063"/>
      <sheetName val="Kirim_TUP3"/>
      <sheetName val="KPS_6_3"/>
      <sheetName val="Kredit_Pajak3"/>
      <sheetName val="Pengantar_Alket3"/>
      <sheetName val="NOTHIT_BADAN3"/>
      <sheetName val="STP_BADAN3"/>
      <sheetName val="NOTHIT23_(2)3"/>
      <sheetName val="NOTHIT4_ayat_23"/>
      <sheetName val="NOTHIT_PPN3"/>
      <sheetName val="NOTHIT_PPN_(2)3"/>
      <sheetName val="PHP_13"/>
      <sheetName val="PHP_23"/>
      <sheetName val="Surat_Tanggapan3"/>
      <sheetName val="Lembar_Pernyataan3"/>
      <sheetName val="BAP_PHP3"/>
      <sheetName val="Projection_2007_Lampung3"/>
      <sheetName val="Projection_2007_Medan3"/>
      <sheetName val="Projection_2007_Pasuruan3"/>
      <sheetName val="Projection_2007_Pemalang3"/>
      <sheetName val="Projection_2007_PSN3"/>
      <sheetName val="Projection_2007_PSVN3"/>
      <sheetName val="Projection_2007_Sulawesi3"/>
      <sheetName val="SELISIH_KURSSOURCE26"/>
      <sheetName val="Sheet1_(2)6"/>
      <sheetName val="N_BANDING6"/>
      <sheetName val="RL_BANDING6"/>
      <sheetName val="Sheet2_(2)6"/>
      <sheetName val="Sheet1_(3)6"/>
      <sheetName val="Trial_Balance_-_MARCH_20064"/>
      <sheetName val="Kirim_TUP4"/>
      <sheetName val="KPS_6_4"/>
      <sheetName val="Kredit_Pajak4"/>
      <sheetName val="Pengantar_Alket4"/>
      <sheetName val="NOTHIT_BADAN4"/>
      <sheetName val="STP_BADAN4"/>
      <sheetName val="NOTHIT23_(2)4"/>
      <sheetName val="NOTHIT4_ayat_24"/>
      <sheetName val="NOTHIT_PPN4"/>
      <sheetName val="NOTHIT_PPN_(2)4"/>
      <sheetName val="PHP_14"/>
      <sheetName val="PHP_24"/>
      <sheetName val="Surat_Tanggapan4"/>
      <sheetName val="Lembar_Pernyataan4"/>
      <sheetName val="BAP_PHP4"/>
      <sheetName val="Projection_2007_Lampung4"/>
      <sheetName val="Projection_2007_Medan4"/>
      <sheetName val="Projection_2007_Pasuruan4"/>
      <sheetName val="Projection_2007_Pemalang4"/>
      <sheetName val="Projection_2007_PSN4"/>
      <sheetName val="Projection_2007_PSVN4"/>
      <sheetName val="Projection_2007_Sulawesi4"/>
      <sheetName val="SELISIH_KURSSOURCE210"/>
      <sheetName val="Sheet1_(2)10"/>
      <sheetName val="N_BANDING10"/>
      <sheetName val="RL_BANDING10"/>
      <sheetName val="Sheet2_(2)10"/>
      <sheetName val="Sheet1_(3)10"/>
      <sheetName val="Trial_Balance_-_MARCH_20068"/>
      <sheetName val="Kirim_TUP8"/>
      <sheetName val="KPS_6_8"/>
      <sheetName val="Kredit_Pajak8"/>
      <sheetName val="Pengantar_Alket8"/>
      <sheetName val="NOTHIT_BADAN8"/>
      <sheetName val="STP_BADAN8"/>
      <sheetName val="NOTHIT23_(2)8"/>
      <sheetName val="NOTHIT4_ayat_28"/>
      <sheetName val="NOTHIT_PPN8"/>
      <sheetName val="NOTHIT_PPN_(2)8"/>
      <sheetName val="PHP_18"/>
      <sheetName val="PHP_28"/>
      <sheetName val="Surat_Tanggapan8"/>
      <sheetName val="Lembar_Pernyataan8"/>
      <sheetName val="BAP_PHP8"/>
      <sheetName val="Projection_2007_Lampung8"/>
      <sheetName val="Projection_2007_Medan8"/>
      <sheetName val="Projection_2007_Pasuruan8"/>
      <sheetName val="Projection_2007_Pemalang8"/>
      <sheetName val="Projection_2007_PSN8"/>
      <sheetName val="Projection_2007_PSVN8"/>
      <sheetName val="Projection_2007_Sulawesi8"/>
      <sheetName val="SELISIH_KURSSOURCE28"/>
      <sheetName val="Sheet1_(2)8"/>
      <sheetName val="N_BANDING8"/>
      <sheetName val="RL_BANDING8"/>
      <sheetName val="Sheet2_(2)8"/>
      <sheetName val="Sheet1_(3)8"/>
      <sheetName val="Trial_Balance_-_MARCH_20066"/>
      <sheetName val="Kirim_TUP6"/>
      <sheetName val="KPS_6_6"/>
      <sheetName val="Kredit_Pajak6"/>
      <sheetName val="Pengantar_Alket6"/>
      <sheetName val="NOTHIT_BADAN6"/>
      <sheetName val="STP_BADAN6"/>
      <sheetName val="NOTHIT23_(2)6"/>
      <sheetName val="NOTHIT4_ayat_26"/>
      <sheetName val="NOTHIT_PPN6"/>
      <sheetName val="NOTHIT_PPN_(2)6"/>
      <sheetName val="PHP_16"/>
      <sheetName val="PHP_26"/>
      <sheetName val="Surat_Tanggapan6"/>
      <sheetName val="Lembar_Pernyataan6"/>
      <sheetName val="BAP_PHP6"/>
      <sheetName val="Projection_2007_Lampung6"/>
      <sheetName val="Projection_2007_Medan6"/>
      <sheetName val="Projection_2007_Pasuruan6"/>
      <sheetName val="Projection_2007_Pemalang6"/>
      <sheetName val="Projection_2007_PSN6"/>
      <sheetName val="Projection_2007_PSVN6"/>
      <sheetName val="Projection_2007_Sulawesi6"/>
      <sheetName val="SELISIH_KURSSOURCE29"/>
      <sheetName val="Sheet1_(2)9"/>
      <sheetName val="N_BANDING9"/>
      <sheetName val="RL_BANDING9"/>
      <sheetName val="Sheet2_(2)9"/>
      <sheetName val="Sheet1_(3)9"/>
      <sheetName val="Trial_Balance_-_MARCH_20067"/>
      <sheetName val="Kirim_TUP7"/>
      <sheetName val="KPS_6_7"/>
      <sheetName val="Kredit_Pajak7"/>
      <sheetName val="Pengantar_Alket7"/>
      <sheetName val="NOTHIT_BADAN7"/>
      <sheetName val="STP_BADAN7"/>
      <sheetName val="NOTHIT23_(2)7"/>
      <sheetName val="NOTHIT4_ayat_27"/>
      <sheetName val="NOTHIT_PPN7"/>
      <sheetName val="NOTHIT_PPN_(2)7"/>
      <sheetName val="PHP_17"/>
      <sheetName val="PHP_27"/>
      <sheetName val="Surat_Tanggapan7"/>
      <sheetName val="Lembar_Pernyataan7"/>
      <sheetName val="BAP_PHP7"/>
      <sheetName val="Projection_2007_Lampung7"/>
      <sheetName val="Projection_2007_Medan7"/>
      <sheetName val="Projection_2007_Pasuruan7"/>
      <sheetName val="Projection_2007_Pemalang7"/>
      <sheetName val="Projection_2007_PSN7"/>
      <sheetName val="Projection_2007_PSVN7"/>
      <sheetName val="Projection_2007_Sulawesi7"/>
      <sheetName val="WBS1"/>
      <sheetName val="SELISIH_KURSSOURCE213"/>
      <sheetName val="Sheet1_(2)13"/>
      <sheetName val="N_BANDING13"/>
      <sheetName val="RL_BANDING13"/>
      <sheetName val="Sheet2_(2)13"/>
      <sheetName val="Sheet1_(3)13"/>
      <sheetName val="Trial_Balance_-_MARCH_200611"/>
      <sheetName val="Kirim_TUP11"/>
      <sheetName val="KPS_6_11"/>
      <sheetName val="Kredit_Pajak11"/>
      <sheetName val="Pengantar_Alket11"/>
      <sheetName val="NOTHIT_BADAN11"/>
      <sheetName val="STP_BADAN11"/>
      <sheetName val="NOTHIT23_(2)11"/>
      <sheetName val="NOTHIT4_ayat_211"/>
      <sheetName val="NOTHIT_PPN11"/>
      <sheetName val="NOTHIT_PPN_(2)11"/>
      <sheetName val="PHP_111"/>
      <sheetName val="PHP_211"/>
      <sheetName val="Surat_Tanggapan11"/>
      <sheetName val="Lembar_Pernyataan11"/>
      <sheetName val="BAP_PHP11"/>
      <sheetName val="Projection_2007_Lampung11"/>
      <sheetName val="Projection_2007_Medan11"/>
      <sheetName val="Projection_2007_Pasuruan11"/>
      <sheetName val="Projection_2007_Pemalang11"/>
      <sheetName val="Projection_2007_PSN11"/>
      <sheetName val="Projection_2007_PSVN11"/>
      <sheetName val="Projection_2007_Sulawesi11"/>
      <sheetName val="SELISIH_KURSSOURCE212"/>
      <sheetName val="Sheet1_(2)12"/>
      <sheetName val="N_BANDING12"/>
      <sheetName val="RL_BANDING12"/>
      <sheetName val="Sheet2_(2)12"/>
      <sheetName val="Sheet1_(3)12"/>
      <sheetName val="Trial_Balance_-_MARCH_200610"/>
      <sheetName val="Kirim_TUP10"/>
      <sheetName val="KPS_6_10"/>
      <sheetName val="Kredit_Pajak10"/>
      <sheetName val="Pengantar_Alket10"/>
      <sheetName val="NOTHIT_BADAN10"/>
      <sheetName val="STP_BADAN10"/>
      <sheetName val="NOTHIT23_(2)10"/>
      <sheetName val="NOTHIT4_ayat_210"/>
      <sheetName val="NOTHIT_PPN10"/>
      <sheetName val="NOTHIT_PPN_(2)10"/>
      <sheetName val="PHP_110"/>
      <sheetName val="PHP_210"/>
      <sheetName val="Surat_Tanggapan10"/>
      <sheetName val="Lembar_Pernyataan10"/>
      <sheetName val="BAP_PHP10"/>
      <sheetName val="Projection_2007_Lampung10"/>
      <sheetName val="Projection_2007_Medan10"/>
      <sheetName val="Projection_2007_Pasuruan10"/>
      <sheetName val="Projection_2007_Pemalang10"/>
      <sheetName val="Projection_2007_PSN10"/>
      <sheetName val="Projection_2007_PSVN10"/>
      <sheetName val="Projection_2007_Sulawesi10"/>
      <sheetName val="SELISIH_KURSSOURCE211"/>
      <sheetName val="Sheet1_(2)11"/>
      <sheetName val="N_BANDING11"/>
      <sheetName val="RL_BANDING11"/>
      <sheetName val="Sheet2_(2)11"/>
      <sheetName val="Sheet1_(3)11"/>
      <sheetName val="Trial_Balance_-_MARCH_20069"/>
      <sheetName val="Kirim_TUP9"/>
      <sheetName val="KPS_6_9"/>
      <sheetName val="Kredit_Pajak9"/>
      <sheetName val="Pengantar_Alket9"/>
      <sheetName val="NOTHIT_BADAN9"/>
      <sheetName val="STP_BADAN9"/>
      <sheetName val="NOTHIT23_(2)9"/>
      <sheetName val="NOTHIT4_ayat_29"/>
      <sheetName val="NOTHIT_PPN9"/>
      <sheetName val="NOTHIT_PPN_(2)9"/>
      <sheetName val="PHP_19"/>
      <sheetName val="PHP_29"/>
      <sheetName val="Surat_Tanggapan9"/>
      <sheetName val="Lembar_Pernyataan9"/>
      <sheetName val="BAP_PHP9"/>
      <sheetName val="Projection_2007_Lampung9"/>
      <sheetName val="Projection_2007_Medan9"/>
      <sheetName val="Projection_2007_Pasuruan9"/>
      <sheetName val="Projection_2007_Pemalang9"/>
      <sheetName val="Projection_2007_PSN9"/>
      <sheetName val="Projection_2007_PSVN9"/>
      <sheetName val="Projection_2007_Sulawesi9"/>
      <sheetName val="A1-B ASSET"/>
      <sheetName val="貸借対照表(BS)"/>
      <sheetName val="損益計算書(PL)"/>
      <sheetName val="TABEL DARI AKTUARIA"/>
      <sheetName val="Table_Array"/>
      <sheetName val="100152"/>
      <sheetName val="std"/>
      <sheetName val="SELISIH_KURSSOURCE214"/>
      <sheetName val="Sheet1_(2)14"/>
      <sheetName val="N_BANDING14"/>
      <sheetName val="RL_BANDING14"/>
      <sheetName val="Sheet2_(2)14"/>
      <sheetName val="Sheet1_(3)14"/>
      <sheetName val="Trial_Balance_-_MARCH_200612"/>
      <sheetName val="Kirim_TUP12"/>
      <sheetName val="KPS_6_12"/>
      <sheetName val="Kredit_Pajak12"/>
      <sheetName val="Pengantar_Alket12"/>
      <sheetName val="NOTHIT_BADAN12"/>
      <sheetName val="STP_BADAN12"/>
      <sheetName val="NOTHIT23_(2)12"/>
      <sheetName val="NOTHIT4_ayat_212"/>
      <sheetName val="NOTHIT_PPN12"/>
      <sheetName val="NOTHIT_PPN_(2)12"/>
      <sheetName val="PHP_112"/>
      <sheetName val="PHP_212"/>
      <sheetName val="Surat_Tanggapan12"/>
      <sheetName val="Marshal"/>
      <sheetName val="depo"/>
      <sheetName val="Lembar_Pernyataan12"/>
      <sheetName val="JUAL"/>
      <sheetName val="?????(BS)"/>
      <sheetName val="?????(PL)"/>
      <sheetName val="BAG_2"/>
      <sheetName val="T1 "/>
      <sheetName val="Purchase Order (2)"/>
      <sheetName val="Customize Your Purchase Order"/>
      <sheetName val="LOOKUP"/>
      <sheetName val="2001"/>
      <sheetName val="RECON"/>
      <sheetName val="PL"/>
      <sheetName val="Jurnal"/>
      <sheetName val="見積"/>
      <sheetName val="Permanent info"/>
      <sheetName val="Fixset"/>
      <sheetName val="3"/>
      <sheetName val="Guidance "/>
      <sheetName val="CMA Calculations- R Factor"/>
      <sheetName val="List TOD Disposal FA"/>
      <sheetName val="CMA Calculations- Figure 5440.1"/>
      <sheetName val="CMA Selections"/>
      <sheetName val="Tickmarks"/>
      <sheetName val="CMA_SampleDesign"/>
      <sheetName val="DialogInsert"/>
      <sheetName val="data_val"/>
      <sheetName val="PACK"/>
      <sheetName val="PLL"/>
      <sheetName val="PP"/>
      <sheetName val="Inpu data"/>
      <sheetName val="GLdownload"/>
      <sheetName val="SELISIH_KURSSOURCE215"/>
      <sheetName val="Sheet1_(2)15"/>
      <sheetName val="N_BANDING15"/>
      <sheetName val="RL_BANDING15"/>
      <sheetName val="Sheet2_(2)15"/>
      <sheetName val="Sheet1_(3)15"/>
      <sheetName val="Kirim_TUP13"/>
      <sheetName val="KPS_6_13"/>
      <sheetName val="Kredit_Pajak13"/>
      <sheetName val="Pengantar_Alket13"/>
      <sheetName val="NOTHIT_BADAN13"/>
      <sheetName val="STP_BADAN13"/>
      <sheetName val="NOTHIT23_(2)13"/>
      <sheetName val="NOTHIT4_ayat_213"/>
      <sheetName val="NOTHIT_PPN13"/>
      <sheetName val="NOTHIT_PPN_(2)13"/>
      <sheetName val="PHP_113"/>
      <sheetName val="PHP_213"/>
      <sheetName val="Surat_Tanggapan13"/>
      <sheetName val="Lembar_Pernyataan13"/>
      <sheetName val="BAP_PHP12"/>
      <sheetName val="Trial_Balance_-_MARCH_200613"/>
      <sheetName val="Projection_2007_Lampung12"/>
      <sheetName val="Projection_2007_Medan12"/>
      <sheetName val="Projection_2007_Pasuruan12"/>
      <sheetName val="Projection_2007_Pemalang12"/>
      <sheetName val="Projection_2007_PSN12"/>
      <sheetName val="Projection_2007_PSVN12"/>
      <sheetName val="Projection_2007_Sulawesi12"/>
      <sheetName val="Table_Array1"/>
      <sheetName val="A1-B_ASSET"/>
      <sheetName val="TABEL_DARI_AKTUARIA"/>
      <sheetName val="Customize Your Invoice"/>
      <sheetName val="Invoice"/>
      <sheetName val="jl10"/>
      <sheetName val="Exchange Rate"/>
      <sheetName val="영업.일1"/>
      <sheetName val="WS"/>
      <sheetName val="5"/>
      <sheetName val="T1_"/>
      <sheetName val="Purchase_Order_(2)"/>
      <sheetName val="Customize_Your_Purchase_Order"/>
      <sheetName val="SELISIH_KURSSOURCE216"/>
      <sheetName val="Sheet1_(2)16"/>
      <sheetName val="N_BANDING16"/>
      <sheetName val="RL_BANDING16"/>
      <sheetName val="Sheet2_(2)16"/>
      <sheetName val="Sheet1_(3)16"/>
      <sheetName val="Kirim_TUP14"/>
      <sheetName val="KPS_6_14"/>
      <sheetName val="Kredit_Pajak14"/>
      <sheetName val="Pengantar_Alket14"/>
      <sheetName val="NOTHIT_BADAN14"/>
      <sheetName val="STP_BADAN14"/>
      <sheetName val="NOTHIT23_(2)14"/>
      <sheetName val="NOTHIT4_ayat_214"/>
      <sheetName val="NOTHIT_PPN14"/>
      <sheetName val="NOTHIT_PPN_(2)14"/>
      <sheetName val="PHP_114"/>
      <sheetName val="PHP_214"/>
      <sheetName val="Surat_Tanggapan14"/>
      <sheetName val="Lembar_Pernyataan14"/>
      <sheetName val="BAP_PHP13"/>
      <sheetName val="Trial_Balance_-_MARCH_200614"/>
      <sheetName val="Projection_2007_Lampung13"/>
      <sheetName val="Projection_2007_Medan13"/>
      <sheetName val="Projection_2007_Pasuruan13"/>
      <sheetName val="Projection_2007_Pemalang13"/>
      <sheetName val="Projection_2007_PSN13"/>
      <sheetName val="Projection_2007_PSVN13"/>
      <sheetName val="Projection_2007_Sulawesi13"/>
      <sheetName val="Table_Array2"/>
      <sheetName val="A1-B_ASSET1"/>
      <sheetName val="TABEL_DARI_AKTUARIA1"/>
      <sheetName val="T1_1"/>
      <sheetName val="Purchase_Order_(2)1"/>
      <sheetName val="Customize_Your_Purchase_Order1"/>
      <sheetName val="SELISIH_KURSSOURCE217"/>
      <sheetName val="Sheet1_(2)17"/>
      <sheetName val="N_BANDING17"/>
      <sheetName val="RL_BANDING17"/>
      <sheetName val="Sheet2_(2)17"/>
      <sheetName val="Sheet1_(3)17"/>
      <sheetName val="Kirim_TUP15"/>
      <sheetName val="KPS_6_15"/>
      <sheetName val="Kredit_Pajak15"/>
      <sheetName val="Pengantar_Alket15"/>
      <sheetName val="NOTHIT_BADAN15"/>
      <sheetName val="STP_BADAN15"/>
      <sheetName val="NOTHIT23_(2)15"/>
      <sheetName val="NOTHIT4_ayat_215"/>
      <sheetName val="NOTHIT_PPN15"/>
      <sheetName val="NOTHIT_PPN_(2)15"/>
      <sheetName val="PHP_115"/>
      <sheetName val="PHP_215"/>
      <sheetName val="Surat_Tanggapan15"/>
      <sheetName val="Lembar_Pernyataan15"/>
      <sheetName val="BAP_PHP14"/>
      <sheetName val="Trial_Balance_-_MARCH_200615"/>
      <sheetName val="Projection_2007_Lampung14"/>
      <sheetName val="Projection_2007_Medan14"/>
      <sheetName val="Projection_2007_Pasuruan14"/>
      <sheetName val="Projection_2007_Pemalang14"/>
      <sheetName val="Projection_2007_PSN14"/>
      <sheetName val="Projection_2007_PSVN14"/>
      <sheetName val="Projection_2007_Sulawesi14"/>
      <sheetName val="Table_Array3"/>
      <sheetName val="A1-B_ASSET2"/>
      <sheetName val="TABEL_DARI_AKTUARIA2"/>
      <sheetName val="T1_2"/>
      <sheetName val="Purchase_Order_(2)2"/>
      <sheetName val="Customize_Your_Purchase_Order2"/>
      <sheetName val="SELISIH_KURSSOURCE218"/>
      <sheetName val="Sheet1_(2)18"/>
      <sheetName val="N_BANDING18"/>
      <sheetName val="RL_BANDING18"/>
      <sheetName val="Sheet2_(2)18"/>
      <sheetName val="Sheet1_(3)18"/>
      <sheetName val="Kirim_TUP16"/>
      <sheetName val="KPS_6_16"/>
      <sheetName val="Kredit_Pajak16"/>
      <sheetName val="Pengantar_Alket16"/>
      <sheetName val="NOTHIT_BADAN16"/>
      <sheetName val="STP_BADAN16"/>
      <sheetName val="NOTHIT23_(2)16"/>
      <sheetName val="NOTHIT4_ayat_216"/>
      <sheetName val="NOTHIT_PPN16"/>
      <sheetName val="NOTHIT_PPN_(2)16"/>
      <sheetName val="PHP_116"/>
      <sheetName val="PHP_216"/>
      <sheetName val="Surat_Tanggapan16"/>
      <sheetName val="Lembar_Pernyataan16"/>
      <sheetName val="BAP_PHP15"/>
      <sheetName val="Trial_Balance_-_MARCH_200616"/>
      <sheetName val="Projection_2007_Lampung15"/>
      <sheetName val="Projection_2007_Medan15"/>
      <sheetName val="Projection_2007_Pasuruan15"/>
      <sheetName val="Projection_2007_Pemalang15"/>
      <sheetName val="Projection_2007_PSN15"/>
      <sheetName val="Projection_2007_PSVN15"/>
      <sheetName val="Projection_2007_Sulawesi15"/>
      <sheetName val="Table_Array4"/>
      <sheetName val="A1-B_ASSET3"/>
      <sheetName val="TABEL_DARI_AKTUARIA3"/>
      <sheetName val="T1_3"/>
      <sheetName val="Purchase_Order_(2)3"/>
      <sheetName val="Customize_Your_Purchase_Order3"/>
      <sheetName val="SELISIH_KURSSOURCE222"/>
      <sheetName val="Sheet1_(2)22"/>
      <sheetName val="N_BANDING22"/>
      <sheetName val="RL_BANDING22"/>
      <sheetName val="Sheet2_(2)22"/>
      <sheetName val="Sheet1_(3)22"/>
      <sheetName val="Kirim_TUP20"/>
      <sheetName val="KPS_6_20"/>
      <sheetName val="Kredit_Pajak20"/>
      <sheetName val="Pengantar_Alket20"/>
      <sheetName val="NOTHIT_BADAN20"/>
      <sheetName val="STP_BADAN20"/>
      <sheetName val="NOTHIT23_(2)20"/>
      <sheetName val="NOTHIT4_ayat_220"/>
      <sheetName val="NOTHIT_PPN20"/>
      <sheetName val="NOTHIT_PPN_(2)20"/>
      <sheetName val="PHP_120"/>
      <sheetName val="PHP_220"/>
      <sheetName val="Surat_Tanggapan20"/>
      <sheetName val="Lembar_Pernyataan20"/>
      <sheetName val="BAP_PHP19"/>
      <sheetName val="Trial_Balance_-_MARCH_200620"/>
      <sheetName val="Projection_2007_Lampung19"/>
      <sheetName val="Projection_2007_Medan19"/>
      <sheetName val="Projection_2007_Pasuruan19"/>
      <sheetName val="Projection_2007_Pemalang19"/>
      <sheetName val="Projection_2007_PSN19"/>
      <sheetName val="Projection_2007_PSVN19"/>
      <sheetName val="Projection_2007_Sulawesi19"/>
      <sheetName val="Table_Array8"/>
      <sheetName val="A1-B_ASSET7"/>
      <sheetName val="TABEL_DARI_AKTUARIA7"/>
      <sheetName val="T1_7"/>
      <sheetName val="Purchase_Order_(2)7"/>
      <sheetName val="Customize_Your_Purchase_Order7"/>
      <sheetName val="SELISIH_KURSSOURCE219"/>
      <sheetName val="Sheet1_(2)19"/>
      <sheetName val="N_BANDING19"/>
      <sheetName val="RL_BANDING19"/>
      <sheetName val="Sheet2_(2)19"/>
      <sheetName val="Sheet1_(3)19"/>
      <sheetName val="Kirim_TUP17"/>
      <sheetName val="KPS_6_17"/>
      <sheetName val="Kredit_Pajak17"/>
      <sheetName val="Pengantar_Alket17"/>
      <sheetName val="NOTHIT_BADAN17"/>
      <sheetName val="STP_BADAN17"/>
      <sheetName val="NOTHIT23_(2)17"/>
      <sheetName val="NOTHIT4_ayat_217"/>
      <sheetName val="NOTHIT_PPN17"/>
      <sheetName val="NOTHIT_PPN_(2)17"/>
      <sheetName val="PHP_117"/>
      <sheetName val="PHP_217"/>
      <sheetName val="Surat_Tanggapan17"/>
      <sheetName val="Lembar_Pernyataan17"/>
      <sheetName val="BAP_PHP16"/>
      <sheetName val="Trial_Balance_-_MARCH_200617"/>
      <sheetName val="Projection_2007_Lampung16"/>
      <sheetName val="Projection_2007_Medan16"/>
      <sheetName val="Projection_2007_Pasuruan16"/>
      <sheetName val="Projection_2007_Pemalang16"/>
      <sheetName val="Projection_2007_PSN16"/>
      <sheetName val="Projection_2007_PSVN16"/>
      <sheetName val="Projection_2007_Sulawesi16"/>
      <sheetName val="Table_Array5"/>
      <sheetName val="A1-B_ASSET4"/>
      <sheetName val="TABEL_DARI_AKTUARIA4"/>
      <sheetName val="T1_4"/>
      <sheetName val="Purchase_Order_(2)4"/>
      <sheetName val="Customize_Your_Purchase_Order4"/>
      <sheetName val="SELISIH_KURSSOURCE220"/>
      <sheetName val="Sheet1_(2)20"/>
      <sheetName val="N_BANDING20"/>
      <sheetName val="RL_BANDING20"/>
      <sheetName val="Sheet2_(2)20"/>
      <sheetName val="Sheet1_(3)20"/>
      <sheetName val="Kirim_TUP18"/>
      <sheetName val="KPS_6_18"/>
      <sheetName val="Kredit_Pajak18"/>
      <sheetName val="Pengantar_Alket18"/>
      <sheetName val="NOTHIT_BADAN18"/>
      <sheetName val="STP_BADAN18"/>
      <sheetName val="NOTHIT23_(2)18"/>
      <sheetName val="NOTHIT4_ayat_218"/>
      <sheetName val="NOTHIT_PPN18"/>
      <sheetName val="NOTHIT_PPN_(2)18"/>
      <sheetName val="PHP_118"/>
      <sheetName val="PHP_218"/>
      <sheetName val="Surat_Tanggapan18"/>
      <sheetName val="Lembar_Pernyataan18"/>
      <sheetName val="BAP_PHP17"/>
      <sheetName val="Trial_Balance_-_MARCH_200618"/>
      <sheetName val="Projection_2007_Lampung17"/>
      <sheetName val="Projection_2007_Medan17"/>
      <sheetName val="Projection_2007_Pasuruan17"/>
      <sheetName val="Projection_2007_Pemalang17"/>
      <sheetName val="Projection_2007_PSN17"/>
      <sheetName val="Projection_2007_PSVN17"/>
      <sheetName val="Projection_2007_Sulawesi17"/>
      <sheetName val="Table_Array6"/>
      <sheetName val="A1-B_ASSET5"/>
      <sheetName val="TABEL_DARI_AKTUARIA5"/>
      <sheetName val="T1_5"/>
      <sheetName val="Purchase_Order_(2)5"/>
      <sheetName val="Customize_Your_Purchase_Order5"/>
      <sheetName val="SELISIH_KURSSOURCE221"/>
      <sheetName val="Sheet1_(2)21"/>
      <sheetName val="N_BANDING21"/>
      <sheetName val="RL_BANDING21"/>
      <sheetName val="Sheet2_(2)21"/>
      <sheetName val="Sheet1_(3)21"/>
      <sheetName val="Kirim_TUP19"/>
      <sheetName val="KPS_6_19"/>
      <sheetName val="Kredit_Pajak19"/>
      <sheetName val="Pengantar_Alket19"/>
      <sheetName val="NOTHIT_BADAN19"/>
      <sheetName val="STP_BADAN19"/>
      <sheetName val="NOTHIT23_(2)19"/>
      <sheetName val="NOTHIT4_ayat_219"/>
      <sheetName val="NOTHIT_PPN19"/>
      <sheetName val="NOTHIT_PPN_(2)19"/>
      <sheetName val="PHP_119"/>
      <sheetName val="PHP_219"/>
      <sheetName val="Surat_Tanggapan19"/>
      <sheetName val="Lembar_Pernyataan19"/>
      <sheetName val="BAP_PHP18"/>
      <sheetName val="Trial_Balance_-_MARCH_200619"/>
      <sheetName val="Projection_2007_Lampung18"/>
      <sheetName val="Projection_2007_Medan18"/>
      <sheetName val="Projection_2007_Pasuruan18"/>
      <sheetName val="Projection_2007_Pemalang18"/>
      <sheetName val="Projection_2007_PSN18"/>
      <sheetName val="Projection_2007_PSVN18"/>
      <sheetName val="Projection_2007_Sulawesi18"/>
      <sheetName val="Table_Array7"/>
      <sheetName val="A1-B_ASSET6"/>
      <sheetName val="TABEL_DARI_AKTUARIA6"/>
      <sheetName val="T1_6"/>
      <sheetName val="Purchase_Order_(2)6"/>
      <sheetName val="Customize_Your_Purchase_Order6"/>
      <sheetName val="SELISIH_KURSSOURCE223"/>
      <sheetName val="Sheet1_(2)23"/>
      <sheetName val="N_BANDING23"/>
      <sheetName val="RL_BANDING23"/>
      <sheetName val="Sheet2_(2)23"/>
      <sheetName val="Sheet1_(3)23"/>
      <sheetName val="Kirim_TUP21"/>
      <sheetName val="KPS_6_21"/>
      <sheetName val="Kredit_Pajak21"/>
      <sheetName val="Pengantar_Alket21"/>
      <sheetName val="NOTHIT_BADAN21"/>
      <sheetName val="STP_BADAN21"/>
      <sheetName val="NOTHIT23_(2)21"/>
      <sheetName val="NOTHIT4_ayat_221"/>
      <sheetName val="NOTHIT_PPN21"/>
      <sheetName val="NOTHIT_PPN_(2)21"/>
      <sheetName val="PHP_121"/>
      <sheetName val="PHP_221"/>
      <sheetName val="Surat_Tanggapan21"/>
      <sheetName val="Lembar_Pernyataan21"/>
      <sheetName val="BAP_PHP20"/>
      <sheetName val="Trial_Balance_-_MARCH_200621"/>
      <sheetName val="Projection_2007_Lampung20"/>
      <sheetName val="Projection_2007_Medan20"/>
      <sheetName val="Projection_2007_Pasuruan20"/>
      <sheetName val="Projection_2007_Pemalang20"/>
      <sheetName val="Projection_2007_PSN20"/>
      <sheetName val="Projection_2007_PSVN20"/>
      <sheetName val="Projection_2007_Sulawesi20"/>
      <sheetName val="Table_Array9"/>
      <sheetName val="A1-B_ASSET8"/>
      <sheetName val="TABEL_DARI_AKTUARIA8"/>
      <sheetName val="T1_8"/>
      <sheetName val="Purchase_Order_(2)8"/>
      <sheetName val="Customize_Your_Purchase_Order8"/>
      <sheetName val="SELISIH_KURSSOURCE224"/>
      <sheetName val="Sheet1_(2)24"/>
      <sheetName val="N_BANDING24"/>
      <sheetName val="RL_BANDING24"/>
      <sheetName val="Sheet2_(2)24"/>
      <sheetName val="Sheet1_(3)24"/>
      <sheetName val="Kirim_TUP22"/>
      <sheetName val="KPS_6_22"/>
      <sheetName val="Kredit_Pajak22"/>
      <sheetName val="Pengantar_Alket22"/>
      <sheetName val="NOTHIT_BADAN22"/>
      <sheetName val="STP_BADAN22"/>
      <sheetName val="NOTHIT23_(2)22"/>
      <sheetName val="NOTHIT4_ayat_222"/>
      <sheetName val="NOTHIT_PPN22"/>
      <sheetName val="NOTHIT_PPN_(2)22"/>
      <sheetName val="PHP_122"/>
      <sheetName val="PHP_222"/>
      <sheetName val="Surat_Tanggapan22"/>
      <sheetName val="Lembar_Pernyataan22"/>
      <sheetName val="BAP_PHP21"/>
      <sheetName val="Trial_Balance_-_MARCH_200622"/>
      <sheetName val="Projection_2007_Lampung21"/>
      <sheetName val="Projection_2007_Medan21"/>
      <sheetName val="Projection_2007_Pasuruan21"/>
      <sheetName val="Projection_2007_Pemalang21"/>
      <sheetName val="Projection_2007_PSN21"/>
      <sheetName val="Projection_2007_PSVN21"/>
      <sheetName val="Projection_2007_Sulawesi21"/>
      <sheetName val="Table_Array10"/>
      <sheetName val="A1-B_ASSET9"/>
      <sheetName val="TABEL_DARI_AKTUARIA9"/>
      <sheetName val="T1_9"/>
      <sheetName val="Purchase_Order_(2)9"/>
      <sheetName val="Customize_Your_Purchase_Order9"/>
      <sheetName val="_____(BS)"/>
      <sheetName val="_____(PL)"/>
      <sheetName val="Lokasi"/>
      <sheetName val="GeneralInfo"/>
      <sheetName val="ACC.CODE"/>
      <sheetName val="K.6DEPOSIT"/>
      <sheetName val="SMITH"/>
      <sheetName val="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Comb"/>
      <sheetName val="Forex June"/>
      <sheetName val="adj"/>
      <sheetName val="adj by totoku"/>
      <sheetName val="Sales 6"/>
      <sheetName val="Trial_Balance"/>
      <sheetName val="Forex_June"/>
      <sheetName val="adj_by_totoku"/>
      <sheetName val="Sales_6"/>
      <sheetName val="IS"/>
      <sheetName val="Marshal"/>
      <sheetName val="Worksheet-03"/>
      <sheetName val="Monthly RecapLO"/>
      <sheetName val="General Info"/>
      <sheetName val="Table"/>
      <sheetName val="F1771-2"/>
      <sheetName val="412src2"/>
      <sheetName val="412"/>
      <sheetName val="SELISIHKURSSOURCE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sept"/>
      <sheetName val="Trial_Balance1"/>
      <sheetName val="Forex_June1"/>
      <sheetName val="adj_by_totoku1"/>
      <sheetName val="Sales_61"/>
      <sheetName val="Monthly_RecapLO"/>
      <sheetName val="General_Info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 IDR (1101)"/>
      <sheetName val="PC $ (1102)"/>
      <sheetName val="PC Jpy (1103)"/>
      <sheetName val="Resona $ (1202)"/>
      <sheetName val="Resona IDR (1203)"/>
      <sheetName val="Resona Yen (1204)"/>
      <sheetName val="Mandiri IDR (1205)"/>
      <sheetName val="BSMI (1209)"/>
      <sheetName val="Nusantara IDR (1206)"/>
      <sheetName val="Sumitomo IDR (1207)"/>
      <sheetName val="Sumitomo IDR (1208)"/>
      <sheetName val="Sheet3"/>
      <sheetName val="Comb"/>
      <sheetName val="TB"/>
      <sheetName val="Kurs Dec"/>
      <sheetName val="REKAP PPH"/>
      <sheetName val="Advance Pay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Sheet2"/>
      <sheetName val="Sheet3"/>
      <sheetName val="Sheet4"/>
      <sheetName val="Sheet5"/>
      <sheetName val="Ref"/>
      <sheetName val="Fixset"/>
      <sheetName val="RumusTB 1 bln"/>
      <sheetName val="HEADER"/>
      <sheetName val="F1771-III"/>
      <sheetName val="PTK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0000002"/>
      <sheetName val="0000003"/>
      <sheetName val="CB-07-03"/>
      <sheetName val="CB-07-03-USD"/>
      <sheetName val="ACC.CODE"/>
      <sheetName val="ACC_CODE"/>
      <sheetName val="5"/>
      <sheetName val="ACC_CODE1"/>
      <sheetName val="adj"/>
      <sheetName val="contekan"/>
      <sheetName val="SPI"/>
      <sheetName val="ACC_CODE2"/>
      <sheetName val="CMA Calculations- Figure 5440.1"/>
      <sheetName val="FE-1770-I"/>
      <sheetName val="FE-1770.P1"/>
      <sheetName val="FE-1770-II"/>
      <sheetName val="F1771-2"/>
      <sheetName val="Gmd3"/>
      <sheetName val="Marshal"/>
      <sheetName val="LOOKUP"/>
      <sheetName val="GLdownload"/>
      <sheetName val="alamat"/>
      <sheetName val="ACC_CODE3"/>
      <sheetName val="CMA_Calculations-_Figure_5440_1"/>
      <sheetName val="FE-1770_P1"/>
      <sheetName val="ACC_CODE8"/>
      <sheetName val="CMA_Calculations-_Figure_5440_6"/>
      <sheetName val="FE-1770_P15"/>
      <sheetName val="ACC_CODE5"/>
      <sheetName val="CMA_Calculations-_Figure_5440_3"/>
      <sheetName val="FE-1770_P12"/>
      <sheetName val="ACC_CODE4"/>
      <sheetName val="CMA_Calculations-_Figure_5440_2"/>
      <sheetName val="FE-1770_P11"/>
      <sheetName val="ACC_CODE6"/>
      <sheetName val="CMA_Calculations-_Figure_5440_4"/>
      <sheetName val="FE-1770_P13"/>
      <sheetName val="ACC_CODE7"/>
      <sheetName val="CMA_Calculations-_Figure_5440_5"/>
      <sheetName val="FE-1770_P14"/>
      <sheetName val="ACC_CODE11"/>
      <sheetName val="CMA_Calculations-_Figure_5440_9"/>
      <sheetName val="FE-1770_P18"/>
      <sheetName val="ACC_CODE9"/>
      <sheetName val="CMA_Calculations-_Figure_5440_7"/>
      <sheetName val="FE-1770_P16"/>
      <sheetName val="ACC_CODE10"/>
      <sheetName val="CMA_Calculations-_Figure_5440_8"/>
      <sheetName val="FE-1770_P17"/>
      <sheetName val="ACC_CODE13"/>
      <sheetName val="CMA_Calculations-_Figure_544011"/>
      <sheetName val="FE-1770_P110"/>
      <sheetName val="ACC_CODE12"/>
      <sheetName val="CMA_Calculations-_Figure_544010"/>
      <sheetName val="FE-1770_P19"/>
      <sheetName val="Account Code"/>
      <sheetName val="F160.F Inv K,P,M"/>
      <sheetName val="ACC_CODE15"/>
      <sheetName val="CMA_Calculations-_Figure_544013"/>
      <sheetName val="FE-1770_P112"/>
      <sheetName val="ACC_CODE14"/>
      <sheetName val="CMA_Calculations-_Figure_544012"/>
      <sheetName val="FE-1770_P111"/>
      <sheetName val="Sheet2"/>
      <sheetName val="ABSN  April 09 ~ Mei 09 ok"/>
      <sheetName val="TAG-GAJI"/>
      <sheetName val="Terms"/>
      <sheetName val="412src2"/>
      <sheetName val="412"/>
      <sheetName val="SELISIHKURSSOURCE"/>
      <sheetName val="Projects"/>
      <sheetName val="JOB_Terms"/>
      <sheetName val="Assumption"/>
      <sheetName val="ACC_CODE16"/>
      <sheetName val="CMA_Calculations-_Figure_544014"/>
      <sheetName val="FE-1770_P113"/>
      <sheetName val="Account_Code"/>
      <sheetName val="F160_F_Inv_K,P,M"/>
      <sheetName val="ABSN__April_09_~_Mei_09_ok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Recap"/>
      <sheetName val="Terbilang"/>
      <sheetName val="ACC_CODE17"/>
      <sheetName val="CMA_Calculations-_Figure_544015"/>
      <sheetName val="FE-1770_P114"/>
      <sheetName val="Account_Code1"/>
      <sheetName val="F160_F_Inv_K,P,M1"/>
      <sheetName val="ABSN__April_09_~_Mei_09_ok1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RM"/>
      <sheetName val="DCFQUICK"/>
      <sheetName val="co_data"/>
      <sheetName val="ACC_CODE19"/>
      <sheetName val="CMA_Calculations-_Figure_544017"/>
      <sheetName val="FE-1770_P116"/>
      <sheetName val="Account_Code3"/>
      <sheetName val="F160_F_Inv_K,P,M3"/>
      <sheetName val="ABSN__April_09_~_Mei_09_ok3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ACC_CODE18"/>
      <sheetName val="CMA_Calculations-_Figure_544016"/>
      <sheetName val="FE-1770_P115"/>
      <sheetName val="Account_Code2"/>
      <sheetName val="F160_F_Inv_K,P,M2"/>
      <sheetName val="ABSN__April_09_~_Mei_09_ok2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LEADSCHEDULE"/>
      <sheetName val="전체실적"/>
      <sheetName val="효율계획(당월)"/>
      <sheetName val="ProductionTarget50Pct"/>
      <sheetName val="CAPEX"/>
      <sheetName val="ＦＲＭ負荷表"/>
      <sheetName val="ACC_CODE20"/>
      <sheetName val="CMA_Calculations-_Figure_544018"/>
      <sheetName val="FE-1770_P117"/>
      <sheetName val="Account_Code4"/>
      <sheetName val="F160_F_Inv_K,P,M4"/>
      <sheetName val="ABSN__April_09_~_Mei_09_ok4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ACC_CODE21"/>
      <sheetName val="CMA_Calculations-_Figure_544019"/>
      <sheetName val="FE-1770_P118"/>
      <sheetName val="Account_Code5"/>
      <sheetName val="F160_F_Inv_K,P,M5"/>
      <sheetName val="ABSN__April_09_~_Mei_09_ok5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ACC_CODE25"/>
      <sheetName val="CMA_Calculations-_Figure_544023"/>
      <sheetName val="FE-1770_P122"/>
      <sheetName val="Account_Code9"/>
      <sheetName val="F160_F_Inv_K,P,M9"/>
      <sheetName val="ABSN__April_09_~_Mei_09_ok9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ACC_CODE22"/>
      <sheetName val="CMA_Calculations-_Figure_544020"/>
      <sheetName val="FE-1770_P119"/>
      <sheetName val="Account_Code6"/>
      <sheetName val="F160_F_Inv_K,P,M6"/>
      <sheetName val="ABSN__April_09_~_Mei_09_ok6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ACC_CODE23"/>
      <sheetName val="CMA_Calculations-_Figure_544021"/>
      <sheetName val="FE-1770_P120"/>
      <sheetName val="Account_Code7"/>
      <sheetName val="F160_F_Inv_K,P,M7"/>
      <sheetName val="ABSN__April_09_~_Mei_09_ok7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ACC_CODE24"/>
      <sheetName val="CMA_Calculations-_Figure_544022"/>
      <sheetName val="FE-1770_P121"/>
      <sheetName val="Account_Code8"/>
      <sheetName val="F160_F_Inv_K,P,M8"/>
      <sheetName val="ABSN__April_09_~_Mei_09_ok8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ACC_CODE26"/>
      <sheetName val="CMA_Calculations-_Figure_544024"/>
      <sheetName val="FE-1770_P123"/>
      <sheetName val="Account_Code10"/>
      <sheetName val="F160_F_Inv_K,P,M10"/>
      <sheetName val="ABSN__April_09_~_Mei_09_ok10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ACC_CODE27"/>
      <sheetName val="CMA_Calculations-_Figure_544025"/>
      <sheetName val="FE-1770_P124"/>
      <sheetName val="Account_Code11"/>
      <sheetName val="F160_F_Inv_K,P,M11"/>
      <sheetName val="ABSN__April_09_~_Mei_09_ok11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ACC_CODE28"/>
      <sheetName val="CMA_Calculations-_Figure_544026"/>
      <sheetName val="FE-1770_P125"/>
      <sheetName val="Account_Code12"/>
      <sheetName val="F160_F_Inv_K,P,M12"/>
      <sheetName val="ABSN__April_09_~_Mei_09_ok12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ACC_CODE29"/>
      <sheetName val="CMA_Calculations-_Figure_544027"/>
      <sheetName val="FE-1770_P126"/>
      <sheetName val="Account_Code13"/>
      <sheetName val="F160_F_Inv_K,P,M13"/>
      <sheetName val="ABSN__April_09_~_Mei_09_ok13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ACC_CODE31"/>
      <sheetName val="CMA_Calculations-_Figure_544029"/>
      <sheetName val="FE-1770_P128"/>
      <sheetName val="Account_Code15"/>
      <sheetName val="F160_F_Inv_K,P,M15"/>
      <sheetName val="ABSN__April_09_~_Mei_09_ok15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ACC_CODE30"/>
      <sheetName val="CMA_Calculations-_Figure_544028"/>
      <sheetName val="FE-1770_P127"/>
      <sheetName val="Account_Code14"/>
      <sheetName val="F160_F_Inv_K,P,M14"/>
      <sheetName val="ABSN__April_09_~_Mei_09_ok14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an-ling"/>
      <sheetName val="cf9900"/>
      <sheetName val="GeneralInfo"/>
      <sheetName val="topsimpr"/>
      <sheetName val="Ref"/>
      <sheetName val="DATA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Neraca Awal"/>
      <sheetName val="110-001"/>
      <sheetName val="120-001"/>
      <sheetName val="120-002"/>
      <sheetName val="120-003"/>
      <sheetName val="120-004"/>
      <sheetName val="120-005"/>
      <sheetName val="130-000"/>
      <sheetName val="130-001"/>
      <sheetName val="130-002"/>
      <sheetName val="130-003"/>
      <sheetName val="130-004"/>
      <sheetName val="130-005"/>
      <sheetName val="130-006"/>
      <sheetName val="130-007"/>
      <sheetName val="130-008"/>
      <sheetName val="130-009"/>
      <sheetName val="131-001"/>
      <sheetName val="131-002"/>
      <sheetName val="131-003"/>
      <sheetName val="131-004"/>
      <sheetName val="133-001"/>
      <sheetName val="134-001"/>
      <sheetName val="135-001"/>
      <sheetName val="135-002"/>
      <sheetName val="135-003"/>
      <sheetName val="135-004"/>
      <sheetName val="140-001"/>
      <sheetName val="140-002"/>
      <sheetName val="140-003"/>
      <sheetName val="150-001"/>
      <sheetName val="150-002"/>
      <sheetName val="160-001"/>
      <sheetName val="160-002"/>
      <sheetName val="170-001"/>
      <sheetName val="170-002"/>
      <sheetName val="180-001"/>
      <sheetName val="210-001"/>
      <sheetName val="210-002"/>
      <sheetName val="220-002"/>
      <sheetName val="230-001"/>
      <sheetName val="230-002"/>
      <sheetName val="230-003"/>
      <sheetName val="230-005"/>
      <sheetName val="240-001"/>
      <sheetName val="250-001"/>
      <sheetName val="250-002"/>
      <sheetName val="260-001"/>
      <sheetName val="260-002"/>
      <sheetName val="270-001"/>
      <sheetName val="270-002"/>
      <sheetName val="280-100"/>
      <sheetName val="280-701"/>
      <sheetName val="280-702"/>
      <sheetName val="280-703"/>
      <sheetName val="280-704"/>
      <sheetName val="310-001"/>
      <sheetName val="320-001"/>
      <sheetName val="320-002"/>
      <sheetName val="410-001OKE"/>
      <sheetName val="410-002"/>
      <sheetName val="420-001"/>
      <sheetName val="420-002"/>
      <sheetName val="430-001"/>
      <sheetName val="440-001"/>
      <sheetName val="410-005"/>
      <sheetName val="450-001"/>
      <sheetName val="510-001OKE"/>
      <sheetName val="510-002"/>
      <sheetName val="510-003"/>
      <sheetName val="510-004"/>
      <sheetName val="520-001"/>
      <sheetName val="520-002"/>
      <sheetName val="520-003"/>
      <sheetName val="530-001"/>
      <sheetName val="510-005"/>
      <sheetName val="601-001OKE"/>
      <sheetName val="601-002"/>
      <sheetName val="601-003"/>
      <sheetName val="602-001OKE"/>
      <sheetName val="602-002"/>
      <sheetName val="602-003"/>
      <sheetName val="603-001"/>
      <sheetName val="603-002"/>
      <sheetName val="603-003"/>
      <sheetName val="604-001OKE"/>
      <sheetName val="604-002"/>
      <sheetName val="604-003"/>
      <sheetName val="605-001"/>
      <sheetName val="605-002"/>
      <sheetName val="605-003"/>
      <sheetName val="606-001"/>
      <sheetName val="606-002"/>
      <sheetName val="606-003"/>
      <sheetName val="606-001oke"/>
      <sheetName val="607-001"/>
      <sheetName val="607-002"/>
      <sheetName val="607-003"/>
      <sheetName val="608-001"/>
      <sheetName val="608-002"/>
      <sheetName val="608-003"/>
      <sheetName val="609-001"/>
      <sheetName val="609-002"/>
      <sheetName val="609-003"/>
      <sheetName val="610-001"/>
      <sheetName val="610-002"/>
      <sheetName val="610-003"/>
      <sheetName val="611-001"/>
      <sheetName val="612-001"/>
      <sheetName val="612-002"/>
      <sheetName val="612-003"/>
      <sheetName val="613-001"/>
      <sheetName val="613-002"/>
      <sheetName val="614-001"/>
      <sheetName val="614-002"/>
      <sheetName val="614-003"/>
      <sheetName val="615-001"/>
      <sheetName val="615-002"/>
      <sheetName val="615-003"/>
      <sheetName val="616-001"/>
      <sheetName val="616-002"/>
      <sheetName val="616-003"/>
      <sheetName val="617-001"/>
      <sheetName val="618-001"/>
      <sheetName val="619-001"/>
      <sheetName val="619-002"/>
      <sheetName val="D.PENDAPATAN"/>
      <sheetName val="D.USAHA"/>
      <sheetName val="D.OPERASIONAL"/>
      <sheetName val="D.PEN&amp;BIBANK"/>
      <sheetName val="RUGI LABA"/>
      <sheetName val="NeracaPercobaan"/>
      <sheetName val="MASTER RUGI LABA"/>
      <sheetName val="NERACA"/>
      <sheetName val="NERACA PENUTUPAN"/>
      <sheetName val="RUGI LABA OUT"/>
      <sheetName val="RUGI LABA MPS"/>
      <sheetName val="RUGI LABA TRAINING"/>
      <sheetName val="LABA DITAHN"/>
      <sheetName val="NrcPercobaanStlhPenutupan"/>
      <sheetName val="GeneralInfo"/>
      <sheetName val="Disposals"/>
      <sheetName val="A"/>
      <sheetName val="account"/>
      <sheetName val="19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adj"/>
      <sheetName val="ACC.CODE"/>
      <sheetName val="P&amp;L9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Sheet1"/>
      <sheetName val="Total"/>
      <sheetName val="A011"/>
      <sheetName val="A021"/>
      <sheetName val="A022"/>
      <sheetName val="A041"/>
      <sheetName val="A042"/>
      <sheetName val="A043"/>
      <sheetName val="A051"/>
      <sheetName val="A061"/>
      <sheetName val="B011"/>
      <sheetName val="B012"/>
      <sheetName val="B013"/>
      <sheetName val="B021"/>
      <sheetName val="B022"/>
      <sheetName val="B031"/>
      <sheetName val="B032"/>
      <sheetName val="B033"/>
      <sheetName val="B041"/>
      <sheetName val="B042"/>
      <sheetName val="B043"/>
      <sheetName val="B051"/>
      <sheetName val="B052"/>
      <sheetName val="B053"/>
      <sheetName val="B054"/>
      <sheetName val="B061"/>
      <sheetName val="B071"/>
      <sheetName val="B081"/>
      <sheetName val="B091"/>
      <sheetName val="B092"/>
      <sheetName val="B093"/>
      <sheetName val="B094"/>
      <sheetName val="B095"/>
      <sheetName val="B101"/>
      <sheetName val="B111"/>
      <sheetName val="Data"/>
      <sheetName val="Cperi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GeneralInfo"/>
      <sheetName val="SPI"/>
      <sheetName val="2_"/>
      <sheetName val="7_1"/>
      <sheetName val="Sheet2_(2)"/>
      <sheetName val="kurs"/>
      <sheetName val="2_1"/>
      <sheetName val="7_11"/>
      <sheetName val="Sheet2_(2)1"/>
      <sheetName val="412src2"/>
      <sheetName val="412"/>
      <sheetName val="SELISIHKURSSOURCE"/>
      <sheetName val="Main"/>
      <sheetName val="SHAREHOLDERS"/>
      <sheetName val="Lamp 1"/>
      <sheetName val="LPP"/>
      <sheetName val="JUL"/>
      <sheetName val="ACC.CODE"/>
      <sheetName val="DETANAL-AUG"/>
      <sheetName val="YRACCT"/>
      <sheetName val="2_7"/>
      <sheetName val="7_17"/>
      <sheetName val="Sheet2_(2)7"/>
      <sheetName val="ACC_CODE5"/>
      <sheetName val="Lamp_15"/>
      <sheetName val="2_2"/>
      <sheetName val="7_12"/>
      <sheetName val="Sheet2_(2)2"/>
      <sheetName val="ACC_CODE"/>
      <sheetName val="Lamp_1"/>
      <sheetName val="2_4"/>
      <sheetName val="7_14"/>
      <sheetName val="Sheet2_(2)4"/>
      <sheetName val="ACC_CODE2"/>
      <sheetName val="Lamp_12"/>
      <sheetName val="2_3"/>
      <sheetName val="7_13"/>
      <sheetName val="Sheet2_(2)3"/>
      <sheetName val="ACC_CODE1"/>
      <sheetName val="Lamp_11"/>
      <sheetName val="2_5"/>
      <sheetName val="7_15"/>
      <sheetName val="Sheet2_(2)5"/>
      <sheetName val="ACC_CODE3"/>
      <sheetName val="Lamp_13"/>
      <sheetName val="2_6"/>
      <sheetName val="7_16"/>
      <sheetName val="Sheet2_(2)6"/>
      <sheetName val="ACC_CODE4"/>
      <sheetName val="Lamp_14"/>
      <sheetName val="2_10"/>
      <sheetName val="7_110"/>
      <sheetName val="Sheet2_(2)10"/>
      <sheetName val="ACC_CODE8"/>
      <sheetName val="Lamp_18"/>
      <sheetName val="2_8"/>
      <sheetName val="7_18"/>
      <sheetName val="Sheet2_(2)8"/>
      <sheetName val="ACC_CODE6"/>
      <sheetName val="Lamp_16"/>
      <sheetName val="2_9"/>
      <sheetName val="7_19"/>
      <sheetName val="Sheet2_(2)9"/>
      <sheetName val="ACC_CODE7"/>
      <sheetName val="Lamp_17"/>
      <sheetName val="Engineering Workload"/>
      <sheetName val="2_13"/>
      <sheetName val="7_113"/>
      <sheetName val="Sheet2_(2)13"/>
      <sheetName val="ACC_CODE11"/>
      <sheetName val="Lamp_111"/>
      <sheetName val="2_12"/>
      <sheetName val="7_112"/>
      <sheetName val="Sheet2_(2)12"/>
      <sheetName val="ACC_CODE10"/>
      <sheetName val="Lamp_110"/>
      <sheetName val="2_11"/>
      <sheetName val="7_111"/>
      <sheetName val="Sheet2_(2)11"/>
      <sheetName val="ACC_CODE9"/>
      <sheetName val="Lamp_19"/>
      <sheetName val="ExchRates"/>
      <sheetName val="V_List"/>
      <sheetName val="Marshal"/>
      <sheetName val="Other Addbacks"/>
      <sheetName val="2_14"/>
      <sheetName val="7_114"/>
      <sheetName val="Sheet2_(2)14"/>
      <sheetName val="ACC_CODE12"/>
      <sheetName val="Lamp_112"/>
      <sheetName val="Sheet1"/>
      <sheetName val="Customize Your Invoice"/>
      <sheetName val="Invoice"/>
      <sheetName val="DATA WP"/>
      <sheetName val="MASTER"/>
      <sheetName val="Worksheet Jan-Jun 2004"/>
      <sheetName val="summary-final"/>
      <sheetName val="FA-0800"/>
      <sheetName val="Peso"/>
      <sheetName val="Report"/>
      <sheetName val="Table"/>
      <sheetName val="2_15"/>
      <sheetName val="7_115"/>
      <sheetName val="Sheet2_(2)15"/>
      <sheetName val="ACC_CODE13"/>
      <sheetName val="Lamp_113"/>
      <sheetName val="Engineering_Workload"/>
      <sheetName val="Other_Addbacks"/>
      <sheetName val="DATA_WP"/>
      <sheetName val="Customize_Your_Invoice"/>
      <sheetName val="Worksheet_Jan-Jun_2004"/>
      <sheetName val="Identitas"/>
      <sheetName val="Journal Template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1-B ASSET"/>
      <sheetName val="adj"/>
      <sheetName val="Komputer"/>
      <sheetName val="Ex-Rate"/>
      <sheetName val="Scoping"/>
      <sheetName val="WBS2"/>
      <sheetName val="ubay"/>
      <sheetName val="AC"/>
      <sheetName val="JOURNAL"/>
      <sheetName val="Trial"/>
      <sheetName val="Trial (2)"/>
      <sheetName val="FS"/>
      <sheetName val="COGS"/>
      <sheetName val="A u g"/>
      <sheetName val="Data Sheet"/>
      <sheetName val="INDIRECT DETAIL"/>
      <sheetName val="Daftar"/>
      <sheetName val="Workings"/>
      <sheetName val="Forecast"/>
      <sheetName val="BSCONSL"/>
      <sheetName val="#REF"/>
      <sheetName val="Bang-Non-St"/>
      <sheetName val="Monthly"/>
      <sheetName val="USDt_FS(4)"/>
      <sheetName val="BB"/>
      <sheetName val="Disposals"/>
      <sheetName val="6 mth TAC"/>
      <sheetName val="6 mth DTA"/>
      <sheetName val="TB98,oct99&amp;sap99-WPL"/>
      <sheetName val="EXC-R"/>
      <sheetName val="Customize Your Purchase Order"/>
      <sheetName val="2_16"/>
      <sheetName val="7_116"/>
      <sheetName val="Sheet2_(2)16"/>
      <sheetName val="ACC_CODE14"/>
      <sheetName val="Lamp_114"/>
      <sheetName val="Engineering_Workload1"/>
      <sheetName val="Other_Addbacks1"/>
      <sheetName val="Customize_Your_Invoice1"/>
      <sheetName val="DATA_WP1"/>
      <sheetName val="Worksheet_Jan-Jun_20041"/>
      <sheetName val="Journal_Template"/>
      <sheetName val="A1-B_ASSET"/>
      <sheetName val="2_17"/>
      <sheetName val="7_117"/>
      <sheetName val="Sheet2_(2)17"/>
      <sheetName val="ACC_CODE15"/>
      <sheetName val="Lamp_115"/>
      <sheetName val="Engineering_Workload2"/>
      <sheetName val="Other_Addbacks2"/>
      <sheetName val="Customize_Your_Invoice2"/>
      <sheetName val="DATA_WP2"/>
      <sheetName val="Worksheet_Jan-Jun_20042"/>
      <sheetName val="Journal_Template1"/>
      <sheetName val="A1-B_ASSET1"/>
      <sheetName val="2_18"/>
      <sheetName val="7_118"/>
      <sheetName val="Sheet2_(2)18"/>
      <sheetName val="ACC_CODE16"/>
      <sheetName val="Lamp_116"/>
      <sheetName val="Engineering_Workload3"/>
      <sheetName val="Other_Addbacks3"/>
      <sheetName val="Customize_Your_Invoice3"/>
      <sheetName val="DATA_WP3"/>
      <sheetName val="Worksheet_Jan-Jun_20043"/>
      <sheetName val="Journal_Template2"/>
      <sheetName val="A1-B_ASSET2"/>
      <sheetName val="2_19"/>
      <sheetName val="7_119"/>
      <sheetName val="Sheet2_(2)19"/>
      <sheetName val="ACC_CODE17"/>
      <sheetName val="Lamp_117"/>
      <sheetName val="Engineering_Workload4"/>
      <sheetName val="Other_Addbacks4"/>
      <sheetName val="Customize_Your_Invoice4"/>
      <sheetName val="DATA_WP4"/>
      <sheetName val="Worksheet_Jan-Jun_20044"/>
      <sheetName val="Journal_Template3"/>
      <sheetName val="A1-B_ASSET3"/>
      <sheetName val="2_23"/>
      <sheetName val="7_123"/>
      <sheetName val="Sheet2_(2)23"/>
      <sheetName val="ACC_CODE21"/>
      <sheetName val="Lamp_121"/>
      <sheetName val="Engineering_Workload8"/>
      <sheetName val="Other_Addbacks8"/>
      <sheetName val="Customize_Your_Invoice8"/>
      <sheetName val="DATA_WP8"/>
      <sheetName val="Worksheet_Jan-Jun_20048"/>
      <sheetName val="Journal_Template7"/>
      <sheetName val="A1-B_ASSET7"/>
      <sheetName val="2_20"/>
      <sheetName val="7_120"/>
      <sheetName val="Sheet2_(2)20"/>
      <sheetName val="ACC_CODE18"/>
      <sheetName val="Lamp_118"/>
      <sheetName val="Engineering_Workload5"/>
      <sheetName val="Other_Addbacks5"/>
      <sheetName val="Customize_Your_Invoice5"/>
      <sheetName val="DATA_WP5"/>
      <sheetName val="Worksheet_Jan-Jun_20045"/>
      <sheetName val="Journal_Template4"/>
      <sheetName val="A1-B_ASSET4"/>
      <sheetName val="2_21"/>
      <sheetName val="7_121"/>
      <sheetName val="Sheet2_(2)21"/>
      <sheetName val="ACC_CODE19"/>
      <sheetName val="Lamp_119"/>
      <sheetName val="Engineering_Workload6"/>
      <sheetName val="Other_Addbacks6"/>
      <sheetName val="Customize_Your_Invoice6"/>
      <sheetName val="DATA_WP6"/>
      <sheetName val="Worksheet_Jan-Jun_20046"/>
      <sheetName val="Journal_Template5"/>
      <sheetName val="A1-B_ASSET5"/>
      <sheetName val="2_22"/>
      <sheetName val="7_122"/>
      <sheetName val="Sheet2_(2)22"/>
      <sheetName val="ACC_CODE20"/>
      <sheetName val="Lamp_120"/>
      <sheetName val="Engineering_Workload7"/>
      <sheetName val="Other_Addbacks7"/>
      <sheetName val="Customize_Your_Invoice7"/>
      <sheetName val="DATA_WP7"/>
      <sheetName val="Worksheet_Jan-Jun_20047"/>
      <sheetName val="Journal_Template6"/>
      <sheetName val="A1-B_ASSET6"/>
      <sheetName val="2_24"/>
      <sheetName val="7_124"/>
      <sheetName val="Sheet2_(2)24"/>
      <sheetName val="ACC_CODE22"/>
      <sheetName val="Lamp_122"/>
      <sheetName val="Engineering_Workload9"/>
      <sheetName val="Other_Addbacks9"/>
      <sheetName val="Customize_Your_Invoice9"/>
      <sheetName val="DATA_WP9"/>
      <sheetName val="Worksheet_Jan-Jun_20049"/>
      <sheetName val="Journal_Template8"/>
      <sheetName val="A1-B_ASSET8"/>
      <sheetName val="2_25"/>
      <sheetName val="7_125"/>
      <sheetName val="Sheet2_(2)25"/>
      <sheetName val="ACC_CODE23"/>
      <sheetName val="Lamp_123"/>
      <sheetName val="Engineering_Workload10"/>
      <sheetName val="Other_Addbacks10"/>
      <sheetName val="Customize_Your_Invoice10"/>
      <sheetName val="DATA_WP10"/>
      <sheetName val="Worksheet_Jan-Jun_200410"/>
      <sheetName val="Journal_Template9"/>
      <sheetName val="A1-B_ASSET9"/>
      <sheetName val="_x0006_耽LI_x0000__x0000_ࢬ诐仦ﲻ늶ỊRCE"/>
      <sheetName val="2930"/>
      <sheetName val="2933"/>
      <sheetName val="2934"/>
      <sheetName val="SCH 3"/>
      <sheetName val="Drop"/>
      <sheetName val="Scoping Unit ALR"/>
      <sheetName val="2003 ACT CFlow"/>
      <sheetName val="2003 BGT C Flow"/>
      <sheetName val="HO Use"/>
      <sheetName val="Permanent info"/>
      <sheetName val="Codes"/>
      <sheetName val="Bud"/>
      <sheetName val="k.6deposit"/>
      <sheetName val="fryprod"/>
      <sheetName val="_x0006_耽LI"/>
      <sheetName val="CMA Calculations"/>
      <sheetName val="Links"/>
      <sheetName val="WBS _2_salah"/>
      <sheetName val="GLdownload"/>
      <sheetName val="aug"/>
      <sheetName val="mei"/>
      <sheetName val="aprl"/>
      <sheetName val="feb"/>
      <sheetName val="jan"/>
      <sheetName val="jun"/>
      <sheetName val="mart"/>
      <sheetName val="oct"/>
      <sheetName val="sept"/>
      <sheetName val="ocean voyage"/>
      <sheetName val="WIP"/>
      <sheetName val="DEPN 2001"/>
      <sheetName val="SE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/>
      <sheetData sheetId="38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WP"/>
      <sheetName val="KKP I"/>
      <sheetName val="B"/>
      <sheetName val="B.1"/>
      <sheetName val="B.1.1"/>
      <sheetName val="B.1.2"/>
      <sheetName val="B.1.3"/>
      <sheetName val="B.1.4"/>
      <sheetName val="B.1.5"/>
      <sheetName val="B.1.6"/>
      <sheetName val="B.1.6 (2)"/>
      <sheetName val="B.1.6 (3)"/>
      <sheetName val="B.2"/>
      <sheetName val="B.2.1"/>
      <sheetName val="B.2.1.1"/>
      <sheetName val="B.2.1.2"/>
      <sheetName val="B.2.1.3 "/>
      <sheetName val="B.2.1.4"/>
      <sheetName val="B.2.1.5"/>
      <sheetName val="B.2.1.6"/>
      <sheetName val="B.2.1.7"/>
      <sheetName val="B.2.1.8"/>
      <sheetName val="B.2.1.9"/>
      <sheetName val="B.2.1.10"/>
      <sheetName val="B.2.1.11"/>
      <sheetName val="B.2.1.12"/>
      <sheetName val="B.2.1.13"/>
      <sheetName val="B.2.1.14"/>
      <sheetName val="B.2.1.15"/>
      <sheetName val="B.2.1.16"/>
      <sheetName val="B.2.1.17"/>
      <sheetName val="B.2.2"/>
      <sheetName val="B.2.2 1"/>
      <sheetName val="B.2.3"/>
      <sheetName val="B.3"/>
      <sheetName val="B.3.1"/>
      <sheetName val="B.3.2"/>
      <sheetName val="B.4"/>
      <sheetName val="B.4.1"/>
      <sheetName val="B.4.2"/>
      <sheetName val="B.4.2.1 "/>
      <sheetName val="B.4.2.2"/>
      <sheetName val="B.4.2.3"/>
      <sheetName val="B.4.2.4 "/>
      <sheetName val="B.4.2.5"/>
      <sheetName val="B.4.2.6"/>
      <sheetName val="B.4.2.7"/>
      <sheetName val="B.4.2.8"/>
      <sheetName val="B.4.3"/>
      <sheetName val="B.4.3.1"/>
      <sheetName val="B.4.3.2"/>
      <sheetName val="B.4.3.3"/>
      <sheetName val="B.4.3.4"/>
      <sheetName val="B.4.3.5"/>
      <sheetName val="B.4.3.6"/>
      <sheetName val="B.4.3.7 "/>
      <sheetName val="B.4.3.8 "/>
      <sheetName val="B.4.3.9"/>
      <sheetName val="B.4.3.10"/>
      <sheetName val="B.4.3.11"/>
      <sheetName val="B.4.3.12"/>
      <sheetName val="B.4.3.13"/>
      <sheetName val="B.4.3.14"/>
      <sheetName val="B.4.3.15"/>
      <sheetName val="B.4.3.16"/>
      <sheetName val="B.4.3.18"/>
      <sheetName val="E.1"/>
      <sheetName val="E.1.1"/>
      <sheetName val="E.1.3 (2)"/>
      <sheetName val="E.3"/>
      <sheetName val="E.3.1"/>
      <sheetName val="E.3.2"/>
      <sheetName val="E.3.3"/>
      <sheetName val="E.5"/>
      <sheetName val="E.5.1"/>
      <sheetName val="E.5.2"/>
      <sheetName val="E.6"/>
      <sheetName val="E.8.4 (2)"/>
      <sheetName val="E.8"/>
      <sheetName val="E.8.1"/>
      <sheetName val="E.8.4"/>
      <sheetName val="B.1.6 (4)"/>
      <sheetName val="B.1.6 (5)"/>
      <sheetName val="PO ADM"/>
      <sheetName val="SELISIHKURSSOURCE"/>
      <sheetName val="412"/>
      <sheetName val="DATA_WP"/>
      <sheetName val="KKP_I"/>
      <sheetName val="B_1"/>
      <sheetName val="B_1_1"/>
      <sheetName val="B_1_2"/>
      <sheetName val="B_1_3"/>
      <sheetName val="B_1_4"/>
      <sheetName val="B_1_5"/>
      <sheetName val="B_1_6"/>
      <sheetName val="B_1_6_(2)"/>
      <sheetName val="B_1_6_(3)"/>
      <sheetName val="B_2"/>
      <sheetName val="B_2_1"/>
      <sheetName val="B_2_1_1"/>
      <sheetName val="B_2_1_2"/>
      <sheetName val="B_2_1_3_"/>
      <sheetName val="B_2_1_4"/>
      <sheetName val="B_2_1_5"/>
      <sheetName val="B_2_1_6"/>
      <sheetName val="B_2_1_7"/>
      <sheetName val="B_2_1_8"/>
      <sheetName val="B_2_1_9"/>
      <sheetName val="B_2_1_10"/>
      <sheetName val="B_2_1_11"/>
      <sheetName val="B_2_1_12"/>
      <sheetName val="B_2_1_13"/>
      <sheetName val="B_2_1_14"/>
      <sheetName val="B_2_1_15"/>
      <sheetName val="B_2_1_16"/>
      <sheetName val="B_2_1_17"/>
      <sheetName val="B_2_2"/>
      <sheetName val="B_2_2_1"/>
      <sheetName val="B_2_3"/>
      <sheetName val="B_3"/>
      <sheetName val="B_3_1"/>
      <sheetName val="B_3_2"/>
      <sheetName val="B_4"/>
      <sheetName val="B_4_1"/>
      <sheetName val="B_4_2"/>
      <sheetName val="B_4_2_1_"/>
      <sheetName val="B_4_2_2"/>
      <sheetName val="B_4_2_3"/>
      <sheetName val="B_4_2_4_"/>
      <sheetName val="B_4_2_5"/>
      <sheetName val="B_4_2_6"/>
      <sheetName val="B_4_2_7"/>
      <sheetName val="B_4_2_8"/>
      <sheetName val="B_4_3"/>
      <sheetName val="B_4_3_1"/>
      <sheetName val="B_4_3_2"/>
      <sheetName val="B_4_3_3"/>
      <sheetName val="B_4_3_4"/>
      <sheetName val="B_4_3_5"/>
      <sheetName val="B_4_3_6"/>
      <sheetName val="B_4_3_7_"/>
      <sheetName val="B_4_3_8_"/>
      <sheetName val="B_4_3_9"/>
      <sheetName val="B_4_3_10"/>
      <sheetName val="B_4_3_11"/>
      <sheetName val="B_4_3_12"/>
      <sheetName val="B_4_3_13"/>
      <sheetName val="B_4_3_14"/>
      <sheetName val="B_4_3_15"/>
      <sheetName val="B_4_3_16"/>
      <sheetName val="B_4_3_18"/>
      <sheetName val="E_1"/>
      <sheetName val="E_1_1"/>
      <sheetName val="E_1_3_(2)"/>
      <sheetName val="E_3"/>
      <sheetName val="E_3_1"/>
      <sheetName val="E_3_2"/>
      <sheetName val="E_3_3"/>
      <sheetName val="E_5"/>
      <sheetName val="E_5_1"/>
      <sheetName val="E_5_2"/>
      <sheetName val="E_6"/>
      <sheetName val="E_8_4_(2)"/>
      <sheetName val="E_8"/>
      <sheetName val="E_8_1"/>
      <sheetName val="E_8_4"/>
      <sheetName val="B_1_6_(4)"/>
      <sheetName val="B_1_6_(5)"/>
      <sheetName val="µ!_x0004_)"/>
      <sheetName val="Sheet2"/>
      <sheetName val="DATA_WP1"/>
      <sheetName val="KKP_I1"/>
      <sheetName val="B_11"/>
      <sheetName val="B_1_11"/>
      <sheetName val="B_1_21"/>
      <sheetName val="B_1_31"/>
      <sheetName val="B_1_41"/>
      <sheetName val="B_1_51"/>
      <sheetName val="B_1_61"/>
      <sheetName val="B_1_6_(2)1"/>
      <sheetName val="B_1_6_(3)1"/>
      <sheetName val="B_21"/>
      <sheetName val="B_2_11"/>
      <sheetName val="B_2_1_18"/>
      <sheetName val="B_2_1_21"/>
      <sheetName val="B_2_1_3_1"/>
      <sheetName val="B_2_1_41"/>
      <sheetName val="B_2_1_51"/>
      <sheetName val="B_2_1_61"/>
      <sheetName val="B_2_1_71"/>
      <sheetName val="B_2_1_81"/>
      <sheetName val="B_2_1_91"/>
      <sheetName val="B_2_1_101"/>
      <sheetName val="B_2_1_111"/>
      <sheetName val="B_2_1_121"/>
      <sheetName val="B_2_1_131"/>
      <sheetName val="B_2_1_141"/>
      <sheetName val="B_2_1_151"/>
      <sheetName val="B_2_1_161"/>
      <sheetName val="B_2_1_171"/>
      <sheetName val="B_2_21"/>
      <sheetName val="B_2_2_11"/>
      <sheetName val="B_2_31"/>
      <sheetName val="B_31"/>
      <sheetName val="B_3_11"/>
      <sheetName val="B_3_21"/>
      <sheetName val="B_41"/>
      <sheetName val="B_4_11"/>
      <sheetName val="B_4_21"/>
      <sheetName val="B_4_2_1_1"/>
      <sheetName val="B_4_2_21"/>
      <sheetName val="B_4_2_31"/>
      <sheetName val="B_4_2_4_1"/>
      <sheetName val="B_4_2_51"/>
      <sheetName val="B_4_2_61"/>
      <sheetName val="B_4_2_71"/>
      <sheetName val="B_4_2_81"/>
      <sheetName val="B_4_31"/>
      <sheetName val="B_4_3_17"/>
      <sheetName val="B_4_3_21"/>
      <sheetName val="B_4_3_31"/>
      <sheetName val="B_4_3_41"/>
      <sheetName val="B_4_3_51"/>
      <sheetName val="B_4_3_61"/>
      <sheetName val="B_4_3_7_1"/>
      <sheetName val="B_4_3_8_1"/>
      <sheetName val="B_4_3_91"/>
      <sheetName val="B_4_3_101"/>
      <sheetName val="B_4_3_111"/>
      <sheetName val="B_4_3_121"/>
      <sheetName val="B_4_3_131"/>
      <sheetName val="B_4_3_141"/>
      <sheetName val="B_4_3_151"/>
      <sheetName val="B_4_3_161"/>
      <sheetName val="B_4_3_181"/>
      <sheetName val="E_11"/>
      <sheetName val="E_1_11"/>
      <sheetName val="E_1_3_(2)1"/>
      <sheetName val="E_31"/>
      <sheetName val="E_3_11"/>
      <sheetName val="E_3_21"/>
      <sheetName val="E_3_31"/>
      <sheetName val="E_51"/>
      <sheetName val="E_5_11"/>
      <sheetName val="E_5_21"/>
      <sheetName val="E_61"/>
      <sheetName val="E_8_4_(2)1"/>
      <sheetName val="E_81"/>
      <sheetName val="E_8_11"/>
      <sheetName val="E_8_41"/>
      <sheetName val="B_1_6_(4)1"/>
      <sheetName val="B_1_6_(5)1"/>
      <sheetName val="PO_ADM"/>
      <sheetName val="µ!)"/>
      <sheetName val="5"/>
      <sheetName val="µ!_x005f_x0004_)_x005f_x0000__x005f_x0000__x005f_x0000_"/>
      <sheetName val="µ!_x005f_x0004_)"/>
      <sheetName val="共機J"/>
      <sheetName val="µ!_x0004_)???"/>
      <sheetName val="µ!_x005f_x005f_x005f_x0004_)_x005f_x005f_x005f_x0000__x"/>
      <sheetName val="µ!_x005f_x005f_x005f_x0004_)"/>
      <sheetName val="µ!_x005f_x0004_)???"/>
      <sheetName val="µ!_x0004_)___"/>
      <sheetName val="µ!_x005f_x0004_)___"/>
      <sheetName val="SHAREHOLDERS"/>
      <sheetName val="Ex-Rate"/>
      <sheetName val="UNIT1"/>
      <sheetName val="NB UNIT1"/>
      <sheetName val="UNIT3"/>
      <sheetName val="NB UNIT3"/>
      <sheetName val="UNIT4"/>
      <sheetName val="NB UNIT4"/>
      <sheetName val="TSR"/>
      <sheetName val="NB TSR"/>
      <sheetName val="NB TELE"/>
      <sheetName val="AE"/>
      <sheetName val="NB AE"/>
      <sheetName val="UNIT2"/>
      <sheetName val="NB UNIT2"/>
      <sheetName val="BOY"/>
      <sheetName val="NB BOY"/>
      <sheetName val="ISI"/>
      <sheetName val="NB ISI"/>
      <sheetName val="REPORT1"/>
      <sheetName val="DSM1"/>
      <sheetName val="REPORT2"/>
      <sheetName val="DSM2"/>
      <sheetName val="REPORT3"/>
      <sheetName val="DSM3"/>
      <sheetName val="REPORT4"/>
      <sheetName val="DSM4"/>
      <sheetName val="REPORTTSR"/>
      <sheetName val="DTSM"/>
      <sheetName val="REPORT BOY"/>
      <sheetName val="REPORT ISI"/>
      <sheetName val="REPORTTELE"/>
      <sheetName val="RTELE"/>
      <sheetName val="REPORTAE"/>
      <sheetName val="RAE"/>
      <sheetName val="GAB.REPORT"/>
      <sheetName val="R.SBA2"/>
      <sheetName val="RANGKING"/>
      <sheetName val="Skrng"/>
      <sheetName val="perbandingan rangking"/>
      <sheetName val="EVALUASI KINERJA"/>
      <sheetName val="R.EVA"/>
      <sheetName val="IIS"/>
      <sheetName val="NB IIS"/>
      <sheetName val="REPORT IIS"/>
      <sheetName val="#REF"/>
      <sheetName val="R#REF"/>
      <sheetName val="RE#REF"/>
      <sheetName val="REP#REF"/>
      <sheetName val="REPO#REF"/>
      <sheetName val="REPOR#REF"/>
      <sheetName val="REPORT#REF"/>
      <sheetName val="REPORTREF"/>
      <sheetName val="REPORTEF"/>
      <sheetName val="REPORTF"/>
      <sheetName val="REPORT"/>
      <sheetName val="REPORT #REF"/>
      <sheetName val="REPORT I#REF"/>
      <sheetName val="REPORT IS#REF"/>
      <sheetName val="REPORT ISI#REF"/>
      <sheetName val="REPORT ISIREF"/>
      <sheetName val="REPORT ISIEF"/>
      <sheetName val="REPORT ISIF"/>
      <sheetName val="REPORT IOY"/>
      <sheetName val="REPORT ISY"/>
      <sheetName val="REPOS#REF"/>
      <sheetName val="REPOST#REF"/>
      <sheetName val="Lalu"/>
      <sheetName val="CWC Flexi"/>
      <sheetName val="A2.1 AJE"/>
      <sheetName val="Rincian"/>
      <sheetName val="HARGA AT"/>
      <sheetName val="Danamon LK"/>
      <sheetName val="Sheet1"/>
      <sheetName val="??J"/>
      <sheetName val="DATA_WP7"/>
      <sheetName val="KKP_I7"/>
      <sheetName val="B_17"/>
      <sheetName val="B_1_17"/>
      <sheetName val="B_1_27"/>
      <sheetName val="B_1_37"/>
      <sheetName val="B_1_47"/>
      <sheetName val="B_1_57"/>
      <sheetName val="B_1_67"/>
      <sheetName val="B_1_6_(2)7"/>
      <sheetName val="B_1_6_(3)7"/>
      <sheetName val="B_27"/>
      <sheetName val="B_2_17"/>
      <sheetName val="B_2_1_120"/>
      <sheetName val="B_2_1_27"/>
      <sheetName val="B_2_1_3_7"/>
      <sheetName val="B_2_1_47"/>
      <sheetName val="B_2_1_57"/>
      <sheetName val="B_2_1_67"/>
      <sheetName val="B_2_1_77"/>
      <sheetName val="B_2_1_87"/>
      <sheetName val="B_2_1_97"/>
      <sheetName val="B_2_1_107"/>
      <sheetName val="B_2_1_1110"/>
      <sheetName val="B_2_1_127"/>
      <sheetName val="B_2_1_137"/>
      <sheetName val="B_2_1_147"/>
      <sheetName val="B_2_1_157"/>
      <sheetName val="B_2_1_167"/>
      <sheetName val="B_2_1_177"/>
      <sheetName val="B_2_27"/>
      <sheetName val="B_2_2_17"/>
      <sheetName val="B_2_37"/>
      <sheetName val="B_37"/>
      <sheetName val="B_3_17"/>
      <sheetName val="B_3_27"/>
      <sheetName val="B_47"/>
      <sheetName val="B_4_17"/>
      <sheetName val="B_4_27"/>
      <sheetName val="B_4_2_1_7"/>
      <sheetName val="B_4_2_27"/>
      <sheetName val="B_4_2_37"/>
      <sheetName val="B_4_2_4_7"/>
      <sheetName val="B_4_2_57"/>
      <sheetName val="B_4_2_67"/>
      <sheetName val="B_4_2_77"/>
      <sheetName val="B_4_2_87"/>
      <sheetName val="B_4_37"/>
      <sheetName val="B_4_3_120"/>
      <sheetName val="B_4_3_27"/>
      <sheetName val="B_4_3_37"/>
      <sheetName val="B_4_3_47"/>
      <sheetName val="B_4_3_57"/>
      <sheetName val="B_4_3_67"/>
      <sheetName val="B_4_3_7_7"/>
      <sheetName val="B_4_3_8_7"/>
      <sheetName val="B_4_3_97"/>
      <sheetName val="B_4_3_107"/>
      <sheetName val="B_4_3_1110"/>
      <sheetName val="B_4_3_127"/>
      <sheetName val="B_4_3_137"/>
      <sheetName val="B_4_3_147"/>
      <sheetName val="B_4_3_157"/>
      <sheetName val="B_4_3_167"/>
      <sheetName val="B_4_3_187"/>
      <sheetName val="E_17"/>
      <sheetName val="E_1_17"/>
      <sheetName val="E_1_3_(2)7"/>
      <sheetName val="E_37"/>
      <sheetName val="E_3_17"/>
      <sheetName val="E_3_27"/>
      <sheetName val="E_3_37"/>
      <sheetName val="E_57"/>
      <sheetName val="E_5_17"/>
      <sheetName val="E_5_27"/>
      <sheetName val="E_67"/>
      <sheetName val="E_8_4_(2)7"/>
      <sheetName val="E_87"/>
      <sheetName val="E_8_17"/>
      <sheetName val="E_8_47"/>
      <sheetName val="B_1_6_(4)7"/>
      <sheetName val="B_1_6_(5)7"/>
      <sheetName val="PO_ADM6"/>
      <sheetName val="µ!)???"/>
      <sheetName val="µ!)___"/>
      <sheetName val="DATA_WP2"/>
      <sheetName val="KKP_I2"/>
      <sheetName val="B_12"/>
      <sheetName val="B_1_12"/>
      <sheetName val="B_1_22"/>
      <sheetName val="B_1_32"/>
      <sheetName val="B_1_42"/>
      <sheetName val="B_1_52"/>
      <sheetName val="B_1_62"/>
      <sheetName val="B_1_6_(2)2"/>
      <sheetName val="B_1_6_(3)2"/>
      <sheetName val="B_22"/>
      <sheetName val="B_2_12"/>
      <sheetName val="B_2_1_19"/>
      <sheetName val="B_2_1_22"/>
      <sheetName val="B_2_1_3_2"/>
      <sheetName val="B_2_1_42"/>
      <sheetName val="B_2_1_52"/>
      <sheetName val="B_2_1_62"/>
      <sheetName val="B_2_1_72"/>
      <sheetName val="B_2_1_82"/>
      <sheetName val="B_2_1_92"/>
      <sheetName val="B_2_1_102"/>
      <sheetName val="B_2_1_112"/>
      <sheetName val="B_2_1_122"/>
      <sheetName val="B_2_1_132"/>
      <sheetName val="B_2_1_142"/>
      <sheetName val="B_2_1_152"/>
      <sheetName val="B_2_1_162"/>
      <sheetName val="B_2_1_172"/>
      <sheetName val="B_2_22"/>
      <sheetName val="B_2_2_12"/>
      <sheetName val="B_2_32"/>
      <sheetName val="B_32"/>
      <sheetName val="B_3_12"/>
      <sheetName val="B_3_22"/>
      <sheetName val="B_42"/>
      <sheetName val="B_4_12"/>
      <sheetName val="B_4_22"/>
      <sheetName val="B_4_2_1_2"/>
      <sheetName val="B_4_2_22"/>
      <sheetName val="B_4_2_32"/>
      <sheetName val="B_4_2_4_2"/>
      <sheetName val="B_4_2_52"/>
      <sheetName val="B_4_2_62"/>
      <sheetName val="B_4_2_72"/>
      <sheetName val="B_4_2_82"/>
      <sheetName val="B_4_32"/>
      <sheetName val="B_4_3_19"/>
      <sheetName val="B_4_3_22"/>
      <sheetName val="B_4_3_32"/>
      <sheetName val="B_4_3_42"/>
      <sheetName val="B_4_3_52"/>
      <sheetName val="B_4_3_62"/>
      <sheetName val="B_4_3_7_2"/>
      <sheetName val="B_4_3_8_2"/>
      <sheetName val="B_4_3_92"/>
      <sheetName val="B_4_3_102"/>
      <sheetName val="B_4_3_112"/>
      <sheetName val="B_4_3_122"/>
      <sheetName val="B_4_3_132"/>
      <sheetName val="B_4_3_142"/>
      <sheetName val="B_4_3_152"/>
      <sheetName val="B_4_3_162"/>
      <sheetName val="B_4_3_182"/>
      <sheetName val="E_12"/>
      <sheetName val="E_1_12"/>
      <sheetName val="E_1_3_(2)2"/>
      <sheetName val="E_32"/>
      <sheetName val="E_3_12"/>
      <sheetName val="E_3_22"/>
      <sheetName val="E_3_32"/>
      <sheetName val="E_52"/>
      <sheetName val="E_5_12"/>
      <sheetName val="E_5_22"/>
      <sheetName val="E_62"/>
      <sheetName val="E_8_4_(2)2"/>
      <sheetName val="E_82"/>
      <sheetName val="E_8_12"/>
      <sheetName val="E_8_42"/>
      <sheetName val="B_1_6_(4)2"/>
      <sheetName val="B_1_6_(5)2"/>
      <sheetName val="PO_ADM1"/>
      <sheetName val="DATA_WP4"/>
      <sheetName val="KKP_I4"/>
      <sheetName val="B_14"/>
      <sheetName val="B_1_14"/>
      <sheetName val="B_1_24"/>
      <sheetName val="B_1_34"/>
      <sheetName val="B_1_44"/>
      <sheetName val="B_1_54"/>
      <sheetName val="B_1_64"/>
      <sheetName val="B_1_6_(2)4"/>
      <sheetName val="B_1_6_(3)4"/>
      <sheetName val="B_24"/>
      <sheetName val="B_2_14"/>
      <sheetName val="B_2_1_114"/>
      <sheetName val="B_2_1_24"/>
      <sheetName val="B_2_1_3_4"/>
      <sheetName val="B_2_1_44"/>
      <sheetName val="B_2_1_54"/>
      <sheetName val="B_2_1_64"/>
      <sheetName val="B_2_1_74"/>
      <sheetName val="B_2_1_84"/>
      <sheetName val="B_2_1_94"/>
      <sheetName val="B_2_1_104"/>
      <sheetName val="B_2_1_115"/>
      <sheetName val="B_2_1_124"/>
      <sheetName val="B_2_1_134"/>
      <sheetName val="B_2_1_144"/>
      <sheetName val="B_2_1_154"/>
      <sheetName val="B_2_1_164"/>
      <sheetName val="B_2_1_174"/>
      <sheetName val="B_2_24"/>
      <sheetName val="B_2_2_14"/>
      <sheetName val="B_2_34"/>
      <sheetName val="B_34"/>
      <sheetName val="B_3_14"/>
      <sheetName val="B_3_24"/>
      <sheetName val="B_44"/>
      <sheetName val="B_4_14"/>
      <sheetName val="B_4_24"/>
      <sheetName val="B_4_2_1_4"/>
      <sheetName val="B_4_2_24"/>
      <sheetName val="B_4_2_34"/>
      <sheetName val="B_4_2_4_4"/>
      <sheetName val="B_4_2_54"/>
      <sheetName val="B_4_2_64"/>
      <sheetName val="B_4_2_74"/>
      <sheetName val="B_4_2_84"/>
      <sheetName val="B_4_34"/>
      <sheetName val="B_4_3_114"/>
      <sheetName val="B_4_3_24"/>
      <sheetName val="B_4_3_34"/>
      <sheetName val="B_4_3_44"/>
      <sheetName val="B_4_3_54"/>
      <sheetName val="B_4_3_64"/>
      <sheetName val="B_4_3_7_4"/>
      <sheetName val="B_4_3_8_4"/>
      <sheetName val="B_4_3_94"/>
      <sheetName val="B_4_3_104"/>
      <sheetName val="B_4_3_115"/>
      <sheetName val="B_4_3_124"/>
      <sheetName val="B_4_3_134"/>
      <sheetName val="B_4_3_144"/>
      <sheetName val="B_4_3_154"/>
      <sheetName val="B_4_3_164"/>
      <sheetName val="B_4_3_184"/>
      <sheetName val="E_14"/>
      <sheetName val="E_1_14"/>
      <sheetName val="E_1_3_(2)4"/>
      <sheetName val="E_34"/>
      <sheetName val="E_3_14"/>
      <sheetName val="E_3_24"/>
      <sheetName val="E_3_34"/>
      <sheetName val="E_54"/>
      <sheetName val="E_5_14"/>
      <sheetName val="E_5_24"/>
      <sheetName val="E_64"/>
      <sheetName val="E_8_4_(2)4"/>
      <sheetName val="E_84"/>
      <sheetName val="E_8_14"/>
      <sheetName val="E_8_44"/>
      <sheetName val="B_1_6_(4)4"/>
      <sheetName val="B_1_6_(5)4"/>
      <sheetName val="PO_ADM3"/>
      <sheetName val="DATA_WP3"/>
      <sheetName val="KKP_I3"/>
      <sheetName val="B_13"/>
      <sheetName val="B_1_13"/>
      <sheetName val="B_1_23"/>
      <sheetName val="B_1_33"/>
      <sheetName val="B_1_43"/>
      <sheetName val="B_1_53"/>
      <sheetName val="B_1_63"/>
      <sheetName val="B_1_6_(2)3"/>
      <sheetName val="B_1_6_(3)3"/>
      <sheetName val="B_23"/>
      <sheetName val="B_2_13"/>
      <sheetName val="B_2_1_110"/>
      <sheetName val="B_2_1_23"/>
      <sheetName val="B_2_1_3_3"/>
      <sheetName val="B_2_1_43"/>
      <sheetName val="B_2_1_53"/>
      <sheetName val="B_2_1_63"/>
      <sheetName val="B_2_1_73"/>
      <sheetName val="B_2_1_83"/>
      <sheetName val="B_2_1_93"/>
      <sheetName val="B_2_1_103"/>
      <sheetName val="B_2_1_113"/>
      <sheetName val="B_2_1_123"/>
      <sheetName val="B_2_1_133"/>
      <sheetName val="B_2_1_143"/>
      <sheetName val="B_2_1_153"/>
      <sheetName val="B_2_1_163"/>
      <sheetName val="B_2_1_173"/>
      <sheetName val="B_2_23"/>
      <sheetName val="B_2_2_13"/>
      <sheetName val="B_2_33"/>
      <sheetName val="B_33"/>
      <sheetName val="B_3_13"/>
      <sheetName val="B_3_23"/>
      <sheetName val="B_43"/>
      <sheetName val="B_4_13"/>
      <sheetName val="B_4_23"/>
      <sheetName val="B_4_2_1_3"/>
      <sheetName val="B_4_2_23"/>
      <sheetName val="B_4_2_33"/>
      <sheetName val="B_4_2_4_3"/>
      <sheetName val="B_4_2_53"/>
      <sheetName val="B_4_2_63"/>
      <sheetName val="B_4_2_73"/>
      <sheetName val="B_4_2_83"/>
      <sheetName val="B_4_33"/>
      <sheetName val="B_4_3_110"/>
      <sheetName val="B_4_3_23"/>
      <sheetName val="B_4_3_33"/>
      <sheetName val="B_4_3_43"/>
      <sheetName val="B_4_3_53"/>
      <sheetName val="B_4_3_63"/>
      <sheetName val="B_4_3_7_3"/>
      <sheetName val="B_4_3_8_3"/>
      <sheetName val="B_4_3_93"/>
      <sheetName val="B_4_3_103"/>
      <sheetName val="B_4_3_113"/>
      <sheetName val="B_4_3_123"/>
      <sheetName val="B_4_3_133"/>
      <sheetName val="B_4_3_143"/>
      <sheetName val="B_4_3_153"/>
      <sheetName val="B_4_3_163"/>
      <sheetName val="B_4_3_183"/>
      <sheetName val="E_13"/>
      <sheetName val="E_1_13"/>
      <sheetName val="E_1_3_(2)3"/>
      <sheetName val="E_33"/>
      <sheetName val="E_3_13"/>
      <sheetName val="E_3_23"/>
      <sheetName val="E_3_33"/>
      <sheetName val="E_53"/>
      <sheetName val="E_5_13"/>
      <sheetName val="E_5_23"/>
      <sheetName val="E_63"/>
      <sheetName val="E_8_4_(2)3"/>
      <sheetName val="E_83"/>
      <sheetName val="E_8_13"/>
      <sheetName val="E_8_43"/>
      <sheetName val="B_1_6_(4)3"/>
      <sheetName val="B_1_6_(5)3"/>
      <sheetName val="PO_ADM2"/>
      <sheetName val="DATA_WP5"/>
      <sheetName val="KKP_I5"/>
      <sheetName val="B_15"/>
      <sheetName val="B_1_15"/>
      <sheetName val="B_1_25"/>
      <sheetName val="B_1_35"/>
      <sheetName val="B_1_45"/>
      <sheetName val="B_1_55"/>
      <sheetName val="B_1_65"/>
      <sheetName val="B_1_6_(2)5"/>
      <sheetName val="B_1_6_(3)5"/>
      <sheetName val="B_25"/>
      <sheetName val="B_2_15"/>
      <sheetName val="B_2_1_116"/>
      <sheetName val="B_2_1_25"/>
      <sheetName val="B_2_1_3_5"/>
      <sheetName val="B_2_1_45"/>
      <sheetName val="B_2_1_55"/>
      <sheetName val="B_2_1_65"/>
      <sheetName val="B_2_1_75"/>
      <sheetName val="B_2_1_85"/>
      <sheetName val="B_2_1_95"/>
      <sheetName val="B_2_1_105"/>
      <sheetName val="B_2_1_117"/>
      <sheetName val="B_2_1_125"/>
      <sheetName val="B_2_1_135"/>
      <sheetName val="B_2_1_145"/>
      <sheetName val="B_2_1_155"/>
      <sheetName val="B_2_1_165"/>
      <sheetName val="B_2_1_175"/>
      <sheetName val="B_2_25"/>
      <sheetName val="B_2_2_15"/>
      <sheetName val="B_2_35"/>
      <sheetName val="B_35"/>
      <sheetName val="B_3_15"/>
      <sheetName val="B_3_25"/>
      <sheetName val="B_45"/>
      <sheetName val="B_4_15"/>
      <sheetName val="B_4_25"/>
      <sheetName val="B_4_2_1_5"/>
      <sheetName val="B_4_2_25"/>
      <sheetName val="B_4_2_35"/>
      <sheetName val="B_4_2_4_5"/>
      <sheetName val="B_4_2_55"/>
      <sheetName val="B_4_2_65"/>
      <sheetName val="B_4_2_75"/>
      <sheetName val="B_4_2_85"/>
      <sheetName val="B_4_35"/>
      <sheetName val="B_4_3_116"/>
      <sheetName val="B_4_3_25"/>
      <sheetName val="B_4_3_35"/>
      <sheetName val="B_4_3_45"/>
      <sheetName val="B_4_3_55"/>
      <sheetName val="B_4_3_65"/>
      <sheetName val="B_4_3_7_5"/>
      <sheetName val="B_4_3_8_5"/>
      <sheetName val="B_4_3_95"/>
      <sheetName val="B_4_3_105"/>
      <sheetName val="B_4_3_117"/>
      <sheetName val="B_4_3_125"/>
      <sheetName val="B_4_3_135"/>
      <sheetName val="B_4_3_145"/>
      <sheetName val="B_4_3_155"/>
      <sheetName val="B_4_3_165"/>
      <sheetName val="B_4_3_185"/>
      <sheetName val="E_15"/>
      <sheetName val="E_1_15"/>
      <sheetName val="E_1_3_(2)5"/>
      <sheetName val="E_35"/>
      <sheetName val="E_3_15"/>
      <sheetName val="E_3_25"/>
      <sheetName val="E_3_35"/>
      <sheetName val="E_55"/>
      <sheetName val="E_5_15"/>
      <sheetName val="E_5_25"/>
      <sheetName val="E_65"/>
      <sheetName val="E_8_4_(2)5"/>
      <sheetName val="E_85"/>
      <sheetName val="E_8_15"/>
      <sheetName val="E_8_45"/>
      <sheetName val="B_1_6_(4)5"/>
      <sheetName val="B_1_6_(5)5"/>
      <sheetName val="PO_ADM4"/>
      <sheetName val="DATA_WP6"/>
      <sheetName val="KKP_I6"/>
      <sheetName val="B_16"/>
      <sheetName val="B_1_16"/>
      <sheetName val="B_1_26"/>
      <sheetName val="B_1_36"/>
      <sheetName val="B_1_46"/>
      <sheetName val="B_1_56"/>
      <sheetName val="B_1_66"/>
      <sheetName val="B_1_6_(2)6"/>
      <sheetName val="B_1_6_(3)6"/>
      <sheetName val="B_26"/>
      <sheetName val="B_2_16"/>
      <sheetName val="B_2_1_118"/>
      <sheetName val="B_2_1_26"/>
      <sheetName val="B_2_1_3_6"/>
      <sheetName val="B_2_1_46"/>
      <sheetName val="B_2_1_56"/>
      <sheetName val="B_2_1_66"/>
      <sheetName val="B_2_1_76"/>
      <sheetName val="B_2_1_86"/>
      <sheetName val="B_2_1_96"/>
      <sheetName val="B_2_1_106"/>
      <sheetName val="B_2_1_119"/>
      <sheetName val="B_2_1_126"/>
      <sheetName val="B_2_1_136"/>
      <sheetName val="B_2_1_146"/>
      <sheetName val="B_2_1_156"/>
      <sheetName val="B_2_1_166"/>
      <sheetName val="B_2_1_176"/>
      <sheetName val="B_2_26"/>
      <sheetName val="B_2_2_16"/>
      <sheetName val="B_2_36"/>
      <sheetName val="B_36"/>
      <sheetName val="B_3_16"/>
      <sheetName val="B_3_26"/>
      <sheetName val="B_46"/>
      <sheetName val="__J"/>
      <sheetName val="µ!_x0004_)_x0000__x0000__x0000_"/>
      <sheetName val="A1-B (WBS-Asset)"/>
      <sheetName val="X.1.1"/>
      <sheetName val="B_4_16"/>
      <sheetName val="B_4_26"/>
      <sheetName val="B_4_2_1_6"/>
      <sheetName val="B_4_2_26"/>
      <sheetName val="B_4_2_36"/>
      <sheetName val="B_4_2_4_6"/>
      <sheetName val="B_4_2_56"/>
      <sheetName val="B_4_2_66"/>
      <sheetName val="B_4_2_76"/>
      <sheetName val="B_4_2_86"/>
      <sheetName val="B_4_36"/>
      <sheetName val="B_4_3_118"/>
      <sheetName val="B_4_3_26"/>
      <sheetName val="B_4_3_36"/>
      <sheetName val="B_4_3_46"/>
      <sheetName val="B_4_3_56"/>
      <sheetName val="B_4_3_66"/>
      <sheetName val="B_4_3_7_6"/>
      <sheetName val="B_4_3_8_6"/>
      <sheetName val="B_4_3_96"/>
      <sheetName val="B_4_3_106"/>
      <sheetName val="B_4_3_119"/>
      <sheetName val="B_4_3_126"/>
      <sheetName val="B_4_3_136"/>
      <sheetName val="B_4_3_146"/>
      <sheetName val="B_4_3_156"/>
      <sheetName val="B_4_3_166"/>
      <sheetName val="B_4_3_186"/>
      <sheetName val="E_16"/>
      <sheetName val="E_1_16"/>
      <sheetName val="E_1_3_(2)6"/>
      <sheetName val="E_36"/>
      <sheetName val="E_3_16"/>
      <sheetName val="E_3_26"/>
      <sheetName val="E_3_36"/>
      <sheetName val="E_56"/>
      <sheetName val="E_5_16"/>
      <sheetName val="E_5_26"/>
      <sheetName val="E_66"/>
      <sheetName val="E_8_4_(2)6"/>
      <sheetName val="E_86"/>
      <sheetName val="E_8_16"/>
      <sheetName val="E_8_46"/>
      <sheetName val="B_1_6_(4)6"/>
      <sheetName val="B_1_6_(5)6"/>
      <sheetName val="PO_ADM5"/>
      <sheetName val="DATA_WP10"/>
      <sheetName val="KKP_I10"/>
      <sheetName val="B_110"/>
      <sheetName val="B_1_110"/>
      <sheetName val="B_1_210"/>
      <sheetName val="B_1_310"/>
      <sheetName val="B_1_410"/>
      <sheetName val="B_1_510"/>
      <sheetName val="B_1_610"/>
      <sheetName val="B_1_6_(2)10"/>
      <sheetName val="B_1_6_(3)10"/>
      <sheetName val="B_210"/>
      <sheetName val="B_2_110"/>
      <sheetName val="B_2_1_140"/>
      <sheetName val="B_2_1_210"/>
      <sheetName val="B_2_1_3_10"/>
      <sheetName val="B_2_1_410"/>
      <sheetName val="B_2_1_510"/>
      <sheetName val="B_2_1_610"/>
      <sheetName val="B_2_1_710"/>
      <sheetName val="B_2_1_810"/>
      <sheetName val="B_2_1_910"/>
      <sheetName val="B_2_1_1010"/>
      <sheetName val="B_2_1_1113"/>
      <sheetName val="B_2_1_1211"/>
      <sheetName val="B_2_1_1310"/>
      <sheetName val="B_2_1_1410"/>
      <sheetName val="B_2_1_1510"/>
      <sheetName val="B_2_1_1610"/>
      <sheetName val="B_2_1_1710"/>
      <sheetName val="B_2_210"/>
      <sheetName val="B_2_2_110"/>
      <sheetName val="B_2_310"/>
      <sheetName val="B_310"/>
      <sheetName val="B_3_110"/>
      <sheetName val="B_3_210"/>
      <sheetName val="B_410"/>
      <sheetName val="B_4_110"/>
      <sheetName val="B_4_210"/>
      <sheetName val="B_4_2_1_10"/>
      <sheetName val="B_4_2_210"/>
      <sheetName val="B_4_2_310"/>
      <sheetName val="B_4_2_4_10"/>
      <sheetName val="B_4_2_510"/>
      <sheetName val="B_4_2_610"/>
      <sheetName val="B_4_2_710"/>
      <sheetName val="B_4_2_810"/>
      <sheetName val="B_4_310"/>
      <sheetName val="B_4_3_140"/>
      <sheetName val="B_4_3_210"/>
      <sheetName val="B_4_3_310"/>
      <sheetName val="B_4_3_410"/>
      <sheetName val="B_4_3_510"/>
      <sheetName val="B_4_3_610"/>
      <sheetName val="B_4_3_7_10"/>
      <sheetName val="B_4_3_8_10"/>
      <sheetName val="B_4_3_910"/>
      <sheetName val="B_4_3_1010"/>
      <sheetName val="B_4_3_1113"/>
      <sheetName val="B_4_3_1211"/>
      <sheetName val="B_4_3_1310"/>
      <sheetName val="B_4_3_1410"/>
      <sheetName val="B_4_3_1510"/>
      <sheetName val="B_4_3_1610"/>
      <sheetName val="B_4_3_1810"/>
      <sheetName val="E_110"/>
      <sheetName val="E_1_110"/>
      <sheetName val="E_1_3_(2)10"/>
      <sheetName val="E_310"/>
      <sheetName val="E_3_110"/>
      <sheetName val="E_3_210"/>
      <sheetName val="E_3_310"/>
      <sheetName val="E_510"/>
      <sheetName val="E_5_110"/>
      <sheetName val="E_5_210"/>
      <sheetName val="E_610"/>
      <sheetName val="E_8_4_(2)10"/>
      <sheetName val="E_810"/>
      <sheetName val="E_8_110"/>
      <sheetName val="E_8_410"/>
      <sheetName val="B_1_6_(4)10"/>
      <sheetName val="B_1_6_(5)10"/>
      <sheetName val="PO_ADM9"/>
      <sheetName val="DATA_WP8"/>
      <sheetName val="KKP_I8"/>
      <sheetName val="B_18"/>
      <sheetName val="B_1_18"/>
      <sheetName val="B_1_28"/>
      <sheetName val="B_1_38"/>
      <sheetName val="B_1_48"/>
      <sheetName val="B_1_58"/>
      <sheetName val="B_1_68"/>
      <sheetName val="B_1_6_(2)8"/>
      <sheetName val="B_1_6_(3)8"/>
      <sheetName val="B_28"/>
      <sheetName val="B_2_18"/>
      <sheetName val="B_2_1_128"/>
      <sheetName val="B_2_1_28"/>
      <sheetName val="B_2_1_3_8"/>
      <sheetName val="Order"/>
      <sheetName val="Schedule"/>
      <sheetName val="Schedule OK Status"/>
      <sheetName val="GeneralInfo"/>
      <sheetName val="Sandi laba rugi"/>
      <sheetName val="PPJB sd Ags 08"/>
      <sheetName val="DATA"/>
      <sheetName val="PREV"/>
      <sheetName val="Assum"/>
      <sheetName val="A1-B ASSET"/>
      <sheetName val="TB_Dec 31,15 KTI"/>
      <sheetName val="TB_June 30,16 KTI"/>
      <sheetName val="PLJULY15JUNE16"/>
      <sheetName val="A2.1 CAJE"/>
      <sheetName val="BS"/>
      <sheetName val="IS"/>
      <sheetName val="PL okay"/>
      <sheetName val="BS okay"/>
      <sheetName val="TB"/>
      <sheetName val="KAS &amp; BANK"/>
      <sheetName val="FA"/>
      <sheetName val="GJ4"/>
      <sheetName val="Sales04"/>
      <sheetName val="PB04"/>
      <sheetName val="PG04"/>
      <sheetName val="Purchase04"/>
      <sheetName val="Cost04"/>
      <sheetName val="GJ5"/>
      <sheetName val="Sales05"/>
      <sheetName val="PB05"/>
      <sheetName val="PG05"/>
      <sheetName val="Purchase05"/>
      <sheetName val="Cost05"/>
      <sheetName val="GJ6"/>
      <sheetName val="Sales06"/>
      <sheetName val="PB06"/>
      <sheetName val="PG06"/>
      <sheetName val="Purchase06"/>
      <sheetName val="Cost06"/>
      <sheetName val="GJ7"/>
      <sheetName val="Sales 07"/>
      <sheetName val="PB07"/>
      <sheetName val="PG07"/>
      <sheetName val="Purchase07"/>
      <sheetName val="Cost07"/>
      <sheetName val="GJ8"/>
      <sheetName val="notes"/>
      <sheetName val="Sales 08"/>
      <sheetName val="PB08"/>
      <sheetName val="PG08"/>
      <sheetName val="Purchase08 "/>
      <sheetName val="Cost08"/>
      <sheetName val="GJ9"/>
      <sheetName val="IBJVerena"/>
      <sheetName val="Sigra-PT.Adira"/>
      <sheetName val="cover"/>
      <sheetName val="Content"/>
      <sheetName val="PPN Import Accounting"/>
      <sheetName val="SE"/>
      <sheetName val="CF"/>
      <sheetName val="Note-FS"/>
      <sheetName val="GL"/>
      <sheetName val="GJ"/>
      <sheetName val="C&amp;B"/>
      <sheetName val="AR-2"/>
      <sheetName val="Prepaid-3"/>
      <sheetName val="SecDep-5"/>
      <sheetName val="Advance-6"/>
      <sheetName val="AP-7"/>
      <sheetName val="Sheet3"/>
      <sheetName val="Loan-8"/>
      <sheetName val="Accrued-9"/>
      <sheetName val="Sales-10"/>
      <sheetName val="STKBB"/>
      <sheetName val="P&amp;L98"/>
      <sheetName val="ICA Prices"/>
      <sheetName val="AKTPRO"/>
      <sheetName val="COEFF"/>
      <sheetName val="Recon Data (APCC)"/>
      <sheetName val="Revenue"/>
      <sheetName val="adj"/>
      <sheetName val="µ!_x005f_x0004_)_x005f_x0000__x"/>
      <sheetName val="µ!_x005f_x005f_x005f_x005f_x005f_x005f_x005f_x0004_)_x0"/>
      <sheetName val="µ!_x005f_x005f_x005f_x005f_x005f_x005f_x005f_x0004_)"/>
      <sheetName val="µ!_x005f_x005f_x005f_x0004_)___"/>
      <sheetName val="___x005f_x005f_x005f_x0004___x005f_x005f_x005f_x0000__2"/>
      <sheetName val="alamat"/>
      <sheetName val="A2.2 AJE"/>
      <sheetName val="details"/>
      <sheetName val="fs_lines"/>
      <sheetName val="fs_sub_classes"/>
      <sheetName val="notes_lines"/>
      <sheetName val="classes"/>
      <sheetName val="Section WP"/>
      <sheetName val="A2.3 RJE"/>
      <sheetName val="BP1_23"/>
      <sheetName val="CRA-Detail"/>
      <sheetName val="EX RATE"/>
      <sheetName val="EXC-R"/>
      <sheetName val="BSHO Report"/>
      <sheetName val="WPL"/>
      <sheetName val="pivot table 1"/>
      <sheetName val="MemberTable"/>
      <sheetName val="MemberTable2"/>
      <sheetName val="Ex_Rate"/>
      <sheetName val="W-RATE"/>
      <sheetName val="AdjustmentClient"/>
      <sheetName val="DES 02"/>
      <sheetName val="DATA UNIT"/>
      <sheetName val="DATA VALUE"/>
      <sheetName val="tc"/>
      <sheetName val="P3"/>
      <sheetName val="ocean voyage"/>
      <sheetName val="summary_frm_output"/>
      <sheetName val="Parameter"/>
      <sheetName val="output"/>
      <sheetName val="Benefit_Tab"/>
      <sheetName val="cALC"/>
      <sheetName val="Input_tables"/>
      <sheetName val="PSC_Calc"/>
      <sheetName val="db"/>
      <sheetName val="SDE"/>
      <sheetName val="Tables"/>
      <sheetName val="Fak_aktif"/>
      <sheetName val="status"/>
      <sheetName val="OPEN INVOICES"/>
      <sheetName val="Ass"/>
      <sheetName val="Client Stp"/>
      <sheetName val="Jan_08"/>
      <sheetName val="Station Calculation "/>
      <sheetName val=" calculation  Sheet"/>
      <sheetName val="AgreeValues"/>
      <sheetName val="Manual Data Entry"/>
      <sheetName val="49pb0012"/>
      <sheetName val="02 Rekap"/>
      <sheetName val="Table"/>
      <sheetName val="Links"/>
      <sheetName val="rl"/>
      <sheetName val="N"/>
      <sheetName val="Lead"/>
      <sheetName val="Option1"/>
      <sheetName val="NPasiva"/>
      <sheetName val="DATA_WP9"/>
      <sheetName val="KKP_I9"/>
      <sheetName val="B_19"/>
      <sheetName val="B_1_19"/>
      <sheetName val="B_1_29"/>
      <sheetName val="B_1_39"/>
      <sheetName val="B_1_49"/>
      <sheetName val="B_1_59"/>
      <sheetName val="B_1_69"/>
      <sheetName val="B_1_6_(2)9"/>
      <sheetName val="B_1_6_(3)9"/>
      <sheetName val="B_29"/>
      <sheetName val="B_2_19"/>
      <sheetName val="B_2_1_129"/>
      <sheetName val="B_2_1_29"/>
      <sheetName val="B_2_1_3_9"/>
      <sheetName val="B_2_1_48"/>
      <sheetName val="B_2_1_58"/>
      <sheetName val="B_2_1_68"/>
      <sheetName val="B_2_1_78"/>
      <sheetName val="B_2_1_88"/>
      <sheetName val="B_2_1_98"/>
      <sheetName val="B_2_1_108"/>
      <sheetName val="B_2_1_1111"/>
      <sheetName val="B_2_1_1210"/>
      <sheetName val="B_2_1_138"/>
      <sheetName val="B_2_1_148"/>
      <sheetName val="B_2_1_158"/>
      <sheetName val="B_2_1_168"/>
      <sheetName val="B_2_1_178"/>
      <sheetName val="B_2_28"/>
      <sheetName val="B_2_2_18"/>
      <sheetName val="B_2_38"/>
      <sheetName val="B_38"/>
      <sheetName val="B_3_18"/>
      <sheetName val="B_3_28"/>
      <sheetName val="B_48"/>
      <sheetName val="B_4_18"/>
      <sheetName val="B_4_28"/>
      <sheetName val="B_4_2_1_8"/>
      <sheetName val="B_4_2_28"/>
      <sheetName val="B_4_2_38"/>
      <sheetName val="B_4_2_4_8"/>
      <sheetName val="B_4_2_58"/>
      <sheetName val="B_4_2_68"/>
      <sheetName val="B_4_2_78"/>
      <sheetName val="B_4_2_88"/>
      <sheetName val="B_4_38"/>
      <sheetName val="B_4_3_128"/>
      <sheetName val="B_4_3_28"/>
      <sheetName val="B_4_3_38"/>
      <sheetName val="B_4_3_48"/>
      <sheetName val="B_4_3_58"/>
      <sheetName val="B_4_3_68"/>
      <sheetName val="B_4_3_7_8"/>
      <sheetName val="B_4_3_8_8"/>
      <sheetName val="B_4_3_98"/>
      <sheetName val="B_4_3_108"/>
      <sheetName val="B_4_3_1111"/>
      <sheetName val="B_4_3_129"/>
      <sheetName val="B_4_3_138"/>
      <sheetName val="B_4_3_148"/>
      <sheetName val="B_4_3_158"/>
      <sheetName val="B_4_3_168"/>
      <sheetName val="B_4_3_188"/>
      <sheetName val="E_18"/>
      <sheetName val="E_1_18"/>
      <sheetName val="E_1_3_(2)8"/>
      <sheetName val="E_38"/>
      <sheetName val="E_3_18"/>
      <sheetName val="E_3_28"/>
      <sheetName val="E_3_38"/>
      <sheetName val="E_58"/>
      <sheetName val="E_5_18"/>
      <sheetName val="E_5_28"/>
      <sheetName val="E_68"/>
      <sheetName val="E_8_4_(2)8"/>
      <sheetName val="E_88"/>
      <sheetName val="E_8_18"/>
      <sheetName val="E_8_48"/>
      <sheetName val="B_1_6_(4)8"/>
      <sheetName val="B_1_6_(5)8"/>
      <sheetName val="PO_ADM7"/>
      <sheetName val="NB_UNIT1"/>
      <sheetName val="NB_UNIT3"/>
      <sheetName val="NB_UNIT4"/>
      <sheetName val="NB_TSR"/>
      <sheetName val="NB_TELE"/>
      <sheetName val="NB_AE"/>
      <sheetName val="NB_UNIT2"/>
      <sheetName val="NB_BOY"/>
      <sheetName val="NB_ISI"/>
      <sheetName val="REPORT_BOY"/>
      <sheetName val="REPORT_ISI"/>
      <sheetName val="GAB_REPORT"/>
      <sheetName val="R_SBA2"/>
      <sheetName val="perbandingan_rangking"/>
      <sheetName val="EVALUASI_KINERJA"/>
      <sheetName val="R_EVA"/>
      <sheetName val="NB_IIS"/>
      <sheetName val="REPORT_IIS"/>
      <sheetName val="REPORT_#REF"/>
      <sheetName val="REPORT_I#REF"/>
      <sheetName val="REPORT_IS#REF"/>
      <sheetName val="REPORT_ISI#REF"/>
      <sheetName val="REPORT_ISIREF"/>
      <sheetName val="REPORT_ISIEF"/>
      <sheetName val="REPORT_ISIF"/>
      <sheetName val="REPORT_IOY"/>
      <sheetName val="REPORT_ISY"/>
      <sheetName val="CWC_Flexi"/>
      <sheetName val="A2_1_AJE"/>
      <sheetName val="HARGA_AT"/>
      <sheetName val="Danamon_LK"/>
      <sheetName val="412src2"/>
      <sheetName val="N10.C_VAT in"/>
      <sheetName val="ACC.CODE"/>
      <sheetName val="A1-B_(WBS-Asset)"/>
      <sheetName val="X_1_1"/>
      <sheetName val="Schedule_OK_Status"/>
      <sheetName val="Sandi_laba_rugi"/>
      <sheetName val="PPJB_sd_Ags_08"/>
      <sheetName val="A1-B_ASSET"/>
      <sheetName val="TB_Dec_31,15_KTI"/>
      <sheetName val="TB_June_30,16_KTI"/>
      <sheetName val="A2_1_CAJE"/>
      <sheetName val="PL_okay"/>
      <sheetName val="BS_okay"/>
      <sheetName val="KAS_&amp;_BANK"/>
      <sheetName val="Sales_07"/>
      <sheetName val="Sales_08"/>
      <sheetName val="Purchase08_"/>
      <sheetName val="Sigra-PT_Adira"/>
      <sheetName val="PPN_Import_Accounting"/>
      <sheetName val="ICA_Prices"/>
      <sheetName val="Recon_Data_(APCC)"/>
      <sheetName val="A2_2_AJE"/>
      <sheetName val="Section_WP"/>
      <sheetName val="A2_3_RJE"/>
      <sheetName val="DATA_WP11"/>
      <sheetName val="KKP_I11"/>
      <sheetName val="B_111"/>
      <sheetName val="B_1_111"/>
      <sheetName val="B_1_211"/>
      <sheetName val="B_1_311"/>
      <sheetName val="B_1_411"/>
      <sheetName val="B_1_511"/>
      <sheetName val="B_1_611"/>
      <sheetName val="B_1_6_(2)11"/>
      <sheetName val="B_1_6_(3)11"/>
      <sheetName val="B_211"/>
      <sheetName val="B_2_111"/>
      <sheetName val="B_2_1_130"/>
      <sheetName val="B_2_1_211"/>
      <sheetName val="B_2_1_3_11"/>
      <sheetName val="B_2_1_49"/>
      <sheetName val="B_2_1_59"/>
      <sheetName val="B_2_1_69"/>
      <sheetName val="B_2_1_79"/>
      <sheetName val="B_2_1_89"/>
      <sheetName val="B_2_1_99"/>
      <sheetName val="B_2_1_109"/>
      <sheetName val="B_2_1_1112"/>
      <sheetName val="B_2_1_1212"/>
      <sheetName val="B_2_1_139"/>
      <sheetName val="B_2_1_149"/>
      <sheetName val="B_2_1_159"/>
      <sheetName val="B_2_1_169"/>
      <sheetName val="B_2_1_179"/>
      <sheetName val="B_2_29"/>
      <sheetName val="B_2_2_19"/>
      <sheetName val="B_2_39"/>
      <sheetName val="B_39"/>
      <sheetName val="B_3_19"/>
      <sheetName val="B_3_29"/>
      <sheetName val="B_49"/>
      <sheetName val="B_4_19"/>
      <sheetName val="B_4_29"/>
      <sheetName val="B_4_2_1_9"/>
      <sheetName val="B_4_2_29"/>
      <sheetName val="B_4_2_39"/>
      <sheetName val="B_4_2_4_9"/>
      <sheetName val="B_4_2_59"/>
      <sheetName val="B_4_2_69"/>
      <sheetName val="B_4_2_79"/>
      <sheetName val="B_4_2_89"/>
      <sheetName val="B_4_39"/>
      <sheetName val="B_4_3_130"/>
      <sheetName val="B_4_3_29"/>
      <sheetName val="B_4_3_39"/>
      <sheetName val="B_4_3_49"/>
      <sheetName val="B_4_3_59"/>
      <sheetName val="B_4_3_69"/>
      <sheetName val="B_4_3_7_9"/>
      <sheetName val="B_4_3_8_9"/>
      <sheetName val="B_4_3_99"/>
      <sheetName val="B_4_3_109"/>
      <sheetName val="B_4_3_1112"/>
      <sheetName val="B_4_3_1210"/>
      <sheetName val="B_4_3_139"/>
      <sheetName val="B_4_3_149"/>
      <sheetName val="B_4_3_159"/>
      <sheetName val="B_4_3_169"/>
      <sheetName val="B_4_3_189"/>
      <sheetName val="E_19"/>
      <sheetName val="E_1_19"/>
      <sheetName val="E_1_3_(2)9"/>
      <sheetName val="E_39"/>
      <sheetName val="E_3_19"/>
      <sheetName val="E_3_29"/>
      <sheetName val="E_3_39"/>
      <sheetName val="E_59"/>
      <sheetName val="E_5_19"/>
      <sheetName val="E_5_29"/>
      <sheetName val="E_69"/>
      <sheetName val="E_8_4_(2)9"/>
      <sheetName val="E_89"/>
      <sheetName val="E_8_19"/>
      <sheetName val="E_8_49"/>
      <sheetName val="B_1_6_(4)9"/>
      <sheetName val="B_1_6_(5)9"/>
      <sheetName val="PO_ADM8"/>
      <sheetName val="NB_UNIT11"/>
      <sheetName val="NB_UNIT31"/>
      <sheetName val="NB_UNIT41"/>
      <sheetName val="NB_TSR1"/>
      <sheetName val="NB_TELE1"/>
      <sheetName val="NB_AE1"/>
      <sheetName val="NB_UNIT21"/>
      <sheetName val="NB_BOY1"/>
      <sheetName val="NB_ISI1"/>
      <sheetName val="REPORT_BOY1"/>
      <sheetName val="REPORT_ISI1"/>
      <sheetName val="GAB_REPORT1"/>
      <sheetName val="R_SBA21"/>
      <sheetName val="perbandingan_rangking1"/>
      <sheetName val="EVALUASI_KINERJA1"/>
      <sheetName val="R_EVA1"/>
      <sheetName val="NB_IIS1"/>
      <sheetName val="REPORT_IIS1"/>
      <sheetName val="REPORT_#REF1"/>
      <sheetName val="REPORT_I#REF1"/>
      <sheetName val="REPORT_IS#REF1"/>
      <sheetName val="REPORT_ISI#REF1"/>
      <sheetName val="REPORT_ISIREF1"/>
      <sheetName val="REPORT_ISIEF1"/>
      <sheetName val="REPORT_ISIF1"/>
      <sheetName val="REPORT_IOY1"/>
      <sheetName val="REPORT_ISY1"/>
      <sheetName val="CWC_Flexi1"/>
      <sheetName val="A2_1_AJE1"/>
      <sheetName val="HARGA_AT1"/>
      <sheetName val="Danamon_LK1"/>
      <sheetName val="A1-B_(WBS-Asset)1"/>
      <sheetName val="X_1_11"/>
      <sheetName val="Schedule_OK_Status1"/>
      <sheetName val="Sandi_laba_rugi1"/>
      <sheetName val="PPJB_sd_Ags_081"/>
      <sheetName val="A1-B_ASSET1"/>
      <sheetName val="TB_Dec_31,15_KTI1"/>
      <sheetName val="TB_June_30,16_KTI1"/>
      <sheetName val="A2_1_CAJE1"/>
      <sheetName val="PL_okay1"/>
      <sheetName val="BS_okay1"/>
      <sheetName val="KAS_&amp;_BANK1"/>
      <sheetName val="Sales_071"/>
      <sheetName val="Sales_081"/>
      <sheetName val="Purchase08_1"/>
      <sheetName val="Sigra-PT_Adira1"/>
      <sheetName val="PPN_Import_Accounting1"/>
      <sheetName val="ICA_Prices1"/>
      <sheetName val="Recon_Data_(APCC)1"/>
      <sheetName val="A2_2_AJE1"/>
      <sheetName val="Section_WP1"/>
      <sheetName val="A2_3_RJE1"/>
      <sheetName val="DATA_WP12"/>
      <sheetName val="KKP_I12"/>
      <sheetName val="B_112"/>
      <sheetName val="B_1_112"/>
      <sheetName val="B_1_212"/>
      <sheetName val="B_1_312"/>
      <sheetName val="B_1_412"/>
      <sheetName val="B_1_512"/>
      <sheetName val="B_1_612"/>
      <sheetName val="B_1_6_(2)12"/>
      <sheetName val="B_1_6_(3)12"/>
      <sheetName val="B_212"/>
      <sheetName val="B_2_112"/>
      <sheetName val="B_2_1_150"/>
      <sheetName val="B_2_1_212"/>
      <sheetName val="B_2_1_3_12"/>
      <sheetName val="B_2_1_411"/>
      <sheetName val="B_2_1_511"/>
      <sheetName val="B_2_1_611"/>
      <sheetName val="B_2_1_711"/>
      <sheetName val="B_2_1_811"/>
      <sheetName val="B_2_1_911"/>
      <sheetName val="B_2_1_1011"/>
      <sheetName val="B_2_1_1114"/>
      <sheetName val="B_2_1_1213"/>
      <sheetName val="B_2_1_1311"/>
      <sheetName val="B_2_1_1411"/>
      <sheetName val="B_2_1_1511"/>
      <sheetName val="B_2_1_1611"/>
      <sheetName val="B_2_1_1711"/>
      <sheetName val="B_2_211"/>
      <sheetName val="B_2_2_111"/>
      <sheetName val="B_2_311"/>
      <sheetName val="B_311"/>
      <sheetName val="B_3_111"/>
      <sheetName val="B_3_211"/>
      <sheetName val="B_411"/>
      <sheetName val="B_4_111"/>
      <sheetName val="B_4_211"/>
      <sheetName val="B_4_2_1_11"/>
      <sheetName val="B_4_2_211"/>
      <sheetName val="B_4_2_311"/>
      <sheetName val="B_4_2_4_11"/>
      <sheetName val="B_4_2_511"/>
      <sheetName val="B_4_2_611"/>
      <sheetName val="B_4_2_711"/>
      <sheetName val="B_4_2_811"/>
      <sheetName val="B_4_311"/>
      <sheetName val="B_4_3_150"/>
      <sheetName val="B_4_3_211"/>
      <sheetName val="B_4_3_311"/>
      <sheetName val="B_4_3_411"/>
      <sheetName val="B_4_3_511"/>
      <sheetName val="B_4_3_611"/>
      <sheetName val="B_4_3_7_11"/>
      <sheetName val="B_4_3_8_11"/>
      <sheetName val="B_4_3_911"/>
      <sheetName val="B_4_3_1011"/>
      <sheetName val="B_4_3_1114"/>
      <sheetName val="B_4_3_1212"/>
      <sheetName val="B_4_3_1311"/>
      <sheetName val="B_4_3_1411"/>
      <sheetName val="B_4_3_1511"/>
      <sheetName val="B_4_3_1611"/>
      <sheetName val="B_4_3_1811"/>
      <sheetName val="E_111"/>
      <sheetName val="E_1_111"/>
      <sheetName val="E_1_3_(2)11"/>
      <sheetName val="E_311"/>
      <sheetName val="E_3_111"/>
      <sheetName val="E_3_211"/>
      <sheetName val="E_3_311"/>
      <sheetName val="E_511"/>
      <sheetName val="E_5_111"/>
      <sheetName val="E_5_211"/>
      <sheetName val="E_611"/>
      <sheetName val="E_8_4_(2)11"/>
      <sheetName val="E_811"/>
      <sheetName val="E_8_111"/>
      <sheetName val="E_8_411"/>
      <sheetName val="B_1_6_(4)11"/>
      <sheetName val="B_1_6_(5)11"/>
      <sheetName val="PO_ADM10"/>
      <sheetName val="NB_UNIT12"/>
      <sheetName val="NB_UNIT32"/>
      <sheetName val="NB_UNIT42"/>
      <sheetName val="NB_TSR2"/>
      <sheetName val="NB_TELE2"/>
      <sheetName val="NB_AE2"/>
      <sheetName val="NB_UNIT22"/>
      <sheetName val="NB_BOY2"/>
      <sheetName val="NB_ISI2"/>
      <sheetName val="REPORT_BOY2"/>
      <sheetName val="REPORT_ISI2"/>
      <sheetName val="GAB_REPORT2"/>
      <sheetName val="R_SBA22"/>
      <sheetName val="perbandingan_rangking2"/>
      <sheetName val="EVALUASI_KINERJA2"/>
      <sheetName val="R_EVA2"/>
      <sheetName val="NB_IIS2"/>
      <sheetName val="REPORT_IIS2"/>
      <sheetName val="REPORT_#REF2"/>
      <sheetName val="REPORT_I#REF2"/>
      <sheetName val="REPORT_IS#REF2"/>
      <sheetName val="REPORT_ISI#REF2"/>
      <sheetName val="REPORT_ISIREF2"/>
      <sheetName val="REPORT_ISIEF2"/>
      <sheetName val="REPORT_ISIF2"/>
      <sheetName val="REPORT_IOY2"/>
      <sheetName val="REPORT_ISY2"/>
      <sheetName val="CWC_Flexi2"/>
      <sheetName val="A2_1_AJE2"/>
      <sheetName val="HARGA_AT2"/>
      <sheetName val="Danamon_LK2"/>
      <sheetName val="A1-B_(WBS-Asset)2"/>
      <sheetName val="X_1_12"/>
      <sheetName val="Schedule_OK_Status2"/>
      <sheetName val="Sandi_laba_rugi2"/>
      <sheetName val="PPJB_sd_Ags_082"/>
      <sheetName val="A1-B_ASSET2"/>
      <sheetName val="TB_Dec_31,15_KTI2"/>
      <sheetName val="TB_June_30,16_KTI2"/>
      <sheetName val="A2_1_CAJE2"/>
      <sheetName val="PL_okay2"/>
      <sheetName val="BS_okay2"/>
      <sheetName val="KAS_&amp;_BANK2"/>
      <sheetName val="Sales_072"/>
      <sheetName val="Sales_082"/>
      <sheetName val="Purchase08_2"/>
      <sheetName val="Sigra-PT_Adira2"/>
      <sheetName val="PPN_Import_Accounting2"/>
      <sheetName val="ICA_Prices2"/>
      <sheetName val="Recon_Data_(APCC)2"/>
      <sheetName val="A2_2_AJE2"/>
      <sheetName val="Section_WP2"/>
      <sheetName val="A2_3_RJE2"/>
      <sheetName val="DATA_WP13"/>
      <sheetName val="KKP_I13"/>
      <sheetName val="B_113"/>
      <sheetName val="B_1_113"/>
      <sheetName val="B_1_213"/>
      <sheetName val="B_1_313"/>
      <sheetName val="B_1_413"/>
      <sheetName val="B_1_513"/>
      <sheetName val="B_1_613"/>
      <sheetName val="B_1_6_(2)13"/>
      <sheetName val="B_1_6_(3)13"/>
      <sheetName val="B_213"/>
      <sheetName val="B_2_113"/>
      <sheetName val="B_2_1_160"/>
      <sheetName val="B_2_1_213"/>
      <sheetName val="B_2_1_3_13"/>
      <sheetName val="B_2_1_412"/>
      <sheetName val="B_2_1_512"/>
      <sheetName val="B_2_1_612"/>
      <sheetName val="B_2_1_712"/>
      <sheetName val="B_2_1_812"/>
      <sheetName val="B_2_1_912"/>
      <sheetName val="B_2_1_1012"/>
      <sheetName val="B_2_1_1115"/>
      <sheetName val="B_2_1_1214"/>
      <sheetName val="B_2_1_1312"/>
      <sheetName val="B_2_1_1412"/>
      <sheetName val="B_2_1_1512"/>
      <sheetName val="B_2_1_1612"/>
      <sheetName val="B_2_1_1712"/>
      <sheetName val="B_2_212"/>
      <sheetName val="B_2_2_112"/>
      <sheetName val="B_2_312"/>
      <sheetName val="B_312"/>
      <sheetName val="B_3_112"/>
      <sheetName val="B_3_212"/>
      <sheetName val="B_412"/>
      <sheetName val="B_4_112"/>
      <sheetName val="B_4_212"/>
      <sheetName val="B_4_2_1_12"/>
      <sheetName val="B_4_2_212"/>
      <sheetName val="B_4_2_312"/>
      <sheetName val="B_4_2_4_12"/>
      <sheetName val="B_4_2_512"/>
      <sheetName val="B_4_2_612"/>
      <sheetName val="B_4_2_712"/>
      <sheetName val="B_4_2_812"/>
      <sheetName val="B_4_312"/>
      <sheetName val="B_4_3_160"/>
      <sheetName val="B_4_3_212"/>
      <sheetName val="B_4_3_312"/>
      <sheetName val="B_4_3_412"/>
      <sheetName val="B_4_3_512"/>
      <sheetName val="B_4_3_612"/>
      <sheetName val="B_4_3_7_12"/>
      <sheetName val="B_4_3_8_12"/>
      <sheetName val="B_4_3_912"/>
      <sheetName val="B_4_3_1012"/>
      <sheetName val="B_4_3_1115"/>
      <sheetName val="B_4_3_1213"/>
      <sheetName val="B_4_3_1312"/>
      <sheetName val="B_4_3_1412"/>
      <sheetName val="B_4_3_1512"/>
      <sheetName val="B_4_3_1612"/>
      <sheetName val="B_4_3_1812"/>
      <sheetName val="E_112"/>
      <sheetName val="E_1_112"/>
      <sheetName val="E_1_3_(2)12"/>
      <sheetName val="E_312"/>
      <sheetName val="E_3_112"/>
      <sheetName val="E_3_212"/>
      <sheetName val="E_3_312"/>
      <sheetName val="E_512"/>
      <sheetName val="E_5_112"/>
      <sheetName val="E_5_212"/>
      <sheetName val="E_612"/>
      <sheetName val="E_8_4_(2)12"/>
      <sheetName val="E_812"/>
      <sheetName val="E_8_112"/>
      <sheetName val="E_8_412"/>
      <sheetName val="B_1_6_(4)12"/>
      <sheetName val="B_1_6_(5)12"/>
      <sheetName val="PO_ADM11"/>
      <sheetName val="NB_UNIT13"/>
      <sheetName val="NB_UNIT33"/>
      <sheetName val="NB_UNIT43"/>
      <sheetName val="NB_TSR3"/>
      <sheetName val="NB_TELE3"/>
      <sheetName val="NB_AE3"/>
      <sheetName val="NB_UNIT23"/>
      <sheetName val="NB_BOY3"/>
      <sheetName val="NB_ISI3"/>
      <sheetName val="REPORT_BOY3"/>
      <sheetName val="REPORT_ISI3"/>
      <sheetName val="GAB_REPORT3"/>
      <sheetName val="R_SBA23"/>
      <sheetName val="perbandingan_rangking3"/>
      <sheetName val="EVALUASI_KINERJA3"/>
      <sheetName val="R_EVA3"/>
      <sheetName val="NB_IIS3"/>
      <sheetName val="REPORT_IIS3"/>
      <sheetName val="REPORT_#REF3"/>
      <sheetName val="REPORT_I#REF3"/>
      <sheetName val="REPORT_IS#REF3"/>
      <sheetName val="REPORT_ISI#REF3"/>
      <sheetName val="REPORT_ISIREF3"/>
      <sheetName val="REPORT_ISIEF3"/>
      <sheetName val="REPORT_ISIF3"/>
      <sheetName val="REPORT_IOY3"/>
      <sheetName val="REPORT_ISY3"/>
      <sheetName val="CWC_Flexi3"/>
      <sheetName val="A2_1_AJE3"/>
      <sheetName val="HARGA_AT3"/>
      <sheetName val="Danamon_LK3"/>
      <sheetName val="A1-B_(WBS-Asset)3"/>
      <sheetName val="X_1_13"/>
      <sheetName val="Schedule_OK_Status3"/>
      <sheetName val="Sandi_laba_rugi3"/>
      <sheetName val="PPJB_sd_Ags_083"/>
      <sheetName val="A1-B_ASSET3"/>
      <sheetName val="TB_Dec_31,15_KTI3"/>
      <sheetName val="TB_June_30,16_KTI3"/>
      <sheetName val="A2_1_CAJE3"/>
      <sheetName val="PL_okay3"/>
      <sheetName val="BS_okay3"/>
      <sheetName val="KAS_&amp;_BANK3"/>
      <sheetName val="Sales_073"/>
      <sheetName val="Sales_083"/>
      <sheetName val="Purchase08_3"/>
      <sheetName val="Sigra-PT_Adira3"/>
      <sheetName val="PPN_Import_Accounting3"/>
      <sheetName val="ICA_Prices3"/>
      <sheetName val="Recon_Data_(APCC)3"/>
      <sheetName val="A2_2_AJE3"/>
      <sheetName val="Section_WP3"/>
      <sheetName val="A2_3_RJE3"/>
      <sheetName val="DATA_WP17"/>
      <sheetName val="KKP_I17"/>
      <sheetName val="B_117"/>
      <sheetName val="B_1_117"/>
      <sheetName val="B_1_217"/>
      <sheetName val="B_1_317"/>
      <sheetName val="B_1_417"/>
      <sheetName val="B_1_517"/>
      <sheetName val="B_1_617"/>
      <sheetName val="B_1_6_(2)17"/>
      <sheetName val="B_1_6_(3)17"/>
      <sheetName val="B_217"/>
      <sheetName val="B_2_117"/>
      <sheetName val="B_2_1_182"/>
      <sheetName val="B_2_1_217"/>
      <sheetName val="B_2_1_3_17"/>
      <sheetName val="B_2_1_416"/>
      <sheetName val="B_2_1_516"/>
      <sheetName val="B_2_1_616"/>
      <sheetName val="B_2_1_716"/>
      <sheetName val="B_2_1_816"/>
      <sheetName val="B_2_1_916"/>
      <sheetName val="B_2_1_1016"/>
      <sheetName val="B_2_1_1119"/>
      <sheetName val="B_2_1_1218"/>
      <sheetName val="B_2_1_1316"/>
      <sheetName val="B_2_1_1416"/>
      <sheetName val="B_2_1_1516"/>
      <sheetName val="B_2_1_1616"/>
      <sheetName val="B_2_1_1716"/>
      <sheetName val="B_2_216"/>
      <sheetName val="B_2_2_116"/>
      <sheetName val="B_2_316"/>
      <sheetName val="B_316"/>
      <sheetName val="B_3_116"/>
      <sheetName val="B_3_216"/>
      <sheetName val="B_416"/>
      <sheetName val="B_4_116"/>
      <sheetName val="B_4_216"/>
      <sheetName val="B_4_2_1_16"/>
      <sheetName val="B_4_2_216"/>
      <sheetName val="B_4_2_316"/>
      <sheetName val="B_4_2_4_16"/>
      <sheetName val="B_4_2_516"/>
      <sheetName val="B_4_2_616"/>
      <sheetName val="B_4_2_716"/>
      <sheetName val="B_4_2_816"/>
      <sheetName val="B_4_316"/>
      <sheetName val="B_4_3_173"/>
      <sheetName val="B_4_3_216"/>
      <sheetName val="B_4_3_316"/>
      <sheetName val="B_4_3_416"/>
      <sheetName val="B_4_3_516"/>
      <sheetName val="B_4_3_616"/>
      <sheetName val="B_4_3_7_16"/>
      <sheetName val="B_4_3_8_16"/>
      <sheetName val="B_4_3_916"/>
      <sheetName val="B_4_3_1016"/>
      <sheetName val="B_4_3_1119"/>
      <sheetName val="B_4_3_1217"/>
      <sheetName val="B_4_3_1316"/>
      <sheetName val="B_4_3_1416"/>
      <sheetName val="B_4_3_1516"/>
      <sheetName val="B_4_3_1616"/>
      <sheetName val="B_4_3_1816"/>
      <sheetName val="E_116"/>
      <sheetName val="E_1_116"/>
      <sheetName val="E_1_3_(2)16"/>
      <sheetName val="E_316"/>
      <sheetName val="E_3_116"/>
      <sheetName val="E_3_216"/>
      <sheetName val="E_3_316"/>
      <sheetName val="E_516"/>
      <sheetName val="E_5_116"/>
      <sheetName val="E_5_216"/>
      <sheetName val="E_616"/>
      <sheetName val="E_8_4_(2)16"/>
      <sheetName val="E_816"/>
      <sheetName val="E_8_116"/>
      <sheetName val="E_8_416"/>
      <sheetName val="B_1_6_(4)16"/>
      <sheetName val="B_1_6_(5)16"/>
      <sheetName val="PO_ADM15"/>
      <sheetName val="NB_UNIT17"/>
      <sheetName val="NB_UNIT37"/>
      <sheetName val="NB_UNIT47"/>
      <sheetName val="NB_TSR7"/>
      <sheetName val="NB_TELE7"/>
      <sheetName val="NB_AE7"/>
      <sheetName val="NB_UNIT27"/>
      <sheetName val="NB_BOY7"/>
      <sheetName val="NB_ISI7"/>
      <sheetName val="REPORT_BOY7"/>
      <sheetName val="REPORT_ISI7"/>
      <sheetName val="GAB_REPORT7"/>
      <sheetName val="R_SBA27"/>
      <sheetName val="perbandingan_rangking7"/>
      <sheetName val="EVALUASI_KINERJA7"/>
      <sheetName val="R_EVA7"/>
      <sheetName val="NB_IIS7"/>
      <sheetName val="REPORT_IIS7"/>
      <sheetName val="REPORT_#REF7"/>
      <sheetName val="REPORT_I#REF7"/>
      <sheetName val="REPORT_IS#REF7"/>
      <sheetName val="REPORT_ISI#REF7"/>
      <sheetName val="REPORT_ISIREF7"/>
      <sheetName val="REPORT_ISIEF7"/>
      <sheetName val="REPORT_ISIF7"/>
      <sheetName val="REPORT_IOY7"/>
      <sheetName val="REPORT_ISY7"/>
      <sheetName val="CWC_Flexi7"/>
      <sheetName val="A2_1_AJE7"/>
      <sheetName val="HARGA_AT7"/>
      <sheetName val="Danamon_LK7"/>
      <sheetName val="A1-B_(WBS-Asset)7"/>
      <sheetName val="X_1_17"/>
      <sheetName val="Schedule_OK_Status7"/>
      <sheetName val="Sandi_laba_rugi7"/>
      <sheetName val="PPJB_sd_Ags_087"/>
      <sheetName val="A1-B_ASSET7"/>
      <sheetName val="TB_Dec_31,15_KTI7"/>
      <sheetName val="TB_June_30,16_KTI7"/>
      <sheetName val="A2_1_CAJE7"/>
      <sheetName val="PL_okay7"/>
      <sheetName val="BS_okay7"/>
      <sheetName val="KAS_&amp;_BANK7"/>
      <sheetName val="Sales_077"/>
      <sheetName val="Sales_087"/>
      <sheetName val="Purchase08_7"/>
      <sheetName val="Sigra-PT_Adira7"/>
      <sheetName val="PPN_Import_Accounting7"/>
      <sheetName val="ICA_Prices7"/>
      <sheetName val="Recon_Data_(APCC)7"/>
      <sheetName val="A2_2_AJE7"/>
      <sheetName val="Section_WP7"/>
      <sheetName val="A2_3_RJE7"/>
      <sheetName val="DATA_WP14"/>
      <sheetName val="KKP_I14"/>
      <sheetName val="B_114"/>
      <sheetName val="B_1_114"/>
      <sheetName val="B_1_214"/>
      <sheetName val="B_1_314"/>
      <sheetName val="B_1_414"/>
      <sheetName val="B_1_514"/>
      <sheetName val="B_1_614"/>
      <sheetName val="B_1_6_(2)14"/>
      <sheetName val="B_1_6_(3)14"/>
      <sheetName val="B_214"/>
      <sheetName val="B_2_114"/>
      <sheetName val="B_2_1_170"/>
      <sheetName val="B_2_1_214"/>
      <sheetName val="B_2_1_3_14"/>
      <sheetName val="B_2_1_413"/>
      <sheetName val="B_2_1_513"/>
      <sheetName val="B_2_1_613"/>
      <sheetName val="B_2_1_713"/>
      <sheetName val="B_2_1_813"/>
      <sheetName val="B_2_1_913"/>
      <sheetName val="B_2_1_1013"/>
      <sheetName val="B_2_1_1116"/>
      <sheetName val="B_2_1_1215"/>
      <sheetName val="B_2_1_1313"/>
      <sheetName val="B_2_1_1413"/>
      <sheetName val="B_2_1_1513"/>
      <sheetName val="B_2_1_1613"/>
      <sheetName val="B_2_1_1713"/>
      <sheetName val="B_2_213"/>
      <sheetName val="B_2_2_113"/>
      <sheetName val="B_2_313"/>
      <sheetName val="B_313"/>
      <sheetName val="B_3_113"/>
      <sheetName val="B_3_213"/>
      <sheetName val="B_413"/>
      <sheetName val="B_4_113"/>
      <sheetName val="B_4_213"/>
      <sheetName val="B_4_2_1_13"/>
      <sheetName val="B_4_2_213"/>
      <sheetName val="B_4_2_313"/>
      <sheetName val="B_4_2_4_13"/>
      <sheetName val="B_4_2_513"/>
      <sheetName val="B_4_2_613"/>
      <sheetName val="B_4_2_713"/>
      <sheetName val="B_4_2_813"/>
      <sheetName val="B_4_313"/>
      <sheetName val="B_4_3_170"/>
      <sheetName val="B_4_3_213"/>
      <sheetName val="B_4_3_313"/>
      <sheetName val="B_4_3_413"/>
      <sheetName val="B_4_3_513"/>
      <sheetName val="B_4_3_613"/>
      <sheetName val="B_4_3_7_13"/>
      <sheetName val="B_4_3_8_13"/>
      <sheetName val="B_4_3_913"/>
      <sheetName val="B_4_3_1013"/>
      <sheetName val="B_4_3_1116"/>
      <sheetName val="B_4_3_1214"/>
      <sheetName val="B_4_3_1313"/>
      <sheetName val="B_4_3_1413"/>
      <sheetName val="B_4_3_1513"/>
      <sheetName val="B_4_3_1613"/>
      <sheetName val="B_4_3_1813"/>
      <sheetName val="E_113"/>
      <sheetName val="E_1_113"/>
      <sheetName val="E_1_3_(2)13"/>
      <sheetName val="E_313"/>
      <sheetName val="E_3_113"/>
      <sheetName val="E_3_213"/>
      <sheetName val="E_3_313"/>
      <sheetName val="E_513"/>
      <sheetName val="E_5_113"/>
      <sheetName val="E_5_213"/>
      <sheetName val="E_613"/>
      <sheetName val="E_8_4_(2)13"/>
      <sheetName val="E_813"/>
      <sheetName val="E_8_113"/>
      <sheetName val="E_8_413"/>
      <sheetName val="B_1_6_(4)13"/>
      <sheetName val="B_1_6_(5)13"/>
      <sheetName val="PO_ADM12"/>
      <sheetName val="NB_UNIT14"/>
      <sheetName val="NB_UNIT34"/>
      <sheetName val="NB_UNIT44"/>
      <sheetName val="NB_TSR4"/>
      <sheetName val="NB_TELE4"/>
      <sheetName val="NB_AE4"/>
      <sheetName val="NB_UNIT24"/>
      <sheetName val="NB_BOY4"/>
      <sheetName val="NB_ISI4"/>
      <sheetName val="REPORT_BOY4"/>
      <sheetName val="REPORT_ISI4"/>
      <sheetName val="GAB_REPORT4"/>
      <sheetName val="R_SBA24"/>
      <sheetName val="perbandingan_rangking4"/>
      <sheetName val="EVALUASI_KINERJA4"/>
      <sheetName val="R_EVA4"/>
      <sheetName val="NB_IIS4"/>
      <sheetName val="REPORT_IIS4"/>
      <sheetName val="REPORT_#REF4"/>
      <sheetName val="REPORT_I#REF4"/>
      <sheetName val="REPORT_IS#REF4"/>
      <sheetName val="REPORT_ISI#REF4"/>
      <sheetName val="REPORT_ISIREF4"/>
      <sheetName val="REPORT_ISIEF4"/>
      <sheetName val="REPORT_ISIF4"/>
      <sheetName val="REPORT_IOY4"/>
      <sheetName val="REPORT_ISY4"/>
      <sheetName val="CWC_Flexi4"/>
      <sheetName val="A2_1_AJE4"/>
      <sheetName val="HARGA_AT4"/>
      <sheetName val="Danamon_LK4"/>
      <sheetName val="A1-B_(WBS-Asset)4"/>
      <sheetName val="X_1_14"/>
      <sheetName val="Schedule_OK_Status4"/>
      <sheetName val="Sandi_laba_rugi4"/>
      <sheetName val="PPJB_sd_Ags_084"/>
      <sheetName val="A1-B_ASSET4"/>
      <sheetName val="TB_Dec_31,15_KTI4"/>
      <sheetName val="TB_June_30,16_KTI4"/>
      <sheetName val="A2_1_CAJE4"/>
      <sheetName val="PL_okay4"/>
      <sheetName val="BS_okay4"/>
      <sheetName val="KAS_&amp;_BANK4"/>
      <sheetName val="Sales_074"/>
      <sheetName val="Sales_084"/>
      <sheetName val="Purchase08_4"/>
      <sheetName val="Sigra-PT_Adira4"/>
      <sheetName val="PPN_Import_Accounting4"/>
      <sheetName val="ICA_Prices4"/>
      <sheetName val="Recon_Data_(APCC)4"/>
      <sheetName val="A2_2_AJE4"/>
      <sheetName val="Section_WP4"/>
      <sheetName val="A2_3_RJE4"/>
      <sheetName val="DATA_WP15"/>
      <sheetName val="KKP_I15"/>
      <sheetName val="B_115"/>
      <sheetName val="B_1_115"/>
      <sheetName val="B_1_215"/>
      <sheetName val="B_1_315"/>
      <sheetName val="B_1_415"/>
      <sheetName val="B_1_515"/>
      <sheetName val="B_1_615"/>
      <sheetName val="B_1_6_(2)15"/>
      <sheetName val="B_1_6_(3)15"/>
      <sheetName val="B_215"/>
      <sheetName val="B_2_115"/>
      <sheetName val="B_2_1_180"/>
      <sheetName val="B_2_1_215"/>
      <sheetName val="B_2_1_3_15"/>
      <sheetName val="B_2_1_414"/>
      <sheetName val="B_2_1_514"/>
      <sheetName val="B_2_1_614"/>
      <sheetName val="B_2_1_714"/>
      <sheetName val="B_2_1_814"/>
      <sheetName val="B_2_1_914"/>
      <sheetName val="B_2_1_1014"/>
      <sheetName val="B_2_1_1117"/>
      <sheetName val="B_2_1_1216"/>
      <sheetName val="B_2_1_1314"/>
      <sheetName val="B_2_1_1414"/>
      <sheetName val="B_2_1_1514"/>
      <sheetName val="B_2_1_1614"/>
      <sheetName val="B_2_1_1714"/>
      <sheetName val="B_2_214"/>
      <sheetName val="B_2_2_114"/>
      <sheetName val="B_2_314"/>
      <sheetName val="B_314"/>
      <sheetName val="B_3_114"/>
      <sheetName val="B_3_214"/>
      <sheetName val="B_414"/>
      <sheetName val="B_4_114"/>
      <sheetName val="B_4_214"/>
      <sheetName val="B_4_2_1_14"/>
      <sheetName val="B_4_2_214"/>
      <sheetName val="B_4_2_314"/>
      <sheetName val="B_4_2_4_14"/>
      <sheetName val="B_4_2_514"/>
      <sheetName val="B_4_2_614"/>
      <sheetName val="B_4_2_714"/>
      <sheetName val="B_4_2_814"/>
      <sheetName val="B_4_314"/>
      <sheetName val="B_4_3_171"/>
      <sheetName val="B_4_3_214"/>
      <sheetName val="B_4_3_314"/>
      <sheetName val="B_4_3_414"/>
      <sheetName val="B_4_3_514"/>
      <sheetName val="B_4_3_614"/>
      <sheetName val="B_4_3_7_14"/>
      <sheetName val="B_4_3_8_14"/>
      <sheetName val="B_4_3_914"/>
      <sheetName val="B_4_3_1014"/>
      <sheetName val="B_4_3_1117"/>
      <sheetName val="B_4_3_1215"/>
      <sheetName val="B_4_3_1314"/>
      <sheetName val="B_4_3_1414"/>
      <sheetName val="B_4_3_1514"/>
      <sheetName val="B_4_3_1614"/>
      <sheetName val="B_4_3_1814"/>
      <sheetName val="E_114"/>
      <sheetName val="E_1_114"/>
      <sheetName val="E_1_3_(2)14"/>
      <sheetName val="E_314"/>
      <sheetName val="E_3_114"/>
      <sheetName val="E_3_214"/>
      <sheetName val="E_3_314"/>
      <sheetName val="E_514"/>
      <sheetName val="E_5_114"/>
      <sheetName val="E_5_214"/>
      <sheetName val="E_614"/>
      <sheetName val="E_8_4_(2)14"/>
      <sheetName val="E_814"/>
      <sheetName val="E_8_114"/>
      <sheetName val="E_8_414"/>
      <sheetName val="B_1_6_(4)14"/>
      <sheetName val="B_1_6_(5)14"/>
      <sheetName val="PO_ADM13"/>
      <sheetName val="NB_UNIT15"/>
      <sheetName val="NB_UNIT35"/>
      <sheetName val="NB_UNIT45"/>
      <sheetName val="NB_TSR5"/>
      <sheetName val="NB_TELE5"/>
      <sheetName val="NB_AE5"/>
      <sheetName val="NB_UNIT25"/>
      <sheetName val="NB_BOY5"/>
      <sheetName val="NB_ISI5"/>
      <sheetName val="REPORT_BOY5"/>
      <sheetName val="REPORT_ISI5"/>
      <sheetName val="GAB_REPORT5"/>
      <sheetName val="R_SBA25"/>
      <sheetName val="perbandingan_rangking5"/>
      <sheetName val="EVALUASI_KINERJA5"/>
      <sheetName val="R_EVA5"/>
      <sheetName val="NB_IIS5"/>
      <sheetName val="REPORT_IIS5"/>
      <sheetName val="REPORT_#REF5"/>
      <sheetName val="REPORT_I#REF5"/>
      <sheetName val="REPORT_IS#REF5"/>
      <sheetName val="REPORT_ISI#REF5"/>
      <sheetName val="REPORT_ISIREF5"/>
      <sheetName val="REPORT_ISIEF5"/>
      <sheetName val="REPORT_ISIF5"/>
      <sheetName val="REPORT_IOY5"/>
      <sheetName val="REPORT_ISY5"/>
      <sheetName val="CWC_Flexi5"/>
      <sheetName val="A2_1_AJE5"/>
      <sheetName val="HARGA_AT5"/>
      <sheetName val="Danamon_LK5"/>
      <sheetName val="A1-B_(WBS-Asset)5"/>
      <sheetName val="X_1_15"/>
      <sheetName val="Schedule_OK_Status5"/>
      <sheetName val="Sandi_laba_rugi5"/>
      <sheetName val="PPJB_sd_Ags_085"/>
      <sheetName val="A1-B_ASSET5"/>
      <sheetName val="TB_Dec_31,15_KTI5"/>
      <sheetName val="TB_June_30,16_KTI5"/>
      <sheetName val="A2_1_CAJE5"/>
      <sheetName val="PL_okay5"/>
      <sheetName val="BS_okay5"/>
      <sheetName val="KAS_&amp;_BANK5"/>
      <sheetName val="Sales_075"/>
      <sheetName val="Sales_085"/>
      <sheetName val="Purchase08_5"/>
      <sheetName val="Sigra-PT_Adira5"/>
      <sheetName val="PPN_Import_Accounting5"/>
      <sheetName val="ICA_Prices5"/>
      <sheetName val="Recon_Data_(APCC)5"/>
      <sheetName val="A2_2_AJE5"/>
      <sheetName val="Section_WP5"/>
      <sheetName val="A2_3_RJE5"/>
      <sheetName val="DATA_WP16"/>
      <sheetName val="KKP_I16"/>
      <sheetName val="B_116"/>
      <sheetName val="B_1_116"/>
      <sheetName val="B_1_216"/>
      <sheetName val="B_1_316"/>
      <sheetName val="B_1_416"/>
      <sheetName val="B_1_516"/>
      <sheetName val="B_1_616"/>
      <sheetName val="B_1_6_(2)16"/>
      <sheetName val="B_1_6_(3)16"/>
      <sheetName val="B_216"/>
      <sheetName val="B_2_116"/>
      <sheetName val="B_2_1_181"/>
      <sheetName val="B_2_1_216"/>
      <sheetName val="B_2_1_3_16"/>
      <sheetName val="B_2_1_415"/>
      <sheetName val="B_2_1_515"/>
      <sheetName val="B_2_1_615"/>
      <sheetName val="B_2_1_715"/>
      <sheetName val="B_2_1_815"/>
      <sheetName val="B_2_1_915"/>
      <sheetName val="B_2_1_1015"/>
      <sheetName val="B_2_1_1118"/>
      <sheetName val="B_2_1_1217"/>
      <sheetName val="B_2_1_1315"/>
      <sheetName val="B_2_1_1415"/>
      <sheetName val="B_2_1_1515"/>
      <sheetName val="B_2_1_1615"/>
      <sheetName val="B_2_1_1715"/>
      <sheetName val="B_2_215"/>
      <sheetName val="B_2_2_115"/>
      <sheetName val="B_2_315"/>
      <sheetName val="B_315"/>
      <sheetName val="B_3_115"/>
      <sheetName val="B_3_215"/>
      <sheetName val="B_415"/>
      <sheetName val="B_4_115"/>
      <sheetName val="B_4_215"/>
      <sheetName val="B_4_2_1_15"/>
      <sheetName val="B_4_2_215"/>
      <sheetName val="B_4_2_315"/>
      <sheetName val="B_4_2_4_15"/>
      <sheetName val="B_4_2_515"/>
      <sheetName val="B_4_2_615"/>
      <sheetName val="B_4_2_715"/>
      <sheetName val="B_4_2_815"/>
      <sheetName val="B_4_315"/>
      <sheetName val="B_4_3_172"/>
      <sheetName val="B_4_3_215"/>
      <sheetName val="B_4_3_315"/>
      <sheetName val="B_4_3_415"/>
      <sheetName val="B_4_3_515"/>
      <sheetName val="B_4_3_615"/>
      <sheetName val="B_4_3_7_15"/>
      <sheetName val="B_4_3_8_15"/>
      <sheetName val="B_4_3_915"/>
      <sheetName val="B_4_3_1015"/>
      <sheetName val="B_4_3_1118"/>
      <sheetName val="B_4_3_1216"/>
      <sheetName val="B_4_3_1315"/>
      <sheetName val="B_4_3_1415"/>
      <sheetName val="B_4_3_1515"/>
      <sheetName val="B_4_3_1615"/>
      <sheetName val="B_4_3_1815"/>
      <sheetName val="E_115"/>
      <sheetName val="E_1_115"/>
      <sheetName val="E_1_3_(2)15"/>
      <sheetName val="E_315"/>
      <sheetName val="E_3_115"/>
      <sheetName val="E_3_215"/>
      <sheetName val="E_3_315"/>
      <sheetName val="E_515"/>
      <sheetName val="E_5_115"/>
      <sheetName val="E_5_215"/>
      <sheetName val="E_615"/>
      <sheetName val="E_8_4_(2)15"/>
      <sheetName val="E_815"/>
      <sheetName val="E_8_115"/>
      <sheetName val="E_8_415"/>
      <sheetName val="B_1_6_(4)15"/>
      <sheetName val="B_1_6_(5)15"/>
      <sheetName val="PO_ADM14"/>
      <sheetName val="NB_UNIT16"/>
      <sheetName val="NB_UNIT36"/>
      <sheetName val="NB_UNIT46"/>
      <sheetName val="NB_TSR6"/>
      <sheetName val="NB_TELE6"/>
      <sheetName val="NB_AE6"/>
      <sheetName val="NB_UNIT26"/>
      <sheetName val="NB_BOY6"/>
      <sheetName val="NB_ISI6"/>
      <sheetName val="REPORT_BOY6"/>
      <sheetName val="REPORT_ISI6"/>
      <sheetName val="GAB_REPORT6"/>
      <sheetName val="R_SBA26"/>
      <sheetName val="perbandingan_rangking6"/>
      <sheetName val="EVALUASI_KINERJA6"/>
      <sheetName val="R_EVA6"/>
      <sheetName val="NB_IIS6"/>
      <sheetName val="REPORT_IIS6"/>
      <sheetName val="REPORT_#REF6"/>
      <sheetName val="REPORT_I#REF6"/>
      <sheetName val="REPORT_IS#REF6"/>
      <sheetName val="REPORT_ISI#REF6"/>
      <sheetName val="REPORT_ISIREF6"/>
      <sheetName val="REPORT_ISIEF6"/>
      <sheetName val="REPORT_ISIF6"/>
      <sheetName val="REPORT_IOY6"/>
      <sheetName val="REPORT_ISY6"/>
      <sheetName val="CWC_Flexi6"/>
      <sheetName val="A2_1_AJE6"/>
      <sheetName val="HARGA_AT6"/>
      <sheetName val="Danamon_LK6"/>
      <sheetName val="A1-B_(WBS-Asset)6"/>
      <sheetName val="X_1_16"/>
      <sheetName val="Schedule_OK_Status6"/>
      <sheetName val="Sandi_laba_rugi6"/>
      <sheetName val="PPJB_sd_Ags_086"/>
      <sheetName val="A1-B_ASSET6"/>
      <sheetName val="TB_Dec_31,15_KTI6"/>
      <sheetName val="TB_June_30,16_KTI6"/>
      <sheetName val="A2_1_CAJE6"/>
      <sheetName val="PL_okay6"/>
      <sheetName val="BS_okay6"/>
      <sheetName val="KAS_&amp;_BANK6"/>
      <sheetName val="Sales_076"/>
      <sheetName val="Sales_086"/>
      <sheetName val="Purchase08_6"/>
      <sheetName val="Sigra-PT_Adira6"/>
      <sheetName val="PPN_Import_Accounting6"/>
      <sheetName val="ICA_Prices6"/>
      <sheetName val="Recon_Data_(APCC)6"/>
      <sheetName val="A2_2_AJE6"/>
      <sheetName val="Section_WP6"/>
      <sheetName val="A2_3_RJE6"/>
      <sheetName val="DATA_WP18"/>
      <sheetName val="KKP_I18"/>
      <sheetName val="B_118"/>
      <sheetName val="B_1_118"/>
      <sheetName val="B_1_218"/>
      <sheetName val="B_1_318"/>
      <sheetName val="B_1_418"/>
      <sheetName val="B_1_518"/>
      <sheetName val="B_1_618"/>
      <sheetName val="B_1_6_(2)18"/>
      <sheetName val="B_1_6_(3)18"/>
      <sheetName val="B_218"/>
      <sheetName val="B_2_118"/>
      <sheetName val="B_2_1_183"/>
      <sheetName val="B_2_1_218"/>
      <sheetName val="B_2_1_3_18"/>
      <sheetName val="B_2_1_417"/>
      <sheetName val="B_2_1_517"/>
      <sheetName val="B_2_1_617"/>
      <sheetName val="B_2_1_717"/>
      <sheetName val="B_2_1_817"/>
      <sheetName val="B_2_1_917"/>
      <sheetName val="B_2_1_1017"/>
      <sheetName val="B_2_1_1120"/>
      <sheetName val="B_2_1_1219"/>
      <sheetName val="B_2_1_1317"/>
      <sheetName val="B_2_1_1417"/>
      <sheetName val="B_2_1_1517"/>
      <sheetName val="B_2_1_1617"/>
      <sheetName val="B_2_1_1717"/>
      <sheetName val="B_2_217"/>
      <sheetName val="B_2_2_117"/>
      <sheetName val="B_2_317"/>
      <sheetName val="B_317"/>
      <sheetName val="B_3_117"/>
      <sheetName val="B_3_217"/>
      <sheetName val="B_417"/>
      <sheetName val="B_4_117"/>
      <sheetName val="B_4_217"/>
      <sheetName val="B_4_2_1_17"/>
      <sheetName val="B_4_2_217"/>
      <sheetName val="B_4_2_317"/>
      <sheetName val="B_4_2_4_17"/>
      <sheetName val="B_4_2_517"/>
      <sheetName val="B_4_2_617"/>
      <sheetName val="B_4_2_717"/>
      <sheetName val="B_4_2_817"/>
      <sheetName val="B_4_317"/>
      <sheetName val="B_4_3_174"/>
      <sheetName val="B_4_3_217"/>
      <sheetName val="B_4_3_317"/>
      <sheetName val="B_4_3_417"/>
      <sheetName val="B_4_3_517"/>
      <sheetName val="B_4_3_617"/>
      <sheetName val="B_4_3_7_17"/>
      <sheetName val="B_4_3_8_17"/>
      <sheetName val="B_4_3_917"/>
      <sheetName val="B_4_3_1017"/>
      <sheetName val="B_4_3_1120"/>
      <sheetName val="B_4_3_1218"/>
      <sheetName val="B_4_3_1317"/>
      <sheetName val="B_4_3_1417"/>
      <sheetName val="B_4_3_1517"/>
      <sheetName val="B_4_3_1617"/>
      <sheetName val="B_4_3_1817"/>
      <sheetName val="E_117"/>
      <sheetName val="E_1_117"/>
      <sheetName val="E_1_3_(2)17"/>
      <sheetName val="E_317"/>
      <sheetName val="E_3_117"/>
      <sheetName val="E_3_217"/>
      <sheetName val="E_3_317"/>
      <sheetName val="E_517"/>
      <sheetName val="E_5_117"/>
      <sheetName val="E_5_217"/>
      <sheetName val="E_617"/>
      <sheetName val="E_8_4_(2)17"/>
      <sheetName val="E_817"/>
      <sheetName val="E_8_117"/>
      <sheetName val="E_8_417"/>
      <sheetName val="B_1_6_(4)17"/>
      <sheetName val="B_1_6_(5)17"/>
      <sheetName val="PO_ADM16"/>
      <sheetName val="NB_UNIT18"/>
      <sheetName val="NB_UNIT38"/>
      <sheetName val="NB_UNIT48"/>
      <sheetName val="NB_TSR8"/>
      <sheetName val="NB_TELE8"/>
      <sheetName val="NB_AE8"/>
      <sheetName val="NB_UNIT28"/>
      <sheetName val="NB_BOY8"/>
      <sheetName val="NB_ISI8"/>
      <sheetName val="REPORT_BOY8"/>
      <sheetName val="REPORT_ISI8"/>
      <sheetName val="GAB_REPORT8"/>
      <sheetName val="R_SBA28"/>
      <sheetName val="perbandingan_rangking8"/>
      <sheetName val="EVALUASI_KINERJA8"/>
      <sheetName val="R_EVA8"/>
      <sheetName val="NB_IIS8"/>
      <sheetName val="REPORT_IIS8"/>
      <sheetName val="REPORT_#REF8"/>
      <sheetName val="REPORT_I#REF8"/>
      <sheetName val="REPORT_IS#REF8"/>
      <sheetName val="REPORT_ISI#REF8"/>
      <sheetName val="REPORT_ISIREF8"/>
      <sheetName val="REPORT_ISIEF8"/>
      <sheetName val="REPORT_ISIF8"/>
      <sheetName val="REPORT_IOY8"/>
      <sheetName val="REPORT_ISY8"/>
      <sheetName val="CWC_Flexi8"/>
      <sheetName val="A2_1_AJE8"/>
      <sheetName val="HARGA_AT8"/>
      <sheetName val="Danamon_LK8"/>
      <sheetName val="A1-B_(WBS-Asset)8"/>
      <sheetName val="X_1_18"/>
      <sheetName val="Schedule_OK_Status8"/>
      <sheetName val="Sandi_laba_rugi8"/>
      <sheetName val="PPJB_sd_Ags_088"/>
      <sheetName val="A1-B_ASSET8"/>
      <sheetName val="TB_Dec_31,15_KTI8"/>
      <sheetName val="TB_June_30,16_KTI8"/>
      <sheetName val="A2_1_CAJE8"/>
      <sheetName val="PL_okay8"/>
      <sheetName val="BS_okay8"/>
      <sheetName val="KAS_&amp;_BANK8"/>
      <sheetName val="Sales_078"/>
      <sheetName val="Sales_088"/>
      <sheetName val="Purchase08_8"/>
      <sheetName val="Sigra-PT_Adira8"/>
      <sheetName val="PPN_Import_Accounting8"/>
      <sheetName val="ICA_Prices8"/>
      <sheetName val="Recon_Data_(APCC)8"/>
      <sheetName val="A2_2_AJE8"/>
      <sheetName val="Section_WP8"/>
      <sheetName val="A2_3_RJE8"/>
      <sheetName val="DATA_WP19"/>
      <sheetName val="KKP_I19"/>
      <sheetName val="B_119"/>
      <sheetName val="B_1_119"/>
      <sheetName val="B_1_219"/>
      <sheetName val="B_1_319"/>
      <sheetName val="B_1_419"/>
      <sheetName val="B_1_519"/>
      <sheetName val="B_1_619"/>
      <sheetName val="B_1_6_(2)19"/>
      <sheetName val="B_1_6_(3)19"/>
      <sheetName val="B_219"/>
      <sheetName val="B_2_119"/>
      <sheetName val="B_2_1_184"/>
      <sheetName val="B_2_1_219"/>
      <sheetName val="B_2_1_3_19"/>
      <sheetName val="B_2_1_418"/>
      <sheetName val="B_2_1_518"/>
      <sheetName val="B_2_1_618"/>
      <sheetName val="B_2_1_718"/>
      <sheetName val="B_2_1_818"/>
      <sheetName val="B_2_1_918"/>
      <sheetName val="B_2_1_1018"/>
      <sheetName val="B_2_1_1121"/>
      <sheetName val="B_2_1_1220"/>
      <sheetName val="B_2_1_1318"/>
      <sheetName val="B_2_1_1418"/>
      <sheetName val="B_2_1_1518"/>
      <sheetName val="B_2_1_1618"/>
      <sheetName val="B_2_1_1718"/>
      <sheetName val="B_2_218"/>
      <sheetName val="B_2_2_118"/>
      <sheetName val="B_2_318"/>
      <sheetName val="B_318"/>
      <sheetName val="B_3_118"/>
      <sheetName val="B_3_218"/>
      <sheetName val="B_418"/>
      <sheetName val="B_4_118"/>
      <sheetName val="B_4_218"/>
      <sheetName val="B_4_2_1_18"/>
      <sheetName val="B_4_2_218"/>
      <sheetName val="B_4_2_318"/>
      <sheetName val="B_4_2_4_18"/>
      <sheetName val="B_4_2_518"/>
      <sheetName val="B_4_2_618"/>
      <sheetName val="B_4_2_718"/>
      <sheetName val="B_4_2_818"/>
      <sheetName val="B_4_318"/>
      <sheetName val="B_4_3_175"/>
      <sheetName val="B_4_3_218"/>
      <sheetName val="B_4_3_318"/>
      <sheetName val="B_4_3_418"/>
      <sheetName val="B_4_3_518"/>
      <sheetName val="B_4_3_618"/>
      <sheetName val="B_4_3_7_18"/>
      <sheetName val="B_4_3_8_18"/>
      <sheetName val="B_4_3_918"/>
      <sheetName val="B_4_3_1018"/>
      <sheetName val="B_4_3_1121"/>
      <sheetName val="B_4_3_1219"/>
      <sheetName val="B_4_3_1318"/>
      <sheetName val="B_4_3_1418"/>
      <sheetName val="B_4_3_1518"/>
      <sheetName val="B_4_3_1618"/>
      <sheetName val="B_4_3_1818"/>
      <sheetName val="E_118"/>
      <sheetName val="E_1_118"/>
      <sheetName val="E_1_3_(2)18"/>
      <sheetName val="E_318"/>
      <sheetName val="E_3_118"/>
      <sheetName val="E_3_218"/>
      <sheetName val="E_3_318"/>
      <sheetName val="E_518"/>
      <sheetName val="E_5_118"/>
      <sheetName val="E_5_218"/>
      <sheetName val="E_618"/>
      <sheetName val="E_8_4_(2)18"/>
      <sheetName val="E_818"/>
      <sheetName val="E_8_118"/>
      <sheetName val="E_8_418"/>
      <sheetName val="B_1_6_(4)18"/>
      <sheetName val="B_1_6_(5)18"/>
      <sheetName val="PO_ADM17"/>
      <sheetName val="NB_UNIT19"/>
      <sheetName val="NB_UNIT39"/>
      <sheetName val="NB_UNIT49"/>
      <sheetName val="NB_TSR9"/>
      <sheetName val="NB_TELE9"/>
      <sheetName val="NB_AE9"/>
      <sheetName val="NB_UNIT29"/>
      <sheetName val="NB_BOY9"/>
      <sheetName val="NB_ISI9"/>
      <sheetName val="REPORT_BOY9"/>
      <sheetName val="REPORT_ISI9"/>
      <sheetName val="GAB_REPORT9"/>
      <sheetName val="R_SBA29"/>
      <sheetName val="perbandingan_rangking9"/>
      <sheetName val="EVALUASI_KINERJA9"/>
      <sheetName val="R_EVA9"/>
      <sheetName val="NB_IIS9"/>
      <sheetName val="REPORT_IIS9"/>
      <sheetName val="REPORT_#REF9"/>
      <sheetName val="REPORT_I#REF9"/>
      <sheetName val="REPORT_IS#REF9"/>
      <sheetName val="REPORT_ISI#REF9"/>
      <sheetName val="REPORT_ISIREF9"/>
      <sheetName val="REPORT_ISIEF9"/>
      <sheetName val="REPORT_ISIF9"/>
      <sheetName val="REPORT_IOY9"/>
      <sheetName val="REPORT_ISY9"/>
      <sheetName val="CWC_Flexi9"/>
      <sheetName val="A2_1_AJE9"/>
      <sheetName val="HARGA_AT9"/>
      <sheetName val="Danamon_LK9"/>
      <sheetName val="A1-B_(WBS-Asset)9"/>
      <sheetName val="X_1_19"/>
      <sheetName val="Schedule_OK_Status9"/>
      <sheetName val="Sandi_laba_rugi9"/>
      <sheetName val="PPJB_sd_Ags_089"/>
      <sheetName val="A1-B_ASSET9"/>
      <sheetName val="TB_Dec_31,15_KTI9"/>
      <sheetName val="TB_June_30,16_KTI9"/>
      <sheetName val="A2_1_CAJE9"/>
      <sheetName val="PL_okay9"/>
      <sheetName val="BS_okay9"/>
      <sheetName val="KAS_&amp;_BANK9"/>
      <sheetName val="Sales_079"/>
      <sheetName val="Sales_089"/>
      <sheetName val="Purchase08_9"/>
      <sheetName val="Sigra-PT_Adira9"/>
      <sheetName val="PPN_Import_Accounting9"/>
      <sheetName val="ICA_Prices9"/>
      <sheetName val="Recon_Data_(APCC)9"/>
      <sheetName val="A2_2_AJE9"/>
      <sheetName val="Section_WP9"/>
      <sheetName val="A2_3_RJE9"/>
      <sheetName val="8"/>
      <sheetName val="4"/>
      <sheetName val="COA"/>
      <sheetName val="12"/>
      <sheetName val="2"/>
      <sheetName val="1"/>
      <sheetName val="7"/>
      <sheetName val="6"/>
      <sheetName val="3"/>
      <sheetName val="11"/>
      <sheetName val="10"/>
      <sheetName val="9"/>
      <sheetName val="FG"/>
      <sheetName val="FG(B)"/>
      <sheetName val="wip"/>
      <sheetName val="RM"/>
      <sheetName val="part-local"/>
      <sheetName val="LOCAL(B)"/>
      <sheetName val="part-import"/>
      <sheetName val="P&amp;L by Mth"/>
      <sheetName val="A"/>
      <sheetName val="OFF"/>
      <sheetName val="FURN"/>
      <sheetName val="COMP"/>
      <sheetName val="Report Gen"/>
      <sheetName val="Account Information"/>
      <sheetName val="KODE"/>
      <sheetName val="summary-final"/>
      <sheetName val="HomePage"/>
      <sheetName val="設定"/>
      <sheetName val="kriteria"/>
      <sheetName val="TBM"/>
      <sheetName val="COVER&amp;Instructions"/>
      <sheetName val="JABAR"/>
      <sheetName val="PS90"/>
      <sheetName val="CRITERIA1"/>
      <sheetName val="Account Coding - Revise"/>
      <sheetName val="X rates"/>
      <sheetName val="SOLUTION FORECAST"/>
      <sheetName val="result"/>
      <sheetName val="CGSgm2"/>
      <sheetName val="CGSsp"/>
      <sheetName val="Factors"/>
      <sheetName val="Sales"/>
      <sheetName val="COGS"/>
      <sheetName val="UANG MUKA"/>
      <sheetName val="DEPOSIT"/>
      <sheetName val="SBE-Compound"/>
      <sheetName val="SBE-Fixed Dep."/>
      <sheetName val="COGSRevalSum"/>
      <sheetName val="Search for Unrecorded Liabilty"/>
      <sheetName val="TotalReqPM"/>
      <sheetName val="8.CMA - Add"/>
      <sheetName val="Client Aje"/>
      <sheetName val="1195 A2"/>
      <sheetName val="BS final"/>
      <sheetName val="A-3"/>
      <sheetName val="REVALUATION-Jul-02"/>
      <sheetName val="MgtReport"/>
      <sheetName val="COGS Reval Summ"/>
      <sheetName val="list of ac"/>
      <sheetName val="KKPmahsing"/>
      <sheetName val="PSU"/>
      <sheetName val="GLdownload"/>
      <sheetName val="µ!_x005f_x005f_x005f_x0004_)_x0"/>
      <sheetName val="___x005f_x0004___x005f_x0000__2"/>
      <sheetName val="b24-1"/>
      <sheetName val="22-1"/>
      <sheetName val="b28"/>
      <sheetName val="µ!_x005f_x0004_)_x0"/>
      <sheetName val="kategori"/>
      <sheetName val="GRADE"/>
      <sheetName val="TRIWULAN 3"/>
      <sheetName val="STOCK_AWAL"/>
      <sheetName val="WBS 2005"/>
      <sheetName val="MED"/>
      <sheetName val="KODEREKG"/>
      <sheetName val="Kertas kerja dan lap. keuangan"/>
      <sheetName val="KAS $"/>
      <sheetName val="Manajemen Fee"/>
      <sheetName val="FKT_PJK"/>
      <sheetName val="RMS - STR"/>
      <sheetName val="Macro1"/>
      <sheetName val="CIPA"/>
      <sheetName val="UPH"/>
      <sheetName val="BHN"/>
      <sheetName val="ALT"/>
      <sheetName val="SUB"/>
      <sheetName val="Monthly"/>
      <sheetName val="KKP 01 Audit"/>
      <sheetName val="AJERJECJE"/>
      <sheetName val="SAD"/>
      <sheetName val="INVOICES"/>
      <sheetName val="Proof Def Tax"/>
      <sheetName val="P"/>
      <sheetName val="Marshal"/>
      <sheetName val="SysNavigation"/>
      <sheetName val="VAT out"/>
      <sheetName val="OFFICE"/>
      <sheetName val="CFWork"/>
      <sheetName val="WBS-WPL"/>
      <sheetName val="Tab DPA"/>
      <sheetName val="SALESMRT_03"/>
      <sheetName val="SALESJAN_03"/>
      <sheetName val="SALESDES_03"/>
      <sheetName val="SALESFEB_03"/>
      <sheetName val="SALESNOP_03"/>
      <sheetName val="SALESOKT_03"/>
      <sheetName val="SALESJUNI_03"/>
      <sheetName val="SALESSEP_03"/>
      <sheetName val="SALESMEI_03"/>
      <sheetName val="SALESAPR_03"/>
      <sheetName val="SALESAGT_03"/>
      <sheetName val="SALESJULI_03"/>
      <sheetName val="Inputs"/>
      <sheetName val="VAT OUT GL"/>
      <sheetName val="U2.2"/>
      <sheetName val="JURNAL"/>
      <sheetName val="Asumsi"/>
      <sheetName val="F"/>
      <sheetName val="Indr"/>
      <sheetName val="pks"/>
      <sheetName val="Kalkulasi Loan"/>
      <sheetName val="may'03"/>
      <sheetName val="CMA-Opname B"/>
      <sheetName val="Variables"/>
      <sheetName val="µ!_x005f_x005f_x005f_x0004_)???"/>
      <sheetName val="2930"/>
      <sheetName val="2933"/>
      <sheetName val="2934"/>
      <sheetName val="aug"/>
      <sheetName val="mei"/>
      <sheetName val="INPUT 5 - HEAT RATE CURVE"/>
      <sheetName val="INPUT 4 - OAT DERATE CURVE"/>
      <sheetName val="INPUT 1 - DG LOAD SHAPES"/>
      <sheetName val="Rates El St Gas"/>
      <sheetName val="µ!_x0004_)_x0000__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/>
      <sheetData sheetId="2513" refreshError="1"/>
      <sheetData sheetId="2514" refreshError="1"/>
      <sheetData sheetId="2515" refreshError="1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LOOKUP"/>
      <sheetName val="REF"/>
      <sheetName val="Kasus1"/>
      <sheetName val="Kasus2"/>
      <sheetName val="Kasus1 "/>
      <sheetName val="Rekap Salary"/>
      <sheetName val="MASA KERJA"/>
      <sheetName val="Sheet1 (2)"/>
      <sheetName val="hitung ulang JEPANG"/>
      <sheetName val="Sheet1"/>
      <sheetName val="Sheet2"/>
      <sheetName val="Sheet3"/>
      <sheetName val="Table"/>
      <sheetName val="master"/>
      <sheetName val="kurs"/>
      <sheetName val="pph-21"/>
      <sheetName val="Jan'05"/>
      <sheetName val="Hal 2"/>
      <sheetName val="Buk-Pot21"/>
      <sheetName val="Buk-Pot21 FINAL"/>
      <sheetName val="Rekap_Salary"/>
      <sheetName val="MASA_KERJA"/>
      <sheetName val="Sheet1_(2)"/>
      <sheetName val="hitung_ulang_JEPANG"/>
      <sheetName val="Kasus1_"/>
      <sheetName val="Hal_2"/>
      <sheetName val="Buk-Pot21_FINAL"/>
      <sheetName val="Assumption"/>
      <sheetName val="PO ADM"/>
      <sheetName val="adj"/>
      <sheetName val="Kasus1_2"/>
      <sheetName val="Rekap_Salary2"/>
      <sheetName val="MASA_KERJA2"/>
      <sheetName val="Sheet1_(2)2"/>
      <sheetName val="hitung_ulang_JEPANG2"/>
      <sheetName val="Kasus1_1"/>
      <sheetName val="Rekap_Salary1"/>
      <sheetName val="MASA_KERJA1"/>
      <sheetName val="Sheet1_(2)1"/>
      <sheetName val="hitung_ulang_JEPANG1"/>
      <sheetName val="Kasus1_3"/>
      <sheetName val="Rekap_Salary3"/>
      <sheetName val="MASA_KERJA3"/>
      <sheetName val="Sheet1_(2)3"/>
      <sheetName val="hitung_ulang_JEPANG3"/>
      <sheetName val="Macro"/>
      <sheetName val="Marshal"/>
      <sheetName val="GeneralInfo"/>
      <sheetName val="PACK"/>
      <sheetName val="General"/>
      <sheetName val="bag"/>
      <sheetName val="Hal_21"/>
      <sheetName val="Buk-Pot21_FINAL1"/>
      <sheetName val="PO_ADM"/>
      <sheetName val="Deprec"/>
      <sheetName val="Permanent info"/>
      <sheetName val="MAIN"/>
      <sheetName val="ACC.CODE"/>
      <sheetName val="Irregular Income"/>
      <sheetName val="FE-1770.P1"/>
      <sheetName val="6 mth TAC"/>
      <sheetName val="6 mth DTA"/>
      <sheetName val="Worksheet-03"/>
      <sheetName val="MasterSheet"/>
      <sheetName val="BAB14"/>
      <sheetName val="Monthly Recap"/>
      <sheetName val="gp lama"/>
      <sheetName val="Monthly_Recap"/>
      <sheetName val="Monthly_Recap2"/>
      <sheetName val="gp_lama2"/>
      <sheetName val="gp_lama"/>
      <sheetName val="Monthly_Recap1"/>
      <sheetName val="gp_lama1"/>
      <sheetName val="Monthly_Recap3"/>
      <sheetName val="gp_lama3"/>
      <sheetName val="Kasus1_6"/>
      <sheetName val="Rekap_Salary6"/>
      <sheetName val="MASA_KERJA6"/>
      <sheetName val="Sheet1_(2)6"/>
      <sheetName val="hitung_ulang_JEPANG6"/>
      <sheetName val="Monthly_Recap6"/>
      <sheetName val="gp_lama6"/>
      <sheetName val="Kasus1_5"/>
      <sheetName val="Rekap_Salary5"/>
      <sheetName val="MASA_KERJA5"/>
      <sheetName val="Sheet1_(2)5"/>
      <sheetName val="hitung_ulang_JEPANG5"/>
      <sheetName val="Monthly_Recap5"/>
      <sheetName val="gp_lama5"/>
      <sheetName val="Kasus1_4"/>
      <sheetName val="Rekap_Salary4"/>
      <sheetName val="MASA_KERJA4"/>
      <sheetName val="Sheet1_(2)4"/>
      <sheetName val="hitung_ulang_JEPANG4"/>
      <sheetName val="Monthly_Recap4"/>
      <sheetName val="gp_lama4"/>
      <sheetName val="Kasus1_7"/>
      <sheetName val="Rekap_Salary7"/>
      <sheetName val="MASA_KERJA7"/>
      <sheetName val="Sheet1_(2)7"/>
      <sheetName val="hitung_ulang_JEPANG7"/>
      <sheetName val="Monthly_Recap7"/>
      <sheetName val="gp_lama7"/>
      <sheetName val="Kasus1_8"/>
      <sheetName val="Rekap_Salary8"/>
      <sheetName val="MASA_KERJA8"/>
      <sheetName val="Sheet1_(2)8"/>
      <sheetName val="hitung_ulang_JEPANG8"/>
      <sheetName val="Monthly_Recap8"/>
      <sheetName val="gp_lama8"/>
      <sheetName val="Kasus1_9"/>
      <sheetName val="Rekap_Salary9"/>
      <sheetName val="MASA_KERJA9"/>
      <sheetName val="Sheet1_(2)9"/>
      <sheetName val="hitung_ulang_JEPANG9"/>
      <sheetName val="Monthly_Recap9"/>
      <sheetName val="gp_lama9"/>
      <sheetName val="Kasus1_11"/>
      <sheetName val="Rekap_Salary11"/>
      <sheetName val="MASA_KERJA11"/>
      <sheetName val="Sheet1_(2)11"/>
      <sheetName val="hitung_ulang_JEPANG11"/>
      <sheetName val="Monthly_Recap11"/>
      <sheetName val="gp_lama11"/>
      <sheetName val="Kasus1_10"/>
      <sheetName val="Rekap_Salary10"/>
      <sheetName val="MASA_KERJA10"/>
      <sheetName val="Sheet1_(2)10"/>
      <sheetName val="hitung_ulang_JEPANG10"/>
      <sheetName val="Monthly_Recap10"/>
      <sheetName val="gp_lama10"/>
      <sheetName val="Kasus1_13"/>
      <sheetName val="Rekap_Salary13"/>
      <sheetName val="MASA_KERJA13"/>
      <sheetName val="Sheet1_(2)13"/>
      <sheetName val="hitung_ulang_JEPANG13"/>
      <sheetName val="Monthly_Recap13"/>
      <sheetName val="gp_lama13"/>
      <sheetName val="Kasus1_12"/>
      <sheetName val="Rekap_Salary12"/>
      <sheetName val="MASA_KERJA12"/>
      <sheetName val="Sheet1_(2)12"/>
      <sheetName val="hitung_ulang_JEPANG12"/>
      <sheetName val="Monthly_Recap12"/>
      <sheetName val="gp_lama12"/>
      <sheetName val="Kasus1_17"/>
      <sheetName val="Rekap_Salary17"/>
      <sheetName val="MASA_KERJA17"/>
      <sheetName val="Sheet1_(2)17"/>
      <sheetName val="hitung_ulang_JEPANG17"/>
      <sheetName val="Monthly_Recap17"/>
      <sheetName val="gp_lama17"/>
      <sheetName val="Kasus1_15"/>
      <sheetName val="Rekap_Salary15"/>
      <sheetName val="MASA_KERJA15"/>
      <sheetName val="Sheet1_(2)15"/>
      <sheetName val="hitung_ulang_JEPANG15"/>
      <sheetName val="Monthly_Recap15"/>
      <sheetName val="gp_lama15"/>
      <sheetName val="Kasus1_14"/>
      <sheetName val="Rekap_Salary14"/>
      <sheetName val="MASA_KERJA14"/>
      <sheetName val="Sheet1_(2)14"/>
      <sheetName val="hitung_ulang_JEPANG14"/>
      <sheetName val="Monthly_Recap14"/>
      <sheetName val="gp_lama14"/>
      <sheetName val="Kasus1_16"/>
      <sheetName val="Rekap_Salary16"/>
      <sheetName val="MASA_KERJA16"/>
      <sheetName val="Sheet1_(2)16"/>
      <sheetName val="hitung_ulang_JEPANG16"/>
      <sheetName val="Monthly_Recap16"/>
      <sheetName val="gp_lama16"/>
      <sheetName val="Kasus1_18"/>
      <sheetName val="Rekap_Salary18"/>
      <sheetName val="MASA_KERJA18"/>
      <sheetName val="Sheet1_(2)18"/>
      <sheetName val="hitung_ulang_JEPANG18"/>
      <sheetName val="Monthly_Recap18"/>
      <sheetName val="gp_lama18"/>
      <sheetName val="Kasus1_19"/>
      <sheetName val="Rekap_Salary19"/>
      <sheetName val="MASA_KERJA19"/>
      <sheetName val="Sheet1_(2)19"/>
      <sheetName val="hitung_ulang_JEPANG19"/>
      <sheetName val="Monthly_Recap19"/>
      <sheetName val="gp_lama19"/>
      <sheetName val="Kasus1_21"/>
      <sheetName val="Rekap_Salary21"/>
      <sheetName val="MASA_KERJA21"/>
      <sheetName val="Sheet1_(2)21"/>
      <sheetName val="hitung_ulang_JEPANG21"/>
      <sheetName val="Monthly_Recap21"/>
      <sheetName val="gp_lama21"/>
      <sheetName val="Kasus1_20"/>
      <sheetName val="Rekap_Salary20"/>
      <sheetName val="MASA_KERJA20"/>
      <sheetName val="Sheet1_(2)20"/>
      <sheetName val="hitung_ulang_JEPANG20"/>
      <sheetName val="Monthly_Recap20"/>
      <sheetName val="gp_lama20"/>
      <sheetName val="Kasus1_25"/>
      <sheetName val="Rekap_Salary25"/>
      <sheetName val="MASA_KERJA25"/>
      <sheetName val="Sheet1_(2)25"/>
      <sheetName val="hitung_ulang_JEPANG25"/>
      <sheetName val="Monthly_Recap25"/>
      <sheetName val="gp_lama25"/>
      <sheetName val="Permanent_info2"/>
      <sheetName val="Kasus1_22"/>
      <sheetName val="Rekap_Salary22"/>
      <sheetName val="MASA_KERJA22"/>
      <sheetName val="Sheet1_(2)22"/>
      <sheetName val="hitung_ulang_JEPANG22"/>
      <sheetName val="Monthly_Recap22"/>
      <sheetName val="gp_lama22"/>
      <sheetName val="Kasus1_24"/>
      <sheetName val="Rekap_Salary24"/>
      <sheetName val="MASA_KERJA24"/>
      <sheetName val="Sheet1_(2)24"/>
      <sheetName val="hitung_ulang_JEPANG24"/>
      <sheetName val="Monthly_Recap24"/>
      <sheetName val="gp_lama24"/>
      <sheetName val="Permanent_info1"/>
      <sheetName val="Kasus1_23"/>
      <sheetName val="Rekap_Salary23"/>
      <sheetName val="MASA_KERJA23"/>
      <sheetName val="Sheet1_(2)23"/>
      <sheetName val="hitung_ulang_JEPANG23"/>
      <sheetName val="Monthly_Recap23"/>
      <sheetName val="gp_lama23"/>
      <sheetName val="Permanent_info"/>
      <sheetName val="Account Code"/>
      <sheetName val="Kasus1_32"/>
      <sheetName val="Rekap_Salary32"/>
      <sheetName val="MASA_KERJA32"/>
      <sheetName val="Sheet1_(2)32"/>
      <sheetName val="hitung_ulang_JEPANG32"/>
      <sheetName val="Monthly_Recap32"/>
      <sheetName val="gp_lama32"/>
      <sheetName val="Permanent_info5"/>
      <sheetName val="Kasus1_31"/>
      <sheetName val="Rekap_Salary31"/>
      <sheetName val="MASA_KERJA31"/>
      <sheetName val="Sheet1_(2)31"/>
      <sheetName val="hitung_ulang_JEPANG31"/>
      <sheetName val="Monthly_Recap31"/>
      <sheetName val="gp_lama31"/>
      <sheetName val="Kasus1_30"/>
      <sheetName val="Rekap_Salary30"/>
      <sheetName val="MASA_KERJA30"/>
      <sheetName val="Sheet1_(2)30"/>
      <sheetName val="hitung_ulang_JEPANG30"/>
      <sheetName val="Monthly_Recap30"/>
      <sheetName val="gp_lama30"/>
      <sheetName val="Permanent_info4"/>
      <sheetName val="Kasus1_27"/>
      <sheetName val="Rekap_Salary27"/>
      <sheetName val="MASA_KERJA27"/>
      <sheetName val="Sheet1_(2)27"/>
      <sheetName val="hitung_ulang_JEPANG27"/>
      <sheetName val="Monthly_Recap27"/>
      <sheetName val="gp_lama27"/>
      <sheetName val="Kasus1_26"/>
      <sheetName val="Rekap_Salary26"/>
      <sheetName val="MASA_KERJA26"/>
      <sheetName val="Sheet1_(2)26"/>
      <sheetName val="hitung_ulang_JEPANG26"/>
      <sheetName val="Monthly_Recap26"/>
      <sheetName val="gp_lama26"/>
      <sheetName val="Kasus1_28"/>
      <sheetName val="Rekap_Salary28"/>
      <sheetName val="MASA_KERJA28"/>
      <sheetName val="Sheet1_(2)28"/>
      <sheetName val="hitung_ulang_JEPANG28"/>
      <sheetName val="Monthly_Recap28"/>
      <sheetName val="gp_lama28"/>
      <sheetName val="Permanent_info3"/>
      <sheetName val="Kasus1_29"/>
      <sheetName val="Rekap_Salary29"/>
      <sheetName val="MASA_KERJA29"/>
      <sheetName val="Sheet1_(2)29"/>
      <sheetName val="hitung_ulang_JEPANG29"/>
      <sheetName val="Monthly_Recap29"/>
      <sheetName val="gp_lama29"/>
      <sheetName val="Kasus1_33"/>
      <sheetName val="Rekap_Salary33"/>
      <sheetName val="MASA_KERJA33"/>
      <sheetName val="Sheet1_(2)33"/>
      <sheetName val="hitung_ulang_JEPANG33"/>
      <sheetName val="Monthly_Recap33"/>
      <sheetName val="gp_lama33"/>
      <sheetName val="Permanent_info6"/>
      <sheetName val="Kasus1_38"/>
      <sheetName val="Rekap_Salary38"/>
      <sheetName val="MASA_KERJA38"/>
      <sheetName val="Sheet1_(2)38"/>
      <sheetName val="hitung_ulang_JEPANG38"/>
      <sheetName val="Monthly_Recap38"/>
      <sheetName val="gp_lama38"/>
      <sheetName val="Permanent_info11"/>
      <sheetName val="Kasus1_34"/>
      <sheetName val="Rekap_Salary34"/>
      <sheetName val="MASA_KERJA34"/>
      <sheetName val="Sheet1_(2)34"/>
      <sheetName val="hitung_ulang_JEPANG34"/>
      <sheetName val="Monthly_Recap34"/>
      <sheetName val="gp_lama34"/>
      <sheetName val="Permanent_info7"/>
      <sheetName val="Kasus1_35"/>
      <sheetName val="Rekap_Salary35"/>
      <sheetName val="MASA_KERJA35"/>
      <sheetName val="Sheet1_(2)35"/>
      <sheetName val="hitung_ulang_JEPANG35"/>
      <sheetName val="Monthly_Recap35"/>
      <sheetName val="gp_lama35"/>
      <sheetName val="Permanent_info8"/>
      <sheetName val="Kasus1_36"/>
      <sheetName val="Rekap_Salary36"/>
      <sheetName val="MASA_KERJA36"/>
      <sheetName val="Sheet1_(2)36"/>
      <sheetName val="hitung_ulang_JEPANG36"/>
      <sheetName val="Monthly_Recap36"/>
      <sheetName val="gp_lama36"/>
      <sheetName val="Permanent_info9"/>
      <sheetName val="Kasus1_37"/>
      <sheetName val="Rekap_Salary37"/>
      <sheetName val="MASA_KERJA37"/>
      <sheetName val="Sheet1_(2)37"/>
      <sheetName val="hitung_ulang_JEPANG37"/>
      <sheetName val="Monthly_Recap37"/>
      <sheetName val="gp_lama37"/>
      <sheetName val="Permanent_info10"/>
      <sheetName val="Kasus1_39"/>
      <sheetName val="Rekap_Salary39"/>
      <sheetName val="MASA_KERJA39"/>
      <sheetName val="Sheet1_(2)39"/>
      <sheetName val="hitung_ulang_JEPANG39"/>
      <sheetName val="Monthly_Recap39"/>
      <sheetName val="gp_lama39"/>
      <sheetName val="Permanent_info12"/>
      <sheetName val="Kasus1_40"/>
      <sheetName val="Rekap_Salary40"/>
      <sheetName val="MASA_KERJA40"/>
      <sheetName val="Sheet1_(2)40"/>
      <sheetName val="hitung_ulang_JEPANG40"/>
      <sheetName val="Monthly_Recap40"/>
      <sheetName val="gp_lama40"/>
      <sheetName val="Permanent_info13"/>
      <sheetName val="Kasus1_41"/>
      <sheetName val="Rekap_Salary41"/>
      <sheetName val="MASA_KERJA41"/>
      <sheetName val="Sheet1_(2)41"/>
      <sheetName val="hitung_ulang_JEPANG41"/>
      <sheetName val="Monthly_Recap41"/>
      <sheetName val="gp_lama41"/>
      <sheetName val="Permanent_info14"/>
      <sheetName val="Kasus1_42"/>
      <sheetName val="Rekap_Salary42"/>
      <sheetName val="MASA_KERJA42"/>
      <sheetName val="Sheet1_(2)42"/>
      <sheetName val="hitung_ulang_JEPANG42"/>
      <sheetName val="Monthly_Recap42"/>
      <sheetName val="gp_lama42"/>
      <sheetName val="Permanent_info15"/>
      <sheetName val="Kasus1_43"/>
      <sheetName val="Rekap_Salary43"/>
      <sheetName val="MASA_KERJA43"/>
      <sheetName val="Sheet1_(2)43"/>
      <sheetName val="hitung_ulang_JEPANG43"/>
      <sheetName val="Monthly_Recap43"/>
      <sheetName val="gp_lama43"/>
      <sheetName val="Permanent_info16"/>
      <sheetName val="Kasus1_45"/>
      <sheetName val="Rekap_Salary45"/>
      <sheetName val="MASA_KERJA45"/>
      <sheetName val="Sheet1_(2)45"/>
      <sheetName val="hitung_ulang_JEPANG45"/>
      <sheetName val="Monthly_Recap45"/>
      <sheetName val="gp_lama45"/>
      <sheetName val="Permanent_info18"/>
      <sheetName val="Kasus1_44"/>
      <sheetName val="Rekap_Salary44"/>
      <sheetName val="MASA_KERJA44"/>
      <sheetName val="Sheet1_(2)44"/>
      <sheetName val="hitung_ulang_JEPANG44"/>
      <sheetName val="Monthly_Recap44"/>
      <sheetName val="gp_lama44"/>
      <sheetName val="Permanent_info17"/>
      <sheetName val="Kasus1_46"/>
      <sheetName val="Rekap_Salary46"/>
      <sheetName val="MASA_KERJA46"/>
      <sheetName val="Sheet1_(2)46"/>
      <sheetName val="hitung_ulang_JEPANG46"/>
      <sheetName val="Monthly_Recap46"/>
      <sheetName val="gp_lama46"/>
      <sheetName val="Permanent_info19"/>
      <sheetName val="Kasus1_48"/>
      <sheetName val="Rekap_Salary48"/>
      <sheetName val="MASA_KERJA48"/>
      <sheetName val="Sheet1_(2)48"/>
      <sheetName val="hitung_ulang_JEPANG48"/>
      <sheetName val="Monthly_Recap48"/>
      <sheetName val="gp_lama48"/>
      <sheetName val="Permanent_info21"/>
      <sheetName val="Kasus1_47"/>
      <sheetName val="Rekap_Salary47"/>
      <sheetName val="MASA_KERJA47"/>
      <sheetName val="Sheet1_(2)47"/>
      <sheetName val="hitung_ulang_JEPANG47"/>
      <sheetName val="Monthly_Recap47"/>
      <sheetName val="gp_lama47"/>
      <sheetName val="Permanent_info20"/>
      <sheetName val="Kasus1_49"/>
      <sheetName val="Rekap_Salary49"/>
      <sheetName val="MASA_KERJA49"/>
      <sheetName val="Sheet1_(2)49"/>
      <sheetName val="hitung_ulang_JEPANG49"/>
      <sheetName val="Monthly_Recap49"/>
      <sheetName val="gp_lama49"/>
      <sheetName val="Permanent_info22"/>
      <sheetName val="Kasus1_51"/>
      <sheetName val="Rekap_Salary51"/>
      <sheetName val="MASA_KERJA51"/>
      <sheetName val="Sheet1_(2)51"/>
      <sheetName val="hitung_ulang_JEPANG51"/>
      <sheetName val="Monthly_Recap51"/>
      <sheetName val="gp_lama51"/>
      <sheetName val="Permanent_info24"/>
      <sheetName val="Kasus1_50"/>
      <sheetName val="Rekap_Salary50"/>
      <sheetName val="MASA_KERJA50"/>
      <sheetName val="Sheet1_(2)50"/>
      <sheetName val="hitung_ulang_JEPANG50"/>
      <sheetName val="Monthly_Recap50"/>
      <sheetName val="gp_lama50"/>
      <sheetName val="Permanent_info23"/>
      <sheetName val="Kasus1_52"/>
      <sheetName val="Rekap_Salary52"/>
      <sheetName val="MASA_KERJA52"/>
      <sheetName val="Sheet1_(2)52"/>
      <sheetName val="hitung_ulang_JEPANG52"/>
      <sheetName val="Monthly_Recap52"/>
      <sheetName val="gp_lama52"/>
      <sheetName val="Permanent_info25"/>
      <sheetName val="Kasus1_54"/>
      <sheetName val="Rekap_Salary54"/>
      <sheetName val="MASA_KERJA54"/>
      <sheetName val="Sheet1_(2)54"/>
      <sheetName val="hitung_ulang_JEPANG54"/>
      <sheetName val="Monthly_Recap54"/>
      <sheetName val="gp_lama54"/>
      <sheetName val="Permanent_info27"/>
      <sheetName val="Kasus1_53"/>
      <sheetName val="Rekap_Salary53"/>
      <sheetName val="MASA_KERJA53"/>
      <sheetName val="Sheet1_(2)53"/>
      <sheetName val="hitung_ulang_JEPANG53"/>
      <sheetName val="Monthly_Recap53"/>
      <sheetName val="gp_lama53"/>
      <sheetName val="Permanent_info26"/>
      <sheetName val="Kasus1_55"/>
      <sheetName val="Rekap_Salary55"/>
      <sheetName val="MASA_KERJA55"/>
      <sheetName val="Sheet1_(2)55"/>
      <sheetName val="hitung_ulang_JEPANG55"/>
      <sheetName val="Monthly_Recap55"/>
      <sheetName val="gp_lama55"/>
      <sheetName val="Permanent_info28"/>
      <sheetName val="Kasus1_57"/>
      <sheetName val="Rekap_Salary57"/>
      <sheetName val="MASA_KERJA57"/>
      <sheetName val="Sheet1_(2)57"/>
      <sheetName val="hitung_ulang_JEPANG57"/>
      <sheetName val="Monthly_Recap57"/>
      <sheetName val="gp_lama57"/>
      <sheetName val="Permanent_info30"/>
      <sheetName val="Kasus1_56"/>
      <sheetName val="Rekap_Salary56"/>
      <sheetName val="MASA_KERJA56"/>
      <sheetName val="Sheet1_(2)56"/>
      <sheetName val="hitung_ulang_JEPANG56"/>
      <sheetName val="Monthly_Recap56"/>
      <sheetName val="gp_lama56"/>
      <sheetName val="Permanent_info29"/>
      <sheetName val="Kasus1_58"/>
      <sheetName val="Rekap_Salary58"/>
      <sheetName val="MASA_KERJA58"/>
      <sheetName val="Sheet1_(2)58"/>
      <sheetName val="hitung_ulang_JEPANG58"/>
      <sheetName val="Monthly_Recap58"/>
      <sheetName val="gp_lama58"/>
      <sheetName val="Permanent_info31"/>
      <sheetName val="tabel"/>
      <sheetName val="TB"/>
      <sheetName val="Kasus1_59"/>
      <sheetName val="Rekap_Salary59"/>
      <sheetName val="MASA_KERJA59"/>
      <sheetName val="Sheet1_(2)59"/>
      <sheetName val="hitung_ulang_JEPANG59"/>
      <sheetName val="Monthly_Recap59"/>
      <sheetName val="gp_lama59"/>
      <sheetName val="Permanent_info32"/>
      <sheetName val="Source Data"/>
      <sheetName val="Kasus1_61"/>
      <sheetName val="Rekap_Salary61"/>
      <sheetName val="MASA_KERJA61"/>
      <sheetName val="Sheet1_(2)61"/>
      <sheetName val="hitung_ulang_JEPANG61"/>
      <sheetName val="Monthly_Recap61"/>
      <sheetName val="gp_lama61"/>
      <sheetName val="Permanent_info34"/>
      <sheetName val="Kasus1_60"/>
      <sheetName val="Rekap_Salary60"/>
      <sheetName val="MASA_KERJA60"/>
      <sheetName val="Sheet1_(2)60"/>
      <sheetName val="hitung_ulang_JEPANG60"/>
      <sheetName val="Monthly_Recap60"/>
      <sheetName val="gp_lama60"/>
      <sheetName val="Permanent_info33"/>
      <sheetName val="Kasus1_62"/>
      <sheetName val="Data WP"/>
      <sheetName val="Rekap_Salary62"/>
      <sheetName val="MASA_KERJA62"/>
      <sheetName val="Sheet1_(2)62"/>
      <sheetName val="hitung_ulang_JEPANG62"/>
      <sheetName val="Monthly_Recap62"/>
      <sheetName val="gp_lama62"/>
      <sheetName val="Permanent_info35"/>
      <sheetName val="DEPK2003"/>
      <sheetName val="Sheet5"/>
      <sheetName val="Input Faktur"/>
      <sheetName val="Faktur Kwitansi"/>
      <sheetName val="pajak"/>
      <sheetName val="july"/>
      <sheetName val="june"/>
      <sheetName val="Workings"/>
      <sheetName val="Forecast"/>
      <sheetName val="General Info"/>
      <sheetName val="WBS1"/>
      <sheetName val="P&amp;L98"/>
      <sheetName val="Kasus1_63"/>
      <sheetName val="Rekap_Salary63"/>
      <sheetName val="MASA_KERJA63"/>
      <sheetName val="Sheet1_(2)63"/>
      <sheetName val="hitung_ulang_JEPANG63"/>
      <sheetName val="Hal_22"/>
      <sheetName val="Buk-Pot21_FINAL2"/>
      <sheetName val="PO_ADM1"/>
      <sheetName val="Permanent_info36"/>
      <sheetName val="ACC_CODE"/>
      <sheetName val="Irregular_Income"/>
      <sheetName val="FE-1770_P1"/>
      <sheetName val="6_mth_TAC"/>
      <sheetName val="6_mth_DTA"/>
      <sheetName val="Monthly_Recap63"/>
      <sheetName val="gp_lama63"/>
      <sheetName val="Account_Code"/>
      <sheetName val="Source_Data"/>
      <sheetName val="Input_Faktur"/>
      <sheetName val="Faktur_Kwitansi"/>
      <sheetName val="General_Info"/>
      <sheetName val="Customize Your Purchase Order"/>
      <sheetName val="5"/>
      <sheetName val="SDE"/>
      <sheetName val="Agu"/>
      <sheetName val="a"/>
      <sheetName val="TBM"/>
      <sheetName val="Kasus1_65"/>
      <sheetName val="Rekap_Salary65"/>
      <sheetName val="MASA_KERJA65"/>
      <sheetName val="Sheet1_(2)65"/>
      <sheetName val="hitung_ulang_JEPANG65"/>
      <sheetName val="Hal_24"/>
      <sheetName val="Buk-Pot21_FINAL4"/>
      <sheetName val="PO_ADM3"/>
      <sheetName val="Permanent_info38"/>
      <sheetName val="ACC_CODE2"/>
      <sheetName val="Irregular_Income2"/>
      <sheetName val="FE-1770_P12"/>
      <sheetName val="6_mth_TAC2"/>
      <sheetName val="6_mth_DTA2"/>
      <sheetName val="Monthly_Recap65"/>
      <sheetName val="gp_lama65"/>
      <sheetName val="Account_Code2"/>
      <sheetName val="Source_Data2"/>
      <sheetName val="Data_WP1"/>
      <sheetName val="Input_Faktur2"/>
      <sheetName val="Faktur_Kwitansi2"/>
      <sheetName val="General_Info2"/>
      <sheetName val="Customize_Your_Purchase_Order1"/>
      <sheetName val="Kasus1_64"/>
      <sheetName val="Rekap_Salary64"/>
      <sheetName val="MASA_KERJA64"/>
      <sheetName val="Sheet1_(2)64"/>
      <sheetName val="hitung_ulang_JEPANG64"/>
      <sheetName val="Hal_23"/>
      <sheetName val="Buk-Pot21_FINAL3"/>
      <sheetName val="PO_ADM2"/>
      <sheetName val="Permanent_info37"/>
      <sheetName val="ACC_CODE1"/>
      <sheetName val="Irregular_Income1"/>
      <sheetName val="FE-1770_P11"/>
      <sheetName val="6_mth_TAC1"/>
      <sheetName val="6_mth_DTA1"/>
      <sheetName val="Monthly_Recap64"/>
      <sheetName val="gp_lama64"/>
      <sheetName val="Account_Code1"/>
      <sheetName val="Source_Data1"/>
      <sheetName val="Data_WP"/>
      <sheetName val="Input_Faktur1"/>
      <sheetName val="Faktur_Kwitansi1"/>
      <sheetName val="General_Info1"/>
      <sheetName val="Customize_Your_Purchase_Order"/>
      <sheetName val="data (2)"/>
      <sheetName val="SUMMARY"/>
      <sheetName val="Mar"/>
      <sheetName val="RACK (CB)new"/>
      <sheetName val="E2"/>
      <sheetName val="Monthly RecapLO"/>
      <sheetName val="Form Revisi"/>
      <sheetName val="form checklist (2)"/>
      <sheetName val="Table Prepaid 2019"/>
      <sheetName val="Amortisasi Unearned Rev"/>
      <sheetName val="Comb"/>
      <sheetName val="PL"/>
      <sheetName val="BalanceSheet"/>
      <sheetName val="Fixed Asset"/>
      <sheetName val="IntangA"/>
      <sheetName val="BS"/>
      <sheetName val="Other Income (Expense)"/>
      <sheetName val="PL (2)"/>
      <sheetName val="Sales Cost"/>
      <sheetName val="Cash Planning"/>
      <sheetName val="Cash Flow"/>
      <sheetName val="CF REV 1409"/>
      <sheetName val="AR "/>
      <sheetName val="AR Revisi"/>
      <sheetName val="AR 1409"/>
      <sheetName val="AR Dec-BOD"/>
      <sheetName val="AR Aging-Mar"/>
      <sheetName val="AR-Aging Apr"/>
      <sheetName val="May"/>
      <sheetName val="CF April"/>
      <sheetName val="Client Agreement List"/>
      <sheetName val="AR1010-1"/>
      <sheetName val=""/>
      <sheetName val="Monthly_RecapLO"/>
      <sheetName val="data_(2)"/>
      <sheetName val="hitung_ulang_JEPANG2_________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C"/>
      <sheetName val="BS-P"/>
      <sheetName val="IS-C"/>
      <sheetName val="IS-P"/>
      <sheetName val="SE-C"/>
      <sheetName val="SE-P"/>
      <sheetName val="CF-C"/>
      <sheetName val="CF-P"/>
      <sheetName val="Mutation CF"/>
      <sheetName val="Detail-C+P"/>
      <sheetName val="Catatan-C"/>
      <sheetName val="Catatan-P"/>
      <sheetName val="Investment-P"/>
      <sheetName val="FA-C"/>
      <sheetName val="FA-P"/>
      <sheetName val="Retained Earnings"/>
      <sheetName val="Intercompany-C"/>
      <sheetName val="Intercompany-P"/>
      <sheetName val="Restructuring"/>
      <sheetName val="Foreign Currency-C"/>
      <sheetName val="Foreign Currency-P"/>
      <sheetName val="Allowance-P"/>
      <sheetName val="Freeze+Resticted fund"/>
      <sheetName val="Consolidation Entries"/>
      <sheetName val="Combine Entries"/>
      <sheetName val="CAJE-CRJE BLOK I"/>
      <sheetName val="EXCHANGE RATE"/>
      <sheetName val="FA-C (2)"/>
      <sheetName val="Freeze Account"/>
      <sheetName val="GT_Custom"/>
      <sheetName val="BS-RTI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DIT"/>
      <sheetName val="Rugi Fiskal"/>
      <sheetName val="Mutation CF-BE"/>
      <sheetName val="ID-CF-RTI"/>
      <sheetName val="Loans-Principal"/>
      <sheetName val="Gain on Restructuring"/>
      <sheetName val="SUMMARY RATIO"/>
      <sheetName val="Analyt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ิธีการบันทึกข้อมูล"/>
      <sheetName val="RBL_Asset"/>
      <sheetName val="Asset Class"/>
      <sheetName val="Cost Center"/>
      <sheetName val="Location"/>
      <sheetName val="AssetType"/>
      <sheetName val="License BOI"/>
      <sheetName val="AssetStatus"/>
      <sheetName val="Depre. 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"/>
    </sheetNames>
    <sheetDataSet>
      <sheetData sheetId="0"/>
      <sheetData sheetId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ermanent info"/>
      <sheetName val="@INA"/>
      <sheetName val="F1771"/>
      <sheetName val="F1771-I"/>
      <sheetName val="F1771-II"/>
      <sheetName val="F1771-III"/>
      <sheetName val="F1771-IV"/>
      <sheetName val="F1771-V"/>
      <sheetName val="Attachment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reconciliation"/>
      <sheetName val="Marshal -1"/>
      <sheetName val="Salary Recon"/>
      <sheetName val="Ex-Rate"/>
      <sheetName val="RATE-NEW"/>
      <sheetName val="Ford Options"/>
      <sheetName val="PROLOSS"/>
      <sheetName val="CAFL "/>
      <sheetName val="Master"/>
      <sheetName val="I.4.1 (2)"/>
      <sheetName val="ADD JAN-DEC09"/>
      <sheetName val="General"/>
      <sheetName val="Permanent_info"/>
      <sheetName val="@PPh_23_(prepaid)"/>
      <sheetName val="@lam_5"/>
      <sheetName val="@lam-5_1"/>
      <sheetName val="@lam-5_2-Ind"/>
      <sheetName val="@Disp__FA"/>
      <sheetName val="@Fisca_LN"/>
      <sheetName val="Art25_calc"/>
      <sheetName val="Saldo Akhir"/>
      <sheetName val="LAP-FISKAL"/>
      <sheetName val="TB"/>
      <sheetName val="SALDO_BD"/>
      <sheetName val="GeneralInfo"/>
      <sheetName val="FE-1771$.P1"/>
      <sheetName val="FRN"/>
      <sheetName val="bre"/>
      <sheetName val="PROD"/>
      <sheetName val="new IFS format"/>
      <sheetName val="TBM"/>
      <sheetName val="marshall spt 1771 1998 ke satu"/>
      <sheetName val="OPNAME GOOD STOCK"/>
      <sheetName val="OPNAME SALES"/>
      <sheetName val="CIP"/>
      <sheetName val="P&amp;L"/>
      <sheetName val="Ship"/>
      <sheetName val="A"/>
      <sheetName val="CPO 16-9-TID "/>
      <sheetName val="Retail Spider"/>
      <sheetName val="Opex(1)"/>
      <sheetName val="Permanent_info1"/>
      <sheetName val="@PPh_23_(prepaid)1"/>
      <sheetName val="@lam_51"/>
      <sheetName val="@lam-5_11"/>
      <sheetName val="@lam-5_2-Ind1"/>
      <sheetName val="@Disp__FA1"/>
      <sheetName val="@Fisca_LN1"/>
      <sheetName val="Art25_calc1"/>
      <sheetName val="Marshal_-1"/>
      <sheetName val="Salary_Recon"/>
      <sheetName val="Ford_Options"/>
      <sheetName val="ADD_JAN-DEC09"/>
      <sheetName val="I_4_1_(2)"/>
      <sheetName val="CAFL_"/>
      <sheetName val="Saldo_Akhir"/>
      <sheetName val="Analysis"/>
      <sheetName val="Income Statement"/>
      <sheetName val="Profile"/>
      <sheetName val="Balance Sheet"/>
      <sheetName val="Employees"/>
      <sheetName val="pl_items"/>
      <sheetName val="Bandung"/>
      <sheetName val="OPNAME BAD STOCK"/>
      <sheetName val="BTR"/>
      <sheetName val="BGR"/>
      <sheetName val="BKS"/>
      <sheetName val="Permanent_info2"/>
      <sheetName val="@PPh_23_(prepaid)2"/>
      <sheetName val="@lam_52"/>
      <sheetName val="@lam-5_12"/>
      <sheetName val="@lam-5_2-Ind2"/>
      <sheetName val="@Disp__FA2"/>
      <sheetName val="@Fisca_LN2"/>
      <sheetName val="Art25_calc2"/>
      <sheetName val="Marshal_-11"/>
      <sheetName val="Salary_Recon1"/>
      <sheetName val="Ford_Options1"/>
      <sheetName val="ADD_JAN-DEC091"/>
      <sheetName val="I_4_1_(2)1"/>
      <sheetName val="CAFL_1"/>
      <sheetName val="Saldo_Akhir1"/>
      <sheetName val="_11__SEC_02"/>
      <sheetName val="STR"/>
      <sheetName val="Price"/>
      <sheetName val="Invesment"/>
      <sheetName val="Basic_Information"/>
      <sheetName val="N2.2"/>
      <sheetName val="Sheet1"/>
      <sheetName val="Penjualan"/>
      <sheetName val="FE-1771$_P1"/>
      <sheetName val="new_IFS_format"/>
      <sheetName val="marshall_spt_1771_1998_ke_satu"/>
      <sheetName val="OPNAME_GOOD_STOCK"/>
      <sheetName val="OPNAME_SALES"/>
      <sheetName val="CPO_16-9-TID_"/>
      <sheetName val="Retail_Spider"/>
      <sheetName val="Income_Statement"/>
      <sheetName val="Balance_Sheet"/>
      <sheetName val="OPNAME_BAD_STOCK"/>
      <sheetName val="N2_2"/>
      <sheetName val="NH-Badan"/>
      <sheetName val="SheetGMP"/>
      <sheetName val="SheetGMT"/>
      <sheetName val="Alamat"/>
      <sheetName val="Ranges"/>
      <sheetName val="ID MENADO"/>
      <sheetName val="CURRENCY C.O.A."/>
      <sheetName val="Link"/>
      <sheetName val="Lead"/>
      <sheetName val="JAN 08"/>
      <sheetName val="Permanent_info3"/>
      <sheetName val="@PPh_23_(prepaid)3"/>
      <sheetName val="@lam_53"/>
      <sheetName val="@lam-5_13"/>
      <sheetName val="@lam-5_2-Ind3"/>
      <sheetName val="@Disp__FA3"/>
      <sheetName val="@Fisca_LN3"/>
      <sheetName val="Art25_calc3"/>
      <sheetName val="Marshal_-12"/>
      <sheetName val="Salary_Recon2"/>
      <sheetName val="Ford_Options2"/>
      <sheetName val="ADD_JAN-DEC092"/>
      <sheetName val="I_4_1_(2)2"/>
      <sheetName val="CAFL_2"/>
      <sheetName val="Saldo_Akhir2"/>
      <sheetName val="FE-1771$_P11"/>
      <sheetName val="new_IFS_format1"/>
      <sheetName val="marshall_spt_1771_1998_ke_satu1"/>
      <sheetName val="OPNAME_GOOD_STOCK1"/>
      <sheetName val="OPNAME_SALES1"/>
      <sheetName val="CPO_16-9-TID_1"/>
      <sheetName val="Retail_Spider1"/>
      <sheetName val="OPNAME_BAD_STOCK1"/>
      <sheetName val="Income_Statement1"/>
      <sheetName val="Balance_Sheet1"/>
      <sheetName val="N2_21"/>
      <sheetName val="GL"/>
      <sheetName val="DATA WP"/>
      <sheetName val="id"/>
      <sheetName val="OFF"/>
      <sheetName val="Job Sheet"/>
      <sheetName val="harsat"/>
      <sheetName val="d_com"/>
      <sheetName val="panther"/>
      <sheetName val="BIA-F"/>
      <sheetName val="TABLE"/>
      <sheetName val="Data Costs"/>
      <sheetName val="Control Panel"/>
      <sheetName val="Others"/>
      <sheetName val="Overheads"/>
      <sheetName val="3GP&amp;Ss features"/>
      <sheetName val="Info"/>
      <sheetName val="Margins"/>
      <sheetName val="load"/>
      <sheetName val="HQ"/>
      <sheetName val="Calculation"/>
      <sheetName val="EmpData"/>
      <sheetName val="B2 (Act by Mth) Total"/>
      <sheetName val="2003 Bgt"/>
      <sheetName val="HO"/>
      <sheetName val="Tran0104"/>
      <sheetName val="mar01-strategy"/>
      <sheetName val="Data"/>
      <sheetName val="Tables"/>
      <sheetName val="Center"/>
      <sheetName val="Company"/>
      <sheetName val="License"/>
      <sheetName val="Account"/>
      <sheetName val="Cover"/>
      <sheetName val="RAB"/>
      <sheetName val="MAP"/>
      <sheetName val="BASIC"/>
      <sheetName val="UNIT"/>
      <sheetName val="JUR"/>
      <sheetName val="REFUO"/>
      <sheetName val="LK"/>
      <sheetName val="KONS"/>
      <sheetName val="tax-ss"/>
      <sheetName val="LR"/>
      <sheetName val="Valuation"/>
      <sheetName val="TM"/>
      <sheetName val="HTI"/>
      <sheetName val="Table Array"/>
      <sheetName val="Total"/>
      <sheetName val="SE-C"/>
      <sheetName val="As"/>
      <sheetName val="Ex Rate"/>
      <sheetName val="ID_MENADO"/>
      <sheetName val="CURRENCY_C_O_A_"/>
      <sheetName val="JAN_08"/>
      <sheetName val="PROJ CASH"/>
      <sheetName val="Cover Sheet"/>
      <sheetName val="PRO"/>
      <sheetName val="Exchange Rates"/>
      <sheetName val="K2-FA"/>
      <sheetName val="HK rates"/>
      <sheetName val="COA"/>
      <sheetName val="Bilanz Bus.plan 2002"/>
      <sheetName val="Introduction"/>
      <sheetName val="data_val"/>
      <sheetName val="List"/>
      <sheetName val="Beton(B)"/>
      <sheetName val="Uph&amp;bhn"/>
      <sheetName val="Sheet3"/>
      <sheetName val="Permanent_info4"/>
      <sheetName val="@PPh_23_(prepaid)4"/>
      <sheetName val="@lam_54"/>
      <sheetName val="@lam-5_14"/>
      <sheetName val="@lam-5_2-Ind4"/>
      <sheetName val="@Disp__FA4"/>
      <sheetName val="@Fisca_LN4"/>
      <sheetName val="Art25_calc4"/>
      <sheetName val="Marshal_-13"/>
      <sheetName val="Salary_Recon3"/>
      <sheetName val="Ford_Options3"/>
      <sheetName val="ADD_JAN-DEC093"/>
      <sheetName val="I_4_1_(2)3"/>
      <sheetName val="CAFL_3"/>
      <sheetName val="FE-1771$_P12"/>
      <sheetName val="new_IFS_format2"/>
      <sheetName val="OPNAME_GOOD_STOCK2"/>
      <sheetName val="OPNAME_SALES2"/>
      <sheetName val="marshall_spt_1771_1998_ke_satu2"/>
      <sheetName val="CPO_16-9-TID_2"/>
      <sheetName val="Retail_Spider2"/>
      <sheetName val="Saldo_Akhir3"/>
      <sheetName val="Income_Statement2"/>
      <sheetName val="Balance_Sheet2"/>
      <sheetName val="OPNAME_BAD_STOCK2"/>
      <sheetName val="N2_22"/>
      <sheetName val="EXC-R2005"/>
      <sheetName val="9. DATA ASURANSI"/>
      <sheetName val="1. DATA BUYER"/>
      <sheetName val="budget idr"/>
      <sheetName val="STOCK_AWAL"/>
      <sheetName val="BELI JULI"/>
      <sheetName val="HPP_JUNI"/>
      <sheetName val="KASUS8"/>
      <sheetName val="KASUS10"/>
      <sheetName val="WP PASIVA"/>
      <sheetName val="WP LABA RUGI"/>
      <sheetName val="G4"/>
      <sheetName val="I4"/>
      <sheetName val="G2"/>
      <sheetName val="P_Par"/>
      <sheetName val="H2b"/>
      <sheetName val="Q1"/>
      <sheetName val="P_Prt"/>
      <sheetName val="E2"/>
      <sheetName val="D2b"/>
      <sheetName val="H3"/>
      <sheetName val="O1"/>
      <sheetName val="P1"/>
      <sheetName val="D2a"/>
      <sheetName val="P2"/>
      <sheetName val="H2a"/>
      <sheetName val="B1a"/>
      <sheetName val="G1"/>
      <sheetName val="H4"/>
      <sheetName val="R"/>
      <sheetName val="B2b"/>
      <sheetName val="O2"/>
      <sheetName val="FA2006"/>
      <sheetName val="Lists"/>
      <sheetName val="61008"/>
      <sheetName val="Consolidated"/>
      <sheetName val="MasterSheet"/>
      <sheetName val="Jurnal"/>
      <sheetName val="Faktor"/>
      <sheetName val="HRG"/>
      <sheetName val="EVAL-ANAL"/>
      <sheetName val="RKP"/>
      <sheetName val="div-2"/>
      <sheetName val="Permanent_info5"/>
      <sheetName val="@PPh_23_(prepaid)5"/>
      <sheetName val="@lam_55"/>
      <sheetName val="@lam-5_15"/>
      <sheetName val="@lam-5_2-Ind5"/>
      <sheetName val="@Disp__FA5"/>
      <sheetName val="@Fisca_LN5"/>
      <sheetName val="Art25_calc5"/>
      <sheetName val="Marshal_-14"/>
      <sheetName val="Salary_Recon4"/>
      <sheetName val="Ford_Options4"/>
      <sheetName val="ADD_JAN-DEC094"/>
      <sheetName val="I_4_1_(2)4"/>
      <sheetName val="CAFL_4"/>
      <sheetName val="FE-1771$_P13"/>
      <sheetName val="new_IFS_format3"/>
      <sheetName val="OPNAME_GOOD_STOCK3"/>
      <sheetName val="OPNAME_SALES3"/>
      <sheetName val="marshall_spt_1771_1998_ke_satu3"/>
      <sheetName val="CPO_16-9-TID_3"/>
      <sheetName val="Retail_Spider3"/>
      <sheetName val="Saldo_Akhir4"/>
      <sheetName val="Income_Statement3"/>
      <sheetName val="Balance_Sheet3"/>
      <sheetName val="OPNAME_BAD_STOCK3"/>
      <sheetName val="N2_23"/>
      <sheetName val="ID_MENADO1"/>
      <sheetName val="CURRENCY_C_O_A_1"/>
      <sheetName val="JAN_081"/>
      <sheetName val="Menu"/>
      <sheetName val="Option List"/>
      <sheetName val="database"/>
      <sheetName val="FUNGSI"/>
      <sheetName val="Traf&amp;Genst"/>
      <sheetName val="ANALISA ALAT BERAT"/>
      <sheetName val="Harsat Bahan"/>
      <sheetName val="Ana"/>
      <sheetName val="Harsat Upah"/>
      <sheetName val="jpr"/>
      <sheetName val="Entry  HTM"/>
      <sheetName val="bs"/>
      <sheetName val="Kartu"/>
      <sheetName val="Farmer-Pond-Monodon"/>
      <sheetName val="Dat-Bgt"/>
      <sheetName val="Discounts"/>
      <sheetName val="Bukti Potong"/>
      <sheetName val="Setup"/>
      <sheetName val="NNPL_P1"/>
      <sheetName val="Rev&amp;Op Costs"/>
      <sheetName val="Inputs"/>
      <sheetName val="BGT 07"/>
      <sheetName val="DAF-BAHAN"/>
      <sheetName val="Parameter"/>
      <sheetName val="DAFTAR HARGA SATUAN MATERIAL"/>
      <sheetName val="HARGA AT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DTKP"/>
      <sheetName val="VCV-BE-TONG"/>
      <sheetName val="Analisa Gabungan"/>
      <sheetName val="MALE"/>
      <sheetName val="IND"/>
      <sheetName val="Sum All"/>
      <sheetName val="BPW-Europe"/>
      <sheetName val="Rate"/>
      <sheetName val="Altman Z Score"/>
      <sheetName val="MAP2"/>
      <sheetName val="61004"/>
      <sheetName val="61005"/>
      <sheetName val="61006"/>
      <sheetName val="61007"/>
      <sheetName val="anal-mpu"/>
      <sheetName val="BP1_23"/>
      <sheetName val="HARGA MATERIAL"/>
      <sheetName val="PriceList"/>
      <sheetName val="DKH-S3"/>
      <sheetName val="An HarSatPek"/>
      <sheetName val="Sat Bah &amp; Up"/>
      <sheetName val="Struk"/>
      <sheetName val="hasat"/>
      <sheetName val="H.Satuan"/>
      <sheetName val="details"/>
      <sheetName val="FINISHING"/>
      <sheetName val="sdm"/>
      <sheetName val="DaftarHarga"/>
      <sheetName val="Monitor"/>
      <sheetName val="Anls Hrg Sat"/>
      <sheetName val="Daf Bahan"/>
      <sheetName val="DAF-4"/>
      <sheetName val="Harsat.Alat"/>
      <sheetName val="MAPP"/>
      <sheetName val="RPP01 6"/>
      <sheetName val="BasicPrice"/>
      <sheetName val="DKH"/>
      <sheetName val="610.05"/>
      <sheetName val="610.06"/>
      <sheetName val="610.07"/>
      <sheetName val="610.08"/>
      <sheetName val="HS"/>
      <sheetName val="Data_Umum"/>
      <sheetName val="Danamon LK"/>
      <sheetName val="HRG SAT"/>
      <sheetName val="Don'Delete"/>
      <sheetName val="Settings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PARA"/>
      <sheetName val="Detail"/>
      <sheetName val="KODE"/>
      <sheetName val="asset"/>
      <sheetName val="Original Sheet"/>
      <sheetName val="#511BkRec"/>
      <sheetName val="#511-DEC97"/>
      <sheetName val="COSTS 36_26_20_13"/>
      <sheetName val="S_CURVE"/>
      <sheetName val="Analisa"/>
      <sheetName val="daftar upah"/>
      <sheetName val="BK-PU"/>
      <sheetName val="610.04"/>
      <sheetName val="Urugan Pasir"/>
      <sheetName val="Analisa Hrg Sat "/>
      <sheetName val="DaftarHS"/>
      <sheetName val="Enc14"/>
      <sheetName val="Analisa-1"/>
      <sheetName val="P&amp;L98"/>
      <sheetName val="OT"/>
      <sheetName val="Consol"/>
      <sheetName val="FP_JUAL_"/>
      <sheetName val="Calendar (2)"/>
      <sheetName val="Bgt"/>
      <sheetName val="CRA-Detail"/>
      <sheetName val="206 Kendaraan"/>
      <sheetName val="MEytd"/>
      <sheetName val="Monthly"/>
      <sheetName val="offices"/>
      <sheetName val="5 - Cash Flow"/>
      <sheetName val="Summary"/>
      <sheetName val="April"/>
      <sheetName val="Table_Array"/>
      <sheetName val="Ex_Rate"/>
      <sheetName val="PROJ_CASH"/>
      <sheetName val="Cover_Sheet"/>
      <sheetName val="Exchange_Rates"/>
      <sheetName val="HK_rates"/>
      <sheetName val="Bilanz_Bus_plan_2002"/>
      <sheetName val="BELI_JULI"/>
      <sheetName val="9__DATA_ASURANSI"/>
      <sheetName val="1__DATA_BUYER"/>
      <sheetName val="Entry__HTM"/>
      <sheetName val="ANALISA_ALAT_BERAT"/>
      <sheetName val="Harsat_Bahan"/>
      <sheetName val="Harsat_Upah"/>
      <sheetName val="DATA_WP"/>
      <sheetName val="Job_Sheet"/>
      <sheetName val="Data_Costs"/>
      <sheetName val="Control_Panel"/>
      <sheetName val="3GP&amp;Ss_features"/>
      <sheetName val="B2_(Act_by_Mth)_Total"/>
      <sheetName val="2003_Bgt"/>
      <sheetName val="MacPro"/>
      <sheetName val="PERFORMANCE"/>
      <sheetName val="HB "/>
      <sheetName val="Rinc"/>
      <sheetName val="Prex"/>
      <sheetName val="Capex"/>
      <sheetName val="Inventory&amp;Purchases"/>
      <sheetName val="Sales GA"/>
      <sheetName val="COGS TP"/>
      <sheetName val="Opex"/>
      <sheetName val="Production Program"/>
      <sheetName val="analis"/>
      <sheetName val="Bill-2"/>
      <sheetName val="rumus"/>
      <sheetName val="HB_"/>
      <sheetName val="ANALISA_ALAT_BERAT1"/>
      <sheetName val="Harsat_Bahan1"/>
      <sheetName val="Harsat_Upah1"/>
      <sheetName val="ID_MENADO2"/>
      <sheetName val="CURRENCY_C_O_A_2"/>
      <sheetName val="JAN_082"/>
      <sheetName val="Table_Array1"/>
      <sheetName val="Ex_Rate1"/>
      <sheetName val="PROJ_CASH1"/>
      <sheetName val="Cover_Sheet1"/>
      <sheetName val="Exchange_Rates1"/>
      <sheetName val="HK_rates1"/>
      <sheetName val="Bilanz_Bus_plan_20021"/>
      <sheetName val="BELI_JULI1"/>
      <sheetName val="9__DATA_ASURANSI1"/>
      <sheetName val="1__DATA_BUYER1"/>
      <sheetName val="Entry__HTM1"/>
      <sheetName val="HB_1"/>
      <sheetName val="DATA_WP1"/>
      <sheetName val="Job_Sheet1"/>
      <sheetName val="Data_Costs1"/>
      <sheetName val="Control_Panel1"/>
      <sheetName val="3GP&amp;Ss_features1"/>
      <sheetName val="B2_(Act_by_Mth)_Total1"/>
      <sheetName val="2003_Bgt1"/>
      <sheetName val="Permanent_info6"/>
      <sheetName val="@PPh_23_(prepaid)6"/>
      <sheetName val="@lam_56"/>
      <sheetName val="@lam-5_16"/>
      <sheetName val="@lam-5_2-Ind6"/>
      <sheetName val="@Disp__FA6"/>
      <sheetName val="@Fisca_LN6"/>
      <sheetName val="Art25_calc6"/>
      <sheetName val="Marshal_-15"/>
      <sheetName val="Salary_Recon5"/>
      <sheetName val="Ford_Options5"/>
      <sheetName val="ADD_JAN-DEC095"/>
      <sheetName val="I_4_1_(2)5"/>
      <sheetName val="CAFL_5"/>
      <sheetName val="FE-1771$_P14"/>
      <sheetName val="new_IFS_format4"/>
      <sheetName val="marshall_spt_1771_1998_ke_satu4"/>
      <sheetName val="OPNAME_GOOD_STOCK4"/>
      <sheetName val="OPNAME_SALES4"/>
      <sheetName val="CPO_16-9-TID_4"/>
      <sheetName val="Retail_Spider4"/>
      <sheetName val="ANALISA_ALAT_BERAT2"/>
      <sheetName val="Harsat_Bahan2"/>
      <sheetName val="Harsat_Upah2"/>
      <sheetName val="Saldo_Akhir5"/>
      <sheetName val="Income_Statement4"/>
      <sheetName val="Balance_Sheet4"/>
      <sheetName val="OPNAME_BAD_STOCK4"/>
      <sheetName val="N2_24"/>
      <sheetName val="ID_MENADO3"/>
      <sheetName val="CURRENCY_C_O_A_3"/>
      <sheetName val="JAN_083"/>
      <sheetName val="Table_Array2"/>
      <sheetName val="Ex_Rate2"/>
      <sheetName val="PROJ_CASH2"/>
      <sheetName val="Cover_Sheet2"/>
      <sheetName val="Exchange_Rates2"/>
      <sheetName val="HK_rates2"/>
      <sheetName val="Bilanz_Bus_plan_20022"/>
      <sheetName val="BELI_JULI2"/>
      <sheetName val="9__DATA_ASURANSI2"/>
      <sheetName val="1__DATA_BUYER2"/>
      <sheetName val="Entry__HTM2"/>
      <sheetName val="HB_2"/>
      <sheetName val="DATA_WP2"/>
      <sheetName val="Job_Sheet2"/>
      <sheetName val="Data_Costs2"/>
      <sheetName val="Control_Panel2"/>
      <sheetName val="3GP&amp;Ss_features2"/>
      <sheetName val="B2_(Act_by_Mth)_Total2"/>
      <sheetName val="2003_Bgt2"/>
      <sheetName val="Permanent_info7"/>
      <sheetName val="@PPh_23_(prepaid)7"/>
      <sheetName val="@lam_57"/>
      <sheetName val="@lam-5_17"/>
      <sheetName val="@lam-5_2-Ind7"/>
      <sheetName val="@Disp__FA7"/>
      <sheetName val="@Fisca_LN7"/>
      <sheetName val="Art25_calc7"/>
      <sheetName val="Marshal_-16"/>
      <sheetName val="Salary_Recon6"/>
      <sheetName val="Ford_Options6"/>
      <sheetName val="ADD_JAN-DEC096"/>
      <sheetName val="I_4_1_(2)6"/>
      <sheetName val="CAFL_6"/>
      <sheetName val="FE-1771$_P15"/>
      <sheetName val="new_IFS_format5"/>
      <sheetName val="marshall_spt_1771_1998_ke_satu5"/>
      <sheetName val="OPNAME_GOOD_STOCK5"/>
      <sheetName val="OPNAME_SALES5"/>
      <sheetName val="CPO_16-9-TID_5"/>
      <sheetName val="Retail_Spider5"/>
      <sheetName val="ANALISA_ALAT_BERAT3"/>
      <sheetName val="Harsat_Bahan3"/>
      <sheetName val="Harsat_Upah3"/>
      <sheetName val="Saldo_Akhir6"/>
      <sheetName val="Income_Statement5"/>
      <sheetName val="Balance_Sheet5"/>
      <sheetName val="OPNAME_BAD_STOCK5"/>
      <sheetName val="N2_25"/>
      <sheetName val="ID_MENADO4"/>
      <sheetName val="CURRENCY_C_O_A_4"/>
      <sheetName val="JAN_084"/>
      <sheetName val="Table_Array3"/>
      <sheetName val="Ex_Rate3"/>
      <sheetName val="PROJ_CASH3"/>
      <sheetName val="Cover_Sheet3"/>
      <sheetName val="Exchange_Rates3"/>
      <sheetName val="HK_rates3"/>
      <sheetName val="Bilanz_Bus_plan_20023"/>
      <sheetName val="BELI_JULI3"/>
      <sheetName val="9__DATA_ASURANSI3"/>
      <sheetName val="1__DATA_BUYER3"/>
      <sheetName val="Entry__HTM3"/>
      <sheetName val="HB_3"/>
      <sheetName val="DATA_WP3"/>
      <sheetName val="Job_Sheet3"/>
      <sheetName val="Data_Costs3"/>
      <sheetName val="Control_Panel3"/>
      <sheetName val="3GP&amp;Ss_features3"/>
      <sheetName val="B2_(Act_by_Mth)_Total3"/>
      <sheetName val="2003_Bgt3"/>
      <sheetName val="Permanent_info9"/>
      <sheetName val="@PPh_23_(prepaid)9"/>
      <sheetName val="@lam_59"/>
      <sheetName val="@lam-5_19"/>
      <sheetName val="@lam-5_2-Ind9"/>
      <sheetName val="@Disp__FA9"/>
      <sheetName val="@Fisca_LN9"/>
      <sheetName val="Art25_calc9"/>
      <sheetName val="Marshal_-18"/>
      <sheetName val="Salary_Recon8"/>
      <sheetName val="Ford_Options8"/>
      <sheetName val="ADD_JAN-DEC098"/>
      <sheetName val="I_4_1_(2)8"/>
      <sheetName val="CAFL_8"/>
      <sheetName val="FE-1771$_P17"/>
      <sheetName val="Grand Total"/>
      <sheetName val="North Region"/>
      <sheetName val="South Region"/>
      <sheetName val="5611 Lead"/>
      <sheetName val="Links"/>
      <sheetName val="RT"/>
      <sheetName val="HARGA ALAT"/>
      <sheetName val="Fixset"/>
      <sheetName val="Permata (3)"/>
      <sheetName val="LIPPO Interest"/>
      <sheetName val="5 Analysis"/>
      <sheetName val="TB DEC 15"/>
      <sheetName val="KOMP"/>
      <sheetName val="new_IFS_format7"/>
      <sheetName val="marshall_spt_1771_1998_ke_satu7"/>
      <sheetName val="OPNAME_GOOD_STOCK7"/>
      <sheetName val="OPNAME_SALES7"/>
      <sheetName val="CPO_16-9-TID_7"/>
      <sheetName val="Retail_Spider7"/>
      <sheetName val="ANALISA_ALAT_BERAT5"/>
      <sheetName val="Harsat_Bahan5"/>
      <sheetName val="Harsat_Upah5"/>
      <sheetName val="Saldo_Akhir8"/>
      <sheetName val="Income_Statement7"/>
      <sheetName val="Balance_Sheet7"/>
      <sheetName val="OPNAME_BAD_STOCK7"/>
      <sheetName val="N2_27"/>
      <sheetName val="ID_MENADO6"/>
      <sheetName val="CURRENCY_C_O_A_6"/>
      <sheetName val="JAN_086"/>
      <sheetName val="Table_Array5"/>
      <sheetName val="Ex_Rate5"/>
      <sheetName val="PROJ_CASH5"/>
      <sheetName val="Cover_Sheet5"/>
      <sheetName val="Exchange_Rates5"/>
      <sheetName val="HK_rates5"/>
      <sheetName val="Bilanz_Bus_plan_20025"/>
      <sheetName val="BELI_JULI5"/>
      <sheetName val="9__DATA_ASURANSI5"/>
      <sheetName val="1__DATA_BUYER5"/>
      <sheetName val="Entry__HTM5"/>
      <sheetName val="HB_5"/>
      <sheetName val="DATA_WP5"/>
      <sheetName val="Job_Sheet5"/>
      <sheetName val="Data_Costs5"/>
      <sheetName val="Control_Panel5"/>
      <sheetName val="3GP&amp;Ss_features5"/>
      <sheetName val="B2_(Act_by_Mth)_Total5"/>
      <sheetName val="2003_Bgt5"/>
      <sheetName val="Permanent_info8"/>
      <sheetName val="@PPh_23_(prepaid)8"/>
      <sheetName val="@lam_58"/>
      <sheetName val="@lam-5_18"/>
      <sheetName val="@lam-5_2-Ind8"/>
      <sheetName val="@Disp__FA8"/>
      <sheetName val="@Fisca_LN8"/>
      <sheetName val="Art25_calc8"/>
      <sheetName val="Marshal_-17"/>
      <sheetName val="Salary_Recon7"/>
      <sheetName val="Ford_Options7"/>
      <sheetName val="ADD_JAN-DEC097"/>
      <sheetName val="I_4_1_(2)7"/>
      <sheetName val="CAFL_7"/>
      <sheetName val="FE-1771$_P16"/>
      <sheetName val="new_IFS_format6"/>
      <sheetName val="marshall_spt_1771_1998_ke_satu6"/>
      <sheetName val="OPNAME_GOOD_STOCK6"/>
      <sheetName val="OPNAME_SALES6"/>
      <sheetName val="CPO_16-9-TID_6"/>
      <sheetName val="Retail_Spider6"/>
      <sheetName val="ANALISA_ALAT_BERAT4"/>
      <sheetName val="Harsat_Bahan4"/>
      <sheetName val="Harsat_Upah4"/>
      <sheetName val="Saldo_Akhir7"/>
      <sheetName val="Income_Statement6"/>
      <sheetName val="Balance_Sheet6"/>
      <sheetName val="OPNAME_BAD_STOCK6"/>
      <sheetName val="N2_26"/>
      <sheetName val="ID_MENADO5"/>
      <sheetName val="CURRENCY_C_O_A_5"/>
      <sheetName val="JAN_085"/>
      <sheetName val="Table_Array4"/>
      <sheetName val="Ex_Rate4"/>
      <sheetName val="PROJ_CASH4"/>
      <sheetName val="Cover_Sheet4"/>
      <sheetName val="Exchange_Rates4"/>
      <sheetName val="HK_rates4"/>
      <sheetName val="Bilanz_Bus_plan_20024"/>
      <sheetName val="BELI_JULI4"/>
      <sheetName val="9__DATA_ASURANSI4"/>
      <sheetName val="1__DATA_BUYER4"/>
      <sheetName val="Entry__HTM4"/>
      <sheetName val="HB_4"/>
      <sheetName val="DATA_WP4"/>
      <sheetName val="Job_Sheet4"/>
      <sheetName val="Data_Costs4"/>
      <sheetName val="Control_Panel4"/>
      <sheetName val="3GP&amp;Ss_features4"/>
      <sheetName val="B2_(Act_by_Mth)_Total4"/>
      <sheetName val="2003_Bgt4"/>
      <sheetName val="Permanent_info10"/>
      <sheetName val="@PPh_23_(prepaid)10"/>
      <sheetName val="@lam_510"/>
      <sheetName val="@lam-5_110"/>
      <sheetName val="@lam-5_2-Ind10"/>
      <sheetName val="@Disp__FA10"/>
      <sheetName val="@Fisca_LN10"/>
      <sheetName val="Art25_calc10"/>
      <sheetName val="Marshal_-19"/>
      <sheetName val="Salary_Recon9"/>
      <sheetName val="Ford_Options9"/>
      <sheetName val="ADD_JAN-DEC099"/>
      <sheetName val="I_4_1_(2)9"/>
      <sheetName val="CAFL_9"/>
      <sheetName val="FE-1771$_P18"/>
      <sheetName val="new_IFS_format8"/>
      <sheetName val="marshall_spt_1771_1998_ke_satu8"/>
      <sheetName val="OPNAME_GOOD_STOCK8"/>
      <sheetName val="OPNAME_SALES8"/>
      <sheetName val="CPO_16-9-TID_8"/>
      <sheetName val="Retail_Spider8"/>
      <sheetName val="ANALISA_ALAT_BERAT6"/>
      <sheetName val="Harsat_Bahan6"/>
      <sheetName val="Harsat_Upah6"/>
      <sheetName val="Saldo_Akhir9"/>
      <sheetName val="Income_Statement8"/>
      <sheetName val="Balance_Sheet8"/>
      <sheetName val="OPNAME_BAD_STOCK8"/>
      <sheetName val="N2_28"/>
      <sheetName val="ID_MENADO7"/>
      <sheetName val="CURRENCY_C_O_A_7"/>
      <sheetName val="JAN_087"/>
      <sheetName val="Table_Array6"/>
      <sheetName val="Ex_Rate6"/>
      <sheetName val="PROJ_CASH6"/>
      <sheetName val="Cover_Sheet6"/>
      <sheetName val="Exchange_Rates6"/>
      <sheetName val="HK_rates6"/>
      <sheetName val="Bilanz_Bus_plan_20026"/>
      <sheetName val="BELI_JULI6"/>
      <sheetName val="9__DATA_ASURANSI6"/>
      <sheetName val="1__DATA_BUYER6"/>
      <sheetName val="Entry__HTM6"/>
      <sheetName val="HB_6"/>
      <sheetName val="DATA_WP6"/>
      <sheetName val="Job_Sheet6"/>
      <sheetName val="Data_Costs6"/>
      <sheetName val="Control_Panel6"/>
      <sheetName val="3GP&amp;Ss_features6"/>
      <sheetName val="B2_(Act_by_Mth)_Total6"/>
      <sheetName val="2003_Bgt6"/>
      <sheetName val="Permanent_info11"/>
      <sheetName val="@PPh_23_(prepaid)11"/>
      <sheetName val="@lam_511"/>
      <sheetName val="@lam-5_111"/>
      <sheetName val="@lam-5_2-Ind11"/>
      <sheetName val="@Disp__FA11"/>
      <sheetName val="@Fisca_LN11"/>
      <sheetName val="Art25_calc11"/>
      <sheetName val="Marshal_-110"/>
      <sheetName val="Salary_Recon10"/>
      <sheetName val="Ford_Options10"/>
      <sheetName val="ADD_JAN-DEC0910"/>
      <sheetName val="I_4_1_(2)10"/>
      <sheetName val="CAFL_10"/>
      <sheetName val="FE-1771$_P19"/>
      <sheetName val="new_IFS_format9"/>
      <sheetName val="marshall_spt_1771_1998_ke_satu9"/>
      <sheetName val="OPNAME_GOOD_STOCK9"/>
      <sheetName val="OPNAME_SALES9"/>
      <sheetName val="CPO_16-9-TID_9"/>
      <sheetName val="Retail_Spider9"/>
      <sheetName val="ANALISA_ALAT_BERAT7"/>
      <sheetName val="Harsat_Bahan7"/>
      <sheetName val="Harsat_Upah7"/>
      <sheetName val="Saldo_Akhir10"/>
      <sheetName val="Income_Statement9"/>
      <sheetName val="Balance_Sheet9"/>
      <sheetName val="OPNAME_BAD_STOCK9"/>
      <sheetName val="N2_29"/>
      <sheetName val="ID_MENADO8"/>
      <sheetName val="CURRENCY_C_O_A_8"/>
      <sheetName val="JAN_088"/>
      <sheetName val="Table_Array7"/>
      <sheetName val="Ex_Rate7"/>
      <sheetName val="PROJ_CASH7"/>
      <sheetName val="Cover_Sheet7"/>
      <sheetName val="Exchange_Rates7"/>
      <sheetName val="HK_rates7"/>
      <sheetName val="Bilanz_Bus_plan_20027"/>
      <sheetName val="BELI_JULI7"/>
      <sheetName val="9__DATA_ASURANSI7"/>
      <sheetName val="1__DATA_BUYER7"/>
      <sheetName val="Entry__HTM7"/>
      <sheetName val="HB_7"/>
      <sheetName val="DATA_WP7"/>
      <sheetName val="Job_Sheet7"/>
      <sheetName val="Data_Costs7"/>
      <sheetName val="Control_Panel7"/>
      <sheetName val="3GP&amp;Ss_features7"/>
      <sheetName val="B2_(Act_by_Mth)_Total7"/>
      <sheetName val="2003_Bgt7"/>
      <sheetName val="Permanent_info13"/>
      <sheetName val="@PPh_23_(prepaid)13"/>
      <sheetName val="@lam_513"/>
      <sheetName val="@lam-5_113"/>
      <sheetName val="@lam-5_2-Ind13"/>
      <sheetName val="@Disp__FA13"/>
      <sheetName val="@Fisca_LN13"/>
      <sheetName val="Art25_calc13"/>
      <sheetName val="Marshal_-112"/>
      <sheetName val="Salary_Recon12"/>
      <sheetName val="Ford_Options12"/>
      <sheetName val="ADD_JAN-DEC0912"/>
      <sheetName val="I_4_1_(2)12"/>
      <sheetName val="CAFL_12"/>
      <sheetName val="FE-1771$_P111"/>
      <sheetName val="new_IFS_format11"/>
      <sheetName val="marshall_spt_1771_1998_ke_sat11"/>
      <sheetName val="OPNAME_GOOD_STOCK11"/>
      <sheetName val="OPNAME_SALES11"/>
      <sheetName val="CPO_16-9-TID_11"/>
      <sheetName val="Retail_Spider11"/>
      <sheetName val="ANALISA_ALAT_BERAT9"/>
      <sheetName val="Harsat_Bahan9"/>
      <sheetName val="Harsat_Upah9"/>
      <sheetName val="Saldo_Akhir12"/>
      <sheetName val="Income_Statement11"/>
      <sheetName val="Balance_Sheet11"/>
      <sheetName val="OPNAME_BAD_STOCK11"/>
      <sheetName val="N2_211"/>
      <sheetName val="ID_MENADO10"/>
      <sheetName val="CURRENCY_C_O_A_10"/>
      <sheetName val="JAN_0810"/>
      <sheetName val="Table_Array9"/>
      <sheetName val="Ex_Rate9"/>
      <sheetName val="PROJ_CASH9"/>
      <sheetName val="Cover_Sheet9"/>
      <sheetName val="Exchange_Rates9"/>
      <sheetName val="HK_rates9"/>
      <sheetName val="Bilanz_Bus_plan_20029"/>
      <sheetName val="BELI_JULI9"/>
      <sheetName val="9__DATA_ASURANSI9"/>
      <sheetName val="1__DATA_BUYER9"/>
      <sheetName val="Entry__HTM9"/>
      <sheetName val="HB_9"/>
      <sheetName val="DATA_WP9"/>
      <sheetName val="Job_Sheet9"/>
      <sheetName val="Data_Costs9"/>
      <sheetName val="Control_Panel9"/>
      <sheetName val="3GP&amp;Ss_features9"/>
      <sheetName val="B2_(Act_by_Mth)_Total9"/>
      <sheetName val="2003_Bgt9"/>
      <sheetName val="Permanent_info12"/>
      <sheetName val="@PPh_23_(prepaid)12"/>
      <sheetName val="@lam_512"/>
      <sheetName val="@lam-5_112"/>
      <sheetName val="@lam-5_2-Ind12"/>
      <sheetName val="@Disp__FA12"/>
      <sheetName val="@Fisca_LN12"/>
      <sheetName val="Art25_calc12"/>
      <sheetName val="Marshal_-111"/>
      <sheetName val="Salary_Recon11"/>
      <sheetName val="Ford_Options11"/>
      <sheetName val="ADD_JAN-DEC0911"/>
      <sheetName val="I_4_1_(2)11"/>
      <sheetName val="CAFL_11"/>
      <sheetName val="FE-1771$_P110"/>
      <sheetName val="new_IFS_format10"/>
      <sheetName val="marshall_spt_1771_1998_ke_sat10"/>
      <sheetName val="OPNAME_GOOD_STOCK10"/>
      <sheetName val="OPNAME_SALES10"/>
      <sheetName val="CPO_16-9-TID_10"/>
      <sheetName val="Retail_Spider10"/>
      <sheetName val="ANALISA_ALAT_BERAT8"/>
      <sheetName val="Harsat_Bahan8"/>
      <sheetName val="Harsat_Upah8"/>
      <sheetName val="Saldo_Akhir11"/>
      <sheetName val="Income_Statement10"/>
      <sheetName val="Balance_Sheet10"/>
      <sheetName val="OPNAME_BAD_STOCK10"/>
      <sheetName val="N2_210"/>
      <sheetName val="ID_MENADO9"/>
      <sheetName val="CURRENCY_C_O_A_9"/>
      <sheetName val="JAN_089"/>
      <sheetName val="Table_Array8"/>
      <sheetName val="Ex_Rate8"/>
      <sheetName val="PROJ_CASH8"/>
      <sheetName val="Cover_Sheet8"/>
      <sheetName val="Exchange_Rates8"/>
      <sheetName val="HK_rates8"/>
      <sheetName val="Bilanz_Bus_plan_20028"/>
      <sheetName val="BELI_JULI8"/>
      <sheetName val="9__DATA_ASURANSI8"/>
      <sheetName val="1__DATA_BUYER8"/>
      <sheetName val="Entry__HTM8"/>
      <sheetName val="HB_8"/>
      <sheetName val="DATA_WP8"/>
      <sheetName val="Job_Sheet8"/>
      <sheetName val="Data_Costs8"/>
      <sheetName val="Control_Panel8"/>
      <sheetName val="3GP&amp;Ss_features8"/>
      <sheetName val="B2_(Act_by_Mth)_Total8"/>
      <sheetName val="2003_Bgt8"/>
      <sheetName val="Permanent_info15"/>
      <sheetName val="@PPh_23_(prepaid)15"/>
      <sheetName val="@lam_515"/>
      <sheetName val="@lam-5_115"/>
      <sheetName val="@lam-5_2-Ind15"/>
      <sheetName val="@Disp__FA15"/>
      <sheetName val="@Fisca_LN15"/>
      <sheetName val="Art25_calc15"/>
      <sheetName val="Marshal_-114"/>
      <sheetName val="Salary_Recon14"/>
      <sheetName val="Ford_Options14"/>
      <sheetName val="ADD_JAN-DEC0914"/>
      <sheetName val="I_4_1_(2)14"/>
      <sheetName val="CAFL_14"/>
      <sheetName val="FE-1771$_P113"/>
      <sheetName val="new_IFS_format13"/>
      <sheetName val="marshall_spt_1771_1998_ke_sat13"/>
      <sheetName val="OPNAME_GOOD_STOCK13"/>
      <sheetName val="OPNAME_SALES13"/>
      <sheetName val="CPO_16-9-TID_13"/>
      <sheetName val="Retail_Spider13"/>
      <sheetName val="ANALISA_ALAT_BERAT11"/>
      <sheetName val="Harsat_Bahan11"/>
      <sheetName val="Harsat_Upah11"/>
      <sheetName val="Saldo_Akhir14"/>
      <sheetName val="Income_Statement13"/>
      <sheetName val="Balance_Sheet13"/>
      <sheetName val="OPNAME_BAD_STOCK13"/>
      <sheetName val="N2_213"/>
      <sheetName val="ID_MENADO12"/>
      <sheetName val="CURRENCY_C_O_A_12"/>
      <sheetName val="JAN_0812"/>
      <sheetName val="Table_Array11"/>
      <sheetName val="Ex_Rate11"/>
      <sheetName val="PROJ_CASH11"/>
      <sheetName val="Cover_Sheet11"/>
      <sheetName val="Exchange_Rates11"/>
      <sheetName val="HK_rates11"/>
      <sheetName val="Bilanz_Bus_plan_200211"/>
      <sheetName val="BELI_JULI11"/>
      <sheetName val="9__DATA_ASURANSI11"/>
      <sheetName val="1__DATA_BUYER11"/>
      <sheetName val="Entry__HTM11"/>
      <sheetName val="HB_11"/>
      <sheetName val="DATA_WP11"/>
      <sheetName val="Job_Sheet11"/>
      <sheetName val="Data_Costs11"/>
      <sheetName val="Control_Panel11"/>
      <sheetName val="3GP&amp;Ss_features11"/>
      <sheetName val="B2_(Act_by_Mth)_Total11"/>
      <sheetName val="2003_Bgt11"/>
      <sheetName val="Harga_Satuan1"/>
      <sheetName val="Permanent_info14"/>
      <sheetName val="@PPh_23_(prepaid)14"/>
      <sheetName val="@lam_514"/>
      <sheetName val="@lam-5_114"/>
      <sheetName val="@lam-5_2-Ind14"/>
      <sheetName val="@Disp__FA14"/>
      <sheetName val="@Fisca_LN14"/>
      <sheetName val="Art25_calc14"/>
      <sheetName val="Marshal_-113"/>
      <sheetName val="Salary_Recon13"/>
      <sheetName val="Ford_Options13"/>
      <sheetName val="ADD_JAN-DEC0913"/>
      <sheetName val="I_4_1_(2)13"/>
      <sheetName val="CAFL_13"/>
      <sheetName val="FE-1771$_P112"/>
      <sheetName val="new_IFS_format12"/>
      <sheetName val="marshall_spt_1771_1998_ke_sat12"/>
      <sheetName val="OPNAME_GOOD_STOCK12"/>
      <sheetName val="OPNAME_SALES12"/>
      <sheetName val="CPO_16-9-TID_12"/>
      <sheetName val="Retail_Spider12"/>
      <sheetName val="ANALISA_ALAT_BERAT10"/>
      <sheetName val="Harsat_Bahan10"/>
      <sheetName val="Harsat_Upah10"/>
      <sheetName val="Saldo_Akhir13"/>
      <sheetName val="Income_Statement12"/>
      <sheetName val="Balance_Sheet12"/>
      <sheetName val="OPNAME_BAD_STOCK12"/>
      <sheetName val="N2_212"/>
      <sheetName val="ID_MENADO11"/>
      <sheetName val="CURRENCY_C_O_A_11"/>
      <sheetName val="JAN_0811"/>
      <sheetName val="Table_Array10"/>
      <sheetName val="Ex_Rate10"/>
      <sheetName val="PROJ_CASH10"/>
      <sheetName val="Cover_Sheet10"/>
      <sheetName val="Exchange_Rates10"/>
      <sheetName val="HK_rates10"/>
      <sheetName val="Bilanz_Bus_plan_200210"/>
      <sheetName val="BELI_JULI10"/>
      <sheetName val="9__DATA_ASURANSI10"/>
      <sheetName val="1__DATA_BUYER10"/>
      <sheetName val="Entry__HTM10"/>
      <sheetName val="HB_10"/>
      <sheetName val="DATA_WP10"/>
      <sheetName val="Job_Sheet10"/>
      <sheetName val="Data_Costs10"/>
      <sheetName val="Control_Panel10"/>
      <sheetName val="3GP&amp;Ss_features10"/>
      <sheetName val="B2_(Act_by_Mth)_Total10"/>
      <sheetName val="2003_Bgt10"/>
      <sheetName val="Harga_Satuan"/>
      <sheetName val="Permanent_info16"/>
      <sheetName val="@PPh_23_(prepaid)16"/>
      <sheetName val="@lam_516"/>
      <sheetName val="@lam-5_116"/>
      <sheetName val="@lam-5_2-Ind16"/>
      <sheetName val="@Disp__FA16"/>
      <sheetName val="@Fisca_LN16"/>
      <sheetName val="Art25_calc16"/>
      <sheetName val="Marshal_-115"/>
      <sheetName val="Salary_Recon15"/>
      <sheetName val="Ford_Options15"/>
      <sheetName val="ADD_JAN-DEC0915"/>
      <sheetName val="I_4_1_(2)15"/>
      <sheetName val="CAFL_15"/>
      <sheetName val="FE-1771$_P114"/>
      <sheetName val="new_IFS_format14"/>
      <sheetName val="marshall_spt_1771_1998_ke_sat14"/>
      <sheetName val="OPNAME_GOOD_STOCK14"/>
      <sheetName val="OPNAME_SALES14"/>
      <sheetName val="CPO_16-9-TID_14"/>
      <sheetName val="Retail_Spider14"/>
      <sheetName val="ANALISA_ALAT_BERAT12"/>
      <sheetName val="Harsat_Bahan12"/>
      <sheetName val="Harsat_Upah12"/>
      <sheetName val="Saldo_Akhir15"/>
      <sheetName val="Income_Statement14"/>
      <sheetName val="Balance_Sheet14"/>
      <sheetName val="OPNAME_BAD_STOCK14"/>
      <sheetName val="N2_214"/>
      <sheetName val="ID_MENADO13"/>
      <sheetName val="CURRENCY_C_O_A_13"/>
      <sheetName val="JAN_0813"/>
      <sheetName val="Table_Array12"/>
      <sheetName val="Ex_Rate12"/>
      <sheetName val="PROJ_CASH12"/>
      <sheetName val="Cover_Sheet12"/>
      <sheetName val="Exchange_Rates12"/>
      <sheetName val="HK_rates12"/>
      <sheetName val="Bilanz_Bus_plan_200212"/>
      <sheetName val="BELI_JULI12"/>
      <sheetName val="9__DATA_ASURANSI12"/>
      <sheetName val="1__DATA_BUYER12"/>
      <sheetName val="Entry__HTM12"/>
      <sheetName val="HB_12"/>
      <sheetName val="DATA_WP12"/>
      <sheetName val="Job_Sheet12"/>
      <sheetName val="Data_Costs12"/>
      <sheetName val="Control_Panel12"/>
      <sheetName val="3GP&amp;Ss_features12"/>
      <sheetName val="B2_(Act_by_Mth)_Total12"/>
      <sheetName val="2003_Bgt12"/>
      <sheetName val="RAB AR&amp;STR"/>
      <sheetName val="Harga Satuan"/>
      <sheetName val="Permanent_info17"/>
      <sheetName val="@PPh_23_(prepaid)17"/>
      <sheetName val="@lam_517"/>
      <sheetName val="@lam-5_117"/>
      <sheetName val="@lam-5_2-Ind17"/>
      <sheetName val="@Disp__FA17"/>
      <sheetName val="@Fisca_LN17"/>
      <sheetName val="Art25_calc17"/>
      <sheetName val="Marshal_-116"/>
      <sheetName val="Salary_Recon16"/>
      <sheetName val="Ford_Options16"/>
      <sheetName val="ADD_JAN-DEC0916"/>
      <sheetName val="I_4_1_(2)16"/>
      <sheetName val="CAFL_16"/>
      <sheetName val="FE-1771$_P115"/>
      <sheetName val="new_IFS_format15"/>
      <sheetName val="marshall_spt_1771_1998_ke_sat15"/>
      <sheetName val="OPNAME_GOOD_STOCK15"/>
      <sheetName val="OPNAME_SALES15"/>
      <sheetName val="CPO_16-9-TID_15"/>
      <sheetName val="Retail_Spider15"/>
      <sheetName val="ANALISA_ALAT_BERAT13"/>
      <sheetName val="Harsat_Bahan13"/>
      <sheetName val="Harsat_Upah13"/>
      <sheetName val="Saldo_Akhir16"/>
      <sheetName val="Income_Statement15"/>
      <sheetName val="Balance_Sheet15"/>
      <sheetName val="OPNAME_BAD_STOCK15"/>
      <sheetName val="N2_215"/>
      <sheetName val="ID_MENADO14"/>
      <sheetName val="CURRENCY_C_O_A_14"/>
      <sheetName val="JAN_0814"/>
      <sheetName val="Table_Array13"/>
      <sheetName val="Ex_Rate13"/>
      <sheetName val="PROJ_CASH13"/>
      <sheetName val="Cover_Sheet13"/>
      <sheetName val="Exchange_Rates13"/>
      <sheetName val="HK_rates13"/>
      <sheetName val="Bilanz_Bus_plan_200213"/>
      <sheetName val="BELI_JULI13"/>
      <sheetName val="9__DATA_ASURANSI13"/>
      <sheetName val="1__DATA_BUYER13"/>
      <sheetName val="Entry__HTM13"/>
      <sheetName val="HB_13"/>
      <sheetName val="DATA_WP13"/>
      <sheetName val="Job_Sheet13"/>
      <sheetName val="Data_Costs13"/>
      <sheetName val="Control_Panel13"/>
      <sheetName val="3GP&amp;Ss_features13"/>
      <sheetName val="B2_(Act_by_Mth)_Total13"/>
      <sheetName val="2003_Bgt13"/>
      <sheetName val="MAIN"/>
      <sheetName val="Hsat1"/>
      <sheetName val="Evaluasi By"/>
      <sheetName val="jadw"/>
      <sheetName val="GQ"/>
      <sheetName val="MATERIAL REPORT 2003"/>
      <sheetName val="B7"/>
      <sheetName val="BHN-ALAT"/>
      <sheetName val="ANAL_P4"/>
      <sheetName val="ANTEK"/>
      <sheetName val="PERALATAN PROYEK GOL III A"/>
      <sheetName val="ANAL.BOW"/>
      <sheetName val="ListAnalisa"/>
      <sheetName val="BTL-Persiapan"/>
      <sheetName val="BTL-Bau"/>
      <sheetName val="BTL-alat"/>
      <sheetName val="BTL-Rupa"/>
      <sheetName val="rab 4"/>
      <sheetName val="ANTEK-AGGA"/>
      <sheetName val="BURDA"/>
      <sheetName val="ANTEK-GAL"/>
      <sheetName val="HRS-ATB"/>
      <sheetName val="ANTEK-PRIME"/>
      <sheetName val="ANTEK-TIMB"/>
      <sheetName val="BIA-LUMPSUM"/>
      <sheetName val="CRUSER"/>
      <sheetName val="KEBALAT"/>
      <sheetName val="GP-WB"/>
      <sheetName val="WS"/>
      <sheetName val="SCHEDULE"/>
      <sheetName val="Basic Price"/>
      <sheetName val="PEMBAGIAN"/>
      <sheetName val="pricing"/>
      <sheetName val="tetrapod"/>
      <sheetName val="S.BAHAN"/>
      <sheetName val="S.UPAH"/>
      <sheetName val="ALAT"/>
      <sheetName val="MAPP PPTR"/>
      <sheetName val="UPAH"/>
      <sheetName val="New MADC"/>
      <sheetName val="HRG UPAH BAHAN"/>
      <sheetName val="Identitas"/>
      <sheetName val="KOEF"/>
      <sheetName val="Material"/>
      <sheetName val="PRIST LIST"/>
      <sheetName val="H-Dasar"/>
      <sheetName val="ANAL"/>
      <sheetName val="Harga"/>
      <sheetName val="EXTERNAL  (revisi 1)"/>
      <sheetName val="ABSEN"/>
      <sheetName val="UPAH_B_KAS"/>
      <sheetName val="UPAH_B_KAS _2_"/>
      <sheetName val="T_TANGAN"/>
      <sheetName val="HS1b"/>
      <sheetName val="EVALUASI"/>
      <sheetName val="Agg Halus &amp; Kasar"/>
      <sheetName val="escon"/>
      <sheetName val="Vibro_Roller"/>
      <sheetName val="BHN+KMK"/>
      <sheetName val="bearing PDMR1"/>
      <sheetName val="eval"/>
      <sheetName val="BETON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Cashflow_ref"/>
      <sheetName val="H_Satuan"/>
      <sheetName val="SchA"/>
      <sheetName val="SchC"/>
      <sheetName val="SewAlat"/>
      <sheetName val="SchD"/>
      <sheetName val="Sat. Pek."/>
      <sheetName val="Daftar Upah,Bhn,&amp; alat"/>
      <sheetName val="7.PEK-STRUKTUR"/>
      <sheetName val="Assumptions"/>
      <sheetName val="bd"/>
      <sheetName val="Kinerja Proyek"/>
      <sheetName val="FKT_PJK"/>
      <sheetName val="Ahs_1"/>
      <sheetName val="Ahs_2"/>
      <sheetName val="Daf 1"/>
      <sheetName val="Bhn"/>
      <sheetName val="351BQMCN"/>
      <sheetName val="Sheet2"/>
      <sheetName val="610.07A"/>
      <sheetName val="SPT TAHUNAN"/>
      <sheetName val="Rinc_Setoran Astek"/>
      <sheetName val="DPLK_PST"/>
      <sheetName val="jkk_takaful"/>
      <sheetName val="HSD"/>
      <sheetName val="TEKNIS"/>
      <sheetName val="HRG DSR APP"/>
      <sheetName val="bq"/>
      <sheetName val="rate-alat"/>
      <sheetName val="Hrgdsrupah"/>
      <sheetName val="Analisa tambahan"/>
      <sheetName val="Analisa "/>
      <sheetName val="upah, bahan, alat"/>
      <sheetName val="P-6"/>
      <sheetName val="P-2"/>
      <sheetName val="P-5"/>
      <sheetName val="Analisa HSP"/>
      <sheetName val="04"/>
      <sheetName val="05"/>
      <sheetName val="06"/>
      <sheetName val="TE TS FA LAN MATV"/>
      <sheetName val="MAP-Prog"/>
      <sheetName val="BoQ Total_lama"/>
      <sheetName val="ANSTRUK"/>
      <sheetName val="sheet"/>
      <sheetName val="T1"/>
      <sheetName val="I_4_1 _2_"/>
      <sheetName val="CND"/>
      <sheetName val="Corptax2003"/>
      <sheetName val="Strand PDMR1"/>
      <sheetName val="Post tension PDMR1"/>
      <sheetName val="SITE-E"/>
      <sheetName val="BL"/>
      <sheetName val="an-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g"/>
      <sheetName val="rekap"/>
      <sheetName val="jan"/>
      <sheetName val="feb"/>
      <sheetName val="mar"/>
      <sheetName val="apr"/>
      <sheetName val="mei"/>
      <sheetName val="juni"/>
      <sheetName val="juli"/>
      <sheetName val="agus"/>
      <sheetName val="sept"/>
      <sheetName val="okt"/>
      <sheetName val="nov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base"/>
      <sheetName val="Summary"/>
      <sheetName val="covers"/>
      <sheetName val="livello 1"/>
      <sheetName val="livello 2"/>
      <sheetName val="livello 3"/>
      <sheetName val="cashflow"/>
      <sheetName val="Management"/>
      <sheetName val="Manag-resources"/>
      <sheetName val="Engineering"/>
      <sheetName val="Materiali di varo"/>
      <sheetName val="Altri materiali"/>
      <sheetName val="Mob-Demob Laybarge"/>
      <sheetName val="Laying Acquedotto"/>
      <sheetName val="Install. n.2-Spools"/>
      <sheetName val="Rate Laybarge"/>
      <sheetName val="Personale Laybarge"/>
      <sheetName val="Trasporto Tubi"/>
      <sheetName val="Consumables"/>
      <sheetName val="Line pipe trips"/>
      <sheetName val="Lavori a terra"/>
      <sheetName val="Stazioni di tiro"/>
      <sheetName val="Collaudo Acquedotto"/>
      <sheetName val="Scavi di approdo"/>
      <sheetName val="Trasp.tubi a terra"/>
      <sheetName val="dima"/>
      <sheetName val="Pre &amp; Post Surve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urchase Order (2)"/>
      <sheetName val="Customize Your Purchase Order"/>
      <sheetName val="Invoice I"/>
      <sheetName val="CF WORKSHEET"/>
      <sheetName val="GeneralInfo"/>
      <sheetName val="july"/>
      <sheetName val="june"/>
      <sheetName val="AutoOpen_Stub_Data"/>
      <sheetName val="Purchase_Order_(2)"/>
      <sheetName val="Customize_Your_Purchase_Order"/>
      <sheetName val="SEP"/>
      <sheetName val="LOOKUP"/>
      <sheetName val="RATE"/>
      <sheetName val="AutoOpen_Stub_Data1"/>
      <sheetName val="Purchase_Order_(2)1"/>
      <sheetName val="Customize_Your_Purchase_Order1"/>
      <sheetName val="Invoice_I"/>
      <sheetName val="CF_WORKSHEET"/>
      <sheetName val="DATA WP"/>
      <sheetName val="Breadown"/>
      <sheetName val="Marshal"/>
      <sheetName val="General"/>
      <sheetName val="OFF"/>
      <sheetName val="bag"/>
      <sheetName val="A-1"/>
      <sheetName val="tabel"/>
      <sheetName val="SubLedger"/>
      <sheetName val="TB - BS"/>
      <sheetName val="AutoOpen_Stub_Data7"/>
      <sheetName val="Purchase_Order_(2)7"/>
      <sheetName val="Customize_Your_Purchase_Order7"/>
      <sheetName val="Invoice_I6"/>
      <sheetName val="CF_WORKSHEET6"/>
      <sheetName val="DATA_WP5"/>
      <sheetName val="TB_-_BS5"/>
      <sheetName val="AutoOpen_Stub_Data2"/>
      <sheetName val="Purchase_Order_(2)2"/>
      <sheetName val="Customize_Your_Purchase_Order2"/>
      <sheetName val="Invoice_I1"/>
      <sheetName val="CF_WORKSHEET1"/>
      <sheetName val="DATA_WP"/>
      <sheetName val="TB_-_BS"/>
      <sheetName val="AutoOpen_Stub_Data4"/>
      <sheetName val="Purchase_Order_(2)4"/>
      <sheetName val="Customize_Your_Purchase_Order4"/>
      <sheetName val="Invoice_I3"/>
      <sheetName val="CF_WORKSHEET3"/>
      <sheetName val="DATA_WP2"/>
      <sheetName val="TB_-_BS2"/>
      <sheetName val="AutoOpen_Stub_Data3"/>
      <sheetName val="Purchase_Order_(2)3"/>
      <sheetName val="Customize_Your_Purchase_Order3"/>
      <sheetName val="Invoice_I2"/>
      <sheetName val="CF_WORKSHEET2"/>
      <sheetName val="DATA_WP1"/>
      <sheetName val="TB_-_BS1"/>
      <sheetName val="AutoOpen_Stub_Data5"/>
      <sheetName val="Purchase_Order_(2)5"/>
      <sheetName val="Customize_Your_Purchase_Order5"/>
      <sheetName val="Invoice_I4"/>
      <sheetName val="CF_WORKSHEET4"/>
      <sheetName val="DATA_WP3"/>
      <sheetName val="TB_-_BS3"/>
      <sheetName val="AutoOpen_Stub_Data6"/>
      <sheetName val="Purchase_Order_(2)6"/>
      <sheetName val="Customize_Your_Purchase_Order6"/>
      <sheetName val="Invoice_I5"/>
      <sheetName val="CF_WORKSHEET5"/>
      <sheetName val="DATA_WP4"/>
      <sheetName val="TB_-_BS4"/>
      <sheetName val="AutoOpen_Stub_Data10"/>
      <sheetName val="Purchase_Order_(2)10"/>
      <sheetName val="Customize_Your_Purchase_Order10"/>
      <sheetName val="Invoice_I9"/>
      <sheetName val="CF_WORKSHEET9"/>
      <sheetName val="DATA_WP8"/>
      <sheetName val="TB_-_BS8"/>
      <sheetName val="AutoOpen_Stub_Data8"/>
      <sheetName val="Purchase_Order_(2)8"/>
      <sheetName val="Customize_Your_Purchase_Order8"/>
      <sheetName val="Invoice_I7"/>
      <sheetName val="CF_WORKSHEET7"/>
      <sheetName val="DATA_WP6"/>
      <sheetName val="TB_-_BS6"/>
      <sheetName val="AutoOpen_Stub_Data9"/>
      <sheetName val="Purchase_Order_(2)9"/>
      <sheetName val="Customize_Your_Purchase_Order9"/>
      <sheetName val="Invoice_I8"/>
      <sheetName val="CF_WORKSHEET8"/>
      <sheetName val="DATA_WP7"/>
      <sheetName val="TB_-_BS7"/>
      <sheetName val="AutoOpen_Stub_Data13"/>
      <sheetName val="Purchase_Order_(2)13"/>
      <sheetName val="Customize_Your_Purchase_Order13"/>
      <sheetName val="Invoice_I12"/>
      <sheetName val="CF_WORKSHEET12"/>
      <sheetName val="DATA_WP11"/>
      <sheetName val="TB_-_BS11"/>
      <sheetName val="AutoOpen_Stub_Data12"/>
      <sheetName val="Purchase_Order_(2)12"/>
      <sheetName val="Customize_Your_Purchase_Order12"/>
      <sheetName val="Invoice_I11"/>
      <sheetName val="CF_WORKSHEET11"/>
      <sheetName val="DATA_WP10"/>
      <sheetName val="TB_-_BS10"/>
      <sheetName val="AutoOpen_Stub_Data11"/>
      <sheetName val="Purchase_Order_(2)11"/>
      <sheetName val="Customize_Your_Purchase_Order11"/>
      <sheetName val="Invoice_I10"/>
      <sheetName val="CF_WORKSHEET10"/>
      <sheetName val="DATA_WP9"/>
      <sheetName val="TB_-_BS9"/>
      <sheetName val="PO ADM"/>
      <sheetName val="Amor1"/>
      <sheetName val="AutoOpen_Stub_Data14"/>
      <sheetName val="Purchase_Order_(2)14"/>
      <sheetName val="Customize_Your_Purchase_Order14"/>
      <sheetName val="Invoice_I13"/>
      <sheetName val="CF_WORKSHEET13"/>
      <sheetName val="DATA_WP12"/>
      <sheetName val="TB_-_BS12"/>
      <sheetName val="RMCONS"/>
      <sheetName val="CGS"/>
      <sheetName val="SK HTM"/>
      <sheetName val="Comparision"/>
      <sheetName val="List"/>
      <sheetName val="412src2"/>
      <sheetName val="SELISIHKURSSOURCE"/>
      <sheetName val="412"/>
      <sheetName val="Control"/>
      <sheetName val="Tabel Benefit"/>
      <sheetName val="Table"/>
      <sheetName val="Monthly RecapLO"/>
      <sheetName val="AutoOpen_Stub_Data15"/>
      <sheetName val="Purchase_Order_(2)15"/>
      <sheetName val="Customize_Your_Purchase_Order15"/>
      <sheetName val="Invoice_I14"/>
      <sheetName val="CF_WORKSHEET14"/>
      <sheetName val="DATA_WP13"/>
      <sheetName val="TB_-_BS13"/>
      <sheetName val="PO_ADM"/>
      <sheetName val="SK_HTM"/>
      <sheetName val="KOR"/>
      <sheetName val="Sheet2"/>
      <sheetName val="BS"/>
      <sheetName val="IS"/>
      <sheetName val="PL okay"/>
      <sheetName val="BS okay"/>
      <sheetName val="TB"/>
      <sheetName val="KAS &amp; BANK"/>
      <sheetName val="FA"/>
      <sheetName val="GJ4"/>
      <sheetName val="Sales04"/>
      <sheetName val="PB04"/>
      <sheetName val="PG04"/>
      <sheetName val="Purchase04"/>
      <sheetName val="Cost04"/>
      <sheetName val="GJ5"/>
      <sheetName val="Sales05"/>
      <sheetName val="PB05"/>
      <sheetName val="PG05"/>
      <sheetName val="Purchase05"/>
      <sheetName val="Cost05"/>
      <sheetName val="GJ6"/>
      <sheetName val="Sales06"/>
      <sheetName val="PB06"/>
      <sheetName val="PG06"/>
      <sheetName val="Purchase06"/>
      <sheetName val="Cost06"/>
      <sheetName val="GJ7"/>
      <sheetName val="Sales 07"/>
      <sheetName val="PB07"/>
      <sheetName val="PG07"/>
      <sheetName val="Purchase07"/>
      <sheetName val="Cost07"/>
      <sheetName val="GJ8"/>
      <sheetName val="notes"/>
      <sheetName val="Sales 08"/>
      <sheetName val="PB08"/>
      <sheetName val="PG08"/>
      <sheetName val="Purchase08 "/>
      <sheetName val="Cost08"/>
      <sheetName val="GJ9"/>
      <sheetName val="IBJVerena"/>
      <sheetName val="Sigra-PT.Adira"/>
      <sheetName val="cover"/>
      <sheetName val="Content"/>
      <sheetName val="PPN Import Accounting"/>
      <sheetName val="Sheet1"/>
      <sheetName val="SE"/>
      <sheetName val="CF"/>
      <sheetName val="Note-FS"/>
      <sheetName val="GL"/>
      <sheetName val="GJ"/>
      <sheetName val="C&amp;B"/>
      <sheetName val="AR-2"/>
      <sheetName val="Prepaid-3"/>
      <sheetName val="SecDep-5"/>
      <sheetName val="Advance-6"/>
      <sheetName val="AP-7"/>
      <sheetName val="Sheet3"/>
      <sheetName val="Loan-8"/>
      <sheetName val="Accrued-9"/>
      <sheetName val="Sales-10"/>
      <sheetName val="chiet tinh"/>
      <sheetName val="Dati base"/>
      <sheetName val="Purchase Order _2_"/>
      <sheetName val="adj"/>
      <sheetName val="Biaya Departemen"/>
      <sheetName val="Customize Your Invoice"/>
      <sheetName val="Invoice"/>
      <sheetName val="Account Code"/>
      <sheetName val="GLdownload"/>
      <sheetName val="REV_1702"/>
      <sheetName val="fiscal depr(E)"/>
      <sheetName val="XA"/>
      <sheetName val="Profile"/>
      <sheetName val="PM"/>
      <sheetName val="SFP"/>
      <sheetName val="SPL"/>
      <sheetName val="A"/>
      <sheetName val="AR"/>
      <sheetName val="MFL"/>
      <sheetName val="LPP Waskon"/>
      <sheetName val="5"/>
      <sheetName val="Purchase_Order__2_"/>
      <sheetName val="APRIL'02"/>
      <sheetName val="COGM Statement"/>
      <sheetName val="Purchase_Order__2_1"/>
      <sheetName val="Biaya_Departemen"/>
      <sheetName val="Customize_Your_Invoice"/>
      <sheetName val="Data Update"/>
      <sheetName val="9"/>
      <sheetName val="des"/>
      <sheetName val="AA.1.1 BNI"/>
      <sheetName val="Assumption"/>
      <sheetName val="Param"/>
      <sheetName val="Data Ben"/>
      <sheetName val="Purchase_Order__2_7"/>
      <sheetName val="Biaya_Departemen6"/>
      <sheetName val="Customize_Your_Invoice6"/>
      <sheetName val="COGM_Statement5"/>
      <sheetName val="Data_Update5"/>
      <sheetName val="AA_1_1_BNI5"/>
      <sheetName val="Data_Ben5"/>
      <sheetName val="Purchase_Order__2_2"/>
      <sheetName val="Biaya_Departemen1"/>
      <sheetName val="Customize_Your_Invoice1"/>
      <sheetName val="COGM_Statement"/>
      <sheetName val="Data_Update"/>
      <sheetName val="AA_1_1_BNI"/>
      <sheetName val="Data_Ben"/>
      <sheetName val="Purchase_Order__2_4"/>
      <sheetName val="Biaya_Departemen3"/>
      <sheetName val="Customize_Your_Invoice3"/>
      <sheetName val="COGM_Statement2"/>
      <sheetName val="Data_Update2"/>
      <sheetName val="AA_1_1_BNI2"/>
      <sheetName val="Data_Ben2"/>
      <sheetName val="Purchase_Order__2_3"/>
      <sheetName val="Biaya_Departemen2"/>
      <sheetName val="Customize_Your_Invoice2"/>
      <sheetName val="COGM_Statement1"/>
      <sheetName val="Data_Update1"/>
      <sheetName val="AA_1_1_BNI1"/>
      <sheetName val="Data_Ben1"/>
      <sheetName val="Purchase_Order__2_5"/>
      <sheetName val="Biaya_Departemen4"/>
      <sheetName val="Customize_Your_Invoice4"/>
      <sheetName val="COGM_Statement3"/>
      <sheetName val="Data_Update3"/>
      <sheetName val="AA_1_1_BNI3"/>
      <sheetName val="Data_Ben3"/>
      <sheetName val="Purchase_Order__2_6"/>
      <sheetName val="Biaya_Departemen5"/>
      <sheetName val="Customize_Your_Invoice5"/>
      <sheetName val="COGM_Statement4"/>
      <sheetName val="Data_Update4"/>
      <sheetName val="AA_1_1_BNI4"/>
      <sheetName val="Data_Ben4"/>
      <sheetName val="Purchase_Order__2_10"/>
      <sheetName val="Biaya_Departemen9"/>
      <sheetName val="Customize_Your_Invoice9"/>
      <sheetName val="COGM_Statement8"/>
      <sheetName val="Data_Update8"/>
      <sheetName val="AA_1_1_BNI8"/>
      <sheetName val="Data_Ben8"/>
      <sheetName val="Purchase_Order__2_8"/>
      <sheetName val="Biaya_Departemen7"/>
      <sheetName val="Customize_Your_Invoice7"/>
      <sheetName val="COGM_Statement6"/>
      <sheetName val="Data_Update6"/>
      <sheetName val="AA_1_1_BNI6"/>
      <sheetName val="Data_Ben6"/>
      <sheetName val="Purchase_Order__2_9"/>
      <sheetName val="Biaya_Departemen8"/>
      <sheetName val="Customize_Your_Invoice8"/>
      <sheetName val="COGM_Statement7"/>
      <sheetName val="Data_Update7"/>
      <sheetName val="AA_1_1_BNI7"/>
      <sheetName val="Data_Ben7"/>
      <sheetName val="Purchase_Order__2_13"/>
      <sheetName val="Biaya_Departemen12"/>
      <sheetName val="Customize_Your_Invoice12"/>
      <sheetName val="COGM_Statement11"/>
      <sheetName val="Data_Update11"/>
      <sheetName val="AA_1_1_BNI11"/>
      <sheetName val="Data_Ben11"/>
      <sheetName val="Purchase_Order__2_12"/>
      <sheetName val="Biaya_Departemen11"/>
      <sheetName val="Customize_Your_Invoice11"/>
      <sheetName val="COGM_Statement10"/>
      <sheetName val="Data_Update10"/>
      <sheetName val="AA_1_1_BNI10"/>
      <sheetName val="Data_Ben10"/>
      <sheetName val="Purchase_Order__2_11"/>
      <sheetName val="Biaya_Departemen10"/>
      <sheetName val="Customize_Your_Invoice10"/>
      <sheetName val="COGM_Statement9"/>
      <sheetName val="Data_Update9"/>
      <sheetName val="AA_1_1_BNI9"/>
      <sheetName val="Data_Ben9"/>
      <sheetName val="Data"/>
      <sheetName val="Purchase_Order__2_14"/>
      <sheetName val="Biaya_Departemen13"/>
      <sheetName val="Customize_Your_Invoice13"/>
      <sheetName val="COGM_Statement12"/>
      <sheetName val="Data_Update12"/>
      <sheetName val="AA_1_1_BNI12"/>
      <sheetName val="Data_Ben12"/>
      <sheetName val="Table Array"/>
      <sheetName val="PL_okay"/>
      <sheetName val="BS_okay"/>
      <sheetName val="KAS_&amp;_BANK"/>
      <sheetName val="Sales_07"/>
      <sheetName val="Sales_08"/>
      <sheetName val="Purchase08_"/>
      <sheetName val="Sigra-PT_Adira"/>
      <sheetName val="PPN_Import_Accounting"/>
      <sheetName val="Jamsostek"/>
      <sheetName val="BAPHP"/>
      <sheetName val="CA"/>
      <sheetName val="4-09"/>
      <sheetName val="Daftar harga"/>
      <sheetName val="ePR"/>
      <sheetName val="2005"/>
      <sheetName val="Sheet6"/>
      <sheetName val="rekap impor"/>
      <sheetName val="AutoOpen_Stub_Data16"/>
      <sheetName val="Purchase_Order_(2)16"/>
      <sheetName val="Customize_Your_Purchase_Order16"/>
      <sheetName val="Invoice_I15"/>
      <sheetName val="CF_WORKSHEET15"/>
      <sheetName val="DATA_WP14"/>
      <sheetName val="TB_-_BS14"/>
      <sheetName val="PO_ADM1"/>
      <sheetName val="SK_HTM1"/>
      <sheetName val="Monthly_RecapLO"/>
      <sheetName val="Tabel_Benefit"/>
      <sheetName val="chiet_tinh"/>
      <sheetName val="Dati_base"/>
      <sheetName val="Account_Code"/>
      <sheetName val="fiscal_depr(E)"/>
      <sheetName val="AutoOpen_Stub_Data17"/>
      <sheetName val="Purchase_Order_(2)17"/>
      <sheetName val="Customize_Your_Purchase_Order17"/>
      <sheetName val="Invoice_I16"/>
      <sheetName val="CF_WORKSHEET16"/>
      <sheetName val="DATA_WP15"/>
      <sheetName val="TB_-_BS15"/>
      <sheetName val="PO_ADM2"/>
      <sheetName val="SK_HTM2"/>
      <sheetName val="Monthly_RecapLO1"/>
      <sheetName val="Tabel_Benefit1"/>
      <sheetName val="PL_okay1"/>
      <sheetName val="BS_okay1"/>
      <sheetName val="KAS_&amp;_BANK1"/>
      <sheetName val="Sales_071"/>
      <sheetName val="Sales_081"/>
      <sheetName val="Purchase08_1"/>
      <sheetName val="Sigra-PT_Adira1"/>
      <sheetName val="PPN_Import_Accounting1"/>
      <sheetName val="chiet_tinh1"/>
      <sheetName val="Dati_base1"/>
      <sheetName val="Account_Code1"/>
      <sheetName val="fiscal_depr(E)1"/>
      <sheetName val="AutoOpen_Stub_Data18"/>
      <sheetName val="Purchase_Order_(2)18"/>
      <sheetName val="Customize_Your_Purchase_Order18"/>
      <sheetName val="Invoice_I17"/>
      <sheetName val="CF_WORKSHEET17"/>
      <sheetName val="DATA_WP16"/>
      <sheetName val="TB_-_BS16"/>
      <sheetName val="PO_ADM3"/>
      <sheetName val="SK_HTM3"/>
      <sheetName val="Monthly_RecapLO2"/>
      <sheetName val="Tabel_Benefit2"/>
      <sheetName val="PL_okay2"/>
      <sheetName val="BS_okay2"/>
      <sheetName val="KAS_&amp;_BANK2"/>
      <sheetName val="Sales_072"/>
      <sheetName val="Sales_082"/>
      <sheetName val="Purchase08_2"/>
      <sheetName val="Sigra-PT_Adira2"/>
      <sheetName val="PPN_Import_Accounting2"/>
      <sheetName val="chiet_tinh2"/>
      <sheetName val="Dati_base2"/>
      <sheetName val="Account_Code2"/>
      <sheetName val="fiscal_depr(E)2"/>
      <sheetName val="AutoOpen_Stub_Data19"/>
      <sheetName val="Purchase_Order_(2)19"/>
      <sheetName val="Customize_Your_Purchase_Order19"/>
      <sheetName val="Invoice_I18"/>
      <sheetName val="CF_WORKSHEET18"/>
      <sheetName val="DATA_WP17"/>
      <sheetName val="TB_-_BS17"/>
      <sheetName val="PO_ADM4"/>
      <sheetName val="SK_HTM4"/>
      <sheetName val="Monthly_RecapLO3"/>
      <sheetName val="Tabel_Benefit3"/>
      <sheetName val="PL_okay3"/>
      <sheetName val="BS_okay3"/>
      <sheetName val="KAS_&amp;_BANK3"/>
      <sheetName val="Sales_073"/>
      <sheetName val="Sales_083"/>
      <sheetName val="Purchase08_3"/>
      <sheetName val="Sigra-PT_Adira3"/>
      <sheetName val="PPN_Import_Accounting3"/>
      <sheetName val="chiet_tinh3"/>
      <sheetName val="Dati_base3"/>
      <sheetName val="Account_Code3"/>
      <sheetName val="fiscal_depr(E)3"/>
      <sheetName val="AutoOpen_Stub_Data23"/>
      <sheetName val="Purchase_Order_(2)23"/>
      <sheetName val="Customize_Your_Purchase_Order23"/>
      <sheetName val="Invoice_I22"/>
      <sheetName val="CF_WORKSHEET22"/>
      <sheetName val="DATA_WP21"/>
      <sheetName val="TB_-_BS21"/>
      <sheetName val="PO_ADM8"/>
      <sheetName val="SK_HTM8"/>
      <sheetName val="Monthly_RecapLO7"/>
      <sheetName val="Tabel_Benefit7"/>
      <sheetName val="PL_okay7"/>
      <sheetName val="BS_okay7"/>
      <sheetName val="KAS_&amp;_BANK7"/>
      <sheetName val="Sales_077"/>
      <sheetName val="Sales_087"/>
      <sheetName val="Purchase08_7"/>
      <sheetName val="Sigra-PT_Adira7"/>
      <sheetName val="PPN_Import_Accounting7"/>
      <sheetName val="chiet_tinh7"/>
      <sheetName val="Dati_base7"/>
      <sheetName val="Account_Code7"/>
      <sheetName val="fiscal_depr(E)7"/>
      <sheetName val="AutoOpen_Stub_Data20"/>
      <sheetName val="Purchase_Order_(2)20"/>
      <sheetName val="Customize_Your_Purchase_Order20"/>
      <sheetName val="Invoice_I19"/>
      <sheetName val="CF_WORKSHEET19"/>
      <sheetName val="DATA_WP18"/>
      <sheetName val="TB_-_BS18"/>
      <sheetName val="PO_ADM5"/>
      <sheetName val="SK_HTM5"/>
      <sheetName val="Monthly_RecapLO4"/>
      <sheetName val="Tabel_Benefit4"/>
      <sheetName val="PL_okay4"/>
      <sheetName val="BS_okay4"/>
      <sheetName val="KAS_&amp;_BANK4"/>
      <sheetName val="Sales_074"/>
      <sheetName val="Sales_084"/>
      <sheetName val="Purchase08_4"/>
      <sheetName val="Sigra-PT_Adira4"/>
      <sheetName val="PPN_Import_Accounting4"/>
      <sheetName val="chiet_tinh4"/>
      <sheetName val="Dati_base4"/>
      <sheetName val="Account_Code4"/>
      <sheetName val="fiscal_depr(E)4"/>
      <sheetName val="AutoOpen_Stub_Data21"/>
      <sheetName val="Purchase_Order_(2)21"/>
      <sheetName val="Customize_Your_Purchase_Order21"/>
      <sheetName val="Invoice_I20"/>
      <sheetName val="CF_WORKSHEET20"/>
      <sheetName val="DATA_WP19"/>
      <sheetName val="TB_-_BS19"/>
      <sheetName val="PO_ADM6"/>
      <sheetName val="SK_HTM6"/>
      <sheetName val="Monthly_RecapLO5"/>
      <sheetName val="Tabel_Benefit5"/>
      <sheetName val="PL_okay5"/>
      <sheetName val="BS_okay5"/>
      <sheetName val="KAS_&amp;_BANK5"/>
      <sheetName val="Sales_075"/>
      <sheetName val="Sales_085"/>
      <sheetName val="Purchase08_5"/>
      <sheetName val="Sigra-PT_Adira5"/>
      <sheetName val="PPN_Import_Accounting5"/>
      <sheetName val="chiet_tinh5"/>
      <sheetName val="Dati_base5"/>
      <sheetName val="Account_Code5"/>
      <sheetName val="fiscal_depr(E)5"/>
      <sheetName val="AutoOpen_Stub_Data22"/>
      <sheetName val="Purchase_Order_(2)22"/>
      <sheetName val="Customize_Your_Purchase_Order22"/>
      <sheetName val="Invoice_I21"/>
      <sheetName val="CF_WORKSHEET21"/>
      <sheetName val="DATA_WP20"/>
      <sheetName val="TB_-_BS20"/>
      <sheetName val="PO_ADM7"/>
      <sheetName val="SK_HTM7"/>
      <sheetName val="Monthly_RecapLO6"/>
      <sheetName val="Tabel_Benefit6"/>
      <sheetName val="PL_okay6"/>
      <sheetName val="BS_okay6"/>
      <sheetName val="KAS_&amp;_BANK6"/>
      <sheetName val="Sales_076"/>
      <sheetName val="Sales_086"/>
      <sheetName val="Purchase08_6"/>
      <sheetName val="Sigra-PT_Adira6"/>
      <sheetName val="PPN_Import_Accounting6"/>
      <sheetName val="chiet_tinh6"/>
      <sheetName val="Dati_base6"/>
      <sheetName val="Account_Code6"/>
      <sheetName val="fiscal_depr(E)6"/>
      <sheetName val="AutoOpen_Stub_Data24"/>
      <sheetName val="Purchase_Order_(2)24"/>
      <sheetName val="Customize_Your_Purchase_Order24"/>
      <sheetName val="Invoice_I23"/>
      <sheetName val="CF_WORKSHEET23"/>
      <sheetName val="DATA_WP22"/>
      <sheetName val="TB_-_BS22"/>
      <sheetName val="PO_ADM9"/>
      <sheetName val="SK_HTM9"/>
      <sheetName val="Monthly_RecapLO8"/>
      <sheetName val="Tabel_Benefit8"/>
      <sheetName val="PL_okay8"/>
      <sheetName val="BS_okay8"/>
      <sheetName val="KAS_&amp;_BANK8"/>
      <sheetName val="Sales_078"/>
      <sheetName val="Sales_088"/>
      <sheetName val="Purchase08_8"/>
      <sheetName val="Sigra-PT_Adira8"/>
      <sheetName val="PPN_Import_Accounting8"/>
      <sheetName val="chiet_tinh8"/>
      <sheetName val="Dati_base8"/>
      <sheetName val="Account_Code8"/>
      <sheetName val="fiscal_depr(E)8"/>
      <sheetName val="AutoOpen_Stub_Data25"/>
      <sheetName val="Purchase_Order_(2)25"/>
      <sheetName val="Customize_Your_Purchase_Order25"/>
      <sheetName val="Invoice_I24"/>
      <sheetName val="CF_WORKSHEET24"/>
      <sheetName val="DATA_WP23"/>
      <sheetName val="TB_-_BS23"/>
      <sheetName val="PO_ADM10"/>
      <sheetName val="SK_HTM10"/>
      <sheetName val="Monthly_RecapLO9"/>
      <sheetName val="Tabel_Benefit9"/>
      <sheetName val="PL_okay9"/>
      <sheetName val="BS_okay9"/>
      <sheetName val="KAS_&amp;_BANK9"/>
      <sheetName val="Sales_079"/>
      <sheetName val="Sales_089"/>
      <sheetName val="Purchase08_9"/>
      <sheetName val="Sigra-PT_Adira9"/>
      <sheetName val="PPN_Import_Accounting9"/>
      <sheetName val="chiet_tinh9"/>
      <sheetName val="Dati_base9"/>
      <sheetName val="Account_Code9"/>
      <sheetName val="fiscal_depr(E)9"/>
      <sheetName val="Benefit_Tab"/>
      <sheetName val="output"/>
      <sheetName val="summary_frm_output"/>
      <sheetName val="decr_table"/>
      <sheetName val="Parameter"/>
      <sheetName val="cALC"/>
      <sheetName val="Input_tables"/>
      <sheetName val="PSC_Calc"/>
      <sheetName val="2934"/>
      <sheetName val="2930"/>
      <sheetName val="2933"/>
      <sheetName val="SUMMFA-USD"/>
      <sheetName val="Ex_Rate"/>
      <sheetName val="Investment"/>
      <sheetName val="A3_USD_PL02"/>
      <sheetName val="ShareCapital"/>
      <sheetName val="Inventories"/>
      <sheetName val="CIP_USD"/>
      <sheetName val="PO"/>
      <sheetName val="CMA Calculations- Figure 5440.1"/>
      <sheetName val="CMA Calculations"/>
      <sheetName val="CMA_Calculations-_Figure_5440_1"/>
      <sheetName val="CMA_Calculations"/>
      <sheetName val="Worksheet-03"/>
      <sheetName val="Eingabe"/>
      <sheetName val="SAD"/>
      <sheetName val="BBM-03"/>
      <sheetName val="Amortization Table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rovision(E)"/>
      <sheetName val="fiscal depreciation (E)"/>
      <sheetName val="Attachment"/>
      <sheetName val="Table Array"/>
      <sheetName val="XLS Avg Rev"/>
      <sheetName val="SAD"/>
      <sheetName val="Prog Imbalan"/>
      <sheetName val="PSC_Calc"/>
      <sheetName val="GeneralInfo"/>
      <sheetName val="Comparision"/>
      <sheetName val="Sheet1"/>
      <sheetName val="ctrl"/>
      <sheetName val="DATA_PENJUALAN"/>
      <sheetName val="ws detail lombok"/>
      <sheetName val="DATA 2009"/>
      <sheetName val="TARGET RAKER "/>
      <sheetName val="target raker 1"/>
      <sheetName val="Menu"/>
      <sheetName val="Option List"/>
      <sheetName val="DATA WP"/>
      <sheetName val="Sheet2"/>
      <sheetName val="DATA UNIT"/>
      <sheetName val="DATA VALUE"/>
      <sheetName val="KK"/>
      <sheetName val="RumusTB 1 bln"/>
      <sheetName val="COA"/>
      <sheetName val="ITEM"/>
      <sheetName val="BB"/>
      <sheetName val="BS"/>
      <sheetName val="CF"/>
      <sheetName val="SC "/>
      <sheetName val="Benefit_Tab"/>
      <sheetName val="output"/>
      <sheetName val="summary_frm_output"/>
      <sheetName val="Parameter"/>
      <sheetName val="decr_table"/>
      <sheetName val="cALC"/>
      <sheetName val="Input_tables"/>
      <sheetName val="KONS2005"/>
      <sheetName val="Buku Besar 1"/>
      <sheetName val="fiscal_depreciation_(E)1"/>
      <sheetName val="Table_Array"/>
      <sheetName val="XLS_Avg_Rev"/>
      <sheetName val="Prog_Imbalan"/>
      <sheetName val="ws_detail_lombok"/>
      <sheetName val="DATA_2009"/>
      <sheetName val="TARGET_RAKER_"/>
      <sheetName val="target_raker_1"/>
      <sheetName val="fiscal_depreciation_(E)"/>
      <sheetName val="KONS2008"/>
      <sheetName val="CODE"/>
      <sheetName val="Source"/>
      <sheetName val="Lead"/>
      <sheetName val="SheetGMP"/>
      <sheetName val="SheetGMT"/>
      <sheetName val="Alamat"/>
      <sheetName val="Kontrol"/>
      <sheetName val="Info"/>
      <sheetName val="fiscal_depreciation_(E)2"/>
      <sheetName val="Table_Array1"/>
      <sheetName val="XLS_Avg_Rev1"/>
      <sheetName val="Prog_Imbalan1"/>
      <sheetName val="ws_detail_lombok1"/>
      <sheetName val="DATA_20091"/>
      <sheetName val="target_raker_11"/>
      <sheetName val="Analisa &amp; Upah"/>
      <sheetName val="SE-C"/>
      <sheetName val="BIC"/>
      <sheetName val="Harga Sat"/>
      <sheetName val="Scat"/>
      <sheetName val="Sales Proj"/>
      <sheetName val="Option_List"/>
      <sheetName val="DATA_WP"/>
      <sheetName val="DATA_UNIT"/>
      <sheetName val="DATA_VALUE"/>
      <sheetName val="RumusTB_1_bln"/>
      <sheetName val="SC_"/>
      <sheetName val="Buku_Besar_1"/>
      <sheetName val="Analisa_&amp;_Upah"/>
      <sheetName val="Harga_Sat"/>
      <sheetName val="Sales_Proj"/>
      <sheetName val="00-MEMO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fiscal_depreciation_(E)3"/>
      <sheetName val="Table_Array2"/>
      <sheetName val="XLS_Avg_Rev2"/>
      <sheetName val="Prog_Imbalan2"/>
      <sheetName val="ws_detail_lombok2"/>
      <sheetName val="DATA_20092"/>
      <sheetName val="target_raker_12"/>
      <sheetName val="Option_List1"/>
      <sheetName val="DATA_WP1"/>
      <sheetName val="DATA_UNIT1"/>
      <sheetName val="DATA_VALUE1"/>
      <sheetName val="RumusTB_1_bln1"/>
      <sheetName val="SC_1"/>
      <sheetName val="Buku_Besar_11"/>
      <sheetName val="Analisa_&amp;_Upah1"/>
      <sheetName val="Harga_Sat1"/>
      <sheetName val="Sales_Proj1"/>
      <sheetName val="As"/>
      <sheetName val="Cover-01"/>
      <sheetName val="SCORE_RC_Code"/>
      <sheetName val="BBM-03"/>
      <sheetName val="jpr"/>
      <sheetName val="BGT 07"/>
      <sheetName val="DAF-BAHAN"/>
      <sheetName val="DAF-UPAH"/>
      <sheetName val="status"/>
      <sheetName val="NAP"/>
      <sheetName val="General"/>
      <sheetName val="A 3-2"/>
      <sheetName val="CPC"/>
      <sheetName val="F1771-V"/>
      <sheetName val="SDH"/>
      <sheetName val="COVER"/>
      <sheetName val="A"/>
      <sheetName val="SFKLN"/>
      <sheetName val="Cover Sheet"/>
      <sheetName val="PRO"/>
      <sheetName val="RWP 33"/>
      <sheetName val="Div2"/>
      <sheetName val="RetPlan"/>
      <sheetName val="Office_Rent"/>
      <sheetName val="SALARY"/>
      <sheetName val="IS"/>
      <sheetName val="tabel"/>
      <sheetName val="HK rates"/>
      <sheetName val="OFF"/>
      <sheetName val="Actual96"/>
      <sheetName val="NOMENCLATURE"/>
      <sheetName val="COEF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A_u_g"/>
      <sheetName val="M_a_r"/>
      <sheetName val="RMCONS"/>
      <sheetName val="CGS"/>
      <sheetName val="Internal Trial Balance"/>
      <sheetName val="Rbk 5 PG"/>
      <sheetName val="Links"/>
      <sheetName val="Permanent info"/>
      <sheetName val="Std-Prod KS"/>
      <sheetName val="appendix"/>
      <sheetName val="Income Statement-May 2004"/>
      <sheetName val="fiscal_depreciation_(E)4"/>
      <sheetName val="XLS_Avg_Rev3"/>
      <sheetName val="Table_Array3"/>
      <sheetName val="Prog_Imbalan3"/>
      <sheetName val="Option_List2"/>
      <sheetName val="DATA_WP2"/>
      <sheetName val="DATA_UNIT2"/>
      <sheetName val="DATA_VALUE2"/>
      <sheetName val="SC_2"/>
      <sheetName val="RumusTB_1_bln2"/>
      <sheetName val="Buku_Besar_12"/>
      <sheetName val="Analisa_&amp;_Upah2"/>
      <sheetName val="Harga_Sat2"/>
      <sheetName val="Sales_Proj2"/>
      <sheetName val="ws_detail_lombok3"/>
      <sheetName val="DATA_20093"/>
      <sheetName val="target_raker_13"/>
      <sheetName val="JL_BEL"/>
      <sheetName val="DATA_JUALAN"/>
      <sheetName val="BELI _SEPTEMBER"/>
      <sheetName val="BELI_0603"/>
      <sheetName val="HPP_0503 CPN"/>
      <sheetName val="Beli &amp; Retur CPN"/>
      <sheetName val="SALGO GS"/>
      <sheetName val="SALDO_GS_CPN"/>
      <sheetName val="HPP_OKTOBER"/>
      <sheetName val="SALDO_BD"/>
      <sheetName val="Price"/>
      <sheetName val="STOCK_AWAL"/>
      <sheetName val="BELI JULI"/>
      <sheetName val="HPP_JUNI"/>
      <sheetName val="WP PASIVA"/>
      <sheetName val="WP AKTIVA"/>
      <sheetName val="BAG-III"/>
      <sheetName val="Benefit"/>
      <sheetName val="Factor"/>
      <sheetName val="BGT"/>
      <sheetName val="Analis"/>
      <sheetName val="Daftar Upah,Bhn,&amp; alat"/>
      <sheetName val="fiscal_depreciation_(E)5"/>
      <sheetName val="XLS_Avg_Rev4"/>
      <sheetName val="Table_Array4"/>
      <sheetName val="Prog_Imbalan4"/>
      <sheetName val="Option_List3"/>
      <sheetName val="DATA_WP3"/>
      <sheetName val="DATA_UNIT3"/>
      <sheetName val="DATA_VALUE3"/>
      <sheetName val="SC_3"/>
      <sheetName val="RumusTB_1_bln3"/>
      <sheetName val="Buku_Besar_13"/>
      <sheetName val="Analisa_&amp;_Upah3"/>
      <sheetName val="Harga_Sat3"/>
      <sheetName val="Sales_Proj3"/>
      <sheetName val="ws_detail_lombok4"/>
      <sheetName val="DATA_20094"/>
      <sheetName val="target_raker_14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A_u_g1"/>
      <sheetName val="M_a_r1"/>
      <sheetName val="MasterSheet"/>
      <sheetName val="An-str(krgnyr)"/>
      <sheetName val="MK(7ｶ国+5,7,12万台)"/>
      <sheetName val="L_23"/>
      <sheetName val="RekapGaji"/>
      <sheetName val="Upah_Bahan"/>
      <sheetName val="Bank"/>
      <sheetName val="Bunga"/>
      <sheetName val="BAHAN"/>
      <sheetName val="Mark-up"/>
      <sheetName val="BQ"/>
      <sheetName val="hsp-STR-ARS"/>
      <sheetName val="PRELI_CAP"/>
      <sheetName val="dl0450_30"/>
      <sheetName val="Assumptions"/>
      <sheetName val="Bilanz Bus.plan 2002"/>
      <sheetName val="Rinci-Biaya"/>
      <sheetName val="Rinci-Pendapatan"/>
      <sheetName val="Hsatuan-OK"/>
      <sheetName val="SDM"/>
      <sheetName val="harsat"/>
      <sheetName val="Analisa"/>
      <sheetName val="Material"/>
      <sheetName val="H-Dasar"/>
      <sheetName val="MAPP"/>
      <sheetName val="Exchange Rates"/>
      <sheetName val="PROJ CASH"/>
      <sheetName val="boq"/>
      <sheetName val="Rate"/>
      <sheetName val="Pricing"/>
      <sheetName val="Alat tanah dan Struktur (10-05)"/>
      <sheetName val="Alat tanah dan Struktur (03-09)"/>
      <sheetName val="Uraian Upah"/>
      <sheetName val="DB-PU"/>
      <sheetName val="ABT"/>
      <sheetName val="FOOT"/>
      <sheetName val="PH"/>
      <sheetName val="CLM"/>
      <sheetName val="ANAL_P4"/>
      <sheetName val="ANTEK"/>
      <sheetName val="MAP"/>
      <sheetName val="31JAN07"/>
      <sheetName val="DCF"/>
      <sheetName val="CMGRPM20"/>
      <sheetName val="master"/>
      <sheetName val="BUT-1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HEX-A"/>
      <sheetName val="HEX-E"/>
      <sheetName val="IBD MTD"/>
      <sheetName val="IBD YTD"/>
      <sheetName val="I-BUT"/>
      <sheetName val="By Product MTD"/>
      <sheetName val="By Product YTD"/>
      <sheetName val="RD I-BUT"/>
      <sheetName val="Total expenses MTD "/>
      <sheetName val="I"/>
      <sheetName val="II"/>
      <sheetName val="AE"/>
      <sheetName val="INVOICES"/>
      <sheetName val="Customize Your Purchase Order"/>
      <sheetName val="ANAL"/>
      <sheetName val="HS"/>
      <sheetName val="BP1_23"/>
      <sheetName val="TL"/>
      <sheetName val="SUB &amp; mandor"/>
      <sheetName val="Hrg Sat"/>
      <sheetName val="H_Satuan"/>
      <sheetName val="RPP01 6"/>
      <sheetName val="BETON"/>
      <sheetName val="hasat"/>
      <sheetName val="PNT"/>
      <sheetName val="DaftarHarga"/>
      <sheetName val="Galian"/>
      <sheetName val="bau"/>
      <sheetName val="GAJI"/>
      <sheetName val="REKAP"/>
      <sheetName val="Marshal -1"/>
      <sheetName val="BL"/>
      <sheetName val="an-satuan"/>
      <sheetName val="RAB"/>
      <sheetName val="UPH,BHN,ALT"/>
      <sheetName val="Kamus"/>
      <sheetName val="2002"/>
      <sheetName val="Cashflow"/>
      <sheetName val="DAF_5"/>
      <sheetName val="Retail"/>
      <sheetName val="STR"/>
      <sheetName val="SAA"/>
      <sheetName val="KKP-II.2.2.1.2"/>
      <sheetName val="Lamp-14(Manajemen)"/>
      <sheetName val="mat&amp;upah"/>
      <sheetName val="Trial"/>
      <sheetName val="DCF SD JUNI 04"/>
      <sheetName val="H.Satuan"/>
      <sheetName val="General Info"/>
      <sheetName val="Notes to BS"/>
      <sheetName val="Input Sheet"/>
      <sheetName val="BIAYA"/>
      <sheetName val="DEPR"/>
      <sheetName val="EXT B3"/>
      <sheetName val="IKHTISAR"/>
      <sheetName val="INDUK"/>
      <sheetName val="B2.1"/>
      <sheetName val="K.2-Building"/>
      <sheetName val="PS data"/>
      <sheetName val="VariableCalc"/>
      <sheetName val="Interbank detail"/>
      <sheetName val="Ex-Rate"/>
      <sheetName val="Marshal00"/>
      <sheetName val="Interdata"/>
      <sheetName val="VALIDASI"/>
      <sheetName val="Budget04"/>
      <sheetName val="LS_Bank"/>
      <sheetName val="LS_TAR"/>
      <sheetName val="Permanent_info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RD_I-BUT"/>
      <sheetName val="Total_expenses_MTD_"/>
      <sheetName val="C Section"/>
      <sheetName val="R6-5"/>
      <sheetName val="5 yr (Services only) Summary"/>
      <sheetName val="121"/>
      <sheetName val="161"/>
      <sheetName val="Cases"/>
      <sheetName val="POTO MAC"/>
      <sheetName val="F1771-2"/>
      <sheetName val="Tb Bs0907_IKT"/>
      <sheetName val="QTR"/>
      <sheetName val="I.4.1 (2)"/>
      <sheetName val="JAN 2001"/>
      <sheetName val="B"/>
      <sheetName val="Confirmation"/>
      <sheetName val="stock"/>
      <sheetName val="94-95-96 P&amp;L"/>
      <sheetName val="Structr 2103adjus"/>
      <sheetName val="tb1"/>
      <sheetName val="rekap impor"/>
      <sheetName val="Template "/>
      <sheetName val="P&amp;L"/>
      <sheetName val="Tiers"/>
      <sheetName val="AGGD CKP Original"/>
      <sheetName val="TAX LIST"/>
      <sheetName val="Tickmarks"/>
      <sheetName val="Product Features"/>
      <sheetName val="Decrement Rates"/>
      <sheetName val="Data1"/>
      <sheetName val="Assumption"/>
      <sheetName val="Q 1"/>
      <sheetName val="HPP"/>
      <sheetName val="name"/>
      <sheetName val="RATIO"/>
      <sheetName val="cc"/>
      <sheetName val="Agustus"/>
      <sheetName val="recon"/>
      <sheetName val="Data-Bgt-Refor"/>
      <sheetName val="NERACA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Kantor Pusat"/>
      <sheetName val="Semarang"/>
      <sheetName val="Surabaya Gempol Mojokerto"/>
      <sheetName val="pricelist"/>
      <sheetName val="BHN-ALAT"/>
      <sheetName val="Tax2000l"/>
      <sheetName val="FINAL"/>
      <sheetName val="RESUME"/>
      <sheetName val="DAPRO"/>
      <sheetName val="AHS-8FO"/>
      <sheetName val="HK_rates"/>
      <sheetName val="Internal_Trial_Balance"/>
      <sheetName val="Rbk_5_PG"/>
      <sheetName val="Bilanz_Bus_plan_2002"/>
      <sheetName val="WP_PASIVA"/>
      <sheetName val="WP_AKTIVA"/>
      <sheetName val="BELI__SEPTEMBER"/>
      <sheetName val="HPP_0503_CPN"/>
      <sheetName val="Beli_&amp;_Retur_CPN"/>
      <sheetName val="SALGO_GS"/>
      <sheetName val="BELI_JULI"/>
      <sheetName val="Input_Sheet"/>
      <sheetName val="EXT_B3"/>
      <sheetName val="B2_1"/>
      <sheetName val="Notes_to_BS"/>
      <sheetName val="PS_data"/>
      <sheetName val="K_2-Building"/>
      <sheetName val="Interbank_detail"/>
      <sheetName val="POTO_MAC"/>
      <sheetName val="Tb_Bs0907_IKT"/>
      <sheetName val="JAN_2001"/>
      <sheetName val="General_Info"/>
      <sheetName val="Structr_2103adjus"/>
      <sheetName val="rekap_impor"/>
      <sheetName val="Template_"/>
      <sheetName val="Ref"/>
      <sheetName val="Ex_Rate"/>
      <sheetName val="WBS KONSOL Dec 2008"/>
      <sheetName val="load"/>
      <sheetName val="SumIQA"/>
      <sheetName val="ANAL-str2"/>
      <sheetName val="DKH SOKER"/>
      <sheetName val="RAB-LANSEKAP"/>
      <sheetName val="HARGA AT"/>
      <sheetName val="kriteria"/>
      <sheetName val="BA"/>
      <sheetName val="Ford Options"/>
      <sheetName val="Projection 2007 Summary"/>
      <sheetName val="tbl"/>
      <sheetName val="WBS_KONSOL_Dec_2008"/>
      <sheetName val="PayloadPerformance"/>
      <sheetName val="Urugan Pasir"/>
      <sheetName val="A_3-2"/>
      <sheetName val="TARGET_RAKER_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A_u_g2"/>
      <sheetName val="M_a_r2"/>
      <sheetName val="HK_rates1"/>
      <sheetName val="Internal_Trial_Balance1"/>
      <sheetName val="Rbk_5_PG1"/>
      <sheetName val="Permanent_info1"/>
      <sheetName val="Bilanz_Bus_plan_20021"/>
      <sheetName val="WP_PASIVA1"/>
      <sheetName val="WP_AKTIVA1"/>
      <sheetName val="BELI__SEPTEMBER1"/>
      <sheetName val="HPP_0503_CPN1"/>
      <sheetName val="Beli_&amp;_Retur_CPN1"/>
      <sheetName val="SALGO_GS1"/>
      <sheetName val="BELI_JULI1"/>
      <sheetName val="A_3-21"/>
      <sheetName val="fiscal_depreciation_(E)6"/>
      <sheetName val="Table_Array5"/>
      <sheetName val="XLS_Avg_Rev5"/>
      <sheetName val="Prog_Imbalan5"/>
      <sheetName val="Option_List4"/>
      <sheetName val="DATA_WP4"/>
      <sheetName val="DATA_UNIT4"/>
      <sheetName val="DATA_VALUE4"/>
      <sheetName val="RumusTB_1_bln4"/>
      <sheetName val="SC_4"/>
      <sheetName val="Harga_Sat4"/>
      <sheetName val="Sales_Proj4"/>
      <sheetName val="Buku_Besar_14"/>
      <sheetName val="ws_detail_lombok5"/>
      <sheetName val="DATA_20095"/>
      <sheetName val="TARGET_RAKER_3"/>
      <sheetName val="Analisa_&amp;_Upah4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A_u_g3"/>
      <sheetName val="M_a_r3"/>
      <sheetName val="HK_rates2"/>
      <sheetName val="Internal_Trial_Balance2"/>
      <sheetName val="Rbk_5_PG2"/>
      <sheetName val="Permanent_info2"/>
      <sheetName val="Bilanz_Bus_plan_20022"/>
      <sheetName val="WP_PASIVA2"/>
      <sheetName val="WP_AKTIVA2"/>
      <sheetName val="BELI__SEPTEMBER2"/>
      <sheetName val="HPP_0503_CPN2"/>
      <sheetName val="Beli_&amp;_Retur_CPN2"/>
      <sheetName val="SALGO_GS2"/>
      <sheetName val="BELI_JULI2"/>
      <sheetName val="A_3-22"/>
      <sheetName val="fiscal_depreciation_(E)7"/>
      <sheetName val="Table_Array6"/>
      <sheetName val="XLS_Avg_Rev6"/>
      <sheetName val="Prog_Imbalan6"/>
      <sheetName val="Option_List5"/>
      <sheetName val="DATA_WP5"/>
      <sheetName val="DATA_UNIT5"/>
      <sheetName val="DATA_VALUE5"/>
      <sheetName val="RumusTB_1_bln5"/>
      <sheetName val="SC_5"/>
      <sheetName val="Harga_Sat5"/>
      <sheetName val="Sales_Proj5"/>
      <sheetName val="Buku_Besar_15"/>
      <sheetName val="ws_detail_lombok6"/>
      <sheetName val="DATA_20096"/>
      <sheetName val="TARGET_RAKER_4"/>
      <sheetName val="Analisa_&amp;_Upah5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HK_rates3"/>
      <sheetName val="Internal_Trial_Balance3"/>
      <sheetName val="Rbk_5_PG3"/>
      <sheetName val="Permanent_info3"/>
      <sheetName val="Bilanz_Bus_plan_20023"/>
      <sheetName val="WP_PASIVA3"/>
      <sheetName val="WP_AKTIVA3"/>
      <sheetName val="BELI__SEPTEMBER3"/>
      <sheetName val="HPP_0503_CPN3"/>
      <sheetName val="Beli_&amp;_Retur_CPN3"/>
      <sheetName val="SALGO_GS3"/>
      <sheetName val="BELI_JULI3"/>
      <sheetName val="A_3-23"/>
      <sheetName val="fiscal_depreciation_(E)9"/>
      <sheetName val="Table_Array8"/>
      <sheetName val="XLS_Avg_Rev8"/>
      <sheetName val="Prog_Imbalan8"/>
      <sheetName val="Option_List7"/>
      <sheetName val="DATA_WP7"/>
      <sheetName val="DATA_UNIT7"/>
      <sheetName val="DATA_VALUE7"/>
      <sheetName val="RumusTB_1_bln7"/>
      <sheetName val="SC_7"/>
      <sheetName val="Harga_Sat7"/>
      <sheetName val="Sales_Proj7"/>
      <sheetName val="Buku_Besar_17"/>
      <sheetName val="ws_detail_lombok8"/>
      <sheetName val="DATA_20098"/>
      <sheetName val="Analisa_&amp;_Upah7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A_u_g6"/>
      <sheetName val="M_a_r6"/>
      <sheetName val="HK_rates5"/>
      <sheetName val="Internal_Trial_Balance5"/>
      <sheetName val="Rbk_5_PG5"/>
      <sheetName val="Permanent_info5"/>
      <sheetName val="Bilanz_Bus_plan_20025"/>
      <sheetName val="WP_PASIVA5"/>
      <sheetName val="WP_AKTIVA5"/>
      <sheetName val="BELI__SEPTEMBER5"/>
      <sheetName val="HPP_0503_CPN5"/>
      <sheetName val="Beli_&amp;_Retur_CPN5"/>
      <sheetName val="SALGO_GS5"/>
      <sheetName val="BELI_JULI5"/>
      <sheetName val="A_3-25"/>
      <sheetName val="fiscal_depreciation_(E)8"/>
      <sheetName val="Table_Array7"/>
      <sheetName val="XLS_Avg_Rev7"/>
      <sheetName val="Prog_Imbalan7"/>
      <sheetName val="Option_List6"/>
      <sheetName val="DATA_WP6"/>
      <sheetName val="DATA_UNIT6"/>
      <sheetName val="DATA_VALUE6"/>
      <sheetName val="RumusTB_1_bln6"/>
      <sheetName val="SC_6"/>
      <sheetName val="Harga_Sat6"/>
      <sheetName val="Sales_Proj6"/>
      <sheetName val="Buku_Besar_16"/>
      <sheetName val="ws_detail_lombok7"/>
      <sheetName val="DATA_20097"/>
      <sheetName val="TARGET_RAKER_5"/>
      <sheetName val="Analisa_&amp;_Upah6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A_u_g5"/>
      <sheetName val="M_a_r5"/>
      <sheetName val="HK_rates4"/>
      <sheetName val="Internal_Trial_Balance4"/>
      <sheetName val="Rbk_5_PG4"/>
      <sheetName val="Permanent_info4"/>
      <sheetName val="Bilanz_Bus_plan_20024"/>
      <sheetName val="WP_PASIVA4"/>
      <sheetName val="WP_AKTIVA4"/>
      <sheetName val="BELI__SEPTEMBER4"/>
      <sheetName val="HPP_0503_CPN4"/>
      <sheetName val="Beli_&amp;_Retur_CPN4"/>
      <sheetName val="SALGO_GS4"/>
      <sheetName val="BELI_JULI4"/>
      <sheetName val="A_3-24"/>
      <sheetName val="fiscal_depreciation_(E)10"/>
      <sheetName val="Table_Array9"/>
      <sheetName val="XLS_Avg_Rev9"/>
      <sheetName val="Prog_Imbalan9"/>
      <sheetName val="Option_List8"/>
      <sheetName val="DATA_WP8"/>
      <sheetName val="DATA_UNIT8"/>
      <sheetName val="DATA_VALUE8"/>
      <sheetName val="RumusTB_1_bln8"/>
      <sheetName val="SC_8"/>
      <sheetName val="Harga_Sat8"/>
      <sheetName val="Sales_Proj8"/>
      <sheetName val="Buku_Besar_18"/>
      <sheetName val="ws_detail_lombok9"/>
      <sheetName val="DATA_20099"/>
      <sheetName val="TARGET_RAKER_6"/>
      <sheetName val="Analisa_&amp;_Upah8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A_u_g7"/>
      <sheetName val="M_a_r7"/>
      <sheetName val="HK_rates6"/>
      <sheetName val="Internal_Trial_Balance6"/>
      <sheetName val="Rbk_5_PG6"/>
      <sheetName val="Permanent_info6"/>
      <sheetName val="Bilanz_Bus_plan_20026"/>
      <sheetName val="WP_PASIVA6"/>
      <sheetName val="WP_AKTIVA6"/>
      <sheetName val="BELI__SEPTEMBER6"/>
      <sheetName val="HPP_0503_CPN6"/>
      <sheetName val="Beli_&amp;_Retur_CPN6"/>
      <sheetName val="SALGO_GS6"/>
      <sheetName val="BELI_JULI6"/>
      <sheetName val="A_3-26"/>
      <sheetName val="fiscal_depreciation_(E)11"/>
      <sheetName val="Table_Array10"/>
      <sheetName val="XLS_Avg_Rev10"/>
      <sheetName val="Prog_Imbalan10"/>
      <sheetName val="Option_List9"/>
      <sheetName val="DATA_WP9"/>
      <sheetName val="DATA_UNIT9"/>
      <sheetName val="DATA_VALUE9"/>
      <sheetName val="RumusTB_1_bln9"/>
      <sheetName val="SC_9"/>
      <sheetName val="Harga_Sat9"/>
      <sheetName val="Sales_Proj9"/>
      <sheetName val="Buku_Besar_19"/>
      <sheetName val="ws_detail_lombok10"/>
      <sheetName val="DATA_200910"/>
      <sheetName val="TARGET_RAKER_7"/>
      <sheetName val="Analisa_&amp;_Upah9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A_u_g8"/>
      <sheetName val="M_a_r8"/>
      <sheetName val="HK_rates7"/>
      <sheetName val="Internal_Trial_Balance7"/>
      <sheetName val="Rbk_5_PG7"/>
      <sheetName val="Permanent_info7"/>
      <sheetName val="Bilanz_Bus_plan_20027"/>
      <sheetName val="WP_PASIVA7"/>
      <sheetName val="WP_AKTIVA7"/>
      <sheetName val="BELI__SEPTEMBER7"/>
      <sheetName val="HPP_0503_CPN7"/>
      <sheetName val="Beli_&amp;_Retur_CPN7"/>
      <sheetName val="SALGO_GS7"/>
      <sheetName val="BELI_JULI7"/>
      <sheetName val="A_3-27"/>
      <sheetName val="HARGA SATUAN UPAH PEKERJA"/>
      <sheetName val="fiscal_depreciation_(E)13"/>
      <sheetName val="Table_Array12"/>
      <sheetName val="XLS_Avg_Rev12"/>
      <sheetName val="Prog_Imbalan12"/>
      <sheetName val="Option_List11"/>
      <sheetName val="DATA_WP11"/>
      <sheetName val="DATA_UNIT11"/>
      <sheetName val="DATA_VALUE11"/>
      <sheetName val="RumusTB_1_bln11"/>
      <sheetName val="SC_11"/>
      <sheetName val="Harga_Sat11"/>
      <sheetName val="Sales_Proj11"/>
      <sheetName val="Buku_Besar_111"/>
      <sheetName val="ws_detail_lombok12"/>
      <sheetName val="DATA_200912"/>
      <sheetName val="target_raker_15"/>
      <sheetName val="Analisa_&amp;_Upah11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A_u_g10"/>
      <sheetName val="M_a_r10"/>
      <sheetName val="HK_rates9"/>
      <sheetName val="Internal_Trial_Balance9"/>
      <sheetName val="Rbk_5_PG9"/>
      <sheetName val="Permanent_info9"/>
      <sheetName val="Bilanz_Bus_plan_20029"/>
      <sheetName val="WP_PASIVA9"/>
      <sheetName val="WP_AKTIVA9"/>
      <sheetName val="BELI__SEPTEMBER9"/>
      <sheetName val="HPP_0503_CPN9"/>
      <sheetName val="Beli_&amp;_Retur_CPN9"/>
      <sheetName val="SALGO_GS9"/>
      <sheetName val="BELI_JULI9"/>
      <sheetName val="A_3-29"/>
      <sheetName val="fiscal_depreciation_(E)12"/>
      <sheetName val="Table_Array11"/>
      <sheetName val="XLS_Avg_Rev11"/>
      <sheetName val="Prog_Imbalan11"/>
      <sheetName val="Option_List10"/>
      <sheetName val="DATA_WP10"/>
      <sheetName val="DATA_UNIT10"/>
      <sheetName val="DATA_VALUE10"/>
      <sheetName val="RumusTB_1_bln10"/>
      <sheetName val="SC_10"/>
      <sheetName val="Harga_Sat10"/>
      <sheetName val="Sales_Proj10"/>
      <sheetName val="Buku_Besar_110"/>
      <sheetName val="ws_detail_lombok11"/>
      <sheetName val="DATA_200911"/>
      <sheetName val="TARGET_RAKER_8"/>
      <sheetName val="Analisa_&amp;_Upah10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A_u_g9"/>
      <sheetName val="M_a_r9"/>
      <sheetName val="HK_rates8"/>
      <sheetName val="Internal_Trial_Balance8"/>
      <sheetName val="Rbk_5_PG8"/>
      <sheetName val="Permanent_info8"/>
      <sheetName val="Bilanz_Bus_plan_20028"/>
      <sheetName val="WP_PASIVA8"/>
      <sheetName val="WP_AKTIVA8"/>
      <sheetName val="BELI__SEPTEMBER8"/>
      <sheetName val="HPP_0503_CPN8"/>
      <sheetName val="Beli_&amp;_Retur_CPN8"/>
      <sheetName val="SALGO_GS8"/>
      <sheetName val="BELI_JULI8"/>
      <sheetName val="A_3-28"/>
      <sheetName val="fiscal_depreciation_(E)15"/>
      <sheetName val="Table_Array14"/>
      <sheetName val="XLS_Avg_Rev14"/>
      <sheetName val="Prog_Imbalan14"/>
      <sheetName val="Option_List13"/>
      <sheetName val="DATA_WP13"/>
      <sheetName val="DATA_UNIT13"/>
      <sheetName val="DATA_VALUE13"/>
      <sheetName val="RumusTB_1_bln13"/>
      <sheetName val="SC_13"/>
      <sheetName val="Harga_Sat13"/>
      <sheetName val="Sales_Proj13"/>
      <sheetName val="Buku_Besar_113"/>
      <sheetName val="ws_detail_lombok14"/>
      <sheetName val="DATA_200914"/>
      <sheetName val="TARGET_RAKER_10"/>
      <sheetName val="Analisa_&amp;_Upah13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A_u_g12"/>
      <sheetName val="M_a_r12"/>
      <sheetName val="HK_rates11"/>
      <sheetName val="Internal_Trial_Balance11"/>
      <sheetName val="Rbk_5_PG11"/>
      <sheetName val="Permanent_info11"/>
      <sheetName val="Bilanz_Bus_plan_200211"/>
      <sheetName val="WP_PASIVA11"/>
      <sheetName val="WP_AKTIVA11"/>
      <sheetName val="BELI__SEPTEMBER11"/>
      <sheetName val="HPP_0503_CPN11"/>
      <sheetName val="Beli_&amp;_Retur_CPN11"/>
      <sheetName val="SALGO_GS11"/>
      <sheetName val="BELI_JULI11"/>
      <sheetName val="A_3-211"/>
      <sheetName val="HARGA_SATUAN_UPAH_PEKERJA1"/>
      <sheetName val="fiscal_depreciation_(E)14"/>
      <sheetName val="Table_Array13"/>
      <sheetName val="XLS_Avg_Rev13"/>
      <sheetName val="Prog_Imbalan13"/>
      <sheetName val="Option_List12"/>
      <sheetName val="DATA_WP12"/>
      <sheetName val="DATA_UNIT12"/>
      <sheetName val="DATA_VALUE12"/>
      <sheetName val="RumusTB_1_bln12"/>
      <sheetName val="SC_12"/>
      <sheetName val="Harga_Sat12"/>
      <sheetName val="Sales_Proj12"/>
      <sheetName val="Buku_Besar_112"/>
      <sheetName val="ws_detail_lombok13"/>
      <sheetName val="DATA_200913"/>
      <sheetName val="TARGET_RAKER_9"/>
      <sheetName val="Analisa_&amp;_Upah12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A_u_g11"/>
      <sheetName val="M_a_r11"/>
      <sheetName val="HK_rates10"/>
      <sheetName val="Internal_Trial_Balance10"/>
      <sheetName val="Rbk_5_PG10"/>
      <sheetName val="Permanent_info10"/>
      <sheetName val="Bilanz_Bus_plan_200210"/>
      <sheetName val="WP_PASIVA10"/>
      <sheetName val="WP_AKTIVA10"/>
      <sheetName val="BELI__SEPTEMBER10"/>
      <sheetName val="HPP_0503_CPN10"/>
      <sheetName val="Beli_&amp;_Retur_CPN10"/>
      <sheetName val="SALGO_GS10"/>
      <sheetName val="BELI_JULI10"/>
      <sheetName val="A_3-210"/>
      <sheetName val="HARGA_SATUAN_UPAH_PEKERJA"/>
      <sheetName val="fiscal_depreciation_(E)16"/>
      <sheetName val="Table_Array15"/>
      <sheetName val="XLS_Avg_Rev15"/>
      <sheetName val="Prog_Imbalan15"/>
      <sheetName val="Option_List14"/>
      <sheetName val="DATA_WP14"/>
      <sheetName val="DATA_UNIT14"/>
      <sheetName val="DATA_VALUE14"/>
      <sheetName val="RumusTB_1_bln14"/>
      <sheetName val="SC_14"/>
      <sheetName val="Harga_Sat14"/>
      <sheetName val="Sales_Proj14"/>
      <sheetName val="Buku_Besar_114"/>
      <sheetName val="ws_detail_lombok15"/>
      <sheetName val="DATA_200915"/>
      <sheetName val="Analisa_&amp;_Upah14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A_u_g13"/>
      <sheetName val="M_a_r13"/>
      <sheetName val="HK_rates12"/>
      <sheetName val="Internal_Trial_Balance12"/>
      <sheetName val="Rbk_5_PG12"/>
      <sheetName val="Permanent_info12"/>
      <sheetName val="Bilanz_Bus_plan_200212"/>
      <sheetName val="WP_PASIVA12"/>
      <sheetName val="WP_AKTIVA12"/>
      <sheetName val="BELI__SEPTEMBER12"/>
      <sheetName val="HPP_0503_CPN12"/>
      <sheetName val="Beli_&amp;_Retur_CPN12"/>
      <sheetName val="SALGO_GS12"/>
      <sheetName val="BELI_JULI12"/>
      <sheetName val="A_3-212"/>
      <sheetName val="fiscal_depreciation_(E)17"/>
      <sheetName val="Table_Array16"/>
      <sheetName val="XLS_Avg_Rev16"/>
      <sheetName val="Prog_Imbalan16"/>
      <sheetName val="Option_List15"/>
      <sheetName val="DATA_WP15"/>
      <sheetName val="DATA_UNIT15"/>
      <sheetName val="DATA_VALUE15"/>
      <sheetName val="RumusTB_1_bln15"/>
      <sheetName val="SC_15"/>
      <sheetName val="Harga_Sat15"/>
      <sheetName val="Sales_Proj15"/>
      <sheetName val="Buku_Besar_115"/>
      <sheetName val="ws_detail_lombok16"/>
      <sheetName val="DATA_200916"/>
      <sheetName val="target_raker_16"/>
      <sheetName val="Analisa_&amp;_Upah15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A_u_g14"/>
      <sheetName val="M_a_r14"/>
      <sheetName val="HK_rates13"/>
      <sheetName val="Internal_Trial_Balance13"/>
      <sheetName val="Rbk_5_PG13"/>
      <sheetName val="Permanent_info13"/>
      <sheetName val="Bilanz_Bus_plan_200213"/>
      <sheetName val="WP_PASIVA13"/>
      <sheetName val="WP_AKTIVA13"/>
      <sheetName val="BELI__SEPTEMBER13"/>
      <sheetName val="HPP_0503_CPN13"/>
      <sheetName val="Beli_&amp;_Retur_CPN13"/>
      <sheetName val="SALGO_GS13"/>
      <sheetName val="BELI_JULI13"/>
      <sheetName val="A_3-213"/>
      <sheetName val="HARGA_SATUAN_UPAH_PEKERJA2"/>
      <sheetName val="Difference Cons"/>
      <sheetName val="BAG_2"/>
      <sheetName val="Eingabe"/>
      <sheetName val="Lamp - Prognosa"/>
      <sheetName val="New MADC"/>
      <sheetName val="HRG UPAH BAHAN"/>
      <sheetName val="D.BOARD"/>
      <sheetName val="Harga"/>
      <sheetName val="HS Dasar "/>
      <sheetName val="RPP01 3"/>
      <sheetName val="Rekap 1"/>
      <sheetName val="rate-alat"/>
      <sheetName val="rkp"/>
      <sheetName val="610.05"/>
      <sheetName val="ANAL_2.1"/>
      <sheetName val="VOL_1"/>
      <sheetName val="GRAND REKAP"/>
      <sheetName val="MATAUANG"/>
      <sheetName val="basic price"/>
      <sheetName val="Alat"/>
      <sheetName val="ANAL-1"/>
      <sheetName val="Data-Masukan"/>
      <sheetName val="Input"/>
      <sheetName val="D4"/>
      <sheetName val="D6"/>
      <sheetName val="D7"/>
      <sheetName val="D8"/>
      <sheetName val="ESCON"/>
      <sheetName val="FINISHING"/>
      <sheetName val="Harga Dasar"/>
      <sheetName val="Strand PDMR1"/>
      <sheetName val="Post tension PDMR1"/>
      <sheetName val="Rokan 1"/>
      <sheetName val="GP-WB"/>
      <sheetName val="Rekapitulasi"/>
      <sheetName val="TAGIHAN"/>
      <sheetName val="610.07A"/>
      <sheetName val="BESI BETON"/>
      <sheetName val="Analisa Harga Satuan"/>
      <sheetName val="Waktu"/>
      <sheetName val="BasicPrice"/>
      <sheetName val="Anls"/>
      <sheetName val="basic"/>
      <sheetName val="Kinerja Proyek"/>
      <sheetName val="Ranking-LK"/>
      <sheetName val="target raker2"/>
      <sheetName val="telp"/>
      <sheetName val="trans"/>
      <sheetName val="1195 B1"/>
      <sheetName val="610.04"/>
      <sheetName val="610.06"/>
      <sheetName val="610.07"/>
      <sheetName val="610.08"/>
      <sheetName val="Identitas"/>
      <sheetName val="Daf 1"/>
      <sheetName val="HARGA SATUAN"/>
      <sheetName val="asumsi"/>
      <sheetName val="BLOK-BJR"/>
      <sheetName val="UPAH"/>
      <sheetName val="HD BAHAN"/>
      <sheetName val="HPP X Q'TY"/>
      <sheetName val="REKAP-1"/>
      <sheetName val="RINCIAN-SC"/>
      <sheetName val="HD ALAT"/>
      <sheetName val="shotcrete"/>
      <sheetName val="UG Excav"/>
      <sheetName val="BOQ CONTRACT WK"/>
      <sheetName val="HD UPAH"/>
      <sheetName val="SAP"/>
      <sheetName val="Account Code"/>
      <sheetName val="EVAL-ANAL"/>
      <sheetName val="Material&amp;Upah"/>
      <sheetName val="DATAJUNI"/>
      <sheetName val="DATAOKT"/>
      <sheetName val="Sales Rental"/>
      <sheetName val="Analisa STR"/>
      <sheetName val="Bab10"/>
      <sheetName val="WILAYAH III"/>
      <sheetName val="WILAYAH I"/>
      <sheetName val="CATAT"/>
      <sheetName val="WILAYAH II"/>
      <sheetName val="Agregat Halus &amp; Kasar"/>
      <sheetName val="fcsp-w"/>
      <sheetName val="prog-mgu"/>
      <sheetName val="basic wages"/>
      <sheetName val="HSATUAN"/>
      <sheetName val="BBC"/>
      <sheetName val="Download1"/>
      <sheetName val="Fill this out first___"/>
      <sheetName val="Estate Housing"/>
      <sheetName val="pt-perso"/>
      <sheetName val="B.U.A"/>
      <sheetName val="Div-3"/>
      <sheetName val="villa"/>
      <sheetName val="Analisa HSP"/>
      <sheetName val="BASIC-PRICE"/>
      <sheetName val="7.1(3)"/>
      <sheetName val="MAP 101118"/>
      <sheetName val="BAB 9"/>
      <sheetName val="Consolidate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DETANAL-AUG"/>
      <sheetName val="YRACCT"/>
      <sheetName val="GL BS"/>
      <sheetName val="GL PL"/>
      <sheetName val="tb"/>
      <sheetName val="february"/>
      <sheetName val="Customize Your Purchase Order"/>
      <sheetName val="Ex_Rate"/>
      <sheetName val="GL_BS"/>
      <sheetName val="GL_PL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csv4 (2)"/>
      <sheetName val="csv3 (2)"/>
      <sheetName val="C404 (2)"/>
      <sheetName val="C2304 (2)"/>
      <sheetName val="RKP pph"/>
      <sheetName val="Sheet1"/>
      <sheetName val="RKP21"/>
      <sheetName val="SSP"/>
      <sheetName val="SURAT BYR"/>
      <sheetName val="+an"/>
      <sheetName val="PPH21"/>
      <sheetName val="csv4"/>
      <sheetName val="c4"/>
      <sheetName val="%"/>
      <sheetName val="MASA"/>
      <sheetName val="TTR"/>
      <sheetName val="MDR"/>
      <sheetName val="MSTR04"/>
      <sheetName val="A401"/>
      <sheetName val="D402"/>
      <sheetName val="DT04"/>
      <sheetName val="TT"/>
      <sheetName val="SPT"/>
      <sheetName val="D2"/>
      <sheetName val="D1"/>
      <sheetName val="D"/>
      <sheetName val="05"/>
      <sheetName val="04"/>
      <sheetName val="09(DVD)"/>
      <sheetName val="PN"/>
      <sheetName val="NPWP"/>
      <sheetName val="csv3"/>
      <sheetName val="csv3 ref"/>
      <sheetName val="PPN"/>
      <sheetName val="104"/>
      <sheetName val="TR23"/>
      <sheetName val="KML"/>
      <sheetName val="MSTR23"/>
      <sheetName val="A2301"/>
      <sheetName val="DT23"/>
      <sheetName val="TT23"/>
      <sheetName val="SPT23-26"/>
      <sheetName val="DBP 23"/>
      <sheetName val="BP"/>
      <sheetName val="BP(2)"/>
      <sheetName val="BP23"/>
      <sheetName val="A403"/>
      <sheetName val="C404"/>
      <sheetName val="A405"/>
      <sheetName val="S406"/>
      <sheetName val="A407"/>
      <sheetName val="A408"/>
      <sheetName val="A409"/>
      <sheetName val="A410"/>
      <sheetName val="DATA 26"/>
      <sheetName val="BP26"/>
      <sheetName val="MENU"/>
      <sheetName val="01"/>
      <sheetName val="02"/>
      <sheetName val="03"/>
      <sheetName val="06"/>
      <sheetName val="07"/>
      <sheetName val="08"/>
      <sheetName val="RUMUS"/>
      <sheetName val="BATAS"/>
      <sheetName val="A2302"/>
      <sheetName val="A2303"/>
      <sheetName val="C2304"/>
      <sheetName val="A2305"/>
      <sheetName val="S2306"/>
      <sheetName val="D2307"/>
      <sheetName val="A23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PRO"/>
      <sheetName val="Exchange Rates"/>
      <sheetName val="PROJ CASH"/>
      <sheetName val="Marshal"/>
      <sheetName val="Ref"/>
      <sheetName val="BP1_23"/>
      <sheetName val="CR2"/>
      <sheetName val="at02"/>
      <sheetName val="DATA 2009"/>
      <sheetName val="DATA 2010"/>
      <sheetName val="Kinerja Proyek"/>
      <sheetName val="Ranking-LK"/>
      <sheetName val="TARGET RAKER "/>
      <sheetName val="target raker 1"/>
      <sheetName val="target raker2"/>
      <sheetName val="FA-LISTING"/>
      <sheetName val="Sheet8"/>
      <sheetName val="CGSgm2"/>
      <sheetName val="CGSsp"/>
      <sheetName val="Sales"/>
      <sheetName val="Prog Imbalan"/>
      <sheetName val="PSC_Calc"/>
      <sheetName val="CODESS"/>
      <sheetName val="General"/>
      <sheetName val="Ranges"/>
      <sheetName val="name"/>
      <sheetName val="BOM"/>
      <sheetName val="Menu"/>
      <sheetName val="Option List"/>
      <sheetName val="BS"/>
      <sheetName val="DATABASE"/>
      <sheetName val="WS PSS SRG"/>
      <sheetName val="TB Agu 2013"/>
      <sheetName val="Eliminasi"/>
      <sheetName val="AJE"/>
      <sheetName val="RJE"/>
      <sheetName val="COA"/>
      <sheetName val="TB 0812"/>
      <sheetName val="DATA"/>
      <sheetName val="Cover_Sheet"/>
      <sheetName val="Exchange_Rates"/>
      <sheetName val="PROJ_CASH"/>
      <sheetName val="I_4_1_(2)"/>
      <sheetName val="Sheet1"/>
      <sheetName val="analis"/>
      <sheetName val="harga"/>
      <sheetName val="WS PSS AMI"/>
      <sheetName val="TB Des 2013"/>
      <sheetName val="help"/>
      <sheetName val="TB Feb 2014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Tax Rate"/>
      <sheetName val="F1771-II"/>
      <sheetName val="F1771-III"/>
      <sheetName val="CHARGES"/>
      <sheetName val="Parameter"/>
      <sheetName val="Breakdown"/>
      <sheetName val="rumus"/>
      <sheetName val="00-MEMO"/>
      <sheetName val="Cover_Sheet1"/>
      <sheetName val="Exchange_Rates1"/>
      <sheetName val="PROJ_CASH1"/>
      <sheetName val="DATA_2009"/>
      <sheetName val="DATA_2010"/>
      <sheetName val="Kinerja_Proyek"/>
      <sheetName val="TARGET_RAKER_"/>
      <sheetName val="target_raker_1"/>
      <sheetName val="target_raker2"/>
      <sheetName val="Prog_Imbalan"/>
      <sheetName val="Option_List"/>
      <sheetName val="WS_PSS_SRG"/>
      <sheetName val="TB_Agu_2013"/>
      <sheetName val="TB_0812"/>
      <sheetName val="WS_PSS_AMI"/>
      <sheetName val="TB_Des_2013"/>
      <sheetName val="TB_Feb_2014"/>
      <sheetName val="Invested_capital_VDF"/>
      <sheetName val="Summary_Page_VDF"/>
      <sheetName val="PV_of_Op_Leases_VDF"/>
      <sheetName val="Income_Statement_VDF"/>
      <sheetName val="Tax_Rate"/>
      <sheetName val="fr BS"/>
      <sheetName val="Schedule-TB"/>
      <sheetName val="SheetGMP"/>
      <sheetName val="SheetGMT"/>
      <sheetName val="KAS $"/>
      <sheetName val="Account Payable"/>
      <sheetName val="Revenue (10)"/>
      <sheetName val="Link"/>
      <sheetName val="Cover_Sheet2"/>
      <sheetName val="Exchange_Rates2"/>
      <sheetName val="PROJ_CASH2"/>
      <sheetName val="DATA_20091"/>
      <sheetName val="DATA_20101"/>
      <sheetName val="Kinerja_Proyek1"/>
      <sheetName val="target_raker_11"/>
      <sheetName val="target_raker21"/>
      <sheetName val="Prog_Imbalan1"/>
      <sheetName val="Option_List1"/>
      <sheetName val="WS_PSS_SRG1"/>
      <sheetName val="TB_Agu_20131"/>
      <sheetName val="TB_08121"/>
      <sheetName val="WS_PSS_AMI1"/>
      <sheetName val="TB_Des_20131"/>
      <sheetName val="TB_Feb_20141"/>
      <sheetName val="Invested_capital_VDF1"/>
      <sheetName val="Summary_Page_VDF1"/>
      <sheetName val="PV_of_Op_Leases_VDF1"/>
      <sheetName val="Income_Statement_VDF1"/>
      <sheetName val="Tax_Rate1"/>
      <sheetName val="template investasi (CAPEX)"/>
      <sheetName val="BBM-03"/>
      <sheetName val="18-9"/>
      <sheetName val="DATA_PENJUALAN"/>
      <sheetName val="BB"/>
      <sheetName val="CF"/>
      <sheetName val="SC "/>
      <sheetName val="Sheet2"/>
      <sheetName val="Sheet3"/>
      <sheetName val="Budet &amp; Target"/>
      <sheetName val="Mobile"/>
      <sheetName val="sdm"/>
      <sheetName val="rkp"/>
      <sheetName val="map"/>
      <sheetName val="BRAND"/>
      <sheetName val="DAFTAR HARGA"/>
      <sheetName val="Forecast01(12-14)"/>
      <sheetName val="bq"/>
      <sheetName val="Cover_Sheet3"/>
      <sheetName val="Exchange_Rates3"/>
      <sheetName val="PROJ_CASH3"/>
      <sheetName val="Prog_Imbalan2"/>
      <sheetName val="Option_List2"/>
      <sheetName val="DATA_20092"/>
      <sheetName val="DATA_20102"/>
      <sheetName val="Kinerja_Proyek2"/>
      <sheetName val="target_raker_12"/>
      <sheetName val="target_raker22"/>
      <sheetName val="WS_PSS_SRG2"/>
      <sheetName val="TB_Agu_20132"/>
      <sheetName val="TB_08122"/>
      <sheetName val="WS_PSS_AMI2"/>
      <sheetName val="TB_Des_20132"/>
      <sheetName val="TB_Feb_20142"/>
      <sheetName val="Invested_capital_VDF2"/>
      <sheetName val="Summary_Page_VDF2"/>
      <sheetName val="PV_of_Op_Leases_VDF2"/>
      <sheetName val="Income_Statement_VDF2"/>
      <sheetName val="Tax_Rate2"/>
      <sheetName val="fr_BS"/>
      <sheetName val="KAS_$"/>
      <sheetName val="Account_Payable"/>
      <sheetName val="Revenue_(10)"/>
      <sheetName val="BOQ"/>
      <sheetName val="Depr_Ex_Output"/>
      <sheetName val="Ex_Fin_Opt"/>
      <sheetName val="HK rates"/>
      <sheetName val="cc_Link"/>
      <sheetName val="charts"/>
      <sheetName val="skenario"/>
      <sheetName val="INDEX"/>
      <sheetName val="BELI_0603"/>
      <sheetName val="XLS Avg Rev"/>
      <sheetName val="rab"/>
      <sheetName val="Data WP"/>
      <sheetName val="BQ-GB-1"/>
      <sheetName val="Rekap-2"/>
      <sheetName val="REKAP.1"/>
      <sheetName val="RPP01-6"/>
      <sheetName val="An_pdkg"/>
      <sheetName val="Harsat"/>
      <sheetName val="Cover_Sheet4"/>
      <sheetName val="Exchange_Rates4"/>
      <sheetName val="PROJ_CASH4"/>
      <sheetName val="Prog_Imbalan3"/>
      <sheetName val="Option_List3"/>
      <sheetName val="DATA_20093"/>
      <sheetName val="DATA_20103"/>
      <sheetName val="Kinerja_Proyek3"/>
      <sheetName val="target_raker_13"/>
      <sheetName val="target_raker23"/>
      <sheetName val="WS_PSS_SRG3"/>
      <sheetName val="TB_Agu_20133"/>
      <sheetName val="TB_08123"/>
      <sheetName val="WS_PSS_AMI3"/>
      <sheetName val="TB_Des_20133"/>
      <sheetName val="TB_Feb_20143"/>
      <sheetName val="Invested_capital_VDF3"/>
      <sheetName val="Summary_Page_VDF3"/>
      <sheetName val="PV_of_Op_Leases_VDF3"/>
      <sheetName val="Income_Statement_VDF3"/>
      <sheetName val="Tax_Rate3"/>
      <sheetName val="fr_BS1"/>
      <sheetName val="KAS_$1"/>
      <sheetName val="Account_Payable1"/>
      <sheetName val="Revenue_(10)1"/>
      <sheetName val="Consolidated"/>
      <sheetName val="MasterSheet"/>
      <sheetName val="brd2"/>
      <sheetName val="Rate"/>
      <sheetName val="Pricing"/>
      <sheetName val="ProdBonusCalc"/>
      <sheetName val="Assumptions"/>
      <sheetName val="Opex"/>
      <sheetName val="ProdConsol"/>
      <sheetName val="Revenue"/>
      <sheetName val="Daf-Rek"/>
      <sheetName val="CAPIN99B"/>
      <sheetName val="FA99B"/>
      <sheetName val="経費02A"/>
      <sheetName val="A.4.3"/>
      <sheetName val="FCL rate"/>
      <sheetName val="Table"/>
      <sheetName val="WPL"/>
      <sheetName val="Closing Rate"/>
      <sheetName val="Lumpsum Hatch"/>
      <sheetName val="Accounts"/>
      <sheetName val="FPI DETAILS"/>
      <sheetName val="Employees Number"/>
      <sheetName val="Cost Input Sheet"/>
      <sheetName val="RetPlan"/>
      <sheetName val="Office_Rent"/>
      <sheetName val="SALARY"/>
      <sheetName val="Analysis"/>
      <sheetName val="Income Statement"/>
      <sheetName val="Profile"/>
      <sheetName val="Balance Sheet"/>
      <sheetName val="Employees"/>
      <sheetName val="Adv Paym Opr AEM"/>
      <sheetName val="KPI RKAP 2016R"/>
      <sheetName val="CAPITOL MEKANIKAL"/>
      <sheetName val="KPI-GM"/>
      <sheetName val="code"/>
      <sheetName val="hsp-STR-ARS"/>
      <sheetName val="Allocation"/>
      <sheetName val="Data_Dept"/>
      <sheetName val="Nature of Account"/>
      <sheetName val="PBC TB Nov 17"/>
      <sheetName val="20 Lead Nov"/>
      <sheetName val="20.1 TOC Hotel"/>
      <sheetName val="20.1 Random RNG Hotel"/>
      <sheetName val="Dokumen Request year end"/>
      <sheetName val="20.2 Sampling A-B"/>
      <sheetName val="20.2 RNG TOD Hotel"/>
      <sheetName val="20.2 TOD Hotel"/>
      <sheetName val="20.2 Evaluate Result C-E"/>
      <sheetName val="GL Hotel"/>
      <sheetName val="20.3 TOC POT"/>
      <sheetName val="Sampling POT A-B"/>
      <sheetName val="PBC POT "/>
      <sheetName val="Result POT Section C-E"/>
      <sheetName val="Materiality Limit"/>
      <sheetName val="20-11-03"/>
      <sheetName val="NERACA"/>
      <sheetName val="A"/>
      <sheetName val="Summary Reversal PJA Group"/>
      <sheetName val="Detail Reversal PT PJA"/>
      <sheetName val="Detail Reversal PT TIJA"/>
      <sheetName val="Detail Journal Reversal  TIJA"/>
      <sheetName val="Sumarry Journal Reversal TIJA"/>
      <sheetName val="per divisi"/>
      <sheetName val="Marshal -1"/>
      <sheetName val="Fill this out first___"/>
      <sheetName val="HRPar"/>
      <sheetName val="ANAL_P4"/>
      <sheetName val="Cover_Sheet7"/>
      <sheetName val="Exchange_Rates7"/>
      <sheetName val="PROJ_CASH7"/>
      <sheetName val="Prog_Imbalan6"/>
      <sheetName val="Option_List6"/>
      <sheetName val="DATA_20096"/>
      <sheetName val="DATA_20106"/>
      <sheetName val="Kinerja_Proyek6"/>
      <sheetName val="TARGET_RAKER_4"/>
      <sheetName val="target_raker26"/>
      <sheetName val="WS_PSS_SRG6"/>
      <sheetName val="TB_Agu_20136"/>
      <sheetName val="TB_08126"/>
      <sheetName val="WS_PSS_AMI6"/>
      <sheetName val="TB_Des_20136"/>
      <sheetName val="TB_Feb_20146"/>
      <sheetName val="Invested_capital_VDF6"/>
      <sheetName val="Summary_Page_VDF6"/>
      <sheetName val="PV_of_Op_Leases_VDF6"/>
      <sheetName val="Income_Statement_VDF6"/>
      <sheetName val="Tax_Rate6"/>
      <sheetName val="fr_BS4"/>
      <sheetName val="KAS_$4"/>
      <sheetName val="Account_Payable4"/>
      <sheetName val="Revenue_(10)4"/>
      <sheetName val="Cover_Sheet5"/>
      <sheetName val="Exchange_Rates5"/>
      <sheetName val="PROJ_CASH5"/>
      <sheetName val="Prog_Imbalan4"/>
      <sheetName val="Option_List4"/>
      <sheetName val="DATA_20094"/>
      <sheetName val="DATA_20104"/>
      <sheetName val="Kinerja_Proyek4"/>
      <sheetName val="TARGET_RAKER_2"/>
      <sheetName val="target_raker24"/>
      <sheetName val="WS_PSS_SRG4"/>
      <sheetName val="TB_Agu_20134"/>
      <sheetName val="TB_08124"/>
      <sheetName val="WS_PSS_AMI4"/>
      <sheetName val="TB_Des_20134"/>
      <sheetName val="TB_Feb_20144"/>
      <sheetName val="Invested_capital_VDF4"/>
      <sheetName val="Summary_Page_VDF4"/>
      <sheetName val="PV_of_Op_Leases_VDF4"/>
      <sheetName val="Income_Statement_VDF4"/>
      <sheetName val="Tax_Rate4"/>
      <sheetName val="fr_BS2"/>
      <sheetName val="KAS_$2"/>
      <sheetName val="Account_Payable2"/>
      <sheetName val="Revenue_(10)2"/>
      <sheetName val="Cover_Sheet6"/>
      <sheetName val="Exchange_Rates6"/>
      <sheetName val="PROJ_CASH6"/>
      <sheetName val="Prog_Imbalan5"/>
      <sheetName val="Option_List5"/>
      <sheetName val="DATA_20095"/>
      <sheetName val="DATA_20105"/>
      <sheetName val="Kinerja_Proyek5"/>
      <sheetName val="TARGET_RAKER_3"/>
      <sheetName val="target_raker25"/>
      <sheetName val="WS_PSS_SRG5"/>
      <sheetName val="TB_Agu_20135"/>
      <sheetName val="TB_08125"/>
      <sheetName val="WS_PSS_AMI5"/>
      <sheetName val="TB_Des_20135"/>
      <sheetName val="TB_Feb_20145"/>
      <sheetName val="Invested_capital_VDF5"/>
      <sheetName val="Summary_Page_VDF5"/>
      <sheetName val="PV_of_Op_Leases_VDF5"/>
      <sheetName val="Income_Statement_VDF5"/>
      <sheetName val="Tax_Rate5"/>
      <sheetName val="fr_BS3"/>
      <sheetName val="KAS_$3"/>
      <sheetName val="Account_Payable3"/>
      <sheetName val="Revenue_(10)3"/>
      <sheetName val="harga dasar"/>
      <sheetName val="Uraian Upah"/>
      <sheetName val="SATDASAR"/>
      <sheetName val="MAJOR"/>
      <sheetName val="BGT 07"/>
      <sheetName val="BHN"/>
      <sheetName val="DAF-BAHAN"/>
      <sheetName val="DAF-UPAH"/>
      <sheetName val="DAF-5"/>
      <sheetName val="Van_Melle"/>
      <sheetName val="Trial Balance June 2003"/>
      <sheetName val="Rekap Direct Cost"/>
      <sheetName val="REKAPITULASI"/>
      <sheetName val="TAGIHAN"/>
      <sheetName val="Summary IP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Anal"/>
      <sheetName val="Div 7 - Struktur"/>
      <sheetName val="An HarSatPek"/>
      <sheetName val="Sat Bah &amp; Up"/>
      <sheetName val="Struk"/>
      <sheetName val="schtng"/>
      <sheetName val="schbhn"/>
      <sheetName val="schalt"/>
      <sheetName val="BAPS"/>
      <sheetName val="jan"/>
      <sheetName val="FEB"/>
      <sheetName val="rms remunerasi"/>
      <sheetName val="MAR"/>
      <sheetName val="Material"/>
      <sheetName val="RinciBab1_Seksi1"/>
      <sheetName val="grail"/>
      <sheetName val="ANAL_2.1"/>
      <sheetName val="VOL_1"/>
      <sheetName val="LAMP_2.2"/>
      <sheetName val="610.05"/>
      <sheetName val="610.06"/>
      <sheetName val="610.07"/>
      <sheetName val="610.08"/>
      <sheetName val="alamat"/>
      <sheetName val="WAYANG"/>
      <sheetName val="JM"/>
      <sheetName val="H-Dasar"/>
      <sheetName val="ED-Prod-02"/>
      <sheetName val="DATA2014"/>
      <sheetName val="Entry 2015"/>
      <sheetName val="ESCON"/>
      <sheetName val="H.Satuan"/>
      <sheetName val="Target Raker TW III"/>
      <sheetName val="KUB-01(10)"/>
      <sheetName val="ENTRY"/>
      <sheetName val="OwningCost"/>
      <sheetName val="hasat"/>
      <sheetName val="Inputs"/>
      <sheetName val="data_val"/>
      <sheetName val="REKOMENDASI PUPUK TBM"/>
      <sheetName val="STR"/>
      <sheetName val="BELI"/>
      <sheetName val="N-ASII"/>
      <sheetName val="MAPP"/>
      <sheetName val="BS-RTI"/>
      <sheetName val="CAJE"/>
      <sheetName val="T-ACC-04"/>
      <sheetName val="ProductionTarget50Pct"/>
      <sheetName val="CAPEX"/>
      <sheetName val="1.1 deal characteristics"/>
      <sheetName val="support sheet"/>
      <sheetName val="3.1 costs and key ratios"/>
      <sheetName val="Rekap Piutang"/>
      <sheetName val="Analisa &amp; Upah"/>
      <sheetName val="BGT"/>
      <sheetName val="INPUT"/>
      <sheetName val="Target"/>
      <sheetName val="Budget"/>
      <sheetName val="BasicPrice"/>
      <sheetName val="MAP 18.12.17"/>
      <sheetName val="HARGA AT"/>
      <sheetName val="SAT"/>
      <sheetName val="Analisa"/>
      <sheetName val="RPP01 6"/>
      <sheetName val="pricelist"/>
      <sheetName val="DaftarHarga"/>
      <sheetName val="HSATUAN"/>
      <sheetName val="Galian"/>
      <sheetName val="SC_"/>
      <sheetName val="HK_rates"/>
      <sheetName val="Data_WP"/>
      <sheetName val="DAFTAR_HARGA"/>
      <sheetName val="Income_Statement"/>
      <sheetName val="Balance_Sheet"/>
      <sheetName val="Adv_Paym_Opr_AEM"/>
      <sheetName val="A_4_3"/>
      <sheetName val="FCL_rate"/>
      <sheetName val="Closing_Rate"/>
      <sheetName val="Lumpsum_Hatch"/>
      <sheetName val="FPI_DETAILS"/>
      <sheetName val="Employees_Number"/>
      <sheetName val="Cost_Input_Sheet"/>
      <sheetName val="KPI_RKAP_2016R"/>
      <sheetName val="CAPITOL_MEKANIKAL"/>
      <sheetName val="Summary_Reversal_PJA_Group"/>
      <sheetName val="Detail_Reversal_PT_PJA"/>
      <sheetName val="Detail_Reversal_PT_TIJA"/>
      <sheetName val="Detail_Journal_Reversal__TIJA"/>
      <sheetName val="Sumarry_Journal_Reversal_TIJA"/>
      <sheetName val="per_divisi"/>
      <sheetName val="Permanent info"/>
      <sheetName val="Ass"/>
      <sheetName val="Feb Audited"/>
      <sheetName val="Jurnal"/>
      <sheetName val="LEGEND"/>
      <sheetName val="chart"/>
      <sheetName val="COM Villa"/>
      <sheetName val="SUMMARY-cgo-wina"/>
      <sheetName val="KONS2005"/>
      <sheetName val="WBS KONSOL Sept 2009"/>
      <sheetName val="Agustus"/>
      <sheetName val="SAHAM"/>
      <sheetName val="Variable"/>
      <sheetName val="Parameters"/>
      <sheetName val="Table Array"/>
      <sheetName val="Analisa Hrg Sat "/>
      <sheetName val="RESUME"/>
      <sheetName val="HS"/>
      <sheetName val="EVALUASI"/>
      <sheetName val="FORM X COST"/>
      <sheetName val="Hrg Sat"/>
      <sheetName val="BQ-IABK"/>
      <sheetName val="ANAL.BOW"/>
      <sheetName val="NH-Badan"/>
      <sheetName val="WS"/>
      <sheetName val="CAJE-CLA"/>
      <sheetName val="Korfis"/>
      <sheetName val="Tax Recon"/>
      <sheetName val="Tax Deferred"/>
      <sheetName val="Employee Benefits"/>
      <sheetName val="trf 7 jht"/>
      <sheetName val="BS notes"/>
      <sheetName val="Laba Kotor"/>
      <sheetName val="Alokasi RM"/>
      <sheetName val="uu13"/>
      <sheetName val="template_investasi_(CAPEX)"/>
      <sheetName val="Budet_&amp;_Target"/>
      <sheetName val="Nature_of_Account"/>
      <sheetName val="PBC_TB_Nov_17"/>
      <sheetName val="20_Lead_Nov"/>
      <sheetName val="20_1_TOC_Hotel"/>
      <sheetName val="20_1_Random_RNG_Hotel"/>
      <sheetName val="Dokumen_Request_year_end"/>
      <sheetName val="20_2_Sampling_A-B"/>
      <sheetName val="20_2_RNG_TOD_Hotel"/>
      <sheetName val="20_2_TOD_Hotel"/>
      <sheetName val="20_2_Evaluate_Result_C-E"/>
      <sheetName val="GL_Hotel"/>
      <sheetName val="20_3_TOC_POT"/>
      <sheetName val="Sampling_POT_A-B"/>
      <sheetName val="PBC_POT_"/>
      <sheetName val="Result_POT_Section_C-E"/>
      <sheetName val="Materiality_Limit"/>
      <sheetName val="KPI_RKAP_2016R1"/>
      <sheetName val="CAPITOL_MEKANIKAL1"/>
      <sheetName val="SC_1"/>
      <sheetName val="HK_rates1"/>
      <sheetName val="Data_WP1"/>
      <sheetName val="DAFTAR_HARGA1"/>
      <sheetName val="Income_Statement1"/>
      <sheetName val="Balance_Sheet1"/>
      <sheetName val="Adv_Paym_Opr_AEM1"/>
      <sheetName val="template_investasi_(CAPEX)1"/>
      <sheetName val="Budet_&amp;_Target1"/>
      <sheetName val="A_4_31"/>
      <sheetName val="FCL_rate1"/>
      <sheetName val="Closing_Rate1"/>
      <sheetName val="Lumpsum_Hatch1"/>
      <sheetName val="FPI_DETAILS1"/>
      <sheetName val="Employees_Number1"/>
      <sheetName val="Cost_Input_Sheet1"/>
      <sheetName val="Nature_of_Account1"/>
      <sheetName val="PBC_TB_Nov_171"/>
      <sheetName val="20_Lead_Nov1"/>
      <sheetName val="20_1_TOC_Hotel1"/>
      <sheetName val="20_1_Random_RNG_Hotel1"/>
      <sheetName val="Dokumen_Request_year_end1"/>
      <sheetName val="20_2_Sampling_A-B1"/>
      <sheetName val="20_2_RNG_TOD_Hotel1"/>
      <sheetName val="20_2_TOD_Hotel1"/>
      <sheetName val="20_2_Evaluate_Result_C-E1"/>
      <sheetName val="GL_Hotel1"/>
      <sheetName val="20_3_TOC_POT1"/>
      <sheetName val="Sampling_POT_A-B1"/>
      <sheetName val="PBC_POT_1"/>
      <sheetName val="Result_POT_Section_C-E1"/>
      <sheetName val="Materiality_Limit1"/>
      <sheetName val="Summary_Reversal_PJA_Group1"/>
      <sheetName val="Detail_Reversal_PT_PJA1"/>
      <sheetName val="Detail_Reversal_PT_TIJA1"/>
      <sheetName val="Detail_Journal_Reversal__TIJA1"/>
      <sheetName val="Sumarry_Journal_Reversal_TIJA1"/>
      <sheetName val="per_divisi1"/>
      <sheetName val="KPI_RKAP_2016R2"/>
      <sheetName val="CAPITOL_MEKANIKAL2"/>
      <sheetName val="SC_2"/>
      <sheetName val="HK_rates2"/>
      <sheetName val="Data_WP2"/>
      <sheetName val="DAFTAR_HARGA2"/>
      <sheetName val="Income_Statement2"/>
      <sheetName val="Balance_Sheet2"/>
      <sheetName val="Adv_Paym_Opr_AEM2"/>
      <sheetName val="template_investasi_(CAPEX)2"/>
      <sheetName val="Budet_&amp;_Target2"/>
      <sheetName val="A_4_32"/>
      <sheetName val="FCL_rate2"/>
      <sheetName val="Closing_Rate2"/>
      <sheetName val="Lumpsum_Hatch2"/>
      <sheetName val="FPI_DETAILS2"/>
      <sheetName val="Employees_Number2"/>
      <sheetName val="Cost_Input_Sheet2"/>
      <sheetName val="Nature_of_Account2"/>
      <sheetName val="PBC_TB_Nov_172"/>
      <sheetName val="20_Lead_Nov2"/>
      <sheetName val="20_1_TOC_Hotel2"/>
      <sheetName val="20_1_Random_RNG_Hotel2"/>
      <sheetName val="Dokumen_Request_year_end2"/>
      <sheetName val="20_2_Sampling_A-B2"/>
      <sheetName val="20_2_RNG_TOD_Hotel2"/>
      <sheetName val="20_2_TOD_Hotel2"/>
      <sheetName val="20_2_Evaluate_Result_C-E2"/>
      <sheetName val="GL_Hotel2"/>
      <sheetName val="20_3_TOC_POT2"/>
      <sheetName val="Sampling_POT_A-B2"/>
      <sheetName val="PBC_POT_2"/>
      <sheetName val="Result_POT_Section_C-E2"/>
      <sheetName val="Materiality_Limit2"/>
      <sheetName val="Summary_Reversal_PJA_Group2"/>
      <sheetName val="Detail_Reversal_PT_PJA2"/>
      <sheetName val="Detail_Reversal_PT_TIJA2"/>
      <sheetName val="Detail_Journal_Reversal__TIJA2"/>
      <sheetName val="Sumarry_Journal_Reversal_TIJA2"/>
      <sheetName val="per_divisi2"/>
      <sheetName val="KPI_RKAP_2016R3"/>
      <sheetName val="CAPITOL_MEKANIKAL3"/>
      <sheetName val="SC_3"/>
      <sheetName val="HK_rates3"/>
      <sheetName val="Data_WP3"/>
      <sheetName val="DAFTAR_HARGA3"/>
      <sheetName val="Income_Statement3"/>
      <sheetName val="Balance_Sheet3"/>
      <sheetName val="Adv_Paym_Opr_AEM3"/>
      <sheetName val="template_investasi_(CAPEX)3"/>
      <sheetName val="Budet_&amp;_Target3"/>
      <sheetName val="A_4_33"/>
      <sheetName val="FCL_rate3"/>
      <sheetName val="Closing_Rate3"/>
      <sheetName val="Lumpsum_Hatch3"/>
      <sheetName val="FPI_DETAILS3"/>
      <sheetName val="Employees_Number3"/>
      <sheetName val="Cost_Input_Sheet3"/>
      <sheetName val="Nature_of_Account3"/>
      <sheetName val="PBC_TB_Nov_173"/>
      <sheetName val="20_Lead_Nov3"/>
      <sheetName val="20_1_TOC_Hotel3"/>
      <sheetName val="20_1_Random_RNG_Hotel3"/>
      <sheetName val="Dokumen_Request_year_end3"/>
      <sheetName val="20_2_Sampling_A-B3"/>
      <sheetName val="20_2_RNG_TOD_Hotel3"/>
      <sheetName val="20_2_TOD_Hotel3"/>
      <sheetName val="20_2_Evaluate_Result_C-E3"/>
      <sheetName val="GL_Hotel3"/>
      <sheetName val="20_3_TOC_POT3"/>
      <sheetName val="Sampling_POT_A-B3"/>
      <sheetName val="PBC_POT_3"/>
      <sheetName val="Result_POT_Section_C-E3"/>
      <sheetName val="Materiality_Limit3"/>
      <sheetName val="Summary_Reversal_PJA_Group3"/>
      <sheetName val="Detail_Reversal_PT_PJA3"/>
      <sheetName val="Detail_Reversal_PT_TIJA3"/>
      <sheetName val="Detail_Journal_Reversal__TIJA3"/>
      <sheetName val="Sumarry_Journal_Reversal_TIJA3"/>
      <sheetName val="per_divisi3"/>
      <sheetName val="Cover_Sheet8"/>
      <sheetName val="Exchange_Rates8"/>
      <sheetName val="PROJ_CASH8"/>
      <sheetName val="DATA_20097"/>
      <sheetName val="DATA_20107"/>
      <sheetName val="Kinerja_Proyek7"/>
      <sheetName val="target_raker27"/>
      <sheetName val="Prog_Imbalan7"/>
      <sheetName val="Option_List7"/>
      <sheetName val="WS_PSS_SRG7"/>
      <sheetName val="TB_Agu_20137"/>
      <sheetName val="TB_08127"/>
      <sheetName val="WS_PSS_AMI7"/>
      <sheetName val="TB_Des_20137"/>
      <sheetName val="TB_Feb_20147"/>
      <sheetName val="Invested_capital_VDF7"/>
      <sheetName val="Summary_Page_VDF7"/>
      <sheetName val="PV_of_Op_Leases_VDF7"/>
      <sheetName val="Income_Statement_VDF7"/>
      <sheetName val="Tax_Rate7"/>
      <sheetName val="KPI_RKAP_2016R5"/>
      <sheetName val="CAPITOL_MEKANIKAL5"/>
      <sheetName val="fr_BS5"/>
      <sheetName val="KAS_$5"/>
      <sheetName val="Account_Payable5"/>
      <sheetName val="Revenue_(10)5"/>
      <sheetName val="SC_5"/>
      <sheetName val="HK_rates5"/>
      <sheetName val="Data_WP5"/>
      <sheetName val="DAFTAR_HARGA5"/>
      <sheetName val="Income_Statement5"/>
      <sheetName val="Balance_Sheet5"/>
      <sheetName val="Adv_Paym_Opr_AEM5"/>
      <sheetName val="template_investasi_(CAPEX)5"/>
      <sheetName val="Budet_&amp;_Target5"/>
      <sheetName val="A_4_35"/>
      <sheetName val="FCL_rate5"/>
      <sheetName val="Closing_Rate5"/>
      <sheetName val="Lumpsum_Hatch5"/>
      <sheetName val="FPI_DETAILS5"/>
      <sheetName val="Employees_Number5"/>
      <sheetName val="Cost_Input_Sheet5"/>
      <sheetName val="Nature_of_Account5"/>
      <sheetName val="PBC_TB_Nov_175"/>
      <sheetName val="20_Lead_Nov5"/>
      <sheetName val="20_1_TOC_Hotel5"/>
      <sheetName val="20_1_Random_RNG_Hotel5"/>
      <sheetName val="Dokumen_Request_year_end5"/>
      <sheetName val="20_2_Sampling_A-B5"/>
      <sheetName val="20_2_RNG_TOD_Hotel5"/>
      <sheetName val="20_2_TOD_Hotel5"/>
      <sheetName val="20_2_Evaluate_Result_C-E5"/>
      <sheetName val="GL_Hotel5"/>
      <sheetName val="20_3_TOC_POT5"/>
      <sheetName val="Sampling_POT_A-B5"/>
      <sheetName val="PBC_POT_5"/>
      <sheetName val="Result_POT_Section_C-E5"/>
      <sheetName val="Materiality_Limit5"/>
      <sheetName val="Summary_Reversal_PJA_Group5"/>
      <sheetName val="Detail_Reversal_PT_PJA5"/>
      <sheetName val="Detail_Reversal_PT_TIJA5"/>
      <sheetName val="Detail_Journal_Reversal__TIJA5"/>
      <sheetName val="Sumarry_Journal_Reversal_TIJA5"/>
      <sheetName val="per_divisi5"/>
      <sheetName val="TARGET_RAKER_5"/>
      <sheetName val="KPI_RKAP_2016R4"/>
      <sheetName val="CAPITOL_MEKANIKAL4"/>
      <sheetName val="SC_4"/>
      <sheetName val="HK_rates4"/>
      <sheetName val="Data_WP4"/>
      <sheetName val="DAFTAR_HARGA4"/>
      <sheetName val="Income_Statement4"/>
      <sheetName val="Balance_Sheet4"/>
      <sheetName val="Adv_Paym_Opr_AEM4"/>
      <sheetName val="template_investasi_(CAPEX)4"/>
      <sheetName val="Budet_&amp;_Target4"/>
      <sheetName val="A_4_34"/>
      <sheetName val="FCL_rate4"/>
      <sheetName val="Closing_Rate4"/>
      <sheetName val="Lumpsum_Hatch4"/>
      <sheetName val="FPI_DETAILS4"/>
      <sheetName val="Employees_Number4"/>
      <sheetName val="Cost_Input_Sheet4"/>
      <sheetName val="Nature_of_Account4"/>
      <sheetName val="PBC_TB_Nov_174"/>
      <sheetName val="20_Lead_Nov4"/>
      <sheetName val="20_1_TOC_Hotel4"/>
      <sheetName val="20_1_Random_RNG_Hotel4"/>
      <sheetName val="Dokumen_Request_year_end4"/>
      <sheetName val="20_2_Sampling_A-B4"/>
      <sheetName val="20_2_RNG_TOD_Hotel4"/>
      <sheetName val="20_2_TOD_Hotel4"/>
      <sheetName val="20_2_Evaluate_Result_C-E4"/>
      <sheetName val="GL_Hotel4"/>
      <sheetName val="20_3_TOC_POT4"/>
      <sheetName val="Sampling_POT_A-B4"/>
      <sheetName val="PBC_POT_4"/>
      <sheetName val="Result_POT_Section_C-E4"/>
      <sheetName val="Materiality_Limit4"/>
      <sheetName val="Summary_Reversal_PJA_Group4"/>
      <sheetName val="Detail_Reversal_PT_PJA4"/>
      <sheetName val="Detail_Reversal_PT_TIJA4"/>
      <sheetName val="Detail_Journal_Reversal__TIJA4"/>
      <sheetName val="Sumarry_Journal_Reversal_TIJA4"/>
      <sheetName val="per_divisi4"/>
      <sheetName val="Cover_Sheet9"/>
      <sheetName val="Exchange_Rates9"/>
      <sheetName val="PROJ_CASH9"/>
      <sheetName val="DATA_20098"/>
      <sheetName val="DATA_20108"/>
      <sheetName val="Kinerja_Proyek8"/>
      <sheetName val="TARGET_RAKER_6"/>
      <sheetName val="target_raker28"/>
      <sheetName val="Prog_Imbalan8"/>
      <sheetName val="Option_List8"/>
      <sheetName val="WS_PSS_SRG8"/>
      <sheetName val="TB_Agu_20138"/>
      <sheetName val="TB_08128"/>
      <sheetName val="WS_PSS_AMI8"/>
      <sheetName val="TB_Des_20138"/>
      <sheetName val="TB_Feb_20148"/>
      <sheetName val="Invested_capital_VDF8"/>
      <sheetName val="Summary_Page_VDF8"/>
      <sheetName val="PV_of_Op_Leases_VDF8"/>
      <sheetName val="Income_Statement_VDF8"/>
      <sheetName val="Tax_Rate8"/>
      <sheetName val="KPI_RKAP_2016R6"/>
      <sheetName val="CAPITOL_MEKANIKAL6"/>
      <sheetName val="fr_BS6"/>
      <sheetName val="KAS_$6"/>
      <sheetName val="Account_Payable6"/>
      <sheetName val="Revenue_(10)6"/>
      <sheetName val="SC_6"/>
      <sheetName val="HK_rates6"/>
      <sheetName val="Data_WP6"/>
      <sheetName val="DAFTAR_HARGA6"/>
      <sheetName val="Income_Statement6"/>
      <sheetName val="Balance_Sheet6"/>
      <sheetName val="Adv_Paym_Opr_AEM6"/>
      <sheetName val="template_investasi_(CAPEX)6"/>
      <sheetName val="Budet_&amp;_Target6"/>
      <sheetName val="A_4_36"/>
      <sheetName val="FCL_rate6"/>
      <sheetName val="Closing_Rate6"/>
      <sheetName val="Lumpsum_Hatch6"/>
      <sheetName val="FPI_DETAILS6"/>
      <sheetName val="Employees_Number6"/>
      <sheetName val="Cost_Input_Sheet6"/>
      <sheetName val="Nature_of_Account6"/>
      <sheetName val="PBC_TB_Nov_176"/>
      <sheetName val="20_Lead_Nov6"/>
      <sheetName val="20_1_TOC_Hotel6"/>
      <sheetName val="20_1_Random_RNG_Hotel6"/>
      <sheetName val="Dokumen_Request_year_end6"/>
      <sheetName val="20_2_Sampling_A-B6"/>
      <sheetName val="20_2_RNG_TOD_Hotel6"/>
      <sheetName val="20_2_TOD_Hotel6"/>
      <sheetName val="20_2_Evaluate_Result_C-E6"/>
      <sheetName val="GL_Hotel6"/>
      <sheetName val="20_3_TOC_POT6"/>
      <sheetName val="Sampling_POT_A-B6"/>
      <sheetName val="PBC_POT_6"/>
      <sheetName val="Result_POT_Section_C-E6"/>
      <sheetName val="Materiality_Limit6"/>
      <sheetName val="Summary_Reversal_PJA_Group6"/>
      <sheetName val="Detail_Reversal_PT_PJA6"/>
      <sheetName val="Detail_Reversal_PT_TIJA6"/>
      <sheetName val="Detail_Journal_Reversal__TIJA6"/>
      <sheetName val="Sumarry_Journal_Reversal_TIJA6"/>
      <sheetName val="per_divisi6"/>
      <sheetName val="Cover_Sheet10"/>
      <sheetName val="Exchange_Rates10"/>
      <sheetName val="PROJ_CASH10"/>
      <sheetName val="DATA_20099"/>
      <sheetName val="DATA_20109"/>
      <sheetName val="Kinerja_Proyek9"/>
      <sheetName val="TARGET_RAKER_7"/>
      <sheetName val="target_raker29"/>
      <sheetName val="Prog_Imbalan9"/>
      <sheetName val="Option_List9"/>
      <sheetName val="WS_PSS_SRG9"/>
      <sheetName val="TB_Agu_20139"/>
      <sheetName val="TB_08129"/>
      <sheetName val="WS_PSS_AMI9"/>
      <sheetName val="TB_Des_20139"/>
      <sheetName val="TB_Feb_20149"/>
      <sheetName val="Invested_capital_VDF9"/>
      <sheetName val="Summary_Page_VDF9"/>
      <sheetName val="PV_of_Op_Leases_VDF9"/>
      <sheetName val="Income_Statement_VDF9"/>
      <sheetName val="Tax_Rate9"/>
      <sheetName val="KPI_RKAP_2016R7"/>
      <sheetName val="CAPITOL_MEKANIKAL7"/>
      <sheetName val="fr_BS7"/>
      <sheetName val="KAS_$7"/>
      <sheetName val="Account_Payable7"/>
      <sheetName val="Revenue_(10)7"/>
      <sheetName val="SC_7"/>
      <sheetName val="HK_rates7"/>
      <sheetName val="Data_WP7"/>
      <sheetName val="DAFTAR_HARGA7"/>
      <sheetName val="Income_Statement7"/>
      <sheetName val="Balance_Sheet7"/>
      <sheetName val="Adv_Paym_Opr_AEM7"/>
      <sheetName val="template_investasi_(CAPEX)7"/>
      <sheetName val="Budet_&amp;_Target7"/>
      <sheetName val="A_4_37"/>
      <sheetName val="FCL_rate7"/>
      <sheetName val="Closing_Rate7"/>
      <sheetName val="Lumpsum_Hatch7"/>
      <sheetName val="FPI_DETAILS7"/>
      <sheetName val="Employees_Number7"/>
      <sheetName val="Cost_Input_Sheet7"/>
      <sheetName val="Nature_of_Account7"/>
      <sheetName val="PBC_TB_Nov_177"/>
      <sheetName val="20_Lead_Nov7"/>
      <sheetName val="20_1_TOC_Hotel7"/>
      <sheetName val="20_1_Random_RNG_Hotel7"/>
      <sheetName val="Dokumen_Request_year_end7"/>
      <sheetName val="20_2_Sampling_A-B7"/>
      <sheetName val="20_2_RNG_TOD_Hotel7"/>
      <sheetName val="20_2_TOD_Hotel7"/>
      <sheetName val="20_2_Evaluate_Result_C-E7"/>
      <sheetName val="GL_Hotel7"/>
      <sheetName val="20_3_TOC_POT7"/>
      <sheetName val="Sampling_POT_A-B7"/>
      <sheetName val="PBC_POT_7"/>
      <sheetName val="Result_POT_Section_C-E7"/>
      <sheetName val="Materiality_Limit7"/>
      <sheetName val="Summary_Reversal_PJA_Group7"/>
      <sheetName val="Detail_Reversal_PT_PJA7"/>
      <sheetName val="Detail_Reversal_PT_TIJA7"/>
      <sheetName val="Detail_Journal_Reversal__TIJA7"/>
      <sheetName val="Sumarry_Journal_Reversal_TIJA7"/>
      <sheetName val="per_divisi7"/>
      <sheetName val="Cover_Sheet12"/>
      <sheetName val="Exchange_Rates12"/>
      <sheetName val="PROJ_CASH12"/>
      <sheetName val="DATA_200911"/>
      <sheetName val="DATA_201011"/>
      <sheetName val="Kinerja_Proyek11"/>
      <sheetName val="target_raker_14"/>
      <sheetName val="target_raker211"/>
      <sheetName val="Prog_Imbalan11"/>
      <sheetName val="Option_List11"/>
      <sheetName val="WS_PSS_SRG11"/>
      <sheetName val="TB_Agu_201311"/>
      <sheetName val="TB_081211"/>
      <sheetName val="WS_PSS_AMI11"/>
      <sheetName val="TB_Des_201311"/>
      <sheetName val="TB_Feb_201411"/>
      <sheetName val="Invested_capital_VDF11"/>
      <sheetName val="Summary_Page_VDF11"/>
      <sheetName val="PV_of_Op_Leases_VDF11"/>
      <sheetName val="Income_Statement_VDF11"/>
      <sheetName val="Tax_Rate11"/>
      <sheetName val="KPI_RKAP_2016R9"/>
      <sheetName val="CAPITOL_MEKANIKAL9"/>
      <sheetName val="fr_BS9"/>
      <sheetName val="KAS_$9"/>
      <sheetName val="Account_Payable9"/>
      <sheetName val="Revenue_(10)9"/>
      <sheetName val="SC_9"/>
      <sheetName val="HK_rates9"/>
      <sheetName val="Data_WP9"/>
      <sheetName val="DAFTAR_HARGA9"/>
      <sheetName val="Income_Statement9"/>
      <sheetName val="Balance_Sheet9"/>
      <sheetName val="Adv_Paym_Opr_AEM9"/>
      <sheetName val="template_investasi_(CAPEX)9"/>
      <sheetName val="Budet_&amp;_Target9"/>
      <sheetName val="A_4_39"/>
      <sheetName val="FCL_rate9"/>
      <sheetName val="Closing_Rate9"/>
      <sheetName val="Lumpsum_Hatch9"/>
      <sheetName val="FPI_DETAILS9"/>
      <sheetName val="Employees_Number9"/>
      <sheetName val="Cost_Input_Sheet9"/>
      <sheetName val="Nature_of_Account9"/>
      <sheetName val="PBC_TB_Nov_179"/>
      <sheetName val="20_Lead_Nov9"/>
      <sheetName val="20_1_TOC_Hotel9"/>
      <sheetName val="20_1_Random_RNG_Hotel9"/>
      <sheetName val="Dokumen_Request_year_end9"/>
      <sheetName val="20_2_Sampling_A-B9"/>
      <sheetName val="20_2_RNG_TOD_Hotel9"/>
      <sheetName val="20_2_TOD_Hotel9"/>
      <sheetName val="20_2_Evaluate_Result_C-E9"/>
      <sheetName val="GL_Hotel9"/>
      <sheetName val="20_3_TOC_POT9"/>
      <sheetName val="Sampling_POT_A-B9"/>
      <sheetName val="PBC_POT_9"/>
      <sheetName val="Result_POT_Section_C-E9"/>
      <sheetName val="Materiality_Limit9"/>
      <sheetName val="Summary_Reversal_PJA_Group9"/>
      <sheetName val="Detail_Reversal_PT_PJA9"/>
      <sheetName val="Detail_Reversal_PT_TIJA9"/>
      <sheetName val="Detail_Journal_Reversal__TIJA9"/>
      <sheetName val="Sumarry_Journal_Reversal_TIJA9"/>
      <sheetName val="per_divisi9"/>
      <sheetName val="Cover_Sheet11"/>
      <sheetName val="Exchange_Rates11"/>
      <sheetName val="PROJ_CASH11"/>
      <sheetName val="DATA_200910"/>
      <sheetName val="DATA_201010"/>
      <sheetName val="Kinerja_Proyek10"/>
      <sheetName val="TARGET_RAKER_8"/>
      <sheetName val="target_raker210"/>
      <sheetName val="Prog_Imbalan10"/>
      <sheetName val="Option_List10"/>
      <sheetName val="WS_PSS_SRG10"/>
      <sheetName val="TB_Agu_201310"/>
      <sheetName val="TB_081210"/>
      <sheetName val="WS_PSS_AMI10"/>
      <sheetName val="TB_Des_201310"/>
      <sheetName val="TB_Feb_201410"/>
      <sheetName val="Invested_capital_VDF10"/>
      <sheetName val="Summary_Page_VDF10"/>
      <sheetName val="PV_of_Op_Leases_VDF10"/>
      <sheetName val="Income_Statement_VDF10"/>
      <sheetName val="Tax_Rate10"/>
      <sheetName val="KPI_RKAP_2016R8"/>
      <sheetName val="CAPITOL_MEKANIKAL8"/>
      <sheetName val="fr_BS8"/>
      <sheetName val="KAS_$8"/>
      <sheetName val="Account_Payable8"/>
      <sheetName val="Revenue_(10)8"/>
      <sheetName val="SC_8"/>
      <sheetName val="HK_rates8"/>
      <sheetName val="Data_WP8"/>
      <sheetName val="DAFTAR_HARGA8"/>
      <sheetName val="Income_Statement8"/>
      <sheetName val="Balance_Sheet8"/>
      <sheetName val="Adv_Paym_Opr_AEM8"/>
      <sheetName val="template_investasi_(CAPEX)8"/>
      <sheetName val="Budet_&amp;_Target8"/>
      <sheetName val="A_4_38"/>
      <sheetName val="FCL_rate8"/>
      <sheetName val="Closing_Rate8"/>
      <sheetName val="Lumpsum_Hatch8"/>
      <sheetName val="FPI_DETAILS8"/>
      <sheetName val="Employees_Number8"/>
      <sheetName val="Cost_Input_Sheet8"/>
      <sheetName val="Nature_of_Account8"/>
      <sheetName val="PBC_TB_Nov_178"/>
      <sheetName val="20_Lead_Nov8"/>
      <sheetName val="20_1_TOC_Hotel8"/>
      <sheetName val="20_1_Random_RNG_Hotel8"/>
      <sheetName val="Dokumen_Request_year_end8"/>
      <sheetName val="20_2_Sampling_A-B8"/>
      <sheetName val="20_2_RNG_TOD_Hotel8"/>
      <sheetName val="20_2_TOD_Hotel8"/>
      <sheetName val="20_2_Evaluate_Result_C-E8"/>
      <sheetName val="GL_Hotel8"/>
      <sheetName val="20_3_TOC_POT8"/>
      <sheetName val="Sampling_POT_A-B8"/>
      <sheetName val="PBC_POT_8"/>
      <sheetName val="Result_POT_Section_C-E8"/>
      <sheetName val="Materiality_Limit8"/>
      <sheetName val="Summary_Reversal_PJA_Group8"/>
      <sheetName val="Detail_Reversal_PT_PJA8"/>
      <sheetName val="Detail_Reversal_PT_TIJA8"/>
      <sheetName val="Detail_Journal_Reversal__TIJA8"/>
      <sheetName val="Sumarry_Journal_Reversal_TIJA8"/>
      <sheetName val="per_divisi8"/>
      <sheetName val="Cover_Sheet14"/>
      <sheetName val="Exchange_Rates14"/>
      <sheetName val="PROJ_CASH14"/>
      <sheetName val="DATA_200913"/>
      <sheetName val="DATA_201013"/>
      <sheetName val="Kinerja_Proyek13"/>
      <sheetName val="TARGET_RAKER_10"/>
      <sheetName val="target_raker213"/>
      <sheetName val="Prog_Imbalan13"/>
      <sheetName val="Option_List13"/>
      <sheetName val="WS_PSS_SRG13"/>
      <sheetName val="TB_Agu_201313"/>
      <sheetName val="TB_081213"/>
      <sheetName val="WS_PSS_AMI13"/>
      <sheetName val="TB_Des_201313"/>
      <sheetName val="TB_Feb_201413"/>
      <sheetName val="Invested_capital_VDF13"/>
      <sheetName val="Summary_Page_VDF13"/>
      <sheetName val="PV_of_Op_Leases_VDF13"/>
      <sheetName val="Income_Statement_VDF13"/>
      <sheetName val="Tax_Rate13"/>
      <sheetName val="KPI_RKAP_2016R11"/>
      <sheetName val="CAPITOL_MEKANIKAL11"/>
      <sheetName val="fr_BS11"/>
      <sheetName val="KAS_$11"/>
      <sheetName val="Account_Payable11"/>
      <sheetName val="Revenue_(10)11"/>
      <sheetName val="SC_11"/>
      <sheetName val="HK_rates11"/>
      <sheetName val="Data_WP11"/>
      <sheetName val="DAFTAR_HARGA11"/>
      <sheetName val="Income_Statement11"/>
      <sheetName val="Balance_Sheet11"/>
      <sheetName val="Adv_Paym_Opr_AEM11"/>
      <sheetName val="template_investasi_(CAPEX)11"/>
      <sheetName val="Budet_&amp;_Target11"/>
      <sheetName val="A_4_311"/>
      <sheetName val="FCL_rate11"/>
      <sheetName val="Closing_Rate11"/>
      <sheetName val="Lumpsum_Hatch11"/>
      <sheetName val="FPI_DETAILS11"/>
      <sheetName val="Employees_Number11"/>
      <sheetName val="Cost_Input_Sheet11"/>
      <sheetName val="Nature_of_Account11"/>
      <sheetName val="PBC_TB_Nov_1711"/>
      <sheetName val="20_Lead_Nov11"/>
      <sheetName val="20_1_TOC_Hotel11"/>
      <sheetName val="20_1_Random_RNG_Hotel11"/>
      <sheetName val="Dokumen_Request_year_end11"/>
      <sheetName val="20_2_Sampling_A-B11"/>
      <sheetName val="20_2_RNG_TOD_Hotel11"/>
      <sheetName val="20_2_TOD_Hotel11"/>
      <sheetName val="20_2_Evaluate_Result_C-E11"/>
      <sheetName val="GL_Hotel11"/>
      <sheetName val="20_3_TOC_POT11"/>
      <sheetName val="Sampling_POT_A-B11"/>
      <sheetName val="PBC_POT_11"/>
      <sheetName val="Result_POT_Section_C-E11"/>
      <sheetName val="Materiality_Limit11"/>
      <sheetName val="Summary_Reversal_PJA_Group11"/>
      <sheetName val="Detail_Reversal_PT_PJA11"/>
      <sheetName val="Detail_Reversal_PT_TIJA11"/>
      <sheetName val="Detail_Journal_Reversal__TIJA11"/>
      <sheetName val="Sumarry_Journal_Reversal_TIJA11"/>
      <sheetName val="per_divisi11"/>
      <sheetName val="H_Satuan1"/>
      <sheetName val="Cover_Sheet13"/>
      <sheetName val="Exchange_Rates13"/>
      <sheetName val="PROJ_CASH13"/>
      <sheetName val="DATA_200912"/>
      <sheetName val="DATA_201012"/>
      <sheetName val="Kinerja_Proyek12"/>
      <sheetName val="TARGET_RAKER_9"/>
      <sheetName val="target_raker212"/>
      <sheetName val="Prog_Imbalan12"/>
      <sheetName val="Option_List12"/>
      <sheetName val="WS_PSS_SRG12"/>
      <sheetName val="TB_Agu_201312"/>
      <sheetName val="TB_081212"/>
      <sheetName val="WS_PSS_AMI12"/>
      <sheetName val="TB_Des_201312"/>
      <sheetName val="TB_Feb_201412"/>
      <sheetName val="Invested_capital_VDF12"/>
      <sheetName val="Summary_Page_VDF12"/>
      <sheetName val="PV_of_Op_Leases_VDF12"/>
      <sheetName val="Income_Statement_VDF12"/>
      <sheetName val="Tax_Rate12"/>
      <sheetName val="KPI_RKAP_2016R10"/>
      <sheetName val="CAPITOL_MEKANIKAL10"/>
      <sheetName val="fr_BS10"/>
      <sheetName val="KAS_$10"/>
      <sheetName val="Account_Payable10"/>
      <sheetName val="Revenue_(10)10"/>
      <sheetName val="SC_10"/>
      <sheetName val="HK_rates10"/>
      <sheetName val="Data_WP10"/>
      <sheetName val="DAFTAR_HARGA10"/>
      <sheetName val="Income_Statement10"/>
      <sheetName val="Balance_Sheet10"/>
      <sheetName val="Adv_Paym_Opr_AEM10"/>
      <sheetName val="template_investasi_(CAPEX)10"/>
      <sheetName val="Budet_&amp;_Target10"/>
      <sheetName val="A_4_310"/>
      <sheetName val="FCL_rate10"/>
      <sheetName val="Closing_Rate10"/>
      <sheetName val="Lumpsum_Hatch10"/>
      <sheetName val="FPI_DETAILS10"/>
      <sheetName val="Employees_Number10"/>
      <sheetName val="Cost_Input_Sheet10"/>
      <sheetName val="Nature_of_Account10"/>
      <sheetName val="PBC_TB_Nov_1710"/>
      <sheetName val="20_Lead_Nov10"/>
      <sheetName val="20_1_TOC_Hotel10"/>
      <sheetName val="20_1_Random_RNG_Hotel10"/>
      <sheetName val="Dokumen_Request_year_end10"/>
      <sheetName val="20_2_Sampling_A-B10"/>
      <sheetName val="20_2_RNG_TOD_Hotel10"/>
      <sheetName val="20_2_TOD_Hotel10"/>
      <sheetName val="20_2_Evaluate_Result_C-E10"/>
      <sheetName val="GL_Hotel10"/>
      <sheetName val="20_3_TOC_POT10"/>
      <sheetName val="Sampling_POT_A-B10"/>
      <sheetName val="PBC_POT_10"/>
      <sheetName val="Result_POT_Section_C-E10"/>
      <sheetName val="Materiality_Limit10"/>
      <sheetName val="Summary_Reversal_PJA_Group10"/>
      <sheetName val="Detail_Reversal_PT_PJA10"/>
      <sheetName val="Detail_Reversal_PT_TIJA10"/>
      <sheetName val="Detail_Journal_Reversal__TIJA10"/>
      <sheetName val="Sumarry_Journal_Reversal_TIJA10"/>
      <sheetName val="per_divisi10"/>
      <sheetName val="H_Satuan"/>
      <sheetName val="Cover_Sheet15"/>
      <sheetName val="Exchange_Rates15"/>
      <sheetName val="PROJ_CASH15"/>
      <sheetName val="DATA_200914"/>
      <sheetName val="DATA_201014"/>
      <sheetName val="Kinerja_Proyek14"/>
      <sheetName val="target_raker214"/>
      <sheetName val="Prog_Imbalan14"/>
      <sheetName val="Option_List14"/>
      <sheetName val="WS_PSS_SRG14"/>
      <sheetName val="TB_Agu_201314"/>
      <sheetName val="TB_081214"/>
      <sheetName val="WS_PSS_AMI14"/>
      <sheetName val="TB_Des_201314"/>
      <sheetName val="TB_Feb_201414"/>
      <sheetName val="Invested_capital_VDF14"/>
      <sheetName val="Summary_Page_VDF14"/>
      <sheetName val="PV_of_Op_Leases_VDF14"/>
      <sheetName val="Income_Statement_VDF14"/>
      <sheetName val="Tax_Rate14"/>
      <sheetName val="KPI_RKAP_2016R12"/>
      <sheetName val="CAPITOL_MEKANIKAL12"/>
      <sheetName val="fr_BS12"/>
      <sheetName val="KAS_$12"/>
      <sheetName val="Account_Payable12"/>
      <sheetName val="Revenue_(10)12"/>
      <sheetName val="SC_12"/>
      <sheetName val="HK_rates12"/>
      <sheetName val="Data_WP12"/>
      <sheetName val="DAFTAR_HARGA12"/>
      <sheetName val="Income_Statement12"/>
      <sheetName val="Balance_Sheet12"/>
      <sheetName val="Adv_Paym_Opr_AEM12"/>
      <sheetName val="template_investasi_(CAPEX)12"/>
      <sheetName val="Budet_&amp;_Target12"/>
      <sheetName val="A_4_312"/>
      <sheetName val="FCL_rate12"/>
      <sheetName val="Closing_Rate12"/>
      <sheetName val="Lumpsum_Hatch12"/>
      <sheetName val="FPI_DETAILS12"/>
      <sheetName val="Employees_Number12"/>
      <sheetName val="Cost_Input_Sheet12"/>
      <sheetName val="Nature_of_Account12"/>
      <sheetName val="PBC_TB_Nov_1712"/>
      <sheetName val="20_Lead_Nov12"/>
      <sheetName val="20_1_TOC_Hotel12"/>
      <sheetName val="20_1_Random_RNG_Hotel12"/>
      <sheetName val="Dokumen_Request_year_end12"/>
      <sheetName val="20_2_Sampling_A-B12"/>
      <sheetName val="20_2_RNG_TOD_Hotel12"/>
      <sheetName val="20_2_TOD_Hotel12"/>
      <sheetName val="20_2_Evaluate_Result_C-E12"/>
      <sheetName val="GL_Hotel12"/>
      <sheetName val="20_3_TOC_POT12"/>
      <sheetName val="Sampling_POT_A-B12"/>
      <sheetName val="PBC_POT_12"/>
      <sheetName val="Result_POT_Section_C-E12"/>
      <sheetName val="Materiality_Limit12"/>
      <sheetName val="Summary_Reversal_PJA_Group12"/>
      <sheetName val="Detail_Reversal_PT_PJA12"/>
      <sheetName val="Detail_Reversal_PT_TIJA12"/>
      <sheetName val="Detail_Journal_Reversal__TIJA12"/>
      <sheetName val="Sumarry_Journal_Reversal_TIJA12"/>
      <sheetName val="per_divisi12"/>
      <sheetName val="Cover_Sheet16"/>
      <sheetName val="Exchange_Rates16"/>
      <sheetName val="PROJ_CASH16"/>
      <sheetName val="DATA_200915"/>
      <sheetName val="DATA_201015"/>
      <sheetName val="Kinerja_Proyek15"/>
      <sheetName val="target_raker_15"/>
      <sheetName val="target_raker215"/>
      <sheetName val="Prog_Imbalan15"/>
      <sheetName val="Option_List15"/>
      <sheetName val="WS_PSS_SRG15"/>
      <sheetName val="TB_Agu_201315"/>
      <sheetName val="TB_081215"/>
      <sheetName val="WS_PSS_AMI15"/>
      <sheetName val="TB_Des_201315"/>
      <sheetName val="TB_Feb_201415"/>
      <sheetName val="Invested_capital_VDF15"/>
      <sheetName val="Summary_Page_VDF15"/>
      <sheetName val="PV_of_Op_Leases_VDF15"/>
      <sheetName val="Income_Statement_VDF15"/>
      <sheetName val="Tax_Rate15"/>
      <sheetName val="KPI_RKAP_2016R13"/>
      <sheetName val="CAPITOL_MEKANIKAL13"/>
      <sheetName val="fr_BS13"/>
      <sheetName val="KAS_$13"/>
      <sheetName val="Account_Payable13"/>
      <sheetName val="Revenue_(10)13"/>
      <sheetName val="SC_13"/>
      <sheetName val="HK_rates13"/>
      <sheetName val="Data_WP13"/>
      <sheetName val="DAFTAR_HARGA13"/>
      <sheetName val="Income_Statement13"/>
      <sheetName val="Balance_Sheet13"/>
      <sheetName val="Adv_Paym_Opr_AEM13"/>
      <sheetName val="template_investasi_(CAPEX)13"/>
      <sheetName val="Budet_&amp;_Target13"/>
      <sheetName val="A_4_313"/>
      <sheetName val="FCL_rate13"/>
      <sheetName val="Closing_Rate13"/>
      <sheetName val="Lumpsum_Hatch13"/>
      <sheetName val="FPI_DETAILS13"/>
      <sheetName val="Employees_Number13"/>
      <sheetName val="Cost_Input_Sheet13"/>
      <sheetName val="Nature_of_Account13"/>
      <sheetName val="PBC_TB_Nov_1713"/>
      <sheetName val="20_Lead_Nov13"/>
      <sheetName val="20_1_TOC_Hotel13"/>
      <sheetName val="20_1_Random_RNG_Hotel13"/>
      <sheetName val="Dokumen_Request_year_end13"/>
      <sheetName val="20_2_Sampling_A-B13"/>
      <sheetName val="20_2_RNG_TOD_Hotel13"/>
      <sheetName val="20_2_TOD_Hotel13"/>
      <sheetName val="20_2_Evaluate_Result_C-E13"/>
      <sheetName val="GL_Hotel13"/>
      <sheetName val="20_3_TOC_POT13"/>
      <sheetName val="Sampling_POT_A-B13"/>
      <sheetName val="PBC_POT_13"/>
      <sheetName val="Result_POT_Section_C-E13"/>
      <sheetName val="Materiality_Limit13"/>
      <sheetName val="Summary_Reversal_PJA_Group13"/>
      <sheetName val="Detail_Reversal_PT_PJA13"/>
      <sheetName val="Detail_Reversal_PT_TIJA13"/>
      <sheetName val="Detail_Journal_Reversal__TIJA13"/>
      <sheetName val="Sumarry_Journal_Reversal_TIJA13"/>
      <sheetName val="per_divisi13"/>
      <sheetName val="REF.ONLY"/>
      <sheetName val="bau"/>
      <sheetName val="rek det 1-3"/>
      <sheetName val="PPH1298S"/>
      <sheetName val="SUMMARY NDE"/>
      <sheetName val="Earthwork"/>
      <sheetName val="bhn-upah"/>
      <sheetName val="PRIST LIST"/>
      <sheetName val="PERALATAN PROYEK GOL III A"/>
      <sheetName val="Material&amp;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HN-ALAT"/>
      <sheetName val="Bab10"/>
      <sheetName val="Harga Satuan"/>
      <sheetName val="HPP X Q'TY"/>
      <sheetName val="RINCIAN-SC"/>
      <sheetName val="BASIC"/>
      <sheetName val="EVAL-ANAL"/>
      <sheetName val="div-2"/>
      <sheetName val="upah"/>
      <sheetName val="Schedule 11a"/>
      <sheetName val="Temporary"/>
      <sheetName val="Septick tank"/>
      <sheetName val="Subkon"/>
      <sheetName val="Input Data"/>
      <sheetName val="CashFlow"/>
      <sheetName val="Stay Cable PDMR2"/>
      <sheetName val="Analisa SNI STANDART "/>
      <sheetName val="Bangunan Utama"/>
      <sheetName val="Customize Your Purchase Order"/>
      <sheetName val="DIV.9"/>
      <sheetName val="Master 1.0"/>
      <sheetName val="Unit Rate"/>
      <sheetName val="KOEF"/>
      <sheetName val="jalur-TH-INI"/>
      <sheetName val="jalur-th-lalu"/>
      <sheetName val="Identitas"/>
      <sheetName val="Assetdb"/>
      <sheetName val="AssetPar"/>
      <sheetName val="Sales Parameter"/>
      <sheetName val="HDasar"/>
      <sheetName val="HS-2"/>
      <sheetName val="610.04a"/>
      <sheetName val="Harga Sat"/>
      <sheetName val="HD BAHAN"/>
      <sheetName val="REKAP-1"/>
      <sheetName val="HD ALAT"/>
      <sheetName val="shotcrete"/>
      <sheetName val="UG Excav"/>
      <sheetName val="BOQ CONTRACT WK"/>
      <sheetName val="HD UPAH"/>
      <sheetName val="SUB &amp; mandor"/>
      <sheetName val="PROD"/>
      <sheetName val="NAMES"/>
      <sheetName val="61004"/>
      <sheetName val="HARGADASAR"/>
      <sheetName val="EDTL"/>
      <sheetName val="PL SPP per ton"/>
      <sheetName val="rate-alat"/>
      <sheetName val="GP-WB"/>
      <sheetName val="SPT TAHUNAN"/>
      <sheetName val="Rinc_Setoran Astek"/>
      <sheetName val="DPLK_PST"/>
      <sheetName val="jkk_takaful"/>
      <sheetName val="Plumbing"/>
      <sheetName val="HARGA MATERIAL"/>
      <sheetName val="Div2"/>
      <sheetName val="An-str(krgnyr)"/>
      <sheetName val="61005"/>
      <sheetName val="61006"/>
      <sheetName val="61007"/>
      <sheetName val="61008"/>
      <sheetName val="DIV1"/>
      <sheetName val="COVER"/>
      <sheetName val="Master Schedule"/>
      <sheetName val="610.07A"/>
      <sheetName val="Agregat Halus &amp; Kasar"/>
      <sheetName val="4-MVAC"/>
      <sheetName val="T4_0103"/>
      <sheetName val="Price"/>
      <sheetName val="BUT_1"/>
      <sheetName val="HEX_A"/>
      <sheetName val="HEX_E"/>
      <sheetName val="I_BUT"/>
      <sheetName val="RD I_BUT"/>
      <sheetName val="As"/>
      <sheetName val="NERACA_AWAL"/>
      <sheetName val="B24-1"/>
      <sheetName val="COGS"/>
      <sheetName val="DL"/>
      <sheetName val="Cashflow_ref"/>
      <sheetName val="DEV_MAR"/>
      <sheetName val="BL"/>
      <sheetName val="PROD 15-1"/>
      <sheetName val="DIND"/>
      <sheetName val="an-satuan"/>
      <sheetName val="DB"/>
      <sheetName val="PS"/>
      <sheetName val="STR-ATAS"/>
      <sheetName val="Engine"/>
      <sheetName val="Isolasi Luar Dalam"/>
      <sheetName val="Isolasi Luar"/>
      <sheetName val="UBA"/>
      <sheetName val="ANTEK"/>
      <sheetName val="Schedulle(S-curve)Break"/>
      <sheetName val="HS Dasar "/>
      <sheetName val="BESI BETON"/>
      <sheetName val="BD-LS"/>
      <sheetName val="KEBALAT"/>
      <sheetName val="trans"/>
      <sheetName val="pt-perso"/>
      <sheetName val="AC"/>
      <sheetName val="Analis Kusen okk"/>
      <sheetName val="BAG-III"/>
      <sheetName val="DAF-4"/>
      <sheetName val="KONS2007"/>
      <sheetName val="Analisa Harga"/>
      <sheetName val="Summary"/>
      <sheetName val="villa"/>
      <sheetName val="RANGKUM"/>
      <sheetName val="Bahan"/>
      <sheetName val="Dati base"/>
      <sheetName val="Ps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Field"/>
      <sheetName val="AA Template_Sample"/>
      <sheetName val="AA Template"/>
      <sheetName val="AA Class"/>
      <sheetName val="Business Area"/>
      <sheetName val="Cost Center"/>
      <sheetName val="Location"/>
      <sheetName val="Asset Type"/>
      <sheetName val="License BOI"/>
      <sheetName val="Asset Status"/>
      <sheetName val="Depre. Ke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  <sheetName val="GL"/>
      <sheetName val="ap1"/>
      <sheetName val="ap2"/>
      <sheetName val="List"/>
      <sheetName val="Marsh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(bsheet)"/>
      <sheetName val="Audit Adjustment"/>
      <sheetName val="Adjustments for ADI2"/>
    </sheetNames>
    <sheetDataSet>
      <sheetData sheetId="0"/>
      <sheetData sheetId="1" refreshError="1"/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MENU"/>
      <sheetName val="REF"/>
      <sheetName val="Kasus1"/>
      <sheetName val="Kasus2"/>
      <sheetName val="Kasus1 "/>
      <sheetName val="Assumption"/>
      <sheetName val="Kasus1_"/>
      <sheetName val="details"/>
      <sheetName val="Tabel"/>
      <sheetName val="Kasus1_1"/>
      <sheetName val="Customize Your Purchase Order"/>
      <sheetName val="MasterReff"/>
      <sheetName val="hitung ulang JEPANG"/>
      <sheetName val="REV_1702"/>
      <sheetName val="tunj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BS"/>
      <sheetName val="Amor1"/>
    </sheetNames>
    <sheetDataSet>
      <sheetData sheetId="0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e Data"/>
      <sheetName val="Crew Laybarge"/>
      <sheetName val="Rates Laybarge"/>
      <sheetName val="Management"/>
      <sheetName val="Manag-resources"/>
      <sheetName val="Inspection resources"/>
      <sheetName val="Engineering"/>
      <sheetName val="Transfer of Castoro 2"/>
      <sheetName val="Preparation"/>
      <sheetName val="Transit C2"/>
      <sheetName val="Additional Mob-Demob C2"/>
      <sheetName val="LAYING"/>
      <sheetName val="Laying Opt.1"/>
      <sheetName val="RISERS BASE CASE"/>
      <sheetName val="Consumables BASE"/>
      <sheetName val="Consumables OPTION1"/>
      <sheetName val="Line pipe trips"/>
      <sheetName val="Pipe transp"/>
      <sheetName val="Onshore laying"/>
      <sheetName val="Hydrotesting"/>
      <sheetName val="PROCUREMENT"/>
      <sheetName val="Materials"/>
      <sheetName val="DIVING VESSEL"/>
      <sheetName val="Riser Transportation"/>
      <sheetName val="Shore Approach"/>
      <sheetName val="Stabilisation works"/>
      <sheetName val="Duties Tax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base"/>
      <sheetName val="Summary"/>
      <sheetName val="Rate Laybarge"/>
      <sheetName val="Personale Laybarge"/>
      <sheetName val="Management"/>
      <sheetName val="Manag-resources"/>
      <sheetName val="INSPECTION"/>
      <sheetName val="Engineering"/>
      <sheetName val="Transfer of Castoro 2"/>
      <sheetName val="Preparaz C2 a Singapore"/>
      <sheetName val="Mob-Demob C2"/>
      <sheetName val="Mob-Demob AGGIUNTIVA C2"/>
      <sheetName val="VARO BASE CASE"/>
      <sheetName val="VARO OPT. 1"/>
      <sheetName val="RISERS BASE CASE"/>
      <sheetName val="RISERS OPT. 1"/>
      <sheetName val="Consumables BASE"/>
      <sheetName val="Consumables OPTION"/>
      <sheetName val="Line pipe trips"/>
      <sheetName val="Pipe transp"/>
      <sheetName val="POSA LINEA TERRA"/>
      <sheetName val="Hydrotesting"/>
      <sheetName val="Verricello"/>
      <sheetName val="PROCUREMENT"/>
      <sheetName val="MATERIALI"/>
      <sheetName val="CUSTOM D. E TASSE"/>
      <sheetName val="DIVING VESSEL"/>
      <sheetName val="TRASP RISERS"/>
      <sheetName val="saturazione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 -1"/>
      <sheetName val="Permanent info"/>
      <sheetName val="Lampiran"/>
      <sheetName val="Art. 23 recons"/>
      <sheetName val="ppH25 &amp; PROVISION"/>
      <sheetName val="BIK-NDE"/>
      <sheetName val="Penyusutan"/>
      <sheetName val="Addition"/>
      <sheetName val="Sheet1"/>
      <sheetName val="F1771"/>
      <sheetName val="F1771-I"/>
      <sheetName val="F1771-II."/>
      <sheetName val="F1771-III"/>
      <sheetName val="F1771-V."/>
      <sheetName val="F1771-VI"/>
      <sheetName val="Marshal _1"/>
      <sheetName val="Marshal"/>
      <sheetName val="ged"/>
      <sheetName val="BUT-1"/>
      <sheetName val="HEX-A"/>
      <sheetName val="HEX-E"/>
      <sheetName val="I-BUT"/>
      <sheetName val="RD I-BUT"/>
      <sheetName val="Interdata"/>
      <sheetName val="COA"/>
      <sheetName val="MasterSheet"/>
      <sheetName val="FE-1770-I"/>
      <sheetName val="FE-1770.P1"/>
      <sheetName val="FE-1770-II"/>
      <sheetName val="CDMACapacity"/>
      <sheetName val="CONTRACT REC"/>
      <sheetName val="Ex-Rate"/>
      <sheetName val="WBS (2)salah"/>
      <sheetName val="KONS2007"/>
      <sheetName val="Slip"/>
      <sheetName val="Cover Sheet"/>
      <sheetName val="PRO"/>
      <sheetName val="Exchange Rates"/>
      <sheetName val="PROJ CASH"/>
      <sheetName val="Permanent_info"/>
      <sheetName val="Art__23_recons"/>
      <sheetName val="Marshal_-1"/>
      <sheetName val="ppH25_&amp;_PROVISION"/>
      <sheetName val="F1771-II_"/>
      <sheetName val="F1771-V_"/>
      <sheetName val="Marshal__1"/>
      <sheetName val="bre"/>
      <sheetName val="Price"/>
      <sheetName val="RumusTB 1 bln"/>
      <sheetName val="summary_frm_output"/>
      <sheetName val="Input_tables"/>
      <sheetName val="Panen"/>
      <sheetName val="Nm Brg"/>
      <sheetName val="Data Sheet"/>
      <sheetName val="AN_Input"/>
      <sheetName val="General"/>
      <sheetName val="Entry  HTM"/>
      <sheetName val="CapEx &amp; Opr-Cost"/>
      <sheetName val="Consumables"/>
      <sheetName val="Properties"/>
      <sheetName val="SD &amp; Impl"/>
      <sheetName val="FINALPHP"/>
      <sheetName val="Calculation"/>
      <sheetName val="EmpData"/>
      <sheetName val="Information"/>
      <sheetName val="FRN"/>
      <sheetName val="Permanent_info1"/>
      <sheetName val="Art__23_recons1"/>
      <sheetName val="Marshal_-11"/>
      <sheetName val="ppH25_&amp;_PROVISION1"/>
      <sheetName val="F1771-II_1"/>
      <sheetName val="F1771-V_1"/>
      <sheetName val="Marshal__11"/>
      <sheetName val="RD_I-BUT"/>
      <sheetName val="CONTRACT_REC"/>
      <sheetName val="FE-1770_P1"/>
      <sheetName val="WBS_(2)salah"/>
      <sheetName val="cons_workpapers"/>
      <sheetName val="Drill-Down Tables"/>
      <sheetName val="Rincian Iuran"/>
      <sheetName val="Dumtk"/>
      <sheetName val="GD-BHN KEMASAN"/>
      <sheetName val="GD-BB Kt. A"/>
      <sheetName val="Permanent_info2"/>
      <sheetName val="Art__23_recons2"/>
      <sheetName val="Marshal_-12"/>
      <sheetName val="ppH25_&amp;_PROVISION2"/>
      <sheetName val="F1771-II_2"/>
      <sheetName val="F1771-V_2"/>
      <sheetName val="Marshal__12"/>
      <sheetName val="RD_I-BUT1"/>
      <sheetName val="CONTRACT_REC1"/>
      <sheetName val="FE-1770_P11"/>
      <sheetName val="WBS_(2)salah1"/>
      <sheetName val="Parameters"/>
      <sheetName val="GeneralInfo"/>
      <sheetName val="Menu"/>
      <sheetName val="Bgt"/>
      <sheetName val="Hari"/>
      <sheetName val="Hujan"/>
      <sheetName val="Kirim"/>
      <sheetName val="Mentah"/>
      <sheetName val="Restan"/>
      <sheetName val="Sns"/>
      <sheetName val="UNITPRICE"/>
      <sheetName val="Bill sipil"/>
      <sheetName val="CAJE"/>
      <sheetName val="UNFOREX"/>
      <sheetName val="2x2 1+0"/>
      <sheetName val="Cover_Sheet"/>
      <sheetName val="Exchange_Rates"/>
      <sheetName val="PROJ_CASH"/>
      <sheetName val="RumusTB_1_bln"/>
      <sheetName val="Nm_Brg"/>
      <sheetName val="Data_Sheet"/>
      <sheetName val="Drill-Down_Tables"/>
      <sheetName val="Rincian_Iuran"/>
      <sheetName val="GD-BHN_KEMASAN"/>
      <sheetName val="GD-BB_Kt__A"/>
      <sheetName val="Bill_sipil"/>
      <sheetName val="2x2_1+0"/>
      <sheetName val="lapkeu"/>
      <sheetName val="Credit-22"/>
      <sheetName val="Lead"/>
      <sheetName val="SheetGMP"/>
      <sheetName val="SheetGMT"/>
      <sheetName val="CURRENCY C.O.A."/>
      <sheetName val="Permanent_info3"/>
      <sheetName val="Art__23_recons3"/>
      <sheetName val="Marshal_-13"/>
      <sheetName val="ppH25_&amp;_PROVISION3"/>
      <sheetName val="F1771-II_3"/>
      <sheetName val="F1771-V_3"/>
      <sheetName val="Marshal__13"/>
      <sheetName val="RD_I-BUT2"/>
      <sheetName val="CONTRACT_REC2"/>
      <sheetName val="FE-1770_P12"/>
      <sheetName val="WBS_(2)salah2"/>
      <sheetName val="Cover_Sheet1"/>
      <sheetName val="Exchange_Rates1"/>
      <sheetName val="PROJ_CASH1"/>
      <sheetName val="RumusTB_1_bln1"/>
      <sheetName val="Nm_Brg1"/>
      <sheetName val="Data_Sheet1"/>
      <sheetName val="Drill-Down_Tables1"/>
      <sheetName val="Rincian_Iuran1"/>
      <sheetName val="GD-BHN_KEMASAN1"/>
      <sheetName val="GD-BB_Kt__A1"/>
      <sheetName val="Entry__HTM"/>
      <sheetName val="CapEx_&amp;_Opr-Cost"/>
      <sheetName val="SD_&amp;_Impl"/>
      <sheetName val="Bill_sipil1"/>
      <sheetName val="2x2_1+01"/>
      <sheetName val="Ref"/>
      <sheetName val="FA Movement"/>
      <sheetName val="Coding"/>
      <sheetName val="PL98"/>
      <sheetName val="Input &amp; Summary"/>
      <sheetName val="A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PROLOSS"/>
      <sheetName val="Table Array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TBM"/>
      <sheetName val="Info"/>
      <sheetName val="Benefit Factors"/>
      <sheetName val="FEB"/>
      <sheetName val="Journal Template"/>
      <sheetName val="BQ-E20-02(Rp)"/>
      <sheetName val="Bangunan Utama"/>
      <sheetName val="E 4 - Long Out. Analysis"/>
      <sheetName val="CGS"/>
      <sheetName val="RMCONS"/>
      <sheetName val="Volume Graph (May-ytd)"/>
      <sheetName val="Budget04"/>
      <sheetName val="CAPIN99B"/>
      <sheetName val="FA99B"/>
      <sheetName val="P&amp;L"/>
      <sheetName val="DBS-SPT1771-1998"/>
      <sheetName val="data_val"/>
      <sheetName val="Q1 JPN Working Budget"/>
      <sheetName val="START"/>
      <sheetName val="EV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Capex.det"/>
      <sheetName val="Revenue"/>
      <sheetName val="Oil"/>
      <sheetName val="Capex-O"/>
      <sheetName val="Umum-F"/>
      <sheetName val="Analisa Konstruksi"/>
      <sheetName val="KK"/>
      <sheetName val="Factor"/>
      <sheetName val="F1771-V"/>
      <sheetName val="As"/>
      <sheetName val="CURRENCY_C_O_A_"/>
      <sheetName val="Criteria"/>
      <sheetName val="Detail Piutang"/>
      <sheetName val="PANIN"/>
      <sheetName val="WP PASIVA"/>
      <sheetName val="HITUNG"/>
      <sheetName val="KMS-DIS5"/>
      <sheetName val="harga"/>
      <sheetName val="Sheet8"/>
      <sheetName val="Bobot rev"/>
      <sheetName val="5700.1"/>
      <sheetName val="bjr"/>
      <sheetName val="Benefit_Tab"/>
      <sheetName val="output"/>
      <sheetName val="decr_table"/>
      <sheetName val="Parameter"/>
      <sheetName val="cALC"/>
      <sheetName val="PSC_Calc"/>
      <sheetName val="JL_BEL"/>
      <sheetName val="DATA_JUALAN"/>
      <sheetName val="Summary"/>
      <sheetName val="Govt BI"/>
      <sheetName val="Opcost"/>
      <sheetName val="Inputs"/>
      <sheetName val="Permanent_info4"/>
      <sheetName val="Art__23_recons4"/>
      <sheetName val="Marshal_-14"/>
      <sheetName val="ppH25_&amp;_PROVISION4"/>
      <sheetName val="F1771-II_4"/>
      <sheetName val="F1771-V_4"/>
      <sheetName val="Marshal__14"/>
      <sheetName val="RD_I-BUT3"/>
      <sheetName val="CONTRACT_REC3"/>
      <sheetName val="FE-1770_P13"/>
      <sheetName val="Cover_Sheet2"/>
      <sheetName val="PROJ_CASH2"/>
      <sheetName val="Exchange_Rates2"/>
      <sheetName val="RumusTB_1_bln2"/>
      <sheetName val="Nm_Brg2"/>
      <sheetName val="Bill_sipil2"/>
      <sheetName val="WBS_(2)salah3"/>
      <sheetName val="2x2_1+02"/>
      <sheetName val="GD-BHN_KEMASAN2"/>
      <sheetName val="GD-BB_Kt__A2"/>
      <sheetName val="Data_Sheet2"/>
      <sheetName val="Drill-Down_Tables2"/>
      <sheetName val="Rincian_Iuran2"/>
      <sheetName val="Entry__HTM1"/>
      <sheetName val="CapEx_&amp;_Opr-Cost1"/>
      <sheetName val="SD_&amp;_Impl1"/>
      <sheetName val="Analisa"/>
      <sheetName val="tunj."/>
      <sheetName val="adm"/>
      <sheetName val="qc"/>
      <sheetName val="trn"/>
      <sheetName val="RPP-6"/>
      <sheetName val="HRG"/>
      <sheetName val="DAF-2"/>
      <sheetName val="Tabel"/>
      <sheetName val="CAN_WH"/>
      <sheetName val="CENT PMWH"/>
      <sheetName val="CENT RMWH"/>
      <sheetName val="QC WH"/>
      <sheetName val="SCM PMWH"/>
      <sheetName val="SCM RMWH"/>
      <sheetName val="UHT PMWH"/>
      <sheetName val="UHT RMWH"/>
      <sheetName val="RAB"/>
      <sheetName val="Permanent_info5"/>
      <sheetName val="Art__23_recons5"/>
      <sheetName val="Marshal_-15"/>
      <sheetName val="ppH25_&amp;_PROVISION5"/>
      <sheetName val="F1771-II_5"/>
      <sheetName val="F1771-V_5"/>
      <sheetName val="Marshal__15"/>
      <sheetName val="RD_I-BUT4"/>
      <sheetName val="CONTRACT_REC4"/>
      <sheetName val="FE-1770_P14"/>
      <sheetName val="Cover_Sheet3"/>
      <sheetName val="PROJ_CASH3"/>
      <sheetName val="Exchange_Rates3"/>
      <sheetName val="RumusTB_1_bln3"/>
      <sheetName val="Nm_Brg3"/>
      <sheetName val="Bill_sipil3"/>
      <sheetName val="WBS_(2)salah4"/>
      <sheetName val="2x2_1+03"/>
      <sheetName val="GD-BHN_KEMASAN3"/>
      <sheetName val="GD-BB_Kt__A3"/>
      <sheetName val="Data_Sheet3"/>
      <sheetName val="Drill-Down_Tables3"/>
      <sheetName val="Rincian_Iuran3"/>
      <sheetName val="Entry__HTM2"/>
      <sheetName val="CapEx_&amp;_Opr-Cost2"/>
      <sheetName val="SD_&amp;_Impl2"/>
      <sheetName val="CURRENCY_C_O_A_1"/>
      <sheetName val="Danamon LK"/>
      <sheetName val="DATA 2009"/>
      <sheetName val="TARGET RAKER "/>
      <sheetName val="target raker 1"/>
      <sheetName val="SDMTA"/>
      <sheetName val="MAP"/>
      <sheetName val="FE_1770_I"/>
      <sheetName val="FE_1770_P1"/>
      <sheetName val="FE_1770_II"/>
      <sheetName val="Index (H)"/>
      <sheetName val="REG TOTAL"/>
      <sheetName val="PROTECTION "/>
      <sheetName val="KPI-GM"/>
      <sheetName val="FBL5n 14 Sep 08"/>
      <sheetName val="DaftarBASTD2010"/>
      <sheetName val="DataMemoRevisiKontrak_Reschedul"/>
      <sheetName val="DBase"/>
      <sheetName val="SAD"/>
      <sheetName val="fraisfi 2000"/>
      <sheetName val="Local"/>
      <sheetName val="budget idr"/>
      <sheetName val="Tran0104"/>
      <sheetName val="DATABASE"/>
      <sheetName val="SAP Data"/>
      <sheetName val="List"/>
      <sheetName val="Consolidated"/>
      <sheetName val="FA_Movement"/>
      <sheetName val="MACRO2"/>
      <sheetName val="Data_Umum"/>
      <sheetName val="Cap"/>
      <sheetName val="DATA 2010"/>
      <sheetName val="Ranking-LK"/>
      <sheetName val="Cawang_Tomang_Cengkareng"/>
      <sheetName val="Jakarta_Cikampek"/>
      <sheetName val="Jakarta_Merak"/>
      <sheetName val="Padalarang_Cileunyi"/>
      <sheetName val="Surabaya_Gempol_Mojokerto"/>
      <sheetName val="HARSAT"/>
      <sheetName val="bhn-upah"/>
      <sheetName val="DAF-5"/>
      <sheetName val="AnAlat"/>
      <sheetName val="Basic Price"/>
      <sheetName val="ANAL.BOW"/>
      <sheetName val="Unit Rate"/>
      <sheetName val="Sch"/>
      <sheetName val="HARGA ALAT"/>
      <sheetName val="MPB-01"/>
      <sheetName val="HARSAT Das"/>
      <sheetName val="Financing"/>
      <sheetName val="Profit &amp; Loss"/>
      <sheetName val="Rinc"/>
      <sheetName val="upah"/>
      <sheetName val="Option List"/>
      <sheetName val="REKAP"/>
      <sheetName val="CashFlow"/>
      <sheetName val="HS1"/>
      <sheetName val="PP"/>
      <sheetName val="Assumption"/>
      <sheetName val="HARGA AT"/>
      <sheetName val="Galian"/>
      <sheetName val="Bekisting"/>
      <sheetName val="data (2)"/>
      <sheetName val="BOQ"/>
      <sheetName val="bq"/>
      <sheetName val="LOOKUP"/>
      <sheetName val="hsd"/>
      <sheetName val="MAP-2A"/>
      <sheetName val="COV"/>
      <sheetName val="7.PEK-STRUKTUR"/>
      <sheetName val="rkp"/>
      <sheetName val="lamp4ae"/>
      <sheetName val="JM"/>
      <sheetName val="Kinerja Proyek"/>
      <sheetName val="Target Raker TW III"/>
      <sheetName val="KUB-01(10)"/>
      <sheetName val="5"/>
      <sheetName val="bahan"/>
      <sheetName val="PRY01-1"/>
      <sheetName val="DATA-MASUKAN"/>
      <sheetName val="railing"/>
      <sheetName val="HS"/>
      <sheetName val="bua"/>
      <sheetName val="DATAJUNI"/>
      <sheetName val="DbCost"/>
      <sheetName val="Sheet3"/>
      <sheetName val="Material"/>
      <sheetName val="RinciBab1_Seksi1"/>
      <sheetName val="grail"/>
      <sheetName val="RPP01 6"/>
      <sheetName val="pricelist"/>
      <sheetName val="BASIC"/>
      <sheetName val="TEKNIS"/>
      <sheetName val="rate-alat"/>
      <sheetName val="SDM"/>
      <sheetName val="harga dasar"/>
      <sheetName val="Bipeg-U(12D2)"/>
      <sheetName val="Capex"/>
      <sheetName val="Assumptions"/>
      <sheetName val="Index (VH)"/>
      <sheetName val="Detail_Piutang"/>
      <sheetName val="Journal_Template"/>
      <sheetName val="WP_PASIVA"/>
      <sheetName val="tunj_"/>
      <sheetName val="FA_Movement1"/>
      <sheetName val="CENT_PMWH"/>
      <sheetName val="CENT_RMWH"/>
      <sheetName val="QC_WH"/>
      <sheetName val="SCM_PMWH"/>
      <sheetName val="SCM_RMWH"/>
      <sheetName val="UHT_PMWH"/>
      <sheetName val="UHT_RMWH"/>
      <sheetName val="Table_Array"/>
      <sheetName val="Benefit_Factors"/>
      <sheetName val="Input_&amp;_Summary"/>
      <sheetName val="Bangunan_Utama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Total_expenses_MTD_"/>
      <sheetName val="E_4_-_Long_Out__Analysis"/>
      <sheetName val="Volume_Graph_(May-ytd)"/>
      <sheetName val="FBL5n_14_Sep_08"/>
      <sheetName val="Q1_JPN_Working_Budget"/>
      <sheetName val="fraisfi_2000"/>
      <sheetName val="budget_idr"/>
      <sheetName val="SAP_Data"/>
      <sheetName val="Index_(H)"/>
      <sheetName val="REG_TOTAL"/>
      <sheetName val="PROTECTION_"/>
      <sheetName val="Bobot_rev"/>
      <sheetName val="5700_1"/>
      <sheetName val="Capex_det"/>
      <sheetName val="Analisa_Konstruksi"/>
      <sheetName val="CGSgm2"/>
      <sheetName val="CGSsp"/>
      <sheetName val="Sales"/>
      <sheetName val="REF.ONLY"/>
      <sheetName val="KONS2005"/>
      <sheetName val="WS"/>
      <sheetName val="NRC_2"/>
      <sheetName val="12-06-ins"/>
      <sheetName val="master"/>
      <sheetName val="AUG02"/>
      <sheetName val="Trial"/>
      <sheetName val="HC PLAN"/>
      <sheetName val="tax-ss"/>
      <sheetName val="REF_ONLY"/>
      <sheetName val="REG_TOTAL1"/>
      <sheetName val="PROTECTION_1"/>
      <sheetName val="CURRENCY_C_O_A_2"/>
      <sheetName val="tunj_1"/>
      <sheetName val="Detail_Piutang1"/>
      <sheetName val="Journal_Template1"/>
      <sheetName val="Volume_Graph_(May-ytd)1"/>
      <sheetName val="Input_&amp;_Summary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y_Account_MTD1"/>
      <sheetName val="By_Account_YTD1"/>
      <sheetName val="Direct_expenses_MTD1"/>
      <sheetName val="Equity_MTD1"/>
      <sheetName val="Equity_YTD1"/>
      <sheetName val="FID_MTD1"/>
      <sheetName val="FID_YTD1"/>
      <sheetName val="IBD_MTD1"/>
      <sheetName val="IBD_YTD1"/>
      <sheetName val="By_Product_MTD1"/>
      <sheetName val="By_Product_YTD1"/>
      <sheetName val="Total_expenses_MTD_1"/>
      <sheetName val="Table_Array1"/>
      <sheetName val="Benefit_Factors1"/>
      <sheetName val="WP_PASIVA1"/>
      <sheetName val="FA_Movement2"/>
      <sheetName val="CENT_PMWH1"/>
      <sheetName val="CENT_RMWH1"/>
      <sheetName val="QC_WH1"/>
      <sheetName val="SCM_PMWH1"/>
      <sheetName val="SCM_RMWH1"/>
      <sheetName val="UHT_PMWH1"/>
      <sheetName val="UHT_RMWH1"/>
      <sheetName val="Bangunan_Utama1"/>
      <sheetName val="E_4_-_Long_Out__Analysis1"/>
      <sheetName val="Index_(H)1"/>
      <sheetName val="REF_ONLY1"/>
      <sheetName val="FBL5n_14_Sep_081"/>
      <sheetName val="Q1_JPN_Working_Budget1"/>
      <sheetName val="fraisfi_20001"/>
      <sheetName val="budget_idr1"/>
      <sheetName val="SAP_Data1"/>
      <sheetName val="Bobot_rev1"/>
      <sheetName val="5700_11"/>
      <sheetName val="Cawang_Tomang_Cengkareng1"/>
      <sheetName val="Jakarta_Cikampek1"/>
      <sheetName val="Jakarta_Merak1"/>
      <sheetName val="Padalarang_Cileunyi1"/>
      <sheetName val="Surabaya_Gempol_Mojokerto1"/>
      <sheetName val="Capex_det1"/>
      <sheetName val="Analisa_Konstruksi1"/>
      <sheetName val="Permanent_info6"/>
      <sheetName val="Art__23_recons6"/>
      <sheetName val="Marshal_-16"/>
      <sheetName val="ppH25_&amp;_PROVISION6"/>
      <sheetName val="F1771-II_6"/>
      <sheetName val="F1771-V_6"/>
      <sheetName val="Marshal__16"/>
      <sheetName val="RD_I-BUT5"/>
      <sheetName val="CONTRACT_REC5"/>
      <sheetName val="FE-1770_P15"/>
      <sheetName val="Cover_Sheet4"/>
      <sheetName val="Exchange_Rates4"/>
      <sheetName val="PROJ_CASH4"/>
      <sheetName val="RumusTB_1_bln4"/>
      <sheetName val="Nm_Brg4"/>
      <sheetName val="Bill_sipil4"/>
      <sheetName val="REG_TOTAL2"/>
      <sheetName val="PROTECTION_2"/>
      <sheetName val="WBS_(2)salah5"/>
      <sheetName val="Data_Sheet4"/>
      <sheetName val="Drill-Down_Tables4"/>
      <sheetName val="Rincian_Iuran4"/>
      <sheetName val="GD-BHN_KEMASAN4"/>
      <sheetName val="GD-BB_Kt__A4"/>
      <sheetName val="2x2_1+04"/>
      <sheetName val="Entry__HTM3"/>
      <sheetName val="CapEx_&amp;_Opr-Cost3"/>
      <sheetName val="SD_&amp;_Impl3"/>
      <sheetName val="CURRENCY_C_O_A_3"/>
      <sheetName val="tunj_2"/>
      <sheetName val="Detail_Piutang2"/>
      <sheetName val="Journal_Template2"/>
      <sheetName val="Volume_Graph_(May-ytd)2"/>
      <sheetName val="Input_&amp;_Summary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y_Account_MTD2"/>
      <sheetName val="By_Account_YTD2"/>
      <sheetName val="Direct_expenses_MTD2"/>
      <sheetName val="Equity_MTD2"/>
      <sheetName val="Equity_YTD2"/>
      <sheetName val="FID_MTD2"/>
      <sheetName val="FID_YTD2"/>
      <sheetName val="IBD_MTD2"/>
      <sheetName val="IBD_YTD2"/>
      <sheetName val="By_Product_MTD2"/>
      <sheetName val="By_Product_YTD2"/>
      <sheetName val="Total_expenses_MTD_2"/>
      <sheetName val="Table_Array2"/>
      <sheetName val="Benefit_Factors2"/>
      <sheetName val="WP_PASIVA2"/>
      <sheetName val="FA_Movement3"/>
      <sheetName val="CENT_PMWH2"/>
      <sheetName val="CENT_RMWH2"/>
      <sheetName val="QC_WH2"/>
      <sheetName val="SCM_PMWH2"/>
      <sheetName val="SCM_RMWH2"/>
      <sheetName val="UHT_PMWH2"/>
      <sheetName val="UHT_RMWH2"/>
      <sheetName val="Bangunan_Utama2"/>
      <sheetName val="E_4_-_Long_Out__Analysis2"/>
      <sheetName val="Index_(H)2"/>
      <sheetName val="BS"/>
      <sheetName val="CF"/>
      <sheetName val="SC "/>
      <sheetName val="BELI_0603"/>
      <sheetName val="PL"/>
      <sheetName val="ProArcInfo"/>
      <sheetName val="DAT-2"/>
      <sheetName val="Cabang"/>
      <sheetName val="BP1_23"/>
      <sheetName val="Links"/>
      <sheetName val="REF_ONLY2"/>
      <sheetName val="FBL5n_14_Sep_082"/>
      <sheetName val="Q1_JPN_Working_Budget2"/>
      <sheetName val="fraisfi_20002"/>
      <sheetName val="budget_idr2"/>
      <sheetName val="SAP_Data2"/>
      <sheetName val="Bobot_rev2"/>
      <sheetName val="5700_12"/>
      <sheetName val="Cawang_Tomang_Cengkareng2"/>
      <sheetName val="Jakarta_Cikampek2"/>
      <sheetName val="Jakarta_Merak2"/>
      <sheetName val="Padalarang_Cileunyi2"/>
      <sheetName val="Surabaya_Gempol_Mojokerto2"/>
      <sheetName val="Capex_det2"/>
      <sheetName val="Analisa_Konstruksi2"/>
      <sheetName val="Permanent_info7"/>
      <sheetName val="Art__23_recons7"/>
      <sheetName val="Marshal_-17"/>
      <sheetName val="ppH25_&amp;_PROVISION7"/>
      <sheetName val="F1771-II_7"/>
      <sheetName val="F1771-V_7"/>
      <sheetName val="Marshal__17"/>
      <sheetName val="RD_I-BUT6"/>
      <sheetName val="CONTRACT_REC6"/>
      <sheetName val="FE-1770_P16"/>
      <sheetName val="Cover_Sheet5"/>
      <sheetName val="Exchange_Rates5"/>
      <sheetName val="PROJ_CASH5"/>
      <sheetName val="RumusTB_1_bln5"/>
      <sheetName val="Nm_Brg5"/>
      <sheetName val="Bill_sipil5"/>
      <sheetName val="REG_TOTAL3"/>
      <sheetName val="PROTECTION_3"/>
      <sheetName val="WBS_(2)salah6"/>
      <sheetName val="Data_Sheet5"/>
      <sheetName val="Drill-Down_Tables5"/>
      <sheetName val="Rincian_Iuran5"/>
      <sheetName val="GD-BHN_KEMASAN5"/>
      <sheetName val="GD-BB_Kt__A5"/>
      <sheetName val="2x2_1+05"/>
      <sheetName val="Entry__HTM4"/>
      <sheetName val="CapEx_&amp;_Opr-Cost4"/>
      <sheetName val="SD_&amp;_Impl4"/>
      <sheetName val="CURRENCY_C_O_A_4"/>
      <sheetName val="tunj_3"/>
      <sheetName val="Detail_Piutang3"/>
      <sheetName val="Journal_Template3"/>
      <sheetName val="Volume_Graph_(May-ytd)3"/>
      <sheetName val="Input_&amp;_Summary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y_Account_MTD3"/>
      <sheetName val="By_Account_YTD3"/>
      <sheetName val="Direct_expenses_MTD3"/>
      <sheetName val="Equity_MTD3"/>
      <sheetName val="Equity_YTD3"/>
      <sheetName val="FID_MTD3"/>
      <sheetName val="FID_YTD3"/>
      <sheetName val="IBD_MTD3"/>
      <sheetName val="IBD_YTD3"/>
      <sheetName val="By_Product_MTD3"/>
      <sheetName val="By_Product_YTD3"/>
      <sheetName val="Total_expenses_MTD_3"/>
      <sheetName val="Table_Array3"/>
      <sheetName val="Benefit_Factors3"/>
      <sheetName val="WP_PASIVA3"/>
      <sheetName val="FA_Movement4"/>
      <sheetName val="CENT_PMWH3"/>
      <sheetName val="CENT_RMWH3"/>
      <sheetName val="QC_WH3"/>
      <sheetName val="SCM_PMWH3"/>
      <sheetName val="SCM_RMWH3"/>
      <sheetName val="UHT_PMWH3"/>
      <sheetName val="UHT_RMWH3"/>
      <sheetName val="Bangunan_Utama3"/>
      <sheetName val="E_4_-_Long_Out__Analysis3"/>
      <sheetName val="Index_(H)3"/>
      <sheetName val="REF_ONLY3"/>
      <sheetName val="FBL5n_14_Sep_083"/>
      <sheetName val="Q1_JPN_Working_Budget3"/>
      <sheetName val="fraisfi_20003"/>
      <sheetName val="budget_idr3"/>
      <sheetName val="SAP_Data3"/>
      <sheetName val="Bobot_rev3"/>
      <sheetName val="5700_13"/>
      <sheetName val="Cawang_Tomang_Cengkareng3"/>
      <sheetName val="Jakarta_Cikampek3"/>
      <sheetName val="Jakarta_Merak3"/>
      <sheetName val="Padalarang_Cileunyi3"/>
      <sheetName val="Surabaya_Gempol_Mojokerto3"/>
      <sheetName val="Capex_det3"/>
      <sheetName val="Analisa_Konstruksi3"/>
      <sheetName val="Permanent_info9"/>
      <sheetName val="Art__23_recons9"/>
      <sheetName val="Marshal_-19"/>
      <sheetName val="ppH25_&amp;_PROVISION9"/>
      <sheetName val="F1771-II_9"/>
      <sheetName val="F1771-V_9"/>
      <sheetName val="Marshal__19"/>
      <sheetName val="RD_I-BUT8"/>
      <sheetName val="CONTRACT_REC8"/>
      <sheetName val="FE-1770_P18"/>
      <sheetName val="Cover_Sheet7"/>
      <sheetName val="Exchange_Rates7"/>
      <sheetName val="PROJ_CASH7"/>
      <sheetName val="RumusTB_1_bln7"/>
      <sheetName val="Nm_Brg7"/>
      <sheetName val="Bill_sipil7"/>
      <sheetName val="REG_TOTAL5"/>
      <sheetName val="PROTECTION_5"/>
      <sheetName val="WBS_(2)salah8"/>
      <sheetName val="Data_Sheet7"/>
      <sheetName val="Drill-Down_Tables7"/>
      <sheetName val="Rincian_Iuran7"/>
      <sheetName val="GD-BHN_KEMASAN7"/>
      <sheetName val="GD-BB_Kt__A7"/>
      <sheetName val="2x2_1+07"/>
      <sheetName val="Entry__HTM6"/>
      <sheetName val="CapEx_&amp;_Opr-Cost6"/>
      <sheetName val="SD_&amp;_Impl6"/>
      <sheetName val="CURRENCY_C_O_A_6"/>
      <sheetName val="tunj_5"/>
      <sheetName val="Detail_Piutang5"/>
      <sheetName val="Journal_Template5"/>
      <sheetName val="Volume_Graph_(May-ytd)5"/>
      <sheetName val="Input_&amp;_Summary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By_Account_MTD5"/>
      <sheetName val="By_Account_YTD5"/>
      <sheetName val="Direct_expenses_MTD5"/>
      <sheetName val="Equity_MTD5"/>
      <sheetName val="Equity_YTD5"/>
      <sheetName val="FID_MTD5"/>
      <sheetName val="FID_YTD5"/>
      <sheetName val="IBD_MTD5"/>
      <sheetName val="IBD_YTD5"/>
      <sheetName val="By_Product_MTD5"/>
      <sheetName val="By_Product_YTD5"/>
      <sheetName val="Total_expenses_MTD_5"/>
      <sheetName val="Table_Array5"/>
      <sheetName val="Benefit_Factors5"/>
      <sheetName val="WP_PASIVA5"/>
      <sheetName val="FA_Movement6"/>
      <sheetName val="CENT_PMWH5"/>
      <sheetName val="CENT_RMWH5"/>
      <sheetName val="QC_WH5"/>
      <sheetName val="SCM_PMWH5"/>
      <sheetName val="SCM_RMWH5"/>
      <sheetName val="UHT_PMWH5"/>
      <sheetName val="UHT_RMWH5"/>
      <sheetName val="Bangunan_Utama5"/>
      <sheetName val="E_4_-_Long_Out__Analysis5"/>
      <sheetName val="Index_(H)5"/>
      <sheetName val="REF_ONLY5"/>
      <sheetName val="FBL5n_14_Sep_085"/>
      <sheetName val="Q1_JPN_Working_Budget5"/>
      <sheetName val="fraisfi_20005"/>
      <sheetName val="budget_idr5"/>
      <sheetName val="SAP_Data5"/>
      <sheetName val="Bobot_rev5"/>
      <sheetName val="5700_15"/>
      <sheetName val="Cawang_Tomang_Cengkareng5"/>
      <sheetName val="Jakarta_Cikampek5"/>
      <sheetName val="Jakarta_Merak5"/>
      <sheetName val="Padalarang_Cileunyi5"/>
      <sheetName val="Surabaya_Gempol_Mojokerto5"/>
      <sheetName val="Capex_det5"/>
      <sheetName val="Analisa_Konstruksi5"/>
      <sheetName val="Permanent_info8"/>
      <sheetName val="Art__23_recons8"/>
      <sheetName val="Marshal_-18"/>
      <sheetName val="ppH25_&amp;_PROVISION8"/>
      <sheetName val="F1771-II_8"/>
      <sheetName val="F1771-V_8"/>
      <sheetName val="Marshal__18"/>
      <sheetName val="RD_I-BUT7"/>
      <sheetName val="CONTRACT_REC7"/>
      <sheetName val="FE-1770_P17"/>
      <sheetName val="Cover_Sheet6"/>
      <sheetName val="Exchange_Rates6"/>
      <sheetName val="PROJ_CASH6"/>
      <sheetName val="RumusTB_1_bln6"/>
      <sheetName val="Nm_Brg6"/>
      <sheetName val="Bill_sipil6"/>
      <sheetName val="REG_TOTAL4"/>
      <sheetName val="PROTECTION_4"/>
      <sheetName val="WBS_(2)salah7"/>
      <sheetName val="Data_Sheet6"/>
      <sheetName val="Drill-Down_Tables6"/>
      <sheetName val="Rincian_Iuran6"/>
      <sheetName val="GD-BHN_KEMASAN6"/>
      <sheetName val="GD-BB_Kt__A6"/>
      <sheetName val="2x2_1+06"/>
      <sheetName val="Entry__HTM5"/>
      <sheetName val="CapEx_&amp;_Opr-Cost5"/>
      <sheetName val="SD_&amp;_Impl5"/>
      <sheetName val="CURRENCY_C_O_A_5"/>
      <sheetName val="tunj_4"/>
      <sheetName val="Detail_Piutang4"/>
      <sheetName val="Journal_Template4"/>
      <sheetName val="Volume_Graph_(May-ytd)4"/>
      <sheetName val="Input_&amp;_Summary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y_Account_MTD4"/>
      <sheetName val="By_Account_YTD4"/>
      <sheetName val="Direct_expenses_MTD4"/>
      <sheetName val="Equity_MTD4"/>
      <sheetName val="Equity_YTD4"/>
      <sheetName val="FID_MTD4"/>
      <sheetName val="FID_YTD4"/>
      <sheetName val="IBD_MTD4"/>
      <sheetName val="IBD_YTD4"/>
      <sheetName val="By_Product_MTD4"/>
      <sheetName val="By_Product_YTD4"/>
      <sheetName val="Total_expenses_MTD_4"/>
      <sheetName val="Table_Array4"/>
      <sheetName val="Benefit_Factors4"/>
      <sheetName val="WP_PASIVA4"/>
      <sheetName val="FA_Movement5"/>
      <sheetName val="CENT_PMWH4"/>
      <sheetName val="CENT_RMWH4"/>
      <sheetName val="QC_WH4"/>
      <sheetName val="SCM_PMWH4"/>
      <sheetName val="SCM_RMWH4"/>
      <sheetName val="UHT_PMWH4"/>
      <sheetName val="UHT_RMWH4"/>
      <sheetName val="Bangunan_Utama4"/>
      <sheetName val="E_4_-_Long_Out__Analysis4"/>
      <sheetName val="Index_(H)4"/>
      <sheetName val="REF_ONLY4"/>
      <sheetName val="FBL5n_14_Sep_084"/>
      <sheetName val="Q1_JPN_Working_Budget4"/>
      <sheetName val="fraisfi_20004"/>
      <sheetName val="budget_idr4"/>
      <sheetName val="SAP_Data4"/>
      <sheetName val="Bobot_rev4"/>
      <sheetName val="5700_14"/>
      <sheetName val="Cawang_Tomang_Cengkareng4"/>
      <sheetName val="Jakarta_Cikampek4"/>
      <sheetName val="Jakarta_Merak4"/>
      <sheetName val="Padalarang_Cileunyi4"/>
      <sheetName val="Surabaya_Gempol_Mojokerto4"/>
      <sheetName val="Capex_det4"/>
      <sheetName val="Analisa_Konstruksi4"/>
      <sheetName val="Permanent_info10"/>
      <sheetName val="Art__23_recons10"/>
      <sheetName val="Marshal_-110"/>
      <sheetName val="ppH25_&amp;_PROVISION10"/>
      <sheetName val="F1771-II_10"/>
      <sheetName val="F1771-V_10"/>
      <sheetName val="Marshal__110"/>
      <sheetName val="RD_I-BUT9"/>
      <sheetName val="CONTRACT_REC9"/>
      <sheetName val="FE-1770_P19"/>
      <sheetName val="Cover_Sheet8"/>
      <sheetName val="Exchange_Rates8"/>
      <sheetName val="PROJ_CASH8"/>
      <sheetName val="RumusTB_1_bln8"/>
      <sheetName val="Nm_Brg8"/>
      <sheetName val="Bill_sipil8"/>
      <sheetName val="REG_TOTAL6"/>
      <sheetName val="PROTECTION_6"/>
      <sheetName val="WBS_(2)salah9"/>
      <sheetName val="Data_Sheet8"/>
      <sheetName val="Drill-Down_Tables8"/>
      <sheetName val="Rincian_Iuran8"/>
      <sheetName val="GD-BHN_KEMASAN8"/>
      <sheetName val="GD-BB_Kt__A8"/>
      <sheetName val="2x2_1+08"/>
      <sheetName val="Entry__HTM7"/>
      <sheetName val="CapEx_&amp;_Opr-Cost7"/>
      <sheetName val="SD_&amp;_Impl7"/>
      <sheetName val="CURRENCY_C_O_A_7"/>
      <sheetName val="tunj_6"/>
      <sheetName val="Detail_Piutang6"/>
      <sheetName val="Journal_Template6"/>
      <sheetName val="Volume_Graph_(May-ytd)6"/>
      <sheetName val="Input_&amp;_Summary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By_Account_MTD6"/>
      <sheetName val="By_Account_YTD6"/>
      <sheetName val="Direct_expenses_MTD6"/>
      <sheetName val="Equity_MTD6"/>
      <sheetName val="Equity_YTD6"/>
      <sheetName val="FID_MTD6"/>
      <sheetName val="FID_YTD6"/>
      <sheetName val="IBD_MTD6"/>
      <sheetName val="IBD_YTD6"/>
      <sheetName val="By_Product_MTD6"/>
      <sheetName val="By_Product_YTD6"/>
      <sheetName val="Total_expenses_MTD_6"/>
      <sheetName val="Table_Array6"/>
      <sheetName val="Benefit_Factors6"/>
      <sheetName val="WP_PASIVA6"/>
      <sheetName val="FA_Movement7"/>
      <sheetName val="CENT_PMWH6"/>
      <sheetName val="CENT_RMWH6"/>
      <sheetName val="QC_WH6"/>
      <sheetName val="SCM_PMWH6"/>
      <sheetName val="SCM_RMWH6"/>
      <sheetName val="UHT_PMWH6"/>
      <sheetName val="UHT_RMWH6"/>
      <sheetName val="Bangunan_Utama6"/>
      <sheetName val="E_4_-_Long_Out__Analysis6"/>
      <sheetName val="Index_(H)6"/>
      <sheetName val="REF_ONLY6"/>
      <sheetName val="FBL5n_14_Sep_086"/>
      <sheetName val="Q1_JPN_Working_Budget6"/>
      <sheetName val="fraisfi_20006"/>
      <sheetName val="budget_idr6"/>
      <sheetName val="SAP_Data6"/>
      <sheetName val="Bobot_rev6"/>
      <sheetName val="5700_16"/>
      <sheetName val="Cawang_Tomang_Cengkareng6"/>
      <sheetName val="Jakarta_Cikampek6"/>
      <sheetName val="Jakarta_Merak6"/>
      <sheetName val="Padalarang_Cileunyi6"/>
      <sheetName val="Surabaya_Gempol_Mojokerto6"/>
      <sheetName val="Capex_det6"/>
      <sheetName val="Analisa_Konstruksi6"/>
      <sheetName val="Permanent_info11"/>
      <sheetName val="Art__23_recons11"/>
      <sheetName val="Marshal_-111"/>
      <sheetName val="ppH25_&amp;_PROVISION11"/>
      <sheetName val="F1771-II_11"/>
      <sheetName val="F1771-V_11"/>
      <sheetName val="Marshal__111"/>
      <sheetName val="RD_I-BUT10"/>
      <sheetName val="CONTRACT_REC10"/>
      <sheetName val="FE-1770_P110"/>
      <sheetName val="Cover_Sheet9"/>
      <sheetName val="Exchange_Rates9"/>
      <sheetName val="PROJ_CASH9"/>
      <sheetName val="RumusTB_1_bln9"/>
      <sheetName val="Nm_Brg9"/>
      <sheetName val="Bill_sipil9"/>
      <sheetName val="REG_TOTAL7"/>
      <sheetName val="PROTECTION_7"/>
      <sheetName val="WBS_(2)salah10"/>
      <sheetName val="Data_Sheet9"/>
      <sheetName val="Drill-Down_Tables9"/>
      <sheetName val="Rincian_Iuran9"/>
      <sheetName val="GD-BHN_KEMASAN9"/>
      <sheetName val="GD-BB_Kt__A9"/>
      <sheetName val="2x2_1+09"/>
      <sheetName val="Entry__HTM8"/>
      <sheetName val="CapEx_&amp;_Opr-Cost8"/>
      <sheetName val="SD_&amp;_Impl8"/>
      <sheetName val="CURRENCY_C_O_A_8"/>
      <sheetName val="tunj_7"/>
      <sheetName val="Detail_Piutang7"/>
      <sheetName val="Journal_Template7"/>
      <sheetName val="Volume_Graph_(May-ytd)7"/>
      <sheetName val="Input_&amp;_Summary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By_Account_MTD7"/>
      <sheetName val="By_Account_YTD7"/>
      <sheetName val="Direct_expenses_MTD7"/>
      <sheetName val="Equity_MTD7"/>
      <sheetName val="Equity_YTD7"/>
      <sheetName val="FID_MTD7"/>
      <sheetName val="FID_YTD7"/>
      <sheetName val="IBD_MTD7"/>
      <sheetName val="IBD_YTD7"/>
      <sheetName val="By_Product_MTD7"/>
      <sheetName val="By_Product_YTD7"/>
      <sheetName val="Total_expenses_MTD_7"/>
      <sheetName val="Table_Array7"/>
      <sheetName val="Benefit_Factors7"/>
      <sheetName val="WP_PASIVA7"/>
      <sheetName val="FA_Movement8"/>
      <sheetName val="CENT_PMWH7"/>
      <sheetName val="CENT_RMWH7"/>
      <sheetName val="QC_WH7"/>
      <sheetName val="SCM_PMWH7"/>
      <sheetName val="SCM_RMWH7"/>
      <sheetName val="UHT_PMWH7"/>
      <sheetName val="UHT_RMWH7"/>
      <sheetName val="Bangunan_Utama7"/>
      <sheetName val="E_4_-_Long_Out__Analysis7"/>
      <sheetName val="Index_(H)7"/>
      <sheetName val="REF_ONLY7"/>
      <sheetName val="FBL5n_14_Sep_087"/>
      <sheetName val="Q1_JPN_Working_Budget7"/>
      <sheetName val="fraisfi_20007"/>
      <sheetName val="budget_idr7"/>
      <sheetName val="SAP_Data7"/>
      <sheetName val="Bobot_rev7"/>
      <sheetName val="5700_17"/>
      <sheetName val="Cawang_Tomang_Cengkareng7"/>
      <sheetName val="Jakarta_Cikampek7"/>
      <sheetName val="Jakarta_Merak7"/>
      <sheetName val="Padalarang_Cileunyi7"/>
      <sheetName val="Surabaya_Gempol_Mojokerto7"/>
      <sheetName val="Capex_det7"/>
      <sheetName val="Analisa_Konstruksi7"/>
      <sheetName val="Permanent_info13"/>
      <sheetName val="Art__23_recons13"/>
      <sheetName val="Marshal_-113"/>
      <sheetName val="ppH25_&amp;_PROVISION13"/>
      <sheetName val="F1771-II_13"/>
      <sheetName val="F1771-V_13"/>
      <sheetName val="Marshal__113"/>
      <sheetName val="RD_I-BUT12"/>
      <sheetName val="CONTRACT_REC12"/>
      <sheetName val="FE-1770_P112"/>
      <sheetName val="Cover_Sheet11"/>
      <sheetName val="Exchange_Rates11"/>
      <sheetName val="PROJ_CASH11"/>
      <sheetName val="RumusTB_1_bln11"/>
      <sheetName val="Nm_Brg11"/>
      <sheetName val="Bill_sipil11"/>
      <sheetName val="REG_TOTAL9"/>
      <sheetName val="PROTECTION_9"/>
      <sheetName val="WBS_(2)salah12"/>
      <sheetName val="Data_Sheet11"/>
      <sheetName val="Drill-Down_Tables11"/>
      <sheetName val="Rincian_Iuran11"/>
      <sheetName val="GD-BHN_KEMASAN11"/>
      <sheetName val="GD-BB_Kt__A11"/>
      <sheetName val="2x2_1+011"/>
      <sheetName val="Entry__HTM10"/>
      <sheetName val="CapEx_&amp;_Opr-Cost10"/>
      <sheetName val="SD_&amp;_Impl10"/>
      <sheetName val="CURRENCY_C_O_A_10"/>
      <sheetName val="tunj_9"/>
      <sheetName val="Detail_Piutang9"/>
      <sheetName val="Journal_Template9"/>
      <sheetName val="Volume_Graph_(May-ytd)9"/>
      <sheetName val="Input_&amp;_Summary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By_Account_MTD9"/>
      <sheetName val="By_Account_YTD9"/>
      <sheetName val="Direct_expenses_MTD9"/>
      <sheetName val="Equity_MTD9"/>
      <sheetName val="Equity_YTD9"/>
      <sheetName val="FID_MTD9"/>
      <sheetName val="FID_YTD9"/>
      <sheetName val="IBD_MTD9"/>
      <sheetName val="IBD_YTD9"/>
      <sheetName val="By_Product_MTD9"/>
      <sheetName val="By_Product_YTD9"/>
      <sheetName val="Total_expenses_MTD_9"/>
      <sheetName val="Table_Array9"/>
      <sheetName val="Benefit_Factors9"/>
      <sheetName val="WP_PASIVA9"/>
      <sheetName val="FA_Movement10"/>
      <sheetName val="CENT_PMWH9"/>
      <sheetName val="CENT_RMWH9"/>
      <sheetName val="QC_WH9"/>
      <sheetName val="SCM_PMWH9"/>
      <sheetName val="SCM_RMWH9"/>
      <sheetName val="UHT_PMWH9"/>
      <sheetName val="UHT_RMWH9"/>
      <sheetName val="Bangunan_Utama9"/>
      <sheetName val="E_4_-_Long_Out__Analysis9"/>
      <sheetName val="Index_(H)9"/>
      <sheetName val="REF_ONLY9"/>
      <sheetName val="FBL5n_14_Sep_089"/>
      <sheetName val="Q1_JPN_Working_Budget9"/>
      <sheetName val="fraisfi_20009"/>
      <sheetName val="budget_idr9"/>
      <sheetName val="SAP_Data9"/>
      <sheetName val="Bobot_rev9"/>
      <sheetName val="5700_19"/>
      <sheetName val="Cawang_Tomang_Cengkareng9"/>
      <sheetName val="Jakarta_Cikampek9"/>
      <sheetName val="Jakarta_Merak9"/>
      <sheetName val="Padalarang_Cileunyi9"/>
      <sheetName val="Surabaya_Gempol_Mojokerto9"/>
      <sheetName val="Capex_det9"/>
      <sheetName val="Analisa_Konstruksi9"/>
      <sheetName val="Permanent_info12"/>
      <sheetName val="Art__23_recons12"/>
      <sheetName val="Marshal_-112"/>
      <sheetName val="ppH25_&amp;_PROVISION12"/>
      <sheetName val="F1771-II_12"/>
      <sheetName val="F1771-V_12"/>
      <sheetName val="Marshal__112"/>
      <sheetName val="RD_I-BUT11"/>
      <sheetName val="CONTRACT_REC11"/>
      <sheetName val="FE-1770_P111"/>
      <sheetName val="Cover_Sheet10"/>
      <sheetName val="Exchange_Rates10"/>
      <sheetName val="PROJ_CASH10"/>
      <sheetName val="RumusTB_1_bln10"/>
      <sheetName val="Nm_Brg10"/>
      <sheetName val="Bill_sipil10"/>
      <sheetName val="REG_TOTAL8"/>
      <sheetName val="PROTECTION_8"/>
      <sheetName val="WBS_(2)salah11"/>
      <sheetName val="Data_Sheet10"/>
      <sheetName val="Drill-Down_Tables10"/>
      <sheetName val="Rincian_Iuran10"/>
      <sheetName val="GD-BHN_KEMASAN10"/>
      <sheetName val="GD-BB_Kt__A10"/>
      <sheetName val="2x2_1+010"/>
      <sheetName val="Entry__HTM9"/>
      <sheetName val="CapEx_&amp;_Opr-Cost9"/>
      <sheetName val="SD_&amp;_Impl9"/>
      <sheetName val="CURRENCY_C_O_A_9"/>
      <sheetName val="tunj_8"/>
      <sheetName val="Detail_Piutang8"/>
      <sheetName val="Journal_Template8"/>
      <sheetName val="Volume_Graph_(May-ytd)8"/>
      <sheetName val="Input_&amp;_Summary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By_Account_MTD8"/>
      <sheetName val="By_Account_YTD8"/>
      <sheetName val="Direct_expenses_MTD8"/>
      <sheetName val="Equity_MTD8"/>
      <sheetName val="Equity_YTD8"/>
      <sheetName val="FID_MTD8"/>
      <sheetName val="FID_YTD8"/>
      <sheetName val="IBD_MTD8"/>
      <sheetName val="IBD_YTD8"/>
      <sheetName val="By_Product_MTD8"/>
      <sheetName val="By_Product_YTD8"/>
      <sheetName val="Total_expenses_MTD_8"/>
      <sheetName val="Table_Array8"/>
      <sheetName val="Benefit_Factors8"/>
      <sheetName val="WP_PASIVA8"/>
      <sheetName val="FA_Movement9"/>
      <sheetName val="CENT_PMWH8"/>
      <sheetName val="CENT_RMWH8"/>
      <sheetName val="QC_WH8"/>
      <sheetName val="SCM_PMWH8"/>
      <sheetName val="SCM_RMWH8"/>
      <sheetName val="UHT_PMWH8"/>
      <sheetName val="UHT_RMWH8"/>
      <sheetName val="Bangunan_Utama8"/>
      <sheetName val="E_4_-_Long_Out__Analysis8"/>
      <sheetName val="Index_(H)8"/>
      <sheetName val="REF_ONLY8"/>
      <sheetName val="FBL5n_14_Sep_088"/>
      <sheetName val="Q1_JPN_Working_Budget8"/>
      <sheetName val="fraisfi_20008"/>
      <sheetName val="budget_idr8"/>
      <sheetName val="SAP_Data8"/>
      <sheetName val="Bobot_rev8"/>
      <sheetName val="5700_18"/>
      <sheetName val="Cawang_Tomang_Cengkareng8"/>
      <sheetName val="Jakarta_Cikampek8"/>
      <sheetName val="Jakarta_Merak8"/>
      <sheetName val="Padalarang_Cileunyi8"/>
      <sheetName val="Surabaya_Gempol_Mojokerto8"/>
      <sheetName val="Capex_det8"/>
      <sheetName val="Analisa_Konstruksi8"/>
      <sheetName val="Permanent_info15"/>
      <sheetName val="Art__23_recons15"/>
      <sheetName val="Marshal_-115"/>
      <sheetName val="ppH25_&amp;_PROVISION15"/>
      <sheetName val="F1771-II_15"/>
      <sheetName val="F1771-V_15"/>
      <sheetName val="Marshal__115"/>
      <sheetName val="RD_I-BUT14"/>
      <sheetName val="CONTRACT_REC14"/>
      <sheetName val="FE-1770_P114"/>
      <sheetName val="Cover_Sheet13"/>
      <sheetName val="Exchange_Rates13"/>
      <sheetName val="PROJ_CASH13"/>
      <sheetName val="RumusTB_1_bln13"/>
      <sheetName val="Nm_Brg13"/>
      <sheetName val="Bill_sipil13"/>
      <sheetName val="REG_TOTAL11"/>
      <sheetName val="PROTECTION_11"/>
      <sheetName val="WBS_(2)salah14"/>
      <sheetName val="Data_Sheet13"/>
      <sheetName val="Drill-Down_Tables13"/>
      <sheetName val="Rincian_Iuran13"/>
      <sheetName val="GD-BHN_KEMASAN13"/>
      <sheetName val="GD-BB_Kt__A13"/>
      <sheetName val="2x2_1+013"/>
      <sheetName val="Entry__HTM12"/>
      <sheetName val="CapEx_&amp;_Opr-Cost12"/>
      <sheetName val="SD_&amp;_Impl12"/>
      <sheetName val="CURRENCY_C_O_A_12"/>
      <sheetName val="tunj_11"/>
      <sheetName val="Detail_Piutang11"/>
      <sheetName val="Journal_Template11"/>
      <sheetName val="Volume_Graph_(May-ytd)11"/>
      <sheetName val="Input_&amp;_Summary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By_Account_MTD11"/>
      <sheetName val="By_Account_YTD11"/>
      <sheetName val="Direct_expenses_MTD11"/>
      <sheetName val="Equity_MTD11"/>
      <sheetName val="Equity_YTD11"/>
      <sheetName val="FID_MTD11"/>
      <sheetName val="FID_YTD11"/>
      <sheetName val="IBD_MTD11"/>
      <sheetName val="IBD_YTD11"/>
      <sheetName val="By_Product_MTD11"/>
      <sheetName val="By_Product_YTD11"/>
      <sheetName val="Total_expenses_MTD_11"/>
      <sheetName val="Table_Array11"/>
      <sheetName val="Benefit_Factors11"/>
      <sheetName val="WP_PASIVA11"/>
      <sheetName val="FA_Movement12"/>
      <sheetName val="CENT_PMWH11"/>
      <sheetName val="CENT_RMWH11"/>
      <sheetName val="QC_WH11"/>
      <sheetName val="SCM_PMWH11"/>
      <sheetName val="SCM_RMWH11"/>
      <sheetName val="UHT_PMWH11"/>
      <sheetName val="UHT_RMWH11"/>
      <sheetName val="Bangunan_Utama11"/>
      <sheetName val="E_4_-_Long_Out__Analysis11"/>
      <sheetName val="Index_(H)11"/>
      <sheetName val="REF_ONLY11"/>
      <sheetName val="FBL5n_14_Sep_0811"/>
      <sheetName val="Q1_JPN_Working_Budget11"/>
      <sheetName val="fraisfi_200011"/>
      <sheetName val="budget_idr11"/>
      <sheetName val="SAP_Data11"/>
      <sheetName val="Bobot_rev11"/>
      <sheetName val="5700_111"/>
      <sheetName val="Cawang_Tomang_Cengkareng11"/>
      <sheetName val="Jakarta_Cikampek11"/>
      <sheetName val="Jakarta_Merak11"/>
      <sheetName val="Padalarang_Cileunyi11"/>
      <sheetName val="Surabaya_Gempol_Mojokerto11"/>
      <sheetName val="Capex_det11"/>
      <sheetName val="Analisa_Konstruksi11"/>
      <sheetName val="Permanent_info14"/>
      <sheetName val="Art__23_recons14"/>
      <sheetName val="Marshal_-114"/>
      <sheetName val="ppH25_&amp;_PROVISION14"/>
      <sheetName val="F1771-II_14"/>
      <sheetName val="F1771-V_14"/>
      <sheetName val="Marshal__114"/>
      <sheetName val="RD_I-BUT13"/>
      <sheetName val="CONTRACT_REC13"/>
      <sheetName val="FE-1770_P113"/>
      <sheetName val="Cover_Sheet12"/>
      <sheetName val="Exchange_Rates12"/>
      <sheetName val="PROJ_CASH12"/>
      <sheetName val="RumusTB_1_bln12"/>
      <sheetName val="Nm_Brg12"/>
      <sheetName val="Bill_sipil12"/>
      <sheetName val="REG_TOTAL10"/>
      <sheetName val="PROTECTION_10"/>
      <sheetName val="WBS_(2)salah13"/>
      <sheetName val="Data_Sheet12"/>
      <sheetName val="Drill-Down_Tables12"/>
      <sheetName val="Rincian_Iuran12"/>
      <sheetName val="GD-BHN_KEMASAN12"/>
      <sheetName val="GD-BB_Kt__A12"/>
      <sheetName val="2x2_1+012"/>
      <sheetName val="Entry__HTM11"/>
      <sheetName val="CapEx_&amp;_Opr-Cost11"/>
      <sheetName val="SD_&amp;_Impl11"/>
      <sheetName val="CURRENCY_C_O_A_11"/>
      <sheetName val="tunj_10"/>
      <sheetName val="Detail_Piutang10"/>
      <sheetName val="Journal_Template10"/>
      <sheetName val="Volume_Graph_(May-ytd)10"/>
      <sheetName val="Input_&amp;_Summary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By_Account_MTD10"/>
      <sheetName val="By_Account_YTD10"/>
      <sheetName val="Direct_expenses_MTD10"/>
      <sheetName val="Equity_MTD10"/>
      <sheetName val="Equity_YTD10"/>
      <sheetName val="FID_MTD10"/>
      <sheetName val="FID_YTD10"/>
      <sheetName val="IBD_MTD10"/>
      <sheetName val="IBD_YTD10"/>
      <sheetName val="By_Product_MTD10"/>
      <sheetName val="By_Product_YTD10"/>
      <sheetName val="Total_expenses_MTD_10"/>
      <sheetName val="Table_Array10"/>
      <sheetName val="Benefit_Factors10"/>
      <sheetName val="WP_PASIVA10"/>
      <sheetName val="FA_Movement11"/>
      <sheetName val="CENT_PMWH10"/>
      <sheetName val="CENT_RMWH10"/>
      <sheetName val="QC_WH10"/>
      <sheetName val="SCM_PMWH10"/>
      <sheetName val="SCM_RMWH10"/>
      <sheetName val="UHT_PMWH10"/>
      <sheetName val="UHT_RMWH10"/>
      <sheetName val="Bangunan_Utama10"/>
      <sheetName val="E_4_-_Long_Out__Analysis10"/>
      <sheetName val="Index_(H)10"/>
      <sheetName val="REF_ONLY10"/>
      <sheetName val="FBL5n_14_Sep_0810"/>
      <sheetName val="Q1_JPN_Working_Budget10"/>
      <sheetName val="fraisfi_200010"/>
      <sheetName val="budget_idr10"/>
      <sheetName val="SAP_Data10"/>
      <sheetName val="Bobot_rev10"/>
      <sheetName val="5700_110"/>
      <sheetName val="Cawang_Tomang_Cengkareng10"/>
      <sheetName val="Jakarta_Cikampek10"/>
      <sheetName val="Jakarta_Merak10"/>
      <sheetName val="Padalarang_Cileunyi10"/>
      <sheetName val="Surabaya_Gempol_Mojokerto10"/>
      <sheetName val="Capex_det10"/>
      <sheetName val="Analisa_Konstruksi10"/>
      <sheetName val="Permanent_info16"/>
      <sheetName val="Art__23_recons16"/>
      <sheetName val="Marshal_-116"/>
      <sheetName val="ppH25_&amp;_PROVISION16"/>
      <sheetName val="F1771-II_16"/>
      <sheetName val="F1771-V_16"/>
      <sheetName val="Marshal__116"/>
      <sheetName val="RD_I-BUT15"/>
      <sheetName val="CONTRACT_REC15"/>
      <sheetName val="FE-1770_P115"/>
      <sheetName val="Cover_Sheet14"/>
      <sheetName val="Exchange_Rates14"/>
      <sheetName val="PROJ_CASH14"/>
      <sheetName val="RumusTB_1_bln14"/>
      <sheetName val="Nm_Brg14"/>
      <sheetName val="Bill_sipil14"/>
      <sheetName val="REG_TOTAL12"/>
      <sheetName val="PROTECTION_12"/>
      <sheetName val="WBS_(2)salah15"/>
      <sheetName val="Data_Sheet14"/>
      <sheetName val="Drill-Down_Tables14"/>
      <sheetName val="Rincian_Iuran14"/>
      <sheetName val="GD-BHN_KEMASAN14"/>
      <sheetName val="GD-BB_Kt__A14"/>
      <sheetName val="2x2_1+014"/>
      <sheetName val="Entry__HTM13"/>
      <sheetName val="CapEx_&amp;_Opr-Cost13"/>
      <sheetName val="SD_&amp;_Impl13"/>
      <sheetName val="CURRENCY_C_O_A_13"/>
      <sheetName val="tunj_12"/>
      <sheetName val="Detail_Piutang12"/>
      <sheetName val="Journal_Template12"/>
      <sheetName val="Volume_Graph_(May-ytd)12"/>
      <sheetName val="Input_&amp;_Summary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By_Account_MTD12"/>
      <sheetName val="By_Account_YTD12"/>
      <sheetName val="Direct_expenses_MTD12"/>
      <sheetName val="Equity_MTD12"/>
      <sheetName val="Equity_YTD12"/>
      <sheetName val="FID_MTD12"/>
      <sheetName val="FID_YTD12"/>
      <sheetName val="IBD_MTD12"/>
      <sheetName val="IBD_YTD12"/>
      <sheetName val="By_Product_MTD12"/>
      <sheetName val="By_Product_YTD12"/>
      <sheetName val="Total_expenses_MTD_12"/>
      <sheetName val="Table_Array12"/>
      <sheetName val="Benefit_Factors12"/>
      <sheetName val="WP_PASIVA12"/>
      <sheetName val="FA_Movement13"/>
      <sheetName val="CENT_PMWH12"/>
      <sheetName val="CENT_RMWH12"/>
      <sheetName val="QC_WH12"/>
      <sheetName val="SCM_PMWH12"/>
      <sheetName val="SCM_RMWH12"/>
      <sheetName val="UHT_PMWH12"/>
      <sheetName val="UHT_RMWH12"/>
      <sheetName val="Bangunan_Utama12"/>
      <sheetName val="E_4_-_Long_Out__Analysis12"/>
      <sheetName val="Index_(H)12"/>
      <sheetName val="REF_ONLY12"/>
      <sheetName val="FBL5n_14_Sep_0812"/>
      <sheetName val="Q1_JPN_Working_Budget12"/>
      <sheetName val="fraisfi_200012"/>
      <sheetName val="budget_idr12"/>
      <sheetName val="SAP_Data12"/>
      <sheetName val="Bobot_rev12"/>
      <sheetName val="5700_112"/>
      <sheetName val="Cawang_Tomang_Cengkareng12"/>
      <sheetName val="Jakarta_Cikampek12"/>
      <sheetName val="Jakarta_Merak12"/>
      <sheetName val="Padalarang_Cileunyi12"/>
      <sheetName val="Surabaya_Gempol_Mojokerto12"/>
      <sheetName val="Capex_det12"/>
      <sheetName val="Analisa_Konstruksi12"/>
      <sheetName val="Permanent_info17"/>
      <sheetName val="Art__23_recons17"/>
      <sheetName val="Marshal_-117"/>
      <sheetName val="ppH25_&amp;_PROVISION17"/>
      <sheetName val="F1771-II_17"/>
      <sheetName val="F1771-V_17"/>
      <sheetName val="Marshal__117"/>
      <sheetName val="RD_I-BUT16"/>
      <sheetName val="CONTRACT_REC16"/>
      <sheetName val="FE-1770_P116"/>
      <sheetName val="Cover_Sheet15"/>
      <sheetName val="Exchange_Rates15"/>
      <sheetName val="PROJ_CASH15"/>
      <sheetName val="RumusTB_1_bln15"/>
      <sheetName val="Nm_Brg15"/>
      <sheetName val="Bill_sipil15"/>
      <sheetName val="REG_TOTAL13"/>
      <sheetName val="PROTECTION_13"/>
      <sheetName val="WBS_(2)salah16"/>
      <sheetName val="Data_Sheet15"/>
      <sheetName val="Drill-Down_Tables15"/>
      <sheetName val="Rincian_Iuran15"/>
      <sheetName val="GD-BHN_KEMASAN15"/>
      <sheetName val="GD-BB_Kt__A15"/>
      <sheetName val="2x2_1+015"/>
      <sheetName val="Entry__HTM14"/>
      <sheetName val="CapEx_&amp;_Opr-Cost14"/>
      <sheetName val="SD_&amp;_Impl14"/>
      <sheetName val="CURRENCY_C_O_A_14"/>
      <sheetName val="tunj_13"/>
      <sheetName val="Detail_Piutang13"/>
      <sheetName val="Journal_Template13"/>
      <sheetName val="Volume_Graph_(May-ytd)13"/>
      <sheetName val="Input_&amp;_Summary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y_Account_MTD13"/>
      <sheetName val="By_Account_YTD13"/>
      <sheetName val="Direct_expenses_MTD13"/>
      <sheetName val="Equity_MTD13"/>
      <sheetName val="Equity_YTD13"/>
      <sheetName val="FID_MTD13"/>
      <sheetName val="FID_YTD13"/>
      <sheetName val="IBD_MTD13"/>
      <sheetName val="IBD_YTD13"/>
      <sheetName val="By_Product_MTD13"/>
      <sheetName val="By_Product_YTD13"/>
      <sheetName val="Total_expenses_MTD_13"/>
      <sheetName val="Table_Array13"/>
      <sheetName val="Benefit_Factors13"/>
      <sheetName val="WP_PASIVA13"/>
      <sheetName val="FA_Movement14"/>
      <sheetName val="CENT_PMWH13"/>
      <sheetName val="CENT_RMWH13"/>
      <sheetName val="QC_WH13"/>
      <sheetName val="SCM_PMWH13"/>
      <sheetName val="SCM_RMWH13"/>
      <sheetName val="UHT_PMWH13"/>
      <sheetName val="UHT_RMWH13"/>
      <sheetName val="Bangunan_Utama13"/>
      <sheetName val="E_4_-_Long_Out__Analysis13"/>
      <sheetName val="Index_(H)13"/>
      <sheetName val="REF_ONLY13"/>
      <sheetName val="FBL5n_14_Sep_0813"/>
      <sheetName val="Q1_JPN_Working_Budget13"/>
      <sheetName val="fraisfi_200013"/>
      <sheetName val="budget_idr13"/>
      <sheetName val="SAP_Data13"/>
      <sheetName val="Bobot_rev13"/>
      <sheetName val="5700_113"/>
      <sheetName val="Cawang_Tomang_Cengkareng13"/>
      <sheetName val="Jakarta_Cikampek13"/>
      <sheetName val="Jakarta_Merak13"/>
      <sheetName val="Padalarang_Cileunyi13"/>
      <sheetName val="Surabaya_Gempol_Mojokerto13"/>
      <sheetName val="Capex_det13"/>
      <sheetName val="Analisa_Konstruksi13"/>
      <sheetName val="AA_1_1 BNI"/>
      <sheetName val="Noodles (assumptions)"/>
      <sheetName val="Client Aje"/>
      <sheetName val="Family"/>
      <sheetName val="Basic Information"/>
      <sheetName val="General Info"/>
      <sheetName val="MFWP"/>
      <sheetName val="flights"/>
      <sheetName val="table1"/>
      <sheetName val="Balance Sheet"/>
      <sheetName val="Finance Projection-07"/>
      <sheetName val="Akt.Ttp#"/>
      <sheetName val="H.Satuan"/>
      <sheetName val="alt1"/>
      <sheetName val="Monthly"/>
      <sheetName val="D.BOARD"/>
      <sheetName val="DASH"/>
      <sheetName val="Bab10"/>
      <sheetName val="ALAT"/>
      <sheetName val="PEMBAGIAN"/>
      <sheetName val="MAPP"/>
      <sheetName val="pricing"/>
      <sheetName val="DAF-BAHAN"/>
      <sheetName val="DAF-UPAH"/>
      <sheetName val="RPP01 3"/>
      <sheetName val="Rekap 1"/>
      <sheetName val="EDTL"/>
      <sheetName val="MI(data base)"/>
      <sheetName val="RANKING PELAPORAN"/>
      <sheetName val="Pipe"/>
      <sheetName val="GP-WB"/>
      <sheetName val="Agregat Halus &amp; Kasar"/>
      <sheetName val="Div2"/>
      <sheetName val="Input"/>
      <sheetName val="ANAL"/>
      <sheetName val="ANTEK"/>
      <sheetName val="D4"/>
      <sheetName val="D6"/>
      <sheetName val="D7"/>
      <sheetName val="D8"/>
      <sheetName val="TL"/>
      <sheetName val="smt"/>
      <sheetName val="STOK MAT"/>
      <sheetName val="Analis Kusen okk"/>
      <sheetName val="AnalisaSIPIL RIIL"/>
      <sheetName val="Konfirm"/>
      <sheetName val="hasat"/>
      <sheetName val="brd2"/>
      <sheetName val="Rate"/>
      <sheetName val="BL"/>
      <sheetName val="an-satuan"/>
      <sheetName val="TE TS FA LAN MATV"/>
      <sheetName val="Tambahan anal"/>
      <sheetName val="SEX"/>
      <sheetName val="telp"/>
      <sheetName val="trans"/>
      <sheetName val="7.1(3)"/>
      <sheetName val="Monitor"/>
      <sheetName val="ANALISA TENDER"/>
      <sheetName val="HD BAHAN"/>
      <sheetName val="BOQ CONTRACT WK"/>
      <sheetName val="BasicPrice"/>
      <sheetName val="REKAP-1"/>
      <sheetName val="HD ALAT"/>
      <sheetName val="shotcrete"/>
      <sheetName val="UG Excav"/>
      <sheetName val="HD UPAH"/>
      <sheetName val="bau"/>
      <sheetName val="alokasi"/>
      <sheetName val="Budet &amp; Target"/>
      <sheetName val="BYYALAT"/>
      <sheetName val="DATA"/>
      <sheetName val="EFECTIF"/>
      <sheetName val="Daftar Cab"/>
      <sheetName val="Mutasi GA"/>
      <sheetName val="Scenarios_and_Sensitivities"/>
      <sheetName val="Global_Assumptions"/>
      <sheetName val="H-1.3"/>
      <sheetName val="TB"/>
      <sheetName val="wpl"/>
      <sheetName val="Trading Statement"/>
      <sheetName val="Asumsi"/>
      <sheetName val="Tabel Konversi"/>
      <sheetName val="status"/>
      <sheetName val="DBS-SPT1771-1998.xls"/>
      <sheetName val="Scenarios and Sensitivities"/>
      <sheetName val="Operations"/>
      <sheetName val="Financials"/>
      <sheetName val="Global Assumptions"/>
      <sheetName val="MAP 1-2"/>
      <sheetName val="trf 7 jht"/>
      <sheetName val="841"/>
      <sheetName val="EXTERNAL WORK"/>
      <sheetName val="WT-LIST"/>
      <sheetName val="An-str(krgnyr)"/>
      <sheetName val="PROD 15-1"/>
      <sheetName val="DIND"/>
      <sheetName val="DB"/>
      <sheetName val="PS"/>
      <sheetName val="STR-ATAS"/>
      <sheetName val="ANAL_P4"/>
      <sheetName val="Customize Your Purchase Order"/>
      <sheetName val="MAP 18.12.17"/>
      <sheetName val="WAYANG"/>
      <sheetName val="SEP"/>
      <sheetName val="kontak"/>
      <sheetName val="ED-Prod-02-2015"/>
      <sheetName val="DATA2015"/>
      <sheetName val="DATA2016"/>
      <sheetName val="ED-PMS-01&amp;02"/>
      <sheetName val="basic wages"/>
      <sheetName val="hardas"/>
      <sheetName val="DaftarHarga"/>
      <sheetName val="FINISHING"/>
      <sheetName val="tabel berat"/>
      <sheetName val="Material&amp;Alat"/>
      <sheetName val="Hsatuan-OK"/>
      <sheetName val="RAB-2006-Total"/>
      <sheetName val="DIV 6"/>
      <sheetName val="ledger02"/>
      <sheetName val="REKAP IDR"/>
      <sheetName val="31JAN07"/>
      <sheetName val="Sale-Leaseback (2)"/>
      <sheetName val="#REF"/>
      <sheetName val="Master Assumptions"/>
      <sheetName val="Traffic Distribution"/>
      <sheetName val="Interface"/>
      <sheetName val="Input and Dimensioning Output"/>
      <sheetName val="C1 NOV"/>
      <sheetName val="9"/>
      <sheetName val="I.4.1 (2)"/>
      <sheetName val="CUSTOMER"/>
      <sheetName val="Sheet1 (2)"/>
      <sheetName val="CAJE-CRJE"/>
      <sheetName val="MGR-12"/>
      <sheetName val="Q.1.1"/>
      <sheetName val="calcu"/>
      <sheetName val="Subsequent GRIR"/>
      <sheetName val="Daftar_Cab"/>
      <sheetName val="Mutasi_GA"/>
      <sheetName val="I_4_1_(2)"/>
      <sheetName val="Client_Aje"/>
      <sheetName val="Basic_Information"/>
      <sheetName val="ASSR"/>
      <sheetName val="IS"/>
      <sheetName val="Sheet"/>
      <sheetName val="BOM"/>
      <sheetName val="Performance_Assumptions"/>
      <sheetName val="B - Norelec"/>
      <sheetName val="HS Dasar "/>
      <sheetName val="TOTAL UPAH"/>
      <sheetName val="Order"/>
      <sheetName val="Schedule"/>
      <sheetName val="Schedule OK Status"/>
      <sheetName val="Penyusutan Kendaraan"/>
      <sheetName val="Penyusutan Inventaris"/>
      <sheetName val="FKT_PJK"/>
      <sheetName val="2002"/>
      <sheetName val="Sheet2"/>
      <sheetName val="WBS PL Branch 1"/>
      <sheetName val="MainModel skenario 2"/>
      <sheetName val="F1771_IV"/>
      <sheetName val="F1771_V"/>
      <sheetName val="J1"/>
      <sheetName val="BUT_1"/>
      <sheetName val="HEX_A"/>
      <sheetName val="HEX_E"/>
      <sheetName val="I_BUT"/>
      <sheetName val="RD I_B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/>
      <sheetData sheetId="1592"/>
      <sheetData sheetId="1593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Marshal -1"/>
      <sheetName val="LOOKUP"/>
      <sheetName val="Marshal"/>
      <sheetName val="AutoOpen_Stub_Data"/>
      <sheetName val="Customize_Your_Invoice"/>
      <sheetName val="Intl_Data_Table"/>
      <sheetName val="Assumption"/>
      <sheetName val="AutoOpen_Stub_Data1"/>
      <sheetName val="Customize_Your_Invoice1"/>
      <sheetName val="Intl_Data_Table1"/>
      <sheetName val="Marshal_-1"/>
      <sheetName val="Customize Your Purchase Order"/>
      <sheetName val="NC"/>
      <sheetName val="FE-1770-I"/>
      <sheetName val="FE-1770.P1"/>
      <sheetName val="FE-1770-II"/>
      <sheetName val="Balance Sheet"/>
      <sheetName val="Income Statement"/>
      <sheetName val="adj"/>
      <sheetName val="EPS"/>
      <sheetName val="AutoOpen_Stub_Data7"/>
      <sheetName val="Customize_Your_Invoice7"/>
      <sheetName val="Intl_Data_Table7"/>
      <sheetName val="Marshal_-16"/>
      <sheetName val="Customize_Your_Purchase_Order5"/>
      <sheetName val="FE-1770_P15"/>
      <sheetName val="Balance_Sheet5"/>
      <sheetName val="Income_Statement5"/>
      <sheetName val="AutoOpen_Stub_Data2"/>
      <sheetName val="Customize_Your_Invoice2"/>
      <sheetName val="Intl_Data_Table2"/>
      <sheetName val="Marshal_-11"/>
      <sheetName val="Customize_Your_Purchase_Order"/>
      <sheetName val="FE-1770_P1"/>
      <sheetName val="Balance_Sheet"/>
      <sheetName val="Income_Statement"/>
      <sheetName val="AutoOpen_Stub_Data4"/>
      <sheetName val="Customize_Your_Invoice4"/>
      <sheetName val="Intl_Data_Table4"/>
      <sheetName val="Marshal_-13"/>
      <sheetName val="Customize_Your_Purchase_Order2"/>
      <sheetName val="FE-1770_P12"/>
      <sheetName val="Balance_Sheet2"/>
      <sheetName val="Income_Statement2"/>
      <sheetName val="AutoOpen_Stub_Data3"/>
      <sheetName val="Customize_Your_Invoice3"/>
      <sheetName val="Intl_Data_Table3"/>
      <sheetName val="Marshal_-12"/>
      <sheetName val="Customize_Your_Purchase_Order1"/>
      <sheetName val="FE-1770_P11"/>
      <sheetName val="Balance_Sheet1"/>
      <sheetName val="Income_Statement1"/>
      <sheetName val="AutoOpen_Stub_Data5"/>
      <sheetName val="Customize_Your_Invoice5"/>
      <sheetName val="Intl_Data_Table5"/>
      <sheetName val="Marshal_-14"/>
      <sheetName val="Customize_Your_Purchase_Order3"/>
      <sheetName val="FE-1770_P13"/>
      <sheetName val="Balance_Sheet3"/>
      <sheetName val="Income_Statement3"/>
      <sheetName val="AutoOpen_Stub_Data6"/>
      <sheetName val="Customize_Your_Invoice6"/>
      <sheetName val="Intl_Data_Table6"/>
      <sheetName val="Marshal_-15"/>
      <sheetName val="Customize_Your_Purchase_Order4"/>
      <sheetName val="FE-1770_P14"/>
      <sheetName val="Balance_Sheet4"/>
      <sheetName val="Income_Statement4"/>
      <sheetName val="AutoOpen_Stub_Data10"/>
      <sheetName val="Customize_Your_Invoice10"/>
      <sheetName val="Intl_Data_Table10"/>
      <sheetName val="Marshal_-19"/>
      <sheetName val="Customize_Your_Purchase_Order8"/>
      <sheetName val="FE-1770_P18"/>
      <sheetName val="Balance_Sheet8"/>
      <sheetName val="Income_Statement8"/>
      <sheetName val="AutoOpen_Stub_Data8"/>
      <sheetName val="Customize_Your_Invoice8"/>
      <sheetName val="Intl_Data_Table8"/>
      <sheetName val="Marshal_-17"/>
      <sheetName val="Customize_Your_Purchase_Order6"/>
      <sheetName val="FE-1770_P16"/>
      <sheetName val="Balance_Sheet6"/>
      <sheetName val="Income_Statement6"/>
      <sheetName val="AutoOpen_Stub_Data9"/>
      <sheetName val="Customize_Your_Invoice9"/>
      <sheetName val="Intl_Data_Table9"/>
      <sheetName val="Marshal_-18"/>
      <sheetName val="Customize_Your_Purchase_Order7"/>
      <sheetName val="FE-1770_P17"/>
      <sheetName val="Balance_Sheet7"/>
      <sheetName val="Income_Statement7"/>
      <sheetName val="Danamon LK"/>
      <sheetName val="AutoOpen_Stub_Data13"/>
      <sheetName val="Customize_Your_Invoice13"/>
      <sheetName val="Intl_Data_Table13"/>
      <sheetName val="Marshal_-112"/>
      <sheetName val="Customize_Your_Purchase_Order11"/>
      <sheetName val="FE-1770_P111"/>
      <sheetName val="Balance_Sheet11"/>
      <sheetName val="Income_Statement11"/>
      <sheetName val="AutoOpen_Stub_Data12"/>
      <sheetName val="Customize_Your_Invoice12"/>
      <sheetName val="Intl_Data_Table12"/>
      <sheetName val="Marshal_-111"/>
      <sheetName val="Customize_Your_Purchase_Order10"/>
      <sheetName val="FE-1770_P110"/>
      <sheetName val="Balance_Sheet10"/>
      <sheetName val="Income_Statement10"/>
      <sheetName val="AutoOpen_Stub_Data11"/>
      <sheetName val="Customize_Your_Invoice11"/>
      <sheetName val="Intl_Data_Table11"/>
      <sheetName val="Marshal_-110"/>
      <sheetName val="Customize_Your_Purchase_Order9"/>
      <sheetName val="FE-1770_P19"/>
      <sheetName val="Balance_Sheet9"/>
      <sheetName val="Income_Statement9"/>
      <sheetName val="Data Ben"/>
      <sheetName val="Data0308"/>
      <sheetName val="AutoOpen_Stub_Data14"/>
      <sheetName val="Customize_Your_Invoice14"/>
      <sheetName val="Intl_Data_Table14"/>
      <sheetName val="Marshal_-113"/>
      <sheetName val="Customize_Your_Purchase_Order12"/>
      <sheetName val="FE-1770_P112"/>
      <sheetName val="Balance_Sheet12"/>
      <sheetName val="Income_Statement12"/>
      <sheetName val="Sheet1 (2)"/>
      <sheetName val="OLDDATA"/>
      <sheetName val="Index"/>
      <sheetName val="2012-PC4"/>
      <sheetName val="INVOICE1"/>
      <sheetName val="HPP-New"/>
      <sheetName val="source"/>
      <sheetName val="Data23"/>
      <sheetName val="Data26"/>
      <sheetName val="LIST"/>
      <sheetName val="DATA21"/>
      <sheetName val="AutoOpen_Stub_Data15"/>
      <sheetName val="Customize_Your_Invoice15"/>
      <sheetName val="Intl_Data_Table15"/>
      <sheetName val="Marshal_-114"/>
      <sheetName val="Customize_Your_Purchase_Order13"/>
      <sheetName val="FE-1770_P113"/>
      <sheetName val="Balance_Sheet13"/>
      <sheetName val="Income_Statement13"/>
      <sheetName val="Danamon_LK"/>
      <sheetName val="Data_Ben"/>
      <sheetName val="Sheet1_(2)"/>
      <sheetName val="FE_1770_I"/>
      <sheetName val="FE_1770_P1"/>
      <sheetName val="FE_1770_II"/>
      <sheetName val="Sheet3"/>
      <sheetName val="100100-100220"/>
      <sheetName val="HUT-MESIN"/>
      <sheetName val="GA Page 7"/>
      <sheetName val="SAD"/>
      <sheetName val="Irregular Income"/>
      <sheetName val="Terms"/>
      <sheetName val="Prod. Rate.Calc"/>
      <sheetName val="CF-OILCalcul"/>
      <sheetName val="A"/>
      <sheetName val="Data Update"/>
      <sheetName val="DATA WP"/>
      <sheetName val="AR"/>
      <sheetName val="MFL"/>
      <sheetName val="LPP Waskon"/>
      <sheetName val="CPTNo"/>
      <sheetName val="Param"/>
      <sheetName val="SUMMARY NDE"/>
      <sheetName val="3001 IIS"/>
      <sheetName val="Summary"/>
      <sheetName val="Intang Amortization by Qtr"/>
      <sheetName val="Traffic Model Entry"/>
      <sheetName val="#REF"/>
      <sheetName val="COA"/>
      <sheetName val="KAS"/>
      <sheetName val="BCA"/>
      <sheetName val="JU"/>
      <sheetName val="WS"/>
      <sheetName val="NRC"/>
      <sheetName val="LR"/>
      <sheetName val="GL"/>
      <sheetName val="AutoOpen_Stub_Data16"/>
      <sheetName val="Customize_Your_Invoice16"/>
      <sheetName val="Intl_Data_Table16"/>
      <sheetName val="Marshal_-115"/>
      <sheetName val="Customize_Your_Purchase_Order14"/>
      <sheetName val="FE-1770_P114"/>
      <sheetName val="Balance_Sheet14"/>
      <sheetName val="Income_Statement14"/>
      <sheetName val="Danamon_LK1"/>
      <sheetName val="Data_Ben1"/>
      <sheetName val="Sheet1_(2)1"/>
      <sheetName val="GA_Page_7"/>
      <sheetName val="Irregular_Income"/>
      <sheetName val="AutoOpen_Stub_Data17"/>
      <sheetName val="Customize_Your_Invoice17"/>
      <sheetName val="Intl_Data_Table17"/>
      <sheetName val="Marshal_-116"/>
      <sheetName val="Customize_Your_Purchase_Order15"/>
      <sheetName val="FE-1770_P115"/>
      <sheetName val="Balance_Sheet15"/>
      <sheetName val="Income_Statement15"/>
      <sheetName val="Danamon_LK2"/>
      <sheetName val="Data_Ben2"/>
      <sheetName val="Sheet1_(2)2"/>
      <sheetName val="GA_Page_71"/>
      <sheetName val="Irregular_Income1"/>
      <sheetName val="AutoOpen_Stub_Data18"/>
      <sheetName val="Customize_Your_Invoice18"/>
      <sheetName val="Intl_Data_Table18"/>
      <sheetName val="Marshal_-117"/>
      <sheetName val="Customize_Your_Purchase_Order16"/>
      <sheetName val="FE-1770_P116"/>
      <sheetName val="Balance_Sheet16"/>
      <sheetName val="Income_Statement16"/>
      <sheetName val="Danamon_LK3"/>
      <sheetName val="Data_Ben3"/>
      <sheetName val="Sheet1_(2)3"/>
      <sheetName val="GA_Page_72"/>
      <sheetName val="Irregular_Income2"/>
      <sheetName val="AutoOpen_Stub_Data19"/>
      <sheetName val="Customize_Your_Invoice19"/>
      <sheetName val="Intl_Data_Table19"/>
      <sheetName val="Marshal_-118"/>
      <sheetName val="Customize_Your_Purchase_Order17"/>
      <sheetName val="FE-1770_P117"/>
      <sheetName val="Balance_Sheet17"/>
      <sheetName val="Income_Statement17"/>
      <sheetName val="Danamon_LK4"/>
      <sheetName val="Data_Ben4"/>
      <sheetName val="Sheet1_(2)4"/>
      <sheetName val="GA_Page_73"/>
      <sheetName val="Irregular_Income3"/>
      <sheetName val="AutoOpen_Stub_Data23"/>
      <sheetName val="Customize_Your_Invoice23"/>
      <sheetName val="Intl_Data_Table23"/>
      <sheetName val="Marshal_-122"/>
      <sheetName val="Customize_Your_Purchase_Order21"/>
      <sheetName val="FE-1770_P121"/>
      <sheetName val="Balance_Sheet21"/>
      <sheetName val="Income_Statement21"/>
      <sheetName val="Danamon_LK8"/>
      <sheetName val="Data_Ben8"/>
      <sheetName val="Sheet1_(2)8"/>
      <sheetName val="GA_Page_77"/>
      <sheetName val="Irregular_Income7"/>
      <sheetName val="AutoOpen_Stub_Data20"/>
      <sheetName val="Customize_Your_Invoice20"/>
      <sheetName val="Intl_Data_Table20"/>
      <sheetName val="Marshal_-119"/>
      <sheetName val="Customize_Your_Purchase_Order18"/>
      <sheetName val="FE-1770_P118"/>
      <sheetName val="Balance_Sheet18"/>
      <sheetName val="Income_Statement18"/>
      <sheetName val="Danamon_LK5"/>
      <sheetName val="Data_Ben5"/>
      <sheetName val="Sheet1_(2)5"/>
      <sheetName val="GA_Page_74"/>
      <sheetName val="Irregular_Income4"/>
      <sheetName val="AutoOpen_Stub_Data21"/>
      <sheetName val="Customize_Your_Invoice21"/>
      <sheetName val="Intl_Data_Table21"/>
      <sheetName val="Marshal_-120"/>
      <sheetName val="Customize_Your_Purchase_Order19"/>
      <sheetName val="FE-1770_P119"/>
      <sheetName val="Balance_Sheet19"/>
      <sheetName val="Income_Statement19"/>
      <sheetName val="Danamon_LK6"/>
      <sheetName val="Data_Ben6"/>
      <sheetName val="Sheet1_(2)6"/>
      <sheetName val="GA_Page_75"/>
      <sheetName val="Irregular_Income5"/>
      <sheetName val="AutoOpen_Stub_Data22"/>
      <sheetName val="Customize_Your_Invoice22"/>
      <sheetName val="Intl_Data_Table22"/>
      <sheetName val="Marshal_-121"/>
      <sheetName val="Customize_Your_Purchase_Order20"/>
      <sheetName val="FE-1770_P120"/>
      <sheetName val="Balance_Sheet20"/>
      <sheetName val="Income_Statement20"/>
      <sheetName val="Danamon_LK7"/>
      <sheetName val="Data_Ben7"/>
      <sheetName val="Sheet1_(2)7"/>
      <sheetName val="GA_Page_76"/>
      <sheetName val="Irregular_Income6"/>
      <sheetName val="AutoOpen_Stub_Data24"/>
      <sheetName val="Customize_Your_Invoice24"/>
      <sheetName val="Intl_Data_Table24"/>
      <sheetName val="Marshal_-123"/>
      <sheetName val="Customize_Your_Purchase_Order22"/>
      <sheetName val="FE-1770_P122"/>
      <sheetName val="Balance_Sheet22"/>
      <sheetName val="Income_Statement22"/>
      <sheetName val="Danamon_LK9"/>
      <sheetName val="Data_Ben9"/>
      <sheetName val="Sheet1_(2)9"/>
      <sheetName val="GA_Page_78"/>
      <sheetName val="Irregular_Income8"/>
      <sheetName val="AutoOpen_Stub_Data25"/>
      <sheetName val="Customize_Your_Invoice25"/>
      <sheetName val="Intl_Data_Table25"/>
      <sheetName val="Marshal_-124"/>
      <sheetName val="Customize_Your_Purchase_Order23"/>
      <sheetName val="FE-1770_P123"/>
      <sheetName val="Balance_Sheet23"/>
      <sheetName val="Income_Statement23"/>
      <sheetName val="Danamon_LK10"/>
      <sheetName val="Data_Ben10"/>
      <sheetName val="Sheet1_(2)10"/>
      <sheetName val="GA_Page_79"/>
      <sheetName val="Irregular_Income9"/>
      <sheetName val="aktual MARET"/>
      <sheetName val="Need Listing Prepaid Tax 23"/>
      <sheetName val="Need Recon Tax Art 23,26 &amp; 4(2)"/>
      <sheetName val="MGM_Forecast"/>
      <sheetName val="MTot_Fcast"/>
      <sheetName val="RATE"/>
      <sheetName val="Sheet1"/>
      <sheetName val="tb"/>
      <sheetName val="Data"/>
      <sheetName val="CIVIC 1.6L(7ｶ国MA輸出)ｺｽﾄ"/>
      <sheetName val="Permanent info"/>
      <sheetName val="5"/>
      <sheetName val="지출예산"/>
      <sheetName val="Coding"/>
      <sheetName val="Purchase Order (2)"/>
      <sheetName val="사업부별"/>
      <sheetName val="EX-TGS"/>
      <sheetName val="U1 P&amp;L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C 1.6L(7ｶ国MA単)ｺｽﾄ"/>
      <sheetName val="CIVIC 1.6L(7ｶ国MA輸出)ｺｽﾄ"/>
      <sheetName val="CIVIC 1.6L(7ｶ国+中国MA単)ｺｽﾄ"/>
      <sheetName val="CIVIC 1.6L(7ｶ国+中国MA輸出)ｺｽﾄ"/>
      <sheetName val="CIVIC 1.6L(7ｶ国+中国24万台+BH自国)ｺｽﾄ"/>
      <sheetName val="CIVIC 1.6L(7ｶ国+中国24万台+ＢＨ輸出)ｺｽﾄ"/>
      <sheetName val="中国⇒MA 1.6L(7ｶ国+中国全量鍛造)"/>
      <sheetName val="Marshal -1"/>
      <sheetName val="LOOKUP"/>
      <sheetName val="Customize Your Invoice"/>
      <sheetName val="Invoice"/>
      <sheetName val="CIVIC_1_6L(7ｶ国MA単)ｺｽﾄ2"/>
      <sheetName val="CIVIC_1_6L(7ｶ国MA輸出)ｺｽﾄ2"/>
      <sheetName val="CIVIC_1_6L(7ｶ国+中国MA単)ｺｽﾄ2"/>
      <sheetName val="CIVIC_1_6L(7ｶ国+中国MA輸出)ｺｽﾄ2"/>
      <sheetName val="CIVIC_1_6L(7ｶ国+中国24万台+BH自国)ｺｽﾄ2"/>
      <sheetName val="CIVIC_1_6L(7ｶ国+中国24万台+ＢＨ輸出)ｺｽﾄ2"/>
      <sheetName val="中国⇒MA_1_6L(7ｶ国+中国全量鍛造)2"/>
      <sheetName val="Marshal_-12"/>
      <sheetName val="CIVIC_1_6L(7ｶ国MA単)ｺｽﾄ"/>
      <sheetName val="CIVIC_1_6L(7ｶ国MA輸出)ｺｽﾄ"/>
      <sheetName val="CIVIC_1_6L(7ｶ国+中国MA単)ｺｽﾄ"/>
      <sheetName val="CIVIC_1_6L(7ｶ国+中国MA輸出)ｺｽﾄ"/>
      <sheetName val="CIVIC_1_6L(7ｶ国+中国24万台+BH自国)ｺｽﾄ"/>
      <sheetName val="CIVIC_1_6L(7ｶ国+中国24万台+ＢＨ輸出)ｺｽﾄ"/>
      <sheetName val="中国⇒MA_1_6L(7ｶ国+中国全量鍛造)"/>
      <sheetName val="Marshal_-1"/>
      <sheetName val="CIVIC_1_6L(7ｶ国MA単)ｺｽﾄ1"/>
      <sheetName val="CIVIC_1_6L(7ｶ国MA輸出)ｺｽﾄ1"/>
      <sheetName val="CIVIC_1_6L(7ｶ国+中国MA単)ｺｽﾄ1"/>
      <sheetName val="CIVIC_1_6L(7ｶ国+中国MA輸出)ｺｽﾄ1"/>
      <sheetName val="CIVIC_1_6L(7ｶ国+中国24万台+BH自国)ｺｽﾄ1"/>
      <sheetName val="CIVIC_1_6L(7ｶ国+中国24万台+ＢＨ輸出)ｺｽﾄ1"/>
      <sheetName val="中国⇒MA_1_6L(7ｶ国+中国全量鍛造)1"/>
      <sheetName val="Marshal_-11"/>
      <sheetName val="CIVIC_1_6L(7ｶ国MA単)ｺｽﾄ3"/>
      <sheetName val="CIVIC_1_6L(7ｶ国MA輸出)ｺｽﾄ3"/>
      <sheetName val="CIVIC_1_6L(7ｶ国+中国MA単)ｺｽﾄ3"/>
      <sheetName val="CIVIC_1_6L(7ｶ国+中国MA輸出)ｺｽﾄ3"/>
      <sheetName val="CIVIC_1_6L(7ｶ国+中国24万台+BH自国)ｺｽﾄ3"/>
      <sheetName val="CIVIC_1_6L(7ｶ国+中国24万台+ＢＨ輸出)ｺｽﾄ3"/>
      <sheetName val="中国⇒MA_1_6L(7ｶ国+中国全量鍛造)3"/>
      <sheetName val="Marshal_-13"/>
      <sheetName val="CIVIC_1_6L(7ｶ国MA単)ｺｽﾄ6"/>
      <sheetName val="CIVIC_1_6L(7ｶ国MA輸出)ｺｽﾄ6"/>
      <sheetName val="CIVIC_1_6L(7ｶ国+中国MA単)ｺｽﾄ6"/>
      <sheetName val="CIVIC_1_6L(7ｶ国+中国MA輸出)ｺｽﾄ6"/>
      <sheetName val="CIVIC_1_6L(7ｶ国+中国24万台+BH自国)ｺｽﾄ6"/>
      <sheetName val="CIVIC_1_6L(7ｶ国+中国24万台+ＢＨ輸出)ｺｽﾄ6"/>
      <sheetName val="中国⇒MA_1_6L(7ｶ国+中国全量鍛造)6"/>
      <sheetName val="Marshal_-16"/>
      <sheetName val="CIVIC_1_6L(7ｶ国MA単)ｺｽﾄ5"/>
      <sheetName val="CIVIC_1_6L(7ｶ国MA輸出)ｺｽﾄ5"/>
      <sheetName val="CIVIC_1_6L(7ｶ国+中国MA単)ｺｽﾄ5"/>
      <sheetName val="CIVIC_1_6L(7ｶ国+中国MA輸出)ｺｽﾄ5"/>
      <sheetName val="CIVIC_1_6L(7ｶ国+中国24万台+BH自国)ｺｽﾄ5"/>
      <sheetName val="CIVIC_1_6L(7ｶ国+中国24万台+ＢＨ輸出)ｺｽﾄ5"/>
      <sheetName val="中国⇒MA_1_6L(7ｶ国+中国全量鍛造)5"/>
      <sheetName val="Marshal_-15"/>
      <sheetName val="CIVIC_1_6L(7ｶ国MA単)ｺｽﾄ4"/>
      <sheetName val="CIVIC_1_6L(7ｶ国MA輸出)ｺｽﾄ4"/>
      <sheetName val="CIVIC_1_6L(7ｶ国+中国MA単)ｺｽﾄ4"/>
      <sheetName val="CIVIC_1_6L(7ｶ国+中国MA輸出)ｺｽﾄ4"/>
      <sheetName val="CIVIC_1_6L(7ｶ国+中国24万台+BH自国)ｺｽﾄ4"/>
      <sheetName val="CIVIC_1_6L(7ｶ国+中国24万台+ＢＨ輸出)ｺｽﾄ4"/>
      <sheetName val="中国⇒MA_1_6L(7ｶ国+中国全量鍛造)4"/>
      <sheetName val="Marshal_-14"/>
      <sheetName val="CIVIC_1_6L(7ｶ国MA単)ｺｽﾄ7"/>
      <sheetName val="CIVIC_1_6L(7ｶ国MA輸出)ｺｽﾄ7"/>
      <sheetName val="CIVIC_1_6L(7ｶ国+中国MA単)ｺｽﾄ7"/>
      <sheetName val="CIVIC_1_6L(7ｶ国+中国MA輸出)ｺｽﾄ7"/>
      <sheetName val="CIVIC_1_6L(7ｶ国+中国24万台+BH自国)ｺｽﾄ7"/>
      <sheetName val="CIVIC_1_6L(7ｶ国+中国24万台+ＢＨ輸出)ｺｽﾄ7"/>
      <sheetName val="中国⇒MA_1_6L(7ｶ国+中国全量鍛造)7"/>
      <sheetName val="Marshal_-17"/>
      <sheetName val="PACK"/>
      <sheetName val="CIVIC_1_6L(7ｶ国MA単)ｺｽﾄ8"/>
      <sheetName val="CIVIC_1_6L(7ｶ国MA輸出)ｺｽﾄ8"/>
      <sheetName val="CIVIC_1_6L(7ｶ国+中国MA単)ｺｽﾄ8"/>
      <sheetName val="CIVIC_1_6L(7ｶ国+中国MA輸出)ｺｽﾄ8"/>
      <sheetName val="CIVIC_1_6L(7ｶ国+中国24万台+BH自国)ｺｽﾄ8"/>
      <sheetName val="CIVIC_1_6L(7ｶ国+中国24万台+ＢＨ輸出)ｺｽﾄ8"/>
      <sheetName val="中国⇒MA_1_6L(7ｶ国+中国全量鍛造)8"/>
      <sheetName val="Marshal_-18"/>
      <sheetName val="CIVIC_1_6L(7ｶ国MA単)ｺｽﾄ9"/>
      <sheetName val="CIVIC_1_6L(7ｶ国MA輸出)ｺｽﾄ9"/>
      <sheetName val="CIVIC_1_6L(7ｶ国+中国MA単)ｺｽﾄ9"/>
      <sheetName val="CIVIC_1_6L(7ｶ国+中国MA輸出)ｺｽﾄ9"/>
      <sheetName val="CIVIC_1_6L(7ｶ国+中国24万台+BH自国)ｺｽﾄ9"/>
      <sheetName val="CIVIC_1_6L(7ｶ国+中国24万台+ＢＨ輸出)ｺｽﾄ9"/>
      <sheetName val="中国⇒MA_1_6L(7ｶ国+中国全量鍛造)9"/>
      <sheetName val="Marshal_-19"/>
      <sheetName val="CIVIC_1_6L(7ｶ国MA単)ｺｽﾄ11"/>
      <sheetName val="CIVIC_1_6L(7ｶ国MA輸出)ｺｽﾄ11"/>
      <sheetName val="CIVIC_1_6L(7ｶ国+中国MA単)ｺｽﾄ11"/>
      <sheetName val="CIVIC_1_6L(7ｶ国+中国MA輸出)ｺｽﾄ11"/>
      <sheetName val="CIVIC_1_6L(7ｶ国+中国24万台+BH自国)ｺｽ11"/>
      <sheetName val="CIVIC_1_6L(7ｶ国+中国24万台+ＢＨ輸出)ｺｽ11"/>
      <sheetName val="中国⇒MA_1_6L(7ｶ国+中国全量鍛造)11"/>
      <sheetName val="Marshal_-111"/>
      <sheetName val="CIVIC_1_6L(7ｶ国MA単)ｺｽﾄ10"/>
      <sheetName val="CIVIC_1_6L(7ｶ国MA輸出)ｺｽﾄ10"/>
      <sheetName val="CIVIC_1_6L(7ｶ国+中国MA単)ｺｽﾄ10"/>
      <sheetName val="CIVIC_1_6L(7ｶ国+中国MA輸出)ｺｽﾄ10"/>
      <sheetName val="CIVIC_1_6L(7ｶ国+中国24万台+BH自国)ｺｽ10"/>
      <sheetName val="CIVIC_1_6L(7ｶ国+中国24万台+ＢＨ輸出)ｺｽ10"/>
      <sheetName val="中国⇒MA_1_6L(7ｶ国+中国全量鍛造)10"/>
      <sheetName val="Marshal_-110"/>
      <sheetName val="std"/>
      <sheetName val="CIVIC_1_6L(7ｶ国MA単)ｺｽﾄ13"/>
      <sheetName val="CIVIC_1_6L(7ｶ国MA輸出)ｺｽﾄ13"/>
      <sheetName val="CIVIC_1_6L(7ｶ国+中国MA単)ｺｽﾄ13"/>
      <sheetName val="CIVIC_1_6L(7ｶ国+中国MA輸出)ｺｽﾄ13"/>
      <sheetName val="CIVIC_1_6L(7ｶ国+中国24万台+BH自国)ｺｽ13"/>
      <sheetName val="CIVIC_1_6L(7ｶ国+中国24万台+ＢＨ輸出)ｺｽ13"/>
      <sheetName val="中国⇒MA_1_6L(7ｶ国+中国全量鍛造)13"/>
      <sheetName val="Marshal_-113"/>
      <sheetName val="CIVIC_1_6L(7ｶ国MA単)ｺｽﾄ12"/>
      <sheetName val="CIVIC_1_6L(7ｶ国MA輸出)ｺｽﾄ12"/>
      <sheetName val="CIVIC_1_6L(7ｶ国+中国MA単)ｺｽﾄ12"/>
      <sheetName val="CIVIC_1_6L(7ｶ国+中国MA輸出)ｺｽﾄ12"/>
      <sheetName val="CIVIC_1_6L(7ｶ国+中国24万台+BH自国)ｺｽ12"/>
      <sheetName val="CIVIC_1_6L(7ｶ国+中国24万台+ＢＨ輸出)ｺｽ12"/>
      <sheetName val="中国⇒MA_1_6L(7ｶ国+中国全量鍛造)12"/>
      <sheetName val="Marshal_-112"/>
      <sheetName val="CIVIC_1_6L(7ｶ国MA単)ｺｽﾄ17"/>
      <sheetName val="CIVIC_1_6L(7ｶ国MA輸出)ｺｽﾄ17"/>
      <sheetName val="CIVIC_1_6L(7ｶ国+中国MA単)ｺｽﾄ17"/>
      <sheetName val="CIVIC_1_6L(7ｶ国+中国MA輸出)ｺｽﾄ17"/>
      <sheetName val="CIVIC_1_6L(7ｶ国+中国24万台+BH自国)ｺｽ17"/>
      <sheetName val="CIVIC_1_6L(7ｶ国+中国24万台+ＢＨ輸出)ｺｽ17"/>
      <sheetName val="中国⇒MA_1_6L(7ｶ国+中国全量鍛造)17"/>
      <sheetName val="Marshal_-117"/>
      <sheetName val="CIVIC_1_6L(7ｶ国MA単)ｺｽﾄ15"/>
      <sheetName val="CIVIC_1_6L(7ｶ国MA輸出)ｺｽﾄ15"/>
      <sheetName val="CIVIC_1_6L(7ｶ国+中国MA単)ｺｽﾄ15"/>
      <sheetName val="CIVIC_1_6L(7ｶ国+中国MA輸出)ｺｽﾄ15"/>
      <sheetName val="CIVIC_1_6L(7ｶ国+中国24万台+BH自国)ｺｽ15"/>
      <sheetName val="CIVIC_1_6L(7ｶ国+中国24万台+ＢＨ輸出)ｺｽ15"/>
      <sheetName val="中国⇒MA_1_6L(7ｶ国+中国全量鍛造)15"/>
      <sheetName val="Marshal_-115"/>
      <sheetName val="CIVIC_1_6L(7ｶ国MA単)ｺｽﾄ14"/>
      <sheetName val="CIVIC_1_6L(7ｶ国MA輸出)ｺｽﾄ14"/>
      <sheetName val="CIVIC_1_6L(7ｶ国+中国MA単)ｺｽﾄ14"/>
      <sheetName val="CIVIC_1_6L(7ｶ国+中国MA輸出)ｺｽﾄ14"/>
      <sheetName val="CIVIC_1_6L(7ｶ国+中国24万台+BH自国)ｺｽ14"/>
      <sheetName val="CIVIC_1_6L(7ｶ国+中国24万台+ＢＨ輸出)ｺｽ14"/>
      <sheetName val="中国⇒MA_1_6L(7ｶ国+中国全量鍛造)14"/>
      <sheetName val="Marshal_-114"/>
      <sheetName val="CIVIC_1_6L(7ｶ国MA単)ｺｽﾄ16"/>
      <sheetName val="CIVIC_1_6L(7ｶ国MA輸出)ｺｽﾄ16"/>
      <sheetName val="CIVIC_1_6L(7ｶ国+中国MA単)ｺｽﾄ16"/>
      <sheetName val="CIVIC_1_6L(7ｶ国+中国MA輸出)ｺｽﾄ16"/>
      <sheetName val="CIVIC_1_6L(7ｶ国+中国24万台+BH自国)ｺｽ16"/>
      <sheetName val="CIVIC_1_6L(7ｶ国+中国24万台+ＢＨ輸出)ｺｽ16"/>
      <sheetName val="中国⇒MA_1_6L(7ｶ国+中国全量鍛造)16"/>
      <sheetName val="Marshal_-116"/>
      <sheetName val="CIVIC_1_6L(7ｶ国MA単)ｺｽﾄ18"/>
      <sheetName val="CIVIC_1_6L(7ｶ国MA輸出)ｺｽﾄ18"/>
      <sheetName val="CIVIC_1_6L(7ｶ国+中国MA単)ｺｽﾄ18"/>
      <sheetName val="CIVIC_1_6L(7ｶ国+中国MA輸出)ｺｽﾄ18"/>
      <sheetName val="CIVIC_1_6L(7ｶ国+中国24万台+BH自国)ｺｽ18"/>
      <sheetName val="CIVIC_1_6L(7ｶ国+中国24万台+ＢＨ輸出)ｺｽ18"/>
      <sheetName val="中国⇒MA_1_6L(7ｶ国+中国全量鍛造)18"/>
      <sheetName val="Marshal_-118"/>
      <sheetName val="inf BS"/>
      <sheetName val="cogm &amp; PL"/>
      <sheetName val="NC"/>
      <sheetName val="00-1"/>
      <sheetName val="CIVIC_1_6L(7ｶ国MA単)ｺｽﾄ19"/>
      <sheetName val="CIVIC_1_6L(7ｶ国MA単)ｺｽﾄ20"/>
      <sheetName val="CIVIC_1_6L(7ｶ国MA輸出)ｺｽﾄ19"/>
      <sheetName val="CIVIC_1_6L(7ｶ国+中国MA単)ｺｽﾄ19"/>
      <sheetName val="CIVIC_1_6L(7ｶ国+中国MA輸出)ｺｽﾄ19"/>
      <sheetName val="CIVIC_1_6L(7ｶ国+中国24万台+BH自国)ｺｽ19"/>
      <sheetName val="CIVIC_1_6L(7ｶ国+中国24万台+ＢＨ輸出)ｺｽ19"/>
      <sheetName val="中国⇒MA_1_6L(7ｶ国+中国全量鍛造)19"/>
      <sheetName val="Marshal_-119"/>
      <sheetName val="Customize_Your_Invoice"/>
      <sheetName val="CIVIC_1_6L(7ｶ国MA単)ｺｽﾄ34"/>
      <sheetName val="CIVIC_1_6L(7ｶ国MA輸出)ｺｽﾄ34"/>
      <sheetName val="CIVIC_1_6L(7ｶ国+中国MA単)ｺｽﾄ34"/>
      <sheetName val="CIVIC_1_6L(7ｶ国+中国MA輸出)ｺｽﾄ34"/>
      <sheetName val="CIVIC_1_6L(7ｶ国+中国24万台+BH自国)ｺｽ34"/>
      <sheetName val="CIVIC_1_6L(7ｶ国+中国24万台+ＢＨ輸出)ｺｽ34"/>
      <sheetName val="中国⇒MA_1_6L(7ｶ国+中国全量鍛造)34"/>
      <sheetName val="Marshal_-134"/>
      <sheetName val="@GeneralInfo"/>
      <sheetName val="Worksheet-03"/>
      <sheetName val="Marshal"/>
      <sheetName val="GeneralInfo"/>
      <sheetName val="MK(7ｶ国+5,7,12万台)"/>
      <sheetName val="CIVIC_1_6L(7ｶ国MA単)ｺｽﾄ39"/>
      <sheetName val="CIVIC_1_6L(7ｶ国MA輸出)ｺｽﾄ39"/>
      <sheetName val="CIVIC_1_6L(7ｶ国+中国MA単)ｺｽﾄ39"/>
      <sheetName val="CIVIC_1_6L(7ｶ国+中国MA輸出)ｺｽﾄ39"/>
      <sheetName val="CIVIC_1_6L(7ｶ国+中国24万台+BH自国)ｺｽ39"/>
      <sheetName val="CIVIC_1_6L(7ｶ国+中国24万台+ＢＨ輸出)ｺｽ39"/>
      <sheetName val="中国⇒MA_1_6L(7ｶ国+中国全量鍛造)39"/>
      <sheetName val="Marshal_-139"/>
      <sheetName val="List"/>
      <sheetName val="Irregular Income"/>
      <sheetName val="FE-1770.P1"/>
      <sheetName val="Sheet1"/>
      <sheetName val="Elect.&amp;Gas (RP)"/>
      <sheetName val="Setup Variables"/>
      <sheetName val="inf_BS"/>
      <sheetName val="cogm_&amp;_PL"/>
      <sheetName val="CIVIC_1_6L(7ｶ国MA輸出)ｺｽﾄ20"/>
      <sheetName val="CIVIC_1_6L(7ｶ国+中国MA単)ｺｽﾄ20"/>
      <sheetName val="CIVIC_1_6L(7ｶ国+中国MA輸出)ｺｽﾄ20"/>
      <sheetName val="CIVIC_1_6L(7ｶ国+中国24万台+BH自国)ｺｽ20"/>
      <sheetName val="CIVIC_1_6L(7ｶ国+中国24万台+ＢＨ輸出)ｺｽ20"/>
      <sheetName val="中国⇒MA_1_6L(7ｶ国+中国全量鍛造)20"/>
      <sheetName val="Marshal_-120"/>
      <sheetName val="Customize_Your_Invoice1"/>
      <sheetName val="inf_BS1"/>
      <sheetName val="cogm_&amp;_PL1"/>
      <sheetName val="Assumption"/>
      <sheetName val="Dati base"/>
      <sheetName val="EPS"/>
      <sheetName val="depn summary98"/>
      <sheetName val="HPP-New"/>
      <sheetName val="TB Jun 03"/>
      <sheetName val="FE-1770-I"/>
      <sheetName val="FE-1770-II"/>
      <sheetName val="Th.2003"/>
      <sheetName val="PARAMETER"/>
      <sheetName val="5 yr (Services only) Summary"/>
      <sheetName val="A"/>
      <sheetName val="CIVIC_1_6L(7ｶ国MA単)ｺｽﾄ21"/>
      <sheetName val="CIVIC_1_6L(7ｶ国MA輸出)ｺｽﾄ21"/>
      <sheetName val="CIVIC_1_6L(7ｶ国+中国MA単)ｺｽﾄ21"/>
      <sheetName val="CIVIC_1_6L(7ｶ国+中国MA輸出)ｺｽﾄ21"/>
      <sheetName val="CIVIC_1_6L(7ｶ国+中国24万台+BH自国)ｺｽ21"/>
      <sheetName val="CIVIC_1_6L(7ｶ国+中国24万台+ＢＨ輸出)ｺｽ21"/>
      <sheetName val="中国⇒MA_1_6L(7ｶ国+中国全量鍛造)21"/>
      <sheetName val="Marshal_-121"/>
      <sheetName val="Customize_Your_Invoice2"/>
      <sheetName val="inf_BS2"/>
      <sheetName val="cogm_&amp;_PL2"/>
      <sheetName val="Irregular_Income"/>
      <sheetName val="FE-1770_P1"/>
      <sheetName val="Elect_&amp;Gas_(RP)"/>
      <sheetName val="Setup_Variables"/>
      <sheetName val="Dati_base"/>
      <sheetName val="depn_summary98"/>
      <sheetName val="PETTY CASH(IDR)(101-1)"/>
      <sheetName val="PETTY CASH (USD)(101-2)"/>
      <sheetName val="PETTY CASH(JPY)(101-3)"/>
      <sheetName val="Resona(USD)(102-2)"/>
      <sheetName val="Resona(Rp)(102-3)"/>
      <sheetName val="Resona(YEN)(102-4)"/>
      <sheetName val="MDR"/>
      <sheetName val="BOTM(Rp)(102-9)"/>
      <sheetName val="Sheet2"/>
      <sheetName val="COMB"/>
      <sheetName val="PPH23"/>
      <sheetName val="Sheet3"/>
      <sheetName val="COA"/>
      <sheetName val="Summary"/>
      <sheetName val="Govt BI"/>
      <sheetName val="CIVIC 1.7L(7ｶ国MA輸出)GKN同一"/>
      <sheetName val="spec"/>
      <sheetName val="t"/>
      <sheetName val="TB_Jun_03"/>
      <sheetName val="Permanent info"/>
      <sheetName val="DATA"/>
      <sheetName val="To Generate"/>
      <sheetName val="KOMISI"/>
      <sheetName val="FINALPHP"/>
      <sheetName val="MAIN"/>
      <sheetName val="Customize Your Purchase Order"/>
      <sheetName val="IPK"/>
      <sheetName val="MA拠点CIVIC 1.6L"/>
      <sheetName val="MA拠点CIVIC_1_6L"/>
      <sheetName val="CIVIC_1_6L(7ｶ国MA単)ｺｽﾄ22"/>
      <sheetName val="MA拠点CIVIC_1_6L1"/>
      <sheetName val="CIVIC_1_6L(7ｶ国MA単)ｺｽﾄ23"/>
      <sheetName val="CIVIC_1_6L(7ｶ国MA輸出)ｺｽﾄ22"/>
      <sheetName val="CIVIC_1_6L(7ｶ国+中国MA単)ｺｽﾄ22"/>
      <sheetName val="CIVIC_1_6L(7ｶ国+中国MA輸出)ｺｽﾄ22"/>
      <sheetName val="CIVIC_1_6L(7ｶ国+中国24万台+BH自国)ｺｽ22"/>
      <sheetName val="CIVIC_1_6L(7ｶ国+中国24万台+ＢＨ輸出)ｺｽ22"/>
      <sheetName val="中国⇒MA_1_6L(7ｶ国+中国全量鍛造)22"/>
      <sheetName val="Marshal_-122"/>
      <sheetName val="Customize_Your_Invoice3"/>
      <sheetName val="MA拠点CIVIC_1_6L2"/>
      <sheetName val="CIVIC_1_6L(7ｶ国MA単)ｺｽﾄ24"/>
      <sheetName val="CIVIC_1_6L(7ｶ国MA輸出)ｺｽﾄ23"/>
      <sheetName val="CIVIC_1_6L(7ｶ国+中国MA単)ｺｽﾄ23"/>
      <sheetName val="CIVIC_1_6L(7ｶ国+中国MA輸出)ｺｽﾄ23"/>
      <sheetName val="CIVIC_1_6L(7ｶ国+中国24万台+BH自国)ｺｽ23"/>
      <sheetName val="CIVIC_1_6L(7ｶ国+中国24万台+ＢＨ輸出)ｺｽ23"/>
      <sheetName val="中国⇒MA_1_6L(7ｶ国+中国全量鍛造)23"/>
      <sheetName val="Marshal_-123"/>
      <sheetName val="Customize_Your_Invoice4"/>
      <sheetName val="inf_BS3"/>
      <sheetName val="cogm_&amp;_PL3"/>
      <sheetName val="MA拠点CIVIC_1_6L3"/>
      <sheetName val="kkp"/>
      <sheetName val="inf_BS4"/>
      <sheetName val="cogm_&amp;_PL4"/>
      <sheetName val="Irregular_Income2"/>
      <sheetName val="FE-1770_P12"/>
      <sheetName val="Elect_&amp;Gas_(RP)2"/>
      <sheetName val="Setup_Variables2"/>
      <sheetName val="Dati_base2"/>
      <sheetName val="depn_summary982"/>
      <sheetName val="TB_Jun_032"/>
      <sheetName val="5_yr_(Services_only)_Summary1"/>
      <sheetName val="Th_20031"/>
      <sheetName val="Govt_BI1"/>
      <sheetName val="PETTY_CASH(IDR)(101-1)1"/>
      <sheetName val="PETTY_CASH_(USD)(101-2)1"/>
      <sheetName val="PETTY_CASH(JPY)(101-3)1"/>
      <sheetName val="CIVIC_1_7L(7ｶ国MA輸出)GKN同一1"/>
      <sheetName val="Permanent_info1"/>
      <sheetName val="Irregular_Income1"/>
      <sheetName val="FE-1770_P11"/>
      <sheetName val="Elect_&amp;Gas_(RP)1"/>
      <sheetName val="Setup_Variables1"/>
      <sheetName val="Dati_base1"/>
      <sheetName val="depn_summary981"/>
      <sheetName val="TB_Jun_031"/>
      <sheetName val="5_yr_(Services_only)_Summary"/>
      <sheetName val="Th_2003"/>
      <sheetName val="Govt_BI"/>
      <sheetName val="PETTY_CASH(IDR)(101-1)"/>
      <sheetName val="PETTY_CASH_(USD)(101-2)"/>
      <sheetName val="PETTY_CASH(JPY)(101-3)"/>
      <sheetName val="CIVIC_1_7L(7ｶ国MA輸出)GKN同一"/>
      <sheetName val="Permanent_info"/>
      <sheetName val="asset"/>
      <sheetName val="Cover Sheet"/>
      <sheetName val="PRO"/>
      <sheetName val="lr"/>
      <sheetName val="PANIN"/>
      <sheetName val="Coding"/>
      <sheetName val="26 INTEREST LOAN"/>
      <sheetName val="Ex_Rate"/>
      <sheetName val="2002"/>
      <sheetName val="BELO Cash Flow"/>
      <sheetName val="Phase2 movementDEC"/>
      <sheetName val="Phase1f.a.DEC"/>
      <sheetName val="Phase2 f.a.DEC (2)"/>
      <sheetName val="FUEL"/>
      <sheetName val="CIVIC_1_6L(7ｶ国MA単)ｺｽﾄ25"/>
      <sheetName val="CIVIC_1_6L(7ｶ国MA輸出)ｺｽﾄ24"/>
      <sheetName val="CIVIC_1_6L(7ｶ国+中国MA単)ｺｽﾄ24"/>
      <sheetName val="CIVIC_1_6L(7ｶ国+中国MA輸出)ｺｽﾄ24"/>
      <sheetName val="CIVIC_1_6L(7ｶ国+中国24万台+BH自国)ｺｽ24"/>
      <sheetName val="CIVIC_1_6L(7ｶ国+中国24万台+ＢＨ輸出)ｺｽ24"/>
      <sheetName val="中国⇒MA_1_6L(7ｶ国+中国全量鍛造)24"/>
      <sheetName val="Marshal_-124"/>
      <sheetName val="Customize_Your_Invoice5"/>
      <sheetName val="To_Generate"/>
      <sheetName val="Customize_Your_Purchase_Order"/>
      <sheetName val="MA拠点CIVIC_1_6L4"/>
      <sheetName val="CIVIC_1_6L(7ｶ国MA単)ｺｽﾄ26"/>
      <sheetName val="CIVIC_1_6L(7ｶ国MA輸出)ｺｽﾄ25"/>
      <sheetName val="CIVIC_1_6L(7ｶ国+中国MA単)ｺｽﾄ25"/>
      <sheetName val="CIVIC_1_6L(7ｶ国+中国MA輸出)ｺｽﾄ25"/>
      <sheetName val="CIVIC_1_6L(7ｶ国+中国24万台+BH自国)ｺｽ25"/>
      <sheetName val="CIVIC_1_6L(7ｶ国+中国24万台+ＢＨ輸出)ｺｽ25"/>
      <sheetName val="中国⇒MA_1_6L(7ｶ国+中国全量鍛造)25"/>
      <sheetName val="Marshal_-125"/>
      <sheetName val="Customize_Your_Invoice6"/>
      <sheetName val="inf_BS5"/>
      <sheetName val="cogm_&amp;_PL5"/>
      <sheetName val="To_Generate1"/>
      <sheetName val="Customize_Your_Purchase_Order1"/>
      <sheetName val="MA拠点CIVIC_1_6L5"/>
      <sheetName val="CIVIC_1_6L(7ｶ国MA単)ｺｽﾄ27"/>
      <sheetName val="CIVIC_1_6L(7ｶ国MA輸出)ｺｽﾄ26"/>
      <sheetName val="CIVIC_1_6L(7ｶ国+中国MA単)ｺｽﾄ26"/>
      <sheetName val="CIVIC_1_6L(7ｶ国+中国MA輸出)ｺｽﾄ26"/>
      <sheetName val="CIVIC_1_6L(7ｶ国+中国24万台+BH自国)ｺｽ26"/>
      <sheetName val="CIVIC_1_6L(7ｶ国+中国24万台+ＢＨ輸出)ｺｽ26"/>
      <sheetName val="中国⇒MA_1_6L(7ｶ国+中国全量鍛造)26"/>
      <sheetName val="Marshal_-126"/>
      <sheetName val="Customize_Your_Invoice7"/>
      <sheetName val="inf_BS6"/>
      <sheetName val="cogm_&amp;_PL6"/>
      <sheetName val="Irregular_Income3"/>
      <sheetName val="FE-1770_P13"/>
      <sheetName val="Dati_base3"/>
      <sheetName val="Elect_&amp;Gas_(RP)3"/>
      <sheetName val="Setup_Variables3"/>
      <sheetName val="depn_summary983"/>
      <sheetName val="TB_Jun_033"/>
      <sheetName val="Th_20032"/>
      <sheetName val="5_yr_(Services_only)_Summary2"/>
      <sheetName val="Govt_BI2"/>
      <sheetName val="PETTY_CASH(IDR)(101-1)2"/>
      <sheetName val="PETTY_CASH_(USD)(101-2)2"/>
      <sheetName val="PETTY_CASH(JPY)(101-3)2"/>
      <sheetName val="CIVIC_1_7L(7ｶ国MA輸出)GKN同一2"/>
      <sheetName val="Permanent_info2"/>
      <sheetName val="To_Generate2"/>
      <sheetName val="Customize_Your_Purchase_Order2"/>
      <sheetName val="MA拠点CIVIC_1_6L6"/>
      <sheetName val="CIVIC_1_6L(7ｶ国MA単)ｺｽﾄ28"/>
      <sheetName val="CIVIC_1_6L(7ｶ国MA輸出)ｺｽﾄ27"/>
      <sheetName val="CIVIC_1_6L(7ｶ国+中国MA単)ｺｽﾄ27"/>
      <sheetName val="CIVIC_1_6L(7ｶ国+中国MA輸出)ｺｽﾄ27"/>
      <sheetName val="CIVIC_1_6L(7ｶ国+中国24万台+BH自国)ｺｽ27"/>
      <sheetName val="CIVIC_1_6L(7ｶ国+中国24万台+ＢＨ輸出)ｺｽ27"/>
      <sheetName val="中国⇒MA_1_6L(7ｶ国+中国全量鍛造)27"/>
      <sheetName val="Marshal_-127"/>
      <sheetName val="Customize_Your_Invoice8"/>
      <sheetName val="inf_BS7"/>
      <sheetName val="cogm_&amp;_PL7"/>
      <sheetName val="Irregular_Income4"/>
      <sheetName val="FE-1770_P14"/>
      <sheetName val="Dati_base4"/>
      <sheetName val="Elect_&amp;Gas_(RP)4"/>
      <sheetName val="Setup_Variables4"/>
      <sheetName val="depn_summary984"/>
      <sheetName val="TB_Jun_034"/>
      <sheetName val="Th_20033"/>
      <sheetName val="5_yr_(Services_only)_Summary3"/>
      <sheetName val="Govt_BI3"/>
      <sheetName val="PETTY_CASH(IDR)(101-1)3"/>
      <sheetName val="PETTY_CASH_(USD)(101-2)3"/>
      <sheetName val="PETTY_CASH(JPY)(101-3)3"/>
      <sheetName val="CIVIC_1_7L(7ｶ国MA輸出)GKN同一3"/>
      <sheetName val="Permanent_info3"/>
      <sheetName val="To_Generate3"/>
      <sheetName val="Customize_Your_Purchase_Order3"/>
      <sheetName val="MA拠点CIVIC_1_6L7"/>
      <sheetName val="CIVIC_1_6L(7ｶ国MA単)ｺｽﾄ32"/>
      <sheetName val="CIVIC_1_6L(7ｶ国MA輸出)ｺｽﾄ31"/>
      <sheetName val="CIVIC_1_6L(7ｶ国+中国MA単)ｺｽﾄ31"/>
      <sheetName val="CIVIC_1_6L(7ｶ国+中国MA輸出)ｺｽﾄ31"/>
      <sheetName val="CIVIC_1_6L(7ｶ国+中国24万台+BH自国)ｺｽ31"/>
      <sheetName val="CIVIC_1_6L(7ｶ国+中国24万台+ＢＨ輸出)ｺｽ31"/>
      <sheetName val="中国⇒MA_1_6L(7ｶ国+中国全量鍛造)31"/>
      <sheetName val="Marshal_-131"/>
      <sheetName val="Customize_Your_Invoice12"/>
      <sheetName val="inf_BS11"/>
      <sheetName val="cogm_&amp;_PL11"/>
      <sheetName val="Irregular_Income8"/>
      <sheetName val="FE-1770_P18"/>
      <sheetName val="Dati_base8"/>
      <sheetName val="Elect_&amp;Gas_(RP)8"/>
      <sheetName val="Setup_Variables8"/>
      <sheetName val="depn_summary988"/>
      <sheetName val="TB_Jun_038"/>
      <sheetName val="Th_20037"/>
      <sheetName val="5_yr_(Services_only)_Summary7"/>
      <sheetName val="Govt_BI7"/>
      <sheetName val="PETTY_CASH(IDR)(101-1)7"/>
      <sheetName val="PETTY_CASH_(USD)(101-2)7"/>
      <sheetName val="PETTY_CASH(JPY)(101-3)7"/>
      <sheetName val="CIVIC_1_7L(7ｶ国MA輸出)GKN同一7"/>
      <sheetName val="Permanent_info7"/>
      <sheetName val="To_Generate7"/>
      <sheetName val="Customize_Your_Purchase_Order7"/>
      <sheetName val="MA拠点CIVIC_1_6L11"/>
      <sheetName val="CIVIC_1_6L(7ｶ国MA単)ｺｽﾄ29"/>
      <sheetName val="CIVIC_1_6L(7ｶ国MA輸出)ｺｽﾄ28"/>
      <sheetName val="CIVIC_1_6L(7ｶ国+中国MA単)ｺｽﾄ28"/>
      <sheetName val="CIVIC_1_6L(7ｶ国+中国MA輸出)ｺｽﾄ28"/>
      <sheetName val="CIVIC_1_6L(7ｶ国+中国24万台+BH自国)ｺｽ28"/>
      <sheetName val="CIVIC_1_6L(7ｶ国+中国24万台+ＢＨ輸出)ｺｽ28"/>
      <sheetName val="中国⇒MA_1_6L(7ｶ国+中国全量鍛造)28"/>
      <sheetName val="Marshal_-128"/>
      <sheetName val="Customize_Your_Invoice9"/>
      <sheetName val="inf_BS8"/>
      <sheetName val="cogm_&amp;_PL8"/>
      <sheetName val="Irregular_Income5"/>
      <sheetName val="FE-1770_P15"/>
      <sheetName val="Dati_base5"/>
      <sheetName val="Elect_&amp;Gas_(RP)5"/>
      <sheetName val="Setup_Variables5"/>
      <sheetName val="depn_summary985"/>
      <sheetName val="TB_Jun_035"/>
      <sheetName val="Th_20034"/>
      <sheetName val="5_yr_(Services_only)_Summary4"/>
      <sheetName val="Govt_BI4"/>
      <sheetName val="PETTY_CASH(IDR)(101-1)4"/>
      <sheetName val="PETTY_CASH_(USD)(101-2)4"/>
      <sheetName val="PETTY_CASH(JPY)(101-3)4"/>
      <sheetName val="CIVIC_1_7L(7ｶ国MA輸出)GKN同一4"/>
      <sheetName val="Permanent_info4"/>
      <sheetName val="To_Generate4"/>
      <sheetName val="Customize_Your_Purchase_Order4"/>
      <sheetName val="MA拠点CIVIC_1_6L8"/>
      <sheetName val="CIVIC_1_6L(7ｶ国MA単)ｺｽﾄ30"/>
      <sheetName val="CIVIC_1_6L(7ｶ国MA輸出)ｺｽﾄ29"/>
      <sheetName val="CIVIC_1_6L(7ｶ国+中国MA単)ｺｽﾄ29"/>
      <sheetName val="CIVIC_1_6L(7ｶ国+中国MA輸出)ｺｽﾄ29"/>
      <sheetName val="CIVIC_1_6L(7ｶ国+中国24万台+BH自国)ｺｽ29"/>
      <sheetName val="CIVIC_1_6L(7ｶ国+中国24万台+ＢＨ輸出)ｺｽ29"/>
      <sheetName val="中国⇒MA_1_6L(7ｶ国+中国全量鍛造)29"/>
      <sheetName val="Marshal_-129"/>
      <sheetName val="Customize_Your_Invoice10"/>
      <sheetName val="inf_BS9"/>
      <sheetName val="cogm_&amp;_PL9"/>
      <sheetName val="Irregular_Income6"/>
      <sheetName val="FE-1770_P16"/>
      <sheetName val="Dati_base6"/>
      <sheetName val="Elect_&amp;Gas_(RP)6"/>
      <sheetName val="Setup_Variables6"/>
      <sheetName val="depn_summary986"/>
      <sheetName val="TB_Jun_036"/>
      <sheetName val="Th_20035"/>
      <sheetName val="5_yr_(Services_only)_Summary5"/>
      <sheetName val="Govt_BI5"/>
      <sheetName val="PETTY_CASH(IDR)(101-1)5"/>
      <sheetName val="PETTY_CASH_(USD)(101-2)5"/>
      <sheetName val="PETTY_CASH(JPY)(101-3)5"/>
      <sheetName val="CIVIC_1_7L(7ｶ国MA輸出)GKN同一5"/>
      <sheetName val="Permanent_info5"/>
      <sheetName val="To_Generate5"/>
      <sheetName val="Customize_Your_Purchase_Order5"/>
      <sheetName val="MA拠点CIVIC_1_6L9"/>
      <sheetName val="CIVIC_1_6L(7ｶ国MA単)ｺｽﾄ31"/>
      <sheetName val="CIVIC_1_6L(7ｶ国MA輸出)ｺｽﾄ30"/>
      <sheetName val="CIVIC_1_6L(7ｶ国+中国MA単)ｺｽﾄ30"/>
      <sheetName val="CIVIC_1_6L(7ｶ国+中国MA輸出)ｺｽﾄ30"/>
      <sheetName val="CIVIC_1_6L(7ｶ国+中国24万台+BH自国)ｺｽ30"/>
      <sheetName val="CIVIC_1_6L(7ｶ国+中国24万台+ＢＨ輸出)ｺｽ30"/>
      <sheetName val="中国⇒MA_1_6L(7ｶ国+中国全量鍛造)30"/>
      <sheetName val="Marshal_-130"/>
      <sheetName val="Customize_Your_Invoice11"/>
      <sheetName val="inf_BS10"/>
      <sheetName val="cogm_&amp;_PL10"/>
      <sheetName val="Irregular_Income7"/>
      <sheetName val="FE-1770_P17"/>
      <sheetName val="Dati_base7"/>
      <sheetName val="Elect_&amp;Gas_(RP)7"/>
      <sheetName val="Setup_Variables7"/>
      <sheetName val="depn_summary987"/>
      <sheetName val="TB_Jun_037"/>
      <sheetName val="Th_20036"/>
      <sheetName val="5_yr_(Services_only)_Summary6"/>
      <sheetName val="Govt_BI6"/>
      <sheetName val="PETTY_CASH(IDR)(101-1)6"/>
      <sheetName val="PETTY_CASH_(USD)(101-2)6"/>
      <sheetName val="PETTY_CASH(JPY)(101-3)6"/>
      <sheetName val="CIVIC_1_7L(7ｶ国MA輸出)GKN同一6"/>
      <sheetName val="Permanent_info6"/>
      <sheetName val="To_Generate6"/>
      <sheetName val="Customize_Your_Purchase_Order6"/>
      <sheetName val="MA拠点CIVIC_1_6L10"/>
      <sheetName val="CIVIC_1_6L(7ｶ国MA単)ｺｽﾄ33"/>
      <sheetName val="CIVIC_1_6L(7ｶ国MA輸出)ｺｽﾄ32"/>
      <sheetName val="CIVIC_1_6L(7ｶ国+中国MA単)ｺｽﾄ32"/>
      <sheetName val="CIVIC_1_6L(7ｶ国+中国MA輸出)ｺｽﾄ32"/>
      <sheetName val="CIVIC_1_6L(7ｶ国+中国24万台+BH自国)ｺｽ32"/>
      <sheetName val="CIVIC_1_6L(7ｶ国+中国24万台+ＢＨ輸出)ｺｽ32"/>
      <sheetName val="中国⇒MA_1_6L(7ｶ国+中国全量鍛造)32"/>
      <sheetName val="Marshal_-132"/>
      <sheetName val="Customize_Your_Invoice13"/>
      <sheetName val="inf_BS12"/>
      <sheetName val="cogm_&amp;_PL12"/>
      <sheetName val="Irregular_Income9"/>
      <sheetName val="FE-1770_P19"/>
      <sheetName val="Dati_base9"/>
      <sheetName val="Elect_&amp;Gas_(RP)9"/>
      <sheetName val="Setup_Variables9"/>
      <sheetName val="depn_summary989"/>
      <sheetName val="TB_Jun_039"/>
      <sheetName val="Th_20038"/>
      <sheetName val="5_yr_(Services_only)_Summary8"/>
      <sheetName val="Govt_BI8"/>
      <sheetName val="PETTY_CASH(IDR)(101-1)8"/>
      <sheetName val="PETTY_CASH_(USD)(101-2)8"/>
      <sheetName val="PETTY_CASH(JPY)(101-3)8"/>
      <sheetName val="CIVIC_1_7L(7ｶ国MA輸出)GKN同一8"/>
      <sheetName val="Permanent_info8"/>
      <sheetName val="To_Generate8"/>
      <sheetName val="Customize_Your_Purchase_Order8"/>
      <sheetName val="MA拠点CIVIC_1_6L12"/>
      <sheetName val="CIVIC_1_6L(7ｶ国MA単)ｺｽﾄ35"/>
      <sheetName val="CIVIC_1_6L(7ｶ国MA輸出)ｺｽﾄ33"/>
      <sheetName val="CIVIC_1_6L(7ｶ国+中国MA単)ｺｽﾄ33"/>
      <sheetName val="CIVIC_1_6L(7ｶ国+中国MA輸出)ｺｽﾄ33"/>
      <sheetName val="CIVIC_1_6L(7ｶ国+中国24万台+BH自国)ｺｽ33"/>
      <sheetName val="CIVIC_1_6L(7ｶ国+中国24万台+ＢＨ輸出)ｺｽ33"/>
      <sheetName val="中国⇒MA_1_6L(7ｶ国+中国全量鍛造)33"/>
      <sheetName val="Marshal_-133"/>
      <sheetName val="Customize_Your_Invoice14"/>
      <sheetName val="inf_BS13"/>
      <sheetName val="cogm_&amp;_PL13"/>
      <sheetName val="Irregular_Income10"/>
      <sheetName val="FE-1770_P110"/>
      <sheetName val="Dati_base10"/>
      <sheetName val="Elect_&amp;Gas_(RP)10"/>
      <sheetName val="Setup_Variables10"/>
      <sheetName val="depn_summary9810"/>
      <sheetName val="TB_Jun_0310"/>
      <sheetName val="Th_20039"/>
      <sheetName val="5_yr_(Services_only)_Summary9"/>
      <sheetName val="Govt_BI9"/>
      <sheetName val="PETTY_CASH(IDR)(101-1)9"/>
      <sheetName val="PETTY_CASH_(USD)(101-2)9"/>
      <sheetName val="PETTY_CASH(JPY)(101-3)9"/>
      <sheetName val="CIVIC_1_7L(7ｶ国MA輸出)GKN同一9"/>
      <sheetName val="Permanent_info9"/>
      <sheetName val="To_Generate9"/>
      <sheetName val="Customize_Your_Purchase_Order9"/>
      <sheetName val="MA拠点CIVIC_1_6L13"/>
      <sheetName val="Categories"/>
      <sheetName val="summary-1"/>
      <sheetName val="WBS _2_salah"/>
      <sheetName val="co_data"/>
      <sheetName val="VENDOR - CROSS CLIENT INFO 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5"/>
      <sheetName val="Checker"/>
      <sheetName val="WBS__2_salah"/>
      <sheetName val="VENDOR_-_CROSS_CLIENT_INFO_"/>
      <sheetName val="Input"/>
      <sheetName val="GL40"/>
      <sheetName val="CIVIC_1_6L(7ｶ国MA単)ｺｽﾄ36"/>
      <sheetName val="CIVIC_1_6L(7ｶ国MA輸出)ｺｽﾄ35"/>
      <sheetName val="CIVIC_1_6L(7ｶ国+中国MA単)ｺｽﾄ35"/>
      <sheetName val="CIVIC_1_6L(7ｶ国+中国MA輸出)ｺｽﾄ35"/>
      <sheetName val="CIVIC_1_6L(7ｶ国+中国24万台+BH自国)ｺｽ35"/>
      <sheetName val="CIVIC_1_6L(7ｶ国+中国24万台+ＢＨ輸出)ｺｽ35"/>
      <sheetName val="中国⇒MA_1_6L(7ｶ国+中国全量鍛造)35"/>
      <sheetName val="Marshal_-135"/>
      <sheetName val="Customize_Your_Invoice15"/>
      <sheetName val="inf_BS14"/>
      <sheetName val="cogm_&amp;_PL14"/>
      <sheetName val="Irregular_Income11"/>
      <sheetName val="FE-1770_P111"/>
      <sheetName val="Elect_&amp;Gas_(RP)11"/>
      <sheetName val="Setup_Variables11"/>
      <sheetName val="Dati_base11"/>
      <sheetName val="depn_summary9811"/>
      <sheetName val="TB_Jun_0311"/>
      <sheetName val="Th_200310"/>
      <sheetName val="Govt_BI10"/>
      <sheetName val="5_yr_(Services_only)_Summary10"/>
      <sheetName val="PETTY_CASH(IDR)(101-1)10"/>
      <sheetName val="PETTY_CASH_(USD)(101-2)10"/>
      <sheetName val="PETTY_CASH(JPY)(101-3)10"/>
      <sheetName val="CIVIC_1_7L(7ｶ国MA輸出)GKN同一10"/>
      <sheetName val="Permanent_info10"/>
      <sheetName val="To_Generate10"/>
      <sheetName val="Customize_Your_Purchase_Order10"/>
      <sheetName val="MA拠点CIVIC_1_6L14"/>
      <sheetName val="Cover_Sheet"/>
      <sheetName val="26_INTEREST_LOAN"/>
      <sheetName val="BELO_Cash_Flow"/>
      <sheetName val="Phase2_movementDEC"/>
      <sheetName val="Phase1f_a_DEC"/>
      <sheetName val="Phase2_f_a_DEC_(2)"/>
      <sheetName val="CIVIC_1_6L(7ｶ国MA単)ｺｽﾄ37"/>
      <sheetName val="CIVIC_1_6L(7ｶ国MA輸出)ｺｽﾄ36"/>
      <sheetName val="CIVIC_1_6L(7ｶ国+中国MA単)ｺｽﾄ36"/>
      <sheetName val="CIVIC_1_6L(7ｶ国+中国MA輸出)ｺｽﾄ36"/>
      <sheetName val="CIVIC_1_6L(7ｶ国+中国24万台+BH自国)ｺｽ36"/>
      <sheetName val="CIVIC_1_6L(7ｶ国+中国24万台+ＢＨ輸出)ｺｽ36"/>
      <sheetName val="中国⇒MA_1_6L(7ｶ国+中国全量鍛造)36"/>
      <sheetName val="Marshal_-136"/>
      <sheetName val="Customize_Your_Invoice16"/>
      <sheetName val="inf_BS15"/>
      <sheetName val="cogm_&amp;_PL15"/>
      <sheetName val="Irregular_Income12"/>
      <sheetName val="FE-1770_P112"/>
      <sheetName val="Elect_&amp;Gas_(RP)12"/>
      <sheetName val="Setup_Variables12"/>
      <sheetName val="Dati_base12"/>
      <sheetName val="depn_summary9812"/>
      <sheetName val="TB_Jun_0312"/>
      <sheetName val="Th_200311"/>
      <sheetName val="Govt_BI11"/>
      <sheetName val="5_yr_(Services_only)_Summary11"/>
      <sheetName val="PETTY_CASH(IDR)(101-1)11"/>
      <sheetName val="PETTY_CASH_(USD)(101-2)11"/>
      <sheetName val="PETTY_CASH(JPY)(101-3)11"/>
      <sheetName val="CIVIC_1_7L(7ｶ国MA輸出)GKN同一11"/>
      <sheetName val="Permanent_info11"/>
      <sheetName val="To_Generate11"/>
      <sheetName val="Customize_Your_Purchase_Order11"/>
      <sheetName val="MA拠点CIVIC_1_6L15"/>
      <sheetName val="Cover_Sheet1"/>
      <sheetName val="26_INTEREST_LOAN1"/>
      <sheetName val="BELO_Cash_Flow1"/>
      <sheetName val="Phase2_movementDEC1"/>
      <sheetName val="Phase1f_a_DEC1"/>
      <sheetName val="Phase2_f_a_DEC_(2)1"/>
      <sheetName val="CIVIC_1_6L(7ｶ国MA単)ｺｽﾄ40"/>
      <sheetName val="CIVIC_1_6L(7ｶ国MA輸出)ｺｽﾄ38"/>
      <sheetName val="CIVIC_1_6L(7ｶ国+中国MA単)ｺｽﾄ38"/>
      <sheetName val="CIVIC_1_6L(7ｶ国+中国MA輸出)ｺｽﾄ38"/>
      <sheetName val="CIVIC_1_6L(7ｶ国+中国24万台+BH自国)ｺｽ38"/>
      <sheetName val="CIVIC_1_6L(7ｶ国+中国24万台+ＢＨ輸出)ｺｽ38"/>
      <sheetName val="中国⇒MA_1_6L(7ｶ国+中国全量鍛造)38"/>
      <sheetName val="Marshal_-138"/>
      <sheetName val="Customize_Your_Invoice18"/>
      <sheetName val="inf_BS17"/>
      <sheetName val="cogm_&amp;_PL17"/>
      <sheetName val="Irregular_Income14"/>
      <sheetName val="FE-1770_P114"/>
      <sheetName val="Dati_base14"/>
      <sheetName val="Elect_&amp;Gas_(RP)14"/>
      <sheetName val="Setup_Variables14"/>
      <sheetName val="depn_summary9814"/>
      <sheetName val="TB_Jun_0314"/>
      <sheetName val="Th_200313"/>
      <sheetName val="5_yr_(Services_only)_Summary13"/>
      <sheetName val="Govt_BI13"/>
      <sheetName val="PETTY_CASH(IDR)(101-1)13"/>
      <sheetName val="PETTY_CASH_(USD)(101-2)13"/>
      <sheetName val="PETTY_CASH(JPY)(101-3)13"/>
      <sheetName val="CIVIC_1_7L(7ｶ国MA輸出)GKN同一13"/>
      <sheetName val="Permanent_info13"/>
      <sheetName val="To_Generate13"/>
      <sheetName val="Customize_Your_Purchase_Order13"/>
      <sheetName val="MA拠点CIVIC_1_6L17"/>
      <sheetName val="Cover_Sheet3"/>
      <sheetName val="26_INTEREST_LOAN3"/>
      <sheetName val="BELO_Cash_Flow3"/>
      <sheetName val="Phase2_movementDEC3"/>
      <sheetName val="Phase1f_a_DEC3"/>
      <sheetName val="Phase2_f_a_DEC_(2)3"/>
      <sheetName val="CIVIC_1_6L(7ｶ国MA単)ｺｽﾄ38"/>
      <sheetName val="CIVIC_1_6L(7ｶ国MA輸出)ｺｽﾄ37"/>
      <sheetName val="CIVIC_1_6L(7ｶ国+中国MA単)ｺｽﾄ37"/>
      <sheetName val="CIVIC_1_6L(7ｶ国+中国MA輸出)ｺｽﾄ37"/>
      <sheetName val="CIVIC_1_6L(7ｶ国+中国24万台+BH自国)ｺｽ37"/>
      <sheetName val="CIVIC_1_6L(7ｶ国+中国24万台+ＢＨ輸出)ｺｽ37"/>
      <sheetName val="中国⇒MA_1_6L(7ｶ国+中国全量鍛造)37"/>
      <sheetName val="Marshal_-137"/>
      <sheetName val="Customize_Your_Invoice17"/>
      <sheetName val="inf_BS16"/>
      <sheetName val="cogm_&amp;_PL16"/>
      <sheetName val="Irregular_Income13"/>
      <sheetName val="FE-1770_P113"/>
      <sheetName val="Dati_base13"/>
      <sheetName val="Elect_&amp;Gas_(RP)13"/>
      <sheetName val="Setup_Variables13"/>
      <sheetName val="depn_summary9813"/>
      <sheetName val="TB_Jun_0313"/>
      <sheetName val="Th_200312"/>
      <sheetName val="5_yr_(Services_only)_Summary12"/>
      <sheetName val="Govt_BI12"/>
      <sheetName val="PETTY_CASH(IDR)(101-1)12"/>
      <sheetName val="PETTY_CASH_(USD)(101-2)12"/>
      <sheetName val="PETTY_CASH(JPY)(101-3)12"/>
      <sheetName val="CIVIC_1_7L(7ｶ国MA輸出)GKN同一12"/>
      <sheetName val="Permanent_info12"/>
      <sheetName val="To_Generate12"/>
      <sheetName val="Customize_Your_Purchase_Order12"/>
      <sheetName val="MA拠点CIVIC_1_6L16"/>
      <sheetName val="Cover_Sheet2"/>
      <sheetName val="26_INTEREST_LOAN2"/>
      <sheetName val="BELO_Cash_Flow2"/>
      <sheetName val="Phase2_movementDEC2"/>
      <sheetName val="Phase1f_a_DEC2"/>
      <sheetName val="Phase2_f_a_DEC_(2)2"/>
      <sheetName val="REF.ONLY"/>
      <sheetName val="2006"/>
      <sheetName val="BS"/>
      <sheetName val="為替推移"/>
      <sheetName val="Order"/>
      <sheetName val="Schedule"/>
      <sheetName val="Schedule OK Status"/>
      <sheetName val="rate"/>
      <sheetName val="C.1 CASH"/>
      <sheetName val="GLdownload"/>
      <sheetName val="Calculation"/>
      <sheetName val="EmpDat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Sheet2"/>
      <sheetName val="Sheet3"/>
      <sheetName val="Sheet4"/>
      <sheetName val="Sheet5"/>
      <sheetName val="KONSOL UNIT"/>
      <sheetName val="POMALAA"/>
      <sheetName val="FA FIS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SUD"/>
      <sheetName val="PRE"/>
      <sheetName val="Marshal -1"/>
      <sheetName val="D1"/>
      <sheetName val="D1.01"/>
      <sheetName val="Links"/>
      <sheetName val="Sheet1"/>
      <sheetName val="FIXED FLOAT"/>
      <sheetName val="Lists"/>
      <sheetName val="data_val"/>
      <sheetName val="Reference"/>
      <sheetName val="General Info"/>
      <sheetName val="DES 02"/>
      <sheetName val="Monthly Data"/>
      <sheetName val="1 LeadSchedul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M (2)"/>
      <sheetName val="ESTM PASTE2"/>
      <sheetName val="ESTM PAST"/>
      <sheetName val="DES"/>
      <sheetName val="export"/>
      <sheetName val="Gambar"/>
      <sheetName val="Sheet1"/>
      <sheetName val="Koperasi Prod"/>
      <sheetName val="RKP Koperasi"/>
      <sheetName val="RKP GAB"/>
      <sheetName val="RKP Non DB "/>
      <sheetName val="prod.non db"/>
      <sheetName val="NON DB"/>
      <sheetName val="RKP-DB"/>
      <sheetName val="prod-db"/>
      <sheetName val="DB"/>
      <sheetName val="RKP Tangerang-DB"/>
      <sheetName val="prod-tgr"/>
      <sheetName val="Tangerang (DB)"/>
      <sheetName val="CODE"/>
      <sheetName val="Sheet2"/>
      <sheetName val="nota lx-300"/>
      <sheetName val="LQ 2170"/>
      <sheetName val="Level 1-3 Listing"/>
      <sheetName val="Tangerang _x0010__x0000_(_x0006_"/>
      <sheetName val="Tangerang _x0010_"/>
      <sheetName val="Tangerang _x0010_?(_x0006_"/>
      <sheetName val="Rekap"/>
      <sheetName val="harga"/>
      <sheetName val="RumusTB 1 bln"/>
      <sheetName val="Tangerang _x0010__(_x0006_"/>
      <sheetName val="GD-BB Kt. A"/>
      <sheetName val="data_val"/>
      <sheetName val="COA"/>
      <sheetName val="Trial Balance"/>
      <sheetName val="Input"/>
      <sheetName val="TB98,oct99&amp;sap99-WPL"/>
      <sheetName val="TB"/>
      <sheetName val="analis"/>
      <sheetName val="CUP ERJEPIT"/>
      <sheetName val="HOLDING-TB"/>
      <sheetName val="Marshal -1"/>
      <sheetName val="Data"/>
      <sheetName val="Fill this out first..."/>
      <sheetName val="SALE_022004"/>
      <sheetName val="co_data"/>
      <sheetName val="Tangerang _x005f_x0010__x005f_x0000_(_x0006"/>
      <sheetName val="Tangerang _x005f_x0010_"/>
      <sheetName val="Tangerang _x005f_x0010_?(_x005f_x0006_"/>
      <sheetName val="Tangerang _x005f_x0010__(_x005f_x0006_"/>
      <sheetName val="Module2"/>
      <sheetName val="Tangerang _x005f_x005f_x005f_x0010__(_x005f"/>
      <sheetName val="Tangerang _x005f_x005f_x005f_x0010_"/>
      <sheetName val="Tangerang _x005f_x005f_x005f_x0010__x005f_x005f_x"/>
      <sheetName val="A"/>
      <sheetName val="Summary PL 2012"/>
      <sheetName val="Detail PL"/>
      <sheetName val="PL Detail (3)"/>
      <sheetName val="Detail BS"/>
      <sheetName val="MASTKIRA (Ok -PBA)"/>
      <sheetName val="Summary PL 2013"/>
      <sheetName val="Performance_Assumptions"/>
      <sheetName val="MW"/>
      <sheetName val="MNK"/>
      <sheetName val="Sheet3"/>
      <sheetName val="Tangerang _x005f_x005f_x005f_x0010_?(_x005f"/>
      <sheetName val="Parameter"/>
      <sheetName val="Elektrikal"/>
      <sheetName val="audit"/>
      <sheetName val="repmat"/>
      <sheetName val="GeneralInfo"/>
      <sheetName val="Crop"/>
      <sheetName val="Reserved"/>
      <sheetName val="15"/>
      <sheetName val="16"/>
      <sheetName val="17"/>
      <sheetName val="18"/>
      <sheetName val="19"/>
      <sheetName val="22"/>
      <sheetName val="23"/>
      <sheetName val="5"/>
      <sheetName val="9"/>
      <sheetName val="10"/>
      <sheetName val="11"/>
      <sheetName val="12"/>
      <sheetName val="LOKASI"/>
      <sheetName val="pricing"/>
      <sheetName val="Rate"/>
      <sheetName val="WS PAJAK"/>
      <sheetName val="Jrnl_Kas"/>
      <sheetName val="PARAMETERS"/>
      <sheetName val="CIVIC 1.6L(7ｶ国MA輸出)ｺｽﾄ"/>
      <sheetName val="Bobot rev"/>
      <sheetName val="General Info"/>
      <sheetName val="MasterSheet"/>
      <sheetName val="Ref"/>
      <sheetName val="Cost Ctr"/>
      <sheetName val="data_ee_&lt;nra(2)"/>
      <sheetName val="budget idr"/>
      <sheetName val="Tangerang _x0010__x0000_(_x0006"/>
      <sheetName val="Tangerang _x005f_x0010__x"/>
      <sheetName val="Tangerang _x005f_x0010__(_x005f"/>
      <sheetName val="Area Statement Dec 2010"/>
      <sheetName val="Value"/>
      <sheetName val="PS"/>
      <sheetName val="Upkeep Cost"/>
      <sheetName val="aug"/>
      <sheetName val="PIK_QUO"/>
      <sheetName val="Tangerang _x005f_x005f_x005f_x005f_x005f_x005f_x0"/>
      <sheetName val="BS"/>
      <sheetName val="List-Value"/>
      <sheetName val="Frontsheet "/>
      <sheetName val="HITUNG"/>
      <sheetName val="Consolidated"/>
      <sheetName val="Ranges"/>
      <sheetName val="KASUS5"/>
      <sheetName val="DAFTAR HARGA"/>
      <sheetName val="FE-1770-I"/>
      <sheetName val="FE-1770.P1"/>
      <sheetName val="FE-1770-II"/>
      <sheetName val="List Area"/>
      <sheetName val="rupiah"/>
      <sheetName val="rkp"/>
      <sheetName val="HS"/>
      <sheetName val="2A"/>
      <sheetName val="Cover"/>
      <sheetName val="LOOKUP"/>
      <sheetName val="BOQ"/>
      <sheetName val="Elemental Breakdown+20%"/>
      <sheetName val="HRG BHN"/>
      <sheetName val="harsat"/>
      <sheetName val="Fill this out first___"/>
      <sheetName val="Marshal"/>
      <sheetName val="BS Assumptions"/>
      <sheetName val="AJE&amp;RJE"/>
      <sheetName val="trf-d-w"/>
      <sheetName val="trf d-i"/>
      <sheetName val="FS"/>
      <sheetName val="Lists"/>
      <sheetName val="FSN"/>
      <sheetName val="Inputs"/>
      <sheetName val="MAIN"/>
      <sheetName val="ESTM_(2)"/>
      <sheetName val="ESTM_PASTE2"/>
      <sheetName val="ESTM_PAST"/>
      <sheetName val="Koperasi_Prod"/>
      <sheetName val="RKP_Koperasi"/>
      <sheetName val="RKP_GAB"/>
      <sheetName val="RKP_Non_DB_"/>
      <sheetName val="prod_non_db"/>
      <sheetName val="NON_DB"/>
      <sheetName val="RKP_Tangerang-DB"/>
      <sheetName val="Tangerang_(DB)"/>
      <sheetName val="nota_lx-300"/>
      <sheetName val="LQ_2170"/>
      <sheetName val="Marshal_-1"/>
      <sheetName val="Tangerang_("/>
      <sheetName val="Tangerang_"/>
      <sheetName val="Tangerang_?("/>
      <sheetName val="Level_1-3_Listing"/>
      <sheetName val="RumusTB_1_bln"/>
      <sheetName val="Tangerang__("/>
      <sheetName val="GD-BB_Kt__A"/>
      <sheetName val="Trial_Balance"/>
      <sheetName val="CUP_ERJEPIT"/>
      <sheetName val="Fill_this_out_first___"/>
      <sheetName val="Tangerang__x005f_x0010__x005f_x0000_(_x0006"/>
      <sheetName val="Tangerang__x005f_x0010_"/>
      <sheetName val="Tangerang__x005f_x0010_?(_x005f_x0006_"/>
      <sheetName val="Tangerang__x005f_x0010__(_x005f_x0006_"/>
      <sheetName val="Tangerang__x005f_x005f_x005f_x0010__x005f_x005f_x"/>
      <sheetName val="Tangerang__x005f_x005f_x005f_x0010_"/>
      <sheetName val="Tangerang__x005f_x005f_x005f_x0010_?(_x005f"/>
      <sheetName val="Tangerang__x005f_x005f_x005f_x0010__(_x005f"/>
      <sheetName val="Summary_PL_2012"/>
      <sheetName val="Detail_PL"/>
      <sheetName val="PL_Detail_(3)"/>
      <sheetName val="Detail_BS"/>
      <sheetName val="MASTKIRA_(Ok_-PBA)"/>
      <sheetName val="Summary_PL_2013"/>
      <sheetName val="Area_Statement_Dec_2010"/>
      <sheetName val="Upkeep_Cost"/>
      <sheetName val="Tangerang__x005f_x005f_x005f_x005f_x005f_x005f_x0"/>
      <sheetName val="Path List - 300 Macro+28 Inbuil"/>
      <sheetName val="Curr, Site Names, Flex conf"/>
      <sheetName val="ESTM_(2)1"/>
      <sheetName val="ESTM_PASTE21"/>
      <sheetName val="ESTM_PAST1"/>
      <sheetName val="Koperasi_Prod1"/>
      <sheetName val="RKP_Koperasi1"/>
      <sheetName val="RKP_GAB1"/>
      <sheetName val="RKP_Non_DB_1"/>
      <sheetName val="prod_non_db1"/>
      <sheetName val="NON_DB1"/>
      <sheetName val="RKP_Tangerang-DB1"/>
      <sheetName val="Tangerang_(DB)1"/>
      <sheetName val="nota_lx-3001"/>
      <sheetName val="LQ_21701"/>
      <sheetName val="Level_1-3_Listing1"/>
      <sheetName val="GD-BB_Kt__A1"/>
      <sheetName val="RumusTB_1_bln1"/>
      <sheetName val="Trial_Balance1"/>
      <sheetName val="ESTM_(2)2"/>
      <sheetName val="ESTM_PASTE22"/>
      <sheetName val="ESTM_PAST2"/>
      <sheetName val="Koperasi_Prod2"/>
      <sheetName val="RKP_Koperasi2"/>
      <sheetName val="RKP_GAB2"/>
      <sheetName val="RKP_Non_DB_2"/>
      <sheetName val="prod_non_db2"/>
      <sheetName val="NON_DB2"/>
      <sheetName val="RKP_Tangerang-DB2"/>
      <sheetName val="Tangerang_(DB)2"/>
      <sheetName val="nota_lx-3002"/>
      <sheetName val="LQ_21702"/>
      <sheetName val="Level_1-3_Listing2"/>
      <sheetName val="GD-BB_Kt__A2"/>
      <sheetName val="RumusTB_1_bln2"/>
      <sheetName val="Trial_Balance2"/>
      <sheetName val="XXX"/>
      <sheetName val="PRO"/>
      <sheetName val="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COMB"/>
      <sheetName val="GL"/>
      <sheetName val="LOOKUP"/>
      <sheetName val="CIVIC 1.6L(7ｶ国MA輸出)ｺｽﾄ"/>
      <sheetName val="RM"/>
      <sheetName val="B.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analysis"/>
      <sheetName val="Summary"/>
      <sheetName val="VAT 1-98 to 12-98"/>
      <sheetName val="IN RETURN NOT BOOKED"/>
      <sheetName val="INP-FARMER USE"/>
      <sheetName val="Customize Your Invoice"/>
      <sheetName val="Invoice"/>
      <sheetName val="Amor1"/>
      <sheetName val="Summary_1998"/>
      <sheetName val="Rec_to_control_sheet"/>
      <sheetName val="vat_status"/>
      <sheetName val="Summary_1997"/>
      <sheetName val="VAT_1-98_to_12-98"/>
      <sheetName val="IN_RETURN_NOT_BOOKED"/>
      <sheetName val="data_val"/>
      <sheetName val="Summary_19981"/>
      <sheetName val="Rec_to_control_sheet1"/>
      <sheetName val="vat_status1"/>
      <sheetName val="Summary_19971"/>
      <sheetName val="VAT_1-98_to_12-981"/>
      <sheetName val="IN_RETURN_NOT_BOOKED1"/>
      <sheetName val="INP-FARMER_USE"/>
      <sheetName val="Customize_Your_Invoice"/>
      <sheetName val="CIVIC 1.6L(7ｶ国MA輸出)ｺｽﾄ"/>
      <sheetName val="cogm"/>
      <sheetName val="Profit loss"/>
      <sheetName val="Info Balance"/>
      <sheetName val="Input"/>
      <sheetName val="CODE"/>
      <sheetName val="Checker"/>
      <sheetName val="CIVIC 1.6L(7??MA??)???"/>
      <sheetName val="Summary_19987"/>
      <sheetName val="Rec_to_control_sheet7"/>
      <sheetName val="vat_status7"/>
      <sheetName val="Summary_19977"/>
      <sheetName val="VAT_1-98_to_12-987"/>
      <sheetName val="IN_RETURN_NOT_BOOKED7"/>
      <sheetName val="INP-FARMER_USE6"/>
      <sheetName val="Customize_Your_Invoice6"/>
      <sheetName val="CIVIC_1_6L(7ｶ国MA輸出)ｺｽﾄ5"/>
      <sheetName val="Profit_loss5"/>
      <sheetName val="Info_Balance5"/>
      <sheetName val="Summary_19982"/>
      <sheetName val="Rec_to_control_sheet2"/>
      <sheetName val="vat_status2"/>
      <sheetName val="Summary_19972"/>
      <sheetName val="VAT_1-98_to_12-982"/>
      <sheetName val="IN_RETURN_NOT_BOOKED2"/>
      <sheetName val="INP-FARMER_USE1"/>
      <sheetName val="Customize_Your_Invoice1"/>
      <sheetName val="CIVIC_1_6L(7ｶ国MA輸出)ｺｽﾄ"/>
      <sheetName val="Profit_loss"/>
      <sheetName val="Info_Balance"/>
      <sheetName val="Summary_19984"/>
      <sheetName val="Rec_to_control_sheet4"/>
      <sheetName val="vat_status4"/>
      <sheetName val="Summary_19974"/>
      <sheetName val="VAT_1-98_to_12-984"/>
      <sheetName val="IN_RETURN_NOT_BOOKED4"/>
      <sheetName val="INP-FARMER_USE3"/>
      <sheetName val="Customize_Your_Invoice3"/>
      <sheetName val="CIVIC_1_6L(7ｶ国MA輸出)ｺｽﾄ2"/>
      <sheetName val="Profit_loss2"/>
      <sheetName val="Info_Balance2"/>
      <sheetName val="Summary_19983"/>
      <sheetName val="Rec_to_control_sheet3"/>
      <sheetName val="vat_status3"/>
      <sheetName val="Summary_19973"/>
      <sheetName val="VAT_1-98_to_12-983"/>
      <sheetName val="IN_RETURN_NOT_BOOKED3"/>
      <sheetName val="INP-FARMER_USE2"/>
      <sheetName val="Customize_Your_Invoice2"/>
      <sheetName val="CIVIC_1_6L(7ｶ国MA輸出)ｺｽﾄ1"/>
      <sheetName val="Profit_loss1"/>
      <sheetName val="Info_Balance1"/>
      <sheetName val="Summary_19985"/>
      <sheetName val="Rec_to_control_sheet5"/>
      <sheetName val="vat_status5"/>
      <sheetName val="Summary_19975"/>
      <sheetName val="VAT_1-98_to_12-985"/>
      <sheetName val="IN_RETURN_NOT_BOOKED5"/>
      <sheetName val="INP-FARMER_USE4"/>
      <sheetName val="Customize_Your_Invoice4"/>
      <sheetName val="CIVIC_1_6L(7ｶ国MA輸出)ｺｽﾄ3"/>
      <sheetName val="Profit_loss3"/>
      <sheetName val="Info_Balance3"/>
      <sheetName val="Summary_19986"/>
      <sheetName val="Rec_to_control_sheet6"/>
      <sheetName val="vat_status6"/>
      <sheetName val="Summary_19976"/>
      <sheetName val="VAT_1-98_to_12-986"/>
      <sheetName val="IN_RETURN_NOT_BOOKED6"/>
      <sheetName val="INP-FARMER_USE5"/>
      <sheetName val="Customize_Your_Invoice5"/>
      <sheetName val="CIVIC_1_6L(7ｶ国MA輸出)ｺｽﾄ4"/>
      <sheetName val="Profit_loss4"/>
      <sheetName val="Info_Balance4"/>
      <sheetName val="Summary_199810"/>
      <sheetName val="Rec_to_control_sheet10"/>
      <sheetName val="vat_status10"/>
      <sheetName val="Summary_199710"/>
      <sheetName val="VAT_1-98_to_12-9810"/>
      <sheetName val="IN_RETURN_NOT_BOOKED10"/>
      <sheetName val="INP-FARMER_USE9"/>
      <sheetName val="Customize_Your_Invoice9"/>
      <sheetName val="CIVIC_1_6L(7ｶ国MA輸出)ｺｽﾄ8"/>
      <sheetName val="Profit_loss8"/>
      <sheetName val="Info_Balance8"/>
      <sheetName val="Summary_19988"/>
      <sheetName val="Rec_to_control_sheet8"/>
      <sheetName val="vat_status8"/>
      <sheetName val="Summary_19978"/>
      <sheetName val="VAT_1-98_to_12-988"/>
      <sheetName val="IN_RETURN_NOT_BOOKED8"/>
      <sheetName val="INP-FARMER_USE7"/>
      <sheetName val="Customize_Your_Invoice7"/>
      <sheetName val="CIVIC_1_6L(7ｶ国MA輸出)ｺｽﾄ6"/>
      <sheetName val="Profit_loss6"/>
      <sheetName val="Info_Balance6"/>
      <sheetName val="Summary_19989"/>
      <sheetName val="Rec_to_control_sheet9"/>
      <sheetName val="vat_status9"/>
      <sheetName val="Summary_19979"/>
      <sheetName val="VAT_1-98_to_12-989"/>
      <sheetName val="IN_RETURN_NOT_BOOKED9"/>
      <sheetName val="INP-FARMER_USE8"/>
      <sheetName val="Customize_Your_Invoice8"/>
      <sheetName val="CIVIC_1_6L(7ｶ国MA輸出)ｺｽﾄ7"/>
      <sheetName val="Profit_loss7"/>
      <sheetName val="Info_Balance7"/>
      <sheetName val="Summary_199813"/>
      <sheetName val="Rec_to_control_sheet13"/>
      <sheetName val="vat_status13"/>
      <sheetName val="Summary_199713"/>
      <sheetName val="VAT_1-98_to_12-9813"/>
      <sheetName val="IN_RETURN_NOT_BOOKED13"/>
      <sheetName val="INP-FARMER_USE12"/>
      <sheetName val="Customize_Your_Invoice12"/>
      <sheetName val="CIVIC_1_6L(7ｶ国MA輸出)ｺｽﾄ11"/>
      <sheetName val="Profit_loss11"/>
      <sheetName val="Info_Balance11"/>
      <sheetName val="Summary_199812"/>
      <sheetName val="Rec_to_control_sheet12"/>
      <sheetName val="vat_status12"/>
      <sheetName val="Summary_199712"/>
      <sheetName val="VAT_1-98_to_12-9812"/>
      <sheetName val="IN_RETURN_NOT_BOOKED12"/>
      <sheetName val="INP-FARMER_USE11"/>
      <sheetName val="Customize_Your_Invoice11"/>
      <sheetName val="CIVIC_1_6L(7ｶ国MA輸出)ｺｽﾄ10"/>
      <sheetName val="Profit_loss10"/>
      <sheetName val="Info_Balance10"/>
      <sheetName val="Summary_199811"/>
      <sheetName val="Rec_to_control_sheet11"/>
      <sheetName val="vat_status11"/>
      <sheetName val="Summary_199711"/>
      <sheetName val="VAT_1-98_to_12-9811"/>
      <sheetName val="IN_RETURN_NOT_BOOKED11"/>
      <sheetName val="INP-FARMER_USE10"/>
      <sheetName val="Customize_Your_Invoice10"/>
      <sheetName val="CIVIC_1_6L(7ｶ国MA輸出)ｺｽﾄ9"/>
      <sheetName val="Profit_loss9"/>
      <sheetName val="Info_Balance9"/>
      <sheetName val="CIVIC 1.6L(7__MA__)___"/>
      <sheetName val="co_data"/>
      <sheetName val="CIVIC_1_6L(7??MA??)???"/>
      <sheetName val="Summary_199814"/>
      <sheetName val="Rec_to_control_sheet14"/>
      <sheetName val="vat_status14"/>
      <sheetName val="Summary_199714"/>
      <sheetName val="VAT_1-98_to_12-9814"/>
      <sheetName val="IN_RETURN_NOT_BOOKED14"/>
      <sheetName val="INP-FARMER_USE13"/>
      <sheetName val="Customize_Your_Invoice13"/>
      <sheetName val="CIVIC_1_6L(7ｶ国MA輸出)ｺｽﾄ12"/>
      <sheetName val="Profit_loss12"/>
      <sheetName val="Info_Balance12"/>
      <sheetName val="CIVIC_1_6L(7??MA??)???2"/>
      <sheetName val="CIVIC_1_6L(7??MA??)???1"/>
      <sheetName val="CIVIC_1_6L(7__MA__)___"/>
      <sheetName val="COGM&amp;PL'13"/>
      <sheetName val="CIVIC_1_6L(7??MA??)???5"/>
      <sheetName val="CIVIC_1_6L(7??MA??)???3"/>
      <sheetName val="CIVIC_1_6L(7??MA??)???4"/>
      <sheetName val="CIVIC_1_6L(7??MA??)???8"/>
      <sheetName val="CIVIC_1_6L(7??MA??)???6"/>
      <sheetName val="CIVIC_1_6L(7??MA??)???7"/>
      <sheetName val="CIVIC_1_6L(7??MA??)???11"/>
      <sheetName val="CIVIC_1_6L(7??MA??)???10"/>
      <sheetName val="CIVIC_1_6L(7??MA??)???9"/>
      <sheetName val="COSTCODE"/>
      <sheetName val="Prm"/>
      <sheetName val="CIVIC_1_6L(7__MA__)___2"/>
      <sheetName val="CIVIC_1_6L(7__MA__)___1"/>
      <sheetName val="master"/>
      <sheetName val="Codes"/>
      <sheetName val="Marshal"/>
      <sheetName val="chemcal"/>
      <sheetName val="COGM Statement (5)"/>
      <sheetName val="COGS"/>
      <sheetName val="Ist"/>
      <sheetName val="BS June 2014"/>
      <sheetName val="COGM June 2014"/>
      <sheetName val="INCOME 2012"/>
      <sheetName val="A1-B ASSET"/>
      <sheetName val="CIVIC_1_6L(7__MA__)___5"/>
      <sheetName val="CIVIC_1_6L(7__MA__)___3"/>
      <sheetName val="CIVIC_1_6L(7__MA__)___4"/>
      <sheetName val="CIVIC_1_6L(7__MA__)___8"/>
      <sheetName val="CIVIC_1_6L(7__MA__)___6"/>
      <sheetName val="CIVIC_1_6L(7__MA__)___7"/>
      <sheetName val="CIVIC_1_6L(7__MA__)___11"/>
      <sheetName val="CIVIC_1_6L(7__MA__)___10"/>
      <sheetName val="CIVIC_1_6L(7__MA__)___9"/>
      <sheetName val="Summary_199815"/>
      <sheetName val="Rec_to_control_sheet15"/>
      <sheetName val="vat_status15"/>
      <sheetName val="Summary_199715"/>
      <sheetName val="VAT_1-98_to_12-9815"/>
      <sheetName val="IN_RETURN_NOT_BOOKED15"/>
      <sheetName val="INP-FARMER_USE14"/>
      <sheetName val="Customize_Your_Invoice14"/>
      <sheetName val="CIVIC_1_6L(7ｶ国MA輸出)ｺｽﾄ13"/>
      <sheetName val="Profit_loss13"/>
      <sheetName val="Info_Balance13"/>
      <sheetName val="CIVIC_1_6L(7??MA??)???12"/>
      <sheetName val="COGM_Statement_(5)"/>
      <sheetName val="COA"/>
      <sheetName val="Marshal-SPT"/>
      <sheetName val="Codestable"/>
      <sheetName val="Effort.A"/>
      <sheetName val="Effort.P"/>
      <sheetName val="Proj Summ"/>
      <sheetName val="PPH"/>
      <sheetName val="CIVIC_1_6L(7__MA__)___12"/>
      <sheetName val="cogm1214"/>
      <sheetName val="Profit loss1214"/>
      <sheetName val="TB1214"/>
      <sheetName val="General Info"/>
      <sheetName val="Customize Your Purchase Order"/>
      <sheetName val="CIVIC_1_6L(7??MA??)???13"/>
      <sheetName val="FS (2)"/>
      <sheetName val="GL"/>
      <sheetName val="LOOKUP"/>
      <sheetName val="#3"/>
      <sheetName val="Summary_199816"/>
      <sheetName val="Rec_to_control_sheet16"/>
      <sheetName val="vat_status16"/>
      <sheetName val="Summary_199716"/>
      <sheetName val="VAT_1-98_to_12-9816"/>
      <sheetName val="IN_RETURN_NOT_BOOKED16"/>
      <sheetName val="INP-FARMER_USE15"/>
      <sheetName val="Customize_Your_Invoice15"/>
      <sheetName val="CIVIC_1_6L(7ｶ国MA輸出)ｺｽﾄ14"/>
      <sheetName val="Profit_loss14"/>
      <sheetName val="Info_Balance14"/>
      <sheetName val="CIVIC_1_6L(7__MA__)___13"/>
      <sheetName val="co_code"/>
      <sheetName val="COGM_Statement_(5)1"/>
      <sheetName val="BS_June_2014"/>
      <sheetName val="COGM_June_2014"/>
      <sheetName val="INCOME_2012"/>
      <sheetName val="A1-B_ASSET"/>
      <sheetName val="Effort_A"/>
      <sheetName val="Effort_P"/>
      <sheetName val="Proj_Summ"/>
      <sheetName val="Summary_199817"/>
      <sheetName val="Rec_to_control_sheet17"/>
      <sheetName val="vat_status17"/>
      <sheetName val="Summary_199717"/>
      <sheetName val="VAT_1-98_to_12-9817"/>
      <sheetName val="IN_RETURN_NOT_BOOKED17"/>
      <sheetName val="INP-FARMER_USE16"/>
      <sheetName val="Customize_Your_Invoice16"/>
      <sheetName val="CIVIC_1_6L(7ｶ国MA輸出)ｺｽﾄ15"/>
      <sheetName val="Profit_loss15"/>
      <sheetName val="Info_Balance15"/>
      <sheetName val="CIVIC_1_6L(7??MA??)???14"/>
      <sheetName val="COGM_Statement_(5)2"/>
      <sheetName val="BS_June_20141"/>
      <sheetName val="COGM_June_20141"/>
      <sheetName val="INCOME_20121"/>
      <sheetName val="A1-B_ASSET1"/>
      <sheetName val="Effort_A1"/>
      <sheetName val="Effort_P1"/>
      <sheetName val="Proj_Summ1"/>
      <sheetName val="Summary_199818"/>
      <sheetName val="Rec_to_control_sheet18"/>
      <sheetName val="vat_status18"/>
      <sheetName val="Summary_199718"/>
      <sheetName val="VAT_1-98_to_12-9818"/>
      <sheetName val="IN_RETURN_NOT_BOOKED18"/>
      <sheetName val="INP-FARMER_USE17"/>
      <sheetName val="Customize_Your_Invoice17"/>
      <sheetName val="CIVIC_1_6L(7ｶ国MA輸出)ｺｽﾄ16"/>
      <sheetName val="Profit_loss16"/>
      <sheetName val="Info_Balance16"/>
      <sheetName val="CIVIC_1_6L(7??MA??)???15"/>
      <sheetName val="CIVIC_1_6L(7__MA__)___14"/>
      <sheetName val="COGM_Statement_(5)3"/>
      <sheetName val="BS_June_20142"/>
      <sheetName val="COGM_June_20142"/>
      <sheetName val="INCOME_20122"/>
      <sheetName val="A1-B_ASSET2"/>
      <sheetName val="Effort_A2"/>
      <sheetName val="Effort_P2"/>
      <sheetName val="Proj_Summ2"/>
      <sheetName val="Summary_199819"/>
      <sheetName val="Rec_to_control_sheet19"/>
      <sheetName val="vat_status19"/>
      <sheetName val="Summary_199719"/>
      <sheetName val="VAT_1-98_to_12-9819"/>
      <sheetName val="IN_RETURN_NOT_BOOKED19"/>
      <sheetName val="INP-FARMER_USE18"/>
      <sheetName val="Customize_Your_Invoice18"/>
      <sheetName val="CIVIC_1_6L(7ｶ国MA輸出)ｺｽﾄ17"/>
      <sheetName val="Profit_loss17"/>
      <sheetName val="Info_Balance17"/>
      <sheetName val="CIVIC_1_6L(7??MA??)???16"/>
      <sheetName val="CIVIC_1_6L(7__MA__)___15"/>
      <sheetName val="COGM_Statement_(5)4"/>
      <sheetName val="BS_June_20143"/>
      <sheetName val="COGM_June_20143"/>
      <sheetName val="INCOME_20123"/>
      <sheetName val="A1-B_ASSET3"/>
      <sheetName val="Effort_A3"/>
      <sheetName val="Effort_P3"/>
      <sheetName val="Proj_Summ3"/>
      <sheetName val="Summary_199823"/>
      <sheetName val="Rec_to_control_sheet23"/>
      <sheetName val="vat_status23"/>
      <sheetName val="Summary_199723"/>
      <sheetName val="VAT_1-98_to_12-9823"/>
      <sheetName val="IN_RETURN_NOT_BOOKED23"/>
      <sheetName val="INP-FARMER_USE22"/>
      <sheetName val="Customize_Your_Invoice22"/>
      <sheetName val="CIVIC_1_6L(7ｶ国MA輸出)ｺｽﾄ21"/>
      <sheetName val="Profit_loss21"/>
      <sheetName val="Info_Balance21"/>
      <sheetName val="CIVIC_1_6L(7??MA??)???20"/>
      <sheetName val="CIVIC_1_6L(7__MA__)___19"/>
      <sheetName val="COGM_Statement_(5)8"/>
      <sheetName val="BS_June_20147"/>
      <sheetName val="COGM_June_20147"/>
      <sheetName val="INCOME_20127"/>
      <sheetName val="A1-B_ASSET7"/>
      <sheetName val="Effort_A7"/>
      <sheetName val="Effort_P7"/>
      <sheetName val="Proj_Summ7"/>
      <sheetName val="Summary_199820"/>
      <sheetName val="Rec_to_control_sheet20"/>
      <sheetName val="vat_status20"/>
      <sheetName val="Summary_199720"/>
      <sheetName val="VAT_1-98_to_12-9820"/>
      <sheetName val="IN_RETURN_NOT_BOOKED20"/>
      <sheetName val="INP-FARMER_USE19"/>
      <sheetName val="Customize_Your_Invoice19"/>
      <sheetName val="CIVIC_1_6L(7ｶ国MA輸出)ｺｽﾄ18"/>
      <sheetName val="Profit_loss18"/>
      <sheetName val="Info_Balance18"/>
      <sheetName val="CIVIC_1_6L(7??MA??)???17"/>
      <sheetName val="CIVIC_1_6L(7__MA__)___16"/>
      <sheetName val="COGM_Statement_(5)5"/>
      <sheetName val="BS_June_20144"/>
      <sheetName val="COGM_June_20144"/>
      <sheetName val="INCOME_20124"/>
      <sheetName val="A1-B_ASSET4"/>
      <sheetName val="Effort_A4"/>
      <sheetName val="Effort_P4"/>
      <sheetName val="Proj_Summ4"/>
      <sheetName val="Summary_199821"/>
      <sheetName val="Rec_to_control_sheet21"/>
      <sheetName val="vat_status21"/>
      <sheetName val="Summary_199721"/>
      <sheetName val="VAT_1-98_to_12-9821"/>
      <sheetName val="IN_RETURN_NOT_BOOKED21"/>
      <sheetName val="INP-FARMER_USE20"/>
      <sheetName val="Customize_Your_Invoice20"/>
      <sheetName val="CIVIC_1_6L(7ｶ国MA輸出)ｺｽﾄ19"/>
      <sheetName val="Profit_loss19"/>
      <sheetName val="Info_Balance19"/>
      <sheetName val="CIVIC_1_6L(7??MA??)???18"/>
      <sheetName val="CIVIC_1_6L(7__MA__)___17"/>
      <sheetName val="COGM_Statement_(5)6"/>
      <sheetName val="BS_June_20145"/>
      <sheetName val="COGM_June_20145"/>
      <sheetName val="INCOME_20125"/>
      <sheetName val="A1-B_ASSET5"/>
      <sheetName val="Effort_A5"/>
      <sheetName val="Effort_P5"/>
      <sheetName val="Proj_Summ5"/>
      <sheetName val="Summary_199822"/>
      <sheetName val="Rec_to_control_sheet22"/>
      <sheetName val="vat_status22"/>
      <sheetName val="Summary_199722"/>
      <sheetName val="VAT_1-98_to_12-9822"/>
      <sheetName val="IN_RETURN_NOT_BOOKED22"/>
      <sheetName val="INP-FARMER_USE21"/>
      <sheetName val="Customize_Your_Invoice21"/>
      <sheetName val="CIVIC_1_6L(7ｶ国MA輸出)ｺｽﾄ20"/>
      <sheetName val="Profit_loss20"/>
      <sheetName val="Info_Balance20"/>
      <sheetName val="CIVIC_1_6L(7??MA??)???19"/>
      <sheetName val="CIVIC_1_6L(7__MA__)___18"/>
      <sheetName val="COGM_Statement_(5)7"/>
      <sheetName val="BS_June_20146"/>
      <sheetName val="COGM_June_20146"/>
      <sheetName val="INCOME_20126"/>
      <sheetName val="A1-B_ASSET6"/>
      <sheetName val="Effort_A6"/>
      <sheetName val="Effort_P6"/>
      <sheetName val="Proj_Summ6"/>
      <sheetName val="Summary_199824"/>
      <sheetName val="Rec_to_control_sheet24"/>
      <sheetName val="vat_status24"/>
      <sheetName val="Summary_199724"/>
      <sheetName val="VAT_1-98_to_12-9824"/>
      <sheetName val="IN_RETURN_NOT_BOOKED24"/>
      <sheetName val="INP-FARMER_USE23"/>
      <sheetName val="Customize_Your_Invoice23"/>
      <sheetName val="CIVIC_1_6L(7ｶ国MA輸出)ｺｽﾄ22"/>
      <sheetName val="Profit_loss22"/>
      <sheetName val="Info_Balance22"/>
      <sheetName val="CIVIC_1_6L(7??MA??)???21"/>
      <sheetName val="CIVIC_1_6L(7__MA__)___20"/>
      <sheetName val="COGM_Statement_(5)9"/>
      <sheetName val="BS_June_20148"/>
      <sheetName val="COGM_June_20148"/>
      <sheetName val="INCOME_20128"/>
      <sheetName val="A1-B_ASSET8"/>
      <sheetName val="Effort_A8"/>
      <sheetName val="Effort_P8"/>
      <sheetName val="Proj_Summ8"/>
      <sheetName val="Summary_199825"/>
      <sheetName val="Rec_to_control_sheet25"/>
      <sheetName val="vat_status25"/>
      <sheetName val="Summary_199725"/>
      <sheetName val="VAT_1-98_to_12-9825"/>
      <sheetName val="IN_RETURN_NOT_BOOKED25"/>
      <sheetName val="INP-FARMER_USE24"/>
      <sheetName val="Customize_Your_Invoice24"/>
      <sheetName val="CIVIC_1_6L(7ｶ国MA輸出)ｺｽﾄ23"/>
      <sheetName val="Profit_loss23"/>
      <sheetName val="Info_Balance23"/>
      <sheetName val="CIVIC_1_6L(7??MA??)???22"/>
      <sheetName val="CIVIC_1_6L(7__MA__)___21"/>
      <sheetName val="COGM_Statement_(5)10"/>
      <sheetName val="BS_June_20149"/>
      <sheetName val="COGM_June_20149"/>
      <sheetName val="INCOME_20129"/>
      <sheetName val="A1-B_ASSET9"/>
      <sheetName val="Effort_A9"/>
      <sheetName val="Effort_P9"/>
      <sheetName val="Proj_Summ9"/>
      <sheetName val="Sales"/>
      <sheetName val="Sheet1"/>
      <sheetName val="A"/>
      <sheetName val="Sheet3"/>
      <sheetName val="Param"/>
      <sheetName val="Amortization Table"/>
      <sheetName val="adj"/>
      <sheetName val="Tarif"/>
      <sheetName val="Assumption"/>
      <sheetName val="Tab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Forex Feb"/>
      <sheetName val="adj"/>
      <sheetName val="adj by totoku"/>
      <sheetName val="Comb"/>
      <sheetName val="Sales 2"/>
      <sheetName val="feb"/>
      <sheetName val="LOOKUP"/>
      <sheetName val="co_data"/>
      <sheetName val="CODE"/>
      <sheetName val="Trial_Balance"/>
      <sheetName val="Forex_Feb"/>
      <sheetName val="adj_by_totoku"/>
      <sheetName val="Sales_2"/>
      <sheetName val="GeneralInfo"/>
      <sheetName val="MK(7ｶ国+5,7,12万台)"/>
      <sheetName val="Marshal"/>
      <sheetName val="Base Data"/>
      <sheetName val="Control"/>
      <sheetName val="List"/>
      <sheetName val="MK(7??+5,7,12??)"/>
      <sheetName val="Ap"/>
      <sheetName val="Raw Cost Data"/>
      <sheetName val="Localization Worksheet"/>
      <sheetName val="Item Cost Outlook Table (P4)"/>
      <sheetName val="Equipment Cost Worksheet (P5)"/>
      <sheetName val="GLdownload"/>
      <sheetName val="INP-FARMER USE"/>
      <sheetName val="MK(7__+5,7,12__)"/>
      <sheetName val="CIVIC 1.6L(7ｶ国MA輸出)ｺｽﾄ"/>
      <sheetName val="COGM (After Adjustment)"/>
      <sheetName val="DATA WP"/>
      <sheetName val="Customize Your Invoice"/>
      <sheetName val="Invoice"/>
      <sheetName val="Sheet1"/>
      <sheetName val="Trial_Balance1"/>
      <sheetName val="Forex_Feb1"/>
      <sheetName val="adj_by_totoku1"/>
      <sheetName val="Sales_21"/>
      <sheetName val="Base_Data"/>
      <sheetName val="Raw_Cost_Data"/>
      <sheetName val="Localization_Worksheet"/>
      <sheetName val="Item_Cost_Outlook_Table_(P4)"/>
      <sheetName val="Equipment_Cost_Worksheet_(P5)"/>
      <sheetName val="INP-FARMER_USE"/>
      <sheetName val="CIVIC_1_6L(7ｶ国MA輸出)ｺｽﾄ"/>
      <sheetName val="MENU"/>
      <sheetName val="Properties"/>
      <sheetName val="Statement"/>
      <sheetName val="Customer Statement"/>
      <sheetName val="1FA"/>
      <sheetName val="Rec"/>
      <sheetName val="COGM &amp; PL July 31, 2017"/>
      <sheetName val="C.1"/>
      <sheetName val="tb 2016 update 6.4.17"/>
      <sheetName val="COGM &amp; PL 2016 update 6.4.17"/>
      <sheetName val="tb 2016 update"/>
      <sheetName val="tb July 31, 2017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Data Entry"/>
      <sheetName val="FDC Macros"/>
      <sheetName val="VB Macros"/>
      <sheetName val="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Price Saldom"/>
      <sheetName val="Current"/>
      <sheetName val="IMV"/>
      <sheetName val="Comparison 2005-2006"/>
      <sheetName val="adj"/>
      <sheetName val="LOOKUP"/>
      <sheetName val="Price_Saldom"/>
      <sheetName val="Comparison_2005-2006"/>
      <sheetName val="Price_Saldom1"/>
      <sheetName val="Comparison_2005-20061"/>
      <sheetName val="COA"/>
      <sheetName val="CODE"/>
      <sheetName val="Sheet5"/>
      <sheetName val="P&amp;L"/>
      <sheetName val="Instructions"/>
      <sheetName val="F1771"/>
      <sheetName val="Param"/>
      <sheetName val="Contract"/>
      <sheetName val="EngineGas"/>
      <sheetName val="Input"/>
      <sheetName val="PSC"/>
      <sheetName val="General Assumption"/>
      <sheetName val="EngineOil"/>
      <sheetName val="FE-1770-I"/>
      <sheetName val="FE-1770.P1"/>
      <sheetName val="FE-1770-II"/>
      <sheetName val="Currency"/>
      <sheetName val="Net Asse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Info Balance"/>
      <sheetName val="Profit loss"/>
      <sheetName val="cogm"/>
      <sheetName val="comb"/>
      <sheetName val="adj"/>
      <sheetName val="Sheet1"/>
      <sheetName val="JuLY 2008"/>
      <sheetName val="SJ manual"/>
      <sheetName val="Accrued IDR"/>
      <sheetName val="calc"/>
      <sheetName val="Forex"/>
      <sheetName val="FA"/>
      <sheetName val="cogm &amp; PL"/>
      <sheetName val="inf BS"/>
      <sheetName val="BS"/>
      <sheetName val="REKAP PPH Maret 2012"/>
      <sheetName val="REKAP PPH (21) temporary Worker"/>
      <sheetName val="Kurs Apr"/>
      <sheetName val="#REF"/>
      <sheetName val="Sheet3"/>
      <sheetName val="COGM Statement"/>
      <sheetName val="Income Statement"/>
      <sheetName val="master"/>
      <sheetName val="H.KONTRAK"/>
      <sheetName val="Info_Balance"/>
      <sheetName val="Profit_loss"/>
      <sheetName val="JuLY_2008"/>
      <sheetName val="SJ_manual"/>
      <sheetName val="Accrued_IDR"/>
      <sheetName val="cogm_&amp;_PL"/>
      <sheetName val="inf_BS"/>
      <sheetName val="REKAP_PPH_Maret_2012"/>
      <sheetName val="REKAP_PPH_(21)_temporary_Worker"/>
      <sheetName val="Kurs_A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Rekap"/>
      <sheetName val="daftar"/>
    </sheetNames>
    <sheetDataSet>
      <sheetData sheetId="0"/>
      <sheetData sheetId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urchase Order (2)"/>
      <sheetName val="Customize Your Purchase Order"/>
      <sheetName val="Purchase Order _2_"/>
      <sheetName val="adj"/>
      <sheetName val="Biaya Departemen"/>
      <sheetName val="Sheet3"/>
      <sheetName val="Customize Your Invoice"/>
      <sheetName val="Invoice"/>
      <sheetName val="GeneralInfo"/>
      <sheetName val="AutoOpen_Stub_Data"/>
      <sheetName val="Purchase_Order_(2)"/>
      <sheetName val="Customize_Your_Purchase_Order"/>
      <sheetName val="Purchase_Order__2_"/>
      <sheetName val="APRIL'02"/>
      <sheetName val="COGM Statement"/>
      <sheetName val="LOOKUP"/>
      <sheetName val="AutoOpen_Stub_Data1"/>
      <sheetName val="Purchase_Order_(2)1"/>
      <sheetName val="Customize_Your_Purchase_Order1"/>
      <sheetName val="Purchase_Order__2_1"/>
      <sheetName val="Biaya_Departemen"/>
      <sheetName val="Customize_Your_Invoice"/>
      <sheetName val="Data Update"/>
      <sheetName val="9"/>
      <sheetName val="des"/>
      <sheetName val="AA.1.1 BNI"/>
      <sheetName val="Param"/>
      <sheetName val="Assumption"/>
      <sheetName val="Data Ben"/>
      <sheetName val="AutoOpen_Stub_Data7"/>
      <sheetName val="Purchase_Order_(2)7"/>
      <sheetName val="Customize_Your_Purchase_Order7"/>
      <sheetName val="Purchase_Order__2_7"/>
      <sheetName val="Biaya_Departemen6"/>
      <sheetName val="Customize_Your_Invoice6"/>
      <sheetName val="COGM_Statement5"/>
      <sheetName val="Data_Update5"/>
      <sheetName val="AA_1_1_BNI5"/>
      <sheetName val="Data_Ben5"/>
      <sheetName val="AutoOpen_Stub_Data2"/>
      <sheetName val="Purchase_Order_(2)2"/>
      <sheetName val="Customize_Your_Purchase_Order2"/>
      <sheetName val="Purchase_Order__2_2"/>
      <sheetName val="Biaya_Departemen1"/>
      <sheetName val="Customize_Your_Invoice1"/>
      <sheetName val="COGM_Statement"/>
      <sheetName val="Data_Update"/>
      <sheetName val="AA_1_1_BNI"/>
      <sheetName val="Data_Ben"/>
      <sheetName val="AutoOpen_Stub_Data4"/>
      <sheetName val="Purchase_Order_(2)4"/>
      <sheetName val="Customize_Your_Purchase_Order4"/>
      <sheetName val="Purchase_Order__2_4"/>
      <sheetName val="Biaya_Departemen3"/>
      <sheetName val="Customize_Your_Invoice3"/>
      <sheetName val="COGM_Statement2"/>
      <sheetName val="Data_Update2"/>
      <sheetName val="AA_1_1_BNI2"/>
      <sheetName val="Data_Ben2"/>
      <sheetName val="AutoOpen_Stub_Data3"/>
      <sheetName val="Purchase_Order_(2)3"/>
      <sheetName val="Customize_Your_Purchase_Order3"/>
      <sheetName val="Purchase_Order__2_3"/>
      <sheetName val="Biaya_Departemen2"/>
      <sheetName val="Customize_Your_Invoice2"/>
      <sheetName val="COGM_Statement1"/>
      <sheetName val="Data_Update1"/>
      <sheetName val="AA_1_1_BNI1"/>
      <sheetName val="Data_Ben1"/>
      <sheetName val="AutoOpen_Stub_Data5"/>
      <sheetName val="Purchase_Order_(2)5"/>
      <sheetName val="Customize_Your_Purchase_Order5"/>
      <sheetName val="Purchase_Order__2_5"/>
      <sheetName val="Biaya_Departemen4"/>
      <sheetName val="Customize_Your_Invoice4"/>
      <sheetName val="COGM_Statement3"/>
      <sheetName val="Data_Update3"/>
      <sheetName val="AA_1_1_BNI3"/>
      <sheetName val="Data_Ben3"/>
      <sheetName val="AutoOpen_Stub_Data6"/>
      <sheetName val="Purchase_Order_(2)6"/>
      <sheetName val="Customize_Your_Purchase_Order6"/>
      <sheetName val="Purchase_Order__2_6"/>
      <sheetName val="Biaya_Departemen5"/>
      <sheetName val="Customize_Your_Invoice5"/>
      <sheetName val="COGM_Statement4"/>
      <sheetName val="Data_Update4"/>
      <sheetName val="AA_1_1_BNI4"/>
      <sheetName val="Data_Ben4"/>
      <sheetName val="AutoOpen_Stub_Data10"/>
      <sheetName val="Purchase_Order_(2)10"/>
      <sheetName val="Customize_Your_Purchase_Order10"/>
      <sheetName val="Purchase_Order__2_10"/>
      <sheetName val="Biaya_Departemen9"/>
      <sheetName val="Customize_Your_Invoice9"/>
      <sheetName val="COGM_Statement8"/>
      <sheetName val="Data_Update8"/>
      <sheetName val="AA_1_1_BNI8"/>
      <sheetName val="Data_Ben8"/>
      <sheetName val="AutoOpen_Stub_Data8"/>
      <sheetName val="Purchase_Order_(2)8"/>
      <sheetName val="Customize_Your_Purchase_Order8"/>
      <sheetName val="Purchase_Order__2_8"/>
      <sheetName val="Biaya_Departemen7"/>
      <sheetName val="Customize_Your_Invoice7"/>
      <sheetName val="COGM_Statement6"/>
      <sheetName val="Data_Update6"/>
      <sheetName val="AA_1_1_BNI6"/>
      <sheetName val="Data_Ben6"/>
      <sheetName val="AutoOpen_Stub_Data9"/>
      <sheetName val="Purchase_Order_(2)9"/>
      <sheetName val="Customize_Your_Purchase_Order9"/>
      <sheetName val="Purchase_Order__2_9"/>
      <sheetName val="Biaya_Departemen8"/>
      <sheetName val="Customize_Your_Invoice8"/>
      <sheetName val="COGM_Statement7"/>
      <sheetName val="Data_Update7"/>
      <sheetName val="AA_1_1_BNI7"/>
      <sheetName val="Data_Ben7"/>
      <sheetName val="Data"/>
      <sheetName val="AutoOpen_Stub_Data13"/>
      <sheetName val="Purchase_Order_(2)13"/>
      <sheetName val="Customize_Your_Purchase_Order13"/>
      <sheetName val="Purchase_Order__2_13"/>
      <sheetName val="Biaya_Departemen12"/>
      <sheetName val="Customize_Your_Invoice12"/>
      <sheetName val="COGM_Statement11"/>
      <sheetName val="Data_Update11"/>
      <sheetName val="AA_1_1_BNI11"/>
      <sheetName val="Data_Ben11"/>
      <sheetName val="AutoOpen_Stub_Data12"/>
      <sheetName val="Purchase_Order_(2)12"/>
      <sheetName val="Customize_Your_Purchase_Order12"/>
      <sheetName val="Purchase_Order__2_12"/>
      <sheetName val="Biaya_Departemen11"/>
      <sheetName val="Customize_Your_Invoice11"/>
      <sheetName val="COGM_Statement10"/>
      <sheetName val="Data_Update10"/>
      <sheetName val="AA_1_1_BNI10"/>
      <sheetName val="Data_Ben10"/>
      <sheetName val="AutoOpen_Stub_Data11"/>
      <sheetName val="Purchase_Order_(2)11"/>
      <sheetName val="Customize_Your_Purchase_Order11"/>
      <sheetName val="Purchase_Order__2_11"/>
      <sheetName val="Biaya_Departemen10"/>
      <sheetName val="Customize_Your_Invoice10"/>
      <sheetName val="COGM_Statement9"/>
      <sheetName val="Data_Update9"/>
      <sheetName val="AA_1_1_BNI9"/>
      <sheetName val="Data_Ben9"/>
      <sheetName val="AutoOpen_Stub_Data14"/>
      <sheetName val="Purchase_Order_(2)14"/>
      <sheetName val="Customize_Your_Purchase_Order14"/>
      <sheetName val="Purchase_Order__2_14"/>
      <sheetName val="Biaya_Departemen13"/>
      <sheetName val="Customize_Your_Invoice13"/>
      <sheetName val="COGM_Statement12"/>
      <sheetName val="Data_Update12"/>
      <sheetName val="AA_1_1_BNI12"/>
      <sheetName val="Data_Ben12"/>
      <sheetName val="Table Array"/>
      <sheetName val="412src2"/>
      <sheetName val="Code"/>
      <sheetName val="#REF"/>
      <sheetName val="DATA WP"/>
      <sheetName val="Index"/>
      <sheetName val="Customize Your Statement"/>
      <sheetName val="Marshal -1"/>
      <sheetName val="AutoOpen_Stub_Data15"/>
      <sheetName val="Purchase_Order_(2)15"/>
      <sheetName val="Customize_Your_Purchase_Order15"/>
      <sheetName val="Purchase_Order__2_15"/>
      <sheetName val="Biaya_Departemen14"/>
      <sheetName val="Customize_Your_Invoice14"/>
      <sheetName val="COGM_Statement13"/>
      <sheetName val="Data_Update13"/>
      <sheetName val="AA_1_1_BNI13"/>
      <sheetName val="Data_Ben13"/>
      <sheetName val="Table_Array"/>
      <sheetName val="DATA_WP"/>
      <sheetName val="WBS - ASSETS"/>
      <sheetName val="Balance Sheet"/>
      <sheetName val="Income Statement"/>
      <sheetName val="Prod"/>
      <sheetName val="CoFG1_2"/>
      <sheetName val="2002"/>
      <sheetName val="2934"/>
      <sheetName val="SCORE_RC_Code"/>
      <sheetName val="Data23"/>
      <sheetName val="Data26"/>
      <sheetName val="LIST"/>
      <sheetName val="Contents"/>
      <sheetName val="GLdownload"/>
      <sheetName val="OLDDATA"/>
      <sheetName val="Profile"/>
      <sheetName val="Instructions"/>
      <sheetName val="Rincian Iuran"/>
      <sheetName val="Dumtk"/>
      <sheetName val="Danamon LK"/>
      <sheetName val="Sheet1 (2)"/>
      <sheetName val="co_data"/>
      <sheetName val="Database"/>
      <sheetName val="Pemeriksa"/>
      <sheetName val="source"/>
      <sheetName val="Bang 2B"/>
      <sheetName val="Links"/>
      <sheetName val="Lead"/>
      <sheetName val="SAMPLEPO"/>
      <sheetName val="LPP"/>
      <sheetName val="Adm"/>
      <sheetName val="HPP"/>
      <sheetName val="Omzet1"/>
      <sheetName val="5"/>
      <sheetName val="data07fib"/>
      <sheetName val="data08fib"/>
      <sheetName val="data09fib"/>
      <sheetName val="AutoOpen_Stub_Data16"/>
      <sheetName val="Purchase_Order_(2)16"/>
      <sheetName val="Customize_Your_Purchase_Order16"/>
      <sheetName val="Purchase_Order__2_16"/>
      <sheetName val="Biaya_Departemen15"/>
      <sheetName val="Customize_Your_Invoice15"/>
      <sheetName val="COGM_Statement14"/>
      <sheetName val="Data_Update14"/>
      <sheetName val="AA_1_1_BNI14"/>
      <sheetName val="Data_Ben14"/>
      <sheetName val="Table_Array1"/>
      <sheetName val="DATA_WP1"/>
      <sheetName val="Customize_Your_Statement"/>
      <sheetName val="Marshal_-1"/>
      <sheetName val="WBS_-_ASSETS"/>
      <sheetName val="Balance_Sheet"/>
      <sheetName val="Income_Statement"/>
      <sheetName val="AutoOpen_Stub_Data17"/>
      <sheetName val="Purchase_Order_(2)17"/>
      <sheetName val="Customize_Your_Purchase_Order17"/>
      <sheetName val="Purchase_Order__2_17"/>
      <sheetName val="Biaya_Departemen16"/>
      <sheetName val="Customize_Your_Invoice16"/>
      <sheetName val="COGM_Statement15"/>
      <sheetName val="Data_Update15"/>
      <sheetName val="AA_1_1_BNI15"/>
      <sheetName val="Data_Ben15"/>
      <sheetName val="Table_Array2"/>
      <sheetName val="DATA_WP2"/>
      <sheetName val="Customize_Your_Statement1"/>
      <sheetName val="Marshal_-11"/>
      <sheetName val="WBS_-_ASSETS1"/>
      <sheetName val="Balance_Sheet1"/>
      <sheetName val="Income_Statement1"/>
      <sheetName val="AutoOpen_Stub_Data18"/>
      <sheetName val="Purchase_Order_(2)18"/>
      <sheetName val="Customize_Your_Purchase_Order18"/>
      <sheetName val="Purchase_Order__2_18"/>
      <sheetName val="Biaya_Departemen17"/>
      <sheetName val="Customize_Your_Invoice17"/>
      <sheetName val="COGM_Statement16"/>
      <sheetName val="Data_Update16"/>
      <sheetName val="AA_1_1_BNI16"/>
      <sheetName val="Data_Ben16"/>
      <sheetName val="Table_Array3"/>
      <sheetName val="DATA_WP3"/>
      <sheetName val="Customize_Your_Statement2"/>
      <sheetName val="Marshal_-12"/>
      <sheetName val="WBS_-_ASSETS2"/>
      <sheetName val="Balance_Sheet2"/>
      <sheetName val="Income_Statement2"/>
      <sheetName val="AutoOpen_Stub_Data19"/>
      <sheetName val="Purchase_Order_(2)19"/>
      <sheetName val="Customize_Your_Purchase_Order19"/>
      <sheetName val="Purchase_Order__2_19"/>
      <sheetName val="Biaya_Departemen18"/>
      <sheetName val="Customize_Your_Invoice18"/>
      <sheetName val="COGM_Statement17"/>
      <sheetName val="Data_Update17"/>
      <sheetName val="AA_1_1_BNI17"/>
      <sheetName val="Data_Ben17"/>
      <sheetName val="Table_Array4"/>
      <sheetName val="DATA_WP4"/>
      <sheetName val="Customize_Your_Statement3"/>
      <sheetName val="Marshal_-13"/>
      <sheetName val="WBS_-_ASSETS3"/>
      <sheetName val="Balance_Sheet3"/>
      <sheetName val="Income_Statement3"/>
      <sheetName val="AutoOpen_Stub_Data23"/>
      <sheetName val="Purchase_Order_(2)23"/>
      <sheetName val="Customize_Your_Purchase_Order23"/>
      <sheetName val="Purchase_Order__2_23"/>
      <sheetName val="Biaya_Departemen22"/>
      <sheetName val="Customize_Your_Invoice22"/>
      <sheetName val="COGM_Statement21"/>
      <sheetName val="Data_Update21"/>
      <sheetName val="AA_1_1_BNI21"/>
      <sheetName val="Data_Ben21"/>
      <sheetName val="Table_Array8"/>
      <sheetName val="DATA_WP8"/>
      <sheetName val="Customize_Your_Statement7"/>
      <sheetName val="Marshal_-17"/>
      <sheetName val="WBS_-_ASSETS7"/>
      <sheetName val="Balance_Sheet7"/>
      <sheetName val="Income_Statement7"/>
      <sheetName val="AutoOpen_Stub_Data20"/>
      <sheetName val="Purchase_Order_(2)20"/>
      <sheetName val="Customize_Your_Purchase_Order20"/>
      <sheetName val="Purchase_Order__2_20"/>
      <sheetName val="Biaya_Departemen19"/>
      <sheetName val="Customize_Your_Invoice19"/>
      <sheetName val="COGM_Statement18"/>
      <sheetName val="Data_Update18"/>
      <sheetName val="AA_1_1_BNI18"/>
      <sheetName val="Data_Ben18"/>
      <sheetName val="Table_Array5"/>
      <sheetName val="DATA_WP5"/>
      <sheetName val="Customize_Your_Statement4"/>
      <sheetName val="Marshal_-14"/>
      <sheetName val="WBS_-_ASSETS4"/>
      <sheetName val="Balance_Sheet4"/>
      <sheetName val="Income_Statement4"/>
      <sheetName val="AutoOpen_Stub_Data21"/>
      <sheetName val="Purchase_Order_(2)21"/>
      <sheetName val="Customize_Your_Purchase_Order21"/>
      <sheetName val="Purchase_Order__2_21"/>
      <sheetName val="Biaya_Departemen20"/>
      <sheetName val="Customize_Your_Invoice20"/>
      <sheetName val="COGM_Statement19"/>
      <sheetName val="Data_Update19"/>
      <sheetName val="AA_1_1_BNI19"/>
      <sheetName val="Data_Ben19"/>
      <sheetName val="Table_Array6"/>
      <sheetName val="DATA_WP6"/>
      <sheetName val="Customize_Your_Statement5"/>
      <sheetName val="Marshal_-15"/>
      <sheetName val="WBS_-_ASSETS5"/>
      <sheetName val="Balance_Sheet5"/>
      <sheetName val="Income_Statement5"/>
      <sheetName val="AutoOpen_Stub_Data22"/>
      <sheetName val="Purchase_Order_(2)22"/>
      <sheetName val="Customize_Your_Purchase_Order22"/>
      <sheetName val="Purchase_Order__2_22"/>
      <sheetName val="Biaya_Departemen21"/>
      <sheetName val="Customize_Your_Invoice21"/>
      <sheetName val="COGM_Statement20"/>
      <sheetName val="Data_Update20"/>
      <sheetName val="AA_1_1_BNI20"/>
      <sheetName val="Data_Ben20"/>
      <sheetName val="Table_Array7"/>
      <sheetName val="DATA_WP7"/>
      <sheetName val="Customize_Your_Statement6"/>
      <sheetName val="Marshal_-16"/>
      <sheetName val="WBS_-_ASSETS6"/>
      <sheetName val="Balance_Sheet6"/>
      <sheetName val="Income_Statement6"/>
      <sheetName val="AutoOpen_Stub_Data24"/>
      <sheetName val="Purchase_Order_(2)24"/>
      <sheetName val="Customize_Your_Purchase_Order24"/>
      <sheetName val="Purchase_Order__2_24"/>
      <sheetName val="Biaya_Departemen23"/>
      <sheetName val="Customize_Your_Invoice23"/>
      <sheetName val="COGM_Statement22"/>
      <sheetName val="Data_Update22"/>
      <sheetName val="AA_1_1_BNI22"/>
      <sheetName val="Data_Ben22"/>
      <sheetName val="Table_Array9"/>
      <sheetName val="DATA_WP9"/>
      <sheetName val="Customize_Your_Statement8"/>
      <sheetName val="Marshal_-18"/>
      <sheetName val="WBS_-_ASSETS8"/>
      <sheetName val="Balance_Sheet8"/>
      <sheetName val="Income_Statement8"/>
      <sheetName val="AutoOpen_Stub_Data25"/>
      <sheetName val="Purchase_Order_(2)25"/>
      <sheetName val="Customize_Your_Purchase_Order25"/>
      <sheetName val="Purchase_Order__2_25"/>
      <sheetName val="Biaya_Departemen24"/>
      <sheetName val="Customize_Your_Invoice24"/>
      <sheetName val="COGM_Statement23"/>
      <sheetName val="Data_Update23"/>
      <sheetName val="AA_1_1_BNI23"/>
      <sheetName val="Data_Ben23"/>
      <sheetName val="Table_Array10"/>
      <sheetName val="DATA_WP10"/>
      <sheetName val="Customize_Your_Statement9"/>
      <sheetName val="Marshal_-19"/>
      <sheetName val="WBS_-_ASSETS9"/>
      <sheetName val="Balance_Sheet9"/>
      <sheetName val="Income_Statement9"/>
      <sheetName val="100100-100220"/>
      <sheetName val="Intang Amortization by Qtr"/>
      <sheetName val="A1-B ASSET"/>
      <sheetName val="SEP"/>
      <sheetName val="pdcc"/>
      <sheetName val="spi gmbh"/>
      <sheetName val="uk"/>
      <sheetName val="spi"/>
      <sheetName val="ssi"/>
      <sheetName val="syntegra"/>
      <sheetName val="detail"/>
      <sheetName val="kkJan06"/>
      <sheetName val="Checker"/>
      <sheetName val="Account Code"/>
      <sheetName val="fiscal depr(E)"/>
      <sheetName val="Marshal"/>
      <sheetName val="Account_Code"/>
      <sheetName val="fiscal_depr(E)"/>
      <sheetName val="Sheet1"/>
      <sheetName val="TB_ OOGC"/>
      <sheetName val="D0000343"/>
      <sheetName val="Cover Sheet"/>
      <sheetName val="Summary"/>
      <sheetName val="GPV,RGM"/>
      <sheetName val="Komputer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VALID-APOTEK2007"/>
      <sheetName val="INCOME 2007"/>
      <sheetName val="co_data"/>
    </sheetNames>
    <sheetDataSet>
      <sheetData sheetId="0"/>
      <sheetData sheetId="1"/>
      <sheetData sheetId="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Purchase Order (2)"/>
      <sheetName val="Customize Your Purchase Order"/>
      <sheetName val="CIVIC 1.6L(7ｶ国MA輸出)ｺｽﾄ"/>
      <sheetName val="2_"/>
      <sheetName val="7_1"/>
      <sheetName val="Sheet2_(2)"/>
      <sheetName val="GLdownload"/>
      <sheetName val="2_1"/>
      <sheetName val="7_11"/>
      <sheetName val="Sheet2_(2)1"/>
      <sheetName val="Purchase_Order_(2)"/>
      <sheetName val="Customize_Your_Purchase_Order"/>
      <sheetName val="CIVIC_1_6L(7ｶ国MA輸出)ｺｽﾄ"/>
      <sheetName val="Master KKP Global 4"/>
      <sheetName val="KLHT"/>
      <sheetName val="Sheet3"/>
      <sheetName val="CIVIC 1.6L(7??MA??)???"/>
      <sheetName val="CIVIC_1_6L(7??MA??)???"/>
      <sheetName val="2_7"/>
      <sheetName val="7_17"/>
      <sheetName val="Sheet2_(2)7"/>
      <sheetName val="Purchase_Order_(2)6"/>
      <sheetName val="Customize_Your_Purchase_Order6"/>
      <sheetName val="CIVIC_1_6L(7ｶ国MA輸出)ｺｽﾄ6"/>
      <sheetName val="Master_KKP_Global_45"/>
      <sheetName val="2_2"/>
      <sheetName val="7_12"/>
      <sheetName val="Sheet2_(2)2"/>
      <sheetName val="Purchase_Order_(2)1"/>
      <sheetName val="Customize_Your_Purchase_Order1"/>
      <sheetName val="CIVIC_1_6L(7ｶ国MA輸出)ｺｽﾄ1"/>
      <sheetName val="Master_KKP_Global_4"/>
      <sheetName val="2_4"/>
      <sheetName val="7_14"/>
      <sheetName val="Sheet2_(2)4"/>
      <sheetName val="Purchase_Order_(2)3"/>
      <sheetName val="Customize_Your_Purchase_Order3"/>
      <sheetName val="CIVIC_1_6L(7ｶ国MA輸出)ｺｽﾄ3"/>
      <sheetName val="Master_KKP_Global_42"/>
      <sheetName val="2_3"/>
      <sheetName val="7_13"/>
      <sheetName val="Sheet2_(2)3"/>
      <sheetName val="Purchase_Order_(2)2"/>
      <sheetName val="Customize_Your_Purchase_Order2"/>
      <sheetName val="CIVIC_1_6L(7ｶ国MA輸出)ｺｽﾄ2"/>
      <sheetName val="Master_KKP_Global_41"/>
      <sheetName val="2_5"/>
      <sheetName val="7_15"/>
      <sheetName val="Sheet2_(2)5"/>
      <sheetName val="Purchase_Order_(2)4"/>
      <sheetName val="Customize_Your_Purchase_Order4"/>
      <sheetName val="CIVIC_1_6L(7ｶ国MA輸出)ｺｽﾄ4"/>
      <sheetName val="Master_KKP_Global_43"/>
      <sheetName val="2_6"/>
      <sheetName val="7_16"/>
      <sheetName val="Sheet2_(2)6"/>
      <sheetName val="Purchase_Order_(2)5"/>
      <sheetName val="Customize_Your_Purchase_Order5"/>
      <sheetName val="CIVIC_1_6L(7ｶ国MA輸出)ｺｽﾄ5"/>
      <sheetName val="Master_KKP_Global_44"/>
      <sheetName val="2_10"/>
      <sheetName val="7_110"/>
      <sheetName val="Sheet2_(2)10"/>
      <sheetName val="Purchase_Order_(2)9"/>
      <sheetName val="Customize_Your_Purchase_Order9"/>
      <sheetName val="CIVIC_1_6L(7ｶ国MA輸出)ｺｽﾄ9"/>
      <sheetName val="Master_KKP_Global_48"/>
      <sheetName val="2_8"/>
      <sheetName val="7_18"/>
      <sheetName val="Sheet2_(2)8"/>
      <sheetName val="Purchase_Order_(2)7"/>
      <sheetName val="Customize_Your_Purchase_Order7"/>
      <sheetName val="CIVIC_1_6L(7ｶ国MA輸出)ｺｽﾄ7"/>
      <sheetName val="Master_KKP_Global_46"/>
      <sheetName val="2_9"/>
      <sheetName val="7_19"/>
      <sheetName val="Sheet2_(2)9"/>
      <sheetName val="Purchase_Order_(2)8"/>
      <sheetName val="Customize_Your_Purchase_Order8"/>
      <sheetName val="CIVIC_1_6L(7ｶ国MA輸出)ｺｽﾄ8"/>
      <sheetName val="Master_KKP_Global_47"/>
      <sheetName val="2_13"/>
      <sheetName val="7_113"/>
      <sheetName val="Sheet2_(2)13"/>
      <sheetName val="Purchase_Order_(2)12"/>
      <sheetName val="Customize_Your_Purchase_Order12"/>
      <sheetName val="CIVIC_1_6L(7ｶ国MA輸出)ｺｽﾄ12"/>
      <sheetName val="Master_KKP_Global_411"/>
      <sheetName val="2_12"/>
      <sheetName val="7_112"/>
      <sheetName val="Sheet2_(2)12"/>
      <sheetName val="Purchase_Order_(2)11"/>
      <sheetName val="Customize_Your_Purchase_Order11"/>
      <sheetName val="CIVIC_1_6L(7ｶ国MA輸出)ｺｽﾄ11"/>
      <sheetName val="Master_KKP_Global_410"/>
      <sheetName val="2_11"/>
      <sheetName val="7_111"/>
      <sheetName val="Sheet2_(2)11"/>
      <sheetName val="Purchase_Order_(2)10"/>
      <sheetName val="Customize_Your_Purchase_Order10"/>
      <sheetName val="CIVIC_1_6L(7ｶ国MA輸出)ｺｽﾄ10"/>
      <sheetName val="Master_KKP_Global_49"/>
      <sheetName val="CIVIC 1.6L(7__MA__)___"/>
      <sheetName val="CIVIC_1_6L(7__MA__)___"/>
      <sheetName val="Chart2"/>
      <sheetName val="home"/>
      <sheetName val="Lokasi"/>
      <sheetName val="identitas"/>
      <sheetName val="pemegang saham"/>
      <sheetName val="gambaran"/>
      <sheetName val="output"/>
      <sheetName val="proses produksi"/>
      <sheetName val="pemasok"/>
      <sheetName val="HubIstimewa"/>
      <sheetName val="tenaga kerja"/>
      <sheetName val="prospektus"/>
      <sheetName val="ketetapan"/>
      <sheetName val="Restitusi"/>
      <sheetName val="Kewajiban"/>
      <sheetName val="tunggakan"/>
      <sheetName val="Pemeriksaan"/>
      <sheetName val="keberatan"/>
      <sheetName val="suplier"/>
      <sheetName val="PGroup"/>
      <sheetName val="Daftar Pemotong"/>
      <sheetName val="Analisa ROA dll (2)"/>
      <sheetName val="potensial"/>
      <sheetName val="Neraca"/>
      <sheetName val="Laporan Laba rugi"/>
      <sheetName val="Financial Analysis2 (2)"/>
      <sheetName val="Financial Analysis1"/>
      <sheetName val="PPH GB"/>
      <sheetName val="CIVIC_1_6L(7??MA??)???1"/>
      <sheetName val="A p r"/>
      <sheetName val="00 received in 01"/>
      <sheetName val="F e b"/>
      <sheetName val="Per GL J a n"/>
      <sheetName val="J u l"/>
      <sheetName val="2_14"/>
      <sheetName val="7_114"/>
      <sheetName val="Sheet2_(2)14"/>
      <sheetName val="Purchase_Order_(2)13"/>
      <sheetName val="Customize_Your_Purchase_Order13"/>
      <sheetName val="CIVIC_1_6L(7ｶ国MA輸出)ｺｽﾄ13"/>
      <sheetName val="Master_KKP_Global_412"/>
      <sheetName val="CIVIC_1_6L(7??MA??)???3"/>
      <sheetName val="CIVIC_1_6L(7??MA??)???2"/>
      <sheetName val="CIVIC_1_6L(7__MA__)___1"/>
      <sheetName val="detial TSA"/>
      <sheetName val="Main"/>
      <sheetName val="CIVIC_1_6L(7??MA??)???6"/>
      <sheetName val="CIVIC_1_6L(7??MA??)???4"/>
      <sheetName val="CIVIC_1_6L(7??MA??)???5"/>
      <sheetName val="CIVIC_1_6L(7??MA??)???9"/>
      <sheetName val="CIVIC_1_6L(7??MA??)???7"/>
      <sheetName val="CIVIC_1_6L(7??MA??)???8"/>
      <sheetName val="CIVIC_1_6L(7??MA??)???12"/>
      <sheetName val="CIVIC_1_6L(7??MA??)???11"/>
      <sheetName val="CIVIC_1_6L(7??MA??)???10"/>
      <sheetName val="LIST"/>
      <sheetName val="CIVIC_1_6L(7__MA__)___3"/>
      <sheetName val="CIVIC_1_6L(7__MA__)___2"/>
      <sheetName val="Balance Sheet"/>
      <sheetName val="Income Statement"/>
      <sheetName val="Daftar Karyawan"/>
      <sheetName val="Customize Your Invoice"/>
      <sheetName val="Invoice"/>
      <sheetName val="CIVIC_1_6L(7__MA__)___6"/>
      <sheetName val="CIVIC_1_6L(7__MA__)___4"/>
      <sheetName val="CIVIC_1_6L(7__MA__)___5"/>
      <sheetName val="CIVIC_1_6L(7__MA__)___9"/>
      <sheetName val="CIVIC_1_6L(7__MA__)___7"/>
      <sheetName val="CIVIC_1_6L(7__MA__)___8"/>
      <sheetName val="CIVIC_1_6L(7__MA__)___12"/>
      <sheetName val="CIVIC_1_6L(7__MA__)___11"/>
      <sheetName val="CIVIC_1_6L(7__MA__)___10"/>
      <sheetName val="2_15"/>
      <sheetName val="7_115"/>
      <sheetName val="Sheet2_(2)15"/>
      <sheetName val="Purchase_Order_(2)14"/>
      <sheetName val="Customize_Your_Purchase_Order14"/>
      <sheetName val="CIVIC_1_6L(7ｶ国MA輸出)ｺｽﾄ14"/>
      <sheetName val="Master_KKP_Global_413"/>
      <sheetName val="CIVIC_1_6L(7??MA??)???13"/>
      <sheetName val="pemegang_saham"/>
      <sheetName val="proses_produksi"/>
      <sheetName val="tenaga_kerja"/>
      <sheetName val="Daftar_Pemotong"/>
      <sheetName val="Analisa_ROA_dll_(2)"/>
      <sheetName val="Laporan_Laba_rugi"/>
      <sheetName val="Financial_Analysis2_(2)"/>
      <sheetName val="Financial_Analysis1"/>
      <sheetName val="A_p_r"/>
      <sheetName val="00_received_in_01"/>
      <sheetName val="F_e_b"/>
      <sheetName val="Per_GL_J_a_n"/>
      <sheetName val="J_u_l"/>
      <sheetName val="PPH_GB"/>
      <sheetName val="detial_TSA"/>
      <sheetName val="Balance_Sheet"/>
      <sheetName val="Income_Statement"/>
      <sheetName val="DB KPP"/>
      <sheetName val="Formal"/>
      <sheetName val="Matrik"/>
      <sheetName val="LPNK"/>
      <sheetName val="S Balik WP"/>
      <sheetName val="KKP"/>
      <sheetName val="S KPP"/>
      <sheetName val="S WP"/>
      <sheetName val="SPUH"/>
      <sheetName val="Lamp SPUH"/>
      <sheetName val="26 A"/>
      <sheetName val="SK"/>
      <sheetName val="FP"/>
      <sheetName val="Sheet1"/>
      <sheetName val="SPT"/>
      <sheetName val="no SK"/>
      <sheetName val="#REF"/>
      <sheetName val="CIVIC_1_6L(7__MA__)___13"/>
      <sheetName val="Markas"/>
      <sheetName val="fiscal depr(E)"/>
      <sheetName val="fiscal depr_E_"/>
      <sheetName val="Data Update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Data Ben"/>
      <sheetName val="Param"/>
      <sheetName val="MASTER"/>
      <sheetName val="Data WP"/>
      <sheetName val="2 matrik"/>
      <sheetName val="Matriks"/>
      <sheetName val="S WP2"/>
      <sheetName val="1 Formal"/>
      <sheetName val="S. Doc"/>
      <sheetName val="S. Doc ke 2"/>
      <sheetName val="S. Doc tambahan"/>
      <sheetName val="Pakta integritas"/>
      <sheetName val="Und KPP"/>
      <sheetName val="BA FP"/>
      <sheetName val="Und KPP1"/>
      <sheetName val="Und WP"/>
      <sheetName val="Cover"/>
      <sheetName val="BA DATA"/>
      <sheetName val="LPK"/>
      <sheetName val="LSPUH "/>
      <sheetName val="BA SPUH"/>
      <sheetName val="BA SPUH (2)"/>
      <sheetName val="KKP (1)"/>
      <sheetName val="KKP (2)"/>
      <sheetName val="KKP (2.1)"/>
      <sheetName val="KKP (3)"/>
      <sheetName val="KKP (3.1)"/>
      <sheetName val="cov"/>
      <sheetName val="LHP ok"/>
      <sheetName val="Lbr Depan"/>
      <sheetName val="JUAL_STD"/>
      <sheetName val="Code"/>
      <sheetName val="mortality_yr_d"/>
      <sheetName val="mort_mth_d"/>
      <sheetName val="mortality_yr_i"/>
      <sheetName val="mort_mth_i"/>
      <sheetName val="mortality_yr_w"/>
      <sheetName val="mort_mth_w"/>
      <sheetName val="mort_mth_md"/>
      <sheetName val="MD_Tbl"/>
      <sheetName val="JHT"/>
      <sheetName val="Hit_Usia"/>
      <sheetName val="salary_factor"/>
      <sheetName val="Benefit_Tab_LSA_payment"/>
      <sheetName val="Benefit_Tab_LSA"/>
      <sheetName val="Benefit_Tab"/>
      <sheetName val="Parameter"/>
      <sheetName val="Parameter_text"/>
      <sheetName val="Data_kary"/>
      <sheetName val="chart"/>
      <sheetName val="Data_Analisa"/>
      <sheetName val="PSAK"/>
      <sheetName val="check_hasil_NKKIPt_1 to NKKIPt"/>
      <sheetName val="check_hasil_LSA"/>
      <sheetName val="Data_kary_NKKIP_ROR"/>
      <sheetName val="NKKIPt&amp;deltaBen"/>
      <sheetName val="NKKIP_ROR"/>
      <sheetName val="Data_kary_PSC"/>
      <sheetName val="PSC"/>
      <sheetName val="PSC_hasil"/>
      <sheetName val="data_berhenti 2005"/>
      <sheetName val="Payments"/>
      <sheetName val="Discl_present"/>
      <sheetName val="Disclosure"/>
      <sheetName val="AGL_presntn"/>
      <sheetName val="Discl_present_lsa"/>
      <sheetName val="Disclosure_LSA"/>
      <sheetName val="AGL_presntn_lsa"/>
      <sheetName val="Disclosure_Data"/>
      <sheetName val="Disclosure_PSC"/>
      <sheetName val="Instructions"/>
      <sheetName val="CIVIC_1_6L(7??MA??)???14"/>
      <sheetName val="Input Yield"/>
      <sheetName val="PH Data"/>
      <sheetName val="Syarat"/>
      <sheetName val="DbKtr"/>
      <sheetName val="input-cost"/>
      <sheetName val="KONS2008"/>
      <sheetName val="co_data"/>
      <sheetName val="CIVIC_1_6L(7__MA__)___14"/>
      <sheetName val="2_16"/>
      <sheetName val="7_116"/>
      <sheetName val="Sheet2_(2)16"/>
      <sheetName val="Purchase_Order_(2)15"/>
      <sheetName val="Customize_Your_Purchase_Order15"/>
      <sheetName val="CIVIC_1_6L(7ｶ国MA輸出)ｺｽﾄ15"/>
      <sheetName val="Master_KKP_Global_414"/>
      <sheetName val="pemegang_saham1"/>
      <sheetName val="proses_produksi1"/>
      <sheetName val="tenaga_kerja1"/>
      <sheetName val="Daftar_Pemotong1"/>
      <sheetName val="Analisa_ROA_dll_(2)1"/>
      <sheetName val="Laporan_Laba_rugi1"/>
      <sheetName val="Financial_Analysis2_(2)1"/>
      <sheetName val="Financial_Analysis11"/>
      <sheetName val="PPH_GB1"/>
      <sheetName val="A_p_r1"/>
      <sheetName val="00_received_in_011"/>
      <sheetName val="F_e_b1"/>
      <sheetName val="Per_GL_J_a_n1"/>
      <sheetName val="J_u_l1"/>
      <sheetName val="detial_TSA1"/>
      <sheetName val="Balance_Sheet1"/>
      <sheetName val="Income_Statement1"/>
      <sheetName val="Daftar_Karyawan"/>
      <sheetName val="Customize_Your_Invoice"/>
      <sheetName val="DB_KPP"/>
      <sheetName val="S_Balik_WP"/>
      <sheetName val="S_KPP"/>
      <sheetName val="S_WP"/>
      <sheetName val="Lamp_SPUH"/>
      <sheetName val="26_A"/>
      <sheetName val="no_SK"/>
      <sheetName val="Data_Update"/>
      <sheetName val="fiscal_depr(E)"/>
      <sheetName val="fiscal_depr_E_"/>
      <sheetName val="2_17"/>
      <sheetName val="7_117"/>
      <sheetName val="Sheet2_(2)17"/>
      <sheetName val="Purchase_Order_(2)16"/>
      <sheetName val="Customize_Your_Purchase_Order16"/>
      <sheetName val="CIVIC_1_6L(7ｶ国MA輸出)ｺｽﾄ16"/>
      <sheetName val="Master_KKP_Global_415"/>
      <sheetName val="CIVIC_1_6L(7??MA??)???15"/>
      <sheetName val="CIVIC_1_6L(7__MA__)___15"/>
      <sheetName val="pemegang_saham2"/>
      <sheetName val="proses_produksi2"/>
      <sheetName val="tenaga_kerja2"/>
      <sheetName val="Daftar_Pemotong2"/>
      <sheetName val="Analisa_ROA_dll_(2)2"/>
      <sheetName val="Laporan_Laba_rugi2"/>
      <sheetName val="Financial_Analysis2_(2)2"/>
      <sheetName val="Financial_Analysis12"/>
      <sheetName val="PPH_GB2"/>
      <sheetName val="A_p_r2"/>
      <sheetName val="00_received_in_012"/>
      <sheetName val="F_e_b2"/>
      <sheetName val="Per_GL_J_a_n2"/>
      <sheetName val="J_u_l2"/>
      <sheetName val="detial_TSA2"/>
      <sheetName val="Balance_Sheet2"/>
      <sheetName val="Income_Statement2"/>
      <sheetName val="Daftar_Karyawan1"/>
      <sheetName val="Customize_Your_Invoice1"/>
      <sheetName val="DB_KPP1"/>
      <sheetName val="S_Balik_WP1"/>
      <sheetName val="S_KPP1"/>
      <sheetName val="S_WP1"/>
      <sheetName val="Lamp_SPUH1"/>
      <sheetName val="26_A1"/>
      <sheetName val="no_SK1"/>
      <sheetName val="Data_Update1"/>
      <sheetName val="fiscal_depr(E)1"/>
      <sheetName val="fiscal_depr_E_1"/>
      <sheetName val="2_18"/>
      <sheetName val="7_118"/>
      <sheetName val="Sheet2_(2)18"/>
      <sheetName val="Purchase_Order_(2)17"/>
      <sheetName val="Customize_Your_Purchase_Order17"/>
      <sheetName val="CIVIC_1_6L(7ｶ国MA輸出)ｺｽﾄ17"/>
      <sheetName val="Master_KKP_Global_416"/>
      <sheetName val="CIVIC_1_6L(7??MA??)???16"/>
      <sheetName val="CIVIC_1_6L(7__MA__)___16"/>
      <sheetName val="pemegang_saham3"/>
      <sheetName val="proses_produksi3"/>
      <sheetName val="tenaga_kerja3"/>
      <sheetName val="Daftar_Pemotong3"/>
      <sheetName val="Analisa_ROA_dll_(2)3"/>
      <sheetName val="Laporan_Laba_rugi3"/>
      <sheetName val="Financial_Analysis2_(2)3"/>
      <sheetName val="Financial_Analysis13"/>
      <sheetName val="PPH_GB3"/>
      <sheetName val="A_p_r3"/>
      <sheetName val="00_received_in_013"/>
      <sheetName val="F_e_b3"/>
      <sheetName val="Per_GL_J_a_n3"/>
      <sheetName val="J_u_l3"/>
      <sheetName val="detial_TSA3"/>
      <sheetName val="Balance_Sheet3"/>
      <sheetName val="Income_Statement3"/>
      <sheetName val="Daftar_Karyawan2"/>
      <sheetName val="Customize_Your_Invoice2"/>
      <sheetName val="DB_KPP2"/>
      <sheetName val="S_Balik_WP2"/>
      <sheetName val="S_KPP2"/>
      <sheetName val="S_WP2"/>
      <sheetName val="Lamp_SPUH2"/>
      <sheetName val="26_A2"/>
      <sheetName val="no_SK2"/>
      <sheetName val="Data_Update2"/>
      <sheetName val="fiscal_depr(E)2"/>
      <sheetName val="fiscal_depr_E_2"/>
      <sheetName val="2_19"/>
      <sheetName val="7_119"/>
      <sheetName val="Sheet2_(2)19"/>
      <sheetName val="Purchase_Order_(2)18"/>
      <sheetName val="Customize_Your_Purchase_Order18"/>
      <sheetName val="CIVIC_1_6L(7ｶ国MA輸出)ｺｽﾄ18"/>
      <sheetName val="Master_KKP_Global_417"/>
      <sheetName val="CIVIC_1_6L(7??MA??)???17"/>
      <sheetName val="CIVIC_1_6L(7__MA__)___17"/>
      <sheetName val="pemegang_saham4"/>
      <sheetName val="proses_produksi4"/>
      <sheetName val="tenaga_kerja4"/>
      <sheetName val="Daftar_Pemotong4"/>
      <sheetName val="Analisa_ROA_dll_(2)4"/>
      <sheetName val="Laporan_Laba_rugi4"/>
      <sheetName val="Financial_Analysis2_(2)4"/>
      <sheetName val="Financial_Analysis14"/>
      <sheetName val="PPH_GB4"/>
      <sheetName val="A_p_r4"/>
      <sheetName val="00_received_in_014"/>
      <sheetName val="F_e_b4"/>
      <sheetName val="Per_GL_J_a_n4"/>
      <sheetName val="J_u_l4"/>
      <sheetName val="detial_TSA4"/>
      <sheetName val="Balance_Sheet4"/>
      <sheetName val="Income_Statement4"/>
      <sheetName val="Daftar_Karyawan3"/>
      <sheetName val="Customize_Your_Invoice3"/>
      <sheetName val="DB_KPP3"/>
      <sheetName val="S_Balik_WP3"/>
      <sheetName val="S_KPP3"/>
      <sheetName val="S_WP3"/>
      <sheetName val="Lamp_SPUH3"/>
      <sheetName val="26_A3"/>
      <sheetName val="no_SK3"/>
      <sheetName val="Data_Update3"/>
      <sheetName val="fiscal_depr(E)3"/>
      <sheetName val="fiscal_depr_E_3"/>
      <sheetName val="2_23"/>
      <sheetName val="7_123"/>
      <sheetName val="Sheet2_(2)23"/>
      <sheetName val="Purchase_Order_(2)22"/>
      <sheetName val="Customize_Your_Purchase_Order22"/>
      <sheetName val="CIVIC_1_6L(7ｶ国MA輸出)ｺｽﾄ22"/>
      <sheetName val="Master_KKP_Global_421"/>
      <sheetName val="CIVIC_1_6L(7??MA??)???21"/>
      <sheetName val="CIVIC_1_6L(7__MA__)___21"/>
      <sheetName val="pemegang_saham8"/>
      <sheetName val="proses_produksi8"/>
      <sheetName val="tenaga_kerja8"/>
      <sheetName val="Daftar_Pemotong8"/>
      <sheetName val="Analisa_ROA_dll_(2)8"/>
      <sheetName val="Laporan_Laba_rugi8"/>
      <sheetName val="Financial_Analysis2_(2)8"/>
      <sheetName val="Financial_Analysis18"/>
      <sheetName val="PPH_GB8"/>
      <sheetName val="A_p_r8"/>
      <sheetName val="00_received_in_018"/>
      <sheetName val="F_e_b8"/>
      <sheetName val="Per_GL_J_a_n8"/>
      <sheetName val="J_u_l8"/>
      <sheetName val="detial_TSA8"/>
      <sheetName val="Balance_Sheet8"/>
      <sheetName val="Income_Statement8"/>
      <sheetName val="Daftar_Karyawan7"/>
      <sheetName val="Customize_Your_Invoice7"/>
      <sheetName val="DB_KPP7"/>
      <sheetName val="S_Balik_WP7"/>
      <sheetName val="S_KPP7"/>
      <sheetName val="S_WP7"/>
      <sheetName val="Lamp_SPUH7"/>
      <sheetName val="26_A7"/>
      <sheetName val="no_SK7"/>
      <sheetName val="Data_Update7"/>
      <sheetName val="fiscal_depr(E)7"/>
      <sheetName val="fiscal_depr_E_7"/>
      <sheetName val="2_20"/>
      <sheetName val="7_120"/>
      <sheetName val="Sheet2_(2)20"/>
      <sheetName val="Purchase_Order_(2)19"/>
      <sheetName val="Customize_Your_Purchase_Order19"/>
      <sheetName val="CIVIC_1_6L(7ｶ国MA輸出)ｺｽﾄ19"/>
      <sheetName val="Master_KKP_Global_418"/>
      <sheetName val="CIVIC_1_6L(7??MA??)???18"/>
      <sheetName val="CIVIC_1_6L(7__MA__)___18"/>
      <sheetName val="pemegang_saham5"/>
      <sheetName val="proses_produksi5"/>
      <sheetName val="tenaga_kerja5"/>
      <sheetName val="Daftar_Pemotong5"/>
      <sheetName val="Analisa_ROA_dll_(2)5"/>
      <sheetName val="Laporan_Laba_rugi5"/>
      <sheetName val="Financial_Analysis2_(2)5"/>
      <sheetName val="Financial_Analysis15"/>
      <sheetName val="PPH_GB5"/>
      <sheetName val="A_p_r5"/>
      <sheetName val="00_received_in_015"/>
      <sheetName val="F_e_b5"/>
      <sheetName val="Per_GL_J_a_n5"/>
      <sheetName val="J_u_l5"/>
      <sheetName val="detial_TSA5"/>
      <sheetName val="Balance_Sheet5"/>
      <sheetName val="Income_Statement5"/>
      <sheetName val="Daftar_Karyawan4"/>
      <sheetName val="Customize_Your_Invoice4"/>
      <sheetName val="DB_KPP4"/>
      <sheetName val="S_Balik_WP4"/>
      <sheetName val="S_KPP4"/>
      <sheetName val="S_WP4"/>
      <sheetName val="Lamp_SPUH4"/>
      <sheetName val="26_A4"/>
      <sheetName val="no_SK4"/>
      <sheetName val="Data_Update4"/>
      <sheetName val="fiscal_depr(E)4"/>
      <sheetName val="fiscal_depr_E_4"/>
      <sheetName val="2_21"/>
      <sheetName val="7_121"/>
      <sheetName val="Sheet2_(2)21"/>
      <sheetName val="Purchase_Order_(2)20"/>
      <sheetName val="Customize_Your_Purchase_Order20"/>
      <sheetName val="CIVIC_1_6L(7ｶ国MA輸出)ｺｽﾄ20"/>
      <sheetName val="Master_KKP_Global_419"/>
      <sheetName val="CIVIC_1_6L(7??MA??)???19"/>
      <sheetName val="CIVIC_1_6L(7__MA__)___19"/>
      <sheetName val="pemegang_saham6"/>
      <sheetName val="proses_produksi6"/>
      <sheetName val="tenaga_kerja6"/>
      <sheetName val="Daftar_Pemotong6"/>
      <sheetName val="Analisa_ROA_dll_(2)6"/>
      <sheetName val="Laporan_Laba_rugi6"/>
      <sheetName val="Financial_Analysis2_(2)6"/>
      <sheetName val="Financial_Analysis16"/>
      <sheetName val="PPH_GB6"/>
      <sheetName val="A_p_r6"/>
      <sheetName val="00_received_in_016"/>
      <sheetName val="F_e_b6"/>
      <sheetName val="Per_GL_J_a_n6"/>
      <sheetName val="J_u_l6"/>
      <sheetName val="detial_TSA6"/>
      <sheetName val="Balance_Sheet6"/>
      <sheetName val="Income_Statement6"/>
      <sheetName val="Daftar_Karyawan5"/>
      <sheetName val="Customize_Your_Invoice5"/>
      <sheetName val="DB_KPP5"/>
      <sheetName val="S_Balik_WP5"/>
      <sheetName val="S_KPP5"/>
      <sheetName val="S_WP5"/>
      <sheetName val="Lamp_SPUH5"/>
      <sheetName val="26_A5"/>
      <sheetName val="no_SK5"/>
      <sheetName val="Data_Update5"/>
      <sheetName val="fiscal_depr(E)5"/>
      <sheetName val="fiscal_depr_E_5"/>
      <sheetName val="2_22"/>
      <sheetName val="7_122"/>
      <sheetName val="Sheet2_(2)22"/>
      <sheetName val="Purchase_Order_(2)21"/>
      <sheetName val="Customize_Your_Purchase_Order21"/>
      <sheetName val="CIVIC_1_6L(7ｶ国MA輸出)ｺｽﾄ21"/>
      <sheetName val="Master_KKP_Global_420"/>
      <sheetName val="CIVIC_1_6L(7??MA??)???20"/>
      <sheetName val="CIVIC_1_6L(7__MA__)___20"/>
      <sheetName val="pemegang_saham7"/>
      <sheetName val="proses_produksi7"/>
      <sheetName val="tenaga_kerja7"/>
      <sheetName val="Daftar_Pemotong7"/>
      <sheetName val="Analisa_ROA_dll_(2)7"/>
      <sheetName val="Laporan_Laba_rugi7"/>
      <sheetName val="Financial_Analysis2_(2)7"/>
      <sheetName val="Financial_Analysis17"/>
      <sheetName val="PPH_GB7"/>
      <sheetName val="A_p_r7"/>
      <sheetName val="00_received_in_017"/>
      <sheetName val="F_e_b7"/>
      <sheetName val="Per_GL_J_a_n7"/>
      <sheetName val="J_u_l7"/>
      <sheetName val="detial_TSA7"/>
      <sheetName val="Balance_Sheet7"/>
      <sheetName val="Income_Statement7"/>
      <sheetName val="Daftar_Karyawan6"/>
      <sheetName val="Customize_Your_Invoice6"/>
      <sheetName val="DB_KPP6"/>
      <sheetName val="S_Balik_WP6"/>
      <sheetName val="S_KPP6"/>
      <sheetName val="S_WP6"/>
      <sheetName val="Lamp_SPUH6"/>
      <sheetName val="26_A6"/>
      <sheetName val="no_SK6"/>
      <sheetName val="Data_Update6"/>
      <sheetName val="fiscal_depr(E)6"/>
      <sheetName val="fiscal_depr_E_6"/>
      <sheetName val="2_24"/>
      <sheetName val="7_124"/>
      <sheetName val="Sheet2_(2)24"/>
      <sheetName val="Purchase_Order_(2)23"/>
      <sheetName val="Customize_Your_Purchase_Order23"/>
      <sheetName val="CIVIC_1_6L(7ｶ国MA輸出)ｺｽﾄ23"/>
      <sheetName val="Master_KKP_Global_422"/>
      <sheetName val="CIVIC_1_6L(7??MA??)???22"/>
      <sheetName val="CIVIC_1_6L(7__MA__)___22"/>
      <sheetName val="pemegang_saham9"/>
      <sheetName val="proses_produksi9"/>
      <sheetName val="tenaga_kerja9"/>
      <sheetName val="Daftar_Pemotong9"/>
      <sheetName val="Analisa_ROA_dll_(2)9"/>
      <sheetName val="Laporan_Laba_rugi9"/>
      <sheetName val="Financial_Analysis2_(2)9"/>
      <sheetName val="Financial_Analysis19"/>
      <sheetName val="PPH_GB9"/>
      <sheetName val="A_p_r9"/>
      <sheetName val="00_received_in_019"/>
      <sheetName val="F_e_b9"/>
      <sheetName val="Per_GL_J_a_n9"/>
      <sheetName val="J_u_l9"/>
      <sheetName val="detial_TSA9"/>
      <sheetName val="Balance_Sheet9"/>
      <sheetName val="Income_Statement9"/>
      <sheetName val="Daftar_Karyawan8"/>
      <sheetName val="Customize_Your_Invoice8"/>
      <sheetName val="DB_KPP8"/>
      <sheetName val="S_Balik_WP8"/>
      <sheetName val="S_KPP8"/>
      <sheetName val="S_WP8"/>
      <sheetName val="Lamp_SPUH8"/>
      <sheetName val="26_A8"/>
      <sheetName val="no_SK8"/>
      <sheetName val="Data_Update8"/>
      <sheetName val="fiscal_depr(E)8"/>
      <sheetName val="fiscal_depr_E_8"/>
      <sheetName val="2_25"/>
      <sheetName val="7_125"/>
      <sheetName val="Sheet2_(2)25"/>
      <sheetName val="Purchase_Order_(2)24"/>
      <sheetName val="Customize_Your_Purchase_Order24"/>
      <sheetName val="CIVIC_1_6L(7ｶ国MA輸出)ｺｽﾄ24"/>
      <sheetName val="Master_KKP_Global_423"/>
      <sheetName val="CIVIC_1_6L(7??MA??)???23"/>
      <sheetName val="CIVIC_1_6L(7__MA__)___23"/>
      <sheetName val="pemegang_saham10"/>
      <sheetName val="proses_produksi10"/>
      <sheetName val="tenaga_kerja10"/>
      <sheetName val="Daftar_Pemotong10"/>
      <sheetName val="Analisa_ROA_dll_(2)10"/>
      <sheetName val="Laporan_Laba_rugi10"/>
      <sheetName val="Financial_Analysis2_(2)10"/>
      <sheetName val="Financial_Analysis110"/>
      <sheetName val="PPH_GB10"/>
      <sheetName val="A_p_r10"/>
      <sheetName val="00_received_in_0110"/>
      <sheetName val="F_e_b10"/>
      <sheetName val="Per_GL_J_a_n10"/>
      <sheetName val="J_u_l10"/>
      <sheetName val="detial_TSA10"/>
      <sheetName val="Balance_Sheet10"/>
      <sheetName val="Income_Statement10"/>
      <sheetName val="Daftar_Karyawan9"/>
      <sheetName val="Customize_Your_Invoice9"/>
      <sheetName val="DB_KPP9"/>
      <sheetName val="S_Balik_WP9"/>
      <sheetName val="S_KPP9"/>
      <sheetName val="S_WP9"/>
      <sheetName val="Lamp_SPUH9"/>
      <sheetName val="26_A9"/>
      <sheetName val="no_SK9"/>
      <sheetName val="Data_Update9"/>
      <sheetName val="fiscal_depr(E)9"/>
      <sheetName val="fiscal_depr_E_9"/>
      <sheetName val="Intang Amortization by Qtr"/>
      <sheetName val="lpp"/>
      <sheetName val="VENDOR - CROSS CLIENT INFO "/>
      <sheetName val="Account Code"/>
      <sheetName val="Permanent info"/>
      <sheetName val="Checker"/>
      <sheetName val="bag"/>
      <sheetName val="Raw data"/>
      <sheetName val="BACK DATA"/>
      <sheetName val="TB 06"/>
      <sheetName val="DataC&amp;S"/>
      <sheetName val="No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TANASHIN"/>
      <sheetName val="EPSON"/>
      <sheetName val="JVC"/>
      <sheetName val="FUJI FINE(YEN)"/>
      <sheetName val="MKI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NAKAJIMA"/>
      <sheetName val="REPORT-PR12"/>
      <sheetName val="Account Code"/>
      <sheetName val="SONY"/>
      <sheetName val="JVC COMMISSION"/>
      <sheetName val="Permanent info"/>
      <sheetName val="H7.1"/>
      <sheetName val="PRODUKSI"/>
      <sheetName val="5"/>
      <sheetName val="PIK_QUO"/>
      <sheetName val="PGCOM_USD"/>
      <sheetName val="FD_Interconnect"/>
      <sheetName val="PGCOM_YEN"/>
      <sheetName val="FUJI_FINE(YEN)"/>
      <sheetName val="FD_JAPAN"/>
      <sheetName val="FUJI_FINE(IDR)"/>
      <sheetName val="PT_SONY"/>
      <sheetName val="REPORT-PR12_(2)"/>
      <sheetName val="Account_Code"/>
      <sheetName val="JVC_COMMISSION"/>
      <sheetName val="Permanent_info"/>
      <sheetName val="Sheet5"/>
      <sheetName val="#REF"/>
      <sheetName val="PGCOM_USD1"/>
      <sheetName val="FD_Interconnect1"/>
      <sheetName val="PGCOM_YEN1"/>
      <sheetName val="FUJI_FINE(YEN)1"/>
      <sheetName val="FD_JAPAN1"/>
      <sheetName val="FUJI_FINE(IDR)1"/>
      <sheetName val="PT_SONY1"/>
      <sheetName val="REPORT-PR12_(2)1"/>
      <sheetName val="Account_Code1"/>
      <sheetName val="JVC_COMMISSION1"/>
      <sheetName val="Permanent_info1"/>
      <sheetName val="H7_1"/>
      <sheetName val="FE-1770-I"/>
      <sheetName val="FE-1770.P1"/>
      <sheetName val="Sheet2"/>
      <sheetName val="WBS - ASSETS"/>
      <sheetName val="PDPC0908"/>
      <sheetName val="PT Sales Day Book-PR'01"/>
      <sheetName val="KLHT"/>
      <sheetName val="fiscal depr(E)"/>
      <sheetName val="U2.2"/>
      <sheetName val="A1-B ASSET"/>
      <sheetName val="N2"/>
      <sheetName val="Q2"/>
      <sheetName val="MTO REV.2(ARMOR)"/>
      <sheetName val="Identitas"/>
      <sheetName val="สมมติฐาน"/>
      <sheetName val="F-3"/>
      <sheetName val="F-2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CArriage In"/>
      <sheetName val="FDM"/>
      <sheetName val="UNIAIR"/>
      <sheetName val="TAUPIK"/>
      <sheetName val="FUJI FINE(YEN)"/>
      <sheetName val="PRIMA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SANDEN"/>
      <sheetName val="REPORT-PR12 (2)"/>
      <sheetName val="REPORT-PR12"/>
      <sheetName val="Account Code"/>
      <sheetName val="JVC COMMISSION"/>
      <sheetName val="TB"/>
      <sheetName val="CArriage_In"/>
      <sheetName val="FUJI_FINE(YEN)"/>
      <sheetName val="FD_JAPAN"/>
      <sheetName val="FUJI_FINE(IDR)"/>
      <sheetName val="PT_SONY"/>
      <sheetName val="PT__PG_COM"/>
      <sheetName val="REPORT-PR12_(2)"/>
      <sheetName val="Account_Code"/>
      <sheetName val="JVC_COMMISSION"/>
      <sheetName val="COGM"/>
      <sheetName val="Index"/>
      <sheetName val="CArriage_In1"/>
      <sheetName val="FUJI_FINE(YEN)1"/>
      <sheetName val="FD_JAPAN1"/>
      <sheetName val="FUJI_FINE(IDR)1"/>
      <sheetName val="PT_SONY1"/>
      <sheetName val="PT__PG_COM1"/>
      <sheetName val="REPORT-PR12_(2)1"/>
      <sheetName val="Account_Code1"/>
      <sheetName val="JVC_COMMISSION1"/>
      <sheetName val="Invoice"/>
      <sheetName val="fiscal depr(E)"/>
      <sheetName val="KLHT"/>
      <sheetName val="Marsh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3"/>
      <sheetName val="GeneralInfo"/>
      <sheetName val="3800"/>
      <sheetName val="Permanent info"/>
      <sheetName val="設備費内訳"/>
      <sheetName val="検具"/>
      <sheetName val="仕様確認"/>
      <sheetName val="JUAL_STD"/>
      <sheetName val="fiscal depr(E)"/>
      <sheetName val="Rekap"/>
      <sheetName val="Detail_FA"/>
      <sheetName val="harga"/>
      <sheetName val="WS"/>
      <sheetName val="PPAP2"/>
      <sheetName val="ACT Cashflow"/>
      <sheetName val="PIK_QUO"/>
      <sheetName val="Lookup"/>
      <sheetName val="Vendor List"/>
      <sheetName val="I.4.1 (2)"/>
      <sheetName val="FE-1770.P1"/>
      <sheetName val="FE-1770-I"/>
      <sheetName val="daftar"/>
      <sheetName val="bdrl-usg"/>
      <sheetName val="HQ"/>
      <sheetName val="PEMAKAIAN PAKAN &amp; OBAT"/>
      <sheetName val="BS-RTI"/>
      <sheetName val="COA"/>
      <sheetName val="A1"/>
      <sheetName val="Data"/>
      <sheetName val="Analysis"/>
      <sheetName val="Income Statement"/>
      <sheetName val="Profile"/>
      <sheetName val="Balance Sheet"/>
      <sheetName val="Employees"/>
      <sheetName val="SAA"/>
      <sheetName val="9E1.3"/>
      <sheetName val="U301"/>
      <sheetName val="Data_Umum"/>
      <sheetName val="A6A"/>
      <sheetName val="fixed asset"/>
      <sheetName val="AA.1.1 BNI"/>
      <sheetName val="PL COPA"/>
      <sheetName val="asli"/>
      <sheetName val="Operating Cycle"/>
      <sheetName val="CODE"/>
      <sheetName val="TB2004"/>
      <sheetName val="0"/>
      <sheetName val="Reconcil.bal.sheet(out)"/>
      <sheetName val="Assets"/>
      <sheetName val="1A"/>
      <sheetName val="2100.1 Inventory by item "/>
      <sheetName val="JL_BEL"/>
      <sheetName val="DATA2"/>
      <sheetName val="hitung"/>
      <sheetName val="PDPC0908"/>
      <sheetName val="CRITERIA3"/>
      <sheetName val="Minilink Eqp EAB, CIP"/>
      <sheetName val="Working Paper"/>
      <sheetName val="Resource Costs"/>
      <sheetName val="Work Requirement"/>
      <sheetName val="Jan'09"/>
      <sheetName val="populasi"/>
      <sheetName val="CIP_USD"/>
      <sheetName val="ARPU-override"/>
      <sheetName val="Marshal -1"/>
      <sheetName val="DCF_VDF"/>
      <sheetName val="NOPAT_VDF"/>
      <sheetName val="Invested capital_VDF"/>
      <sheetName val="PV of Op Leases_VDF"/>
      <sheetName val="WACC_VDF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tabel"/>
      <sheetName val="Hutang"/>
      <sheetName val="decr_table"/>
      <sheetName val="Benefit_Tab"/>
      <sheetName val="Parameter"/>
      <sheetName val="output"/>
      <sheetName val="cALC"/>
      <sheetName val="PSC_Calc"/>
      <sheetName val="Difference Cons"/>
      <sheetName val="GAJI"/>
      <sheetName val="all data"/>
      <sheetName val="Lap PPh 21"/>
      <sheetName val="Harian"/>
      <sheetName val="Biaya"/>
      <sheetName val="LabaRugi"/>
      <sheetName val="Neraca"/>
      <sheetName val="CD&amp;Stok"/>
      <sheetName val="GL"/>
      <sheetName val="AA.1 BNI"/>
      <sheetName val="dec 09"/>
      <sheetName val="Daily Report"/>
      <sheetName val="DB LR"/>
      <sheetName val="DB Nrc"/>
      <sheetName val="Index"/>
      <sheetName val="Account Code"/>
      <sheetName val="Ex_Rate"/>
      <sheetName val="BELI _SEPTEMBER"/>
      <sheetName val="Lead-New'02"/>
      <sheetName val="Credit-22"/>
      <sheetName val="PROD.FRY-MONODON"/>
      <sheetName val="CRITERIA1"/>
      <sheetName val="JV Form"/>
      <sheetName val="Summary"/>
      <sheetName val="SALES_SUMMARY"/>
      <sheetName val="Instructions"/>
      <sheetName val="ACC_NUM"/>
      <sheetName val="1200-1.1"/>
      <sheetName val="1200-1.3"/>
      <sheetName val="1200-1.4"/>
      <sheetName val="Tes Building"/>
      <sheetName val="1200.5"/>
      <sheetName val="1200_7"/>
      <sheetName val="1200_8"/>
      <sheetName val="PPh Ps.21 Cabang"/>
      <sheetName val="Original"/>
      <sheetName val="Consolidated"/>
      <sheetName val="1200.1.1.1 Detail Mesin PA3"/>
      <sheetName val="AUG02"/>
      <sheetName val="Marshal"/>
      <sheetName val="Danamon LK"/>
      <sheetName val="Daf. KPP"/>
      <sheetName val="WP CF"/>
      <sheetName val="duct"/>
      <sheetName val="Daftmat"/>
      <sheetName val="GLdownload"/>
      <sheetName val="TELKOM"/>
      <sheetName val="Answer"/>
      <sheetName val="AT"/>
      <sheetName val="CH-OV"/>
      <sheetName val="Lamp-14(Manajemen)"/>
      <sheetName val="Pay-0898"/>
      <sheetName val="BAP "/>
      <sheetName val="Sample Confirmation"/>
      <sheetName val="BI Rate"/>
      <sheetName val="L1.1 Lead"/>
      <sheetName val="Department"/>
      <sheetName val="TB"/>
      <sheetName val="#REF"/>
      <sheetName val="date"/>
      <sheetName val="Raw data"/>
      <sheetName val="L12 Akt Tetap"/>
      <sheetName val="NAMA DEPT"/>
      <sheetName val="ASSUM-COMB-Prop"/>
      <sheetName val="HPP Crt"/>
      <sheetName val="data_val"/>
      <sheetName val="Ranges"/>
      <sheetName val="PPH GB"/>
      <sheetName val="Key drivers"/>
      <sheetName val="5"/>
      <sheetName val="koding original"/>
      <sheetName val=" BEP-1999"/>
      <sheetName val="FIXED FLOAT"/>
      <sheetName val="KBB-CIB BANK"/>
      <sheetName val="PRO"/>
      <sheetName val="List-Value"/>
      <sheetName val="volume"/>
      <sheetName val="Data Alat"/>
      <sheetName val="Altman Z Score"/>
      <sheetName val="Allowance"/>
      <sheetName val="Trainer"/>
      <sheetName val="Tabelle1"/>
      <sheetName val="LOADLY"/>
      <sheetName val="table"/>
      <sheetName val="Packing List"/>
      <sheetName val="ytd"/>
      <sheetName val="po 05"/>
      <sheetName val="po 06"/>
      <sheetName val="Staff List"/>
      <sheetName val="des"/>
      <sheetName val="A 3-2"/>
      <sheetName val="COVER"/>
      <sheetName val="PENJ.NERACA"/>
      <sheetName val="MACHINE"/>
      <sheetName val="Other charges _income_"/>
      <sheetName val="Shareholders' Equity"/>
      <sheetName val="RL"/>
      <sheetName val="3800-Interim"/>
      <sheetName val="C_OA"/>
      <sheetName val="kki"/>
      <sheetName val="fin pro centers"/>
      <sheetName val="adj"/>
      <sheetName val="Nursery"/>
      <sheetName val="Breakeven Analysis Data"/>
      <sheetName val="Fak_aktif"/>
      <sheetName val="chemcal"/>
      <sheetName val="FE-1770-II"/>
      <sheetName val="GL (1)"/>
      <sheetName val="DataOR"/>
      <sheetName val="AA_1_1 BNI"/>
      <sheetName val="Forecasts_VDF"/>
      <sheetName val="HS"/>
      <sheetName val="Material&amp;Upah"/>
      <sheetName val="Sum_BD"/>
      <sheetName val="DATA2009"/>
      <sheetName val="design0205-BARU-11-04-05"/>
      <sheetName val="DATAJUNI"/>
      <sheetName val="DATAOKT"/>
      <sheetName val="DIV1"/>
      <sheetName val="Input Data"/>
      <sheetName val="BasicPrice"/>
      <sheetName val="Rincian"/>
      <sheetName val="1200.1.3"/>
      <sheetName val="Bal Sheet"/>
      <sheetName val="WP AKTIVA"/>
      <sheetName val="Serv Jan 12"/>
      <sheetName val="Jun"/>
      <sheetName val="Okt"/>
      <sheetName val="Agt"/>
      <sheetName val="Rkap-07"/>
      <sheetName val="Rkap-08"/>
      <sheetName val="PROG"/>
      <sheetName val="Real-07"/>
      <sheetName val="DataDivisi"/>
      <sheetName val="MENU"/>
      <sheetName val="AP"/>
      <sheetName val="KKN"/>
      <sheetName val="Data Asuransi"/>
      <sheetName val="LS"/>
      <sheetName val="OFF"/>
      <sheetName val="Sens"/>
      <sheetName val="Mkt"/>
      <sheetName val="Trf"/>
      <sheetName val="Opex"/>
      <sheetName val="har-sat"/>
      <sheetName val="Sheet4"/>
      <sheetName val="pesd_bahan"/>
      <sheetName val="WPL"/>
      <sheetName val="MALE"/>
      <sheetName val="IND"/>
      <sheetName val="BPW-Europe"/>
      <sheetName val="Lists"/>
      <sheetName val="PP&amp;E"/>
      <sheetName val="Permanent_info"/>
      <sheetName val="fiscal_depr(E)"/>
      <sheetName val="ACT_Cashflow"/>
      <sheetName val="Vendor_List"/>
      <sheetName val="I_4_1_(2)"/>
      <sheetName val="FE-1770_P1"/>
      <sheetName val="PEMAKAIAN_PAKAN_&amp;_OBAT"/>
      <sheetName val="Income_Statement"/>
      <sheetName val="Balance_Sheet"/>
      <sheetName val="9E1_3"/>
      <sheetName val="fixed_asset"/>
      <sheetName val="AA_1_1_BNI"/>
      <sheetName val="PL_COPA"/>
      <sheetName val="Operating_Cycle"/>
      <sheetName val="Reconcil_bal_sheet(out)"/>
      <sheetName val="2100_1_Inventory_by_item_"/>
      <sheetName val="Minilink_Eqp_EAB,_CIP"/>
      <sheetName val="Working_Paper"/>
      <sheetName val="Resource_Costs"/>
      <sheetName val="Work_Requirement"/>
      <sheetName val="Marshal_-1"/>
      <sheetName val="Invested_capital_VDF"/>
      <sheetName val="PV_of_Op_Leases_VDF"/>
      <sheetName val="Performance_Detail_SI"/>
      <sheetName val="PIVOT_OH"/>
      <sheetName val="TB_RBB"/>
      <sheetName val="TB_SME"/>
      <sheetName val="PIVOT_GM"/>
      <sheetName val="Difference_Cons"/>
      <sheetName val="all_data"/>
      <sheetName val="Lap_PPh_21"/>
      <sheetName val="AA_1_BNI"/>
      <sheetName val="dec_09"/>
      <sheetName val="Daily_Report"/>
      <sheetName val="DB_LR"/>
      <sheetName val="DB_Nrc"/>
      <sheetName val="Account_Code"/>
      <sheetName val="BELI__SEPTEMBER"/>
      <sheetName val="PROD_FRY-MONODON"/>
      <sheetName val="JV_Form"/>
      <sheetName val="1200-1_1"/>
      <sheetName val="1200-1_3"/>
      <sheetName val="1200-1_4"/>
      <sheetName val="Tes_Building"/>
      <sheetName val="1200_5"/>
      <sheetName val="PPh_Ps_21_Cabang"/>
      <sheetName val="Danamon_LK"/>
      <sheetName val="Raw_data"/>
      <sheetName val="WP_CF"/>
      <sheetName val="1200_1_1_1_Detail_Mesin_PA3"/>
      <sheetName val="Daf__KPP"/>
      <sheetName val="L12_Akt_Tetap"/>
      <sheetName val="PENJ_NERACA"/>
      <sheetName val="Other_charges__income_"/>
      <sheetName val="Permanent_info1"/>
      <sheetName val="fiscal_depr(E)1"/>
      <sheetName val="ACT_Cashflow1"/>
      <sheetName val="Vendor_List1"/>
      <sheetName val="I_4_1_(2)1"/>
      <sheetName val="FE-1770_P11"/>
      <sheetName val="PEMAKAIAN_PAKAN_&amp;_OBAT1"/>
      <sheetName val="Income_Statement1"/>
      <sheetName val="Balance_Sheet1"/>
      <sheetName val="9E1_31"/>
      <sheetName val="fixed_asset1"/>
      <sheetName val="AA_1_1_BNI1"/>
      <sheetName val="PL_COPA1"/>
      <sheetName val="Operating_Cycle1"/>
      <sheetName val="Reconcil_bal_sheet(out)1"/>
      <sheetName val="2100_1_Inventory_by_item_1"/>
      <sheetName val="Minilink_Eqp_EAB,_CIP1"/>
      <sheetName val="Working_Paper1"/>
      <sheetName val="Resource_Costs1"/>
      <sheetName val="Work_Requirement1"/>
      <sheetName val="Marshal_-11"/>
      <sheetName val="Invested_capital_VDF1"/>
      <sheetName val="PV_of_Op_Leases_VDF1"/>
      <sheetName val="Performance_Detail_SI1"/>
      <sheetName val="PIVOT_OH1"/>
      <sheetName val="TB_RBB1"/>
      <sheetName val="TB_SME1"/>
      <sheetName val="PIVOT_GM1"/>
      <sheetName val="Difference_Cons1"/>
      <sheetName val="all_data1"/>
      <sheetName val="Lap_PPh_211"/>
      <sheetName val="AA_1_BNI1"/>
      <sheetName val="dec_091"/>
      <sheetName val="Daily_Report1"/>
      <sheetName val="DB_LR1"/>
      <sheetName val="DB_Nrc1"/>
      <sheetName val="Account_Code1"/>
      <sheetName val="BELI__SEPTEMBER1"/>
      <sheetName val="PROD_FRY-MONODON1"/>
      <sheetName val="JV_Form1"/>
      <sheetName val="1200-1_11"/>
      <sheetName val="1200-1_31"/>
      <sheetName val="1200-1_41"/>
      <sheetName val="Tes_Building1"/>
      <sheetName val="1200_51"/>
      <sheetName val="PPh_Ps_21_Cabang1"/>
      <sheetName val="Danamon_LK1"/>
      <sheetName val="Raw_data1"/>
      <sheetName val="WP_CF1"/>
      <sheetName val="1200_1_1_1_Detail_Mesin_PA31"/>
      <sheetName val="Daf__KPP1"/>
      <sheetName val="L12_Akt_Tetap1"/>
      <sheetName val="PENJ_NERACA1"/>
      <sheetName val="Other_charges__income_1"/>
      <sheetName val="Link List"/>
      <sheetName val="se-c"/>
      <sheetName val="Data Base"/>
      <sheetName val="RumusTB 1 bln"/>
      <sheetName val="Permanent_info2"/>
      <sheetName val="fiscal_depr(E)2"/>
      <sheetName val="I_4_1_(2)2"/>
      <sheetName val="ACT_Cashflow2"/>
      <sheetName val="Vendor_List2"/>
      <sheetName val="PEMAKAIAN_PAKAN_&amp;_OBAT2"/>
      <sheetName val="FE-1770_P12"/>
      <sheetName val="AA_1_1_BNI2"/>
      <sheetName val="PL_COPA2"/>
      <sheetName val="fixed_asset2"/>
      <sheetName val="Income_Statement2"/>
      <sheetName val="Operating_Cycle2"/>
      <sheetName val="Reconcil_bal_sheet(out)2"/>
      <sheetName val="Balance_Sheet2"/>
      <sheetName val="9E1_32"/>
      <sheetName val="2100_1_Inventory_by_item_2"/>
      <sheetName val="SSP"/>
      <sheetName val="Komputer"/>
      <sheetName val="exf"/>
      <sheetName val="2-JTW"/>
      <sheetName val="Produksi &amp; Scedule"/>
      <sheetName val="INCOME"/>
      <sheetName val="R_PPTBMALL"/>
      <sheetName val="shipping_program"/>
      <sheetName val="Rekapitulasi"/>
      <sheetName val="Prog Imbalan"/>
      <sheetName val="BQ-Tenis"/>
      <sheetName val="Arsitektur"/>
      <sheetName val="Material"/>
      <sheetName val="BOQ_Aula"/>
      <sheetName val="Prelim"/>
      <sheetName val="DATA21"/>
      <sheetName val="KAS $"/>
      <sheetName val="HITUNG-HPP,25"/>
      <sheetName val="F-2"/>
      <sheetName val="Paring"/>
      <sheetName val="Interacc2"/>
      <sheetName val="Depo"/>
      <sheetName val="Prex"/>
      <sheetName val="UNIT1"/>
      <sheetName val="UNIT2"/>
      <sheetName val="NB UN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Sheet"/>
      <sheetName val="Profit&amp;Loss"/>
      <sheetName val="audit aje"/>
      <sheetName val="sort audit"/>
      <sheetName val="Client AJE"/>
      <sheetName val="sort-client"/>
      <sheetName val="Lead COGS"/>
      <sheetName val="cashflow"/>
      <sheetName val="AJE"/>
      <sheetName val="SUD"/>
      <sheetName val="GT_Custom"/>
      <sheetName val="NAMA DEPT"/>
      <sheetName val="audit_aje2"/>
      <sheetName val="sort_audit2"/>
      <sheetName val="Client_AJE2"/>
      <sheetName val="Lead_COGS2"/>
      <sheetName val="audit_aje"/>
      <sheetName val="sort_audit"/>
      <sheetName val="Client_AJE"/>
      <sheetName val="Lead_COGS"/>
      <sheetName val="audit_aje1"/>
      <sheetName val="sort_audit1"/>
      <sheetName val="Client_AJE1"/>
      <sheetName val="Lead_COGS1"/>
      <sheetName val="audit_aje3"/>
      <sheetName val="sort_audit3"/>
      <sheetName val="Client_AJE3"/>
      <sheetName val="Lead_COGS3"/>
      <sheetName val="audit_aje8"/>
      <sheetName val="sort_audit8"/>
      <sheetName val="Client_AJE8"/>
      <sheetName val="Lead_COGS8"/>
      <sheetName val="audit_aje6"/>
      <sheetName val="sort_audit6"/>
      <sheetName val="Client_AJE6"/>
      <sheetName val="Lead_COGS6"/>
      <sheetName val="audit_aje5"/>
      <sheetName val="sort_audit5"/>
      <sheetName val="Client_AJE5"/>
      <sheetName val="Lead_COGS5"/>
      <sheetName val="audit_aje4"/>
      <sheetName val="sort_audit4"/>
      <sheetName val="Client_AJE4"/>
      <sheetName val="Lead_COGS4"/>
      <sheetName val="audit_aje7"/>
      <sheetName val="sort_audit7"/>
      <sheetName val="Client_AJE7"/>
      <sheetName val="Lead_COGS7"/>
      <sheetName val="audit_aje9"/>
      <sheetName val="sort_audit9"/>
      <sheetName val="Client_AJE9"/>
      <sheetName val="Lead_COGS9"/>
      <sheetName val="audit_aje11"/>
      <sheetName val="sort_audit11"/>
      <sheetName val="Client_AJE11"/>
      <sheetName val="Lead_COGS11"/>
      <sheetName val="audit_aje10"/>
      <sheetName val="sort_audit10"/>
      <sheetName val="Client_AJE10"/>
      <sheetName val="Lead_COGS10"/>
      <sheetName val="audit_aje13"/>
      <sheetName val="sort_audit13"/>
      <sheetName val="Client_AJE13"/>
      <sheetName val="Lead_COGS13"/>
      <sheetName val="NAMA_DEPT1"/>
      <sheetName val="audit_aje12"/>
      <sheetName val="sort_audit12"/>
      <sheetName val="Client_AJE12"/>
      <sheetName val="Lead_COGS12"/>
      <sheetName val="NAMA_DEPT"/>
      <sheetName val="audit_aje17"/>
      <sheetName val="sort_audit17"/>
      <sheetName val="Client_AJE17"/>
      <sheetName val="Lead_COGS17"/>
      <sheetName val="NAMA_DEPT5"/>
      <sheetName val="audit_aje15"/>
      <sheetName val="sort_audit15"/>
      <sheetName val="Client_AJE15"/>
      <sheetName val="Lead_COGS15"/>
      <sheetName val="NAMA_DEPT3"/>
      <sheetName val="audit_aje14"/>
      <sheetName val="sort_audit14"/>
      <sheetName val="Client_AJE14"/>
      <sheetName val="Lead_COGS14"/>
      <sheetName val="NAMA_DEPT2"/>
      <sheetName val="audit_aje16"/>
      <sheetName val="sort_audit16"/>
      <sheetName val="Client_AJE16"/>
      <sheetName val="Lead_COGS16"/>
      <sheetName val="NAMA_DEPT4"/>
      <sheetName val="audit_aje18"/>
      <sheetName val="sort_audit18"/>
      <sheetName val="Client_AJE18"/>
      <sheetName val="Lead_COGS18"/>
      <sheetName val="NAMA_DEPT6"/>
      <sheetName val="audit_aje19"/>
      <sheetName val="sort_audit19"/>
      <sheetName val="Client_AJE19"/>
      <sheetName val="Lead_COGS19"/>
      <sheetName val="NAMA_DEPT7"/>
      <sheetName val="audit_aje32"/>
      <sheetName val="sort_audit32"/>
      <sheetName val="Client_AJE32"/>
      <sheetName val="Lead_COGS32"/>
      <sheetName val="NAMA_DEPT20"/>
      <sheetName val="audit_aje21"/>
      <sheetName val="sort_audit21"/>
      <sheetName val="Client_AJE21"/>
      <sheetName val="Lead_COGS21"/>
      <sheetName val="NAMA_DEPT9"/>
      <sheetName val="audit_aje20"/>
      <sheetName val="sort_audit20"/>
      <sheetName val="Client_AJE20"/>
      <sheetName val="Lead_COGS20"/>
      <sheetName val="NAMA_DEPT8"/>
      <sheetName val="audit_aje25"/>
      <sheetName val="sort_audit25"/>
      <sheetName val="Client_AJE25"/>
      <sheetName val="Lead_COGS25"/>
      <sheetName val="NAMA_DEPT13"/>
      <sheetName val="audit_aje22"/>
      <sheetName val="sort_audit22"/>
      <sheetName val="Client_AJE22"/>
      <sheetName val="Lead_COGS22"/>
      <sheetName val="NAMA_DEPT10"/>
      <sheetName val="audit_aje24"/>
      <sheetName val="sort_audit24"/>
      <sheetName val="Client_AJE24"/>
      <sheetName val="Lead_COGS24"/>
      <sheetName val="NAMA_DEPT12"/>
      <sheetName val="audit_aje23"/>
      <sheetName val="sort_audit23"/>
      <sheetName val="Client_AJE23"/>
      <sheetName val="Lead_COGS23"/>
      <sheetName val="NAMA_DEPT11"/>
      <sheetName val="audit_aje31"/>
      <sheetName val="sort_audit31"/>
      <sheetName val="Client_AJE31"/>
      <sheetName val="Lead_COGS31"/>
      <sheetName val="NAMA_DEPT19"/>
      <sheetName val="audit_aje30"/>
      <sheetName val="sort_audit30"/>
      <sheetName val="Client_AJE30"/>
      <sheetName val="Lead_COGS30"/>
      <sheetName val="NAMA_DEPT18"/>
      <sheetName val="audit_aje27"/>
      <sheetName val="sort_audit27"/>
      <sheetName val="Client_AJE27"/>
      <sheetName val="Lead_COGS27"/>
      <sheetName val="NAMA_DEPT15"/>
      <sheetName val="audit_aje26"/>
      <sheetName val="sort_audit26"/>
      <sheetName val="Client_AJE26"/>
      <sheetName val="Lead_COGS26"/>
      <sheetName val="NAMA_DEPT14"/>
      <sheetName val="audit_aje28"/>
      <sheetName val="sort_audit28"/>
      <sheetName val="Client_AJE28"/>
      <sheetName val="Lead_COGS28"/>
      <sheetName val="NAMA_DEPT16"/>
      <sheetName val="audit_aje29"/>
      <sheetName val="sort_audit29"/>
      <sheetName val="Client_AJE29"/>
      <sheetName val="Lead_COGS29"/>
      <sheetName val="NAMA_DEPT17"/>
      <sheetName val="audit_aje33"/>
      <sheetName val="sort_audit33"/>
      <sheetName val="Client_AJE33"/>
      <sheetName val="Lead_COGS33"/>
      <sheetName val="NAMA_DEPT21"/>
      <sheetName val="audit_aje34"/>
      <sheetName val="sort_audit34"/>
      <sheetName val="Client_AJE34"/>
      <sheetName val="Lead_COGS34"/>
      <sheetName val="NAMA_DEPT22"/>
      <sheetName val="audit_aje38"/>
      <sheetName val="sort_audit38"/>
      <sheetName val="Client_AJE38"/>
      <sheetName val="Lead_COGS38"/>
      <sheetName val="NAMA_DEPT26"/>
      <sheetName val="audit_aje35"/>
      <sheetName val="sort_audit35"/>
      <sheetName val="Client_AJE35"/>
      <sheetName val="Lead_COGS35"/>
      <sheetName val="NAMA_DEPT23"/>
      <sheetName val="audit_aje36"/>
      <sheetName val="sort_audit36"/>
      <sheetName val="Client_AJE36"/>
      <sheetName val="Lead_COGS36"/>
      <sheetName val="NAMA_DEPT24"/>
      <sheetName val="audit_aje37"/>
      <sheetName val="sort_audit37"/>
      <sheetName val="Client_AJE37"/>
      <sheetName val="Lead_COGS37"/>
      <sheetName val="NAMA_DEPT25"/>
      <sheetName val="audit_aje39"/>
      <sheetName val="sort_audit39"/>
      <sheetName val="Client_AJE39"/>
      <sheetName val="Lead_COGS39"/>
      <sheetName val="NAMA_DEPT27"/>
      <sheetName val="audit_aje40"/>
      <sheetName val="sort_audit40"/>
      <sheetName val="Client_AJE40"/>
      <sheetName val="Lead_COGS40"/>
      <sheetName val="NAMA_DEPT28"/>
      <sheetName val="audit_aje41"/>
      <sheetName val="sort_audit41"/>
      <sheetName val="Client_AJE41"/>
      <sheetName val="Lead_COGS41"/>
      <sheetName val="NAMA_DEPT29"/>
      <sheetName val="audit_aje42"/>
      <sheetName val="sort_audit42"/>
      <sheetName val="Client_AJE42"/>
      <sheetName val="Lead_COGS42"/>
      <sheetName val="NAMA_DEPT30"/>
      <sheetName val="audit_aje43"/>
      <sheetName val="sort_audit43"/>
      <sheetName val="Client_AJE43"/>
      <sheetName val="Lead_COGS43"/>
      <sheetName val="NAMA_DEPT31"/>
      <sheetName val="audit_aje45"/>
      <sheetName val="sort_audit45"/>
      <sheetName val="Client_AJE45"/>
      <sheetName val="Lead_COGS45"/>
      <sheetName val="NAMA_DEPT33"/>
      <sheetName val="audit_aje44"/>
      <sheetName val="sort_audit44"/>
      <sheetName val="Client_AJE44"/>
      <sheetName val="Lead_COGS44"/>
      <sheetName val="NAMA_DEPT32"/>
      <sheetName val="audit_aje46"/>
      <sheetName val="sort_audit46"/>
      <sheetName val="Client_AJE46"/>
      <sheetName val="Lead_COGS46"/>
      <sheetName val="NAMA_DEPT34"/>
      <sheetName val="audit_aje48"/>
      <sheetName val="sort_audit48"/>
      <sheetName val="Client_AJE48"/>
      <sheetName val="Lead_COGS48"/>
      <sheetName val="NAMA_DEPT36"/>
      <sheetName val="audit_aje47"/>
      <sheetName val="sort_audit47"/>
      <sheetName val="Client_AJE47"/>
      <sheetName val="Lead_COGS47"/>
      <sheetName val="NAMA_DEPT35"/>
      <sheetName val="audit_aje49"/>
      <sheetName val="sort_audit49"/>
      <sheetName val="Client_AJE49"/>
      <sheetName val="Lead_COGS49"/>
      <sheetName val="NAMA_DEPT37"/>
      <sheetName val="audit_aje51"/>
      <sheetName val="sort_audit51"/>
      <sheetName val="Client_AJE51"/>
      <sheetName val="Lead_COGS51"/>
      <sheetName val="NAMA_DEPT39"/>
      <sheetName val="audit_aje50"/>
      <sheetName val="sort_audit50"/>
      <sheetName val="Client_AJE50"/>
      <sheetName val="Lead_COGS50"/>
      <sheetName val="NAMA_DEPT38"/>
      <sheetName val="audit_aje52"/>
      <sheetName val="sort_audit52"/>
      <sheetName val="Client_AJE52"/>
      <sheetName val="Lead_COGS52"/>
      <sheetName val="NAMA_DEPT40"/>
      <sheetName val="audit_aje54"/>
      <sheetName val="sort_audit54"/>
      <sheetName val="Client_AJE54"/>
      <sheetName val="Lead_COGS54"/>
      <sheetName val="NAMA_DEPT42"/>
      <sheetName val="audit_aje53"/>
      <sheetName val="sort_audit53"/>
      <sheetName val="Client_AJE53"/>
      <sheetName val="Lead_COGS53"/>
      <sheetName val="NAMA_DEPT41"/>
      <sheetName val="audit_aje55"/>
      <sheetName val="sort_audit55"/>
      <sheetName val="Client_AJE55"/>
      <sheetName val="Lead_COGS55"/>
      <sheetName val="NAMA_DEPT43"/>
      <sheetName val="audit_aje57"/>
      <sheetName val="sort_audit57"/>
      <sheetName val="Client_AJE57"/>
      <sheetName val="Lead_COGS57"/>
      <sheetName val="NAMA_DEPT45"/>
      <sheetName val="audit_aje56"/>
      <sheetName val="sort_audit56"/>
      <sheetName val="Client_AJE56"/>
      <sheetName val="Lead_COGS56"/>
      <sheetName val="NAMA_DEPT44"/>
      <sheetName val="audit_aje58"/>
      <sheetName val="sort_audit58"/>
      <sheetName val="Client_AJE58"/>
      <sheetName val="Lead_COGS58"/>
      <sheetName val="NAMA_DEPT46"/>
      <sheetName val="CIP Ledger"/>
      <sheetName val="F1771"/>
      <sheetName val="List"/>
      <sheetName val="GeneralInfo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5"/>
      <sheetName val="EditInput"/>
      <sheetName val="Deprec"/>
      <sheetName val="FORM 2.3"/>
      <sheetName val="Permanent info"/>
      <sheetName val="Sales Order"/>
      <sheetName val="Sales Order Parts"/>
      <sheetName val="TAKE IN SALES 2019"/>
      <sheetName val="Category Parts 2019"/>
      <sheetName val="TAKE IN SALES 2018"/>
      <sheetName val="Category Parts 2018"/>
      <sheetName val="TAKE IN SALES 2017"/>
      <sheetName val="Category Parts 2017"/>
      <sheetName val="TAKE IN SALES NEW FORMAT 2016"/>
      <sheetName val="Category Parts 2016"/>
      <sheetName val="TAKE IN SALES 2013"/>
      <sheetName val="TAKE IN SALES 2014"/>
      <sheetName val="TAKE IN SALES 2015"/>
      <sheetName val="TAKE IN SALES NEW FORMAT 2015"/>
      <sheetName val="Category Parts 2015"/>
      <sheetName val="Shimpo 2013"/>
      <sheetName val="Sales Order Parts 2013"/>
      <sheetName val="Parts-system proportion"/>
      <sheetName val="Category Parts 2014"/>
      <sheetName val="audit_aje59"/>
      <sheetName val="sort_audit59"/>
      <sheetName val="Client_AJE59"/>
      <sheetName val="Lead_COGS59"/>
      <sheetName val="NAMA_DEPT47"/>
      <sheetName val="CIP_Ledger"/>
      <sheetName val="DEPT"/>
      <sheetName val="Purchase Order (2)"/>
      <sheetName val="Customize Your Purchase Order"/>
      <sheetName val="PRODUKSI"/>
      <sheetName val="H7.1"/>
      <sheetName val="PEMAKAIAN PAKAN _ OBAT"/>
      <sheetName val="Family"/>
      <sheetName val="audit_aje60"/>
      <sheetName val="sort_audit60"/>
      <sheetName val="Client_AJE60"/>
      <sheetName val="Lead_COGS60"/>
      <sheetName val="NAMA_DEPT48"/>
      <sheetName val="CIP_Ledger1"/>
      <sheetName val="FORM_2_3"/>
      <sheetName val="Permanent_info"/>
      <sheetName val="Sales_Order"/>
      <sheetName val="Sales_Order_Parts"/>
      <sheetName val="TAKE_IN_SALES_2019"/>
      <sheetName val="Category_Parts_2019"/>
      <sheetName val="TAKE_IN_SALES_2018"/>
      <sheetName val="Category_Parts_2018"/>
      <sheetName val="TAKE_IN_SALES_2017"/>
      <sheetName val="Category_Parts_2017"/>
      <sheetName val="TAKE_IN_SALES_NEW_FORMAT_2016"/>
      <sheetName val="Category_Parts_2016"/>
      <sheetName val="TAKE_IN_SALES_2013"/>
      <sheetName val="TAKE_IN_SALES_2014"/>
      <sheetName val="TAKE_IN_SALES_2015"/>
      <sheetName val="TAKE_IN_SALES_NEW_FORMAT_2015"/>
      <sheetName val="Category_Parts_2015"/>
      <sheetName val="Shimpo_2013"/>
      <sheetName val="Sales_Order_Parts_2013"/>
      <sheetName val="Parts-system_proportion"/>
      <sheetName val="Category_Parts_2014"/>
      <sheetName val="addl cost"/>
      <sheetName val="accumdeprn"/>
      <sheetName val="PIK_QUO"/>
      <sheetName val="audit_aje61"/>
      <sheetName val="sort_audit61"/>
      <sheetName val="Client_AJE61"/>
      <sheetName val="Lead_COGS61"/>
      <sheetName val="NAMA_DEPT49"/>
      <sheetName val="CIP_Ledger2"/>
      <sheetName val="Permanent_info1"/>
      <sheetName val="FORM_2_31"/>
      <sheetName val="Sales_Order1"/>
      <sheetName val="Sales_Order_Parts1"/>
      <sheetName val="TAKE_IN_SALES_20191"/>
      <sheetName val="Category_Parts_20191"/>
      <sheetName val="TAKE_IN_SALES_20181"/>
      <sheetName val="Category_Parts_20181"/>
      <sheetName val="TAKE_IN_SALES_20171"/>
      <sheetName val="Category_Parts_20171"/>
      <sheetName val="TAKE_IN_SALES_NEW_FORMAT_20161"/>
      <sheetName val="Category_Parts_20161"/>
      <sheetName val="TAKE_IN_SALES_20131"/>
      <sheetName val="TAKE_IN_SALES_20141"/>
      <sheetName val="TAKE_IN_SALES_20151"/>
      <sheetName val="TAKE_IN_SALES_NEW_FORMAT_20151"/>
      <sheetName val="Category_Parts_20151"/>
      <sheetName val="Shimpo_20131"/>
      <sheetName val="Sales_Order_Parts_20131"/>
      <sheetName val="Parts-system_proportion1"/>
      <sheetName val="Category_Parts_20141"/>
      <sheetName val="Purchase_Order_(2)1"/>
      <sheetName val="Customize_Your_Purchase_Order1"/>
      <sheetName val="H7_11"/>
      <sheetName val="Purchase_Order_(2)"/>
      <sheetName val="Customize_Your_Purchase_Order"/>
      <sheetName val="H7_1"/>
      <sheetName val="M-1 Nov"/>
      <sheetName val="Raw data"/>
      <sheetName val="PARAMETER"/>
      <sheetName val="worksheet Asno4"/>
      <sheetName val="Nursery"/>
      <sheetName val="Instructions"/>
      <sheetName val="Department"/>
      <sheetName val="Input Yield"/>
      <sheetName val="PH Data"/>
      <sheetName val="Syarat"/>
      <sheetName val="audit_aje62"/>
      <sheetName val="sort_audit62"/>
      <sheetName val="Client_AJE62"/>
      <sheetName val="Lead_COGS62"/>
      <sheetName val="NAMA_DEPT50"/>
      <sheetName val="CIP_Ledger3"/>
      <sheetName val="FORM_2_32"/>
      <sheetName val="Permanent_info2"/>
      <sheetName val="Sales_Order2"/>
      <sheetName val="Sales_Order_Parts2"/>
      <sheetName val="TAKE_IN_SALES_20192"/>
      <sheetName val="Category_Parts_20192"/>
      <sheetName val="TAKE_IN_SALES_20182"/>
      <sheetName val="Category_Parts_20182"/>
      <sheetName val="TAKE_IN_SALES_20172"/>
      <sheetName val="Category_Parts_20172"/>
      <sheetName val="TAKE_IN_SALES_NEW_FORMAT_20162"/>
      <sheetName val="Category_Parts_20162"/>
      <sheetName val="TAKE_IN_SALES_20132"/>
      <sheetName val="TAKE_IN_SALES_20142"/>
      <sheetName val="TAKE_IN_SALES_20152"/>
      <sheetName val="TAKE_IN_SALES_NEW_FORMAT_20152"/>
      <sheetName val="Category_Parts_20152"/>
      <sheetName val="Shimpo_20132"/>
      <sheetName val="Sales_Order_Parts_20132"/>
      <sheetName val="Parts-system_proportion2"/>
      <sheetName val="Category_Parts_20142"/>
      <sheetName val="Purchase_Order_(2)2"/>
      <sheetName val="Customize_Your_Purchase_Order2"/>
      <sheetName val="H7_12"/>
      <sheetName val="PEMAKAIAN_PAKAN___OBAT"/>
      <sheetName val="addl_cost"/>
      <sheetName val="M-1_Nov"/>
      <sheetName val="Raw_data"/>
      <sheetName val="worksheet_Asno4"/>
      <sheetName val="GL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urchase Order (2)"/>
      <sheetName val="Customize Your Purchase Order"/>
      <sheetName val="GeneralInfo"/>
      <sheetName val="Customize Your Invoice"/>
      <sheetName val="Invoice"/>
      <sheetName val="Account Code"/>
      <sheetName val="GLdownload"/>
      <sheetName val="REV_1702"/>
      <sheetName val="AutoOpen_Stub_Data"/>
      <sheetName val="Purchase_Order_(2)"/>
      <sheetName val="Customize_Your_Purchase_Order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Order"/>
      <sheetName val="Schedule"/>
      <sheetName val="Schedule OK Status"/>
      <sheetName val="AutoOpen_Stub_Data1"/>
      <sheetName val="Purchase_Order_(2)1"/>
      <sheetName val="Customize_Your_Purchase_Order1"/>
      <sheetName val="Customize_Your_Invoice"/>
      <sheetName val="Account_Code"/>
      <sheetName val="5"/>
      <sheetName val="P&amp;L98"/>
      <sheetName val="Name List"/>
      <sheetName val="Purchase Order _2_"/>
      <sheetName val="NAMA DEPT"/>
      <sheetName val="C.2"/>
      <sheetName val="X.1-1"/>
      <sheetName val="Client AJE"/>
      <sheetName val="AutoOpen_Stub_Data7"/>
      <sheetName val="Purchase_Order_(2)7"/>
      <sheetName val="Customize_Your_Purchase_Order7"/>
      <sheetName val="Customize_Your_Invoice6"/>
      <sheetName val="Account_Code6"/>
      <sheetName val="Schedule_OK_Status5"/>
      <sheetName val="Name_List5"/>
      <sheetName val="NAMA_DEPT5"/>
      <sheetName val="C_25"/>
      <sheetName val="X_1-15"/>
      <sheetName val="Purchase_Order__2_5"/>
      <sheetName val="Client_AJE5"/>
      <sheetName val="AutoOpen_Stub_Data2"/>
      <sheetName val="Purchase_Order_(2)2"/>
      <sheetName val="Customize_Your_Purchase_Order2"/>
      <sheetName val="Customize_Your_Invoice1"/>
      <sheetName val="Account_Code1"/>
      <sheetName val="Schedule_OK_Status"/>
      <sheetName val="Name_List"/>
      <sheetName val="NAMA_DEPT"/>
      <sheetName val="C_2"/>
      <sheetName val="X_1-1"/>
      <sheetName val="Purchase_Order__2_"/>
      <sheetName val="Client_AJE"/>
      <sheetName val="AutoOpen_Stub_Data4"/>
      <sheetName val="Purchase_Order_(2)4"/>
      <sheetName val="Customize_Your_Purchase_Order4"/>
      <sheetName val="Customize_Your_Invoice3"/>
      <sheetName val="Account_Code3"/>
      <sheetName val="Schedule_OK_Status2"/>
      <sheetName val="Name_List2"/>
      <sheetName val="NAMA_DEPT2"/>
      <sheetName val="C_22"/>
      <sheetName val="X_1-12"/>
      <sheetName val="Purchase_Order__2_2"/>
      <sheetName val="Client_AJE2"/>
      <sheetName val="AutoOpen_Stub_Data3"/>
      <sheetName val="Purchase_Order_(2)3"/>
      <sheetName val="Customize_Your_Purchase_Order3"/>
      <sheetName val="Customize_Your_Invoice2"/>
      <sheetName val="Account_Code2"/>
      <sheetName val="Schedule_OK_Status1"/>
      <sheetName val="Name_List1"/>
      <sheetName val="NAMA_DEPT1"/>
      <sheetName val="C_21"/>
      <sheetName val="X_1-11"/>
      <sheetName val="Purchase_Order__2_1"/>
      <sheetName val="Client_AJE1"/>
      <sheetName val="AutoOpen_Stub_Data5"/>
      <sheetName val="Purchase_Order_(2)5"/>
      <sheetName val="Customize_Your_Purchase_Order5"/>
      <sheetName val="Customize_Your_Invoice4"/>
      <sheetName val="Account_Code4"/>
      <sheetName val="Schedule_OK_Status3"/>
      <sheetName val="Name_List3"/>
      <sheetName val="NAMA_DEPT3"/>
      <sheetName val="C_23"/>
      <sheetName val="X_1-13"/>
      <sheetName val="Purchase_Order__2_3"/>
      <sheetName val="Client_AJE3"/>
      <sheetName val="AutoOpen_Stub_Data6"/>
      <sheetName val="Purchase_Order_(2)6"/>
      <sheetName val="Customize_Your_Purchase_Order6"/>
      <sheetName val="Customize_Your_Invoice5"/>
      <sheetName val="Account_Code5"/>
      <sheetName val="Schedule_OK_Status4"/>
      <sheetName val="Name_List4"/>
      <sheetName val="NAMA_DEPT4"/>
      <sheetName val="C_24"/>
      <sheetName val="X_1-14"/>
      <sheetName val="Purchase_Order__2_4"/>
      <sheetName val="Client_AJE4"/>
      <sheetName val="AutoOpen_Stub_Data10"/>
      <sheetName val="Purchase_Order_(2)10"/>
      <sheetName val="Customize_Your_Purchase_Order10"/>
      <sheetName val="Customize_Your_Invoice9"/>
      <sheetName val="Account_Code9"/>
      <sheetName val="Schedule_OK_Status8"/>
      <sheetName val="Name_List8"/>
      <sheetName val="NAMA_DEPT8"/>
      <sheetName val="C_28"/>
      <sheetName val="X_1-18"/>
      <sheetName val="Purchase_Order__2_8"/>
      <sheetName val="Client_AJE8"/>
      <sheetName val="AutoOpen_Stub_Data8"/>
      <sheetName val="Purchase_Order_(2)8"/>
      <sheetName val="Customize_Your_Purchase_Order8"/>
      <sheetName val="Customize_Your_Invoice7"/>
      <sheetName val="Account_Code7"/>
      <sheetName val="Schedule_OK_Status6"/>
      <sheetName val="Name_List6"/>
      <sheetName val="NAMA_DEPT6"/>
      <sheetName val="C_26"/>
      <sheetName val="X_1-16"/>
      <sheetName val="Purchase_Order__2_6"/>
      <sheetName val="Client_AJE6"/>
      <sheetName val="AutoOpen_Stub_Data9"/>
      <sheetName val="Purchase_Order_(2)9"/>
      <sheetName val="Customize_Your_Purchase_Order9"/>
      <sheetName val="Customize_Your_Invoice8"/>
      <sheetName val="Account_Code8"/>
      <sheetName val="Schedule_OK_Status7"/>
      <sheetName val="Name_List7"/>
      <sheetName val="NAMA_DEPT7"/>
      <sheetName val="C_27"/>
      <sheetName val="X_1-17"/>
      <sheetName val="Purchase_Order__2_7"/>
      <sheetName val="Client_AJE7"/>
      <sheetName val="MAIN"/>
      <sheetName val="AutoOpen_Stub_Data13"/>
      <sheetName val="Purchase_Order_(2)13"/>
      <sheetName val="Customize_Your_Purchase_Order13"/>
      <sheetName val="Customize_Your_Invoice12"/>
      <sheetName val="Account_Code12"/>
      <sheetName val="Schedule_OK_Status11"/>
      <sheetName val="Name_List11"/>
      <sheetName val="NAMA_DEPT11"/>
      <sheetName val="C_211"/>
      <sheetName val="X_1-111"/>
      <sheetName val="Purchase_Order__2_11"/>
      <sheetName val="Client_AJE11"/>
      <sheetName val="AutoOpen_Stub_Data12"/>
      <sheetName val="Purchase_Order_(2)12"/>
      <sheetName val="Customize_Your_Purchase_Order12"/>
      <sheetName val="Customize_Your_Invoice11"/>
      <sheetName val="Account_Code11"/>
      <sheetName val="Schedule_OK_Status10"/>
      <sheetName val="Name_List10"/>
      <sheetName val="NAMA_DEPT10"/>
      <sheetName val="C_210"/>
      <sheetName val="X_1-110"/>
      <sheetName val="Purchase_Order__2_10"/>
      <sheetName val="Client_AJE10"/>
      <sheetName val="AutoOpen_Stub_Data11"/>
      <sheetName val="Purchase_Order_(2)11"/>
      <sheetName val="Customize_Your_Purchase_Order11"/>
      <sheetName val="Customize_Your_Invoice10"/>
      <sheetName val="Account_Code10"/>
      <sheetName val="Schedule_OK_Status9"/>
      <sheetName val="Name_List9"/>
      <sheetName val="NAMA_DEPT9"/>
      <sheetName val="C_29"/>
      <sheetName val="X_1-19"/>
      <sheetName val="Purchase_Order__2_9"/>
      <sheetName val="Client_AJE9"/>
      <sheetName val="SELISIHKURSSOURCE"/>
      <sheetName val="412"/>
      <sheetName val="AutoOpen_Stub_Data14"/>
      <sheetName val="Purchase_Order_(2)14"/>
      <sheetName val="Customize_Your_Purchase_Order14"/>
      <sheetName val="Customize_Your_Invoice13"/>
      <sheetName val="Account_Code13"/>
      <sheetName val="Schedule_OK_Status12"/>
      <sheetName val="Name_List12"/>
      <sheetName val="NAMA_DEPT12"/>
      <sheetName val="C_212"/>
      <sheetName val="X_1-112"/>
      <sheetName val="Purchase_Order__2_12"/>
      <sheetName val="Client_AJE12"/>
      <sheetName val="1610201000 Mar'08"/>
      <sheetName val="Permanent info"/>
      <sheetName val="#REF"/>
      <sheetName val="BB"/>
      <sheetName val="STKBB"/>
      <sheetName val="desc"/>
      <sheetName val="A"/>
      <sheetName val="Data Update"/>
      <sheetName val="Load to report pajak"/>
      <sheetName val="AutoOpen_Stub_Data15"/>
      <sheetName val="Purchase_Order_(2)15"/>
      <sheetName val="Customize_Your_Purchase_Order15"/>
      <sheetName val="Customize_Your_Invoice14"/>
      <sheetName val="Account_Code14"/>
      <sheetName val="Schedule_OK_Status13"/>
      <sheetName val="Name_List13"/>
      <sheetName val="NAMA_DEPT13"/>
      <sheetName val="C_213"/>
      <sheetName val="X_1-113"/>
      <sheetName val="Client_AJE13"/>
      <sheetName val="Purchase_Order__2_13"/>
      <sheetName val="Permanent_info"/>
      <sheetName val="1610201000_Mar'08"/>
      <sheetName val="Data_Update"/>
      <sheetName val="IS "/>
      <sheetName val="Param"/>
      <sheetName val="Marshal"/>
      <sheetName val="BSAA"/>
      <sheetName val="Chart4"/>
      <sheetName val="Chart3"/>
      <sheetName val="REPORT"/>
      <sheetName val="REPORT (2)"/>
      <sheetName val="REPORT H"/>
      <sheetName val="INPUT"/>
      <sheetName val="Input Horizontal"/>
      <sheetName val="RFP-2019"/>
      <sheetName val="List Invoice Outstanding update"/>
      <sheetName val="MR assigned daily"/>
      <sheetName val="PO Manual Solar"/>
      <sheetName val="List Barang Import"/>
      <sheetName val="Rundown import"/>
      <sheetName val="Sheet1"/>
      <sheetName val="Sheet2"/>
      <sheetName val="Sheet3"/>
      <sheetName val="1610201000_Mar'081"/>
      <sheetName val="P1"/>
      <sheetName val="2002"/>
      <sheetName val="Summary"/>
      <sheetName val="Ex-Rate"/>
      <sheetName val="dt"/>
      <sheetName val="DATANAS_SIDJP_MFPPHB02__spt_thn"/>
      <sheetName val="data"/>
      <sheetName val="AutoOpen_Stub_Data16"/>
      <sheetName val="Purchase_Order_(2)16"/>
      <sheetName val="Customize_Your_Purchase_Order16"/>
      <sheetName val="Customize_Your_Invoice15"/>
      <sheetName val="Account_Code15"/>
      <sheetName val="Schedule_OK_Status14"/>
      <sheetName val="Name_List14"/>
      <sheetName val="Purchase_Order__2_14"/>
      <sheetName val="C_214"/>
      <sheetName val="X_1-114"/>
      <sheetName val="NAMA_DEPT14"/>
      <sheetName val="Client_AJE14"/>
      <sheetName val="Permanent_info1"/>
      <sheetName val="Data_Update1"/>
      <sheetName val="Load_to_report_pajak"/>
      <sheetName val="IS_"/>
      <sheetName val="AutoOpen_Stub_Data17"/>
      <sheetName val="Purchase_Order_(2)17"/>
      <sheetName val="Customize_Your_Purchase_Order17"/>
      <sheetName val="Customize_Your_Invoice16"/>
      <sheetName val="Account_Code16"/>
      <sheetName val="Schedule_OK_Status15"/>
      <sheetName val="Name_List15"/>
      <sheetName val="NAMA_DEPT15"/>
      <sheetName val="C_215"/>
      <sheetName val="X_1-115"/>
      <sheetName val="Purchase_Order__2_15"/>
      <sheetName val="Client_AJE15"/>
      <sheetName val="1610201000_Mar'082"/>
      <sheetName val="Permanent_info2"/>
      <sheetName val="Data_Update2"/>
      <sheetName val="Load_to_report_pajak1"/>
      <sheetName val="IS_1"/>
      <sheetName val="AutoOpen_Stub_Data18"/>
      <sheetName val="Purchase_Order_(2)18"/>
      <sheetName val="Customize_Your_Purchase_Order18"/>
      <sheetName val="Customize_Your_Invoice17"/>
      <sheetName val="Account_Code17"/>
      <sheetName val="Schedule_OK_Status16"/>
      <sheetName val="Name_List16"/>
      <sheetName val="NAMA_DEPT16"/>
      <sheetName val="C_216"/>
      <sheetName val="X_1-116"/>
      <sheetName val="Purchase_Order__2_16"/>
      <sheetName val="Client_AJE16"/>
      <sheetName val="1610201000_Mar'083"/>
      <sheetName val="Permanent_info3"/>
      <sheetName val="Data_Update3"/>
      <sheetName val="Load_to_report_pajak2"/>
      <sheetName val="IS_2"/>
      <sheetName val="AutoOpen_Stub_Data19"/>
      <sheetName val="Purchase_Order_(2)19"/>
      <sheetName val="Customize_Your_Purchase_Order19"/>
      <sheetName val="Customize_Your_Invoice18"/>
      <sheetName val="Account_Code18"/>
      <sheetName val="Schedule_OK_Status17"/>
      <sheetName val="Name_List17"/>
      <sheetName val="NAMA_DEPT17"/>
      <sheetName val="C_217"/>
      <sheetName val="X_1-117"/>
      <sheetName val="Purchase_Order__2_17"/>
      <sheetName val="Client_AJE17"/>
      <sheetName val="1610201000_Mar'084"/>
      <sheetName val="Permanent_info4"/>
      <sheetName val="Data_Update4"/>
      <sheetName val="Load_to_report_pajak3"/>
      <sheetName val="IS_3"/>
      <sheetName val="AutoOpen_Stub_Data23"/>
      <sheetName val="Purchase_Order_(2)23"/>
      <sheetName val="Customize_Your_Purchase_Order23"/>
      <sheetName val="Customize_Your_Invoice22"/>
      <sheetName val="Account_Code22"/>
      <sheetName val="Schedule_OK_Status21"/>
      <sheetName val="Name_List21"/>
      <sheetName val="NAMA_DEPT21"/>
      <sheetName val="C_221"/>
      <sheetName val="X_1-121"/>
      <sheetName val="Purchase_Order__2_21"/>
      <sheetName val="Client_AJE21"/>
      <sheetName val="1610201000_Mar'088"/>
      <sheetName val="Permanent_info8"/>
      <sheetName val="Data_Update8"/>
      <sheetName val="Load_to_report_pajak7"/>
      <sheetName val="IS_7"/>
      <sheetName val="AutoOpen_Stub_Data20"/>
      <sheetName val="Purchase_Order_(2)20"/>
      <sheetName val="Customize_Your_Purchase_Order20"/>
      <sheetName val="Customize_Your_Invoice19"/>
      <sheetName val="Account_Code19"/>
      <sheetName val="Schedule_OK_Status18"/>
      <sheetName val="Name_List18"/>
      <sheetName val="NAMA_DEPT18"/>
      <sheetName val="C_218"/>
      <sheetName val="X_1-118"/>
      <sheetName val="Purchase_Order__2_18"/>
      <sheetName val="Client_AJE18"/>
      <sheetName val="1610201000_Mar'085"/>
      <sheetName val="Permanent_info5"/>
      <sheetName val="Data_Update5"/>
      <sheetName val="Load_to_report_pajak4"/>
      <sheetName val="IS_4"/>
      <sheetName val="AutoOpen_Stub_Data21"/>
      <sheetName val="Purchase_Order_(2)21"/>
      <sheetName val="Customize_Your_Purchase_Order21"/>
      <sheetName val="Customize_Your_Invoice20"/>
      <sheetName val="Account_Code20"/>
      <sheetName val="Schedule_OK_Status19"/>
      <sheetName val="Name_List19"/>
      <sheetName val="NAMA_DEPT19"/>
      <sheetName val="C_219"/>
      <sheetName val="X_1-119"/>
      <sheetName val="Purchase_Order__2_19"/>
      <sheetName val="Client_AJE19"/>
      <sheetName val="1610201000_Mar'086"/>
      <sheetName val="Permanent_info6"/>
      <sheetName val="Data_Update6"/>
      <sheetName val="Load_to_report_pajak5"/>
      <sheetName val="IS_5"/>
      <sheetName val="AutoOpen_Stub_Data22"/>
      <sheetName val="Purchase_Order_(2)22"/>
      <sheetName val="Customize_Your_Purchase_Order22"/>
      <sheetName val="Customize_Your_Invoice21"/>
      <sheetName val="Account_Code21"/>
      <sheetName val="Schedule_OK_Status20"/>
      <sheetName val="Name_List20"/>
      <sheetName val="NAMA_DEPT20"/>
      <sheetName val="C_220"/>
      <sheetName val="X_1-120"/>
      <sheetName val="Purchase_Order__2_20"/>
      <sheetName val="Client_AJE20"/>
      <sheetName val="1610201000_Mar'087"/>
      <sheetName val="Permanent_info7"/>
      <sheetName val="Data_Update7"/>
      <sheetName val="Load_to_report_pajak6"/>
      <sheetName val="IS_6"/>
      <sheetName val="AutoOpen_Stub_Data24"/>
      <sheetName val="Purchase_Order_(2)24"/>
      <sheetName val="Customize_Your_Purchase_Order24"/>
      <sheetName val="Customize_Your_Invoice23"/>
      <sheetName val="Account_Code23"/>
      <sheetName val="Schedule_OK_Status22"/>
      <sheetName val="Name_List22"/>
      <sheetName val="NAMA_DEPT22"/>
      <sheetName val="C_222"/>
      <sheetName val="X_1-122"/>
      <sheetName val="Purchase_Order__2_22"/>
      <sheetName val="Client_AJE22"/>
      <sheetName val="1610201000_Mar'089"/>
      <sheetName val="Permanent_info9"/>
      <sheetName val="Data_Update9"/>
      <sheetName val="Load_to_report_pajak8"/>
      <sheetName val="IS_8"/>
      <sheetName val="AutoOpen_Stub_Data25"/>
      <sheetName val="Purchase_Order_(2)25"/>
      <sheetName val="Customize_Your_Purchase_Order25"/>
      <sheetName val="Customize_Your_Invoice24"/>
      <sheetName val="Account_Code24"/>
      <sheetName val="Schedule_OK_Status23"/>
      <sheetName val="Name_List23"/>
      <sheetName val="NAMA_DEPT23"/>
      <sheetName val="C_223"/>
      <sheetName val="X_1-123"/>
      <sheetName val="Purchase_Order__2_23"/>
      <sheetName val="Client_AJE23"/>
      <sheetName val="1610201000_Mar'0810"/>
      <sheetName val="Permanent_info10"/>
      <sheetName val="Data_Update10"/>
      <sheetName val="Load_to_report_pajak9"/>
      <sheetName val="IS_9"/>
      <sheetName val="i.5 addition"/>
      <sheetName val="data_val"/>
      <sheetName val="Family"/>
      <sheetName val="LOOKUP"/>
      <sheetName val="qryExport_Demand_Commercial"/>
      <sheetName val="손익계산서"/>
      <sheetName val="Dept"/>
      <sheetName val="DAILY BANK"/>
      <sheetName val="Control"/>
      <sheetName val="RATE-NEW"/>
      <sheetName val="Attachemen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Header"/>
      <sheetName val="s20"/>
      <sheetName val="s21"/>
      <sheetName val="s22"/>
      <sheetName val="s23"/>
      <sheetName val="s23a"/>
      <sheetName val="s24"/>
      <sheetName val="s25"/>
      <sheetName val="s26"/>
      <sheetName val="s27"/>
      <sheetName val="s28"/>
      <sheetName val="s29"/>
      <sheetName val="s30"/>
      <sheetName val="s31"/>
      <sheetName val="s32"/>
      <sheetName val="s33"/>
      <sheetName val="s34"/>
      <sheetName val="s35"/>
      <sheetName val="s35a"/>
      <sheetName val="s36"/>
      <sheetName val="s37"/>
      <sheetName val="s38"/>
      <sheetName val="s39"/>
      <sheetName val="s39a"/>
      <sheetName val="s39b"/>
      <sheetName val="s39c"/>
      <sheetName val="s40"/>
      <sheetName val="s41"/>
      <sheetName val="s41a"/>
      <sheetName val="s42"/>
      <sheetName val="s43"/>
      <sheetName val="s44"/>
      <sheetName val="s44a"/>
      <sheetName val="s45a"/>
      <sheetName val="s45b"/>
      <sheetName val="s46"/>
      <sheetName val="s46a"/>
      <sheetName val="s47a"/>
      <sheetName val="s47b"/>
      <sheetName val="s48"/>
      <sheetName val="s49"/>
      <sheetName val="s50"/>
      <sheetName val="s52"/>
      <sheetName val="s53"/>
      <sheetName val="s54"/>
      <sheetName val="s55"/>
      <sheetName val="s56"/>
      <sheetName val="S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PURCH"/>
      <sheetName val="SALES"/>
      <sheetName val="UFJRP0010"/>
      <sheetName val="UFJ$0010"/>
      <sheetName val="UFJYEN0030"/>
      <sheetName val="UFJ$0030"/>
      <sheetName val="UFJRP0030"/>
      <sheetName val="MDR"/>
      <sheetName val="BII"/>
      <sheetName val="CASH"/>
      <sheetName val="CASH$"/>
      <sheetName val="cash yen"/>
      <sheetName val="WS"/>
      <sheetName val="ADJ"/>
      <sheetName val="account"/>
      <sheetName val="data_val"/>
      <sheetName val="Account Code"/>
      <sheetName val="Client AJE"/>
      <sheetName val="WS 02-03 COMBINE-tri"/>
      <sheetName val="VL,NC,MTC"/>
      <sheetName val="dghn"/>
      <sheetName val="Workings"/>
      <sheetName val="合成単価作成・-BLDG"/>
      <sheetName val="C2"/>
      <sheetName val="DATA SLIP"/>
      <sheetName val="Family"/>
      <sheetName val="GeneralInfo"/>
      <sheetName val="Customize Your Purchase Order"/>
      <sheetName val="Lead schedule"/>
      <sheetName val="Statement of Compre. Incom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ement"/>
      <sheetName val="rate"/>
      <sheetName val="Client AJE"/>
      <sheetName val="data_v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bar"/>
      <sheetName val="ESTIMASI"/>
      <sheetName val="Mingguan"/>
      <sheetName val="prod"/>
      <sheetName val="cust"/>
      <sheetName val="HARIAN"/>
      <sheetName val="NOTA"/>
      <sheetName val="CODE"/>
      <sheetName val="Rekap Piutang Dagang"/>
      <sheetName val="Jabekban"/>
      <sheetName val="Jabar"/>
      <sheetName val="Jateng"/>
      <sheetName val="Jatim"/>
      <sheetName val="Bali"/>
      <sheetName val="Medan"/>
      <sheetName val="Padang"/>
      <sheetName val="Riau"/>
      <sheetName val="Jambi"/>
      <sheetName val="Palembang"/>
      <sheetName val=" BENGKULU"/>
      <sheetName val="Lampung"/>
      <sheetName val="SNC LOMBOK"/>
      <sheetName val="SNS MENADO"/>
      <sheetName val="TNS Makasar"/>
      <sheetName val=" Batam"/>
      <sheetName val="Pangkal Pinang"/>
      <sheetName val=" BANJARMASIN"/>
      <sheetName val=" Balikpapan"/>
      <sheetName val="Laut Timur"/>
      <sheetName val="Kendari"/>
      <sheetName val="multi mandiri"/>
      <sheetName val="Starmara_Tanjung Pinang"/>
      <sheetName val="Sampit"/>
      <sheetName val="Tarakan"/>
      <sheetName val="TERNATE"/>
      <sheetName val="MUJUR"/>
      <sheetName val="Firma"/>
      <sheetName val="Berlian Pacific"/>
      <sheetName val="Mata Nanda"/>
      <sheetName val="Takari international"/>
      <sheetName val="SM Food"/>
      <sheetName val="Brunai"/>
      <sheetName val="JORDAN"/>
      <sheetName val="Israel"/>
      <sheetName val="Philiphine"/>
      <sheetName val="PASTINGGI"/>
      <sheetName val="Subur Makmur"/>
      <sheetName val="RASTILARI-DUBAI"/>
      <sheetName val="Bangladesh"/>
      <sheetName val="gutemala"/>
      <sheetName val="Trus Trading_Libanon"/>
      <sheetName val="Canada"/>
      <sheetName val="Yaman"/>
      <sheetName val="Goberean"/>
      <sheetName val="Ovuike -Nigeria"/>
      <sheetName val="Supply - Australia"/>
      <sheetName val="Kiu Fung -Hongkong"/>
      <sheetName val="GREENWORTH"/>
      <sheetName val="CBC Pakistan"/>
      <sheetName val="africa oilseeds"/>
      <sheetName val="PENJ.NERACA"/>
      <sheetName val="CASH FLOW"/>
      <sheetName val="Rekap"/>
      <sheetName val="DCF_VDF"/>
      <sheetName val="PIK_QUO"/>
      <sheetName val="TableLookup"/>
      <sheetName val="Sheet2"/>
      <sheetName val="Deposit DO"/>
      <sheetName val="U.1.2 Other charges (income)"/>
      <sheetName val="Neraca"/>
      <sheetName val="Beli Mtr"/>
      <sheetName val="Lead"/>
      <sheetName val="Attachement"/>
      <sheetName val="trf multiple dnrks"/>
      <sheetName val="Sheet1"/>
      <sheetName val="pl"/>
      <sheetName val="Sheet8"/>
      <sheetName val="CLC&amp;CLS"/>
      <sheetName val="Komputer"/>
      <sheetName val="Data"/>
      <sheetName val="RumusTB 1 bln"/>
      <sheetName val="Isolasi Luar Dalam"/>
      <sheetName val="Isolasi Luar"/>
      <sheetName val="Fill this out first..."/>
      <sheetName val="GeneralInfo"/>
      <sheetName val="data_val"/>
      <sheetName val="Ex_Rate"/>
      <sheetName val="daftar"/>
      <sheetName val="Family"/>
      <sheetName val="#REF"/>
      <sheetName val="NOPAT_VDF"/>
      <sheetName val="WACC_VDF"/>
      <sheetName val="Summary Page_VDF"/>
      <sheetName val="Invested capital_VDF"/>
      <sheetName val="1195 B1"/>
      <sheetName val="Income Statement_VDF"/>
      <sheetName val="JL_BEL"/>
      <sheetName val="DATA2"/>
      <sheetName val="12"/>
      <sheetName val="Marshal"/>
      <sheetName val="des'07"/>
      <sheetName val="FF-5"/>
      <sheetName val="MMIP(JU)"/>
      <sheetName val="F-1&amp;F-2"/>
      <sheetName val="PBC - Detail BS - 2010"/>
      <sheetName val="Asumsi"/>
      <sheetName val="Permanent info"/>
      <sheetName val="Data_Umum"/>
      <sheetName val="C_TAR"/>
      <sheetName val="Quantitatif"/>
      <sheetName val="Aloha"/>
      <sheetName val="Myk_BS"/>
      <sheetName val="WP AKTIVA"/>
      <sheetName val="WP PASIVA"/>
      <sheetName val="WP LABA RUGI"/>
      <sheetName val="budget idr"/>
      <sheetName val="T.B"/>
      <sheetName val="DSR"/>
      <sheetName val="bobot"/>
      <sheetName val="2Yr"/>
      <sheetName val="AA.1.1 BNI"/>
      <sheetName val="Konfirmasi Transaksi Lama"/>
      <sheetName val="PB(B)"/>
      <sheetName val="Drill&amp;Blast"/>
      <sheetName val="RoadMaint."/>
      <sheetName val="CHIPPING"/>
      <sheetName val="table"/>
      <sheetName val="LABARUGI"/>
      <sheetName val="Consolidated"/>
      <sheetName val="VESLIS97"/>
      <sheetName val="EBITRECS"/>
      <sheetName val="5X3"/>
      <sheetName val="_x0000_D"/>
      <sheetName val="WS"/>
      <sheetName val="Article"/>
      <sheetName val="Price"/>
      <sheetName val="Batam"/>
      <sheetName val="Profit &amp; Loss Account"/>
      <sheetName val="?D"/>
      <sheetName val="RPMCOST"/>
      <sheetName val="JARS"/>
      <sheetName val="LABELS"/>
      <sheetName val="MNHRS"/>
      <sheetName val="RAWMAT"/>
      <sheetName val="JSiar"/>
      <sheetName val="quotation"/>
      <sheetName val="STR"/>
      <sheetName val="BASIC ASSUMPTION"/>
      <sheetName val="#REF!"/>
      <sheetName val="DATA WP"/>
      <sheetName val="NRC_2"/>
      <sheetName val="Ranges"/>
      <sheetName val="Key drivers"/>
      <sheetName val="Valuation"/>
      <sheetName val="CLC_CLS"/>
      <sheetName val="analis"/>
      <sheetName val="F1771-II"/>
      <sheetName val="F1771-III"/>
      <sheetName val="BCE MURNI-QS"/>
      <sheetName val="TM - 1B"/>
      <sheetName val="PV of Op Leases_VDF"/>
      <sheetName val="P12.4"/>
      <sheetName val="SE-C"/>
      <sheetName val="COA"/>
      <sheetName val="Introduction"/>
      <sheetName val="Jul"/>
      <sheetName val="Agt"/>
      <sheetName val="Sep"/>
      <sheetName val="Okt"/>
      <sheetName val="Nop"/>
      <sheetName val="Income Statement"/>
      <sheetName val="Profile"/>
      <sheetName val="Index"/>
      <sheetName val="412"/>
      <sheetName val="SELISIHKURSSOURCE"/>
      <sheetName val="&lt;=Print"/>
      <sheetName val="Master"/>
      <sheetName val="_x005f_x0000_D"/>
      <sheetName val="_D"/>
      <sheetName val=""/>
      <sheetName val="SheetGMP"/>
      <sheetName val="SheetGMT"/>
      <sheetName val="DATA-BASE"/>
      <sheetName val="_x005f_x005f_x005f_x0000_D"/>
      <sheetName val="Markup"/>
      <sheetName val="DOC"/>
      <sheetName val="FEED"/>
      <sheetName val="Equipment"/>
      <sheetName val="Minilink Eqp EAB, CIP"/>
      <sheetName val="Stock"/>
      <sheetName val="SSP"/>
      <sheetName val="OVERHEAD"/>
      <sheetName val="AGM"/>
      <sheetName val="Re-Mill Building  "/>
      <sheetName val="Resource Costs"/>
      <sheetName val="Work Requirement"/>
      <sheetName val="Tanah"/>
      <sheetName val="Income S"/>
      <sheetName val="balance sheet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DATA FORWARDER"/>
      <sheetName val="Daf. KPP"/>
      <sheetName val="Exch Rate"/>
      <sheetName val="150"/>
      <sheetName val="HARVEST02"/>
      <sheetName val="Regulated Tariff"/>
      <sheetName val="HQ-TO"/>
      <sheetName val="Motor Sytem"/>
      <sheetName val="Code05"/>
      <sheetName val="Analysis"/>
      <sheetName val="3M Indonesia (9011-001)"/>
      <sheetName val="populasi"/>
      <sheetName val="LAPIUT"/>
      <sheetName val="_x005f_x005f_x005f_x005f_x005f_x005f_x005f_x0000_D"/>
      <sheetName val="Worksheet-03"/>
      <sheetName val="Ford Options"/>
      <sheetName val="DETAIL"/>
      <sheetName val="duct"/>
      <sheetName val="Daftmat"/>
      <sheetName val="H.KONTRAK"/>
      <sheetName val="Gaji Non Staff"/>
      <sheetName val="Rekap_Piutang_Dagang"/>
      <sheetName val="_BENGKULU"/>
      <sheetName val="SNC_LOMBOK"/>
      <sheetName val="SNS_MENADO"/>
      <sheetName val="TNS_Makasar"/>
      <sheetName val="_Batam"/>
      <sheetName val="Pangkal_Pinang"/>
      <sheetName val="_BANJARMASIN"/>
      <sheetName val="_Balikpapan"/>
      <sheetName val="Laut_Timur"/>
      <sheetName val="multi_mandiri"/>
      <sheetName val="Starmara_Tanjung_Pinang"/>
      <sheetName val="Berlian_Pacific"/>
      <sheetName val="Mata_Nanda"/>
      <sheetName val="Takari_international"/>
      <sheetName val="SM_Food"/>
      <sheetName val="Subur_Makmur"/>
      <sheetName val="Trus_Trading_Libanon"/>
      <sheetName val="Ovuike_-Nigeria"/>
      <sheetName val="Supply_-_Australia"/>
      <sheetName val="Kiu_Fung_-Hongkong"/>
      <sheetName val="CBC_Pakistan"/>
      <sheetName val="africa_oilseeds"/>
      <sheetName val="PENJ_NERACA"/>
      <sheetName val="CASH_FLOW"/>
      <sheetName val="Deposit_DO"/>
      <sheetName val="U_1_2_Other_charges_(income)"/>
      <sheetName val="Beli_Mtr"/>
      <sheetName val="Rekap_Piutang_Dagang1"/>
      <sheetName val="_BENGKULU1"/>
      <sheetName val="SNC_LOMBOK1"/>
      <sheetName val="SNS_MENADO1"/>
      <sheetName val="TNS_Makasar1"/>
      <sheetName val="_Batam1"/>
      <sheetName val="Pangkal_Pinang1"/>
      <sheetName val="_BANJARMASIN1"/>
      <sheetName val="_Balikpapan1"/>
      <sheetName val="Laut_Timur1"/>
      <sheetName val="multi_mandiri1"/>
      <sheetName val="Starmara_Tanjung_Pinang1"/>
      <sheetName val="Berlian_Pacific1"/>
      <sheetName val="Mata_Nanda1"/>
      <sheetName val="Takari_international1"/>
      <sheetName val="SM_Food1"/>
      <sheetName val="Subur_Makmur1"/>
      <sheetName val="Trus_Trading_Libanon1"/>
      <sheetName val="Ovuike_-Nigeria1"/>
      <sheetName val="Supply_-_Australia1"/>
      <sheetName val="Kiu_Fung_-Hongkong1"/>
      <sheetName val="CBC_Pakistan1"/>
      <sheetName val="africa_oilseeds1"/>
      <sheetName val="PENJ_NERACA1"/>
      <sheetName val="CASH_FLOW1"/>
      <sheetName val="Deposit_DO1"/>
      <sheetName val="U_1_2_Other_charges_(income)1"/>
      <sheetName val="Beli_Mtr1"/>
      <sheetName val="Rekap_Piutang_Dagang2"/>
      <sheetName val="_BENGKULU2"/>
      <sheetName val="SNC_LOMBOK2"/>
      <sheetName val="SNS_MENADO2"/>
      <sheetName val="TNS_Makasar2"/>
      <sheetName val="_Batam2"/>
      <sheetName val="Pangkal_Pinang2"/>
      <sheetName val="_BANJARMASIN2"/>
      <sheetName val="_Balikpapan2"/>
      <sheetName val="Laut_Timur2"/>
      <sheetName val="multi_mandiri2"/>
      <sheetName val="Starmara_Tanjung_Pinang2"/>
      <sheetName val="Berlian_Pacific2"/>
      <sheetName val="Mata_Nanda2"/>
      <sheetName val="Takari_international2"/>
      <sheetName val="SM_Food2"/>
      <sheetName val="Subur_Makmur2"/>
      <sheetName val="Trus_Trading_Libanon2"/>
      <sheetName val="Ovuike_-Nigeria2"/>
      <sheetName val="Supply_-_Australia2"/>
      <sheetName val="Kiu_Fung_-Hongkong2"/>
      <sheetName val="CBC_Pakistan2"/>
      <sheetName val="africa_oilseeds2"/>
      <sheetName val="PENJ_NERACA2"/>
      <sheetName val="CASH_FLOW2"/>
      <sheetName val="Deposit_DO2"/>
      <sheetName val="U_1_2_Other_charges_(income)2"/>
      <sheetName val="Beli_Mtr2"/>
      <sheetName val="note_defect"/>
      <sheetName val="Acc. Empolyee"/>
      <sheetName val="COGS"/>
      <sheetName val="Ist"/>
      <sheetName val="Parameter"/>
      <sheetName val="THISWORKSHEET"/>
      <sheetName val="ANALISA-HST"/>
      <sheetName val="RAB"/>
      <sheetName val="Daftar Paket"/>
      <sheetName val="AT"/>
      <sheetName val="Rp Banten"/>
      <sheetName val="dxnsjtempsheet"/>
      <sheetName val="Des"/>
      <sheetName val="Prod-CS"/>
      <sheetName val="NAME"/>
      <sheetName val="tabel"/>
      <sheetName val="NAMES"/>
      <sheetName val="Tabelle1"/>
      <sheetName val="Nomor Id"/>
      <sheetName val="Bal Sheet"/>
      <sheetName val="saklar"/>
      <sheetName val="COMPANY CODE"/>
      <sheetName val="fiscal depr(E)"/>
      <sheetName val="trf_multiple_dnrks"/>
      <sheetName val="RumusTB_1_bln"/>
      <sheetName val="Isolasi_Luar_Dalam"/>
      <sheetName val="Isolasi_Luar"/>
      <sheetName val="Fill_this_out_first___"/>
      <sheetName val="Summary_Page_VDF"/>
      <sheetName val="Invested_capital_VDF"/>
      <sheetName val="1195_B1"/>
      <sheetName val="Income_Statement_VDF"/>
      <sheetName val="BASIC_ASSUMPTION"/>
      <sheetName val="budget_idr"/>
      <sheetName val="Permanent_info"/>
      <sheetName val="P12_4"/>
      <sheetName val="PBC_-_Detail_BS_-_2010"/>
      <sheetName val="Profit_&amp;_Loss_Account"/>
      <sheetName val="Key_drivers"/>
      <sheetName val="Konfirmasi_Transaksi_Lama"/>
      <sheetName val="AA_1_1_BNI"/>
      <sheetName val="BCE_MURNI-QS"/>
      <sheetName val="TM_-_1B"/>
      <sheetName val="PV_of_Op_Leases_VDF"/>
      <sheetName val="D"/>
      <sheetName val="RoadMaint_"/>
      <sheetName val="Income_Statement"/>
      <sheetName val="Re-Mill_Building__"/>
      <sheetName val="Minilink_Eqp_EAB,_CIP"/>
      <sheetName val="Resource_Costs"/>
      <sheetName val="Work_Requirement"/>
      <sheetName val="DATA_WP"/>
      <sheetName val="WP_AKTIVA"/>
      <sheetName val="WP_PASIVA"/>
      <sheetName val="WP_LABA_RUGI"/>
      <sheetName val="DATA_FORWARDER"/>
      <sheetName val="3M_Indonesia_(9011-001)"/>
      <sheetName val="Exch_Rate"/>
      <sheetName val="trf_multiple_dnrks1"/>
      <sheetName val="RumusTB_1_bln1"/>
      <sheetName val="Isolasi_Luar_Dalam1"/>
      <sheetName val="Isolasi_Luar1"/>
      <sheetName val="Fill_this_out_first___1"/>
      <sheetName val="Summary_Page_VDF1"/>
      <sheetName val="Invested_capital_VDF1"/>
      <sheetName val="1195_B11"/>
      <sheetName val="Income_Statement_VDF1"/>
      <sheetName val="BASIC_ASSUMPTION1"/>
      <sheetName val="budget_idr1"/>
      <sheetName val="Permanent_info1"/>
      <sheetName val="P12_41"/>
      <sheetName val="PBC_-_Detail_BS_-_20101"/>
      <sheetName val="Profit_&amp;_Loss_Account1"/>
      <sheetName val="Key_drivers1"/>
      <sheetName val="Konfirmasi_Transaksi_Lama1"/>
      <sheetName val="AA_1_1_BNI1"/>
      <sheetName val="BCE_MURNI-QS1"/>
      <sheetName val="TM_-_1B1"/>
      <sheetName val="PV_of_Op_Leases_VDF1"/>
      <sheetName val="RoadMaint_1"/>
      <sheetName val="Income_Statement1"/>
      <sheetName val="Re-Mill_Building__1"/>
      <sheetName val="Minilink_Eqp_EAB,_CIP1"/>
      <sheetName val="Resource_Costs1"/>
      <sheetName val="Work_Requirement1"/>
      <sheetName val="DATA_WP1"/>
      <sheetName val="WP_AKTIVA1"/>
      <sheetName val="WP_PASIVA1"/>
      <sheetName val="WP_LABA_RUGI1"/>
      <sheetName val="DATA_FORWARDER1"/>
      <sheetName val="3M_Indonesia_(9011-001)1"/>
      <sheetName val="Exch_Rate1"/>
      <sheetName val="trf_multiple_dnrks2"/>
      <sheetName val="RumusTB_1_bln2"/>
      <sheetName val="Isolasi_Luar_Dalam2"/>
      <sheetName val="Isolasi_Luar2"/>
      <sheetName val="Fill_this_out_first___2"/>
      <sheetName val="Summary_Page_VDF2"/>
      <sheetName val="Invested_capital_VDF2"/>
      <sheetName val="1195_B12"/>
      <sheetName val="Income_Statement_VDF2"/>
      <sheetName val="BASIC_ASSUMPTION2"/>
      <sheetName val="budget_idr2"/>
      <sheetName val="Permanent_info2"/>
      <sheetName val="P12_42"/>
      <sheetName val="PBC_-_Detail_BS_-_20102"/>
      <sheetName val="Profit_&amp;_Loss_Account2"/>
      <sheetName val="Key_drivers2"/>
      <sheetName val="Konfirmasi_Transaksi_Lama2"/>
      <sheetName val="AA_1_1_BNI2"/>
      <sheetName val="BCE_MURNI-QS2"/>
      <sheetName val="TM_-_1B2"/>
      <sheetName val="PV_of_Op_Leases_VDF2"/>
      <sheetName val="RoadMaint_2"/>
      <sheetName val="Income_Statement2"/>
      <sheetName val="Re-Mill_Building__2"/>
      <sheetName val="Minilink_Eqp_EAB,_CIP2"/>
      <sheetName val="Resource_Costs2"/>
      <sheetName val="Work_Requirement2"/>
      <sheetName val="DATA_WP2"/>
      <sheetName val="WP_AKTIVA2"/>
      <sheetName val="WP_PASIVA2"/>
      <sheetName val="WP_LABA_RUGI2"/>
      <sheetName val="DATA_FORWARDER2"/>
      <sheetName val="3M_Indonesia_(9011-001)2"/>
      <sheetName val="Exch_Rate2"/>
      <sheetName val="Rekap_Piutang_Dagang3"/>
      <sheetName val="_BENGKULU3"/>
      <sheetName val="SNC_LOMBOK3"/>
      <sheetName val="SNS_MENADO3"/>
      <sheetName val="TNS_Makasar3"/>
      <sheetName val="_Batam3"/>
      <sheetName val="Pangkal_Pinang3"/>
      <sheetName val="_BANJARMASIN3"/>
      <sheetName val="_Balikpapan3"/>
      <sheetName val="Laut_Timur3"/>
      <sheetName val="multi_mandiri3"/>
      <sheetName val="Starmara_Tanjung_Pinang3"/>
      <sheetName val="Berlian_Pacific3"/>
      <sheetName val="Mata_Nanda3"/>
      <sheetName val="Takari_international3"/>
      <sheetName val="SM_Food3"/>
      <sheetName val="Subur_Makmur3"/>
      <sheetName val="Trus_Trading_Libanon3"/>
      <sheetName val="Ovuike_-Nigeria3"/>
      <sheetName val="Supply_-_Australia3"/>
      <sheetName val="Kiu_Fung_-Hongkong3"/>
      <sheetName val="CBC_Pakistan3"/>
      <sheetName val="africa_oilseeds3"/>
      <sheetName val="PENJ_NERACA3"/>
      <sheetName val="CASH_FLOW3"/>
      <sheetName val="Deposit_DO3"/>
      <sheetName val="U_1_2_Other_charges_(income)3"/>
      <sheetName val="Beli_Mtr3"/>
      <sheetName val="trf_multiple_dnrks3"/>
      <sheetName val="RumusTB_1_bln3"/>
      <sheetName val="Isolasi_Luar_Dalam3"/>
      <sheetName val="Isolasi_Luar3"/>
      <sheetName val="Fill_this_out_first___3"/>
      <sheetName val="Summary_Page_VDF3"/>
      <sheetName val="Invested_capital_VDF3"/>
      <sheetName val="1195_B13"/>
      <sheetName val="Income_Statement_VDF3"/>
      <sheetName val="BASIC_ASSUMPTION3"/>
      <sheetName val="budget_idr3"/>
      <sheetName val="Permanent_info3"/>
      <sheetName val="P12_43"/>
      <sheetName val="PBC_-_Detail_BS_-_20103"/>
      <sheetName val="Profit_&amp;_Loss_Account3"/>
      <sheetName val="Key_drivers3"/>
      <sheetName val="Konfirmasi_Transaksi_Lama3"/>
      <sheetName val="AA_1_1_BNI3"/>
      <sheetName val="BCE_MURNI-QS3"/>
      <sheetName val="TM_-_1B3"/>
      <sheetName val="PV_of_Op_Leases_VDF3"/>
      <sheetName val="RoadMaint_3"/>
      <sheetName val="Income_Statement3"/>
      <sheetName val="Re-Mill_Building__3"/>
      <sheetName val="Minilink_Eqp_EAB,_CIP3"/>
      <sheetName val="Resource_Costs3"/>
      <sheetName val="Work_Requirement3"/>
      <sheetName val="DATA_WP3"/>
      <sheetName val="WP_AKTIVA3"/>
      <sheetName val="WP_PASIVA3"/>
      <sheetName val="WP_LABA_RUGI3"/>
      <sheetName val="DATA_FORWARDER3"/>
      <sheetName val="3M_Indonesia_(9011-001)3"/>
      <sheetName val="Exch_Rate3"/>
      <sheetName val="NRO and subs"/>
      <sheetName val="BDG(0302)"/>
      <sheetName val="Trial Bal"/>
      <sheetName val="DEF"/>
      <sheetName val="DPro"/>
      <sheetName val=","/>
      <sheetName val="Daf__KPP"/>
      <sheetName val="Motor_Sytem"/>
      <sheetName val="Income_S"/>
      <sheetName val="balance_sheet"/>
      <sheetName val="Regulated_Tariff"/>
      <sheetName val="FORM-X-1"/>
      <sheetName val="BCT"/>
      <sheetName val="UPAH"/>
      <sheetName val="Data Umum"/>
      <sheetName val="Bahan Mekanikal"/>
      <sheetName val="D &amp; W sizes"/>
      <sheetName val="ASS-UNIT"/>
      <sheetName val="kki"/>
      <sheetName val="fin pro centers"/>
      <sheetName val="SUMMARY"/>
      <sheetName val="Notes"/>
      <sheetName val="output"/>
      <sheetName val="TT"/>
      <sheetName val="Sale_0603"/>
      <sheetName val="_x005f_x005f_x005f_x005f_x005f_x005f_x005f_x005f_x005f_x005f_"/>
      <sheetName val="US"/>
      <sheetName val="Mexico"/>
      <sheetName val="Middle East"/>
      <sheetName val="KKN"/>
      <sheetName val="Check on 8.10.2003"/>
      <sheetName val="_x005f_x005f_x005f_x005F_x005f_x0000_D"/>
      <sheetName val="PRBM0900"/>
      <sheetName val="#Lookup"/>
      <sheetName val="CETAK BUKTI"/>
      <sheetName val="Media2"/>
      <sheetName val="Advanced"/>
      <sheetName val="_x005f"/>
      <sheetName val="INCOME"/>
      <sheetName val="Produksi &amp; Scedule"/>
      <sheetName val="Summary "/>
      <sheetName val="uu13"/>
      <sheetName val="Cellular"/>
      <sheetName val="RESIDU"/>
      <sheetName val="Bill 2.3"/>
      <sheetName val="Bill 2.5B"/>
      <sheetName val="Bill 2.1"/>
      <sheetName val="CUS"/>
      <sheetName val="Input"/>
      <sheetName val="AGUSTUS 2016"/>
      <sheetName val="akun"/>
      <sheetName val="LAMKOM"/>
      <sheetName val="Umum"/>
      <sheetName val="Rek GR"/>
      <sheetName val="harga"/>
      <sheetName val="dkb-rabat"/>
      <sheetName val="Ideal"/>
      <sheetName val="rate"/>
      <sheetName val="Department"/>
      <sheetName val="JURNAL KONSOL"/>
      <sheetName val="Table 1"/>
      <sheetName val="may'03"/>
      <sheetName val="gl"/>
      <sheetName val="alamat"/>
      <sheetName val="BP1_23"/>
      <sheetName val="sort2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TBM"/>
      <sheetName val="A"/>
      <sheetName val="R.PIUT. MHS"/>
      <sheetName val="EXPORT TEST CERTIFICATE _EX (1)"/>
      <sheetName val="Depo"/>
      <sheetName val="Interacc2"/>
      <sheetName val="Exc. Rate"/>
      <sheetName val="WPL"/>
      <sheetName val="Receivable (C)"/>
      <sheetName val="KBB-CIB BANK"/>
      <sheetName val="SRI L"/>
      <sheetName val="SING"/>
      <sheetName val="VIET"/>
      <sheetName val="MALE"/>
      <sheetName val="Path List - 300 Macro+28 Inbuil"/>
      <sheetName val="B"/>
      <sheetName val="MasterSheet"/>
      <sheetName val="8400.05-2.T"/>
      <sheetName val="_x005f_x005f_x005F"/>
      <sheetName val="= P &amp; L ="/>
      <sheetName val="_x005f_x005f_x005f_x005f_"/>
      <sheetName val="star prov"/>
      <sheetName val="honey"/>
      <sheetName val="DEP_$"/>
      <sheetName val="AA_1_1 BNI"/>
      <sheetName val="_x005f_x005f_"/>
      <sheetName val="JUAL"/>
      <sheetName val="AR Karyawan"/>
      <sheetName val="Rekap_Piutang_Dagang4"/>
      <sheetName val="_BENGKULU4"/>
      <sheetName val="SNC_LOMBOK4"/>
      <sheetName val="SNS_MENADO4"/>
      <sheetName val="TNS_Makasar4"/>
      <sheetName val="_Batam4"/>
      <sheetName val="Pangkal_Pinang4"/>
      <sheetName val="_BANJARMASIN4"/>
      <sheetName val="_Balikpapan4"/>
      <sheetName val="Laut_Timur4"/>
      <sheetName val="multi_mandiri4"/>
      <sheetName val="Starmara_Tanjung_Pinang4"/>
      <sheetName val="Berlian_Pacific4"/>
      <sheetName val="Mata_Nanda4"/>
      <sheetName val="Takari_international4"/>
      <sheetName val="SM_Food4"/>
      <sheetName val="Subur_Makmur4"/>
      <sheetName val="Trus_Trading_Libanon4"/>
      <sheetName val="Ovuike_-Nigeria4"/>
      <sheetName val="Supply_-_Australia4"/>
      <sheetName val="Kiu_Fung_-Hongkong4"/>
      <sheetName val="CBC_Pakistan4"/>
      <sheetName val="africa_oilseeds4"/>
      <sheetName val="PENJ_NERACA4"/>
      <sheetName val="CASH_FLOW4"/>
      <sheetName val="Deposit_DO4"/>
      <sheetName val="U_1_2_Other_charges_(income)4"/>
      <sheetName val="Beli_Mtr4"/>
      <sheetName val="trf_multiple_dnrks4"/>
      <sheetName val="RumusTB_1_bln4"/>
      <sheetName val="Isolasi_Luar_Dalam4"/>
      <sheetName val="Isolasi_Luar4"/>
      <sheetName val="Fill_this_out_first___4"/>
      <sheetName val="Summary_Page_VDF4"/>
      <sheetName val="Invested_capital_VDF4"/>
      <sheetName val="1195_B14"/>
      <sheetName val="Income_Statement_VDF4"/>
      <sheetName val="Permanent_info4"/>
      <sheetName val="budget_idr4"/>
      <sheetName val="PBC_-_Detail_BS_-_20104"/>
      <sheetName val="Profit_&amp;_Loss_Account4"/>
      <sheetName val="BCE_MURNI-QS4"/>
      <sheetName val="TM_-_1B4"/>
      <sheetName val="BASIC_ASSUMPTION4"/>
      <sheetName val="P12_44"/>
      <sheetName val="Key_drivers4"/>
      <sheetName val="Konfirmasi_Transaksi_Lama4"/>
      <sheetName val="AA_1_1_BNI4"/>
      <sheetName val="PV_of_Op_Leases_VDF4"/>
      <sheetName val="RoadMaint_4"/>
      <sheetName val="Income_Statement4"/>
      <sheetName val="Minilink_Eqp_EAB,_CIP4"/>
      <sheetName val="DATA_WP4"/>
      <sheetName val="Re-Mill_Building__4"/>
      <sheetName val="Resource_Costs4"/>
      <sheetName val="Work_Requirement4"/>
      <sheetName val="WP_AKTIVA4"/>
      <sheetName val="WP_PASIVA4"/>
      <sheetName val="WP_LABA_RUGI4"/>
      <sheetName val="DATA_FORWARDER4"/>
      <sheetName val="Daf__KPP1"/>
      <sheetName val="Exch_Rate4"/>
      <sheetName val="Income_S1"/>
      <sheetName val="balance_sheet1"/>
      <sheetName val="Regulated_Tariff1"/>
      <sheetName val="Motor_Sytem1"/>
      <sheetName val="3M_Indonesia_(9011-001)4"/>
      <sheetName val="Ford_Options"/>
      <sheetName val="T_B"/>
      <sheetName val="COMPANY_CODE"/>
      <sheetName val="Nomor_Id"/>
      <sheetName val="Bal_Sheet"/>
      <sheetName val="fin_pro_centers"/>
      <sheetName val="Data_Umum1"/>
      <sheetName val="Bahan_Mekanikal"/>
      <sheetName val="D_&amp;_W_sizes"/>
      <sheetName val="NRO_and_subs"/>
      <sheetName val="H_KONTRAK"/>
      <sheetName val="Gaji_Non_Staff"/>
      <sheetName val="Middle_East"/>
      <sheetName val="Check_on_8_10_2003"/>
      <sheetName val="fiscal_depr(E)"/>
      <sheetName val="CETAK_BUKTI"/>
      <sheetName val="=_P_&amp;_L_="/>
      <sheetName val="Acc__Empolyee"/>
      <sheetName val="Rp_Banten"/>
      <sheetName val="star_prov"/>
      <sheetName val="Bill_2_3"/>
      <sheetName val="Bill_2_5B"/>
      <sheetName val="Bill_2_1"/>
      <sheetName val="Table_1"/>
      <sheetName val="Trial_Bal"/>
      <sheetName val="JURNAL_KONSOL"/>
      <sheetName val="Produksi_&amp;_Scedule"/>
      <sheetName val="Summary_"/>
      <sheetName val="R_PIUT__MHS"/>
      <sheetName val="EXPORT_TEST_CERTIFICATE__EX_(1)"/>
      <sheetName val="AGUSTUS_2016"/>
      <sheetName val="Rek_GR"/>
      <sheetName val="Rekap_Piutang_Dagang5"/>
      <sheetName val="_BENGKULU5"/>
      <sheetName val="SNC_LOMBOK5"/>
      <sheetName val="SNS_MENADO5"/>
      <sheetName val="TNS_Makasar5"/>
      <sheetName val="_Batam5"/>
      <sheetName val="Pangkal_Pinang5"/>
      <sheetName val="_BANJARMASIN5"/>
      <sheetName val="_Balikpapan5"/>
      <sheetName val="Laut_Timur5"/>
      <sheetName val="multi_mandiri5"/>
      <sheetName val="Starmara_Tanjung_Pinang5"/>
      <sheetName val="Berlian_Pacific5"/>
      <sheetName val="Mata_Nanda5"/>
      <sheetName val="Takari_international5"/>
      <sheetName val="SM_Food5"/>
      <sheetName val="Subur_Makmur5"/>
      <sheetName val="Trus_Trading_Libanon5"/>
      <sheetName val="Ovuike_-Nigeria5"/>
      <sheetName val="Supply_-_Australia5"/>
      <sheetName val="Kiu_Fung_-Hongkong5"/>
      <sheetName val="CBC_Pakistan5"/>
      <sheetName val="africa_oilseeds5"/>
      <sheetName val="PENJ_NERACA5"/>
      <sheetName val="CASH_FLOW5"/>
      <sheetName val="Deposit_DO5"/>
      <sheetName val="U_1_2_Other_charges_(income)5"/>
      <sheetName val="Beli_Mtr5"/>
      <sheetName val="trf_multiple_dnrks5"/>
      <sheetName val="RumusTB_1_bln5"/>
      <sheetName val="Isolasi_Luar_Dalam5"/>
      <sheetName val="Isolasi_Luar5"/>
      <sheetName val="Fill_this_out_first___5"/>
      <sheetName val="Summary_Page_VDF5"/>
      <sheetName val="Invested_capital_VDF5"/>
      <sheetName val="1195_B15"/>
      <sheetName val="Income_Statement_VDF5"/>
      <sheetName val="Permanent_info5"/>
      <sheetName val="budget_idr5"/>
      <sheetName val="PBC_-_Detail_BS_-_20105"/>
      <sheetName val="Profit_&amp;_Loss_Account5"/>
      <sheetName val="BCE_MURNI-QS5"/>
      <sheetName val="TM_-_1B5"/>
      <sheetName val="BASIC_ASSUMPTION5"/>
      <sheetName val="P12_45"/>
      <sheetName val="Key_drivers5"/>
      <sheetName val="Konfirmasi_Transaksi_Lama5"/>
      <sheetName val="AA_1_1_BNI5"/>
      <sheetName val="PV_of_Op_Leases_VDF5"/>
      <sheetName val="RoadMaint_5"/>
      <sheetName val="Income_Statement5"/>
      <sheetName val="Minilink_Eqp_EAB,_CIP5"/>
      <sheetName val="DATA_WP5"/>
      <sheetName val="Re-Mill_Building__5"/>
      <sheetName val="Resource_Costs5"/>
      <sheetName val="Work_Requirement5"/>
      <sheetName val="WP_AKTIVA5"/>
      <sheetName val="WP_PASIVA5"/>
      <sheetName val="WP_LABA_RUGI5"/>
      <sheetName val="DATA_FORWARDER5"/>
      <sheetName val="Daf__KPP2"/>
      <sheetName val="Exch_Rate5"/>
      <sheetName val="Income_S2"/>
      <sheetName val="balance_sheet2"/>
      <sheetName val="Regulated_Tariff2"/>
      <sheetName val="Motor_Sytem2"/>
      <sheetName val="3M_Indonesia_(9011-001)5"/>
      <sheetName val="Ford_Options1"/>
      <sheetName val="T_B1"/>
      <sheetName val="COMPANY_CODE1"/>
      <sheetName val="Nomor_Id1"/>
      <sheetName val="Bal_Sheet1"/>
      <sheetName val="fin_pro_centers1"/>
      <sheetName val="Data_Umum2"/>
      <sheetName val="Bahan_Mekanikal1"/>
      <sheetName val="D_&amp;_W_sizes1"/>
      <sheetName val="NRO_and_subs1"/>
      <sheetName val="H_KONTRAK1"/>
      <sheetName val="Gaji_Non_Staff1"/>
      <sheetName val="Middle_East1"/>
      <sheetName val="Check_on_8_10_20031"/>
      <sheetName val="fiscal_depr(E)1"/>
      <sheetName val="CETAK_BUKTI1"/>
      <sheetName val="=_P_&amp;_L_=1"/>
      <sheetName val="Acc__Empolyee1"/>
      <sheetName val="Rp_Banten1"/>
      <sheetName val="star_prov1"/>
      <sheetName val="Bill_2_31"/>
      <sheetName val="Bill_2_5B1"/>
      <sheetName val="Bill_2_11"/>
      <sheetName val="Table_11"/>
      <sheetName val="Trial_Bal1"/>
      <sheetName val="JURNAL_KONSOL1"/>
      <sheetName val="Produksi_&amp;_Scedule1"/>
      <sheetName val="Summary_1"/>
      <sheetName val="R_PIUT__MHS1"/>
      <sheetName val="EXPORT_TEST_CERTIFICATE__EX_(11"/>
      <sheetName val="AGUSTUS_20161"/>
      <sheetName val="Rek_GR1"/>
      <sheetName val="Rekap_Piutang_Dagang6"/>
      <sheetName val="_BENGKULU6"/>
      <sheetName val="SNC_LOMBOK6"/>
      <sheetName val="SNS_MENADO6"/>
      <sheetName val="TNS_Makasar6"/>
      <sheetName val="_Batam6"/>
      <sheetName val="Pangkal_Pinang6"/>
      <sheetName val="_BANJARMASIN6"/>
      <sheetName val="_Balikpapan6"/>
      <sheetName val="Laut_Timur6"/>
      <sheetName val="multi_mandiri6"/>
      <sheetName val="Starmara_Tanjung_Pinang6"/>
      <sheetName val="Berlian_Pacific6"/>
      <sheetName val="Mata_Nanda6"/>
      <sheetName val="Takari_international6"/>
      <sheetName val="SM_Food6"/>
      <sheetName val="Subur_Makmur6"/>
      <sheetName val="Trus_Trading_Libanon6"/>
      <sheetName val="Ovuike_-Nigeria6"/>
      <sheetName val="Supply_-_Australia6"/>
      <sheetName val="Kiu_Fung_-Hongkong6"/>
      <sheetName val="CBC_Pakistan6"/>
      <sheetName val="africa_oilseeds6"/>
      <sheetName val="PENJ_NERACA6"/>
      <sheetName val="CASH_FLOW6"/>
      <sheetName val="Deposit_DO6"/>
      <sheetName val="U_1_2_Other_charges_(income)6"/>
      <sheetName val="Beli_Mtr6"/>
      <sheetName val="trf_multiple_dnrks6"/>
      <sheetName val="RumusTB_1_bln6"/>
      <sheetName val="Isolasi_Luar_Dalam6"/>
      <sheetName val="Isolasi_Luar6"/>
      <sheetName val="Fill_this_out_first___6"/>
      <sheetName val="Summary_Page_VDF6"/>
      <sheetName val="Invested_capital_VDF6"/>
      <sheetName val="1195_B16"/>
      <sheetName val="Income_Statement_VDF6"/>
      <sheetName val="Permanent_info6"/>
      <sheetName val="budget_idr6"/>
      <sheetName val="PBC_-_Detail_BS_-_20106"/>
      <sheetName val="Profit_&amp;_Loss_Account6"/>
      <sheetName val="BCE_MURNI-QS6"/>
      <sheetName val="TM_-_1B6"/>
      <sheetName val="BASIC_ASSUMPTION6"/>
      <sheetName val="P12_46"/>
      <sheetName val="Key_drivers6"/>
      <sheetName val="Konfirmasi_Transaksi_Lama6"/>
      <sheetName val="AA_1_1_BNI6"/>
      <sheetName val="PV_of_Op_Leases_VDF6"/>
      <sheetName val="RoadMaint_6"/>
      <sheetName val="Income_Statement6"/>
      <sheetName val="Minilink_Eqp_EAB,_CIP6"/>
      <sheetName val="DATA_WP6"/>
      <sheetName val="Re-Mill_Building__6"/>
      <sheetName val="Resource_Costs6"/>
      <sheetName val="Work_Requirement6"/>
      <sheetName val="WP_AKTIVA6"/>
      <sheetName val="WP_PASIVA6"/>
      <sheetName val="WP_LABA_RUGI6"/>
      <sheetName val="DATA_FORWARDER6"/>
      <sheetName val="Daf__KPP3"/>
      <sheetName val="Exch_Rate6"/>
      <sheetName val="Income_S3"/>
      <sheetName val="balance_sheet3"/>
      <sheetName val="Regulated_Tariff3"/>
      <sheetName val="Motor_Sytem3"/>
      <sheetName val="3M_Indonesia_(9011-001)6"/>
      <sheetName val="Ford_Options2"/>
      <sheetName val="T_B2"/>
      <sheetName val="COMPANY_CODE2"/>
      <sheetName val="Nomor_Id2"/>
      <sheetName val="Bal_Sheet2"/>
      <sheetName val="fin_pro_centers2"/>
      <sheetName val="Data_Umum3"/>
      <sheetName val="Bahan_Mekanikal2"/>
      <sheetName val="D_&amp;_W_sizes2"/>
      <sheetName val="NRO_and_subs2"/>
      <sheetName val="H_KONTRAK2"/>
      <sheetName val="Gaji_Non_Staff2"/>
      <sheetName val="Middle_East2"/>
      <sheetName val="Check_on_8_10_20032"/>
      <sheetName val="fiscal_depr(E)2"/>
      <sheetName val="CETAK_BUKTI2"/>
      <sheetName val="=_P_&amp;_L_=2"/>
      <sheetName val="Acc__Empolyee2"/>
      <sheetName val="Rp_Banten2"/>
      <sheetName val="star_prov2"/>
      <sheetName val="Bill_2_32"/>
      <sheetName val="Bill_2_5B2"/>
      <sheetName val="Bill_2_12"/>
      <sheetName val="Table_12"/>
      <sheetName val="Trial_Bal2"/>
      <sheetName val="JURNAL_KONSOL2"/>
      <sheetName val="Produksi_&amp;_Scedule2"/>
      <sheetName val="Summary_2"/>
      <sheetName val="R_PIUT__MHS2"/>
      <sheetName val="EXPORT_TEST_CERTIFICATE__EX_(12"/>
      <sheetName val="AGUSTUS_20162"/>
      <sheetName val="Rek_GR2"/>
      <sheetName val="Rekap_Piutang_Dagang7"/>
      <sheetName val="_BENGKULU7"/>
      <sheetName val="SNC_LOMBOK7"/>
      <sheetName val="SNS_MENADO7"/>
      <sheetName val="TNS_Makasar7"/>
      <sheetName val="_Batam7"/>
      <sheetName val="Pangkal_Pinang7"/>
      <sheetName val="_BANJARMASIN7"/>
      <sheetName val="_Balikpapan7"/>
      <sheetName val="Laut_Timur7"/>
      <sheetName val="multi_mandiri7"/>
      <sheetName val="Starmara_Tanjung_Pinang7"/>
      <sheetName val="Berlian_Pacific7"/>
      <sheetName val="Mata_Nanda7"/>
      <sheetName val="Takari_international7"/>
      <sheetName val="SM_Food7"/>
      <sheetName val="Subur_Makmur7"/>
      <sheetName val="Trus_Trading_Libanon7"/>
      <sheetName val="Ovuike_-Nigeria7"/>
      <sheetName val="Supply_-_Australia7"/>
      <sheetName val="Kiu_Fung_-Hongkong7"/>
      <sheetName val="CBC_Pakistan7"/>
      <sheetName val="africa_oilseeds7"/>
      <sheetName val="PENJ_NERACA7"/>
      <sheetName val="CASH_FLOW7"/>
      <sheetName val="Deposit_DO7"/>
      <sheetName val="U_1_2_Other_charges_(income)7"/>
      <sheetName val="Beli_Mtr7"/>
      <sheetName val="trf_multiple_dnrks7"/>
      <sheetName val="RumusTB_1_bln7"/>
      <sheetName val="Isolasi_Luar_Dalam7"/>
      <sheetName val="Isolasi_Luar7"/>
      <sheetName val="Fill_this_out_first___7"/>
      <sheetName val="Summary_Page_VDF7"/>
      <sheetName val="Invested_capital_VDF7"/>
      <sheetName val="1195_B17"/>
      <sheetName val="Income_Statement_VDF7"/>
      <sheetName val="Permanent_info7"/>
      <sheetName val="budget_idr7"/>
      <sheetName val="PBC_-_Detail_BS_-_20107"/>
      <sheetName val="Profit_&amp;_Loss_Account7"/>
      <sheetName val="BCE_MURNI-QS7"/>
      <sheetName val="TM_-_1B7"/>
      <sheetName val="BASIC_ASSUMPTION7"/>
      <sheetName val="P12_47"/>
      <sheetName val="Key_drivers7"/>
      <sheetName val="Konfirmasi_Transaksi_Lama7"/>
      <sheetName val="AA_1_1_BNI7"/>
      <sheetName val="PV_of_Op_Leases_VDF7"/>
      <sheetName val="RoadMaint_7"/>
      <sheetName val="Income_Statement7"/>
      <sheetName val="Minilink_Eqp_EAB,_CIP7"/>
      <sheetName val="DATA_WP7"/>
      <sheetName val="Re-Mill_Building__7"/>
      <sheetName val="Resource_Costs7"/>
      <sheetName val="Work_Requirement7"/>
      <sheetName val="WP_AKTIVA7"/>
      <sheetName val="WP_PASIVA7"/>
      <sheetName val="WP_LABA_RUGI7"/>
      <sheetName val="DATA_FORWARDER7"/>
      <sheetName val="Daf__KPP4"/>
      <sheetName val="Exch_Rate7"/>
      <sheetName val="Income_S4"/>
      <sheetName val="balance_sheet4"/>
      <sheetName val="Regulated_Tariff4"/>
      <sheetName val="Motor_Sytem4"/>
      <sheetName val="3M_Indonesia_(9011-001)7"/>
      <sheetName val="Ford_Options3"/>
      <sheetName val="T_B3"/>
      <sheetName val="COMPANY_CODE3"/>
      <sheetName val="Nomor_Id3"/>
      <sheetName val="Bal_Sheet3"/>
      <sheetName val="fin_pro_centers3"/>
      <sheetName val="Data_Umum4"/>
      <sheetName val="Bahan_Mekanikal3"/>
      <sheetName val="D_&amp;_W_sizes3"/>
      <sheetName val="NRO_and_subs3"/>
      <sheetName val="H_KONTRAK3"/>
      <sheetName val="Gaji_Non_Staff3"/>
      <sheetName val="Middle_East3"/>
      <sheetName val="Check_on_8_10_20033"/>
      <sheetName val="fiscal_depr(E)3"/>
      <sheetName val="CETAK_BUKTI3"/>
      <sheetName val="=_P_&amp;_L_=3"/>
      <sheetName val="Acc__Empolyee3"/>
      <sheetName val="Rp_Banten3"/>
      <sheetName val="star_prov3"/>
      <sheetName val="Bill_2_33"/>
      <sheetName val="Bill_2_5B3"/>
      <sheetName val="Bill_2_13"/>
      <sheetName val="Table_13"/>
      <sheetName val="Trial_Bal3"/>
      <sheetName val="JURNAL_KONSOL3"/>
      <sheetName val="Produksi_&amp;_Scedule3"/>
      <sheetName val="Summary_3"/>
      <sheetName val="R_PIUT__MHS3"/>
      <sheetName val="EXPORT_TEST_CERTIFICATE__EX_(13"/>
      <sheetName val="AGUSTUS_20163"/>
      <sheetName val="Rek_GR3"/>
      <sheetName val="Rekap_Piutang_Dagang8"/>
      <sheetName val="_BENGKULU8"/>
      <sheetName val="SNC_LOMBOK8"/>
      <sheetName val="SNS_MENADO8"/>
      <sheetName val="TNS_Makasar8"/>
      <sheetName val="_Batam8"/>
      <sheetName val="Pangkal_Pinang8"/>
      <sheetName val="_BANJARMASIN8"/>
      <sheetName val="_Balikpapan8"/>
      <sheetName val="Laut_Timur8"/>
      <sheetName val="multi_mandiri8"/>
      <sheetName val="Starmara_Tanjung_Pinang8"/>
      <sheetName val="Berlian_Pacific8"/>
      <sheetName val="Mata_Nanda8"/>
      <sheetName val="Takari_international8"/>
      <sheetName val="SM_Food8"/>
      <sheetName val="Subur_Makmur8"/>
      <sheetName val="Trus_Trading_Libanon8"/>
      <sheetName val="Ovuike_-Nigeria8"/>
      <sheetName val="Supply_-_Australia8"/>
      <sheetName val="Kiu_Fung_-Hongkong8"/>
      <sheetName val="CBC_Pakistan8"/>
      <sheetName val="africa_oilseeds8"/>
      <sheetName val="PENJ_NERACA8"/>
      <sheetName val="CASH_FLOW8"/>
      <sheetName val="Deposit_DO8"/>
      <sheetName val="U_1_2_Other_charges_(income)8"/>
      <sheetName val="Beli_Mtr8"/>
      <sheetName val="trf_multiple_dnrks8"/>
      <sheetName val="RumusTB_1_bln8"/>
      <sheetName val="Isolasi_Luar_Dalam8"/>
      <sheetName val="Isolasi_Luar8"/>
      <sheetName val="Fill_this_out_first___8"/>
      <sheetName val="Summary_Page_VDF8"/>
      <sheetName val="Invested_capital_VDF8"/>
      <sheetName val="1195_B18"/>
      <sheetName val="Income_Statement_VDF8"/>
      <sheetName val="Permanent_info8"/>
      <sheetName val="budget_idr8"/>
      <sheetName val="PBC_-_Detail_BS_-_20108"/>
      <sheetName val="Profit_&amp;_Loss_Account8"/>
      <sheetName val="BCE_MURNI-QS8"/>
      <sheetName val="TM_-_1B8"/>
      <sheetName val="BASIC_ASSUMPTION8"/>
      <sheetName val="P12_48"/>
      <sheetName val="Key_drivers8"/>
      <sheetName val="Konfirmasi_Transaksi_Lama8"/>
      <sheetName val="AA_1_1_BNI8"/>
      <sheetName val="PV_of_Op_Leases_VDF8"/>
      <sheetName val="RoadMaint_8"/>
      <sheetName val="Income_Statement8"/>
      <sheetName val="Minilink_Eqp_EAB,_CIP8"/>
      <sheetName val="DATA_WP8"/>
      <sheetName val="Re-Mill_Building__8"/>
      <sheetName val="Resource_Costs8"/>
      <sheetName val="Work_Requirement8"/>
      <sheetName val="WP_AKTIVA8"/>
      <sheetName val="WP_PASIVA8"/>
      <sheetName val="WP_LABA_RUGI8"/>
      <sheetName val="DATA_FORWARDER8"/>
      <sheetName val="Daf__KPP5"/>
      <sheetName val="Exch_Rate8"/>
      <sheetName val="Income_S5"/>
      <sheetName val="balance_sheet5"/>
      <sheetName val="Regulated_Tariff5"/>
      <sheetName val="Motor_Sytem5"/>
      <sheetName val="3M_Indonesia_(9011-001)8"/>
      <sheetName val="Ford_Options4"/>
      <sheetName val="T_B4"/>
      <sheetName val="COMPANY_CODE4"/>
      <sheetName val="Nomor_Id4"/>
      <sheetName val="Bal_Sheet4"/>
      <sheetName val="fin_pro_centers4"/>
      <sheetName val="Data_Umum5"/>
      <sheetName val="Bahan_Mekanikal4"/>
      <sheetName val="D_&amp;_W_sizes4"/>
      <sheetName val="NRO_and_subs4"/>
      <sheetName val="H_KONTRAK4"/>
      <sheetName val="Gaji_Non_Staff4"/>
      <sheetName val="Middle_East4"/>
      <sheetName val="Check_on_8_10_20034"/>
      <sheetName val="fiscal_depr(E)4"/>
      <sheetName val="CETAK_BUKTI4"/>
      <sheetName val="=_P_&amp;_L_=4"/>
      <sheetName val="Acc__Empolyee4"/>
      <sheetName val="Rp_Banten4"/>
      <sheetName val="star_prov4"/>
      <sheetName val="Bill_2_34"/>
      <sheetName val="Bill_2_5B4"/>
      <sheetName val="Bill_2_14"/>
      <sheetName val="Table_14"/>
      <sheetName val="Trial_Bal4"/>
      <sheetName val="JURNAL_KONSOL4"/>
      <sheetName val="Produksi_&amp;_Scedule4"/>
      <sheetName val="Summary_4"/>
      <sheetName val="R_PIUT__MHS4"/>
      <sheetName val="EXPORT_TEST_CERTIFICATE__EX_(14"/>
      <sheetName val="AGUSTUS_20164"/>
      <sheetName val="Rek_GR4"/>
      <sheetName val="Rekap_Piutang_Dagang9"/>
      <sheetName val="_BENGKULU9"/>
      <sheetName val="SNC_LOMBOK9"/>
      <sheetName val="SNS_MENADO9"/>
      <sheetName val="TNS_Makasar9"/>
      <sheetName val="_Batam9"/>
      <sheetName val="Pangkal_Pinang9"/>
      <sheetName val="_BANJARMASIN9"/>
      <sheetName val="_Balikpapan9"/>
      <sheetName val="Laut_Timur9"/>
      <sheetName val="multi_mandiri9"/>
      <sheetName val="Starmara_Tanjung_Pinang9"/>
      <sheetName val="Berlian_Pacific9"/>
      <sheetName val="Mata_Nanda9"/>
      <sheetName val="Takari_international9"/>
      <sheetName val="SM_Food9"/>
      <sheetName val="Subur_Makmur9"/>
      <sheetName val="Trus_Trading_Libanon9"/>
      <sheetName val="Ovuike_-Nigeria9"/>
      <sheetName val="Supply_-_Australia9"/>
      <sheetName val="Kiu_Fung_-Hongkong9"/>
      <sheetName val="CBC_Pakistan9"/>
      <sheetName val="africa_oilseeds9"/>
      <sheetName val="PENJ_NERACA9"/>
      <sheetName val="CASH_FLOW9"/>
      <sheetName val="Deposit_DO9"/>
      <sheetName val="U_1_2_Other_charges_(income)9"/>
      <sheetName val="Beli_Mtr9"/>
      <sheetName val="trf_multiple_dnrks9"/>
      <sheetName val="RumusTB_1_bln9"/>
      <sheetName val="Isolasi_Luar_Dalam9"/>
      <sheetName val="Isolasi_Luar9"/>
      <sheetName val="Fill_this_out_first___9"/>
      <sheetName val="Summary_Page_VDF9"/>
      <sheetName val="Invested_capital_VDF9"/>
      <sheetName val="1195_B19"/>
      <sheetName val="Income_Statement_VDF9"/>
      <sheetName val="Permanent_info9"/>
      <sheetName val="budget_idr9"/>
      <sheetName val="PBC_-_Detail_BS_-_20109"/>
      <sheetName val="Profit_&amp;_Loss_Account9"/>
      <sheetName val="BCE_MURNI-QS9"/>
      <sheetName val="TM_-_1B9"/>
      <sheetName val="BASIC_ASSUMPTION9"/>
      <sheetName val="P12_49"/>
      <sheetName val="Key_drivers9"/>
      <sheetName val="Konfirmasi_Transaksi_Lama9"/>
      <sheetName val="AA_1_1_BNI9"/>
      <sheetName val="PV_of_Op_Leases_VDF9"/>
      <sheetName val="RoadMaint_9"/>
      <sheetName val="Income_Statement9"/>
      <sheetName val="Minilink_Eqp_EAB,_CIP9"/>
      <sheetName val="DATA_WP9"/>
      <sheetName val="Re-Mill_Building__9"/>
      <sheetName val="Resource_Costs9"/>
      <sheetName val="Work_Requirement9"/>
      <sheetName val="WP_AKTIVA9"/>
      <sheetName val="WP_PASIVA9"/>
      <sheetName val="WP_LABA_RUGI9"/>
      <sheetName val="DATA_FORWARDER9"/>
      <sheetName val="Daf__KPP6"/>
      <sheetName val="Exch_Rate9"/>
      <sheetName val="Income_S6"/>
      <sheetName val="balance_sheet6"/>
      <sheetName val="Regulated_Tariff6"/>
      <sheetName val="Motor_Sytem6"/>
      <sheetName val="3M_Indonesia_(9011-001)9"/>
      <sheetName val="Ford_Options5"/>
      <sheetName val="T_B5"/>
      <sheetName val="COMPANY_CODE5"/>
      <sheetName val="Nomor_Id5"/>
      <sheetName val="Bal_Sheet5"/>
      <sheetName val="fin_pro_centers5"/>
      <sheetName val="Data_Umum6"/>
      <sheetName val="Bahan_Mekanikal5"/>
      <sheetName val="D_&amp;_W_sizes5"/>
      <sheetName val="NRO_and_subs5"/>
      <sheetName val="H_KONTRAK5"/>
      <sheetName val="Gaji_Non_Staff5"/>
      <sheetName val="Middle_East5"/>
      <sheetName val="Check_on_8_10_20035"/>
      <sheetName val="fiscal_depr(E)5"/>
      <sheetName val="CETAK_BUKTI5"/>
      <sheetName val="=_P_&amp;_L_=5"/>
      <sheetName val="Acc__Empolyee5"/>
      <sheetName val="Rp_Banten5"/>
      <sheetName val="star_prov5"/>
      <sheetName val="Bill_2_35"/>
      <sheetName val="Bill_2_5B5"/>
      <sheetName val="Bill_2_15"/>
      <sheetName val="Table_15"/>
      <sheetName val="Trial_Bal5"/>
      <sheetName val="JURNAL_KONSOL5"/>
      <sheetName val="Produksi_&amp;_Scedule5"/>
      <sheetName val="Summary_5"/>
      <sheetName val="R_PIUT__MHS5"/>
      <sheetName val="EXPORT_TEST_CERTIFICATE__EX_(15"/>
      <sheetName val="AGUSTUS_20165"/>
      <sheetName val="Rek_GR5"/>
      <sheetName val="Rekap_Piutang_Dagang10"/>
      <sheetName val="_BENGKULU10"/>
      <sheetName val="SNC_LOMBOK10"/>
      <sheetName val="SNS_MENADO10"/>
      <sheetName val="TNS_Makasar10"/>
      <sheetName val="_Batam10"/>
      <sheetName val="Pangkal_Pinang10"/>
      <sheetName val="_BANJARMASIN10"/>
      <sheetName val="_Balikpapan10"/>
      <sheetName val="Laut_Timur10"/>
      <sheetName val="multi_mandiri10"/>
      <sheetName val="Starmara_Tanjung_Pinang10"/>
      <sheetName val="Berlian_Pacific10"/>
      <sheetName val="Mata_Nanda10"/>
      <sheetName val="Takari_international10"/>
      <sheetName val="SM_Food10"/>
      <sheetName val="Subur_Makmur10"/>
      <sheetName val="Trus_Trading_Libanon10"/>
      <sheetName val="Ovuike_-Nigeria10"/>
      <sheetName val="Supply_-_Australia10"/>
      <sheetName val="Kiu_Fung_-Hongkong10"/>
      <sheetName val="CBC_Pakistan10"/>
      <sheetName val="africa_oilseeds10"/>
      <sheetName val="PENJ_NERACA10"/>
      <sheetName val="CASH_FLOW10"/>
      <sheetName val="Deposit_DO10"/>
      <sheetName val="U_1_2_Other_charges_(income)10"/>
      <sheetName val="Beli_Mtr10"/>
      <sheetName val="trf_multiple_dnrks10"/>
      <sheetName val="RumusTB_1_bln10"/>
      <sheetName val="Isolasi_Luar_Dalam10"/>
      <sheetName val="Isolasi_Luar10"/>
      <sheetName val="Fill_this_out_first___10"/>
      <sheetName val="Summary_Page_VDF10"/>
      <sheetName val="Invested_capital_VDF10"/>
      <sheetName val="1195_B110"/>
      <sheetName val="Income_Statement_VDF10"/>
      <sheetName val="Permanent_info10"/>
      <sheetName val="budget_idr10"/>
      <sheetName val="PBC_-_Detail_BS_-_201010"/>
      <sheetName val="Profit_&amp;_Loss_Account10"/>
      <sheetName val="BCE_MURNI-QS10"/>
      <sheetName val="TM_-_1B10"/>
      <sheetName val="BASIC_ASSUMPTION10"/>
      <sheetName val="P12_410"/>
      <sheetName val="Key_drivers10"/>
      <sheetName val="Konfirmasi_Transaksi_Lama10"/>
      <sheetName val="AA_1_1_BNI10"/>
      <sheetName val="PV_of_Op_Leases_VDF10"/>
      <sheetName val="RoadMaint_10"/>
      <sheetName val="Income_Statement10"/>
      <sheetName val="Minilink_Eqp_EAB,_CIP10"/>
      <sheetName val="DATA_WP10"/>
      <sheetName val="Re-Mill_Building__10"/>
      <sheetName val="Resource_Costs10"/>
      <sheetName val="Work_Requirement10"/>
      <sheetName val="WP_AKTIVA10"/>
      <sheetName val="WP_PASIVA10"/>
      <sheetName val="WP_LABA_RUGI10"/>
      <sheetName val="DATA_FORWARDER10"/>
      <sheetName val="Daf__KPP7"/>
      <sheetName val="Exch_Rate10"/>
      <sheetName val="Income_S7"/>
      <sheetName val="balance_sheet7"/>
      <sheetName val="Regulated_Tariff7"/>
      <sheetName val="Motor_Sytem7"/>
      <sheetName val="3M_Indonesia_(9011-001)10"/>
      <sheetName val="Ford_Options6"/>
      <sheetName val="T_B6"/>
      <sheetName val="COMPANY_CODE6"/>
      <sheetName val="Nomor_Id6"/>
      <sheetName val="Bal_Sheet6"/>
      <sheetName val="fin_pro_centers6"/>
      <sheetName val="Data_Umum7"/>
      <sheetName val="Bahan_Mekanikal6"/>
      <sheetName val="D_&amp;_W_sizes6"/>
      <sheetName val="NRO_and_subs6"/>
      <sheetName val="H_KONTRAK6"/>
      <sheetName val="Gaji_Non_Staff6"/>
      <sheetName val="Middle_East6"/>
      <sheetName val="Check_on_8_10_20036"/>
      <sheetName val="fiscal_depr(E)6"/>
      <sheetName val="CETAK_BUKTI6"/>
      <sheetName val="=_P_&amp;_L_=6"/>
      <sheetName val="Acc__Empolyee6"/>
      <sheetName val="Rp_Banten6"/>
      <sheetName val="star_prov6"/>
      <sheetName val="Bill_2_36"/>
      <sheetName val="Bill_2_5B6"/>
      <sheetName val="Bill_2_16"/>
      <sheetName val="Table_16"/>
      <sheetName val="Trial_Bal6"/>
      <sheetName val="JURNAL_KONSOL6"/>
      <sheetName val="Produksi_&amp;_Scedule6"/>
      <sheetName val="Summary_6"/>
      <sheetName val="R_PIUT__MHS6"/>
      <sheetName val="EXPORT_TEST_CERTIFICATE__EX_(16"/>
      <sheetName val="Rekap_Piutang_Dagang11"/>
      <sheetName val="_BENGKULU11"/>
      <sheetName val="SNC_LOMBOK11"/>
      <sheetName val="SNS_MENADO11"/>
      <sheetName val="TNS_Makasar11"/>
      <sheetName val="_Batam11"/>
      <sheetName val="Pangkal_Pinang11"/>
      <sheetName val="_BANJARMASIN11"/>
      <sheetName val="_Balikpapan11"/>
      <sheetName val="Laut_Timur11"/>
      <sheetName val="multi_mandiri11"/>
      <sheetName val="Starmara_Tanjung_Pinang11"/>
      <sheetName val="Berlian_Pacific11"/>
      <sheetName val="Mata_Nanda11"/>
      <sheetName val="Takari_international11"/>
      <sheetName val="SM_Food11"/>
      <sheetName val="Subur_Makmur11"/>
      <sheetName val="Trus_Trading_Libanon11"/>
      <sheetName val="Ovuike_-Nigeria11"/>
      <sheetName val="Supply_-_Australia11"/>
      <sheetName val="Kiu_Fung_-Hongkong11"/>
      <sheetName val="CBC_Pakistan11"/>
      <sheetName val="africa_oilseeds11"/>
      <sheetName val="PENJ_NERACA11"/>
      <sheetName val="CASH_FLOW11"/>
      <sheetName val="Deposit_DO11"/>
      <sheetName val="U_1_2_Other_charges_(income)11"/>
      <sheetName val="Beli_Mtr11"/>
      <sheetName val="trf_multiple_dnrks11"/>
      <sheetName val="RumusTB_1_bln11"/>
      <sheetName val="Isolasi_Luar_Dalam11"/>
      <sheetName val="Isolasi_Luar11"/>
      <sheetName val="Fill_this_out_first___11"/>
      <sheetName val="Summary_Page_VDF11"/>
      <sheetName val="Invested_capital_VDF11"/>
      <sheetName val="1195_B111"/>
      <sheetName val="Income_Statement_VDF11"/>
      <sheetName val="Permanent_info11"/>
      <sheetName val="budget_idr11"/>
      <sheetName val="PBC_-_Detail_BS_-_201011"/>
      <sheetName val="Profit_&amp;_Loss_Account11"/>
      <sheetName val="BCE_MURNI-QS11"/>
      <sheetName val="TM_-_1B11"/>
      <sheetName val="BASIC_ASSUMPTION11"/>
      <sheetName val="P12_411"/>
      <sheetName val="Key_drivers11"/>
      <sheetName val="Konfirmasi_Transaksi_Lama11"/>
      <sheetName val="AA_1_1_BNI11"/>
      <sheetName val="PV_of_Op_Leases_VDF11"/>
      <sheetName val="RoadMaint_11"/>
      <sheetName val="Income_Statement11"/>
      <sheetName val="Minilink_Eqp_EAB,_CIP11"/>
      <sheetName val="DATA_WP11"/>
      <sheetName val="Re-Mill_Building__11"/>
      <sheetName val="Resource_Costs11"/>
      <sheetName val="Work_Requirement11"/>
      <sheetName val="WP_AKTIVA11"/>
      <sheetName val="WP_PASIVA11"/>
      <sheetName val="WP_LABA_RUGI11"/>
      <sheetName val="DATA_FORWARDER11"/>
      <sheetName val="Daf__KPP8"/>
      <sheetName val="Exch_Rate11"/>
      <sheetName val="Income_S8"/>
      <sheetName val="balance_sheet8"/>
      <sheetName val="Regulated_Tariff8"/>
      <sheetName val="Motor_Sytem8"/>
      <sheetName val="3M_Indonesia_(9011-001)11"/>
      <sheetName val="Ford_Options7"/>
      <sheetName val="T_B7"/>
      <sheetName val="COMPANY_CODE7"/>
      <sheetName val="Nomor_Id7"/>
      <sheetName val="Bal_Sheet7"/>
      <sheetName val="fin_pro_centers7"/>
      <sheetName val="Data_Umum8"/>
      <sheetName val="Bahan_Mekanikal7"/>
      <sheetName val="D_&amp;_W_sizes7"/>
      <sheetName val="NRO_and_subs7"/>
      <sheetName val="H_KONTRAK7"/>
      <sheetName val="Gaji_Non_Staff7"/>
      <sheetName val="Middle_East7"/>
      <sheetName val="Check_on_8_10_20037"/>
      <sheetName val="fiscal_depr(E)7"/>
      <sheetName val="CETAK_BUKTI7"/>
      <sheetName val="=_P_&amp;_L_=7"/>
      <sheetName val="Acc__Empolyee7"/>
      <sheetName val="Rp_Banten7"/>
      <sheetName val="star_prov7"/>
      <sheetName val="Bill_2_37"/>
      <sheetName val="Bill_2_5B7"/>
      <sheetName val="Bill_2_17"/>
      <sheetName val="Table_17"/>
      <sheetName val="Trial_Bal7"/>
      <sheetName val="JURNAL_KONSOL7"/>
      <sheetName val="Produksi_&amp;_Scedule7"/>
      <sheetName val="Summary_7"/>
      <sheetName val="R_PIUT__MHS7"/>
      <sheetName val="EXPORT_TEST_CERTIFICATE__EX_(17"/>
      <sheetName val="AGUSTUS_20166"/>
      <sheetName val="Rek_GR6"/>
      <sheetName val="Rekap_Piutang_Dagang12"/>
      <sheetName val="_BENGKULU12"/>
      <sheetName val="SNC_LOMBOK12"/>
      <sheetName val="SNS_MENADO12"/>
      <sheetName val="TNS_Makasar12"/>
      <sheetName val="_Batam12"/>
      <sheetName val="Pangkal_Pinang12"/>
      <sheetName val="_BANJARMASIN12"/>
      <sheetName val="_Balikpapan12"/>
      <sheetName val="Laut_Timur12"/>
      <sheetName val="multi_mandiri12"/>
      <sheetName val="Starmara_Tanjung_Pinang12"/>
      <sheetName val="Berlian_Pacific12"/>
      <sheetName val="Mata_Nanda12"/>
      <sheetName val="Takari_international12"/>
      <sheetName val="SM_Food12"/>
      <sheetName val="Subur_Makmur12"/>
      <sheetName val="Trus_Trading_Libanon12"/>
      <sheetName val="Ovuike_-Nigeria12"/>
      <sheetName val="Supply_-_Australia12"/>
      <sheetName val="Kiu_Fung_-Hongkong12"/>
      <sheetName val="CBC_Pakistan12"/>
      <sheetName val="africa_oilseeds12"/>
      <sheetName val="PENJ_NERACA12"/>
      <sheetName val="CASH_FLOW12"/>
      <sheetName val="Deposit_DO12"/>
      <sheetName val="U_1_2_Other_charges_(income)12"/>
      <sheetName val="Beli_Mtr12"/>
      <sheetName val="trf_multiple_dnrks12"/>
      <sheetName val="RumusTB_1_bln12"/>
      <sheetName val="Isolasi_Luar_Dalam12"/>
      <sheetName val="Isolasi_Luar12"/>
      <sheetName val="Fill_this_out_first___12"/>
      <sheetName val="Summary_Page_VDF12"/>
      <sheetName val="Invested_capital_VDF12"/>
      <sheetName val="1195_B112"/>
      <sheetName val="Income_Statement_VDF12"/>
      <sheetName val="Permanent_info12"/>
      <sheetName val="budget_idr12"/>
      <sheetName val="PBC_-_Detail_BS_-_201012"/>
      <sheetName val="Profit_&amp;_Loss_Account12"/>
      <sheetName val="BCE_MURNI-QS12"/>
      <sheetName val="TM_-_1B12"/>
      <sheetName val="BASIC_ASSUMPTION12"/>
      <sheetName val="P12_412"/>
      <sheetName val="Key_drivers12"/>
      <sheetName val="Konfirmasi_Transaksi_Lama12"/>
      <sheetName val="AA_1_1_BNI12"/>
      <sheetName val="PV_of_Op_Leases_VDF12"/>
      <sheetName val="RoadMaint_12"/>
      <sheetName val="Income_Statement12"/>
      <sheetName val="Minilink_Eqp_EAB,_CIP12"/>
      <sheetName val="DATA_WP12"/>
      <sheetName val="Re-Mill_Building__12"/>
      <sheetName val="Resource_Costs12"/>
      <sheetName val="Work_Requirement12"/>
      <sheetName val="WP_AKTIVA12"/>
      <sheetName val="WP_PASIVA12"/>
      <sheetName val="WP_LABA_RUGI12"/>
      <sheetName val="DATA_FORWARDER12"/>
      <sheetName val="Daf__KPP9"/>
      <sheetName val="Exch_Rate12"/>
      <sheetName val="Income_S9"/>
      <sheetName val="balance_sheet9"/>
      <sheetName val="Regulated_Tariff9"/>
      <sheetName val="Motor_Sytem9"/>
      <sheetName val="3M_Indonesia_(9011-001)12"/>
      <sheetName val="Ford_Options8"/>
      <sheetName val="T_B8"/>
      <sheetName val="COMPANY_CODE8"/>
      <sheetName val="Nomor_Id8"/>
      <sheetName val="Bal_Sheet8"/>
      <sheetName val="fin_pro_centers8"/>
      <sheetName val="Data_Umum9"/>
      <sheetName val="Bahan_Mekanikal8"/>
      <sheetName val="D_&amp;_W_sizes8"/>
      <sheetName val="NRO_and_subs8"/>
      <sheetName val="H_KONTRAK8"/>
      <sheetName val="Gaji_Non_Staff8"/>
      <sheetName val="Middle_East8"/>
      <sheetName val="Check_on_8_10_20038"/>
      <sheetName val="fiscal_depr(E)8"/>
      <sheetName val="CETAK_BUKTI8"/>
      <sheetName val="=_P_&amp;_L_=8"/>
      <sheetName val="Acc__Empolyee8"/>
      <sheetName val="Rp_Banten8"/>
      <sheetName val="star_prov8"/>
      <sheetName val="Bill_2_38"/>
      <sheetName val="Bill_2_5B8"/>
      <sheetName val="Bill_2_18"/>
      <sheetName val="Table_18"/>
      <sheetName val="Trial_Bal8"/>
      <sheetName val="JURNAL_KONSOL8"/>
      <sheetName val="Produksi_&amp;_Scedule8"/>
      <sheetName val="Summary_8"/>
      <sheetName val="R_PIUT__MHS8"/>
      <sheetName val="EXPORT_TEST_CERTIFICATE__EX_(18"/>
      <sheetName val="AGUSTUS_20167"/>
      <sheetName val="Rek_GR7"/>
      <sheetName val="Rekap_Piutang_Dagang13"/>
      <sheetName val="_BENGKULU13"/>
      <sheetName val="SNC_LOMBOK13"/>
      <sheetName val="SNS_MENADO13"/>
      <sheetName val="TNS_Makasar13"/>
      <sheetName val="_Batam13"/>
      <sheetName val="Pangkal_Pinang13"/>
      <sheetName val="_BANJARMASIN13"/>
      <sheetName val="_Balikpapan13"/>
      <sheetName val="Laut_Timur13"/>
      <sheetName val="multi_mandiri13"/>
      <sheetName val="Starmara_Tanjung_Pinang13"/>
      <sheetName val="Berlian_Pacific13"/>
      <sheetName val="Mata_Nanda13"/>
      <sheetName val="Takari_international13"/>
      <sheetName val="SM_Food13"/>
      <sheetName val="Subur_Makmur13"/>
      <sheetName val="Trus_Trading_Libanon13"/>
      <sheetName val="Ovuike_-Nigeria13"/>
      <sheetName val="Supply_-_Australia13"/>
      <sheetName val="Kiu_Fung_-Hongkong13"/>
      <sheetName val="CBC_Pakistan13"/>
      <sheetName val="africa_oilseeds13"/>
      <sheetName val="PENJ_NERACA13"/>
      <sheetName val="CASH_FLOW13"/>
      <sheetName val="Deposit_DO13"/>
      <sheetName val="U_1_2_Other_charges_(income)13"/>
      <sheetName val="Beli_Mtr13"/>
      <sheetName val="trf_multiple_dnrks13"/>
      <sheetName val="RumusTB_1_bln13"/>
      <sheetName val="Isolasi_Luar_Dalam13"/>
      <sheetName val="Isolasi_Luar13"/>
      <sheetName val="Fill_this_out_first___13"/>
      <sheetName val="Summary_Page_VDF13"/>
      <sheetName val="Invested_capital_VDF13"/>
      <sheetName val="1195_B113"/>
      <sheetName val="Income_Statement_VDF13"/>
      <sheetName val="Permanent_info13"/>
      <sheetName val="budget_idr13"/>
      <sheetName val="PBC_-_Detail_BS_-_201013"/>
      <sheetName val="Profit_&amp;_Loss_Account13"/>
      <sheetName val="BCE_MURNI-QS13"/>
      <sheetName val="TM_-_1B13"/>
      <sheetName val="BASIC_ASSUMPTION13"/>
      <sheetName val="P12_413"/>
      <sheetName val="Key_drivers13"/>
      <sheetName val="Konfirmasi_Transaksi_Lama13"/>
      <sheetName val="AA_1_1_BNI13"/>
      <sheetName val="PV_of_Op_Leases_VDF13"/>
      <sheetName val="RoadMaint_13"/>
      <sheetName val="Income_Statement13"/>
      <sheetName val="Minilink_Eqp_EAB,_CIP13"/>
      <sheetName val="DATA_WP13"/>
      <sheetName val="Re-Mill_Building__13"/>
      <sheetName val="Resource_Costs13"/>
      <sheetName val="Work_Requirement13"/>
      <sheetName val="WP_AKTIVA13"/>
      <sheetName val="WP_PASIVA13"/>
      <sheetName val="WP_LABA_RUGI13"/>
      <sheetName val="DATA_FORWARDER13"/>
      <sheetName val="Daf__KPP10"/>
      <sheetName val="Exch_Rate13"/>
      <sheetName val="Income_S10"/>
      <sheetName val="balance_sheet10"/>
      <sheetName val="Regulated_Tariff10"/>
      <sheetName val="Motor_Sytem10"/>
      <sheetName val="3M_Indonesia_(9011-001)13"/>
      <sheetName val="Ford_Options9"/>
      <sheetName val="T_B9"/>
      <sheetName val="COMPANY_CODE9"/>
      <sheetName val="Nomor_Id9"/>
      <sheetName val="Bal_Sheet9"/>
      <sheetName val="fin_pro_centers9"/>
      <sheetName val="Data_Umum10"/>
      <sheetName val="Bahan_Mekanikal9"/>
      <sheetName val="D_&amp;_W_sizes9"/>
      <sheetName val="NRO_and_subs9"/>
      <sheetName val="H_KONTRAK9"/>
      <sheetName val="Gaji_Non_Staff9"/>
      <sheetName val="Middle_East9"/>
      <sheetName val="Check_on_8_10_20039"/>
      <sheetName val="fiscal_depr(E)9"/>
      <sheetName val="CETAK_BUKTI9"/>
      <sheetName val="=_P_&amp;_L_=9"/>
      <sheetName val="Acc__Empolyee9"/>
      <sheetName val="Rp_Banten9"/>
      <sheetName val="star_prov9"/>
      <sheetName val="Bill_2_39"/>
      <sheetName val="Bill_2_5B9"/>
      <sheetName val="Bill_2_19"/>
      <sheetName val="Table_19"/>
      <sheetName val="Trial_Bal9"/>
      <sheetName val="JURNAL_KONSOL9"/>
      <sheetName val="Produksi_&amp;_Scedule9"/>
      <sheetName val="Summary_9"/>
      <sheetName val="R_PIUT__MHS9"/>
      <sheetName val="EXPORT_TEST_CERTIFICATE__EX_(19"/>
      <sheetName val="AGUSTUS_20168"/>
      <sheetName val="Rek_GR8"/>
      <sheetName val="Rekap_Piutang_Dagang14"/>
      <sheetName val="_BENGKULU14"/>
      <sheetName val="SNC_LOMBOK14"/>
      <sheetName val="SNS_MENADO14"/>
      <sheetName val="TNS_Makasar14"/>
      <sheetName val="_Batam14"/>
      <sheetName val="Pangkal_Pinang14"/>
      <sheetName val="_BANJARMASIN14"/>
      <sheetName val="_Balikpapan14"/>
      <sheetName val="Laut_Timur14"/>
      <sheetName val="multi_mandiri14"/>
      <sheetName val="Starmara_Tanjung_Pinang14"/>
      <sheetName val="Berlian_Pacific14"/>
      <sheetName val="Mata_Nanda14"/>
      <sheetName val="Takari_international14"/>
      <sheetName val="SM_Food14"/>
      <sheetName val="Subur_Makmur14"/>
      <sheetName val="Trus_Trading_Libanon14"/>
      <sheetName val="Ovuike_-Nigeria14"/>
      <sheetName val="Supply_-_Australia14"/>
      <sheetName val="Kiu_Fung_-Hongkong14"/>
      <sheetName val="CBC_Pakistan14"/>
      <sheetName val="africa_oilseeds14"/>
      <sheetName val="PENJ_NERACA14"/>
      <sheetName val="CASH_FLOW14"/>
      <sheetName val="Deposit_DO14"/>
      <sheetName val="U_1_2_Other_charges_(income)14"/>
      <sheetName val="Beli_Mtr14"/>
      <sheetName val="trf_multiple_dnrks14"/>
      <sheetName val="RumusTB_1_bln14"/>
      <sheetName val="Isolasi_Luar_Dalam14"/>
      <sheetName val="Isolasi_Luar14"/>
      <sheetName val="Fill_this_out_first___14"/>
      <sheetName val="Summary_Page_VDF14"/>
      <sheetName val="Invested_capital_VDF14"/>
      <sheetName val="1195_B114"/>
      <sheetName val="Income_Statement_VDF14"/>
      <sheetName val="Permanent_info14"/>
      <sheetName val="budget_idr14"/>
      <sheetName val="PBC_-_Detail_BS_-_201014"/>
      <sheetName val="Profit_&amp;_Loss_Account14"/>
      <sheetName val="BCE_MURNI-QS14"/>
      <sheetName val="TM_-_1B14"/>
      <sheetName val="BASIC_ASSUMPTION14"/>
      <sheetName val="P12_414"/>
      <sheetName val="Key_drivers14"/>
      <sheetName val="Konfirmasi_Transaksi_Lama14"/>
      <sheetName val="AA_1_1_BNI14"/>
      <sheetName val="PV_of_Op_Leases_VDF14"/>
      <sheetName val="RoadMaint_14"/>
      <sheetName val="Income_Statement14"/>
      <sheetName val="Minilink_Eqp_EAB,_CIP14"/>
      <sheetName val="DATA_WP14"/>
      <sheetName val="Re-Mill_Building__14"/>
      <sheetName val="Resource_Costs14"/>
      <sheetName val="Work_Requirement14"/>
      <sheetName val="WP_AKTIVA14"/>
      <sheetName val="WP_PASIVA14"/>
      <sheetName val="WP_LABA_RUGI14"/>
      <sheetName val="DATA_FORWARDER14"/>
      <sheetName val="Daf__KPP11"/>
      <sheetName val="Exch_Rate14"/>
      <sheetName val="Income_S11"/>
      <sheetName val="balance_sheet11"/>
      <sheetName val="Regulated_Tariff11"/>
      <sheetName val="Motor_Sytem11"/>
      <sheetName val="3M_Indonesia_(9011-001)14"/>
      <sheetName val="Ford_Options10"/>
      <sheetName val="T_B10"/>
      <sheetName val="COMPANY_CODE10"/>
      <sheetName val="Nomor_Id10"/>
      <sheetName val="Bal_Sheet10"/>
      <sheetName val="fin_pro_centers10"/>
      <sheetName val="Data_Umum11"/>
      <sheetName val="Bahan_Mekanikal10"/>
      <sheetName val="D_&amp;_W_sizes10"/>
      <sheetName val="NRO_and_subs10"/>
      <sheetName val="H_KONTRAK10"/>
      <sheetName val="Gaji_Non_Staff10"/>
      <sheetName val="Middle_East10"/>
      <sheetName val="Check_on_8_10_200310"/>
      <sheetName val="fiscal_depr(E)10"/>
      <sheetName val="CETAK_BUKTI10"/>
      <sheetName val="=_P_&amp;_L_=10"/>
      <sheetName val="Acc__Empolyee10"/>
      <sheetName val="Rp_Banten10"/>
      <sheetName val="star_prov10"/>
      <sheetName val="Bill_2_310"/>
      <sheetName val="Bill_2_5B10"/>
      <sheetName val="Bill_2_110"/>
      <sheetName val="Table_110"/>
      <sheetName val="Trial_Bal10"/>
      <sheetName val="JURNAL_KONSOL10"/>
      <sheetName val="Produksi_&amp;_Scedule10"/>
      <sheetName val="Summary_10"/>
      <sheetName val="R_PIUT__MHS10"/>
      <sheetName val="EXPORT_TEST_CERTIFICATE__EX_(10"/>
      <sheetName val="AGUSTUS_20169"/>
      <sheetName val="Rek_GR9"/>
      <sheetName val="Rekap_Piutang_Dagang15"/>
      <sheetName val="_BENGKULU15"/>
      <sheetName val="SNC_LOMBOK15"/>
      <sheetName val="SNS_MENADO15"/>
      <sheetName val="TNS_Makasar15"/>
      <sheetName val="_Batam15"/>
      <sheetName val="Pangkal_Pinang15"/>
      <sheetName val="_BANJARMASIN15"/>
      <sheetName val="_Balikpapan15"/>
      <sheetName val="Laut_Timur15"/>
      <sheetName val="multi_mandiri15"/>
      <sheetName val="Starmara_Tanjung_Pinang15"/>
      <sheetName val="Berlian_Pacific15"/>
      <sheetName val="Mata_Nanda15"/>
      <sheetName val="Takari_international15"/>
      <sheetName val="SM_Food15"/>
      <sheetName val="Subur_Makmur15"/>
      <sheetName val="Trus_Trading_Libanon15"/>
      <sheetName val="Ovuike_-Nigeria15"/>
      <sheetName val="Supply_-_Australia15"/>
      <sheetName val="Kiu_Fung_-Hongkong15"/>
      <sheetName val="CBC_Pakistan15"/>
      <sheetName val="africa_oilseeds15"/>
      <sheetName val="PENJ_NERACA15"/>
      <sheetName val="CASH_FLOW15"/>
      <sheetName val="Deposit_DO15"/>
      <sheetName val="U_1_2_Other_charges_(income)15"/>
      <sheetName val="Beli_Mtr15"/>
      <sheetName val="trf_multiple_dnrks15"/>
      <sheetName val="RumusTB_1_bln15"/>
      <sheetName val="Isolasi_Luar_Dalam15"/>
      <sheetName val="Isolasi_Luar15"/>
      <sheetName val="Fill_this_out_first___15"/>
      <sheetName val="Summary_Page_VDF15"/>
      <sheetName val="Invested_capital_VDF15"/>
      <sheetName val="1195_B115"/>
      <sheetName val="Income_Statement_VDF15"/>
      <sheetName val="Permanent_info15"/>
      <sheetName val="budget_idr15"/>
      <sheetName val="PBC_-_Detail_BS_-_201015"/>
      <sheetName val="Profit_&amp;_Loss_Account15"/>
      <sheetName val="BCE_MURNI-QS15"/>
      <sheetName val="TM_-_1B15"/>
      <sheetName val="BASIC_ASSUMPTION15"/>
      <sheetName val="P12_415"/>
      <sheetName val="Key_drivers15"/>
      <sheetName val="Konfirmasi_Transaksi_Lama15"/>
      <sheetName val="AA_1_1_BNI15"/>
      <sheetName val="PV_of_Op_Leases_VDF15"/>
      <sheetName val="RoadMaint_15"/>
      <sheetName val="Income_Statement15"/>
      <sheetName val="Minilink_Eqp_EAB,_CIP15"/>
      <sheetName val="DATA_WP15"/>
      <sheetName val="Re-Mill_Building__15"/>
      <sheetName val="Resource_Costs15"/>
      <sheetName val="Work_Requirement15"/>
      <sheetName val="WP_AKTIVA15"/>
      <sheetName val="WP_PASIVA15"/>
      <sheetName val="WP_LABA_RUGI15"/>
      <sheetName val="DATA_FORWARDER15"/>
      <sheetName val="Daf__KPP12"/>
      <sheetName val="Exch_Rate15"/>
      <sheetName val="Income_S12"/>
      <sheetName val="balance_sheet12"/>
      <sheetName val="Regulated_Tariff12"/>
      <sheetName val="Motor_Sytem12"/>
      <sheetName val="3M_Indonesia_(9011-001)15"/>
      <sheetName val="Ford_Options11"/>
      <sheetName val="T_B11"/>
      <sheetName val="COMPANY_CODE11"/>
      <sheetName val="Nomor_Id11"/>
      <sheetName val="Bal_Sheet11"/>
      <sheetName val="fin_pro_centers11"/>
      <sheetName val="Data_Umum12"/>
      <sheetName val="Bahan_Mekanikal11"/>
      <sheetName val="D_&amp;_W_sizes11"/>
      <sheetName val="NRO_and_subs11"/>
      <sheetName val="H_KONTRAK11"/>
      <sheetName val="Gaji_Non_Staff11"/>
      <sheetName val="Middle_East11"/>
      <sheetName val="Check_on_8_10_200311"/>
      <sheetName val="fiscal_depr(E)11"/>
      <sheetName val="CETAK_BUKTI11"/>
      <sheetName val="=_P_&amp;_L_=11"/>
      <sheetName val="Acc__Empolyee11"/>
      <sheetName val="Rp_Banten11"/>
      <sheetName val="star_prov11"/>
      <sheetName val="Bill_2_311"/>
      <sheetName val="Bill_2_5B11"/>
      <sheetName val="Bill_2_111"/>
      <sheetName val="Table_111"/>
      <sheetName val="Trial_Bal11"/>
      <sheetName val="JURNAL_KONSOL11"/>
      <sheetName val="Produksi_&amp;_Scedule11"/>
      <sheetName val="Summary_11"/>
      <sheetName val="R_PIUT__MHS11"/>
      <sheetName val="EXPORT_TEST_CERTIFICATE__EX_(20"/>
      <sheetName val="AGUSTUS_201610"/>
      <sheetName val="Rek_GR10"/>
      <sheetName val="Rekap_Piutang_Dagang16"/>
      <sheetName val="_BENGKULU16"/>
      <sheetName val="SNC_LOMBOK16"/>
      <sheetName val="SNS_MENADO16"/>
      <sheetName val="TNS_Makasar16"/>
      <sheetName val="_Batam16"/>
      <sheetName val="Pangkal_Pinang16"/>
      <sheetName val="_BANJARMASIN16"/>
      <sheetName val="_Balikpapan16"/>
      <sheetName val="Laut_Timur16"/>
      <sheetName val="multi_mandiri16"/>
      <sheetName val="Starmara_Tanjung_Pinang16"/>
      <sheetName val="Berlian_Pacific16"/>
      <sheetName val="Mata_Nanda16"/>
      <sheetName val="Takari_international16"/>
      <sheetName val="SM_Food16"/>
      <sheetName val="Subur_Makmur16"/>
      <sheetName val="Trus_Trading_Libanon16"/>
      <sheetName val="Ovuike_-Nigeria16"/>
      <sheetName val="Supply_-_Australia16"/>
      <sheetName val="Kiu_Fung_-Hongkong16"/>
      <sheetName val="CBC_Pakistan16"/>
      <sheetName val="africa_oilseeds16"/>
      <sheetName val="PENJ_NERACA16"/>
      <sheetName val="CASH_FLOW16"/>
      <sheetName val="Deposit_DO16"/>
      <sheetName val="U_1_2_Other_charges_(income)16"/>
      <sheetName val="Beli_Mtr16"/>
      <sheetName val="trf_multiple_dnrks16"/>
      <sheetName val="RumusTB_1_bln16"/>
      <sheetName val="Isolasi_Luar_Dalam16"/>
      <sheetName val="Isolasi_Luar16"/>
      <sheetName val="Fill_this_out_first___16"/>
      <sheetName val="Summary_Page_VDF16"/>
      <sheetName val="Invested_capital_VDF16"/>
      <sheetName val="1195_B116"/>
      <sheetName val="Income_Statement_VDF16"/>
      <sheetName val="Permanent_info16"/>
      <sheetName val="budget_idr16"/>
      <sheetName val="PBC_-_Detail_BS_-_201016"/>
      <sheetName val="Profit_&amp;_Loss_Account16"/>
      <sheetName val="BCE_MURNI-QS16"/>
      <sheetName val="TM_-_1B16"/>
      <sheetName val="BASIC_ASSUMPTION16"/>
      <sheetName val="P12_416"/>
      <sheetName val="Key_drivers16"/>
      <sheetName val="Konfirmasi_Transaksi_Lama16"/>
      <sheetName val="AA_1_1_BNI16"/>
      <sheetName val="PV_of_Op_Leases_VDF16"/>
      <sheetName val="RoadMaint_16"/>
      <sheetName val="Income_Statement16"/>
      <sheetName val="Minilink_Eqp_EAB,_CIP16"/>
      <sheetName val="DATA_WP16"/>
      <sheetName val="Re-Mill_Building__16"/>
      <sheetName val="Resource_Costs16"/>
      <sheetName val="Work_Requirement16"/>
      <sheetName val="WP_AKTIVA16"/>
      <sheetName val="WP_PASIVA16"/>
      <sheetName val="WP_LABA_RUGI16"/>
      <sheetName val="DATA_FORWARDER16"/>
      <sheetName val="Daf__KPP13"/>
      <sheetName val="Exch_Rate16"/>
      <sheetName val="Income_S13"/>
      <sheetName val="balance_sheet13"/>
      <sheetName val="Regulated_Tariff13"/>
      <sheetName val="Motor_Sytem13"/>
      <sheetName val="3M_Indonesia_(9011-001)16"/>
      <sheetName val="Ford_Options12"/>
      <sheetName val="T_B12"/>
      <sheetName val="COMPANY_CODE12"/>
      <sheetName val="Nomor_Id12"/>
      <sheetName val="Bal_Sheet12"/>
      <sheetName val="fin_pro_centers12"/>
      <sheetName val="Data_Umum13"/>
      <sheetName val="Bahan_Mekanikal12"/>
      <sheetName val="D_&amp;_W_sizes12"/>
      <sheetName val="NRO_and_subs12"/>
      <sheetName val="H_KONTRAK12"/>
      <sheetName val="Gaji_Non_Staff12"/>
      <sheetName val="Middle_East12"/>
      <sheetName val="Check_on_8_10_200312"/>
      <sheetName val="fiscal_depr(E)12"/>
      <sheetName val="CETAK_BUKTI12"/>
      <sheetName val="=_P_&amp;_L_=12"/>
      <sheetName val="Acc__Empolyee12"/>
      <sheetName val="Rp_Banten12"/>
      <sheetName val="star_prov12"/>
      <sheetName val="Bill_2_312"/>
      <sheetName val="Bill_2_5B12"/>
      <sheetName val="Bill_2_112"/>
      <sheetName val="Table_112"/>
      <sheetName val="Trial_Bal12"/>
      <sheetName val="JURNAL_KONSOL12"/>
      <sheetName val="Produksi_&amp;_Scedule12"/>
      <sheetName val="Summary_12"/>
      <sheetName val="R_PIUT__MHS12"/>
      <sheetName val="EXPORT_TEST_CERTIFICATE__EX_(21"/>
      <sheetName val="AGUSTUS_201611"/>
      <sheetName val="Rek_GR11"/>
      <sheetName val="Rekap_Piutang_Dagang17"/>
      <sheetName val="_BENGKULU17"/>
      <sheetName val="SNC_LOMBOK17"/>
      <sheetName val="SNS_MENADO17"/>
      <sheetName val="TNS_Makasar17"/>
      <sheetName val="_Batam17"/>
      <sheetName val="Pangkal_Pinang17"/>
      <sheetName val="_BANJARMASIN17"/>
      <sheetName val="_Balikpapan17"/>
      <sheetName val="Laut_Timur17"/>
      <sheetName val="multi_mandiri17"/>
      <sheetName val="Starmara_Tanjung_Pinang17"/>
      <sheetName val="Berlian_Pacific17"/>
      <sheetName val="Mata_Nanda17"/>
      <sheetName val="Takari_international17"/>
      <sheetName val="SM_Food17"/>
      <sheetName val="Subur_Makmur17"/>
      <sheetName val="Trus_Trading_Libanon17"/>
      <sheetName val="Ovuike_-Nigeria17"/>
      <sheetName val="Supply_-_Australia17"/>
      <sheetName val="Kiu_Fung_-Hongkong17"/>
      <sheetName val="CBC_Pakistan17"/>
      <sheetName val="africa_oilseeds17"/>
      <sheetName val="PENJ_NERACA17"/>
      <sheetName val="CASH_FLOW17"/>
      <sheetName val="Deposit_DO17"/>
      <sheetName val="U_1_2_Other_charges_(income)17"/>
      <sheetName val="Beli_Mtr17"/>
      <sheetName val="trf_multiple_dnrks17"/>
      <sheetName val="RumusTB_1_bln17"/>
      <sheetName val="Isolasi_Luar_Dalam17"/>
      <sheetName val="Isolasi_Luar17"/>
      <sheetName val="Fill_this_out_first___17"/>
      <sheetName val="Summary_Page_VDF17"/>
      <sheetName val="Invested_capital_VDF17"/>
      <sheetName val="1195_B117"/>
      <sheetName val="Income_Statement_VDF17"/>
      <sheetName val="Permanent_info17"/>
      <sheetName val="budget_idr17"/>
      <sheetName val="PBC_-_Detail_BS_-_201017"/>
      <sheetName val="Profit_&amp;_Loss_Account17"/>
      <sheetName val="BCE_MURNI-QS17"/>
      <sheetName val="TM_-_1B17"/>
      <sheetName val="BASIC_ASSUMPTION17"/>
      <sheetName val="P12_417"/>
      <sheetName val="Key_drivers17"/>
      <sheetName val="Konfirmasi_Transaksi_Lama17"/>
      <sheetName val="AA_1_1_BNI17"/>
      <sheetName val="PV_of_Op_Leases_VDF17"/>
      <sheetName val="RoadMaint_17"/>
      <sheetName val="Income_Statement17"/>
      <sheetName val="Minilink_Eqp_EAB,_CIP17"/>
      <sheetName val="DATA_WP17"/>
      <sheetName val="Re-Mill_Building__17"/>
      <sheetName val="Resource_Costs17"/>
      <sheetName val="Work_Requirement17"/>
      <sheetName val="WP_AKTIVA17"/>
      <sheetName val="WP_PASIVA17"/>
      <sheetName val="WP_LABA_RUGI17"/>
      <sheetName val="DATA_FORWARDER17"/>
      <sheetName val="Daf__KPP14"/>
      <sheetName val="Exch_Rate17"/>
      <sheetName val="Income_S14"/>
      <sheetName val="balance_sheet14"/>
      <sheetName val="Regulated_Tariff14"/>
      <sheetName val="Motor_Sytem14"/>
      <sheetName val="3M_Indonesia_(9011-001)17"/>
      <sheetName val="Ford_Options13"/>
      <sheetName val="T_B13"/>
      <sheetName val="COMPANY_CODE13"/>
      <sheetName val="NRO_and_subs13"/>
      <sheetName val="Data_Umum14"/>
      <sheetName val="Bahan_Mekanikal13"/>
      <sheetName val="D_&amp;_W_sizes13"/>
      <sheetName val="Nomor_Id13"/>
      <sheetName val="Bal_Sheet13"/>
      <sheetName val="fin_pro_centers13"/>
      <sheetName val="H_KONTRAK13"/>
      <sheetName val="Gaji_Non_Staff13"/>
      <sheetName val="Middle_East13"/>
      <sheetName val="Check_on_8_10_200313"/>
      <sheetName val="fiscal_depr(E)13"/>
      <sheetName val="CETAK_BUKTI13"/>
      <sheetName val="=_P_&amp;_L_=13"/>
      <sheetName val="Acc__Empolyee13"/>
      <sheetName val="Rp_Banten13"/>
      <sheetName val="star_prov13"/>
      <sheetName val="Bill_2_313"/>
      <sheetName val="Bill_2_5B13"/>
      <sheetName val="Bill_2_113"/>
      <sheetName val="Table_113"/>
      <sheetName val="Trial_Bal13"/>
      <sheetName val="JURNAL_KONSOL13"/>
      <sheetName val="Produksi_&amp;_Scedule13"/>
      <sheetName val="Summary_13"/>
      <sheetName val="R_PIUT__MHS13"/>
      <sheetName val="EXPORT_TEST_CERTIFICATE__EX_(22"/>
      <sheetName val="AGUSTUS_201612"/>
      <sheetName val="Rek_GR12"/>
      <sheetName val="Rekap_Piutang_Dagang18"/>
      <sheetName val="_BENGKULU18"/>
      <sheetName val="SNC_LOMBOK18"/>
      <sheetName val="SNS_MENADO18"/>
      <sheetName val="TNS_Makasar18"/>
      <sheetName val="_Batam18"/>
      <sheetName val="Pangkal_Pinang18"/>
      <sheetName val="_BANJARMASIN18"/>
      <sheetName val="_Balikpapan18"/>
      <sheetName val="Laut_Timur18"/>
      <sheetName val="multi_mandiri18"/>
      <sheetName val="Starmara_Tanjung_Pinang18"/>
      <sheetName val="Berlian_Pacific18"/>
      <sheetName val="Mata_Nanda18"/>
      <sheetName val="Takari_international18"/>
      <sheetName val="SM_Food18"/>
      <sheetName val="Subur_Makmur18"/>
      <sheetName val="Trus_Trading_Libanon18"/>
      <sheetName val="Ovuike_-Nigeria18"/>
      <sheetName val="Supply_-_Australia18"/>
      <sheetName val="Kiu_Fung_-Hongkong18"/>
      <sheetName val="CBC_Pakistan18"/>
      <sheetName val="africa_oilseeds18"/>
      <sheetName val="PENJ_NERACA18"/>
      <sheetName val="CASH_FLOW18"/>
      <sheetName val="Deposit_DO18"/>
      <sheetName val="U_1_2_Other_charges_(income)18"/>
      <sheetName val="Beli_Mtr18"/>
      <sheetName val="trf_multiple_dnrks18"/>
      <sheetName val="RumusTB_1_bln18"/>
      <sheetName val="Isolasi_Luar_Dalam18"/>
      <sheetName val="Isolasi_Luar18"/>
      <sheetName val="Fill_this_out_first___18"/>
      <sheetName val="Summary_Page_VDF18"/>
      <sheetName val="Invested_capital_VDF18"/>
      <sheetName val="1195_B118"/>
      <sheetName val="Income_Statement_VDF18"/>
      <sheetName val="Permanent_info18"/>
      <sheetName val="budget_idr18"/>
      <sheetName val="PBC_-_Detail_BS_-_201018"/>
      <sheetName val="Profit_&amp;_Loss_Account18"/>
      <sheetName val="BCE_MURNI-QS18"/>
      <sheetName val="TM_-_1B18"/>
      <sheetName val="BASIC_ASSUMPTION18"/>
      <sheetName val="P12_418"/>
      <sheetName val="Key_drivers18"/>
      <sheetName val="Konfirmasi_Transaksi_Lama18"/>
      <sheetName val="AA_1_1_BNI18"/>
      <sheetName val="PV_of_Op_Leases_VDF18"/>
      <sheetName val="RoadMaint_18"/>
      <sheetName val="Income_Statement18"/>
      <sheetName val="Minilink_Eqp_EAB,_CIP18"/>
      <sheetName val="DATA_WP18"/>
      <sheetName val="Re-Mill_Building__18"/>
      <sheetName val="Resource_Costs18"/>
      <sheetName val="Work_Requirement18"/>
      <sheetName val="WP_AKTIVA18"/>
      <sheetName val="WP_PASIVA18"/>
      <sheetName val="WP_LABA_RUGI18"/>
      <sheetName val="DATA_FORWARDER18"/>
      <sheetName val="Daf__KPP15"/>
      <sheetName val="Exch_Rate18"/>
      <sheetName val="Income_S15"/>
      <sheetName val="balance_sheet15"/>
      <sheetName val="Regulated_Tariff15"/>
      <sheetName val="Motor_Sytem15"/>
      <sheetName val="3M_Indonesia_(9011-001)18"/>
      <sheetName val="Ford_Options14"/>
      <sheetName val="T_B14"/>
      <sheetName val="COMPANY_CODE14"/>
      <sheetName val="NRO_and_subs14"/>
      <sheetName val="Data_Umum15"/>
      <sheetName val="Bahan_Mekanikal14"/>
      <sheetName val="D_&amp;_W_sizes14"/>
      <sheetName val="Nomor_Id14"/>
      <sheetName val="Bal_Sheet14"/>
      <sheetName val="fin_pro_centers14"/>
      <sheetName val="H_KONTRAK14"/>
      <sheetName val="Gaji_Non_Staff14"/>
      <sheetName val="Middle_East14"/>
      <sheetName val="Check_on_8_10_200314"/>
      <sheetName val="fiscal_depr(E)14"/>
      <sheetName val="CETAK_BUKTI14"/>
      <sheetName val="=_P_&amp;_L_=14"/>
      <sheetName val="Acc__Empolyee14"/>
      <sheetName val="Rp_Banten14"/>
      <sheetName val="star_prov14"/>
      <sheetName val="Bill_2_314"/>
      <sheetName val="Bill_2_5B14"/>
      <sheetName val="Bill_2_114"/>
      <sheetName val="Table_114"/>
      <sheetName val="Trial_Bal14"/>
      <sheetName val="JURNAL_KONSOL14"/>
      <sheetName val="Produksi_&amp;_Scedule14"/>
      <sheetName val="Summary_14"/>
      <sheetName val="R_PIUT__MHS14"/>
      <sheetName val="EXPORT_TEST_CERTIFICATE__EX_(23"/>
      <sheetName val="AGUSTUS_201613"/>
      <sheetName val="Rek_GR13"/>
      <sheetName val="Rekap_Piutang_Dagang21"/>
      <sheetName val="_BENGKULU21"/>
      <sheetName val="SNC_LOMBOK21"/>
      <sheetName val="SNS_MENADO21"/>
      <sheetName val="TNS_Makasar21"/>
      <sheetName val="_Batam21"/>
      <sheetName val="Pangkal_Pinang21"/>
      <sheetName val="_BANJARMASIN21"/>
      <sheetName val="_Balikpapan21"/>
      <sheetName val="Laut_Timur21"/>
      <sheetName val="multi_mandiri21"/>
      <sheetName val="Starmara_Tanjung_Pinang21"/>
      <sheetName val="Berlian_Pacific21"/>
      <sheetName val="Mata_Nanda21"/>
      <sheetName val="Takari_international21"/>
      <sheetName val="SM_Food21"/>
      <sheetName val="Subur_Makmur21"/>
      <sheetName val="Trus_Trading_Libanon21"/>
      <sheetName val="Ovuike_-Nigeria21"/>
      <sheetName val="Supply_-_Australia21"/>
      <sheetName val="Kiu_Fung_-Hongkong21"/>
      <sheetName val="CBC_Pakistan21"/>
      <sheetName val="africa_oilseeds21"/>
      <sheetName val="PENJ_NERACA21"/>
      <sheetName val="CASH_FLOW21"/>
      <sheetName val="Deposit_DO21"/>
      <sheetName val="U_1_2_Other_charges_(income)21"/>
      <sheetName val="Beli_Mtr21"/>
      <sheetName val="trf_multiple_dnrks21"/>
      <sheetName val="RumusTB_1_bln21"/>
      <sheetName val="Isolasi_Luar_Dalam21"/>
      <sheetName val="Isolasi_Luar21"/>
      <sheetName val="Fill_this_out_first___21"/>
      <sheetName val="Summary_Page_VDF21"/>
      <sheetName val="Invested_capital_VDF21"/>
      <sheetName val="1195_B121"/>
      <sheetName val="Income_Statement_VDF21"/>
      <sheetName val="Permanent_info21"/>
      <sheetName val="budget_idr21"/>
      <sheetName val="PBC_-_Detail_BS_-_201021"/>
      <sheetName val="Profit_&amp;_Loss_Account21"/>
      <sheetName val="BCE_MURNI-QS21"/>
      <sheetName val="TM_-_1B21"/>
      <sheetName val="BASIC_ASSUMPTION21"/>
      <sheetName val="P12_421"/>
      <sheetName val="Key_drivers21"/>
      <sheetName val="Konfirmasi_Transaksi_Lama21"/>
      <sheetName val="AA_1_1_BNI21"/>
      <sheetName val="PV_of_Op_Leases_VDF21"/>
      <sheetName val="RoadMaint_21"/>
      <sheetName val="Income_Statement21"/>
      <sheetName val="Minilink_Eqp_EAB,_CIP21"/>
      <sheetName val="DATA_WP21"/>
      <sheetName val="Re-Mill_Building__21"/>
      <sheetName val="Resource_Costs21"/>
      <sheetName val="Work_Requirement21"/>
      <sheetName val="WP_AKTIVA21"/>
      <sheetName val="WP_PASIVA21"/>
      <sheetName val="WP_LABA_RUGI21"/>
      <sheetName val="DATA_FORWARDER21"/>
      <sheetName val="Daf__KPP18"/>
      <sheetName val="Exch_Rate21"/>
      <sheetName val="Income_S18"/>
      <sheetName val="balance_sheet18"/>
      <sheetName val="Regulated_Tariff18"/>
      <sheetName val="Motor_Sytem18"/>
      <sheetName val="3M_Indonesia_(9011-001)21"/>
      <sheetName val="Ford_Options17"/>
      <sheetName val="T_B17"/>
      <sheetName val="COMPANY_CODE17"/>
      <sheetName val="NRO_and_subs17"/>
      <sheetName val="Data_Umum18"/>
      <sheetName val="Bahan_Mekanikal17"/>
      <sheetName val="D_&amp;_W_sizes17"/>
      <sheetName val="Nomor_Id17"/>
      <sheetName val="Bal_Sheet17"/>
      <sheetName val="fin_pro_centers17"/>
      <sheetName val="H_KONTRAK17"/>
      <sheetName val="Gaji_Non_Staff17"/>
      <sheetName val="Middle_East17"/>
      <sheetName val="Check_on_8_10_200317"/>
      <sheetName val="fiscal_depr(E)17"/>
      <sheetName val="CETAK_BUKTI17"/>
      <sheetName val="=_P_&amp;_L_=17"/>
      <sheetName val="Acc__Empolyee17"/>
      <sheetName val="Rp_Banten17"/>
      <sheetName val="star_prov17"/>
      <sheetName val="Bill_2_317"/>
      <sheetName val="Bill_2_5B17"/>
      <sheetName val="Bill_2_117"/>
      <sheetName val="Table_117"/>
      <sheetName val="Trial_Bal17"/>
      <sheetName val="JURNAL_KONSOL17"/>
      <sheetName val="Produksi_&amp;_Scedule17"/>
      <sheetName val="Summary_17"/>
      <sheetName val="R_PIUT__MHS17"/>
      <sheetName val="EXPORT_TEST_CERTIFICATE__EX_(26"/>
      <sheetName val="AGUSTUS_201616"/>
      <sheetName val="Rek_GR16"/>
      <sheetName val="Rekap_Piutang_Dagang19"/>
      <sheetName val="_BENGKULU19"/>
      <sheetName val="SNC_LOMBOK19"/>
      <sheetName val="SNS_MENADO19"/>
      <sheetName val="TNS_Makasar19"/>
      <sheetName val="_Batam19"/>
      <sheetName val="Pangkal_Pinang19"/>
      <sheetName val="_BANJARMASIN19"/>
      <sheetName val="_Balikpapan19"/>
      <sheetName val="Laut_Timur19"/>
      <sheetName val="multi_mandiri19"/>
      <sheetName val="Starmara_Tanjung_Pinang19"/>
      <sheetName val="Berlian_Pacific19"/>
      <sheetName val="Mata_Nanda19"/>
      <sheetName val="Takari_international19"/>
      <sheetName val="SM_Food19"/>
      <sheetName val="Subur_Makmur19"/>
      <sheetName val="Trus_Trading_Libanon19"/>
      <sheetName val="Ovuike_-Nigeria19"/>
      <sheetName val="Supply_-_Australia19"/>
      <sheetName val="Kiu_Fung_-Hongkong19"/>
      <sheetName val="CBC_Pakistan19"/>
      <sheetName val="africa_oilseeds19"/>
      <sheetName val="PENJ_NERACA19"/>
      <sheetName val="CASH_FLOW19"/>
      <sheetName val="Deposit_DO19"/>
      <sheetName val="U_1_2_Other_charges_(income)19"/>
      <sheetName val="Beli_Mtr19"/>
      <sheetName val="trf_multiple_dnrks19"/>
      <sheetName val="RumusTB_1_bln19"/>
      <sheetName val="Isolasi_Luar_Dalam19"/>
      <sheetName val="Isolasi_Luar19"/>
      <sheetName val="Fill_this_out_first___19"/>
      <sheetName val="Summary_Page_VDF19"/>
      <sheetName val="Invested_capital_VDF19"/>
      <sheetName val="1195_B119"/>
      <sheetName val="Income_Statement_VDF19"/>
      <sheetName val="Permanent_info19"/>
      <sheetName val="budget_idr19"/>
      <sheetName val="PBC_-_Detail_BS_-_201019"/>
      <sheetName val="Profit_&amp;_Loss_Account19"/>
      <sheetName val="BCE_MURNI-QS19"/>
      <sheetName val="TM_-_1B19"/>
      <sheetName val="BASIC_ASSUMPTION19"/>
      <sheetName val="P12_419"/>
      <sheetName val="Key_drivers19"/>
      <sheetName val="Konfirmasi_Transaksi_Lama19"/>
      <sheetName val="AA_1_1_BNI19"/>
      <sheetName val="PV_of_Op_Leases_VDF19"/>
      <sheetName val="RoadMaint_19"/>
      <sheetName val="Income_Statement19"/>
      <sheetName val="Minilink_Eqp_EAB,_CIP19"/>
      <sheetName val="DATA_WP19"/>
      <sheetName val="Re-Mill_Building__19"/>
      <sheetName val="Resource_Costs19"/>
      <sheetName val="Work_Requirement19"/>
      <sheetName val="WP_AKTIVA19"/>
      <sheetName val="WP_PASIVA19"/>
      <sheetName val="WP_LABA_RUGI19"/>
      <sheetName val="DATA_FORWARDER19"/>
      <sheetName val="Daf__KPP16"/>
      <sheetName val="Exch_Rate19"/>
      <sheetName val="Income_S16"/>
      <sheetName val="balance_sheet16"/>
      <sheetName val="Regulated_Tariff16"/>
      <sheetName val="Motor_Sytem16"/>
      <sheetName val="3M_Indonesia_(9011-001)19"/>
      <sheetName val="Ford_Options15"/>
      <sheetName val="T_B15"/>
      <sheetName val="COMPANY_CODE15"/>
      <sheetName val="NRO_and_subs15"/>
      <sheetName val="Data_Umum16"/>
      <sheetName val="Bahan_Mekanikal15"/>
      <sheetName val="D_&amp;_W_sizes15"/>
      <sheetName val="Nomor_Id15"/>
      <sheetName val="Bal_Sheet15"/>
      <sheetName val="fin_pro_centers15"/>
      <sheetName val="H_KONTRAK15"/>
      <sheetName val="Gaji_Non_Staff15"/>
      <sheetName val="Middle_East15"/>
      <sheetName val="Check_on_8_10_200315"/>
      <sheetName val="fiscal_depr(E)15"/>
      <sheetName val="CETAK_BUKTI15"/>
      <sheetName val="=_P_&amp;_L_=15"/>
      <sheetName val="Acc__Empolyee15"/>
      <sheetName val="Rp_Banten15"/>
      <sheetName val="star_prov15"/>
      <sheetName val="Bill_2_315"/>
      <sheetName val="Bill_2_5B15"/>
      <sheetName val="Bill_2_115"/>
      <sheetName val="Table_115"/>
      <sheetName val="Trial_Bal15"/>
      <sheetName val="JURNAL_KONSOL15"/>
      <sheetName val="Produksi_&amp;_Scedule15"/>
      <sheetName val="Summary_15"/>
      <sheetName val="R_PIUT__MHS15"/>
      <sheetName val="EXPORT_TEST_CERTIFICATE__EX_(24"/>
      <sheetName val="AGUSTUS_201614"/>
      <sheetName val="Rek_GR14"/>
      <sheetName val="Rekap_Piutang_Dagang20"/>
      <sheetName val="_BENGKULU20"/>
      <sheetName val="SNC_LOMBOK20"/>
      <sheetName val="SNS_MENADO20"/>
      <sheetName val="TNS_Makasar20"/>
      <sheetName val="_Batam20"/>
      <sheetName val="Pangkal_Pinang20"/>
      <sheetName val="_BANJARMASIN20"/>
      <sheetName val="_Balikpapan20"/>
      <sheetName val="Laut_Timur20"/>
      <sheetName val="multi_mandiri20"/>
      <sheetName val="Starmara_Tanjung_Pinang20"/>
      <sheetName val="Berlian_Pacific20"/>
      <sheetName val="Mata_Nanda20"/>
      <sheetName val="Takari_international20"/>
      <sheetName val="SM_Food20"/>
      <sheetName val="Subur_Makmur20"/>
      <sheetName val="Trus_Trading_Libanon20"/>
      <sheetName val="Ovuike_-Nigeria20"/>
      <sheetName val="Supply_-_Australia20"/>
      <sheetName val="Kiu_Fung_-Hongkong20"/>
      <sheetName val="CBC_Pakistan20"/>
      <sheetName val="africa_oilseeds20"/>
      <sheetName val="PENJ_NERACA20"/>
      <sheetName val="CASH_FLOW20"/>
      <sheetName val="Deposit_DO20"/>
      <sheetName val="U_1_2_Other_charges_(income)20"/>
      <sheetName val="Beli_Mtr20"/>
      <sheetName val="trf_multiple_dnrks20"/>
      <sheetName val="RumusTB_1_bln20"/>
      <sheetName val="Isolasi_Luar_Dalam20"/>
      <sheetName val="Isolasi_Luar20"/>
      <sheetName val="Fill_this_out_first___20"/>
      <sheetName val="Summary_Page_VDF20"/>
      <sheetName val="Invested_capital_VDF20"/>
      <sheetName val="1195_B120"/>
      <sheetName val="Income_Statement_VDF20"/>
      <sheetName val="Permanent_info20"/>
      <sheetName val="budget_idr20"/>
      <sheetName val="PBC_-_Detail_BS_-_201020"/>
      <sheetName val="Profit_&amp;_Loss_Account20"/>
      <sheetName val="BCE_MURNI-QS20"/>
      <sheetName val="TM_-_1B20"/>
      <sheetName val="BASIC_ASSUMPTION20"/>
      <sheetName val="P12_420"/>
      <sheetName val="Key_drivers20"/>
      <sheetName val="Konfirmasi_Transaksi_Lama20"/>
      <sheetName val="AA_1_1_BNI20"/>
      <sheetName val="PV_of_Op_Leases_VDF20"/>
      <sheetName val="RoadMaint_20"/>
      <sheetName val="Income_Statement20"/>
      <sheetName val="Minilink_Eqp_EAB,_CIP20"/>
      <sheetName val="DATA_WP20"/>
      <sheetName val="Re-Mill_Building__20"/>
      <sheetName val="Resource_Costs20"/>
      <sheetName val="Work_Requirement20"/>
      <sheetName val="WP_AKTIVA20"/>
      <sheetName val="WP_PASIVA20"/>
      <sheetName val="WP_LABA_RUGI20"/>
      <sheetName val="DATA_FORWARDER20"/>
      <sheetName val="Daf__KPP17"/>
      <sheetName val="Exch_Rate20"/>
      <sheetName val="Income_S17"/>
      <sheetName val="balance_sheet17"/>
      <sheetName val="Regulated_Tariff17"/>
      <sheetName val="Motor_Sytem17"/>
      <sheetName val="3M_Indonesia_(9011-001)20"/>
      <sheetName val="Ford_Options16"/>
      <sheetName val="T_B16"/>
      <sheetName val="COMPANY_CODE16"/>
      <sheetName val="NRO_and_subs16"/>
      <sheetName val="Data_Umum17"/>
      <sheetName val="Bahan_Mekanikal16"/>
      <sheetName val="D_&amp;_W_sizes16"/>
      <sheetName val="Nomor_Id16"/>
      <sheetName val="Bal_Sheet16"/>
      <sheetName val="fin_pro_centers16"/>
      <sheetName val="H_KONTRAK16"/>
      <sheetName val="Gaji_Non_Staff16"/>
      <sheetName val="Middle_East16"/>
      <sheetName val="Check_on_8_10_200316"/>
      <sheetName val="fiscal_depr(E)16"/>
      <sheetName val="CETAK_BUKTI16"/>
      <sheetName val="=_P_&amp;_L_=16"/>
      <sheetName val="Acc__Empolyee16"/>
      <sheetName val="Rp_Banten16"/>
      <sheetName val="star_prov16"/>
      <sheetName val="Bill_2_316"/>
      <sheetName val="Bill_2_5B16"/>
      <sheetName val="Bill_2_116"/>
      <sheetName val="Table_116"/>
      <sheetName val="Trial_Bal16"/>
      <sheetName val="JURNAL_KONSOL16"/>
      <sheetName val="Produksi_&amp;_Scedule16"/>
      <sheetName val="Summary_16"/>
      <sheetName val="R_PIUT__MHS16"/>
      <sheetName val="EXPORT_TEST_CERTIFICATE__EX_(25"/>
      <sheetName val="AGUSTUS_201615"/>
      <sheetName val="Rek_GR15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RECON"/>
      <sheetName val="Note"/>
      <sheetName val="G101"/>
      <sheetName val="P&amp;L"/>
      <sheetName val="Gross-Up"/>
      <sheetName val="Art 23"/>
      <sheetName val="Resume"/>
      <sheetName val="3-3 P&amp;L FORECAST BY QUARTER(ME)"/>
      <sheetName val="dwa-01"/>
      <sheetName val="NPasiva"/>
      <sheetName val="Variabel"/>
      <sheetName val="Type"/>
      <sheetName val="Bukti Memorial"/>
      <sheetName val="Daftar Piutang"/>
      <sheetName val="HUTANG"/>
      <sheetName val="PENDAPATAN"/>
      <sheetName val="Bi oprsl bgkl"/>
      <sheetName val="PER-HP"/>
      <sheetName val="volume"/>
      <sheetName val="DATA_JUALAN"/>
      <sheetName val="Monthly"/>
      <sheetName val="STOCK_AWAL"/>
      <sheetName val="HPP_JUNI"/>
      <sheetName val="Detail Piutang"/>
      <sheetName val="Perm. Test"/>
      <sheetName val="bq"/>
      <sheetName val="Oct 03"/>
      <sheetName val="discount tables"/>
      <sheetName val="verdi-sce1"/>
      <sheetName val="Sheet1 "/>
      <sheetName val="2016"/>
      <sheetName val="REKAP HU 2017"/>
      <sheetName val="microprognosa"/>
      <sheetName val="sepdua"/>
      <sheetName val="E"/>
      <sheetName val="F"/>
      <sheetName val="G"/>
      <sheetName val="H"/>
      <sheetName val="I"/>
      <sheetName val="J"/>
      <sheetName val="K"/>
      <sheetName val="L"/>
      <sheetName val="M"/>
      <sheetName val="_x0000_"/>
      <sheetName val="GS Tanah Kalimas Baru (2)"/>
      <sheetName val="Workload"/>
      <sheetName val="KKP 01 Audit"/>
      <sheetName val="CURAH HUJAN"/>
      <sheetName val="RANGE"/>
      <sheetName val="Dosis"/>
      <sheetName val="Material"/>
      <sheetName val="Hua Yang Quarterly"/>
      <sheetName val="WBS L"/>
      <sheetName val="PL 4"/>
      <sheetName val="PB_B_"/>
      <sheetName val="List"/>
      <sheetName val="HSBU ANA"/>
      <sheetName val="_x005f_x0000_"/>
      <sheetName val=" INCOME STATEMENT"/>
      <sheetName val="9"/>
      <sheetName val="Kode"/>
      <sheetName val="JURNAL"/>
      <sheetName val="Contractual Terms"/>
      <sheetName val="CE"/>
      <sheetName val="XLS Avg Rev"/>
      <sheetName val="XLS_Avg_Rev"/>
      <sheetName val="Input Log. Set-up"/>
      <sheetName val="1.6 trs data"/>
      <sheetName val="Effort.P"/>
      <sheetName val="Daftar Saldo Piutang"/>
      <sheetName val="PABRIK (2)"/>
      <sheetName val="PO"/>
      <sheetName val="IS"/>
      <sheetName val="BS"/>
      <sheetName val="UshDeb00"/>
      <sheetName val="bg hs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B(B)"/>
      <sheetName val="CODE"/>
      <sheetName val="Exc. Rate"/>
      <sheetName val="Ex_Rate"/>
      <sheetName val="CRA-Detail"/>
      <sheetName val="Assump"/>
      <sheetName val="Attachement"/>
      <sheetName val="AA.1.1 BNI"/>
      <sheetName val="Master"/>
      <sheetName val="F1771-II"/>
      <sheetName val="F1771-III"/>
      <sheetName val="GeneralInfo"/>
      <sheetName val="F1771-IV"/>
      <sheetName val="F1771-V"/>
      <sheetName val="Lead"/>
      <sheetName val="Menu"/>
      <sheetName val="Option List"/>
      <sheetName val="Other charges (income)"/>
      <sheetName val="Marshal -1"/>
      <sheetName val="Combine 31-12-2006"/>
      <sheetName val="data_val"/>
      <sheetName val="WBS1"/>
      <sheetName val="WPL"/>
      <sheetName val="OH"/>
      <sheetName val="total GA per dept"/>
      <sheetName val="Ex-Rate"/>
      <sheetName val="C1 NOV"/>
      <sheetName val="trf multiple dnrks"/>
      <sheetName val="Invoice"/>
      <sheetName val="CLC&amp;CLS"/>
      <sheetName val="12"/>
      <sheetName val="AGM"/>
      <sheetName val="Data_Umum"/>
      <sheetName val="PIK_QUO"/>
      <sheetName val="Ranges"/>
      <sheetName val="DOC"/>
      <sheetName val="FEED"/>
      <sheetName val="Equipment"/>
      <sheetName val="A"/>
      <sheetName val="Links"/>
      <sheetName val="Trial"/>
      <sheetName val="Permanent info"/>
      <sheetName val="1771"/>
      <sheetName val="1771-1"/>
      <sheetName val="1771-2"/>
      <sheetName val="1771-3"/>
      <sheetName val="1771-4"/>
      <sheetName val="1171-5"/>
      <sheetName val="1771-6"/>
      <sheetName val="Depreciation  schedule"/>
      <sheetName val="GainLoss"/>
      <sheetName val="labaRugi"/>
      <sheetName val="La-gi-Engl"/>
      <sheetName val="Depr-fiskal"/>
      <sheetName val="fiscal depr"/>
      <sheetName val="Rekon-FA"/>
      <sheetName val="Rekon-Engl"/>
      <sheetName val="Additional-FA"/>
      <sheetName val="Add-FA-Eng"/>
      <sheetName val="Dftlamp"/>
      <sheetName val="dftr-Engl"/>
      <sheetName val="Int-exp"/>
      <sheetName val="Lampiran"/>
      <sheetName val="positivecorr"/>
      <sheetName val="pstv-Engl"/>
      <sheetName val="korfis"/>
      <sheetName val="korfis-Eng"/>
      <sheetName val="PENJ.NERACA"/>
      <sheetName val="CASH FLOW"/>
      <sheetName val="Basic"/>
      <sheetName val="Family"/>
      <sheetName val="OFF"/>
      <sheetName val="JUAL_STD"/>
      <sheetName val="TableLookup"/>
      <sheetName val="AA_1_1_BNI"/>
      <sheetName val="Exc__Rate"/>
      <sheetName val="Option_List"/>
      <sheetName val="CE"/>
      <sheetName val="AUG02"/>
      <sheetName val="Sheet2"/>
      <sheetName val="Konfirmasi Transaksi Lama"/>
      <sheetName val="Asumsi"/>
      <sheetName val="9"/>
      <sheetName val="DSR"/>
      <sheetName val="EBITRECS"/>
      <sheetName val="5X3"/>
      <sheetName val="AA_1_1_BNI1"/>
      <sheetName val="Exc__Rate1"/>
      <sheetName val="Option_List1"/>
      <sheetName val="CHIPPING"/>
      <sheetName val="Erlang_table"/>
      <sheetName val="Batam"/>
      <sheetName val="DATA-BASE"/>
      <sheetName val="Ref"/>
      <sheetName val="Other_charges_(income)"/>
      <sheetName val="Marshal_-1"/>
      <sheetName val="total_GA_per_dept"/>
      <sheetName val="C1_NOV"/>
      <sheetName val="Combine_31-12-2006"/>
      <sheetName val="trf_multiple_dnrks"/>
      <sheetName val="Konfirmasi_Transaksi_Lama"/>
      <sheetName val="TBM"/>
      <sheetName val="SheetGMP"/>
      <sheetName val="SheetGMT"/>
      <sheetName val="Sheet1"/>
      <sheetName val="budget idr"/>
      <sheetName val="AA_1_1_BNI2"/>
      <sheetName val="Exc__Rate2"/>
      <sheetName val="Option_List2"/>
      <sheetName val="Other_charges_(income)1"/>
      <sheetName val="Marshal_-11"/>
      <sheetName val="total_GA_per_dept1"/>
      <sheetName val="C1_NOV1"/>
      <sheetName val="Combine_31-12-20061"/>
      <sheetName val="trf_multiple_dnrks1"/>
      <sheetName val="Konfirmasi_Transaksi_Lama1"/>
      <sheetName val="Acc. Empolyee"/>
      <sheetName val="Jurnal"/>
      <sheetName val="Excess Calc"/>
      <sheetName val="GJ"/>
      <sheetName val="Calculation"/>
      <sheetName val="data"/>
      <sheetName val="JWT Adforce-2"/>
      <sheetName val="TBS1"/>
      <sheetName val="A.4.3"/>
      <sheetName val="A.4.2"/>
      <sheetName val="DATA2009"/>
      <sheetName val="DATA_DES"/>
      <sheetName val="NOPAT_VDF"/>
      <sheetName val="WACC_VDF"/>
      <sheetName val="Summary Page_VDF"/>
      <sheetName val="Invested capital_VDF"/>
      <sheetName val="FullYear"/>
      <sheetName val="HPP_18_"/>
      <sheetName val="Stock"/>
      <sheetName val="RPMCOST"/>
      <sheetName val="JARS"/>
      <sheetName val="LABELS"/>
      <sheetName val="MNHRS"/>
      <sheetName val="RAWMAT"/>
      <sheetName val="JSiar"/>
      <sheetName val="Isolasi Luar Dalam"/>
      <sheetName val="Isolasi Luar"/>
      <sheetName val="Hrg_elemen"/>
      <sheetName val="H_Satuan"/>
      <sheetName val="Analysis"/>
      <sheetName val="As"/>
      <sheetName val="Assumption"/>
      <sheetName val="SSP"/>
      <sheetName val="Spacenet Inc"/>
      <sheetName val="France"/>
      <sheetName val="PBC - Detail BS - 2010"/>
      <sheetName val="Article"/>
      <sheetName val="budget_idr"/>
      <sheetName val="Permanent_info"/>
      <sheetName val="Depreciation__schedule"/>
      <sheetName val="fiscal_depr"/>
      <sheetName val="PENJ_NERACA"/>
      <sheetName val="CASH_FLOW"/>
      <sheetName val="#REF"/>
      <sheetName val="Valuation"/>
      <sheetName val="F1771_IV"/>
      <sheetName val="F1771_V"/>
      <sheetName val="WP AKTIVA"/>
      <sheetName val="WP PASIVA"/>
      <sheetName val="WP LABA RUGI"/>
      <sheetName val="Prod-CS"/>
      <sheetName val="NAME"/>
      <sheetName val="tabel"/>
      <sheetName val="table"/>
      <sheetName val="NAMES"/>
      <sheetName val="populasi"/>
      <sheetName val="Tabelle1"/>
      <sheetName val="Nomor Id"/>
      <sheetName val="daftar"/>
      <sheetName val="Bal Sheet"/>
      <sheetName val="Income Statement"/>
      <sheetName val="Introduction"/>
      <sheetName val="Profile"/>
      <sheetName val="kki"/>
      <sheetName val="fin pro centers"/>
      <sheetName val="SUMMARY"/>
      <sheetName val="Markup"/>
      <sheetName val="Jagorawi"/>
      <sheetName val="Cellular"/>
      <sheetName val="harga"/>
      <sheetName val="COA"/>
      <sheetName val="MAP"/>
      <sheetName val="SELISIHKURSSOURCE"/>
      <sheetName val="412"/>
      <sheetName val="RetPlan"/>
      <sheetName val="Office_Rent"/>
      <sheetName val="SALARY"/>
      <sheetName val="RMS FUNGSIONAL"/>
      <sheetName val="Frontsheet "/>
      <sheetName val="UPH,BHN,ALT"/>
      <sheetName val="Exc__Rate3"/>
      <sheetName val="AA_1_1_BNI3"/>
      <sheetName val="Option_List3"/>
      <sheetName val="Other_charges_(income)2"/>
      <sheetName val="Marshal_-12"/>
      <sheetName val="Combine_31-12-20062"/>
      <sheetName val="total_GA_per_dept2"/>
      <sheetName val="C1_NOV2"/>
      <sheetName val="trf_multiple_dnrks2"/>
      <sheetName val="Konfirmasi_Transaksi_Lama2"/>
      <sheetName val="Acc__Empolyee"/>
      <sheetName val="Exc__Rate4"/>
      <sheetName val="AA_1_1_BNI4"/>
      <sheetName val="Option_List4"/>
      <sheetName val="Other_charges_(income)3"/>
      <sheetName val="Marshal_-13"/>
      <sheetName val="Combine_31-12-20063"/>
      <sheetName val="total_GA_per_dept3"/>
      <sheetName val="C1_NOV3"/>
      <sheetName val="trf_multiple_dnrks3"/>
      <sheetName val="Konfirmasi_Transaksi_Lama3"/>
      <sheetName val="Permanent_info1"/>
      <sheetName val="Depreciation__schedule1"/>
      <sheetName val="fiscal_depr1"/>
      <sheetName val="PENJ_NERACA1"/>
      <sheetName val="CASH_FLOW1"/>
      <sheetName val="budget_idr1"/>
      <sheetName val="Acc__Empolyee1"/>
      <sheetName val="terbilang"/>
      <sheetName val="Assumptions"/>
      <sheetName val="Danamon LK"/>
      <sheetName val="61006"/>
      <sheetName val="岩性"/>
      <sheetName val="BP1_23"/>
      <sheetName val="Neraca"/>
      <sheetName val="Rugilaba"/>
      <sheetName val="JURNAL KONSOL"/>
      <sheetName val="NR KONSOL"/>
      <sheetName val="NR BAV"/>
      <sheetName val="PL KONSOL"/>
      <sheetName val="CF "/>
      <sheetName val="DATA FORWARDER"/>
      <sheetName val="DT-BAR"/>
      <sheetName val="Exc__Rate7"/>
      <sheetName val="AA_1_1_BNI7"/>
      <sheetName val="Option_List7"/>
      <sheetName val="Other_charges_(income)6"/>
      <sheetName val="Marshal_-16"/>
      <sheetName val="Combine_31-12-20066"/>
      <sheetName val="total_GA_per_dept6"/>
      <sheetName val="C1_NOV6"/>
      <sheetName val="trf_multiple_dnrks6"/>
      <sheetName val="Konfirmasi_Transaksi_Lama6"/>
      <sheetName val="Permanent_info4"/>
      <sheetName val="Depreciation__schedule4"/>
      <sheetName val="fiscal_depr4"/>
      <sheetName val="PENJ_NERACA4"/>
      <sheetName val="CASH_FLOW4"/>
      <sheetName val="budget_idr4"/>
      <sheetName val="Acc__Empolyee4"/>
      <sheetName val="Exc__Rate5"/>
      <sheetName val="AA_1_1_BNI5"/>
      <sheetName val="Option_List5"/>
      <sheetName val="Other_charges_(income)4"/>
      <sheetName val="Marshal_-14"/>
      <sheetName val="Combine_31-12-20064"/>
      <sheetName val="total_GA_per_dept4"/>
      <sheetName val="C1_NOV4"/>
      <sheetName val="trf_multiple_dnrks4"/>
      <sheetName val="Konfirmasi_Transaksi_Lama4"/>
      <sheetName val="Permanent_info2"/>
      <sheetName val="Depreciation__schedule2"/>
      <sheetName val="fiscal_depr2"/>
      <sheetName val="PENJ_NERACA2"/>
      <sheetName val="CASH_FLOW2"/>
      <sheetName val="budget_idr2"/>
      <sheetName val="Acc__Empolyee2"/>
      <sheetName val="Exc__Rate6"/>
      <sheetName val="AA_1_1_BNI6"/>
      <sheetName val="Option_List6"/>
      <sheetName val="Other_charges_(income)5"/>
      <sheetName val="Marshal_-15"/>
      <sheetName val="Combine_31-12-20065"/>
      <sheetName val="total_GA_per_dept5"/>
      <sheetName val="C1_NOV5"/>
      <sheetName val="trf_multiple_dnrks5"/>
      <sheetName val="Konfirmasi_Transaksi_Lama5"/>
      <sheetName val="Permanent_info3"/>
      <sheetName val="Depreciation__schedule3"/>
      <sheetName val="fiscal_depr3"/>
      <sheetName val="PENJ_NERACA3"/>
      <sheetName val="CASH_FLOW3"/>
      <sheetName val="budget_idr3"/>
      <sheetName val="Acc__Empolyee3"/>
      <sheetName val="Ana"/>
      <sheetName val="Analisa K"/>
      <sheetName val="Data-Masukan"/>
      <sheetName val="Alat"/>
      <sheetName val="RKP"/>
      <sheetName val="rab"/>
      <sheetName val="harsat"/>
      <sheetName val="MasterSheet"/>
      <sheetName val="OwnEq"/>
      <sheetName val="Basic Price"/>
      <sheetName val="ANALISA-HST"/>
      <sheetName val="BH"/>
      <sheetName val="DaftarHarga"/>
      <sheetName val="Monitor"/>
      <sheetName val="HS"/>
      <sheetName val="H.Satuan"/>
      <sheetName val="duct"/>
      <sheetName val="PL"/>
      <sheetName val="KKN"/>
      <sheetName val="REKAP IDR"/>
      <sheetName val="Criteria"/>
      <sheetName val="JWT%20Adforce-2.xls"/>
      <sheetName val="P&amp;L"/>
      <sheetName val="Desc "/>
      <sheetName val="Check on 8.10.2003"/>
      <sheetName val="JWT Adforce-2.xls"/>
      <sheetName val="Fill this out first___"/>
      <sheetName val="Ideal"/>
      <sheetName val="Cover Sheet"/>
      <sheetName val="PRO"/>
      <sheetName val="PNT"/>
      <sheetName val="Customize Your Purchase Order"/>
      <sheetName val="Agustus"/>
      <sheetName val="RincianQ3_Q4"/>
      <sheetName val="BGT"/>
      <sheetName val="PriceList"/>
      <sheetName val="input data umum"/>
      <sheetName val="MAP GAB"/>
      <sheetName val="BAG-III"/>
      <sheetName val="Div2"/>
      <sheetName val="PRIST LIST"/>
      <sheetName val="D &amp; W sizes"/>
      <sheetName val="Parameter"/>
      <sheetName val="telp"/>
      <sheetName val="Input"/>
      <sheetName val="ED-PROD.01"/>
      <sheetName val="C2"/>
      <sheetName val="G2.01"/>
      <sheetName val="Q2"/>
      <sheetName val="I.2"/>
      <sheetName val="KAS $"/>
      <sheetName val="Analisa"/>
      <sheetName val="PRY 01-8"/>
      <sheetName val="RKP-1"/>
      <sheetName val="PRY 01-3"/>
      <sheetName val="5.1-5.4(1)-5.4(2)"/>
      <sheetName val="Informasi"/>
      <sheetName val="DATAOKT"/>
      <sheetName val="DKH-S3"/>
      <sheetName val="Waktu"/>
      <sheetName val="Anls"/>
      <sheetName val="DIV1"/>
      <sheetName val="Account Code"/>
      <sheetName val="COVER"/>
      <sheetName val="Master Schedule"/>
      <sheetName val="STOK MAT"/>
      <sheetName val="Master 1.0"/>
      <sheetName val="DATA_2015"/>
      <sheetName val="Income Statement_VDF"/>
      <sheetName val="HPP_20_"/>
      <sheetName val="Source"/>
      <sheetName val="Art 23"/>
      <sheetName val="TM - 1B"/>
      <sheetName val="BARS"/>
      <sheetName val="D5"/>
      <sheetName val="ws`3xx`140,1xx"/>
      <sheetName val="margin nbbm"/>
      <sheetName val="OVERHEAD"/>
      <sheetName val="Detail BNI"/>
      <sheetName val="Workload"/>
      <sheetName val="C_TAR"/>
      <sheetName val="Excess_Calc"/>
      <sheetName val="Summary_Page_VDF"/>
      <sheetName val="Invested_capital_VDF"/>
      <sheetName val="Spacenet_Inc"/>
      <sheetName val="PBC_-_Detail_BS_-_2010"/>
      <sheetName val="RMS_FUNGSIONAL"/>
      <sheetName val="JWT_Adforce-2"/>
      <sheetName val="Art_23"/>
      <sheetName val="TM_-_1B"/>
      <sheetName val="A_4_3"/>
      <sheetName val="A_4_2"/>
      <sheetName val="margin_nbbm"/>
      <sheetName val="JURNAL_KONSOL"/>
      <sheetName val="NR_KONSOL"/>
      <sheetName val="NR_BAV"/>
      <sheetName val="PL_KONSOL"/>
      <sheetName val="CF_"/>
      <sheetName val="DATA_FORWARDER"/>
      <sheetName val="WP_AKTIVA"/>
      <sheetName val="WP_PASIVA"/>
      <sheetName val="WP_LABA_RUGI"/>
      <sheetName val="Income_Statement_VDF"/>
      <sheetName val="Frontsheet_"/>
      <sheetName val="Nomor_Id"/>
      <sheetName val="Bal_Sheet"/>
      <sheetName val="Income_Statement"/>
      <sheetName val="Detail_BNI"/>
      <sheetName val="DIMLIST"/>
      <sheetName val="SUPPORT"/>
      <sheetName val="Kantor Pusat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CIP_USD"/>
      <sheetName val="TB Sort"/>
      <sheetName val="Daftar Paket"/>
      <sheetName val="PENNER"/>
      <sheetName val="Rate"/>
      <sheetName val="pivot1"/>
      <sheetName val="Pricing"/>
      <sheetName val="AT"/>
      <sheetName val="edited"/>
      <sheetName val="2016"/>
      <sheetName val="REKAP HU 2017"/>
      <sheetName val="microprognosa"/>
      <sheetName val="UshDeb00"/>
      <sheetName val="Department"/>
      <sheetName val="WBS L"/>
      <sheetName val="PL 4"/>
      <sheetName val="TblPajak"/>
      <sheetName val="trf multiple"/>
      <sheetName val="trfakt sgl"/>
      <sheetName val="VAT out"/>
      <sheetName val="Material&amp;Alat"/>
      <sheetName val="bq"/>
      <sheetName val="Sheet3"/>
      <sheetName val="hasat"/>
      <sheetName val="sdm"/>
      <sheetName val="RPP01 6"/>
      <sheetName val="DAF-BAHAN"/>
      <sheetName val="DAF-UPAH"/>
      <sheetName val="Unit Rate"/>
      <sheetName val="AKTEP 4"/>
      <sheetName val="BANTU"/>
      <sheetName val="bahan"/>
      <sheetName val="Quantity"/>
      <sheetName val="Variabel"/>
      <sheetName val="Analis harga"/>
      <sheetName val="DATA PROYEK"/>
      <sheetName val="C"/>
      <sheetName val="ytd _dept_"/>
      <sheetName val="Smbr-Tknk-DsrHkm"/>
      <sheetName val="AGUSTUS 2016"/>
      <sheetName val="SchC"/>
      <sheetName val="AnAlat"/>
      <sheetName val="10"/>
      <sheetName val="5"/>
      <sheetName val="rate-alat"/>
      <sheetName val="Earthwork"/>
      <sheetName val="Exchange Rates"/>
      <sheetName val="PROJ CASH"/>
      <sheetName val="hsat-SD"/>
      <sheetName val="FIFO SIKA 8088"/>
      <sheetName val="FIFO BESI D25 MM CBS 1"/>
      <sheetName val="Anal"/>
      <sheetName val="Analisa &amp; Upah"/>
      <sheetName val="Sales Rental"/>
      <sheetName val="HB ARSITEKTUR"/>
      <sheetName val="HB STRUKTUR"/>
      <sheetName val="UPAH"/>
      <sheetName val="PROD"/>
      <sheetName val="HARGADASAR"/>
      <sheetName val="pol"/>
      <sheetName val="BasicPrice"/>
      <sheetName val="An_pdkg"/>
      <sheetName val="S.BAHAN"/>
      <sheetName val="H-Dasar"/>
      <sheetName val="BOQ"/>
      <sheetName val="D.BOARD"/>
      <sheetName val="HARGA MATERIAL"/>
      <sheetName val="TABEL-DETASIR"/>
      <sheetName val="Analisa 2"/>
      <sheetName val="PERALATAN PROYEK GOL III A"/>
      <sheetName val="BQ-IABK"/>
      <sheetName val="DbCost"/>
      <sheetName val="SUMBER"/>
      <sheetName val="Bekisting"/>
      <sheetName val="Galian"/>
      <sheetName val="ANAL_2.1"/>
      <sheetName val="VOL_1"/>
      <sheetName val="LAMP_2.2"/>
      <sheetName val="610.05"/>
      <sheetName val="AN-MAJOR"/>
      <sheetName val="h90-160 (penebalan)"/>
      <sheetName val="BHN-ALAT"/>
      <sheetName val="MAPP"/>
      <sheetName val="Bab10"/>
      <sheetName val="01Reg3"/>
      <sheetName val="Perm. Test"/>
      <sheetName val="DATA 2009"/>
      <sheetName val="TARGET RAKER "/>
      <sheetName val="target raker 1"/>
      <sheetName val="61005"/>
      <sheetName val="61007"/>
      <sheetName val="HS-1"/>
      <sheetName val="REKAPITULASI"/>
      <sheetName val="Bill 2.3"/>
      <sheetName val="Bill 2.5B"/>
      <sheetName val="Bill 2.1"/>
      <sheetName val="合成単価作成表-BLDG"/>
      <sheetName val="EVALUASI"/>
      <sheetName val="Hsatuan-OK"/>
      <sheetName val="HR Detail"/>
      <sheetName val="harga sat"/>
      <sheetName val="HRPar"/>
      <sheetName val="Material&amp;Upah"/>
      <sheetName val="Agregat Halus &amp; Kasar"/>
      <sheetName val="Param"/>
      <sheetName val="Target"/>
      <sheetName val="Budget"/>
      <sheetName val="RAP"/>
      <sheetName val="NAMA DEPT"/>
      <sheetName val="TAGIHAN"/>
      <sheetName val="Bekis"/>
      <sheetName val="ANAL.BOW"/>
      <sheetName val="gvl"/>
      <sheetName val="Purchase Order (2)"/>
      <sheetName val="Cash2"/>
      <sheetName val="Z"/>
      <sheetName val="igp-03"/>
      <sheetName val="HS Dasar "/>
      <sheetName val="Sumber Daya"/>
      <sheetName val="COVER-01"/>
      <sheetName val="bialangsung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chedule 11a"/>
      <sheetName val="Temporary"/>
      <sheetName val="Septick tank"/>
      <sheetName val="Subkon"/>
      <sheetName val="KONS2008"/>
      <sheetName val="DATA_2018"/>
      <sheetName val="DATA_2016"/>
      <sheetName val="DKH SN1-A"/>
      <sheetName val="BGT 07"/>
      <sheetName val="TRIWULAN 3"/>
      <sheetName val="BASIC-PRICE"/>
      <sheetName val="HSATUAN"/>
      <sheetName val="An-str(krgnyr)"/>
      <sheetName val="SUB &amp; mandor"/>
      <sheetName val="TEKNIS"/>
      <sheetName val="TOTAL UPAH"/>
      <sheetName val="Mainlead Parent Only"/>
      <sheetName val="DATAJUNI"/>
      <sheetName val="Analisa Harga Satuan"/>
      <sheetName val="anal-drainase,tanah&amp;ps batu"/>
      <sheetName val="anal-beton"/>
      <sheetName val="anal-aspal"/>
      <sheetName val="anal-mos"/>
      <sheetName val="REKAP"/>
      <sheetName val="mob-demob"/>
      <sheetName val="BAU"/>
      <sheetName val="Support Data"/>
      <sheetName val="Pricing Support Data"/>
      <sheetName val="Factor"/>
      <sheetName val="basic MCS 06"/>
      <sheetName val="Res-AF"/>
      <sheetName val="CUS"/>
      <sheetName val="Target Raker TW III"/>
      <sheetName val="Monthly"/>
      <sheetName val="Tanggal"/>
      <sheetName val="AA_1_1 BNI"/>
      <sheetName val="DPro"/>
      <sheetName val="TotalBi"/>
      <sheetName val="BiSales"/>
      <sheetName val="BiPart"/>
      <sheetName val="BiServis"/>
      <sheetName val="BiAdm"/>
      <sheetName val="Account Payable"/>
      <sheetName val="Revenue (10)"/>
      <sheetName val="corp tax"/>
      <sheetName val="COCD"/>
      <sheetName val="TB_Sort"/>
      <sheetName val="SKK"/>
      <sheetName val="Account No"/>
      <sheetName val="VAL List Ref"/>
      <sheetName val="Consol GL"/>
      <sheetName val="BalSheet"/>
      <sheetName val="W-RATE"/>
      <sheetName val="jvr"/>
      <sheetName val="SALES JUN07"/>
      <sheetName val="SALES APR07"/>
      <sheetName val="SALES FEB07"/>
      <sheetName val="SALES JAN07"/>
      <sheetName val="SALES MEI07"/>
      <sheetName val="SALES MAR07"/>
      <sheetName val="note_defect"/>
      <sheetName val="FIXED FLOAT"/>
      <sheetName val="Module2"/>
      <sheetName val="DES 02"/>
      <sheetName val="All IntExp2001"/>
      <sheetName val="Sch 16.1"/>
      <sheetName val="Sch 17.1"/>
      <sheetName val="Sch 14.2"/>
      <sheetName val="Sch 22.2"/>
      <sheetName val="Sch 22.4"/>
      <sheetName val="Sch 3.1"/>
      <sheetName val="SALESJAN'03"/>
      <sheetName val="SALESMRT'03"/>
      <sheetName val="G-Lead"/>
      <sheetName val="Journal Template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AGING"/>
      <sheetName val="TAX LIST"/>
      <sheetName val="K 2.1"/>
      <sheetName val="Kantor_Pusat"/>
      <sheetName val="KASUS3"/>
      <sheetName val="ms3"/>
      <sheetName val="laporan"/>
      <sheetName val="RL-ALL"/>
      <sheetName val="Mutasi"/>
      <sheetName val="Hutang"/>
      <sheetName val="output"/>
      <sheetName val="Resume"/>
      <sheetName val="FE-1770.P1"/>
      <sheetName val="FE-1770-I"/>
      <sheetName val="FE-1770-II"/>
      <sheetName val="COGS"/>
      <sheetName val="Isolasi_Luar_Dalam"/>
      <sheetName val="Isolasi_Luar"/>
      <sheetName val="fin_pro_centers"/>
      <sheetName val="JWT%20Adforce-2_xls"/>
      <sheetName val="Check_on_8_10_2003"/>
      <sheetName val="JWT_Adforce-2_xls"/>
      <sheetName val="Desc_"/>
      <sheetName val="Summary_Page_VDF1"/>
      <sheetName val="Invested_capital_VDF1"/>
      <sheetName val="Excess_Calc1"/>
      <sheetName val="Spacenet_Inc1"/>
      <sheetName val="PBC_-_Detail_BS_-_20101"/>
      <sheetName val="RMS_FUNGSIONAL1"/>
      <sheetName val="Summary_Page_VDF3"/>
      <sheetName val="Invested_capital_VDF3"/>
      <sheetName val="Excess_Calc3"/>
      <sheetName val="Spacenet_Inc3"/>
      <sheetName val="PBC_-_Detail_BS_-_20103"/>
      <sheetName val="RMS_FUNGSIONAL3"/>
      <sheetName val="JWT_Adforce-21"/>
      <sheetName val="WP_AKTIVA1"/>
      <sheetName val="WP_PASIVA1"/>
      <sheetName val="WP_LABA_RUGI1"/>
      <sheetName val="Nomor_Id1"/>
      <sheetName val="Bal_Sheet1"/>
      <sheetName val="Income_Statement1"/>
      <sheetName val="fin_pro_centers1"/>
      <sheetName val="Income_Statement_VDF1"/>
      <sheetName val="Frontsheet_1"/>
      <sheetName val="Summary_Page_VDF2"/>
      <sheetName val="Invested_capital_VDF2"/>
      <sheetName val="Excess_Calc2"/>
      <sheetName val="Spacenet_Inc2"/>
      <sheetName val="PBC_-_Detail_BS_-_20102"/>
      <sheetName val="RMS_FUNGSIONAL2"/>
      <sheetName val="budget_idr5"/>
      <sheetName val="Permanent_info5"/>
      <sheetName val="Depreciation__schedule5"/>
      <sheetName val="fiscal_depr5"/>
      <sheetName val="PENJ_NERACA5"/>
      <sheetName val="CASH_FLOW5"/>
      <sheetName val="Summary_Page_VDF4"/>
      <sheetName val="Invested_capital_VDF4"/>
      <sheetName val="Excess_Calc4"/>
      <sheetName val="Spacenet_Inc4"/>
      <sheetName val="PBC_-_Detail_BS_-_20104"/>
      <sheetName val="RMS_FUNGSIONAL4"/>
      <sheetName val="JWT_Adforce-22"/>
      <sheetName val="WP_AKTIVA2"/>
      <sheetName val="WP_PASIVA2"/>
      <sheetName val="WP_LABA_RUGI2"/>
      <sheetName val="Nomor_Id2"/>
      <sheetName val="Bal_Sheet2"/>
      <sheetName val="Income_Statement2"/>
      <sheetName val="fin_pro_centers2"/>
      <sheetName val="Income_Statement_VDF2"/>
      <sheetName val="Frontsheet_2"/>
      <sheetName val="AA_1_1_BNI8"/>
      <sheetName val="Exc__Rate8"/>
      <sheetName val="Marshal_-17"/>
      <sheetName val="Other_charges_(income)7"/>
      <sheetName val="Combine_31-12-20067"/>
      <sheetName val="total_GA_per_dept7"/>
      <sheetName val="C1_NOV7"/>
      <sheetName val="trf_multiple_dnrks7"/>
      <sheetName val="Konfirmasi_Transaksi_Lama7"/>
      <sheetName val="budget_idr6"/>
      <sheetName val="Option_List8"/>
      <sheetName val="Permanent_info6"/>
      <sheetName val="Depreciation__schedule6"/>
      <sheetName val="fiscal_depr6"/>
      <sheetName val="PENJ_NERACA6"/>
      <sheetName val="CASH_FLOW6"/>
      <sheetName val="Acc__Empolyee5"/>
      <sheetName val="Summary_Page_VDF5"/>
      <sheetName val="Invested_capital_VDF5"/>
      <sheetName val="Excess_Calc5"/>
      <sheetName val="Spacenet_Inc5"/>
      <sheetName val="PBC_-_Detail_BS_-_20105"/>
      <sheetName val="RMS_FUNGSIONAL5"/>
      <sheetName val="JWT_Adforce-23"/>
      <sheetName val="WP_AKTIVA3"/>
      <sheetName val="WP_PASIVA3"/>
      <sheetName val="WP_LABA_RUGI3"/>
      <sheetName val="Nomor_Id3"/>
      <sheetName val="Bal_Sheet3"/>
      <sheetName val="Income_Statement3"/>
      <sheetName val="fin_pro_centers3"/>
      <sheetName val="Income_Statement_VDF3"/>
      <sheetName val="Frontsheet_3"/>
      <sheetName val="FA-HTP (Fiskal) "/>
      <sheetName val="#REF!"/>
      <sheetName val="Adj"/>
      <sheetName val="KASUS5"/>
      <sheetName val="WBS"/>
      <sheetName val="BRAND"/>
      <sheetName val="DAFTAR HARGA"/>
      <sheetName val="IS033106"/>
      <sheetName val="hitung"/>
      <sheetName val="ACC_NUM"/>
      <sheetName val="Tes Building"/>
      <sheetName val="1.laba.rugi"/>
      <sheetName val="Art_231"/>
      <sheetName val="TM_-_1B1"/>
      <sheetName val="A_4_31"/>
      <sheetName val="A_4_21"/>
      <sheetName val="margin_nbbm1"/>
      <sheetName val="JURNAL_KONSOL1"/>
      <sheetName val="NR_KONSOL1"/>
      <sheetName val="NR_BAV1"/>
      <sheetName val="PL_KONSOL1"/>
      <sheetName val="CF_1"/>
      <sheetName val="DATA_FORWARDER1"/>
      <sheetName val="Check_on_8_10_20031"/>
      <sheetName val="Kantor_Pusat1"/>
      <sheetName val="Art_232"/>
      <sheetName val="TM_-_1B2"/>
      <sheetName val="A_4_32"/>
      <sheetName val="A_4_22"/>
      <sheetName val="margin_nbbm2"/>
      <sheetName val="JURNAL_KONSOL2"/>
      <sheetName val="NR_KONSOL2"/>
      <sheetName val="NR_BAV2"/>
      <sheetName val="PL_KONSOL2"/>
      <sheetName val="CF_2"/>
      <sheetName val="DATA_FORWARDER2"/>
      <sheetName val="Check_on_8_10_20032"/>
      <sheetName val="Kantor_Pusat2"/>
      <sheetName val="AA_1_1_BNI9"/>
      <sheetName val="AA_1_1_BNI10"/>
      <sheetName val="Art_233"/>
      <sheetName val="TM_-_1B3"/>
      <sheetName val="A_4_33"/>
      <sheetName val="A_4_23"/>
      <sheetName val="margin_nbbm3"/>
      <sheetName val="JURNAL_KONSOL3"/>
      <sheetName val="NR_KONSOL3"/>
      <sheetName val="NR_BAV3"/>
      <sheetName val="PL_KONSOL3"/>
      <sheetName val="CF_3"/>
      <sheetName val="DATA_FORWARDER3"/>
      <sheetName val="Check_on_8_10_20033"/>
      <sheetName val="Kantor_Pusa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PEMAKAIAN PAKAN &amp; OBAT"/>
      <sheetName val="Attachement"/>
      <sheetName val="SELISIH_KURSSOURCE2"/>
      <sheetName val="Sheet1_(2)"/>
      <sheetName val="N_BANDING"/>
      <sheetName val="RL_BANDING"/>
      <sheetName val="Sheet2_(2)"/>
      <sheetName val="Sheet1_(3)"/>
      <sheetName val="Family"/>
      <sheetName val="SELISIH_KURSSOURCE21"/>
      <sheetName val="Sheet1_(2)1"/>
      <sheetName val="N_BANDING1"/>
      <sheetName val="RL_BANDING1"/>
      <sheetName val="Sheet2_(2)1"/>
      <sheetName val="Sheet1_(3)1"/>
      <sheetName val="PEMAKAIAN_PAKAN_&amp;_OBAT"/>
      <sheetName val="Customize Your Purchase Order"/>
      <sheetName val="Marshal"/>
      <sheetName val="F1771-IV"/>
      <sheetName val="F1771-V"/>
      <sheetName val="CODE"/>
      <sheetName val="5100"/>
      <sheetName val="5500"/>
      <sheetName val="6100"/>
      <sheetName val="5200"/>
      <sheetName val="7000"/>
      <sheetName val="5300 &amp; 6400"/>
      <sheetName val="5400"/>
      <sheetName val="Rate"/>
      <sheetName val="SELISIH_KURSSOURCE27"/>
      <sheetName val="Sheet1_(2)7"/>
      <sheetName val="N_BANDING7"/>
      <sheetName val="RL_BANDING7"/>
      <sheetName val="Sheet2_(2)7"/>
      <sheetName val="Sheet1_(3)7"/>
      <sheetName val="PEMAKAIAN_PAKAN_&amp;_OBAT6"/>
      <sheetName val="Customize_Your_Purchase_Order5"/>
      <sheetName val="5300_&amp;_64005"/>
      <sheetName val="SELISIH_KURSSOURCE22"/>
      <sheetName val="Sheet1_(2)2"/>
      <sheetName val="N_BANDING2"/>
      <sheetName val="RL_BANDING2"/>
      <sheetName val="Sheet2_(2)2"/>
      <sheetName val="Sheet1_(3)2"/>
      <sheetName val="PEMAKAIAN_PAKAN_&amp;_OBAT1"/>
      <sheetName val="Customize_Your_Purchase_Order"/>
      <sheetName val="5300_&amp;_6400"/>
      <sheetName val="SELISIH_KURSSOURCE24"/>
      <sheetName val="Sheet1_(2)4"/>
      <sheetName val="N_BANDING4"/>
      <sheetName val="RL_BANDING4"/>
      <sheetName val="Sheet2_(2)4"/>
      <sheetName val="Sheet1_(3)4"/>
      <sheetName val="PEMAKAIAN_PAKAN_&amp;_OBAT3"/>
      <sheetName val="Customize_Your_Purchase_Order2"/>
      <sheetName val="5300_&amp;_64002"/>
      <sheetName val="SELISIH_KURSSOURCE23"/>
      <sheetName val="Sheet1_(2)3"/>
      <sheetName val="N_BANDING3"/>
      <sheetName val="RL_BANDING3"/>
      <sheetName val="Sheet2_(2)3"/>
      <sheetName val="Sheet1_(3)3"/>
      <sheetName val="PEMAKAIAN_PAKAN_&amp;_OBAT2"/>
      <sheetName val="Customize_Your_Purchase_Order1"/>
      <sheetName val="5300_&amp;_64001"/>
      <sheetName val="SELISIH_KURSSOURCE25"/>
      <sheetName val="Sheet1_(2)5"/>
      <sheetName val="N_BANDING5"/>
      <sheetName val="RL_BANDING5"/>
      <sheetName val="Sheet2_(2)5"/>
      <sheetName val="Sheet1_(3)5"/>
      <sheetName val="PEMAKAIAN_PAKAN_&amp;_OBAT4"/>
      <sheetName val="Customize_Your_Purchase_Order3"/>
      <sheetName val="5300_&amp;_64003"/>
      <sheetName val="SELISIH_KURSSOURCE26"/>
      <sheetName val="Sheet1_(2)6"/>
      <sheetName val="N_BANDING6"/>
      <sheetName val="RL_BANDING6"/>
      <sheetName val="Sheet2_(2)6"/>
      <sheetName val="Sheet1_(3)6"/>
      <sheetName val="PEMAKAIAN_PAKAN_&amp;_OBAT5"/>
      <sheetName val="Customize_Your_Purchase_Order4"/>
      <sheetName val="5300_&amp;_64004"/>
      <sheetName val="SELISIH_KURSSOURCE210"/>
      <sheetName val="Sheet1_(2)10"/>
      <sheetName val="N_BANDING10"/>
      <sheetName val="RL_BANDING10"/>
      <sheetName val="Sheet2_(2)10"/>
      <sheetName val="Sheet1_(3)10"/>
      <sheetName val="PEMAKAIAN_PAKAN_&amp;_OBAT9"/>
      <sheetName val="Customize_Your_Purchase_Order8"/>
      <sheetName val="5300_&amp;_64008"/>
      <sheetName val="SELISIH_KURSSOURCE28"/>
      <sheetName val="Sheet1_(2)8"/>
      <sheetName val="N_BANDING8"/>
      <sheetName val="RL_BANDING8"/>
      <sheetName val="Sheet2_(2)8"/>
      <sheetName val="Sheet1_(3)8"/>
      <sheetName val="PEMAKAIAN_PAKAN_&amp;_OBAT7"/>
      <sheetName val="Customize_Your_Purchase_Order6"/>
      <sheetName val="5300_&amp;_64006"/>
      <sheetName val="SELISIH_KURSSOURCE29"/>
      <sheetName val="Sheet1_(2)9"/>
      <sheetName val="N_BANDING9"/>
      <sheetName val="RL_BANDING9"/>
      <sheetName val="Sheet2_(2)9"/>
      <sheetName val="Sheet1_(3)9"/>
      <sheetName val="PEMAKAIAN_PAKAN_&amp;_OBAT8"/>
      <sheetName val="Customize_Your_Purchase_Order7"/>
      <sheetName val="5300_&amp;_64007"/>
      <sheetName val="List PT"/>
      <sheetName val="SELISIH_KURSSOURCE213"/>
      <sheetName val="Sheet1_(2)13"/>
      <sheetName val="N_BANDING13"/>
      <sheetName val="RL_BANDING13"/>
      <sheetName val="Sheet2_(2)13"/>
      <sheetName val="Sheet1_(3)13"/>
      <sheetName val="PEMAKAIAN_PAKAN_&amp;_OBAT12"/>
      <sheetName val="Customize_Your_Purchase_Order11"/>
      <sheetName val="5300_&amp;_640011"/>
      <sheetName val="SELISIH_KURSSOURCE212"/>
      <sheetName val="Sheet1_(2)12"/>
      <sheetName val="N_BANDING12"/>
      <sheetName val="RL_BANDING12"/>
      <sheetName val="Sheet2_(2)12"/>
      <sheetName val="Sheet1_(3)12"/>
      <sheetName val="PEMAKAIAN_PAKAN_&amp;_OBAT11"/>
      <sheetName val="Customize_Your_Purchase_Order10"/>
      <sheetName val="5300_&amp;_640010"/>
      <sheetName val="SELISIH_KURSSOURCE211"/>
      <sheetName val="Sheet1_(2)11"/>
      <sheetName val="N_BANDING11"/>
      <sheetName val="RL_BANDING11"/>
      <sheetName val="Sheet2_(2)11"/>
      <sheetName val="Sheet1_(3)11"/>
      <sheetName val="PEMAKAIAN_PAKAN_&amp;_OBAT10"/>
      <sheetName val="Customize_Your_Purchase_Order9"/>
      <sheetName val="5300_&amp;_64009"/>
      <sheetName val="Effort.P"/>
      <sheetName val="SELISIH_KURSSOURCE214"/>
      <sheetName val="Sheet1_(2)14"/>
      <sheetName val="N_BANDING14"/>
      <sheetName val="RL_BANDING14"/>
      <sheetName val="Sheet2_(2)14"/>
      <sheetName val="Sheet1_(3)14"/>
      <sheetName val="PEMAKAIAN_PAKAN_&amp;_OBAT13"/>
      <sheetName val="Customize_Your_Purchase_Order12"/>
      <sheetName val="5300_&amp;_640012"/>
      <sheetName val="gl"/>
      <sheetName val="loading"/>
      <sheetName val="laporan"/>
      <sheetName val="P1.01"/>
      <sheetName val="BASE GRAPHE"/>
      <sheetName val="GLdownload"/>
      <sheetName val="Purchase Order (2)"/>
      <sheetName val="SAHAM"/>
      <sheetName val="3-3 P&amp;L FORECAST BY QUARTER(ME)"/>
      <sheetName val="Scenarios&amp;Sensitivities"/>
      <sheetName val="Scenarios_Sensitivities"/>
      <sheetName val="CIP_USD"/>
      <sheetName val="JobDetails"/>
      <sheetName val="SELISIH_KURSSOURCE215"/>
      <sheetName val="Sheet1_(2)15"/>
      <sheetName val="N_BANDING15"/>
      <sheetName val="RL_BANDING15"/>
      <sheetName val="Sheet2_(2)15"/>
      <sheetName val="Sheet1_(3)15"/>
      <sheetName val="PEMAKAIAN_PAKAN_&amp;_OBAT14"/>
      <sheetName val="Customize_Your_Purchase_Order13"/>
      <sheetName val="5300_&amp;_640013"/>
      <sheetName val="List_PT"/>
      <sheetName val="Effort_P"/>
      <sheetName val="P1_01"/>
      <sheetName val="BASE_GRAPHE"/>
      <sheetName val="Purchase_Order_(2)"/>
      <sheetName val="GeneralInfo"/>
      <sheetName val="ASSUM-COMB-Prop"/>
      <sheetName val="Work Code"/>
      <sheetName val="Coal"/>
      <sheetName val="Client AJE"/>
      <sheetName val="Analytical Review"/>
      <sheetName val="Permanent info"/>
      <sheetName val="F1771-II"/>
      <sheetName val="F1771-III"/>
      <sheetName val="5"/>
      <sheetName val="ST"/>
      <sheetName val="3800"/>
      <sheetName val="設備費内訳"/>
      <sheetName val="検具"/>
      <sheetName val="仕様確認"/>
      <sheetName val="JUAL_STD"/>
      <sheetName val="fiscal depr(E)"/>
      <sheetName val="WS"/>
      <sheetName val="Detail_FA"/>
      <sheetName val="harga"/>
      <sheetName val="I.4.1 (2)"/>
      <sheetName val="PPAP2"/>
      <sheetName val="ACT Cashflow"/>
      <sheetName val="PIK_QUO"/>
      <sheetName val="Lookup"/>
      <sheetName val="Vendor List"/>
      <sheetName val="U301"/>
      <sheetName val="Data_Umum"/>
      <sheetName val="FE-1770.P1"/>
      <sheetName val="FE-1770-I"/>
      <sheetName val="daftar"/>
      <sheetName val="bdrl-usg"/>
      <sheetName val="HQ"/>
      <sheetName val="AA.1.1 BNI"/>
      <sheetName val="Data"/>
      <sheetName val="PL COPA"/>
      <sheetName val="fixed asset"/>
      <sheetName val="Income Statement"/>
      <sheetName val="Operating Cycle"/>
      <sheetName val="BS-RTI"/>
      <sheetName val="TB2004"/>
      <sheetName val="0"/>
      <sheetName val="Reconcil.bal.sheet(out)"/>
      <sheetName val="Assets"/>
      <sheetName val="1A"/>
      <sheetName val="asli"/>
      <sheetName val="COA"/>
      <sheetName val="Analysis"/>
      <sheetName val="Profile"/>
      <sheetName val="Balance Sheet"/>
      <sheetName val="Employees"/>
      <sheetName val="SAA"/>
      <sheetName val="A1"/>
      <sheetName val="9E1.3"/>
      <sheetName val="A6A"/>
      <sheetName val="2100.1 Inventory by item "/>
      <sheetName val="JL_BEL"/>
      <sheetName val="DATA2"/>
      <sheetName val="hitung"/>
      <sheetName val="PDPC0908"/>
      <sheetName val="CRITERIA3"/>
      <sheetName val="Minilink Eqp EAB, CIP"/>
      <sheetName val="Working Paper"/>
      <sheetName val="Resource Costs"/>
      <sheetName val="Work Requirement"/>
      <sheetName val="Jan'09"/>
      <sheetName val="populasi"/>
      <sheetName val="ARPU-override"/>
      <sheetName val="Marshal -1"/>
      <sheetName val="DCF_VDF"/>
      <sheetName val="NOPAT_VDF"/>
      <sheetName val="Invested capital_VDF"/>
      <sheetName val="PV of Op Leases_VDF"/>
      <sheetName val="WACC_VDF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tabel"/>
      <sheetName val="Hutang"/>
      <sheetName val="decr_table"/>
      <sheetName val="Benefit_Tab"/>
      <sheetName val="Parameter"/>
      <sheetName val="output"/>
      <sheetName val="cALC"/>
      <sheetName val="PSC_Calc"/>
      <sheetName val="Difference Cons"/>
      <sheetName val="GAJI"/>
      <sheetName val="all data"/>
      <sheetName val="Lap PPh 21"/>
      <sheetName val="Harian"/>
      <sheetName val="Biaya"/>
      <sheetName val="LabaRugi"/>
      <sheetName val="Neraca"/>
      <sheetName val="CD&amp;Stok"/>
      <sheetName val="AA.1 BNI"/>
      <sheetName val="dec 09"/>
      <sheetName val="Daily Report"/>
      <sheetName val="DB LR"/>
      <sheetName val="DB Nrc"/>
      <sheetName val="Index"/>
      <sheetName val="Account Code"/>
      <sheetName val="Ex_Rate"/>
      <sheetName val="BELI _SEPTEMBER"/>
      <sheetName val="Lead-New'02"/>
      <sheetName val="Credit-22"/>
      <sheetName val="PROD.FRY-MONODON"/>
      <sheetName val="CRITERIA1"/>
      <sheetName val="JV Form"/>
      <sheetName val="ACC_NUM"/>
      <sheetName val="1200-1.1"/>
      <sheetName val="1200-1.3"/>
      <sheetName val="1200-1.4"/>
      <sheetName val="Tes Building"/>
      <sheetName val="1200.5"/>
      <sheetName val="1200_7"/>
      <sheetName val="1200_8"/>
      <sheetName val="PPh Ps.21 Cabang"/>
      <sheetName val="Original"/>
      <sheetName val="Danamon LK"/>
      <sheetName val="date"/>
      <sheetName val="Raw data"/>
      <sheetName val="WP CF"/>
      <sheetName val="1200.1.1.1 Detail Mesin PA3"/>
      <sheetName val="AUG02"/>
      <sheetName val="Consolidated"/>
      <sheetName val="Daf. KPP"/>
      <sheetName val="duct"/>
      <sheetName val="Daftmat"/>
      <sheetName val="L12 Akt Tetap"/>
      <sheetName val="PENJ.NERACA"/>
      <sheetName val="MACHINE"/>
      <sheetName val="Other charges _income_"/>
      <sheetName val="Permanent_info"/>
      <sheetName val="fiscal_depr(E)"/>
      <sheetName val="ACT_Cashflow"/>
      <sheetName val="Vendor_List"/>
      <sheetName val="I_4_1_(2)"/>
      <sheetName val="FE-1770_P1"/>
      <sheetName val="Income_Statement"/>
      <sheetName val="Balance_Sheet"/>
      <sheetName val="9E1_3"/>
      <sheetName val="fixed_asset"/>
      <sheetName val="AA_1_1_BNI"/>
      <sheetName val="PL_COPA"/>
      <sheetName val="Operating_Cycle"/>
      <sheetName val="Reconcil_bal_sheet(out)"/>
      <sheetName val="2100_1_Inventory_by_item_"/>
      <sheetName val="Minilink_Eqp_EAB,_CIP"/>
      <sheetName val="Working_Paper"/>
      <sheetName val="Resource_Costs"/>
      <sheetName val="Work_Requirement"/>
      <sheetName val="Marshal_-1"/>
      <sheetName val="Invested_capital_VDF"/>
      <sheetName val="PV_of_Op_Leases_VDF"/>
      <sheetName val="Performance_Detail_SI"/>
      <sheetName val="PIVOT_OH"/>
      <sheetName val="TB_RBB"/>
      <sheetName val="TB_SME"/>
      <sheetName val="PIVOT_GM"/>
      <sheetName val="Difference_Cons"/>
      <sheetName val="all_data"/>
      <sheetName val="Lap_PPh_21"/>
      <sheetName val="AA_1_BNI"/>
      <sheetName val="dec_09"/>
      <sheetName val="Daily_Report"/>
      <sheetName val="DB_LR"/>
      <sheetName val="DB_Nrc"/>
      <sheetName val="Account_Code"/>
      <sheetName val="BELI__SEPTEMBER"/>
      <sheetName val="PROD_FRY-MONODON"/>
      <sheetName val="JV_Form"/>
      <sheetName val="1200-1_1"/>
      <sheetName val="1200-1_3"/>
      <sheetName val="1200-1_4"/>
      <sheetName val="Tes_Building"/>
      <sheetName val="1200_5"/>
      <sheetName val="PPh_Ps_21_Cabang"/>
      <sheetName val="Danamon_LK"/>
      <sheetName val="Raw_data"/>
      <sheetName val="WP_CF"/>
      <sheetName val="1200_1_1_1_Detail_Mesin_PA3"/>
      <sheetName val="Daf__KPP"/>
      <sheetName val="L12_Akt_Tetap"/>
      <sheetName val="PENJ_NERACA"/>
      <sheetName val="Other_charges__income_"/>
      <sheetName val="23000 07"/>
      <sheetName val="N25"/>
      <sheetName val="Ref"/>
      <sheetName val="MATERIAL REPORT 2003"/>
      <sheetName val="Data Update"/>
      <sheetName val="A"/>
      <sheetName val="SELISIH_KURSSOURCE216"/>
      <sheetName val="Sheet1_(2)16"/>
      <sheetName val="N_BANDING16"/>
      <sheetName val="RL_BANDING16"/>
      <sheetName val="Sheet2_(2)16"/>
      <sheetName val="Sheet1_(3)16"/>
      <sheetName val="PEMAKAIAN_PAKAN_&amp;_OBAT15"/>
      <sheetName val="Customize_Your_Purchase_Order14"/>
      <sheetName val="5300_&amp;_640014"/>
      <sheetName val="List_PT1"/>
      <sheetName val="Effort_P1"/>
      <sheetName val="P1_011"/>
      <sheetName val="FF-3"/>
      <sheetName val="BASE_GRAPHE1"/>
      <sheetName val="Purchase_Order_(2)1"/>
      <sheetName val="3-3_P&amp;L_FORECAST_BY_QUARTER(ME)"/>
      <sheetName val="Client_AJE"/>
      <sheetName val="Analytical_Review"/>
      <sheetName val="Work_Code"/>
      <sheetName val="SELISIH_KURSSOURCE217"/>
      <sheetName val="Sheet1_(2)17"/>
      <sheetName val="N_BANDING17"/>
      <sheetName val="RL_BANDING17"/>
      <sheetName val="Sheet2_(2)17"/>
      <sheetName val="Sheet1_(3)17"/>
      <sheetName val="PEMAKAIAN_PAKAN_&amp;_OBAT16"/>
      <sheetName val="Customize_Your_Purchase_Order15"/>
      <sheetName val="5300_&amp;_640015"/>
      <sheetName val="List_PT2"/>
      <sheetName val="Effort_P2"/>
      <sheetName val="P1_012"/>
      <sheetName val="BASE_GRAPHE2"/>
      <sheetName val="Purchase_Order_(2)2"/>
      <sheetName val="3-3_P&amp;L_FORECAST_BY_QUARTER(ME1"/>
      <sheetName val="Client_AJE1"/>
      <sheetName val="Analytical_Review1"/>
      <sheetName val="Work_Code1"/>
      <sheetName val="Permanent_info1"/>
      <sheetName val="SELISIH_KURSSOURCE218"/>
      <sheetName val="Sheet1_(2)18"/>
      <sheetName val="N_BANDING18"/>
      <sheetName val="RL_BANDING18"/>
      <sheetName val="Sheet2_(2)18"/>
      <sheetName val="Sheet1_(3)18"/>
      <sheetName val="PEMAKAIAN_PAKAN_&amp;_OBAT17"/>
      <sheetName val="Customize_Your_Purchase_Order16"/>
      <sheetName val="5300_&amp;_640016"/>
      <sheetName val="List_PT3"/>
      <sheetName val="Effort_P3"/>
      <sheetName val="P1_013"/>
      <sheetName val="BASE_GRAPHE3"/>
      <sheetName val="Purchase_Order_(2)3"/>
      <sheetName val="3-3_P&amp;L_FORECAST_BY_QUARTER(ME2"/>
      <sheetName val="Client_AJE2"/>
      <sheetName val="Analytical_Review2"/>
      <sheetName val="Work_Code2"/>
      <sheetName val="Permanent_info2"/>
      <sheetName val="SELISIH_KURSSOURCE219"/>
      <sheetName val="Sheet1_(2)19"/>
      <sheetName val="N_BANDING19"/>
      <sheetName val="RL_BANDING19"/>
      <sheetName val="Sheet2_(2)19"/>
      <sheetName val="Sheet1_(3)19"/>
      <sheetName val="PEMAKAIAN_PAKAN_&amp;_OBAT18"/>
      <sheetName val="Customize_Your_Purchase_Order17"/>
      <sheetName val="5300_&amp;_640017"/>
      <sheetName val="List_PT4"/>
      <sheetName val="Effort_P4"/>
      <sheetName val="P1_014"/>
      <sheetName val="BASE_GRAPHE4"/>
      <sheetName val="Purchase_Order_(2)4"/>
      <sheetName val="3-3_P&amp;L_FORECAST_BY_QUARTER(ME3"/>
      <sheetName val="Client_AJE3"/>
      <sheetName val="Analytical_Review3"/>
      <sheetName val="Work_Code3"/>
      <sheetName val="Permanent_info3"/>
      <sheetName val="SELISIH_KURSSOURCE223"/>
      <sheetName val="Sheet1_(2)23"/>
      <sheetName val="N_BANDING23"/>
      <sheetName val="RL_BANDING23"/>
      <sheetName val="Sheet2_(2)23"/>
      <sheetName val="Sheet1_(3)23"/>
      <sheetName val="PEMAKAIAN_PAKAN_&amp;_OBAT22"/>
      <sheetName val="Customize_Your_Purchase_Order21"/>
      <sheetName val="5300_&amp;_640021"/>
      <sheetName val="List_PT8"/>
      <sheetName val="Effort_P8"/>
      <sheetName val="P1_018"/>
      <sheetName val="BASE_GRAPHE8"/>
      <sheetName val="Purchase_Order_(2)8"/>
      <sheetName val="3-3_P&amp;L_FORECAST_BY_QUARTER(ME7"/>
      <sheetName val="Client_AJE7"/>
      <sheetName val="Analytical_Review7"/>
      <sheetName val="Work_Code7"/>
      <sheetName val="Permanent_info7"/>
      <sheetName val="SELISIH_KURSSOURCE220"/>
      <sheetName val="Sheet1_(2)20"/>
      <sheetName val="N_BANDING20"/>
      <sheetName val="RL_BANDING20"/>
      <sheetName val="Sheet2_(2)20"/>
      <sheetName val="Sheet1_(3)20"/>
      <sheetName val="PEMAKAIAN_PAKAN_&amp;_OBAT19"/>
      <sheetName val="Customize_Your_Purchase_Order18"/>
      <sheetName val="5300_&amp;_640018"/>
      <sheetName val="List_PT5"/>
      <sheetName val="Effort_P5"/>
      <sheetName val="P1_015"/>
      <sheetName val="BASE_GRAPHE5"/>
      <sheetName val="Purchase_Order_(2)5"/>
      <sheetName val="3-3_P&amp;L_FORECAST_BY_QUARTER(ME4"/>
      <sheetName val="Client_AJE4"/>
      <sheetName val="Analytical_Review4"/>
      <sheetName val="Work_Code4"/>
      <sheetName val="Permanent_info4"/>
      <sheetName val="SELISIH_KURSSOURCE221"/>
      <sheetName val="Sheet1_(2)21"/>
      <sheetName val="N_BANDING21"/>
      <sheetName val="RL_BANDING21"/>
      <sheetName val="Sheet2_(2)21"/>
      <sheetName val="Sheet1_(3)21"/>
      <sheetName val="PEMAKAIAN_PAKAN_&amp;_OBAT20"/>
      <sheetName val="Customize_Your_Purchase_Order19"/>
      <sheetName val="5300_&amp;_640019"/>
      <sheetName val="List_PT6"/>
      <sheetName val="Effort_P6"/>
      <sheetName val="P1_016"/>
      <sheetName val="BASE_GRAPHE6"/>
      <sheetName val="Purchase_Order_(2)6"/>
      <sheetName val="3-3_P&amp;L_FORECAST_BY_QUARTER(ME5"/>
      <sheetName val="Client_AJE5"/>
      <sheetName val="Analytical_Review5"/>
      <sheetName val="Work_Code5"/>
      <sheetName val="Permanent_info5"/>
      <sheetName val="SELISIH_KURSSOURCE222"/>
      <sheetName val="Sheet1_(2)22"/>
      <sheetName val="N_BANDING22"/>
      <sheetName val="RL_BANDING22"/>
      <sheetName val="Sheet2_(2)22"/>
      <sheetName val="Sheet1_(3)22"/>
      <sheetName val="PEMAKAIAN_PAKAN_&amp;_OBAT21"/>
      <sheetName val="Customize_Your_Purchase_Order20"/>
      <sheetName val="5300_&amp;_640020"/>
      <sheetName val="List_PT7"/>
      <sheetName val="Effort_P7"/>
      <sheetName val="P1_017"/>
      <sheetName val="BASE_GRAPHE7"/>
      <sheetName val="Purchase_Order_(2)7"/>
      <sheetName val="3-3_P&amp;L_FORECAST_BY_QUARTER(ME6"/>
      <sheetName val="Client_AJE6"/>
      <sheetName val="Analytical_Review6"/>
      <sheetName val="Work_Code6"/>
      <sheetName val="Permanent_info6"/>
      <sheetName val="SELISIH_KURSSOURCE224"/>
      <sheetName val="Sheet1_(2)24"/>
      <sheetName val="N_BANDING24"/>
      <sheetName val="RL_BANDING24"/>
      <sheetName val="Sheet2_(2)24"/>
      <sheetName val="Sheet1_(3)24"/>
      <sheetName val="PEMAKAIAN_PAKAN_&amp;_OBAT23"/>
      <sheetName val="Customize_Your_Purchase_Order22"/>
      <sheetName val="5300_&amp;_640022"/>
      <sheetName val="List_PT9"/>
      <sheetName val="Effort_P9"/>
      <sheetName val="P1_019"/>
      <sheetName val="BASE_GRAPHE9"/>
      <sheetName val="Purchase_Order_(2)9"/>
      <sheetName val="3-3_P&amp;L_FORECAST_BY_QUARTER(ME8"/>
      <sheetName val="Client_AJE8"/>
      <sheetName val="Analytical_Review8"/>
      <sheetName val="Work_Code8"/>
      <sheetName val="Permanent_info8"/>
      <sheetName val="SELISIH_KURSSOURCE225"/>
      <sheetName val="Sheet1_(2)25"/>
      <sheetName val="N_BANDING25"/>
      <sheetName val="RL_BANDING25"/>
      <sheetName val="Sheet2_(2)25"/>
      <sheetName val="Sheet1_(3)25"/>
      <sheetName val="PEMAKAIAN_PAKAN_&amp;_OBAT24"/>
      <sheetName val="Customize_Your_Purchase_Order23"/>
      <sheetName val="5300_&amp;_640023"/>
      <sheetName val="List_PT10"/>
      <sheetName val="Effort_P10"/>
      <sheetName val="P1_0110"/>
      <sheetName val="BASE_GRAPHE10"/>
      <sheetName val="Purchase_Order_(2)10"/>
      <sheetName val="3-3_P&amp;L_FORECAST_BY_QUARTER(ME9"/>
      <sheetName val="Client_AJE9"/>
      <sheetName val="Analytical_Review9"/>
      <sheetName val="Work_Code9"/>
      <sheetName val="Permanent_info9"/>
      <sheetName val="Factor"/>
      <sheetName val="PL"/>
      <sheetName val="DACS"/>
      <sheetName val="off"/>
      <sheetName val="shareholders"/>
      <sheetName val="Vehicles"/>
      <sheetName val="JVFORM"/>
      <sheetName val="KAS $"/>
      <sheetName val="KAS_$"/>
      <sheetName val="MEMORY"/>
      <sheetName val="CMGRPM20"/>
      <sheetName val="data_val"/>
      <sheetName val="table"/>
      <sheetName val="kp-kom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Recap"/>
      <sheetName val="Med Claim"/>
      <sheetName val="PMTForm"/>
      <sheetName val="Client AJE"/>
      <sheetName val="JobDesc"/>
      <sheetName val="3800-Interim"/>
      <sheetName val="GeneralInfo"/>
      <sheetName val="Biaya Departemen"/>
      <sheetName val="Permanent info"/>
      <sheetName val="Attachement"/>
      <sheetName val="ASSUM-COMB-Prop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Daftar"/>
      <sheetName val="RENCdanREAL"/>
      <sheetName val="Penerimaan"/>
      <sheetName val="Rekap"/>
      <sheetName val="Per Jenis Pajak"/>
      <sheetName val="Jan"/>
      <sheetName val="Peb"/>
      <sheetName val="Mar"/>
      <sheetName val="Apr"/>
      <sheetName val="Mei"/>
      <sheetName val="Jun"/>
      <sheetName val="Jul"/>
      <sheetName val="Agu"/>
      <sheetName val="Sep"/>
      <sheetName val="Okt"/>
      <sheetName val="Nov"/>
      <sheetName val="Des"/>
      <sheetName val="ASSUM-COMB-Prop"/>
      <sheetName val="412"/>
      <sheetName val="SELISIHKURSSOURCE"/>
      <sheetName val="A1-B ASSET"/>
      <sheetName val="Per_Jenis_Pajak"/>
      <sheetName val="C.1 CASH"/>
      <sheetName val="IBSSEC"/>
      <sheetName val="Per_Jenis_Pajak1"/>
      <sheetName val="A1-B_ASSET"/>
      <sheetName val="TB"/>
      <sheetName val="Spacenet Inc"/>
      <sheetName val="France"/>
      <sheetName val="Worksheet-03"/>
      <sheetName val="Customize Your Purchase Order"/>
      <sheetName val="Per_Jenis_Pajak7"/>
      <sheetName val="A1-B_ASSET6"/>
      <sheetName val="C_1_CASH5"/>
      <sheetName val="Spacenet_Inc5"/>
      <sheetName val="Customize_Your_Purchase_Order5"/>
      <sheetName val="Per_Jenis_Pajak2"/>
      <sheetName val="A1-B_ASSET1"/>
      <sheetName val="C_1_CASH"/>
      <sheetName val="Spacenet_Inc"/>
      <sheetName val="Customize_Your_Purchase_Order"/>
      <sheetName val="Per_Jenis_Pajak4"/>
      <sheetName val="A1-B_ASSET3"/>
      <sheetName val="C_1_CASH2"/>
      <sheetName val="Spacenet_Inc2"/>
      <sheetName val="Customize_Your_Purchase_Order2"/>
      <sheetName val="Per_Jenis_Pajak3"/>
      <sheetName val="A1-B_ASSET2"/>
      <sheetName val="C_1_CASH1"/>
      <sheetName val="Spacenet_Inc1"/>
      <sheetName val="Customize_Your_Purchase_Order1"/>
      <sheetName val="Per_Jenis_Pajak5"/>
      <sheetName val="A1-B_ASSET4"/>
      <sheetName val="C_1_CASH3"/>
      <sheetName val="Spacenet_Inc3"/>
      <sheetName val="Customize_Your_Purchase_Order3"/>
      <sheetName val="Per_Jenis_Pajak6"/>
      <sheetName val="A1-B_ASSET5"/>
      <sheetName val="C_1_CASH4"/>
      <sheetName val="Spacenet_Inc4"/>
      <sheetName val="Customize_Your_Purchase_Order4"/>
      <sheetName val="Per_Jenis_Pajak10"/>
      <sheetName val="A1-B_ASSET9"/>
      <sheetName val="C_1_CASH8"/>
      <sheetName val="Spacenet_Inc8"/>
      <sheetName val="Customize_Your_Purchase_Order8"/>
      <sheetName val="Per_Jenis_Pajak8"/>
      <sheetName val="A1-B_ASSET7"/>
      <sheetName val="C_1_CASH6"/>
      <sheetName val="Spacenet_Inc6"/>
      <sheetName val="Customize_Your_Purchase_Order6"/>
      <sheetName val="Per_Jenis_Pajak9"/>
      <sheetName val="A1-B_ASSET8"/>
      <sheetName val="C_1_CASH7"/>
      <sheetName val="Spacenet_Inc7"/>
      <sheetName val="Customize_Your_Purchase_Order7"/>
      <sheetName val="Per_Jenis_Pajak13"/>
      <sheetName val="A1-B_ASSET12"/>
      <sheetName val="C_1_CASH11"/>
      <sheetName val="Spacenet_Inc11"/>
      <sheetName val="Customize_Your_Purchase_Order11"/>
      <sheetName val="Per_Jenis_Pajak12"/>
      <sheetName val="A1-B_ASSET11"/>
      <sheetName val="C_1_CASH10"/>
      <sheetName val="Spacenet_Inc10"/>
      <sheetName val="Customize_Your_Purchase_Order10"/>
      <sheetName val="Per_Jenis_Pajak11"/>
      <sheetName val="A1-B_ASSET10"/>
      <sheetName val="C_1_CASH9"/>
      <sheetName val="Spacenet_Inc9"/>
      <sheetName val="Customize_Your_Purchase_Order9"/>
      <sheetName val="Per_Jenis_Pajak14"/>
      <sheetName val="A1-B_ASSET13"/>
      <sheetName val="C_1_CASH12"/>
      <sheetName val="Spacenet_Inc12"/>
      <sheetName val="Customize_Your_Purchase_Order12"/>
      <sheetName val="Recap"/>
      <sheetName val="Setup"/>
      <sheetName val="Marshal"/>
      <sheetName val="F1771-IV"/>
      <sheetName val="F1771-V"/>
      <sheetName val="Drop Down"/>
      <sheetName val="instalasi disp Mei"/>
      <sheetName val="View-Assumption"/>
      <sheetName val="Menu"/>
      <sheetName val="Per_Jenis_Pajak15"/>
      <sheetName val="A1-B_ASSET14"/>
      <sheetName val="C_1_CASH13"/>
      <sheetName val="Spacenet_Inc13"/>
      <sheetName val="Customize_Your_Purchase_Order13"/>
      <sheetName val="Drop_Down"/>
      <sheetName val="instalasi_disp_Mei"/>
      <sheetName val="PEMAKAIAN PAKAN &amp; OBAT"/>
      <sheetName val="412src2"/>
      <sheetName val="Tab.Daten"/>
      <sheetName val="MetaData"/>
      <sheetName val="LIST"/>
      <sheetName val="US_TIMECAT_7Q"/>
      <sheetName val="K2-FA"/>
      <sheetName val="cons workpapers"/>
      <sheetName val="Scenarios&amp;Sensitivities"/>
      <sheetName val="Scenarios_Sensitivities"/>
      <sheetName val="EMN KPI's "/>
      <sheetName val="MK(7ｶ国+5,7,12万台)"/>
      <sheetName val="GeneralInfo"/>
      <sheetName val="Sheet5"/>
      <sheetName val="BS-Lampiran 1"/>
      <sheetName val="A"/>
      <sheetName val="B"/>
      <sheetName val="Attachment"/>
      <sheetName val="Lampiran"/>
      <sheetName val="Summary of Fiscal Depreciations"/>
      <sheetName val="Penyusutan - E"/>
      <sheetName val="MArshall-E"/>
      <sheetName val="Lampiran2000"/>
      <sheetName val="Attachment2000"/>
      <sheetName val="PPH 17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heet2"/>
      <sheetName val="Permanent info"/>
      <sheetName val="Sheet1"/>
      <sheetName val="JUAL_STD"/>
      <sheetName val="Currency"/>
      <sheetName val="DropDown"/>
      <sheetName val="B25-95"/>
      <sheetName val="Irregular Income"/>
      <sheetName val="FE-1770.P1"/>
      <sheetName val="Rugilaba"/>
      <sheetName val="Desc "/>
      <sheetName val="System"/>
      <sheetName val="CIP_USD"/>
      <sheetName val="Loan"/>
      <sheetName val="Fin Exp"/>
      <sheetName val="Ex_Rate"/>
      <sheetName val="Lead-New'02"/>
      <sheetName val="VALUE_SET"/>
      <sheetName val="PENJ.NERACA"/>
      <sheetName val="fiscal depr(E)"/>
      <sheetName val="Family"/>
      <sheetName val="Recov"/>
      <sheetName val="Ex-Rate"/>
      <sheetName val="CCtr"/>
      <sheetName val="B_Spareparts"/>
      <sheetName val="SCEN"/>
      <sheetName val="FF-3"/>
      <sheetName val="data"/>
      <sheetName val="F1771"/>
      <sheetName val="FE-1770-I"/>
      <sheetName val="FE-1770-II"/>
      <sheetName val="PTCI Alyui Bay Exp -  2004 (Rp)"/>
      <sheetName val="FF-5"/>
      <sheetName val="MMIP(JU)"/>
      <sheetName val="F-1&amp;F-2"/>
      <sheetName val="WPL"/>
      <sheetName val="NAMA DEPT"/>
      <sheetName val="RWP 33"/>
      <sheetName val="#REF"/>
      <sheetName val="Macro5"/>
      <sheetName val="dectbl"/>
      <sheetName val="MONTH"/>
      <sheetName val="5"/>
      <sheetName val="addition"/>
      <sheetName val="Attachement"/>
      <sheetName val="3800-Interim"/>
      <sheetName val="kary21"/>
      <sheetName val="Per_Jenis_Pajak16"/>
      <sheetName val="A1-B_ASSET15"/>
      <sheetName val="C_1_CASH14"/>
      <sheetName val="Spacenet_Inc14"/>
      <sheetName val="Customize_Your_Purchase_Order14"/>
      <sheetName val="Invoice"/>
      <sheetName val="Customize Your Invoice"/>
      <sheetName val="Drop_Down1"/>
      <sheetName val="instalasi_disp_Mei1"/>
      <sheetName val="PEMAKAIAN_PAKAN_&amp;_OBAT"/>
      <sheetName val="Tab_Daten"/>
      <sheetName val="Per_Jenis_Pajak17"/>
      <sheetName val="A1-B_ASSET16"/>
      <sheetName val="C_1_CASH15"/>
      <sheetName val="Spacenet_Inc15"/>
      <sheetName val="Customize_Your_Purchase_Order15"/>
      <sheetName val="Drop_Down2"/>
      <sheetName val="instalasi_disp_Mei2"/>
      <sheetName val="PEMAKAIAN_PAKAN_&amp;_OBAT1"/>
      <sheetName val="Tab_Daten1"/>
      <sheetName val="Per_Jenis_Pajak18"/>
      <sheetName val="A1-B_ASSET17"/>
      <sheetName val="C_1_CASH16"/>
      <sheetName val="Spacenet_Inc16"/>
      <sheetName val="Customize_Your_Purchase_Order16"/>
      <sheetName val="Drop_Down3"/>
      <sheetName val="instalasi_disp_Mei3"/>
      <sheetName val="PEMAKAIAN_PAKAN_&amp;_OBAT2"/>
      <sheetName val="Tab_Daten2"/>
      <sheetName val="Per_Jenis_Pajak19"/>
      <sheetName val="A1-B_ASSET18"/>
      <sheetName val="C_1_CASH17"/>
      <sheetName val="Spacenet_Inc17"/>
      <sheetName val="Customize_Your_Purchase_Order17"/>
      <sheetName val="Drop_Down4"/>
      <sheetName val="instalasi_disp_Mei4"/>
      <sheetName val="PEMAKAIAN_PAKAN_&amp;_OBAT3"/>
      <sheetName val="Tab_Daten3"/>
      <sheetName val="Per_Jenis_Pajak23"/>
      <sheetName val="A1-B_ASSET22"/>
      <sheetName val="C_1_CASH21"/>
      <sheetName val="Spacenet_Inc21"/>
      <sheetName val="Customize_Your_Purchase_Order21"/>
      <sheetName val="Drop_Down8"/>
      <sheetName val="instalasi_disp_Mei8"/>
      <sheetName val="PEMAKAIAN_PAKAN_&amp;_OBAT7"/>
      <sheetName val="Tab_Daten7"/>
      <sheetName val="Per_Jenis_Pajak20"/>
      <sheetName val="A1-B_ASSET19"/>
      <sheetName val="C_1_CASH18"/>
      <sheetName val="Spacenet_Inc18"/>
      <sheetName val="Customize_Your_Purchase_Order18"/>
      <sheetName val="Drop_Down5"/>
      <sheetName val="instalasi_disp_Mei5"/>
      <sheetName val="PEMAKAIAN_PAKAN_&amp;_OBAT4"/>
      <sheetName val="Tab_Daten4"/>
      <sheetName val="Per_Jenis_Pajak21"/>
      <sheetName val="A1-B_ASSET20"/>
      <sheetName val="C_1_CASH19"/>
      <sheetName val="Spacenet_Inc19"/>
      <sheetName val="Customize_Your_Purchase_Order19"/>
      <sheetName val="Drop_Down6"/>
      <sheetName val="instalasi_disp_Mei6"/>
      <sheetName val="PEMAKAIAN_PAKAN_&amp;_OBAT5"/>
      <sheetName val="Tab_Daten5"/>
      <sheetName val="Per_Jenis_Pajak22"/>
      <sheetName val="A1-B_ASSET21"/>
      <sheetName val="C_1_CASH20"/>
      <sheetName val="Spacenet_Inc20"/>
      <sheetName val="Customize_Your_Purchase_Order20"/>
      <sheetName val="Drop_Down7"/>
      <sheetName val="instalasi_disp_Mei7"/>
      <sheetName val="PEMAKAIAN_PAKAN_&amp;_OBAT6"/>
      <sheetName val="Tab_Daten6"/>
      <sheetName val="Per_Jenis_Pajak24"/>
      <sheetName val="A1-B_ASSET23"/>
      <sheetName val="C_1_CASH22"/>
      <sheetName val="Spacenet_Inc22"/>
      <sheetName val="Customize_Your_Purchase_Order22"/>
      <sheetName val="Drop_Down9"/>
      <sheetName val="instalasi_disp_Mei9"/>
      <sheetName val="PEMAKAIAN_PAKAN_&amp;_OBAT8"/>
      <sheetName val="Tab_Daten8"/>
      <sheetName val="Per_Jenis_Pajak25"/>
      <sheetName val="A1-B_ASSET24"/>
      <sheetName val="C_1_CASH23"/>
      <sheetName val="Spacenet_Inc23"/>
      <sheetName val="Customize_Your_Purchase_Order23"/>
      <sheetName val="Drop_Down10"/>
      <sheetName val="instalasi_disp_Mei10"/>
      <sheetName val="PEMAKAIAN_PAKAN_&amp;_OBAT9"/>
      <sheetName val="Tab_Daten9"/>
      <sheetName val="E.AUDIT"/>
      <sheetName val="PKP-FINAL(17073)"/>
      <sheetName val="TMMK Vehicle Data"/>
      <sheetName val="TMMC Vehicle Data"/>
      <sheetName val="Comparison data"/>
      <sheetName val="Wages"/>
      <sheetName val="loading"/>
      <sheetName val="167"/>
      <sheetName val="trading statement"/>
      <sheetName val="harvest02"/>
      <sheetName val="adj"/>
      <sheetName val="JVFORM"/>
      <sheetName val="Checker"/>
      <sheetName val="Permanent_info"/>
      <sheetName val="G4"/>
      <sheetName val="kurs"/>
      <sheetName val="PDPC0908"/>
      <sheetName val="JobDetails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M"/>
      <sheetName val="Ranges"/>
    </sheetNames>
    <sheetDataSet>
      <sheetData sheetId="0" refreshError="1"/>
      <sheetData sheetId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ly"/>
      <sheetName val="Scope"/>
      <sheetName val="ข้อมูลลูกค้า"/>
      <sheetName val="แผนรวม"/>
      <sheetName val="วิธีการควบคุม"/>
      <sheetName val="FinalChk"/>
      <sheetName val="Permanent file"/>
      <sheetName val="mat-1"/>
      <sheetName val="mat-2"/>
      <sheetName val="table"/>
      <sheetName val="Index"/>
      <sheetName val="File_lable"/>
      <sheetName val="data"/>
      <sheetName val="Co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BOOK DEPN-027"/>
      <sheetName val="JVFORM"/>
      <sheetName val="Daftar"/>
      <sheetName val="5"/>
      <sheetName val="BOOK_DEPN-027"/>
      <sheetName val="Ideal"/>
      <sheetName val="BOOK_DEPN-0271"/>
      <sheetName val="Ranges"/>
      <sheetName val="AGING"/>
      <sheetName val="BOOK_DEPN-0277"/>
      <sheetName val="BOOK_DEPN-0272"/>
      <sheetName val="BOOK_DEPN-0274"/>
      <sheetName val="BOOK_DEPN-0273"/>
      <sheetName val="BOOK_DEPN-0275"/>
      <sheetName val="BOOK_DEPN-0276"/>
      <sheetName val="BOOK_DEPN-02710"/>
      <sheetName val="BOOK_DEPN-0278"/>
      <sheetName val="BOOK_DEPN-0279"/>
      <sheetName val="Informatique"/>
      <sheetName val="BOOK_DEPN-02713"/>
      <sheetName val="BOOK_DEPN-02712"/>
      <sheetName val="BOOK_DEPN-02711"/>
      <sheetName val="BOOK_DEPN-02714"/>
      <sheetName val="K.6DEPOSIT"/>
      <sheetName val="A$"/>
      <sheetName val="GLdownload"/>
      <sheetName val="SetUp Data"/>
      <sheetName val="Input Areas"/>
      <sheetName val="UK GAAP Adjustments"/>
      <sheetName val="UK GAAP Purchase Price"/>
      <sheetName val="Cover"/>
      <sheetName val="Info"/>
      <sheetName val="Equipment"/>
      <sheetName val="Package"/>
      <sheetName val="Param"/>
      <sheetName val="INVES"/>
      <sheetName val="laporan96"/>
      <sheetName val="laporan"/>
      <sheetName val="TB"/>
      <sheetName val="Drawdowns"/>
      <sheetName val="Input Param"/>
      <sheetName val="des"/>
      <sheetName val="BOOK_DEPN-02715"/>
      <sheetName val="K_6DEPOSIT"/>
      <sheetName val="SetUp_Data"/>
      <sheetName val="Input_Areas"/>
      <sheetName val="UK_GAAP_Adjustments"/>
      <sheetName val="UK_GAAP_Purchase_Price"/>
      <sheetName val="412"/>
      <sheetName val="SELISIHKURSSOURCE"/>
      <sheetName val="LIST FA-1296"/>
      <sheetName val="Assum"/>
      <sheetName val="3-3 P&amp;L FORECAST BY QUARTER"/>
      <sheetName val="Danamon LK"/>
      <sheetName val="Permanent info"/>
      <sheetName val="gg_1"/>
      <sheetName val="gg_3"/>
      <sheetName val="Executive Summary"/>
      <sheetName val="PPA 3 (3)"/>
      <sheetName val="償却費計算"/>
      <sheetName val="生産量Qtrly"/>
      <sheetName val="生産量Monthly"/>
      <sheetName val="Valuation Summary P1"/>
      <sheetName val="Valuation Summary P2"/>
      <sheetName val="Senoro調整"/>
      <sheetName val="Lematang調整"/>
      <sheetName val="CF Oman Oil"/>
      <sheetName val="PPA 1"/>
      <sheetName val="PPA 2"/>
      <sheetName val="PPA 3 Revise"/>
      <sheetName val="PPA 3"/>
      <sheetName val="PPA 4"/>
      <sheetName val="PPA 5"/>
      <sheetName val="PPA 6"/>
      <sheetName val="PPA 7"/>
      <sheetName val="PPA 8"/>
      <sheetName val="PPA 9"/>
      <sheetName val="Recap"/>
      <sheetName val="K2"/>
      <sheetName val="Amor1"/>
      <sheetName val="gg.1"/>
      <sheetName val="FE-1770-I"/>
      <sheetName val="FE-1770.P1"/>
      <sheetName val="F H"/>
      <sheetName val="fiscal depr(E)"/>
      <sheetName val="Marshal"/>
      <sheetName val="F1771_IV"/>
      <sheetName val="F1771_V"/>
      <sheetName val="instalasi disp Mei"/>
      <sheetName val="unpaid"/>
      <sheetName val="BOOK_DEPN-02716"/>
      <sheetName val="K_6DEPOSIT1"/>
      <sheetName val="JobDetails"/>
      <sheetName val="VAT OUT GL"/>
      <sheetName val="EQUALISASI"/>
      <sheetName val="UPAH DAN BAHAN"/>
      <sheetName val="SetUp_Data1"/>
      <sheetName val="Input_Areas1"/>
      <sheetName val="UK_GAAP_Adjustments1"/>
      <sheetName val="UK_GAAP_Purchase_Price1"/>
      <sheetName val="Input_Param"/>
      <sheetName val="Danamon_LK"/>
      <sheetName val="3-3_P&amp;L_FORECAST_BY_QUARTER"/>
      <sheetName val="LIST_FA-1296"/>
      <sheetName val="Permanent_info"/>
      <sheetName val="BOOK_DEPN-02717"/>
      <sheetName val="K_6DEPOSIT2"/>
      <sheetName val="SetUp_Data2"/>
      <sheetName val="Input_Areas2"/>
      <sheetName val="UK_GAAP_Adjustments2"/>
      <sheetName val="UK_GAAP_Purchase_Price2"/>
      <sheetName val="Input_Param1"/>
      <sheetName val="Danamon_LK1"/>
      <sheetName val="3-3_P&amp;L_FORECAST_BY_QUARTER1"/>
      <sheetName val="LIST_FA-12961"/>
      <sheetName val="Permanent_info1"/>
      <sheetName val="BOOK_DEPN-02718"/>
      <sheetName val="K_6DEPOSIT3"/>
      <sheetName val="SetUp_Data3"/>
      <sheetName val="Input_Areas3"/>
      <sheetName val="UK_GAAP_Adjustments3"/>
      <sheetName val="UK_GAAP_Purchase_Price3"/>
      <sheetName val="Input_Param2"/>
      <sheetName val="Danamon_LK2"/>
      <sheetName val="3-3_P&amp;L_FORECAST_BY_QUARTER2"/>
      <sheetName val="LIST_FA-12962"/>
      <sheetName val="Permanent_info2"/>
      <sheetName val="BOOK_DEPN-02719"/>
      <sheetName val="K_6DEPOSIT4"/>
      <sheetName val="SetUp_Data4"/>
      <sheetName val="Input_Areas4"/>
      <sheetName val="UK_GAAP_Adjustments4"/>
      <sheetName val="UK_GAAP_Purchase_Price4"/>
      <sheetName val="Input_Param3"/>
      <sheetName val="Danamon_LK3"/>
      <sheetName val="3-3_P&amp;L_FORECAST_BY_QUARTER3"/>
      <sheetName val="LIST_FA-12963"/>
      <sheetName val="Permanent_info3"/>
      <sheetName val="BOOK_DEPN-02723"/>
      <sheetName val="K_6DEPOSIT8"/>
      <sheetName val="SetUp_Data8"/>
      <sheetName val="Input_Areas8"/>
      <sheetName val="UK_GAAP_Adjustments8"/>
      <sheetName val="UK_GAAP_Purchase_Price8"/>
      <sheetName val="Input_Param7"/>
      <sheetName val="Danamon_LK7"/>
      <sheetName val="3-3_P&amp;L_FORECAST_BY_QUARTER7"/>
      <sheetName val="LIST_FA-12967"/>
      <sheetName val="Permanent_info7"/>
      <sheetName val="BOOK_DEPN-02720"/>
      <sheetName val="K_6DEPOSIT5"/>
      <sheetName val="SetUp_Data5"/>
      <sheetName val="Input_Areas5"/>
      <sheetName val="UK_GAAP_Adjustments5"/>
      <sheetName val="UK_GAAP_Purchase_Price5"/>
      <sheetName val="Input_Param4"/>
      <sheetName val="Danamon_LK4"/>
      <sheetName val="3-3_P&amp;L_FORECAST_BY_QUARTER4"/>
      <sheetName val="LIST_FA-12964"/>
      <sheetName val="Permanent_info4"/>
      <sheetName val="BOOK_DEPN-02721"/>
      <sheetName val="K_6DEPOSIT6"/>
      <sheetName val="SetUp_Data6"/>
      <sheetName val="Input_Areas6"/>
      <sheetName val="UK_GAAP_Adjustments6"/>
      <sheetName val="UK_GAAP_Purchase_Price6"/>
      <sheetName val="Input_Param5"/>
      <sheetName val="Danamon_LK5"/>
      <sheetName val="3-3_P&amp;L_FORECAST_BY_QUARTER5"/>
      <sheetName val="LIST_FA-12965"/>
      <sheetName val="Permanent_info5"/>
      <sheetName val="BOOK_DEPN-02722"/>
      <sheetName val="K_6DEPOSIT7"/>
      <sheetName val="SetUp_Data7"/>
      <sheetName val="Input_Areas7"/>
      <sheetName val="UK_GAAP_Adjustments7"/>
      <sheetName val="UK_GAAP_Purchase_Price7"/>
      <sheetName val="Input_Param6"/>
      <sheetName val="Danamon_LK6"/>
      <sheetName val="3-3_P&amp;L_FORECAST_BY_QUARTER6"/>
      <sheetName val="LIST_FA-12966"/>
      <sheetName val="Permanent_info6"/>
      <sheetName val="BOOK_DEPN-02724"/>
      <sheetName val="K_6DEPOSIT9"/>
      <sheetName val="SetUp_Data9"/>
      <sheetName val="Input_Areas9"/>
      <sheetName val="UK_GAAP_Adjustments9"/>
      <sheetName val="UK_GAAP_Purchase_Price9"/>
      <sheetName val="Input_Param8"/>
      <sheetName val="Danamon_LK8"/>
      <sheetName val="3-3_P&amp;L_FORECAST_BY_QUARTER8"/>
      <sheetName val="LIST_FA-12968"/>
      <sheetName val="Permanent_info8"/>
      <sheetName val="BOOK_DEPN-02725"/>
      <sheetName val="K_6DEPOSIT10"/>
      <sheetName val="SetUp_Data10"/>
      <sheetName val="Input_Areas10"/>
      <sheetName val="UK_GAAP_Adjustments10"/>
      <sheetName val="UK_GAAP_Purchase_Price10"/>
      <sheetName val="Input_Param9"/>
      <sheetName val="Danamon_LK9"/>
      <sheetName val="3-3_P&amp;L_FORECAST_BY_QUARTER9"/>
      <sheetName val="LIST_FA-12969"/>
      <sheetName val="Permanent_info9"/>
      <sheetName val="ASSUM-COMB-Prop"/>
      <sheetName val="Variable"/>
      <sheetName val="IS PER MONTH"/>
      <sheetName val="BF Database"/>
      <sheetName val="Account Code"/>
      <sheetName val="Invoice"/>
      <sheetName val="Customize Your Invoice"/>
      <sheetName val="DEPK2003"/>
      <sheetName val="Sheet1"/>
      <sheetName val="GeneralInfo"/>
      <sheetName val="APRIL'02"/>
      <sheetName val="Account_Code"/>
      <sheetName val="Customize_Your_Invoice"/>
      <sheetName val="fiscal_depr(E)"/>
      <sheetName val="data_val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 delta"/>
      <sheetName val="Summary"/>
      <sheetName val="Base Data"/>
      <sheetName val="Rates Semac"/>
      <sheetName val="Surveys"/>
      <sheetName val="Ploughing"/>
      <sheetName val="Stabilisation works"/>
      <sheetName val="Crew Castoro 2"/>
      <sheetName val="Crew SEMAC"/>
      <sheetName val="Rates Castoro 2"/>
      <sheetName val="Management"/>
      <sheetName val="Manag-resources"/>
      <sheetName val="Inspection resources"/>
      <sheetName val="Engineering"/>
      <sheetName val="Transfer C2"/>
      <sheetName val="Preparation C2"/>
      <sheetName val="Transfer Semac"/>
      <sheetName val="Preparation Semac"/>
      <sheetName val="Transit C2"/>
      <sheetName val="Transit Semac"/>
      <sheetName val="Laying C2"/>
      <sheetName val="RISERS Instal"/>
      <sheetName val="Laying Semac"/>
      <sheetName val="AW Tie in"/>
      <sheetName val="AW Tie in (Option)"/>
      <sheetName val="Consumables BASE"/>
      <sheetName val="Line pipe tripsC2"/>
      <sheetName val="Pipe transpC2"/>
      <sheetName val="Line pipe tripssemac"/>
      <sheetName val="Pipe transpsemac"/>
      <sheetName val="Onshore laying"/>
      <sheetName val="PROCUREMENT"/>
      <sheetName val="Materials"/>
      <sheetName val="Shore Approach"/>
      <sheetName val="Hydrotesting"/>
      <sheetName val="Duties Tax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 (2)"/>
      <sheetName val="BSnew"/>
      <sheetName val="infBSnew"/>
      <sheetName val="PLnew"/>
      <sheetName val="tbnew"/>
      <sheetName val="sortjurn"/>
      <sheetName val="Adj"/>
      <sheetName val="akt"/>
      <sheetName val="PE-ADV-DPST"/>
      <sheetName val="add"/>
      <sheetName val="rate09"/>
      <sheetName val="rate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IAN"/>
      <sheetName val="TAX RESUME"/>
      <sheetName val="SOP"/>
      <sheetName val="REKAP PPH"/>
      <sheetName val="JAN"/>
      <sheetName val="PPh 21(JAC)"/>
      <sheetName val="Jamsostek November"/>
      <sheetName val="JMSTK-Jan 11"/>
      <sheetName val="Regular time (OPR)"/>
      <sheetName val="Slip Gaji (OPR)"/>
      <sheetName val="Over time (OPR) "/>
      <sheetName val="Regular time (Staf)"/>
      <sheetName val="Over time (Staf)"/>
      <sheetName val="Sheet1"/>
      <sheetName val="C1"/>
      <sheetName val="Account Code"/>
      <sheetName val="TAX_RESUME"/>
      <sheetName val="REKAP_PPH"/>
      <sheetName val="PPh_21(JAC)"/>
      <sheetName val="Jamsostek_November"/>
      <sheetName val="JMSTK-Jan_11"/>
      <sheetName val="Regular_time_(OPR)"/>
      <sheetName val="Slip_Gaji_(OPR)"/>
      <sheetName val="Over_time_(OPR)_"/>
      <sheetName val="Regular_time_(Staf)"/>
      <sheetName val="Over_time_(Staf)"/>
      <sheetName val="JVFORM"/>
      <sheetName val="PEMAKAIAN PAKAN &amp; OBAT"/>
      <sheetName val="TAX_RESUME1"/>
      <sheetName val="REKAP_PPH1"/>
      <sheetName val="PPh_21(JAC)1"/>
      <sheetName val="Jamsostek_November1"/>
      <sheetName val="JMSTK-Jan_111"/>
      <sheetName val="Regular_time_(OPR)1"/>
      <sheetName val="Slip_Gaji_(OPR)1"/>
      <sheetName val="Over_time_(OPR)_1"/>
      <sheetName val="Regular_time_(Staf)1"/>
      <sheetName val="Over_time_(Staf)1"/>
      <sheetName val="Account_Cod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RClajur-jk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mgmt"/>
      <sheetName val="Survey &amp; Post."/>
      <sheetName val="Testing"/>
      <sheetName val="p.consumables"/>
      <sheetName val="Layest C5 "/>
      <sheetName val="C5 risers &amp; spool"/>
      <sheetName val="transport"/>
      <sheetName val="transport sime"/>
      <sheetName val="pm estimate"/>
      <sheetName val="pm riser install"/>
      <sheetName val="Stinger &amp; Pipes trans"/>
      <sheetName val="p.mgmt duration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gj"/>
      <sheetName val="jkt160"/>
      <sheetName val="32a (2)"/>
      <sheetName val="32a"/>
      <sheetName val="gajipeg"/>
      <sheetName val="tm_unit_kerj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April"/>
      <sheetName val="rate"/>
      <sheetName val="2_"/>
      <sheetName val="7_1"/>
      <sheetName val="Sheet2_(2)"/>
      <sheetName val="Order"/>
      <sheetName val="Schedule"/>
      <sheetName val="Schedule OK Status"/>
      <sheetName val="2_1"/>
      <sheetName val="7_11"/>
      <sheetName val="Sheet2_(2)1"/>
      <sheetName val="JVFORM"/>
      <sheetName val="tuong"/>
      <sheetName val="GVL"/>
      <sheetName val="Table"/>
      <sheetName val="Master KKP Global 4"/>
      <sheetName val="Assumptions"/>
      <sheetName val="Sheet7"/>
      <sheetName val="TB-WP"/>
      <sheetName val="adj"/>
      <sheetName val="2_7"/>
      <sheetName val="7_17"/>
      <sheetName val="Sheet2_(2)7"/>
      <sheetName val="Schedule_OK_Status5"/>
      <sheetName val="Master_KKP_Global_45"/>
      <sheetName val="2_2"/>
      <sheetName val="7_12"/>
      <sheetName val="Sheet2_(2)2"/>
      <sheetName val="Schedule_OK_Status"/>
      <sheetName val="Master_KKP_Global_4"/>
      <sheetName val="2_4"/>
      <sheetName val="7_14"/>
      <sheetName val="Sheet2_(2)4"/>
      <sheetName val="Schedule_OK_Status2"/>
      <sheetName val="Master_KKP_Global_42"/>
      <sheetName val="2_3"/>
      <sheetName val="7_13"/>
      <sheetName val="Sheet2_(2)3"/>
      <sheetName val="Schedule_OK_Status1"/>
      <sheetName val="Master_KKP_Global_41"/>
      <sheetName val="2_5"/>
      <sheetName val="7_15"/>
      <sheetName val="Sheet2_(2)5"/>
      <sheetName val="Schedule_OK_Status3"/>
      <sheetName val="Master_KKP_Global_43"/>
      <sheetName val="2_6"/>
      <sheetName val="7_16"/>
      <sheetName val="Sheet2_(2)6"/>
      <sheetName val="Schedule_OK_Status4"/>
      <sheetName val="Master_KKP_Global_44"/>
      <sheetName val="2_10"/>
      <sheetName val="7_110"/>
      <sheetName val="Sheet2_(2)10"/>
      <sheetName val="Schedule_OK_Status8"/>
      <sheetName val="Master_KKP_Global_48"/>
      <sheetName val="2_8"/>
      <sheetName val="7_18"/>
      <sheetName val="Sheet2_(2)8"/>
      <sheetName val="Schedule_OK_Status6"/>
      <sheetName val="Master_KKP_Global_46"/>
      <sheetName val="2_9"/>
      <sheetName val="7_19"/>
      <sheetName val="Sheet2_(2)9"/>
      <sheetName val="Schedule_OK_Status7"/>
      <sheetName val="Master_KKP_Global_47"/>
      <sheetName val="2_13"/>
      <sheetName val="7_113"/>
      <sheetName val="Sheet2_(2)13"/>
      <sheetName val="Schedule_OK_Status11"/>
      <sheetName val="Master_KKP_Global_411"/>
      <sheetName val="2_12"/>
      <sheetName val="7_112"/>
      <sheetName val="Sheet2_(2)12"/>
      <sheetName val="Schedule_OK_Status10"/>
      <sheetName val="Master_KKP_Global_410"/>
      <sheetName val="2_11"/>
      <sheetName val="7_111"/>
      <sheetName val="Sheet2_(2)11"/>
      <sheetName val="Schedule_OK_Status9"/>
      <sheetName val="Master_KKP_Global_49"/>
      <sheetName val="Projects"/>
      <sheetName val="GeneralInfo"/>
      <sheetName val="Marshal"/>
      <sheetName val="2_14"/>
      <sheetName val="7_114"/>
      <sheetName val="Sheet2_(2)14"/>
      <sheetName val="Schedule_OK_Status12"/>
      <sheetName val="Master_KKP_Global_412"/>
      <sheetName val="PURCHASE"/>
      <sheetName val="07-01"/>
      <sheetName val="Sheet1"/>
      <sheetName val="JobDetails"/>
      <sheetName val="Daftar"/>
      <sheetName val="X rate"/>
      <sheetName val="Data Update"/>
      <sheetName val="DATANAS_SIDJP_MFPPHB02__spt_thn"/>
      <sheetName val="Input"/>
      <sheetName val="GLx"/>
      <sheetName val="1.GasAcct"/>
      <sheetName val="2_15"/>
      <sheetName val="7_115"/>
      <sheetName val="Sheet2_(2)15"/>
      <sheetName val="Schedule_OK_Status13"/>
      <sheetName val="Master_KKP_Global_413"/>
      <sheetName val="X_rate"/>
      <sheetName val="Data_Update"/>
      <sheetName val="SUM"/>
      <sheetName val="計算結果"/>
      <sheetName val="Parameters"/>
      <sheetName val="List-Value"/>
      <sheetName val="Recap"/>
      <sheetName val="BBM-03"/>
      <sheetName val="data_val"/>
      <sheetName val="Links"/>
      <sheetName val="Rates"/>
      <sheetName val="tabel"/>
      <sheetName val="daftar penyusutan harta"/>
      <sheetName val="1_ 2"/>
      <sheetName val="I-Rollforward"/>
      <sheetName val="A"/>
      <sheetName val="412"/>
      <sheetName val="SELISIHKURSSOURCE"/>
      <sheetName val="Customize Your Purchase Order"/>
      <sheetName val="Lamp 1"/>
      <sheetName val="412src2"/>
      <sheetName val="PDPC0908"/>
      <sheetName val="L.1"/>
      <sheetName val="std"/>
      <sheetName val="L_15"/>
      <sheetName val="L_1"/>
      <sheetName val="L_12"/>
      <sheetName val="L_11"/>
      <sheetName val="L_13"/>
      <sheetName val="L_14"/>
      <sheetName val="L_18"/>
      <sheetName val="L_16"/>
      <sheetName val="L_17"/>
      <sheetName val="L_111"/>
      <sheetName val="L_110"/>
      <sheetName val="L_19"/>
      <sheetName val="Amor1"/>
      <sheetName val="L_112"/>
      <sheetName val="LPP"/>
      <sheetName val="JUL"/>
      <sheetName val="SPI"/>
      <sheetName val="kurs"/>
      <sheetName val="Main"/>
      <sheetName val="SHAREHOLDERS"/>
      <sheetName val="Journal Template"/>
      <sheetName val="ACC.CODE"/>
      <sheetName val="ExchRates"/>
      <sheetName val="V_List"/>
      <sheetName val="MASTER"/>
      <sheetName val="DETANAL-AUG"/>
      <sheetName val="YRACCT"/>
      <sheetName val="ACC_CODE5"/>
      <sheetName val="Lamp_15"/>
      <sheetName val="ACC_CODE"/>
      <sheetName val="Lamp_1"/>
      <sheetName val="ACC_CODE2"/>
      <sheetName val="Lamp_12"/>
      <sheetName val="ACC_CODE1"/>
      <sheetName val="Lamp_11"/>
      <sheetName val="ACC_CODE3"/>
      <sheetName val="Lamp_13"/>
      <sheetName val="ACC_CODE4"/>
      <sheetName val="Lamp_14"/>
      <sheetName val="ACC_CODE8"/>
      <sheetName val="Lamp_18"/>
      <sheetName val="ACC_CODE6"/>
      <sheetName val="Lamp_16"/>
      <sheetName val="ACC_CODE7"/>
      <sheetName val="Lamp_17"/>
      <sheetName val="Engineering Workload"/>
      <sheetName val="ACC_CODE11"/>
      <sheetName val="Lamp_111"/>
      <sheetName val="ACC_CODE10"/>
      <sheetName val="Lamp_110"/>
      <sheetName val="ACC_CODE9"/>
      <sheetName val="Lamp_19"/>
      <sheetName val="Other Addbacks"/>
      <sheetName val="Customize Your Invoice"/>
      <sheetName val="Invoice"/>
      <sheetName val="ACC_CODE12"/>
      <sheetName val="Lamp_112"/>
      <sheetName val="Purchase Order (2)"/>
      <sheetName val="CIVIC 1.6L(7ｶ国MA輸出)ｺｽﾄ"/>
      <sheetName val="GLdownload"/>
      <sheetName val="Purchase_Order_(2)"/>
      <sheetName val="Customize_Your_Purchase_Order"/>
      <sheetName val="CIVIC_1_6L(7ｶ国MA輸出)ｺｽﾄ"/>
      <sheetName val="KLHT"/>
      <sheetName val="DB KPP"/>
      <sheetName val="Identitas"/>
      <sheetName val="Formal"/>
      <sheetName val="Matrik"/>
      <sheetName val="LPNK"/>
      <sheetName val="S Balik WP"/>
      <sheetName val="KKP"/>
      <sheetName val="S KPP"/>
      <sheetName val="S WP"/>
      <sheetName val="SPUH"/>
      <sheetName val="Lamp SPUH"/>
      <sheetName val="26 A"/>
      <sheetName val="SK"/>
      <sheetName val="FP"/>
      <sheetName val="SPT"/>
      <sheetName val="Tunggakan"/>
      <sheetName val="no SK"/>
      <sheetName val="Sheet3"/>
      <sheetName val="CIVIC 1.6L(7__MA__)___"/>
      <sheetName val="CIVIC_1_6L(7__MA__)___"/>
      <sheetName val="Purchase_Order_(2)6"/>
      <sheetName val="Customize_Your_Purchase_Order6"/>
      <sheetName val="CIVIC_1_6L(7ｶ国MA輸出)ｺｽﾄ6"/>
      <sheetName val="Purchase_Order_(2)1"/>
      <sheetName val="Customize_Your_Purchase_Order1"/>
      <sheetName val="CIVIC_1_6L(7ｶ国MA輸出)ｺｽﾄ1"/>
      <sheetName val="Purchase_Order_(2)3"/>
      <sheetName val="Customize_Your_Purchase_Order3"/>
      <sheetName val="CIVIC_1_6L(7ｶ国MA輸出)ｺｽﾄ3"/>
      <sheetName val="Purchase_Order_(2)2"/>
      <sheetName val="Customize_Your_Purchase_Order2"/>
      <sheetName val="CIVIC_1_6L(7ｶ国MA輸出)ｺｽﾄ2"/>
      <sheetName val="Purchase_Order_(2)4"/>
      <sheetName val="Customize_Your_Purchase_Order4"/>
      <sheetName val="CIVIC_1_6L(7ｶ国MA輸出)ｺｽﾄ4"/>
      <sheetName val="Purchase_Order_(2)5"/>
      <sheetName val="Customize_Your_Purchase_Order5"/>
      <sheetName val="CIVIC_1_6L(7ｶ国MA輸出)ｺｽﾄ5"/>
      <sheetName val="Purchase_Order_(2)9"/>
      <sheetName val="Customize_Your_Purchase_Order9"/>
      <sheetName val="CIVIC_1_6L(7ｶ国MA輸出)ｺｽﾄ9"/>
      <sheetName val="Purchase_Order_(2)7"/>
      <sheetName val="Customize_Your_Purchase_Order7"/>
      <sheetName val="CIVIC_1_6L(7ｶ国MA輸出)ｺｽﾄ7"/>
      <sheetName val="Purchase_Order_(2)8"/>
      <sheetName val="Customize_Your_Purchase_Order8"/>
      <sheetName val="CIVIC_1_6L(7ｶ国MA輸出)ｺｽﾄ8"/>
      <sheetName val="CIVIC 1.6L(7??MA??)???"/>
      <sheetName val="CIVIC_1_6L(7??MA??)???"/>
      <sheetName val="Purchase_Order_(2)12"/>
      <sheetName val="Customize_Your_Purchase_Order12"/>
      <sheetName val="CIVIC_1_6L(7ｶ国MA輸出)ｺｽﾄ12"/>
      <sheetName val="Purchase_Order_(2)11"/>
      <sheetName val="Customize_Your_Purchase_Order11"/>
      <sheetName val="CIVIC_1_6L(7ｶ国MA輸出)ｺｽﾄ11"/>
      <sheetName val="Purchase_Order_(2)10"/>
      <sheetName val="Customize_Your_Purchase_Order10"/>
      <sheetName val="CIVIC_1_6L(7ｶ国MA輸出)ｺｽﾄ10"/>
      <sheetName val="Chart2"/>
      <sheetName val="home"/>
      <sheetName val="Lokasi"/>
      <sheetName val="pemegang saham"/>
      <sheetName val="gambaran"/>
      <sheetName val="output"/>
      <sheetName val="proses produksi"/>
      <sheetName val="pemasok"/>
      <sheetName val="HubIstimewa"/>
      <sheetName val="tenaga kerja"/>
      <sheetName val="prospektus"/>
      <sheetName val="ketetapan"/>
      <sheetName val="Restitusi"/>
      <sheetName val="Kewajiban"/>
      <sheetName val="Pemeriksaan"/>
      <sheetName val="keberatan"/>
      <sheetName val="suplier"/>
      <sheetName val="PGroup"/>
      <sheetName val="Daftar Pemotong"/>
      <sheetName val="Analisa ROA dll (2)"/>
      <sheetName val="potensial"/>
      <sheetName val="Neraca"/>
      <sheetName val="Laporan Laba rugi"/>
      <sheetName val="Financial Analysis2 (2)"/>
      <sheetName val="Financial Analysis1"/>
      <sheetName val="PPH GB"/>
      <sheetName val="CIVIC_1_6L(7??MA??)???1"/>
      <sheetName val="A p r"/>
      <sheetName val="00 received in 01"/>
      <sheetName val="F e b"/>
      <sheetName val="Per GL J a n"/>
      <sheetName val="J u l"/>
      <sheetName val="Purchase_Order_(2)13"/>
      <sheetName val="Customize_Your_Purchase_Order13"/>
      <sheetName val="CIVIC_1_6L(7ｶ国MA輸出)ｺｽﾄ13"/>
      <sheetName val="CIVIC_1_6L(7??MA??)???3"/>
      <sheetName val="CIVIC_1_6L(7??MA??)???2"/>
      <sheetName val="CIVIC_1_6L(7__MA__)___1"/>
      <sheetName val="Data WP"/>
      <sheetName val="2 matrik"/>
      <sheetName val="A.4.3"/>
      <sheetName val="Guide"/>
      <sheetName val="RENCdanREAL"/>
      <sheetName val="Penerimaan"/>
      <sheetName val="Rekap"/>
      <sheetName val="Per Jenis Pajak"/>
      <sheetName val="Jan"/>
      <sheetName val="Peb"/>
      <sheetName val="Mar"/>
      <sheetName val="Apr"/>
      <sheetName val="Mei"/>
      <sheetName val="Jun"/>
      <sheetName val="Agu"/>
      <sheetName val="Sep"/>
      <sheetName val="Okt"/>
      <sheetName val="Nov"/>
      <sheetName val="Des"/>
      <sheetName val="ASSUM-COMB-Prop"/>
      <sheetName val="A1-B ASSET"/>
      <sheetName val="Per_Jenis_Pajak"/>
      <sheetName val="C.1 CASH"/>
      <sheetName val="IBSSEC"/>
      <sheetName val="Per_Jenis_Pajak1"/>
      <sheetName val="A1-B_ASSET"/>
      <sheetName val="TB"/>
      <sheetName val="Spacenet Inc"/>
      <sheetName val="France"/>
      <sheetName val="Worksheet-03"/>
      <sheetName val="Per_Jenis_Pajak7"/>
      <sheetName val="A1-B_ASSET6"/>
      <sheetName val="C_1_CASH5"/>
      <sheetName val="Spacenet_Inc5"/>
      <sheetName val="Per_Jenis_Pajak2"/>
      <sheetName val="A1-B_ASSET1"/>
      <sheetName val="C_1_CASH"/>
      <sheetName val="Spacenet_Inc"/>
      <sheetName val="Per_Jenis_Pajak4"/>
      <sheetName val="A1-B_ASSET3"/>
      <sheetName val="C_1_CASH2"/>
      <sheetName val="Spacenet_Inc2"/>
      <sheetName val="Per_Jenis_Pajak3"/>
      <sheetName val="A1-B_ASSET2"/>
      <sheetName val="C_1_CASH1"/>
      <sheetName val="Spacenet_Inc1"/>
      <sheetName val="Per_Jenis_Pajak5"/>
      <sheetName val="A1-B_ASSET4"/>
      <sheetName val="C_1_CASH3"/>
      <sheetName val="Spacenet_Inc3"/>
      <sheetName val="Per_Jenis_Pajak6"/>
      <sheetName val="A1-B_ASSET5"/>
      <sheetName val="C_1_CASH4"/>
      <sheetName val="Spacenet_Inc4"/>
      <sheetName val="Per_Jenis_Pajak10"/>
      <sheetName val="A1-B_ASSET9"/>
      <sheetName val="C_1_CASH8"/>
      <sheetName val="Spacenet_Inc8"/>
      <sheetName val="Per_Jenis_Pajak8"/>
      <sheetName val="A1-B_ASSET7"/>
      <sheetName val="C_1_CASH6"/>
      <sheetName val="Spacenet_Inc6"/>
      <sheetName val="Per_Jenis_Pajak9"/>
      <sheetName val="A1-B_ASSET8"/>
      <sheetName val="C_1_CASH7"/>
      <sheetName val="Spacenet_Inc7"/>
      <sheetName val="Per_Jenis_Pajak13"/>
      <sheetName val="A1-B_ASSET12"/>
      <sheetName val="C_1_CASH11"/>
      <sheetName val="Spacenet_Inc11"/>
      <sheetName val="Per_Jenis_Pajak12"/>
      <sheetName val="A1-B_ASSET11"/>
      <sheetName val="C_1_CASH10"/>
      <sheetName val="Spacenet_Inc10"/>
      <sheetName val="Per_Jenis_Pajak11"/>
      <sheetName val="A1-B_ASSET10"/>
      <sheetName val="C_1_CASH9"/>
      <sheetName val="Spacenet_Inc9"/>
      <sheetName val="Per_Jenis_Pajak14"/>
      <sheetName val="A1-B_ASSET13"/>
      <sheetName val="C_1_CASH12"/>
      <sheetName val="Spacenet_Inc12"/>
      <sheetName val="p.mgmt"/>
      <sheetName val="Client AJE"/>
      <sheetName val="????"/>
      <sheetName val="Listing"/>
      <sheetName val="CIVIC_1_6L(7__MA__)___3"/>
      <sheetName val="CIVIC_1_6L(7__MA__)___2"/>
      <sheetName val="Book Depn_RTGC"/>
      <sheetName val="bs"/>
      <sheetName val="Calculation"/>
      <sheetName val="Gia_GC_Satthep"/>
      <sheetName val="jvr"/>
      <sheetName val="Account Code"/>
      <sheetName val="2_16"/>
      <sheetName val="7_116"/>
      <sheetName val="Sheet2_(2)16"/>
      <sheetName val="Schedule_OK_Status14"/>
      <sheetName val="Master_KKP_Global_414"/>
      <sheetName val="____"/>
      <sheetName val="2934"/>
      <sheetName val="X_rate1"/>
      <sheetName val="Data_Update1"/>
      <sheetName val="1_GasAcct"/>
      <sheetName val="2_17"/>
      <sheetName val="7_117"/>
      <sheetName val="Sheet2_(2)17"/>
      <sheetName val="Schedule_OK_Status15"/>
      <sheetName val="Master_KKP_Global_415"/>
      <sheetName val="X_rate2"/>
      <sheetName val="Data_Update2"/>
      <sheetName val="1_GasAcct1"/>
      <sheetName val="2_18"/>
      <sheetName val="7_118"/>
      <sheetName val="Sheet2_(2)18"/>
      <sheetName val="Schedule_OK_Status16"/>
      <sheetName val="Master_KKP_Global_416"/>
      <sheetName val="X_rate3"/>
      <sheetName val="Data_Update3"/>
      <sheetName val="1_GasAcct2"/>
      <sheetName val="2_19"/>
      <sheetName val="7_119"/>
      <sheetName val="Sheet2_(2)19"/>
      <sheetName val="Schedule_OK_Status17"/>
      <sheetName val="Master_KKP_Global_417"/>
      <sheetName val="X_rate4"/>
      <sheetName val="Data_Update4"/>
      <sheetName val="1_GasAcct3"/>
      <sheetName val="2_23"/>
      <sheetName val="7_123"/>
      <sheetName val="Sheet2_(2)23"/>
      <sheetName val="Schedule_OK_Status21"/>
      <sheetName val="Master_KKP_Global_421"/>
      <sheetName val="X_rate8"/>
      <sheetName val="Data_Update8"/>
      <sheetName val="1_GasAcct7"/>
      <sheetName val="2_20"/>
      <sheetName val="7_120"/>
      <sheetName val="Sheet2_(2)20"/>
      <sheetName val="Schedule_OK_Status18"/>
      <sheetName val="Master_KKP_Global_418"/>
      <sheetName val="X_rate5"/>
      <sheetName val="Data_Update5"/>
      <sheetName val="1_GasAcct4"/>
      <sheetName val="2_21"/>
      <sheetName val="7_121"/>
      <sheetName val="Sheet2_(2)21"/>
      <sheetName val="Schedule_OK_Status19"/>
      <sheetName val="Master_KKP_Global_419"/>
      <sheetName val="X_rate6"/>
      <sheetName val="Data_Update6"/>
      <sheetName val="1_GasAcct5"/>
      <sheetName val="2_22"/>
      <sheetName val="7_122"/>
      <sheetName val="Sheet2_(2)22"/>
      <sheetName val="Schedule_OK_Status20"/>
      <sheetName val="Master_KKP_Global_420"/>
      <sheetName val="X_rate7"/>
      <sheetName val="Data_Update7"/>
      <sheetName val="1_GasAcct6"/>
      <sheetName val="2_24"/>
      <sheetName val="7_124"/>
      <sheetName val="Sheet2_(2)24"/>
      <sheetName val="Schedule_OK_Status22"/>
      <sheetName val="Master_KKP_Global_422"/>
      <sheetName val="X_rate9"/>
      <sheetName val="Data_Update9"/>
      <sheetName val="1_GasAcct8"/>
      <sheetName val="2_25"/>
      <sheetName val="7_125"/>
      <sheetName val="Sheet2_(2)25"/>
      <sheetName val="Schedule_OK_Status23"/>
      <sheetName val="Master_KKP_Global_423"/>
      <sheetName val="X_rate10"/>
      <sheetName val="Data_Update10"/>
      <sheetName val="1_GasAcct9"/>
      <sheetName val="Ref"/>
      <sheetName val="detail"/>
      <sheetName val="Ex_Rate"/>
      <sheetName val="NAMA DEPT"/>
      <sheetName val="co_data"/>
      <sheetName val="NAMA_DEPT"/>
      <sheetName val="Account_Code"/>
      <sheetName val="Customize_Your_Invoice"/>
      <sheetName val="DEPK2003"/>
      <sheetName val="Family"/>
      <sheetName val="Reference"/>
      <sheetName val="TRBP"/>
      <sheetName val="Tariptund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5"/>
      <sheetName val="Ideal"/>
      <sheetName val="AutoOpen_Stub_Data"/>
      <sheetName val="Customize_Your_Invoice"/>
      <sheetName val="Intl_Data_Table"/>
      <sheetName val="AutoOpen_Stub_Data1"/>
      <sheetName val="Customize_Your_Invoice1"/>
      <sheetName val="Intl_Data_Table1"/>
      <sheetName val="SPI"/>
      <sheetName val="2930"/>
      <sheetName val="2933"/>
      <sheetName val="2934"/>
      <sheetName val="412src2"/>
      <sheetName val="GiaVL"/>
      <sheetName val="A"/>
      <sheetName val="JAN"/>
      <sheetName val="AutoOpen_Stub_Data7"/>
      <sheetName val="Customize_Your_Invoice7"/>
      <sheetName val="Intl_Data_Table7"/>
      <sheetName val="AutoOpen_Stub_Data2"/>
      <sheetName val="Customize_Your_Invoice2"/>
      <sheetName val="Intl_Data_Table2"/>
      <sheetName val="AutoOpen_Stub_Data4"/>
      <sheetName val="Customize_Your_Invoice4"/>
      <sheetName val="Intl_Data_Table4"/>
      <sheetName val="AutoOpen_Stub_Data3"/>
      <sheetName val="Customize_Your_Invoice3"/>
      <sheetName val="Intl_Data_Table3"/>
      <sheetName val="AutoOpen_Stub_Data5"/>
      <sheetName val="Customize_Your_Invoice5"/>
      <sheetName val="Intl_Data_Table5"/>
      <sheetName val="AutoOpen_Stub_Data6"/>
      <sheetName val="Customize_Your_Invoice6"/>
      <sheetName val="Intl_Data_Table6"/>
      <sheetName val="AutoOpen_Stub_Data10"/>
      <sheetName val="Customize_Your_Invoice10"/>
      <sheetName val="Intl_Data_Table10"/>
      <sheetName val="AutoOpen_Stub_Data8"/>
      <sheetName val="Customize_Your_Invoice8"/>
      <sheetName val="Intl_Data_Table8"/>
      <sheetName val="AutoOpen_Stub_Data9"/>
      <sheetName val="Customize_Your_Invoice9"/>
      <sheetName val="Intl_Data_Table9"/>
      <sheetName val="2002"/>
      <sheetName val="AutoOpen_Stub_Data13"/>
      <sheetName val="Customize_Your_Invoice13"/>
      <sheetName val="Intl_Data_Table13"/>
      <sheetName val="AutoOpen_Stub_Data12"/>
      <sheetName val="Customize_Your_Invoice12"/>
      <sheetName val="Intl_Data_Table12"/>
      <sheetName val="AutoOpen_Stub_Data11"/>
      <sheetName val="Customize_Your_Invoice11"/>
      <sheetName val="Intl_Data_Table11"/>
      <sheetName val="AutoOpen_Stub_Data14"/>
      <sheetName val="Customize_Your_Invoice14"/>
      <sheetName val="Intl_Data_Table14"/>
      <sheetName val="SELISIHKURSSOURCE"/>
      <sheetName val="Order"/>
      <sheetName val="Schedule"/>
      <sheetName val="Schedule OK Status"/>
      <sheetName val="Stamping Process"/>
      <sheetName val="Purchase Order (2)"/>
      <sheetName val="Customize Your Purchase Order"/>
      <sheetName val="Projects"/>
      <sheetName val="LABARUGI"/>
      <sheetName val="NERACA"/>
      <sheetName val="KOR"/>
      <sheetName val="Exch.rate"/>
      <sheetName val="412"/>
      <sheetName val="AutoOpen_Stub_Data15"/>
      <sheetName val="Customize_Your_Invoice15"/>
      <sheetName val="Intl_Data_Table15"/>
      <sheetName val="Schedule_OK_Status"/>
      <sheetName val="Stamping_Process"/>
      <sheetName val="Purchase_Order_(2)"/>
      <sheetName val="Customize_Your_Purchase_Order"/>
      <sheetName val="GeneralInfo"/>
      <sheetName val="Marshal"/>
      <sheetName val="計算結果"/>
      <sheetName val="Faktor"/>
      <sheetName val="GFM"/>
      <sheetName val="PL"/>
      <sheetName val="DATA"/>
      <sheetName val="Daftar"/>
      <sheetName val="Assump"/>
      <sheetName val="SCH12"/>
      <sheetName val="adj"/>
      <sheetName val="Job Families"/>
      <sheetName val="FX Table"/>
      <sheetName val="INVOICE1"/>
      <sheetName val="JUL"/>
      <sheetName val="Permanent info"/>
      <sheetName val="REV_1702"/>
      <sheetName val="HARVEST02"/>
      <sheetName val="PDCC"/>
      <sheetName val="SPI GMBH"/>
      <sheetName val="UK"/>
      <sheetName val="SSI"/>
      <sheetName val="Syntegra"/>
      <sheetName val="COGS"/>
      <sheetName val="Permanent_info5"/>
      <sheetName val="SPI_GMBH5"/>
      <sheetName val="Permanent_info"/>
      <sheetName val="SPI_GMBH"/>
      <sheetName val="Permanent_info2"/>
      <sheetName val="SPI_GMBH2"/>
      <sheetName val="Permanent_info1"/>
      <sheetName val="SPI_GMBH1"/>
      <sheetName val="Permanent_info3"/>
      <sheetName val="SPI_GMBH3"/>
      <sheetName val="Permanent_info4"/>
      <sheetName val="SPI_GMBH4"/>
      <sheetName val="Permanent_info8"/>
      <sheetName val="SPI_GMBH8"/>
      <sheetName val="Permanent_info6"/>
      <sheetName val="SPI_GMBH6"/>
      <sheetName val="Permanent_info7"/>
      <sheetName val="SPI_GMBH7"/>
      <sheetName val="CMA Calculations- Figure 5440.1"/>
      <sheetName val="Permanent_info11"/>
      <sheetName val="SPI_GMBH11"/>
      <sheetName val="Permanent_info10"/>
      <sheetName val="SPI_GMBH10"/>
      <sheetName val="Permanent_info9"/>
      <sheetName val="SPI_GMBH9"/>
      <sheetName val="DATA WP"/>
      <sheetName val="NET ASSETS"/>
      <sheetName val="Permanent_info12"/>
      <sheetName val="SPI_GMBH12"/>
      <sheetName val="Marshal -1"/>
      <sheetName val="LOOKUP"/>
      <sheetName val="Assumption"/>
      <sheetName val="Marshal_-1"/>
      <sheetName val="NC"/>
      <sheetName val="FE-1770-I"/>
      <sheetName val="FE-1770.P1"/>
      <sheetName val="FE-1770-II"/>
      <sheetName val="Balance Sheet"/>
      <sheetName val="Income Statement"/>
      <sheetName val="EPS"/>
      <sheetName val="Marshal_-16"/>
      <sheetName val="Customize_Your_Purchase_Order5"/>
      <sheetName val="FE-1770_P15"/>
      <sheetName val="Balance_Sheet5"/>
      <sheetName val="Income_Statement5"/>
      <sheetName val="Marshal_-11"/>
      <sheetName val="FE-1770_P1"/>
      <sheetName val="Balance_Sheet"/>
      <sheetName val="Income_Statement"/>
      <sheetName val="Marshal_-13"/>
      <sheetName val="Customize_Your_Purchase_Order2"/>
      <sheetName val="FE-1770_P12"/>
      <sheetName val="Balance_Sheet2"/>
      <sheetName val="Income_Statement2"/>
      <sheetName val="Marshal_-12"/>
      <sheetName val="Customize_Your_Purchase_Order1"/>
      <sheetName val="FE-1770_P11"/>
      <sheetName val="Balance_Sheet1"/>
      <sheetName val="Income_Statement1"/>
      <sheetName val="Marshal_-14"/>
      <sheetName val="Customize_Your_Purchase_Order3"/>
      <sheetName val="FE-1770_P13"/>
      <sheetName val="Balance_Sheet3"/>
      <sheetName val="Income_Statement3"/>
      <sheetName val="Marshal_-15"/>
      <sheetName val="Customize_Your_Purchase_Order4"/>
      <sheetName val="FE-1770_P14"/>
      <sheetName val="Balance_Sheet4"/>
      <sheetName val="Income_Statement4"/>
      <sheetName val="Marshal_-19"/>
      <sheetName val="Customize_Your_Purchase_Order8"/>
      <sheetName val="FE-1770_P18"/>
      <sheetName val="Balance_Sheet8"/>
      <sheetName val="Income_Statement8"/>
      <sheetName val="Marshal_-17"/>
      <sheetName val="Customize_Your_Purchase_Order6"/>
      <sheetName val="FE-1770_P16"/>
      <sheetName val="Balance_Sheet6"/>
      <sheetName val="Income_Statement6"/>
      <sheetName val="Marshal_-18"/>
      <sheetName val="Customize_Your_Purchase_Order7"/>
      <sheetName val="FE-1770_P17"/>
      <sheetName val="Balance_Sheet7"/>
      <sheetName val="Income_Statement7"/>
      <sheetName val="Danamon LK"/>
      <sheetName val="Marshal_-112"/>
      <sheetName val="Customize_Your_Purchase_Order11"/>
      <sheetName val="FE-1770_P111"/>
      <sheetName val="Balance_Sheet11"/>
      <sheetName val="Income_Statement11"/>
      <sheetName val="Marshal_-111"/>
      <sheetName val="Customize_Your_Purchase_Order10"/>
      <sheetName val="FE-1770_P110"/>
      <sheetName val="Balance_Sheet10"/>
      <sheetName val="Income_Statement10"/>
      <sheetName val="Marshal_-110"/>
      <sheetName val="Customize_Your_Purchase_Order9"/>
      <sheetName val="FE-1770_P19"/>
      <sheetName val="Balance_Sheet9"/>
      <sheetName val="Income_Statement9"/>
      <sheetName val="Data Ben"/>
      <sheetName val="Data0308"/>
      <sheetName val="Marshal_-113"/>
      <sheetName val="Customize_Your_Purchase_Order12"/>
      <sheetName val="FE-1770_P112"/>
      <sheetName val="Balance_Sheet12"/>
      <sheetName val="Income_Statement12"/>
      <sheetName val="BBM-03"/>
      <sheetName val="      "/>
      <sheetName val="COVER"/>
      <sheetName val="CONTENT"/>
      <sheetName val="1- HIGHLIGHTS"/>
      <sheetName val="3-1  CO P&amp;L"/>
      <sheetName val="3-2 Var Report"/>
      <sheetName val="3-3 P&amp;L FORECAST BY QUARTER"/>
      <sheetName val="4 CO BS"/>
      <sheetName val="5 PARENT CASHFLOW"/>
      <sheetName val="6 SALES BY PRODUCT"/>
      <sheetName val="7 UNIT SALES"/>
      <sheetName val="8 AV SELL PRICE"/>
      <sheetName val="9 CO SG&amp;A"/>
      <sheetName val="10 HEADCOUNT"/>
      <sheetName val="11 HRM INDICATORS"/>
      <sheetName val="12 CAP EX"/>
      <sheetName val="13 CAPEX forecast"/>
      <sheetName val="14 cashflow forecast"/>
      <sheetName val="15 MPRC"/>
      <sheetName val="DG "/>
      <sheetName val="????"/>
      <sheetName val="Kode"/>
      <sheetName val="COA"/>
      <sheetName val="JURNAL"/>
      <sheetName val="S7-1"/>
      <sheetName val="____"/>
      <sheetName val="DKI"/>
      <sheetName val="Gia_GC_Satthep"/>
      <sheetName val="DbKtr"/>
      <sheetName val="Account Code"/>
      <sheetName val="recl JV437"/>
      <sheetName val="AutoOpen_Stub_Data16"/>
      <sheetName val="Customize_Your_Invoice16"/>
      <sheetName val="Intl_Data_Table16"/>
      <sheetName val="Master File (2)"/>
      <sheetName val="Schedule_OK_Status1"/>
      <sheetName val="Stamping_Process1"/>
      <sheetName val="Purchase_Order_(2)1"/>
      <sheetName val="Exch_rate"/>
      <sheetName val="AutoOpen_Stub_Data17"/>
      <sheetName val="Customize_Your_Invoice17"/>
      <sheetName val="Intl_Data_Table17"/>
      <sheetName val="Schedule_OK_Status2"/>
      <sheetName val="Stamping_Process2"/>
      <sheetName val="Purchase_Order_(2)2"/>
      <sheetName val="Exch_rate1"/>
      <sheetName val="AutoOpen_Stub_Data18"/>
      <sheetName val="Customize_Your_Invoice18"/>
      <sheetName val="Intl_Data_Table18"/>
      <sheetName val="Schedule_OK_Status3"/>
      <sheetName val="Stamping_Process3"/>
      <sheetName val="Purchase_Order_(2)3"/>
      <sheetName val="Exch_rate2"/>
      <sheetName val="AutoOpen_Stub_Data19"/>
      <sheetName val="Customize_Your_Invoice19"/>
      <sheetName val="Intl_Data_Table19"/>
      <sheetName val="Schedule_OK_Status4"/>
      <sheetName val="Stamping_Process4"/>
      <sheetName val="Purchase_Order_(2)4"/>
      <sheetName val="Exch_rate3"/>
      <sheetName val="AutoOpen_Stub_Data23"/>
      <sheetName val="Customize_Your_Invoice23"/>
      <sheetName val="Intl_Data_Table23"/>
      <sheetName val="Schedule_OK_Status8"/>
      <sheetName val="Stamping_Process8"/>
      <sheetName val="Purchase_Order_(2)8"/>
      <sheetName val="Exch_rate7"/>
      <sheetName val="AutoOpen_Stub_Data20"/>
      <sheetName val="Customize_Your_Invoice20"/>
      <sheetName val="Intl_Data_Table20"/>
      <sheetName val="Schedule_OK_Status5"/>
      <sheetName val="Stamping_Process5"/>
      <sheetName val="Purchase_Order_(2)5"/>
      <sheetName val="Exch_rate4"/>
      <sheetName val="AutoOpen_Stub_Data21"/>
      <sheetName val="Customize_Your_Invoice21"/>
      <sheetName val="Intl_Data_Table21"/>
      <sheetName val="Schedule_OK_Status6"/>
      <sheetName val="Stamping_Process6"/>
      <sheetName val="Purchase_Order_(2)6"/>
      <sheetName val="Exch_rate5"/>
      <sheetName val="AutoOpen_Stub_Data22"/>
      <sheetName val="Customize_Your_Invoice22"/>
      <sheetName val="Intl_Data_Table22"/>
      <sheetName val="Schedule_OK_Status7"/>
      <sheetName val="Stamping_Process7"/>
      <sheetName val="Purchase_Order_(2)7"/>
      <sheetName val="Exch_rate6"/>
      <sheetName val="AutoOpen_Stub_Data24"/>
      <sheetName val="Customize_Your_Invoice24"/>
      <sheetName val="Intl_Data_Table24"/>
      <sheetName val="Schedule_OK_Status9"/>
      <sheetName val="Stamping_Process9"/>
      <sheetName val="Purchase_Order_(2)9"/>
      <sheetName val="Exch_rate8"/>
      <sheetName val="AutoOpen_Stub_Data25"/>
      <sheetName val="Customize_Your_Invoice25"/>
      <sheetName val="Intl_Data_Table25"/>
      <sheetName val="Schedule_OK_Status10"/>
      <sheetName val="Stamping_Process10"/>
      <sheetName val="Purchase_Order_(2)10"/>
      <sheetName val="Exch_rate9"/>
      <sheetName val="Links"/>
      <sheetName val="QSS"/>
      <sheetName val="Des'07"/>
      <sheetName val="p.mgmt"/>
      <sheetName val="C.1 CASH"/>
      <sheetName val="sept2006"/>
      <sheetName val="detail"/>
      <sheetName val="print out"/>
      <sheetName val="Table"/>
      <sheetName val="BS-PL Komersil and Fiskal"/>
      <sheetName val="RATE"/>
      <sheetName val="CODE"/>
      <sheetName val="BS-PL_Komersil_and_Fiskal"/>
      <sheetName val="FuelIDNumber"/>
      <sheetName val="UnitFuelConsumed"/>
      <sheetName val="UnitFuelType"/>
      <sheetName val="List_Control"/>
      <sheetName val="Ex_Rate"/>
      <sheetName val="TEMPLATE"/>
      <sheetName val="bs"/>
      <sheetName val="SALDO NEW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ors"/>
      <sheetName val="Inspection"/>
    </sheetNames>
    <sheetDataSet>
      <sheetData sheetId="0"/>
      <sheetData sheetId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AN PERIODE"/>
      <sheetName val="COVER DRAFT "/>
      <sheetName val="DI"/>
      <sheetName val="COVER"/>
      <sheetName val="A_RATIO_1_"/>
      <sheetName val="NERACA_2_"/>
      <sheetName val="RL_3_"/>
      <sheetName val="ARUSKAS bulanan_4_"/>
      <sheetName val="ARUSKAS12BLN_5_"/>
      <sheetName val="PENJ_NRC_6_7_"/>
      <sheetName val="Pers Bahan Penunjang_8_"/>
      <sheetName val="AKT_TETAP_9_"/>
      <sheetName val="Lamp_UM Kernel_10_"/>
      <sheetName val="DP SUPPLIER_11_"/>
      <sheetName val="Lamp_ Hut_ Dagang kernel_12_"/>
      <sheetName val="Lamp_ Hut Suplier_13_14_"/>
      <sheetName val="Laporan Laba Rugi_15_"/>
      <sheetName val="TB BIAYA2 LINK KE LAP LABA RUGI"/>
      <sheetName val="LAP PENJ REVISI_16_"/>
      <sheetName val="Rincian HPP_17_"/>
      <sheetName val="HPP_18_"/>
      <sheetName val="TB BPL _ BPTL LINK KE RINCI HPP"/>
      <sheetName val="HPPENJ_19_"/>
      <sheetName val="STOCK_20_"/>
      <sheetName val="MP HPP"/>
      <sheetName val="TB DES_05"/>
      <sheetName val="Kartu Piutang"/>
      <sheetName val="Koreksi Biaya Asuransi"/>
      <sheetName val="INSURANCE"/>
      <sheetName val="FA DES_05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AN PERIODE"/>
      <sheetName val="COVER DRAFT "/>
      <sheetName val="COVER"/>
      <sheetName val="DI"/>
      <sheetName val="A.RATIO(1)"/>
      <sheetName val="NERACA(TAHUNAN 2)"/>
      <sheetName val="NERACA(2)"/>
      <sheetName val="RL(Tahunan 3)"/>
      <sheetName val="RL(3)"/>
      <sheetName val="ARUSKAS bulanan(4)"/>
      <sheetName val="ARUSKAS12BLN(5)"/>
      <sheetName val="PENJ.NRC(6-8)"/>
      <sheetName val="Pers Bahan Penunjang(9)"/>
      <sheetName val="AKT-TETAP(10)"/>
      <sheetName val="Lamp.UM Kernel(11)"/>
      <sheetName val="DP SUPPLIER(12)"/>
      <sheetName val="Lamp. Hut. Dagang kernel(13-14)"/>
      <sheetName val="Lamp. Hut Suplier(15-16)"/>
      <sheetName val="Laporan Laba Rugi(17)"/>
      <sheetName val="LAP PENJ REVISI(18)"/>
      <sheetName val="Rincian HPP(19)"/>
      <sheetName val="HPP(20)"/>
      <sheetName val="HPPENJ(21)"/>
      <sheetName val="STOCK(22)"/>
      <sheetName val="KARTU PIUTANG "/>
      <sheetName val="Sheet8"/>
      <sheetName val=" Lap DP Suplier"/>
      <sheetName val="ongkos angkut accrue revisi"/>
      <sheetName val="ACCRUE ONGKOS ANGKUT PKO &amp; PKE"/>
      <sheetName val="TB BIAYA2 LINK KE LAP LABA RUGI"/>
      <sheetName val="Sheet4"/>
      <sheetName val="TB BPL &amp; BPTL LINK KE RINCI HPP"/>
      <sheetName val="REKON PPN KELUARAN"/>
      <sheetName val="MP HPP"/>
      <sheetName val="HPP KOMPARATIF"/>
      <sheetName val="rekap piutang"/>
      <sheetName val="INSURANCE"/>
      <sheetName val="PERTAMINA"/>
      <sheetName val="MP REV PENJ INV 069"/>
      <sheetName val="Sheet1"/>
      <sheetName val="HPP_2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RAFT "/>
      <sheetName val="BULAN PERIODE"/>
      <sheetName val="COVER"/>
      <sheetName val="DI"/>
      <sheetName val="A.RATIO(1)"/>
      <sheetName val="NERACA(2)"/>
      <sheetName val="RL(3)"/>
      <sheetName val="ARUSKAS bulanan(4)"/>
      <sheetName val="ARUSKAS12BLN(5)"/>
      <sheetName val="PENJ.NRC(6-7)"/>
      <sheetName val="Pers Bahan Penunjang(8)"/>
      <sheetName val="AKT-TETAP(9)"/>
      <sheetName val="Lamp.UM Kernel(10)"/>
      <sheetName val="DP SUPPLIER(11)"/>
      <sheetName val="Lamp. Hut. Dagang kernel(12-13)"/>
      <sheetName val="Lamp. Hut Suplier(14-15)"/>
      <sheetName val="LAP PENJ REVISI(17)"/>
      <sheetName val="Rincian HPP(18)"/>
      <sheetName val="Laporan Laba Rugi(16)"/>
      <sheetName val="HPP(19)"/>
      <sheetName val="HPPENJ(20)"/>
      <sheetName val="STOCK(21)"/>
      <sheetName val="MP HPP"/>
      <sheetName val="KARTU PIUTANG "/>
      <sheetName val="Hutang Supplier Dll"/>
      <sheetName val="TBPEB05"/>
      <sheetName val="TB BIAYA2 LINK KE LAP LABA RUGI"/>
      <sheetName val="TB BPL &amp; BPTL LINK KE RINCI HPP"/>
      <sheetName val="Afiliasi"/>
      <sheetName val="INSURANCE"/>
      <sheetName val="ACCRUE ONGKOS ANGKUT PKO &amp; PKE"/>
      <sheetName val="FA Mar 05"/>
      <sheetName val="PEMBATAS"/>
      <sheetName val="DATA AP"/>
      <sheetName val="NERACA(TAHUNAN 2)"/>
      <sheetName val="RL(Tahunan 3)"/>
      <sheetName val="Sheet8"/>
      <sheetName val="HPP KOMPARATIF"/>
      <sheetName val="REKON PPN KELUARAN"/>
      <sheetName val="PERTAMINA"/>
      <sheetName val="MP REV PENJ INV 069"/>
      <sheetName val="PERSEDIAAN BAHAN PENUNJANG"/>
      <sheetName val="HPP_19_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Total"/>
      <sheetName val="harga"/>
    </sheetNames>
    <sheetDataSet>
      <sheetData sheetId="0"/>
      <sheetData sheetId="1"/>
      <sheetData sheetId="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Pack"/>
      <sheetName val="Lainnya"/>
      <sheetName val="Roaster"/>
      <sheetName val="F.Drying"/>
      <sheetName val="Molen"/>
      <sheetName val="hitung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PaySlip IDR"/>
      <sheetName val="PaySlip USD"/>
      <sheetName val="Calc"/>
      <sheetName val="pph Gaji+thr"/>
      <sheetName val="JamsostekNov07"/>
      <sheetName val="DriverOT"/>
      <sheetName val="Driver THP History"/>
      <sheetName val="Recap"/>
      <sheetName val="Sheet1"/>
      <sheetName val="cov"/>
      <sheetName val="adj"/>
      <sheetName val="071107Payroll0711"/>
      <sheetName val="Links"/>
      <sheetName val="Email Instructions"/>
      <sheetName val="bs"/>
      <sheetName val="E-9.3(PBC)"/>
      <sheetName val="Info BalanceSheet"/>
      <sheetName val="G.1-A FIXED ASSETS"/>
      <sheetName val="TBM"/>
      <sheetName val="SEP"/>
      <sheetName val="InfoBS"/>
      <sheetName val="COGM &amp; PL"/>
      <sheetName val="Invoice"/>
      <sheetName val="Customize Your Invoic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s-PaySlip IDR"/>
      <sheetName val="Office-PaySlip IDR"/>
      <sheetName val="LO-PaySlip IDR"/>
      <sheetName val="PaySlip USD"/>
      <sheetName val="Calc"/>
      <sheetName val="Monthly Recap"/>
      <sheetName val="Monthly RecapLO"/>
      <sheetName val="Table"/>
      <sheetName val="JamsostekSep08"/>
      <sheetName val="Rapel"/>
      <sheetName val="CPIS"/>
      <sheetName val="WP-Panu'02"/>
      <sheetName val="MK(7ｶ国+5,7,12万台)"/>
      <sheetName val="E-9.3(PBC)"/>
      <sheetName val="@General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98"/>
      <sheetName val="Daftar"/>
      <sheetName val="K.6DEPOSIT"/>
      <sheetName val="K_6DEPOSIT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Schedule"/>
      <sheetName val="DailyAttendance"/>
      <sheetName val="DailyOvertime"/>
      <sheetName val="Monthly RecapLO"/>
      <sheetName val="SPL"/>
      <sheetName val="Mo.Recap By Empl."/>
      <sheetName val="Table"/>
      <sheetName val="Employee"/>
      <sheetName val="Sheet1"/>
      <sheetName val="Sheet2"/>
      <sheetName val="Monthly Recap"/>
      <sheetName val="LOOKUP"/>
      <sheetName val="AJE&amp;RJE"/>
      <sheetName val="OpRev"/>
      <sheetName val="Taxation"/>
      <sheetName val="FinAsmp"/>
      <sheetName val="Price"/>
      <sheetName val="GenAsmp"/>
      <sheetName val="CpEx"/>
      <sheetName val="412src2"/>
      <sheetName val="GeneralInfo"/>
      <sheetName val="P&amp;L98"/>
      <sheetName val="EXC-R2004"/>
      <sheetName val="Marshal"/>
      <sheetName val="JAMSOSTEK2004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S $"/>
      <sheetName val="KAS RP"/>
      <sheetName val="RAK"/>
      <sheetName val="ANL2"/>
      <sheetName val="ELIM LBU1"/>
      <sheetName val="NERLKP"/>
      <sheetName val="pnllkp"/>
      <sheetName val="PNLLBUALL"/>
      <sheetName val="PNL1 A"/>
      <sheetName val="PNL2 A"/>
      <sheetName val="RRA"/>
      <sheetName val="LIK"/>
      <sheetName val="RRP&amp;K2L"/>
      <sheetName val="KAS _"/>
      <sheetName val="As"/>
      <sheetName val="Irregular Income"/>
      <sheetName val="FE-1770.P1"/>
      <sheetName val="status"/>
      <sheetName val="P&amp;L98"/>
      <sheetName val="Permanent info"/>
      <sheetName val="Sheet8"/>
      <sheetName val="AUG02"/>
      <sheetName val="BANK"/>
      <sheetName val="Forecast"/>
      <sheetName val="Tax Computation"/>
      <sheetName val="REPORT180501"/>
      <sheetName val="Amortization Table"/>
      <sheetName val="Tax Rate"/>
      <sheetName val="BP1_23"/>
      <sheetName val="PPH1298S"/>
      <sheetName val="FKT_PJK"/>
      <sheetName val="T.material"/>
      <sheetName val="Ex-Rate"/>
      <sheetName val="@GeneralInfo"/>
      <sheetName val="GeneralInfo"/>
      <sheetName val="RPO"/>
      <sheetName val="Scenario&amp;Sensitivity"/>
      <sheetName val="Mine Assumptions"/>
      <sheetName val="Cover-01"/>
      <sheetName val="LPP-1"/>
      <sheetName val="E-2 Capital AFE - Carryover"/>
      <sheetName val="SUMMARY"/>
      <sheetName val="Casing"/>
      <sheetName val="Rp Banten"/>
      <sheetName val="DATA HRG"/>
      <sheetName val="CODE"/>
      <sheetName val="Sheet1"/>
      <sheetName val="Data Jual"/>
      <sheetName val="Marshal"/>
      <sheetName val="TRF-JKT"/>
      <sheetName val="tanah (2)"/>
      <sheetName val="NAP"/>
      <sheetName val="Sheet2"/>
      <sheetName val="Tax"/>
      <sheetName val="LAAS"/>
      <sheetName val="bs"/>
      <sheetName val="co_data"/>
      <sheetName val="Consolidated"/>
      <sheetName val="MasterSheet"/>
      <sheetName val="Jabar"/>
      <sheetName val="Jateng"/>
      <sheetName val="Jatim"/>
      <sheetName val="Pusat"/>
      <sheetName val="Sulawesi"/>
      <sheetName val="Sumbagsel"/>
      <sheetName val="CFWork"/>
      <sheetName val="Asumsi"/>
      <sheetName val="KM12"/>
      <sheetName val="Jual Mtr 12"/>
      <sheetName val="Indr"/>
      <sheetName val="Agst"/>
      <sheetName val="ID MENADO"/>
      <sheetName val="hitung"/>
      <sheetName val="KODE"/>
      <sheetName val="LOOKUP"/>
      <sheetName val="DWP"/>
      <sheetName val="BS-PL Komersil and Fiskal"/>
      <sheetName val="HITUNG-HPP,25"/>
      <sheetName val="WS"/>
      <sheetName val="Bobot rev"/>
      <sheetName val="Draft"/>
      <sheetName val="Results"/>
      <sheetName val="Write Off &amp; Disposal05"/>
      <sheetName val="2703.1"/>
      <sheetName val="2703_1"/>
      <sheetName val="FS"/>
      <sheetName val="Credit-22"/>
      <sheetName val="harga"/>
      <sheetName val="KAS_RP"/>
      <sheetName val="KAS_$"/>
      <sheetName val="ELIM_LBU1"/>
      <sheetName val="PNL1_A"/>
      <sheetName val="PNL2_A"/>
      <sheetName val="KAS__"/>
      <sheetName val="PC-1"/>
      <sheetName val="data (2)"/>
      <sheetName val="Gmd3"/>
      <sheetName val="Wil 1"/>
      <sheetName val="Ending SP"/>
      <sheetName val="Sheet3"/>
      <sheetName val="Sheet4"/>
      <sheetName val="UnitDP"/>
      <sheetName val="Discount Tables"/>
      <sheetName val="analis"/>
      <sheetName val="PANDUAN"/>
      <sheetName val="Profit &amp; Loss Account"/>
      <sheetName val="Salary"/>
      <sheetName val="Corporate"/>
      <sheetName val="StandardJobTitle"/>
      <sheetName val="DATA"/>
      <sheetName val="Alamat"/>
      <sheetName val="Job Code Table"/>
      <sheetName val="Data Request"/>
      <sheetName val="1"/>
      <sheetName val="Source"/>
      <sheetName val="Utlz03"/>
      <sheetName val="PL"/>
      <sheetName val="inv-enc"/>
      <sheetName val="inv-ssi"/>
      <sheetName val="Minority"/>
      <sheetName val="mutinv"/>
      <sheetName val="mutlab"/>
      <sheetName val="TO"/>
      <sheetName val="INSTMATR"/>
      <sheetName val="NL180"/>
      <sheetName val="NL240"/>
      <sheetName val="Access Radio NL400"/>
      <sheetName val="SPARE"/>
      <sheetName val="EXC-R2004"/>
      <sheetName val="data_val"/>
      <sheetName val="table"/>
      <sheetName val="Effort.P"/>
      <sheetName val="Interface"/>
      <sheetName val="Price"/>
      <sheetName val="KAS_RP1"/>
      <sheetName val="KAS_$1"/>
      <sheetName val="ELIM_LBU11"/>
      <sheetName val="PNL1_A1"/>
      <sheetName val="PNL2_A1"/>
      <sheetName val="KAS__1"/>
      <sheetName val="Permanent_info"/>
      <sheetName val="Irregular_Income"/>
      <sheetName val="FE-1770_P1"/>
      <sheetName val="Tax_Rate"/>
      <sheetName val="Tax_Computation"/>
      <sheetName val="Amortization_Table"/>
      <sheetName val="T_material"/>
      <sheetName val="Mine_Assumptions"/>
      <sheetName val="E-2_Capital_AFE_-_Carryover"/>
      <sheetName val="Rp_Banten"/>
      <sheetName val="DATA_HRG"/>
      <sheetName val="Data_Jual"/>
      <sheetName val="tanah_(2)"/>
      <sheetName val="Jual_Mtr_12"/>
      <sheetName val="ID_MENADO"/>
      <sheetName val="BS-PL_Komersil_and_Fiskal"/>
      <sheetName val="Bobot_rev"/>
      <sheetName val="Write_Off_&amp;_Disposal05"/>
      <sheetName val="2703_11"/>
      <sheetName val="DATA2"/>
      <sheetName val="JL_BEL"/>
      <sheetName val="3. PL ASCO"/>
      <sheetName val="HG_BEL"/>
      <sheetName val="WP-PBM-04"/>
      <sheetName val="HRG BHN"/>
      <sheetName val="Simple Coff."/>
      <sheetName val="DOC"/>
      <sheetName val="FEED"/>
      <sheetName val="Equipment"/>
      <sheetName val="TM"/>
      <sheetName val="SAP 27JAN 12PM"/>
      <sheetName val="TBM"/>
      <sheetName val="Worksheet-03"/>
      <sheetName val="ut_no stm"/>
      <sheetName val="ut_no_stm"/>
      <sheetName val="EQ"/>
      <sheetName val="Data_Neraca_Kom"/>
      <sheetName val="S e p"/>
      <sheetName val="00 received in 01"/>
      <sheetName val="F e b"/>
      <sheetName val="Per GL J a n"/>
      <sheetName val="A p r"/>
      <sheetName val="M a y"/>
      <sheetName val="Hutang"/>
      <sheetName val="CoA"/>
      <sheetName val="fr BS"/>
      <sheetName val="Lamp-14(Manajemen)"/>
      <sheetName val="HPP_19_"/>
      <sheetName val="TLKM-J"/>
      <sheetName val="N-TLKM"/>
      <sheetName val="commercial"/>
      <sheetName val="Income Statement"/>
      <sheetName val="Feb_12"/>
      <sheetName val="Mar_12"/>
      <sheetName val="trf-d-w"/>
      <sheetName val="trf d-i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s"/>
      <sheetName val="Bonus (CP)"/>
      <sheetName val="Bonus  (Des)"/>
      <sheetName val="THR Leb"/>
      <sheetName val="THR Nat"/>
      <sheetName val="ISI SPT"/>
      <sheetName val="Kontrak"/>
      <sheetName val="Erick"/>
      <sheetName val="Wilmart"/>
      <sheetName val="Yohanes"/>
      <sheetName val="DATA INPUT"/>
      <sheetName val="BGT97STAFF"/>
      <sheetName val="STOCK AKHIR"/>
      <sheetName val="BS_Recon"/>
      <sheetName val="KAS_RP2"/>
      <sheetName val="KAS_$2"/>
      <sheetName val="ELIM_LBU12"/>
      <sheetName val="PNL1_A2"/>
      <sheetName val="PNL2_A2"/>
      <sheetName val="KAS__2"/>
      <sheetName val="Permanent_info1"/>
      <sheetName val="Irregular_Income1"/>
      <sheetName val="FE-1770_P11"/>
      <sheetName val="Tax_Rate1"/>
      <sheetName val="Tax_Computation1"/>
      <sheetName val="Amortization_Table1"/>
      <sheetName val="T_material1"/>
      <sheetName val="Mine_Assumptions1"/>
      <sheetName val="E-2_Capital_AFE_-_Carryover1"/>
      <sheetName val="Rp_Banten1"/>
      <sheetName val="DATA_HRG1"/>
      <sheetName val="Data_Jual1"/>
      <sheetName val="tanah_(2)1"/>
      <sheetName val="Jual_Mtr_121"/>
      <sheetName val="ID_MENADO1"/>
      <sheetName val="BS-PL_Komersil_and_Fiskal1"/>
      <sheetName val="Bobot_rev1"/>
      <sheetName val="Write_Off_&amp;_Disposal051"/>
      <sheetName val="2703_12"/>
      <sheetName val="PRO"/>
      <sheetName val="Links"/>
      <sheetName val="Terbilang sertifikat"/>
      <sheetName val="#REF"/>
      <sheetName val="Hotel"/>
      <sheetName val="DAF-9"/>
      <sheetName val="Hua Yang Quarterly"/>
      <sheetName val="Macro1"/>
      <sheetName val="Analytical"/>
      <sheetName val="8400.2"/>
      <sheetName val="data_(2)"/>
      <sheetName val="Wil_1"/>
      <sheetName val="Ending_SP"/>
      <sheetName val="Profit_&amp;_Loss_Account"/>
      <sheetName val="Discount_Tables"/>
      <sheetName val="Job_Code_Table"/>
      <sheetName val="Data_Request"/>
      <sheetName val="Access_Radio_NL400"/>
      <sheetName val="Effort_P"/>
      <sheetName val="3__PL_ASCO"/>
      <sheetName val="HRG_BHN"/>
      <sheetName val="Simple_Coff_"/>
      <sheetName val="SAP_27JAN_12PM"/>
      <sheetName val="ut_no_stm1"/>
      <sheetName val="S_e_p"/>
      <sheetName val="00_received_in_01"/>
      <sheetName val="F_e_b"/>
      <sheetName val="Per_GL_J_a_n"/>
      <sheetName val="A_p_r"/>
      <sheetName val="M_a_y"/>
      <sheetName val="fr_BS"/>
      <sheetName val="Income_Statement"/>
      <sheetName val="trf_d-i"/>
      <sheetName val="Bonus_(CP)"/>
      <sheetName val="Bonus__(Des)"/>
      <sheetName val="THR_Leb"/>
      <sheetName val="THR_Nat"/>
      <sheetName val="ISI_SPT"/>
      <sheetName val="DATA_INPUT"/>
      <sheetName val="STOCK_AKHIR"/>
      <sheetName val="Terbilang_sertifikat"/>
      <sheetName val="Hua_Yang_Quarterly"/>
      <sheetName val="8400_2"/>
      <sheetName val="DIRECT COST"/>
      <sheetName val="Bgt"/>
      <sheetName val="DDJAN05"/>
      <sheetName val="KAS_RP3"/>
      <sheetName val="KAS_$3"/>
      <sheetName val="ELIM_LBU13"/>
      <sheetName val="PNL1_A3"/>
      <sheetName val="PNL2_A3"/>
      <sheetName val="KAS__3"/>
      <sheetName val="Permanent_info2"/>
      <sheetName val="Irregular_Income2"/>
      <sheetName val="FE-1770_P12"/>
      <sheetName val="Tax_Rate2"/>
      <sheetName val="Tax_Computation2"/>
      <sheetName val="Amortization_Table2"/>
      <sheetName val="T_material2"/>
      <sheetName val="Mine_Assumptions2"/>
      <sheetName val="E-2_Capital_AFE_-_Carryover2"/>
      <sheetName val="Rp_Banten2"/>
      <sheetName val="DATA_HRG2"/>
      <sheetName val="Data_Jual2"/>
      <sheetName val="tanah_(2)2"/>
      <sheetName val="Jual_Mtr_122"/>
      <sheetName val="ID_MENADO2"/>
      <sheetName val="BS-PL_Komersil_and_Fiskal2"/>
      <sheetName val="Bobot_rev2"/>
      <sheetName val="Write_Off_&amp;_Disposal052"/>
      <sheetName val="2703_13"/>
      <sheetName val="data_(2)1"/>
      <sheetName val="Wil_11"/>
      <sheetName val="Ending_SP1"/>
      <sheetName val="Discount_Tables1"/>
      <sheetName val="Profit_&amp;_Loss_Account1"/>
      <sheetName val="Job_Code_Table1"/>
      <sheetName val="Data_Request1"/>
      <sheetName val="Access_Radio_NL4001"/>
      <sheetName val="Effort_P1"/>
      <sheetName val="3__PL_ASCO1"/>
      <sheetName val="HRG_BHN1"/>
      <sheetName val="Simple_Coff_1"/>
      <sheetName val="STOCK_AKHIR1"/>
      <sheetName val="SAP_27JAN_12PM1"/>
      <sheetName val="ut_no_stm2"/>
      <sheetName val="S_e_p1"/>
      <sheetName val="00_received_in_011"/>
      <sheetName val="F_e_b1"/>
      <sheetName val="Per_GL_J_a_n1"/>
      <sheetName val="A_p_r1"/>
      <sheetName val="M_a_y1"/>
      <sheetName val="fr_BS1"/>
      <sheetName val="Income_Statement1"/>
      <sheetName val="trf_d-i1"/>
      <sheetName val="Bonus_(CP)1"/>
      <sheetName val="Bonus__(Des)1"/>
      <sheetName val="THR_Leb1"/>
      <sheetName val="THR_Nat1"/>
      <sheetName val="ISI_SPT1"/>
      <sheetName val="DATA_INPUT1"/>
      <sheetName val="Terbilang_sertifikat1"/>
      <sheetName val="Hua_Yang_Quarterly1"/>
      <sheetName val="8400_21"/>
      <sheetName val="AGG_aggr2"/>
      <sheetName val="Rumus PL"/>
      <sheetName val="KKP-II.2.2.1.2"/>
      <sheetName val="sepdua"/>
      <sheetName val="1200.5 ffe1"/>
      <sheetName val="B"/>
      <sheetName val="#REF!"/>
      <sheetName val="_REF_"/>
      <sheetName val="WBS 2005"/>
      <sheetName val="MPP0102"/>
      <sheetName val="Lead Schedule"/>
      <sheetName val="SALES_EQUITY"/>
      <sheetName val="Sep"/>
      <sheetName val="Cover_01"/>
      <sheetName val="gg.1"/>
      <sheetName val="KASA"/>
      <sheetName val="TB"/>
      <sheetName val="THN"/>
      <sheetName val="1999"/>
      <sheetName val="LHP7"/>
      <sheetName val="DAT_1"/>
      <sheetName val="9"/>
      <sheetName val="LM_29"/>
      <sheetName val="MAP"/>
      <sheetName val="RINCIAN"/>
      <sheetName val="DailyOvertime"/>
      <sheetName val="Ex Rate"/>
      <sheetName val="Ford Options"/>
      <sheetName val="NMN"/>
      <sheetName val="Menu"/>
      <sheetName val="XLS Avg Rev"/>
      <sheetName val="Option List"/>
      <sheetName val="HP 18 th"/>
      <sheetName val="pesd_bahan"/>
      <sheetName val="Retail Spider"/>
      <sheetName val="05_2003-compute"/>
      <sheetName val="WBS (2)salah"/>
      <sheetName val="DSU1001"/>
      <sheetName val="DAF-1"/>
      <sheetName val="AJE&amp;RJE"/>
      <sheetName val="Model"/>
      <sheetName val="GRAND REKAP"/>
      <sheetName val="Cover"/>
      <sheetName val="H.Satuan"/>
      <sheetName val="H_Satuan"/>
      <sheetName val="AHS1"/>
      <sheetName val="Assumptions"/>
      <sheetName val="mat&amp;upah"/>
      <sheetName val="analisa-pagar"/>
      <sheetName val="2005"/>
      <sheetName val="Table 1"/>
      <sheetName val="Table Array"/>
      <sheetName val="DB "/>
      <sheetName val="JSiar"/>
      <sheetName val="Angs.B.Group"/>
      <sheetName val="Detail"/>
      <sheetName val="Asumsi Sls"/>
      <sheetName val="RL2010"/>
      <sheetName val="prelim"/>
      <sheetName val="DIRECT_COST"/>
      <sheetName val="Irregu hÚ_x0005__x001e__x0000__x0000__x0000_ú=_x0015_"/>
      <sheetName val=""/>
      <sheetName val="bayar_04_fak"/>
      <sheetName val="HPP_18_"/>
      <sheetName val="PC_1"/>
      <sheetName val="PC_2"/>
      <sheetName val="Budget 2002"/>
      <sheetName val="Data SRL"/>
      <sheetName val="Data Prod_Graf"/>
      <sheetName val="Balance Sheet"/>
      <sheetName val="BOP-P2"/>
      <sheetName val="HPP_0503"/>
      <sheetName val="HPP"/>
      <sheetName val="name"/>
      <sheetName val="Grouping"/>
      <sheetName val="TB2015"/>
      <sheetName val="TB2016"/>
      <sheetName val="GOR-SHKJ"/>
      <sheetName val="REKAP"/>
      <sheetName val="IGSYC"/>
      <sheetName val="TBH"/>
      <sheetName val="Jurnal"/>
      <sheetName val="Cost Ctr"/>
      <sheetName val="Account"/>
      <sheetName val="grafik fisik"/>
      <sheetName val="W-NAD"/>
      <sheetName val="feb'08"/>
      <sheetName val="017SR99"/>
      <sheetName val="Pt"/>
      <sheetName val="Input"/>
      <sheetName val="IGC"/>
      <sheetName val="Rincian Bah&amp;Ten"/>
      <sheetName val="Plan vs Real"/>
      <sheetName val="Rinci Progres"/>
      <sheetName val="Irregu hÚ_x0005__x001e_???ú=_x0015_"/>
      <sheetName val="Mutasi"/>
      <sheetName val="data_benefit(2)"/>
      <sheetName val="Cashflow"/>
      <sheetName val="Front"/>
      <sheetName val="Check Sheet"/>
      <sheetName val="PLHOENG"/>
      <sheetName val="IS"/>
      <sheetName val="KAS_RP4"/>
      <sheetName val="KAS_$4"/>
      <sheetName val="ELIM_LBU14"/>
      <sheetName val="PNL1_A4"/>
      <sheetName val="PNL2_A4"/>
      <sheetName val="KAS__4"/>
      <sheetName val="Irregular_Income3"/>
      <sheetName val="FE-1770_P13"/>
      <sheetName val="Permanent_info3"/>
      <sheetName val="Tax_Rate3"/>
      <sheetName val="T_material3"/>
      <sheetName val="Tax_Computation3"/>
      <sheetName val="Amortization_Table3"/>
      <sheetName val="Mine_Assumptions3"/>
      <sheetName val="E-2_Capital_AFE_-_Carryover3"/>
      <sheetName val="Rp_Banten3"/>
      <sheetName val="DATA_HRG3"/>
      <sheetName val="Data_Jual3"/>
      <sheetName val="tanah_(2)3"/>
      <sheetName val="Jual_Mtr_123"/>
      <sheetName val="ID_MENADO3"/>
      <sheetName val="BS-PL_Komersil_and_Fiskal3"/>
      <sheetName val="Bobot_rev3"/>
      <sheetName val="Write_Off_&amp;_Disposal053"/>
      <sheetName val="2703_14"/>
      <sheetName val="data_(2)2"/>
      <sheetName val="Wil_12"/>
      <sheetName val="Ending_SP2"/>
      <sheetName val="Discount_Tables2"/>
      <sheetName val="Profit_&amp;_Loss_Account2"/>
      <sheetName val="Job_Code_Table2"/>
      <sheetName val="Data_Request2"/>
      <sheetName val="Effort_P2"/>
      <sheetName val="Access_Radio_NL4002"/>
      <sheetName val="Terbilang_sertifikat2"/>
      <sheetName val="Income_Statement2"/>
      <sheetName val="3__PL_ASCO2"/>
      <sheetName val="HRG_BHN2"/>
      <sheetName val="Simple_Coff_2"/>
      <sheetName val="STOCK_AKHIR2"/>
      <sheetName val="Hua_Yang_Quarterly2"/>
      <sheetName val="8400_22"/>
      <sheetName val="SAP_27JAN_12PM2"/>
      <sheetName val="ut_no_stm3"/>
      <sheetName val="S_e_p2"/>
      <sheetName val="00_received_in_012"/>
      <sheetName val="F_e_b2"/>
      <sheetName val="Per_GL_J_a_n2"/>
      <sheetName val="A_p_r2"/>
      <sheetName val="M_a_y2"/>
      <sheetName val="fr_BS2"/>
      <sheetName val="trf_d-i2"/>
      <sheetName val="Bonus_(CP)2"/>
      <sheetName val="Bonus__(Des)2"/>
      <sheetName val="THR_Leb2"/>
      <sheetName val="THR_Nat2"/>
      <sheetName val="ISI_SPT2"/>
      <sheetName val="DATA_INPUT2"/>
      <sheetName val="Rumus_PL"/>
      <sheetName val="KKP-II_2_2_1_2"/>
      <sheetName val="1200_5_ffe1"/>
      <sheetName val="WBS_2005"/>
      <sheetName val="Lead_Schedule"/>
      <sheetName val="P12.4"/>
      <sheetName val="Assumption"/>
      <sheetName val="1771"/>
      <sheetName val="1771.2"/>
      <sheetName val="Basic Information"/>
      <sheetName val="Assump"/>
      <sheetName val="lm7-11"/>
      <sheetName val="AU53-K"/>
      <sheetName val="AU53-MG"/>
      <sheetName val="AU53-P"/>
      <sheetName val="BABJ"/>
      <sheetName val="BABR"/>
      <sheetName val="DO"/>
      <sheetName val="DO-MG"/>
      <sheetName val="DO-MK"/>
      <sheetName val="L12 Akt Tetap"/>
      <sheetName val="PhaDoMong"/>
      <sheetName val="General"/>
      <sheetName val="Bahan"/>
      <sheetName val="Sub"/>
      <sheetName val="TRAFIK KAPAL"/>
      <sheetName val="PRODUKSI"/>
      <sheetName val="INVESTASI"/>
      <sheetName val="ARUS KAS"/>
      <sheetName val="COMBINE"/>
      <sheetName val="Sumbagut"/>
      <sheetName val="317903OCT99"/>
      <sheetName val="317903DEC99"/>
      <sheetName val="317903NOV99"/>
      <sheetName val="hasat"/>
      <sheetName val="KAS_RP5"/>
      <sheetName val="KAS_$5"/>
      <sheetName val="ELIM_LBU15"/>
      <sheetName val="PNL1_A5"/>
      <sheetName val="PNL2_A5"/>
      <sheetName val="KAS__5"/>
      <sheetName val="Irregular_Income4"/>
      <sheetName val="FE-1770_P14"/>
      <sheetName val="Permanent_info4"/>
      <sheetName val="Tax_Rate4"/>
      <sheetName val="T_material4"/>
      <sheetName val="Tax_Computation4"/>
      <sheetName val="Amortization_Table4"/>
      <sheetName val="Mine_Assumptions4"/>
      <sheetName val="E-2_Capital_AFE_-_Carryover4"/>
      <sheetName val="Rp_Banten4"/>
      <sheetName val="DATA_HRG4"/>
      <sheetName val="Data_Jual4"/>
      <sheetName val="tanah_(2)4"/>
      <sheetName val="Jual_Mtr_124"/>
      <sheetName val="ID_MENADO4"/>
      <sheetName val="BS-PL_Komersil_and_Fiskal4"/>
      <sheetName val="Bobot_rev4"/>
      <sheetName val="Write_Off_&amp;_Disposal054"/>
      <sheetName val="2703_15"/>
      <sheetName val="data_(2)3"/>
      <sheetName val="Wil_13"/>
      <sheetName val="Ending_SP3"/>
      <sheetName val="Discount_Tables3"/>
      <sheetName val="Profit_&amp;_Loss_Account3"/>
      <sheetName val="Job_Code_Table3"/>
      <sheetName val="Data_Request3"/>
      <sheetName val="Effort_P3"/>
      <sheetName val="Access_Radio_NL4003"/>
      <sheetName val="Terbilang_sertifikat3"/>
      <sheetName val="Income_Statement3"/>
      <sheetName val="3__PL_ASCO3"/>
      <sheetName val="HRG_BHN3"/>
      <sheetName val="Simple_Coff_3"/>
      <sheetName val="STOCK_AKHIR3"/>
      <sheetName val="Hua_Yang_Quarterly3"/>
      <sheetName val="8400_23"/>
      <sheetName val="SAP_27JAN_12PM3"/>
      <sheetName val="ut_no_stm4"/>
      <sheetName val="S_e_p3"/>
      <sheetName val="00_received_in_013"/>
      <sheetName val="F_e_b3"/>
      <sheetName val="Per_GL_J_a_n3"/>
      <sheetName val="A_p_r3"/>
      <sheetName val="M_a_y3"/>
      <sheetName val="fr_BS3"/>
      <sheetName val="trf_d-i3"/>
      <sheetName val="Bonus_(CP)3"/>
      <sheetName val="Bonus__(Des)3"/>
      <sheetName val="THR_Leb3"/>
      <sheetName val="THR_Nat3"/>
      <sheetName val="ISI_SPT3"/>
      <sheetName val="DATA_INPUT3"/>
      <sheetName val="DIRECT_COST1"/>
      <sheetName val="Rumus_PL1"/>
      <sheetName val="KKP-II_2_2_1_21"/>
      <sheetName val="1200_5_ffe11"/>
      <sheetName val="WBS_20051"/>
      <sheetName val="Lead_Schedule1"/>
      <sheetName val="MI(data base)"/>
      <sheetName val="RANKING PELAPORAN"/>
      <sheetName val="datateknis"/>
      <sheetName val="AJE"/>
      <sheetName val="RJE"/>
      <sheetName val="Ranges"/>
      <sheetName val="Trans"/>
      <sheetName val="JobCode"/>
      <sheetName val="Price List"/>
      <sheetName val="Income Statement-May 2004"/>
      <sheetName val="basic_price"/>
      <sheetName val="DKH"/>
      <sheetName val="OwnEq"/>
      <sheetName val="harsat"/>
      <sheetName val="WBS_(2)salah"/>
      <sheetName val="7.1(3)"/>
      <sheetName val="TSS"/>
      <sheetName val="BahanUpah"/>
      <sheetName val="BASIC"/>
      <sheetName val="Analisa K"/>
      <sheetName val="Forecasts_VDF"/>
      <sheetName val="Harga Dasar"/>
      <sheetName val="pivot"/>
      <sheetName val="UMUM"/>
      <sheetName val="Data_Umum"/>
      <sheetName val="SCH"/>
      <sheetName val="PEDESB"/>
      <sheetName val="Irregu hÚ_x0005__x001e_"/>
      <sheetName val="LABA"/>
      <sheetName val="DATA_JUALAN"/>
      <sheetName val="Ner-KIE"/>
      <sheetName val="daya tarik loko"/>
      <sheetName val="WP AKTIVA"/>
      <sheetName val="TABEL"/>
      <sheetName val="BBM-03"/>
      <sheetName val="Hrg_elemen"/>
      <sheetName val="Isolasi Luar Dalam"/>
      <sheetName val="Isolasi Luar"/>
      <sheetName val="HS"/>
      <sheetName val="GP-WB"/>
      <sheetName val="BasicPrice"/>
      <sheetName val="A"/>
      <sheetName val="NAMA DEPT"/>
      <sheetName val="BQ ARS"/>
      <sheetName val="351BQMCN"/>
      <sheetName val="input data umum"/>
      <sheetName val="ANALISA-SNI"/>
      <sheetName val="HRPar"/>
      <sheetName val="JUNI"/>
      <sheetName val="Ahs_1"/>
      <sheetName val="Ahs_2"/>
      <sheetName val="PriceList"/>
      <sheetName val="bilangan"/>
      <sheetName val="panther"/>
      <sheetName val="telp"/>
      <sheetName val="D.BOARD"/>
      <sheetName val="extern"/>
      <sheetName val="K.Lokal"/>
      <sheetName val="Bukti Memorial"/>
      <sheetName val="Daftar Piutang"/>
      <sheetName val="Kas_Bank"/>
      <sheetName val="LABA RUGI"/>
      <sheetName val="PENDAPATAN"/>
      <sheetName val="Bi oprsl bgkl"/>
      <sheetName val="PAYROLL"/>
      <sheetName val="Reimbursements"/>
      <sheetName val="BSHO Report"/>
      <sheetName val="Sheet1 (2)"/>
      <sheetName val="JANU-KEU (7)"/>
      <sheetName val="HPP_20_"/>
      <sheetName val="Detail UMS Rev_Juni"/>
      <sheetName val="Sales and Collections"/>
      <sheetName val="Capital"/>
      <sheetName val="Loans"/>
      <sheetName val="Operating Expenses "/>
      <sheetName val="Invested capital_VDF"/>
      <sheetName val="NOPAT_VDF"/>
      <sheetName val="SPRS breakdown pricing"/>
      <sheetName val="HASIL"/>
      <sheetName val="B - Norelec"/>
      <sheetName val="SheetGMP"/>
      <sheetName val="SheetGMT"/>
      <sheetName val="LR&amp;Neraca"/>
      <sheetName val="Bill sipil"/>
      <sheetName val="PB(B)"/>
      <sheetName val="2-JTW"/>
      <sheetName val="BY PO"/>
      <sheetName val="EXCU"/>
      <sheetName val="Lead"/>
      <sheetName val="Shoping List Tsel"/>
      <sheetName val="Proyeksi"/>
      <sheetName val="Supporting"/>
      <sheetName val="Ja"/>
      <sheetName val="Fa"/>
      <sheetName val="REKAP BI"/>
      <sheetName val="rincian spot &amp; derivatif"/>
      <sheetName val="Komputer"/>
      <sheetName val="NLsimpro"/>
      <sheetName val="PL (MONTHLY)"/>
      <sheetName val="Cucian"/>
      <sheetName val="R"/>
      <sheetName val="Corptax2003"/>
      <sheetName val="BUSWAY"/>
      <sheetName val="MEytd"/>
      <sheetName val="CGSgm2"/>
      <sheetName val="CGSsp"/>
      <sheetName val="Sales"/>
      <sheetName val="CITIBANK REPORT"/>
      <sheetName val="Februari"/>
      <sheetName val="VAT01 16"/>
      <sheetName val="VAT02 16"/>
      <sheetName val="VAT03 16"/>
      <sheetName val="VAT04 16"/>
      <sheetName val="VAT05 16"/>
      <sheetName val="VAT06 16"/>
      <sheetName val="VAT07 16"/>
      <sheetName val="VAT08 16"/>
      <sheetName val="VAT09 16"/>
      <sheetName val="VAT10 16"/>
      <sheetName val="VAT10 16 P-1"/>
      <sheetName val="VAT11 16"/>
      <sheetName val="VAT11 16 P-1"/>
      <sheetName val="VAT12 16"/>
      <sheetName val="VAT01 17"/>
      <sheetName val="VAT02 17"/>
      <sheetName val="VAT03 17"/>
      <sheetName val="VAT04 17"/>
      <sheetName val="VAT05 17"/>
      <sheetName val="VAT06 17"/>
      <sheetName val="VAT07 17"/>
      <sheetName val="VAT08 17"/>
      <sheetName val="VAT09 17"/>
      <sheetName val="VAT10 17"/>
      <sheetName val="VAT11 17"/>
      <sheetName val="VAT12 17"/>
      <sheetName val="VAT01 18"/>
      <sheetName val="VAT02 18"/>
      <sheetName val="VAT03 18"/>
      <sheetName val="VAT04 18"/>
      <sheetName val="VAT05 18"/>
      <sheetName val="VAT06 18"/>
      <sheetName val="VAT07 18"/>
      <sheetName val="VAT08 18"/>
      <sheetName val="VAT09 18"/>
      <sheetName val="VAT10 18"/>
      <sheetName val="VAT11 18"/>
      <sheetName val="VAT12 18"/>
      <sheetName val="VAT01 19"/>
      <sheetName val="VAT02 19"/>
      <sheetName val="VAT03 19"/>
      <sheetName val="VAT04 19"/>
      <sheetName val="VAT04 19 P-1"/>
      <sheetName val="VAT05 19"/>
      <sheetName val="VAT05 19 P-1"/>
      <sheetName val="VAT06 19"/>
      <sheetName val="VAT07 19"/>
      <sheetName val="Data Vendor"/>
      <sheetName val="GL SALES BFI"/>
      <sheetName val="SCREEN SHOOT GL SALES BFI"/>
      <sheetName val="XL4Poppy"/>
      <sheetName val="GM09"/>
      <sheetName val="PTK09"/>
      <sheetName val="GL"/>
      <sheetName val="Kalkulasi Loan"/>
      <sheetName val="UnitCost"/>
      <sheetName val="P&amp;L"/>
      <sheetName val="Crew"/>
      <sheetName val="Track"/>
      <sheetName val="BEP"/>
      <sheetName val="5751"/>
      <sheetName val="6251"/>
      <sheetName val="6540 (2)"/>
      <sheetName val="Kas"/>
      <sheetName val="Database"/>
      <sheetName val="Recapitulation VAT"/>
      <sheetName val="12-06-ins"/>
      <sheetName val="smjurnal_SO"/>
      <sheetName val="AR Lain"/>
      <sheetName val="Misc"/>
      <sheetName val="NPasiva"/>
      <sheetName val="gg_1"/>
      <sheetName val="Budget_2002"/>
      <sheetName val="Data_SRL"/>
      <sheetName val="Data_Prod_Graf"/>
      <sheetName val="Ford_Options"/>
      <sheetName val="XLS_Avg_Rev"/>
      <sheetName val="Option_List"/>
      <sheetName val="HP_18_th"/>
      <sheetName val="Retail_Spider"/>
      <sheetName val="Table_1"/>
      <sheetName val="Ex_Rate"/>
      <sheetName val="Table_Array"/>
      <sheetName val="DB_"/>
      <sheetName val="Angs_B_Group"/>
      <sheetName val="Asumsi_Sls"/>
      <sheetName val="Balance_Sheet"/>
      <sheetName val="TRAFIK_KAPAL"/>
      <sheetName val="ARUS_KAS"/>
      <sheetName val="Rincian_Bah&amp;Ten"/>
      <sheetName val="Check_Sheet"/>
      <sheetName val="Budget"/>
      <sheetName val="BilangSppp"/>
      <sheetName val="BoQ C4"/>
      <sheetName val="Plan_vs_Real"/>
      <sheetName val="Rinci_Progres"/>
      <sheetName val="Irregu hÚ???ú="/>
      <sheetName val="grafik_fisik"/>
      <sheetName val="Cost_Ctr"/>
      <sheetName val="P12_4"/>
      <sheetName val="daya_tarik_loko"/>
      <sheetName val="Irregu hÚ"/>
      <sheetName val="PL_(MONTHLY)"/>
      <sheetName val="daftar harga satuan"/>
      <sheetName val="A.4.3"/>
      <sheetName val="ged"/>
      <sheetName val="Media2"/>
      <sheetName val="USD"/>
      <sheetName val="BS-GMT"/>
      <sheetName val="Daftar Validasi"/>
      <sheetName val="HAL-1"/>
      <sheetName val="pivot1"/>
      <sheetName val="PENNER"/>
      <sheetName val="SUMBER"/>
      <sheetName val="SDE"/>
      <sheetName val="BNISP"/>
      <sheetName val="Quantitatif"/>
      <sheetName val="KBB-CIB BANK"/>
      <sheetName val="PBT BY MARKET"/>
      <sheetName val="Summary Data"/>
      <sheetName val="Country.xls"/>
      <sheetName val="Unit Rate Indirect"/>
      <sheetName val="Indeks"/>
      <sheetName val="DATA2009"/>
      <sheetName val="FAKTOR"/>
      <sheetName val="Material&amp;Alat"/>
      <sheetName val="ekuitanak"/>
      <sheetName val="tarip"/>
      <sheetName val="Stock-BUYING"/>
      <sheetName val="KAS_RP8"/>
      <sheetName val="KAS_$8"/>
      <sheetName val="ELIM_LBU18"/>
      <sheetName val="PNL1_A8"/>
      <sheetName val="PNL2_A8"/>
      <sheetName val="KAS__8"/>
      <sheetName val="Irregular_Income8"/>
      <sheetName val="FE-1770_P18"/>
      <sheetName val="Permanent_info8"/>
      <sheetName val="Tax_Rate8"/>
      <sheetName val="T_material8"/>
      <sheetName val="Tax_Computation8"/>
      <sheetName val="Amortization_Table8"/>
      <sheetName val="Mine_Assumptions8"/>
      <sheetName val="E-2_Capital_AFE_-_Carryover8"/>
      <sheetName val="Rp_Banten8"/>
      <sheetName val="DATA_HRG8"/>
      <sheetName val="Data_Jual8"/>
      <sheetName val="tanah_(2)8"/>
      <sheetName val="Jual_Mtr_128"/>
      <sheetName val="ID_MENADO8"/>
      <sheetName val="BS-PL_Komersil_and_Fiskal8"/>
      <sheetName val="data_(2)8"/>
      <sheetName val="Wil_18"/>
      <sheetName val="WBS_(2)salah8"/>
      <sheetName val="gg_18"/>
      <sheetName val="Ending_SP8"/>
      <sheetName val="DATA_INPUT8"/>
      <sheetName val="WBS_(2)salah1"/>
      <sheetName val="gg_11"/>
      <sheetName val="WBS_(2)salah2"/>
      <sheetName val="gg_12"/>
      <sheetName val="WBS_(2)salah3"/>
      <sheetName val="gg_13"/>
      <sheetName val="data_(2)4"/>
      <sheetName val="Wil_14"/>
      <sheetName val="WBS_(2)salah4"/>
      <sheetName val="gg_14"/>
      <sheetName val="Ending_SP4"/>
      <sheetName val="DATA_INPUT4"/>
      <sheetName val="KAS_RP6"/>
      <sheetName val="KAS_$6"/>
      <sheetName val="ELIM_LBU16"/>
      <sheetName val="PNL1_A6"/>
      <sheetName val="PNL2_A6"/>
      <sheetName val="KAS__6"/>
      <sheetName val="Irregular_Income6"/>
      <sheetName val="FE-1770_P16"/>
      <sheetName val="Permanent_info6"/>
      <sheetName val="Tax_Rate6"/>
      <sheetName val="T_material6"/>
      <sheetName val="Tax_Computation6"/>
      <sheetName val="Amortization_Table6"/>
      <sheetName val="Mine_Assumptions6"/>
      <sheetName val="E-2_Capital_AFE_-_Carryover6"/>
      <sheetName val="Rp_Banten6"/>
      <sheetName val="DATA_HRG6"/>
      <sheetName val="Data_Jual6"/>
      <sheetName val="tanah_(2)6"/>
      <sheetName val="Jual_Mtr_126"/>
      <sheetName val="ID_MENADO6"/>
      <sheetName val="BS-PL_Komersil_and_Fiskal6"/>
      <sheetName val="data_(2)6"/>
      <sheetName val="Wil_16"/>
      <sheetName val="WBS_(2)salah6"/>
      <sheetName val="gg_16"/>
      <sheetName val="Ending_SP6"/>
      <sheetName val="DATA_INPUT6"/>
      <sheetName val="Irregular_Income5"/>
      <sheetName val="FE-1770_P15"/>
      <sheetName val="Permanent_info5"/>
      <sheetName val="Tax_Rate5"/>
      <sheetName val="T_material5"/>
      <sheetName val="Tax_Computation5"/>
      <sheetName val="Amortization_Table5"/>
      <sheetName val="Mine_Assumptions5"/>
      <sheetName val="E-2_Capital_AFE_-_Carryover5"/>
      <sheetName val="Rp_Banten5"/>
      <sheetName val="DATA_HRG5"/>
      <sheetName val="Data_Jual5"/>
      <sheetName val="tanah_(2)5"/>
      <sheetName val="Jual_Mtr_125"/>
      <sheetName val="ID_MENADO5"/>
      <sheetName val="BS-PL_Komersil_and_Fiskal5"/>
      <sheetName val="data_(2)5"/>
      <sheetName val="Wil_15"/>
      <sheetName val="WBS_(2)salah5"/>
      <sheetName val="gg_15"/>
      <sheetName val="Ending_SP5"/>
      <sheetName val="DATA_INPUT5"/>
      <sheetName val="KAS_RP7"/>
      <sheetName val="KAS_$7"/>
      <sheetName val="ELIM_LBU17"/>
      <sheetName val="PNL1_A7"/>
      <sheetName val="PNL2_A7"/>
      <sheetName val="KAS__7"/>
      <sheetName val="Irregular_Income7"/>
      <sheetName val="FE-1770_P17"/>
      <sheetName val="Permanent_info7"/>
      <sheetName val="Tax_Rate7"/>
      <sheetName val="T_material7"/>
      <sheetName val="Tax_Computation7"/>
      <sheetName val="Amortization_Table7"/>
      <sheetName val="Mine_Assumptions7"/>
      <sheetName val="E-2_Capital_AFE_-_Carryover7"/>
      <sheetName val="Rp_Banten7"/>
      <sheetName val="DATA_HRG7"/>
      <sheetName val="Data_Jual7"/>
      <sheetName val="tanah_(2)7"/>
      <sheetName val="Jual_Mtr_127"/>
      <sheetName val="ID_MENADO7"/>
      <sheetName val="BS-PL_Komersil_and_Fiskal7"/>
      <sheetName val="data_(2)7"/>
      <sheetName val="Wil_17"/>
      <sheetName val="WBS_(2)salah7"/>
      <sheetName val="gg_17"/>
      <sheetName val="Ending_SP7"/>
      <sheetName val="DATA_INPUT7"/>
      <sheetName val="KAS_RP26"/>
      <sheetName val="KAS_$26"/>
      <sheetName val="ELIM_LBU126"/>
      <sheetName val="PNL1_A26"/>
      <sheetName val="PNL2_A26"/>
      <sheetName val="KAS__26"/>
      <sheetName val="Irregular_Income26"/>
      <sheetName val="FE-1770_P126"/>
      <sheetName val="Permanent_info26"/>
      <sheetName val="Tax_Rate26"/>
      <sheetName val="T_material26"/>
      <sheetName val="Tax_Computation26"/>
      <sheetName val="Amortization_Table26"/>
      <sheetName val="Mine_Assumptions26"/>
      <sheetName val="E-2_Capital_AFE_-_Carryover26"/>
      <sheetName val="Rp_Banten26"/>
      <sheetName val="DATA_HRG26"/>
      <sheetName val="Data_Jual26"/>
      <sheetName val="tanah_(2)26"/>
      <sheetName val="Jual_Mtr_1226"/>
      <sheetName val="ID_MENADO26"/>
      <sheetName val="BS-PL_Komersil_and_Fiskal26"/>
      <sheetName val="data_(2)26"/>
      <sheetName val="Wil_126"/>
      <sheetName val="WBS_(2)salah26"/>
      <sheetName val="gg_126"/>
      <sheetName val="Ending_SP26"/>
      <sheetName val="DATA_INPUT26"/>
      <sheetName val="KAS_RP9"/>
      <sheetName val="KAS_$9"/>
      <sheetName val="ELIM_LBU19"/>
      <sheetName val="PNL1_A9"/>
      <sheetName val="PNL2_A9"/>
      <sheetName val="KAS__9"/>
      <sheetName val="Irregular_Income9"/>
      <sheetName val="FE-1770_P19"/>
      <sheetName val="Permanent_info9"/>
      <sheetName val="Tax_Rate9"/>
      <sheetName val="T_material9"/>
      <sheetName val="Tax_Computation9"/>
      <sheetName val="Amortization_Table9"/>
      <sheetName val="Mine_Assumptions9"/>
      <sheetName val="E-2_Capital_AFE_-_Carryover9"/>
      <sheetName val="Rp_Banten9"/>
      <sheetName val="DATA_HRG9"/>
      <sheetName val="Data_Jual9"/>
      <sheetName val="tanah_(2)9"/>
      <sheetName val="Jual_Mtr_129"/>
      <sheetName val="ID_MENADO9"/>
      <sheetName val="BS-PL_Komersil_and_Fiskal9"/>
      <sheetName val="data_(2)9"/>
      <sheetName val="Wil_19"/>
      <sheetName val="WBS_(2)salah9"/>
      <sheetName val="gg_19"/>
      <sheetName val="Ending_SP9"/>
      <sheetName val="DATA_INPUT9"/>
      <sheetName val="KAS_RP10"/>
      <sheetName val="KAS_$10"/>
      <sheetName val="ELIM_LBU110"/>
      <sheetName val="PNL1_A10"/>
      <sheetName val="PNL2_A10"/>
      <sheetName val="KAS__10"/>
      <sheetName val="Irregular_Income10"/>
      <sheetName val="FE-1770_P110"/>
      <sheetName val="Permanent_info10"/>
      <sheetName val="Tax_Rate10"/>
      <sheetName val="T_material10"/>
      <sheetName val="Tax_Computation10"/>
      <sheetName val="Amortization_Table10"/>
      <sheetName val="Mine_Assumptions10"/>
      <sheetName val="E-2_Capital_AFE_-_Carryover10"/>
      <sheetName val="Rp_Banten10"/>
      <sheetName val="DATA_HRG10"/>
      <sheetName val="Data_Jual10"/>
      <sheetName val="tanah_(2)10"/>
      <sheetName val="Jual_Mtr_1210"/>
      <sheetName val="ID_MENADO10"/>
      <sheetName val="BS-PL_Komersil_and_Fiskal10"/>
      <sheetName val="data_(2)10"/>
      <sheetName val="Wil_110"/>
      <sheetName val="WBS_(2)salah10"/>
      <sheetName val="gg_110"/>
      <sheetName val="Ending_SP10"/>
      <sheetName val="DATA_INPUT10"/>
      <sheetName val="KAS_RP13"/>
      <sheetName val="KAS_$13"/>
      <sheetName val="ELIM_LBU113"/>
      <sheetName val="PNL1_A13"/>
      <sheetName val="PNL2_A13"/>
      <sheetName val="KAS__13"/>
      <sheetName val="Irregular_Income13"/>
      <sheetName val="FE-1770_P113"/>
      <sheetName val="Permanent_info13"/>
      <sheetName val="Tax_Rate13"/>
      <sheetName val="T_material13"/>
      <sheetName val="Tax_Computation13"/>
      <sheetName val="Amortization_Table13"/>
      <sheetName val="Mine_Assumptions13"/>
      <sheetName val="E-2_Capital_AFE_-_Carryover13"/>
      <sheetName val="Rp_Banten13"/>
      <sheetName val="DATA_HRG13"/>
      <sheetName val="Data_Jual13"/>
      <sheetName val="tanah_(2)13"/>
      <sheetName val="Jual_Mtr_1213"/>
      <sheetName val="ID_MENADO13"/>
      <sheetName val="BS-PL_Komersil_and_Fiskal13"/>
      <sheetName val="data_(2)13"/>
      <sheetName val="Wil_113"/>
      <sheetName val="WBS_(2)salah13"/>
      <sheetName val="gg_113"/>
      <sheetName val="Ending_SP13"/>
      <sheetName val="DATA_INPUT13"/>
      <sheetName val="KAS_RP11"/>
      <sheetName val="KAS_$11"/>
      <sheetName val="ELIM_LBU111"/>
      <sheetName val="PNL1_A11"/>
      <sheetName val="PNL2_A11"/>
      <sheetName val="KAS__11"/>
      <sheetName val="Irregular_Income11"/>
      <sheetName val="FE-1770_P111"/>
      <sheetName val="Permanent_info11"/>
      <sheetName val="Tax_Rate11"/>
      <sheetName val="T_material11"/>
      <sheetName val="Tax_Computation11"/>
      <sheetName val="Amortization_Table11"/>
      <sheetName val="Mine_Assumptions11"/>
      <sheetName val="E-2_Capital_AFE_-_Carryover11"/>
      <sheetName val="Rp_Banten11"/>
      <sheetName val="DATA_HRG11"/>
      <sheetName val="Data_Jual11"/>
      <sheetName val="tanah_(2)11"/>
      <sheetName val="Jual_Mtr_1211"/>
      <sheetName val="ID_MENADO11"/>
      <sheetName val="BS-PL_Komersil_and_Fiskal11"/>
      <sheetName val="data_(2)11"/>
      <sheetName val="Wil_111"/>
      <sheetName val="WBS_(2)salah11"/>
      <sheetName val="gg_111"/>
      <sheetName val="Ending_SP11"/>
      <sheetName val="DATA_INPUT11"/>
      <sheetName val="KAS_RP12"/>
      <sheetName val="KAS_$12"/>
      <sheetName val="ELIM_LBU112"/>
      <sheetName val="PNL1_A12"/>
      <sheetName val="PNL2_A12"/>
      <sheetName val="KAS__12"/>
      <sheetName val="Irregular_Income12"/>
      <sheetName val="FE-1770_P112"/>
      <sheetName val="Permanent_info12"/>
      <sheetName val="Tax_Rate12"/>
      <sheetName val="T_material12"/>
      <sheetName val="Tax_Computation12"/>
      <sheetName val="Amortization_Table12"/>
      <sheetName val="Mine_Assumptions12"/>
      <sheetName val="E-2_Capital_AFE_-_Carryover12"/>
      <sheetName val="Rp_Banten12"/>
      <sheetName val="DATA_HRG12"/>
      <sheetName val="Data_Jual12"/>
      <sheetName val="tanah_(2)12"/>
      <sheetName val="Jual_Mtr_1212"/>
      <sheetName val="ID_MENADO12"/>
      <sheetName val="BS-PL_Komersil_and_Fiskal12"/>
      <sheetName val="data_(2)12"/>
      <sheetName val="Wil_112"/>
      <sheetName val="WBS_(2)salah12"/>
      <sheetName val="gg_112"/>
      <sheetName val="Ending_SP12"/>
      <sheetName val="DATA_INPUT12"/>
      <sheetName val="KAS_RP20"/>
      <sheetName val="KAS_$20"/>
      <sheetName val="ELIM_LBU120"/>
      <sheetName val="PNL1_A20"/>
      <sheetName val="PNL2_A20"/>
      <sheetName val="KAS__20"/>
      <sheetName val="Irregular_Income20"/>
      <sheetName val="FE-1770_P120"/>
      <sheetName val="Permanent_info20"/>
      <sheetName val="Tax_Rate20"/>
      <sheetName val="T_material20"/>
      <sheetName val="Tax_Computation20"/>
      <sheetName val="Amortization_Table20"/>
      <sheetName val="Mine_Assumptions20"/>
      <sheetName val="E-2_Capital_AFE_-_Carryover20"/>
      <sheetName val="Rp_Banten20"/>
      <sheetName val="DATA_HRG20"/>
      <sheetName val="Data_Jual20"/>
      <sheetName val="tanah_(2)20"/>
      <sheetName val="Jual_Mtr_1220"/>
      <sheetName val="ID_MENADO20"/>
      <sheetName val="BS-PL_Komersil_and_Fiskal20"/>
      <sheetName val="data_(2)20"/>
      <sheetName val="Wil_120"/>
      <sheetName val="WBS_(2)salah20"/>
      <sheetName val="gg_120"/>
      <sheetName val="Ending_SP20"/>
      <sheetName val="DATA_INPUT20"/>
      <sheetName val="KAS_RP17"/>
      <sheetName val="KAS_$17"/>
      <sheetName val="ELIM_LBU117"/>
      <sheetName val="PNL1_A17"/>
      <sheetName val="PNL2_A17"/>
      <sheetName val="KAS__17"/>
      <sheetName val="Irregular_Income17"/>
      <sheetName val="FE-1770_P117"/>
      <sheetName val="Permanent_info17"/>
      <sheetName val="Tax_Rate17"/>
      <sheetName val="T_material17"/>
      <sheetName val="Tax_Computation17"/>
      <sheetName val="Amortization_Table17"/>
      <sheetName val="Mine_Assumptions17"/>
      <sheetName val="E-2_Capital_AFE_-_Carryover17"/>
      <sheetName val="Rp_Banten17"/>
      <sheetName val="DATA_HRG17"/>
      <sheetName val="Data_Jual17"/>
      <sheetName val="tanah_(2)17"/>
      <sheetName val="Jual_Mtr_1217"/>
      <sheetName val="ID_MENADO17"/>
      <sheetName val="BS-PL_Komersil_and_Fiskal17"/>
      <sheetName val="data_(2)17"/>
      <sheetName val="Wil_117"/>
      <sheetName val="WBS_(2)salah17"/>
      <sheetName val="gg_117"/>
      <sheetName val="Ending_SP17"/>
      <sheetName val="DATA_INPUT17"/>
      <sheetName val="KAS_RP15"/>
      <sheetName val="KAS_$15"/>
      <sheetName val="ELIM_LBU115"/>
      <sheetName val="PNL1_A15"/>
      <sheetName val="PNL2_A15"/>
      <sheetName val="KAS__15"/>
      <sheetName val="Irregular_Income15"/>
      <sheetName val="FE-1770_P115"/>
      <sheetName val="Permanent_info15"/>
      <sheetName val="Tax_Rate15"/>
      <sheetName val="T_material15"/>
      <sheetName val="Tax_Computation15"/>
      <sheetName val="Amortization_Table15"/>
      <sheetName val="Mine_Assumptions15"/>
      <sheetName val="E-2_Capital_AFE_-_Carryover15"/>
      <sheetName val="Rp_Banten15"/>
      <sheetName val="DATA_HRG15"/>
      <sheetName val="Data_Jual15"/>
      <sheetName val="tanah_(2)15"/>
      <sheetName val="Jual_Mtr_1215"/>
      <sheetName val="ID_MENADO15"/>
      <sheetName val="BS-PL_Komersil_and_Fiskal15"/>
      <sheetName val="data_(2)15"/>
      <sheetName val="Wil_115"/>
      <sheetName val="WBS_(2)salah15"/>
      <sheetName val="gg_115"/>
      <sheetName val="Ending_SP15"/>
      <sheetName val="DATA_INPUT15"/>
      <sheetName val="KAS_RP14"/>
      <sheetName val="KAS_$14"/>
      <sheetName val="ELIM_LBU114"/>
      <sheetName val="PNL1_A14"/>
      <sheetName val="PNL2_A14"/>
      <sheetName val="KAS__14"/>
      <sheetName val="Irregular_Income14"/>
      <sheetName val="FE-1770_P114"/>
      <sheetName val="Permanent_info14"/>
      <sheetName val="Tax_Rate14"/>
      <sheetName val="T_material14"/>
      <sheetName val="Tax_Computation14"/>
      <sheetName val="Amortization_Table14"/>
      <sheetName val="Mine_Assumptions14"/>
      <sheetName val="E-2_Capital_AFE_-_Carryover14"/>
      <sheetName val="Rp_Banten14"/>
      <sheetName val="DATA_HRG14"/>
      <sheetName val="Data_Jual14"/>
      <sheetName val="tanah_(2)14"/>
      <sheetName val="Jual_Mtr_1214"/>
      <sheetName val="ID_MENADO14"/>
      <sheetName val="BS-PL_Komersil_and_Fiskal14"/>
      <sheetName val="data_(2)14"/>
      <sheetName val="Wil_114"/>
      <sheetName val="WBS_(2)salah14"/>
      <sheetName val="gg_114"/>
      <sheetName val="Ending_SP14"/>
      <sheetName val="DATA_INPUT14"/>
      <sheetName val="KAS_RP16"/>
      <sheetName val="KAS_$16"/>
      <sheetName val="ELIM_LBU116"/>
      <sheetName val="PNL1_A16"/>
      <sheetName val="PNL2_A16"/>
      <sheetName val="KAS__16"/>
      <sheetName val="Irregular_Income16"/>
      <sheetName val="FE-1770_P116"/>
      <sheetName val="Permanent_info16"/>
      <sheetName val="Tax_Rate16"/>
      <sheetName val="T_material16"/>
      <sheetName val="Tax_Computation16"/>
      <sheetName val="Amortization_Table16"/>
      <sheetName val="Mine_Assumptions16"/>
      <sheetName val="E-2_Capital_AFE_-_Carryover16"/>
      <sheetName val="Rp_Banten16"/>
      <sheetName val="DATA_HRG16"/>
      <sheetName val="Data_Jual16"/>
      <sheetName val="tanah_(2)16"/>
      <sheetName val="Jual_Mtr_1216"/>
      <sheetName val="ID_MENADO16"/>
      <sheetName val="BS-PL_Komersil_and_Fiskal16"/>
      <sheetName val="data_(2)16"/>
      <sheetName val="Wil_116"/>
      <sheetName val="WBS_(2)salah16"/>
      <sheetName val="gg_116"/>
      <sheetName val="Ending_SP16"/>
      <sheetName val="DATA_INPUT16"/>
      <sheetName val="KAS_RP18"/>
      <sheetName val="KAS_$18"/>
      <sheetName val="ELIM_LBU118"/>
      <sheetName val="PNL1_A18"/>
      <sheetName val="PNL2_A18"/>
      <sheetName val="KAS__18"/>
      <sheetName val="Irregular_Income18"/>
      <sheetName val="FE-1770_P118"/>
      <sheetName val="Permanent_info18"/>
      <sheetName val="Tax_Rate18"/>
      <sheetName val="T_material18"/>
      <sheetName val="Tax_Computation18"/>
      <sheetName val="Amortization_Table18"/>
      <sheetName val="Mine_Assumptions18"/>
      <sheetName val="E-2_Capital_AFE_-_Carryover18"/>
      <sheetName val="Rp_Banten18"/>
      <sheetName val="DATA_HRG18"/>
      <sheetName val="Data_Jual18"/>
      <sheetName val="tanah_(2)18"/>
      <sheetName val="Jual_Mtr_1218"/>
      <sheetName val="ID_MENADO18"/>
      <sheetName val="BS-PL_Komersil_and_Fiskal18"/>
      <sheetName val="data_(2)18"/>
      <sheetName val="Wil_118"/>
      <sheetName val="WBS_(2)salah18"/>
      <sheetName val="gg_118"/>
      <sheetName val="Ending_SP18"/>
      <sheetName val="DATA_INPUT18"/>
      <sheetName val="KAS_RP19"/>
      <sheetName val="KAS_$19"/>
      <sheetName val="ELIM_LBU119"/>
      <sheetName val="PNL1_A19"/>
      <sheetName val="PNL2_A19"/>
      <sheetName val="KAS__19"/>
      <sheetName val="Irregular_Income19"/>
      <sheetName val="FE-1770_P119"/>
      <sheetName val="Permanent_info19"/>
      <sheetName val="Tax_Rate19"/>
      <sheetName val="T_material19"/>
      <sheetName val="Tax_Computation19"/>
      <sheetName val="Amortization_Table19"/>
      <sheetName val="Mine_Assumptions19"/>
      <sheetName val="E-2_Capital_AFE_-_Carryover19"/>
      <sheetName val="Rp_Banten19"/>
      <sheetName val="DATA_HRG19"/>
      <sheetName val="Data_Jual19"/>
      <sheetName val="tanah_(2)19"/>
      <sheetName val="Jual_Mtr_1219"/>
      <sheetName val="ID_MENADO19"/>
      <sheetName val="BS-PL_Komersil_and_Fiskal19"/>
      <sheetName val="data_(2)19"/>
      <sheetName val="Wil_119"/>
      <sheetName val="WBS_(2)salah19"/>
      <sheetName val="gg_119"/>
      <sheetName val="Ending_SP19"/>
      <sheetName val="DATA_INPUT19"/>
      <sheetName val="KAS_RP21"/>
      <sheetName val="KAS_$21"/>
      <sheetName val="ELIM_LBU121"/>
      <sheetName val="PNL1_A21"/>
      <sheetName val="PNL2_A21"/>
      <sheetName val="KAS__21"/>
      <sheetName val="Irregular_Income21"/>
      <sheetName val="FE-1770_P121"/>
      <sheetName val="Permanent_info21"/>
      <sheetName val="Tax_Rate21"/>
      <sheetName val="T_material21"/>
      <sheetName val="Tax_Computation21"/>
      <sheetName val="Amortization_Table21"/>
      <sheetName val="Mine_Assumptions21"/>
      <sheetName val="E-2_Capital_AFE_-_Carryover21"/>
      <sheetName val="Rp_Banten21"/>
      <sheetName val="DATA_HRG21"/>
      <sheetName val="Data_Jual21"/>
      <sheetName val="tanah_(2)21"/>
      <sheetName val="Jual_Mtr_1221"/>
      <sheetName val="ID_MENADO21"/>
      <sheetName val="BS-PL_Komersil_and_Fiskal21"/>
      <sheetName val="data_(2)21"/>
      <sheetName val="Wil_121"/>
      <sheetName val="WBS_(2)salah21"/>
      <sheetName val="gg_121"/>
      <sheetName val="Ending_SP21"/>
      <sheetName val="DATA_INPUT21"/>
      <sheetName val="KAS_RP22"/>
      <sheetName val="KAS_$22"/>
      <sheetName val="ELIM_LBU122"/>
      <sheetName val="PNL1_A22"/>
      <sheetName val="PNL2_A22"/>
      <sheetName val="KAS__22"/>
      <sheetName val="Irregular_Income22"/>
      <sheetName val="FE-1770_P122"/>
      <sheetName val="Permanent_info22"/>
      <sheetName val="Tax_Rate22"/>
      <sheetName val="T_material22"/>
      <sheetName val="Tax_Computation22"/>
      <sheetName val="Amortization_Table22"/>
      <sheetName val="Mine_Assumptions22"/>
      <sheetName val="E-2_Capital_AFE_-_Carryover22"/>
      <sheetName val="Rp_Banten22"/>
      <sheetName val="DATA_HRG22"/>
      <sheetName val="Data_Jual22"/>
      <sheetName val="tanah_(2)22"/>
      <sheetName val="Jual_Mtr_1222"/>
      <sheetName val="ID_MENADO22"/>
      <sheetName val="BS-PL_Komersil_and_Fiskal22"/>
      <sheetName val="data_(2)22"/>
      <sheetName val="Wil_122"/>
      <sheetName val="WBS_(2)salah22"/>
      <sheetName val="gg_122"/>
      <sheetName val="Ending_SP22"/>
      <sheetName val="DATA_INPUT22"/>
      <sheetName val="KAS_RP23"/>
      <sheetName val="KAS_$23"/>
      <sheetName val="ELIM_LBU123"/>
      <sheetName val="PNL1_A23"/>
      <sheetName val="PNL2_A23"/>
      <sheetName val="KAS__23"/>
      <sheetName val="Irregular_Income23"/>
      <sheetName val="FE-1770_P123"/>
      <sheetName val="Permanent_info23"/>
      <sheetName val="Tax_Rate23"/>
      <sheetName val="T_material23"/>
      <sheetName val="Tax_Computation23"/>
      <sheetName val="Amortization_Table23"/>
      <sheetName val="Mine_Assumptions23"/>
      <sheetName val="E-2_Capital_AFE_-_Carryover23"/>
      <sheetName val="Rp_Banten23"/>
      <sheetName val="DATA_HRG23"/>
      <sheetName val="Data_Jual23"/>
      <sheetName val="tanah_(2)23"/>
      <sheetName val="Jual_Mtr_1223"/>
      <sheetName val="ID_MENADO23"/>
      <sheetName val="BS-PL_Komersil_and_Fiskal23"/>
      <sheetName val="data_(2)23"/>
      <sheetName val="Wil_123"/>
      <sheetName val="WBS_(2)salah23"/>
      <sheetName val="gg_123"/>
      <sheetName val="Ending_SP23"/>
      <sheetName val="DATA_INPUT23"/>
      <sheetName val="KAS_RP24"/>
      <sheetName val="KAS_$24"/>
      <sheetName val="ELIM_LBU124"/>
      <sheetName val="PNL1_A24"/>
      <sheetName val="PNL2_A24"/>
      <sheetName val="KAS__24"/>
      <sheetName val="Irregular_Income24"/>
      <sheetName val="FE-1770_P124"/>
      <sheetName val="Permanent_info24"/>
      <sheetName val="Tax_Rate24"/>
      <sheetName val="T_material24"/>
      <sheetName val="Tax_Computation24"/>
      <sheetName val="Amortization_Table24"/>
      <sheetName val="Mine_Assumptions24"/>
      <sheetName val="E-2_Capital_AFE_-_Carryover24"/>
      <sheetName val="Rp_Banten24"/>
      <sheetName val="DATA_HRG24"/>
      <sheetName val="Data_Jual24"/>
      <sheetName val="tanah_(2)24"/>
      <sheetName val="Jual_Mtr_1224"/>
      <sheetName val="ID_MENADO24"/>
      <sheetName val="BS-PL_Komersil_and_Fiskal24"/>
      <sheetName val="data_(2)24"/>
      <sheetName val="Wil_124"/>
      <sheetName val="WBS_(2)salah24"/>
      <sheetName val="gg_124"/>
      <sheetName val="Ending_SP24"/>
      <sheetName val="DATA_INPUT24"/>
      <sheetName val="KAS_RP25"/>
      <sheetName val="KAS_$25"/>
      <sheetName val="ELIM_LBU125"/>
      <sheetName val="PNL1_A25"/>
      <sheetName val="PNL2_A25"/>
      <sheetName val="KAS__25"/>
      <sheetName val="Irregular_Income25"/>
      <sheetName val="FE-1770_P125"/>
      <sheetName val="Permanent_info25"/>
      <sheetName val="Tax_Rate25"/>
      <sheetName val="T_material25"/>
      <sheetName val="Tax_Computation25"/>
      <sheetName val="Amortization_Table25"/>
      <sheetName val="Mine_Assumptions25"/>
      <sheetName val="E-2_Capital_AFE_-_Carryover25"/>
      <sheetName val="Rp_Banten25"/>
      <sheetName val="DATA_HRG25"/>
      <sheetName val="Data_Jual25"/>
      <sheetName val="tanah_(2)25"/>
      <sheetName val="Jual_Mtr_1225"/>
      <sheetName val="ID_MENADO25"/>
      <sheetName val="BS-PL_Komersil_and_Fiskal25"/>
      <sheetName val="data_(2)25"/>
      <sheetName val="Wil_125"/>
      <sheetName val="WBS_(2)salah25"/>
      <sheetName val="gg_125"/>
      <sheetName val="Ending_SP25"/>
      <sheetName val="DATA_INPUT25"/>
      <sheetName val="KAS_RP27"/>
      <sheetName val="KAS_$27"/>
      <sheetName val="ELIM_LBU127"/>
      <sheetName val="PNL1_A27"/>
      <sheetName val="PNL2_A27"/>
      <sheetName val="KAS__27"/>
      <sheetName val="Irregular_Income27"/>
      <sheetName val="FE-1770_P127"/>
      <sheetName val="Permanent_info27"/>
      <sheetName val="Tax_Rate27"/>
      <sheetName val="T_material27"/>
      <sheetName val="Tax_Computation27"/>
      <sheetName val="Amortization_Table27"/>
      <sheetName val="Mine_Assumptions27"/>
      <sheetName val="E-2_Capital_AFE_-_Carryover27"/>
      <sheetName val="Rp_Banten27"/>
      <sheetName val="DATA_HRG27"/>
      <sheetName val="Data_Jual27"/>
      <sheetName val="tanah_(2)27"/>
      <sheetName val="Jual_Mtr_1227"/>
      <sheetName val="ID_MENADO27"/>
      <sheetName val="BS-PL_Komersil_and_Fiskal27"/>
      <sheetName val="data_(2)27"/>
      <sheetName val="Wil_127"/>
      <sheetName val="WBS_(2)salah27"/>
      <sheetName val="gg_127"/>
      <sheetName val="Ending_SP27"/>
      <sheetName val="DATA_INPUT27"/>
      <sheetName val="KAS_RP28"/>
      <sheetName val="KAS_$28"/>
      <sheetName val="ELIM_LBU128"/>
      <sheetName val="PNL1_A28"/>
      <sheetName val="PNL2_A28"/>
      <sheetName val="KAS__28"/>
      <sheetName val="Irregular_Income28"/>
      <sheetName val="FE-1770_P128"/>
      <sheetName val="Permanent_info28"/>
      <sheetName val="Tax_Rate28"/>
      <sheetName val="T_material28"/>
      <sheetName val="Tax_Computation28"/>
      <sheetName val="Amortization_Table28"/>
      <sheetName val="Mine_Assumptions28"/>
      <sheetName val="E-2_Capital_AFE_-_Carryover28"/>
      <sheetName val="Rp_Banten28"/>
      <sheetName val="DATA_HRG28"/>
      <sheetName val="Data_Jual28"/>
      <sheetName val="tanah_(2)28"/>
      <sheetName val="Jual_Mtr_1228"/>
      <sheetName val="ID_MENADO28"/>
      <sheetName val="BS-PL_Komersil_and_Fiskal28"/>
      <sheetName val="data_(2)28"/>
      <sheetName val="Wil_128"/>
      <sheetName val="WBS_(2)salah28"/>
      <sheetName val="gg_128"/>
      <sheetName val="Ending_SP28"/>
      <sheetName val="DATA_INPUT28"/>
      <sheetName val="KAS_RP29"/>
      <sheetName val="KAS_$29"/>
      <sheetName val="ELIM_LBU129"/>
      <sheetName val="PNL1_A29"/>
      <sheetName val="PNL2_A29"/>
      <sheetName val="KAS__29"/>
      <sheetName val="Irregular_Income29"/>
      <sheetName val="FE-1770_P129"/>
      <sheetName val="Permanent_info29"/>
      <sheetName val="Tax_Rate29"/>
      <sheetName val="T_material29"/>
      <sheetName val="Tax_Computation29"/>
      <sheetName val="Amortization_Table29"/>
      <sheetName val="Mine_Assumptions29"/>
      <sheetName val="E-2_Capital_AFE_-_Carryover29"/>
      <sheetName val="Rp_Banten29"/>
      <sheetName val="DATA_HRG29"/>
      <sheetName val="Data_Jual29"/>
      <sheetName val="tanah_(2)29"/>
      <sheetName val="Jual_Mtr_1229"/>
      <sheetName val="ID_MENADO29"/>
      <sheetName val="BS-PL_Komersil_and_Fiskal29"/>
      <sheetName val="data_(2)29"/>
      <sheetName val="Wil_129"/>
      <sheetName val="WBS_(2)salah29"/>
      <sheetName val="gg_129"/>
      <sheetName val="Ending_SP29"/>
      <sheetName val="DATA_INPUT29"/>
      <sheetName val="KAS_RP30"/>
      <sheetName val="KAS_$30"/>
      <sheetName val="ELIM_LBU130"/>
      <sheetName val="PNL1_A30"/>
      <sheetName val="PNL2_A30"/>
      <sheetName val="KAS__30"/>
      <sheetName val="Irregular_Income30"/>
      <sheetName val="FE-1770_P130"/>
      <sheetName val="Permanent_info30"/>
      <sheetName val="KAS_RP31"/>
      <sheetName val="KAS_$31"/>
      <sheetName val="ELIM_LBU131"/>
      <sheetName val="PNL1_A31"/>
      <sheetName val="PNL2_A31"/>
      <sheetName val="KAS__31"/>
      <sheetName val="Irregular_Income31"/>
      <sheetName val="FE-1770_P131"/>
      <sheetName val="Permanent_info31"/>
      <sheetName val="Tax_Rate30"/>
      <sheetName val="T_material30"/>
      <sheetName val="Tax_Computation30"/>
      <sheetName val="Amortization_Table30"/>
      <sheetName val="Mine_Assumptions30"/>
      <sheetName val="E-2_Capital_AFE_-_Carryover30"/>
      <sheetName val="Rp_Banten30"/>
      <sheetName val="DATA_HRG30"/>
      <sheetName val="Data_Jual30"/>
      <sheetName val="tanah_(2)30"/>
      <sheetName val="Jual_Mtr_1230"/>
      <sheetName val="ID_MENADO30"/>
      <sheetName val="BS-PL_Komersil_and_Fiskal30"/>
      <sheetName val="data_(2)30"/>
      <sheetName val="Wil_130"/>
      <sheetName val="WBS_(2)salah30"/>
      <sheetName val="gg_130"/>
      <sheetName val="Ending_SP30"/>
      <sheetName val="DATA_INPUT30"/>
      <sheetName val="KAS_RP32"/>
      <sheetName val="KAS_$32"/>
      <sheetName val="ELIM_LBU132"/>
      <sheetName val="PNL1_A32"/>
      <sheetName val="PNL2_A32"/>
      <sheetName val="KAS__32"/>
      <sheetName val="Irregular_Income32"/>
      <sheetName val="FE-1770_P132"/>
      <sheetName val="Permanent_info32"/>
      <sheetName val="Tax_Rate31"/>
      <sheetName val="T_material31"/>
      <sheetName val="Tax_Computation31"/>
      <sheetName val="Amortization_Table31"/>
      <sheetName val="Mine_Assumptions31"/>
      <sheetName val="E-2_Capital_AFE_-_Carryover31"/>
      <sheetName val="Rp_Banten31"/>
      <sheetName val="DATA_HRG31"/>
      <sheetName val="Data_Jual31"/>
      <sheetName val="tanah_(2)31"/>
      <sheetName val="Jual_Mtr_1231"/>
      <sheetName val="ID_MENADO31"/>
      <sheetName val="BS-PL_Komersil_and_Fiskal31"/>
      <sheetName val="data_(2)31"/>
      <sheetName val="Wil_131"/>
      <sheetName val="WBS_(2)salah31"/>
      <sheetName val="gg_131"/>
      <sheetName val="Ending_SP31"/>
      <sheetName val="DATA_INPUT31"/>
      <sheetName val="KAS_RP33"/>
      <sheetName val="KAS_$33"/>
      <sheetName val="ELIM_LBU133"/>
      <sheetName val="PNL1_A33"/>
      <sheetName val="PNL2_A33"/>
      <sheetName val="KAS__33"/>
      <sheetName val="Irregular_Income33"/>
      <sheetName val="FE-1770_P133"/>
      <sheetName val="Permanent_info33"/>
      <sheetName val="Tax_Rate32"/>
      <sheetName val="T_material32"/>
      <sheetName val="Tax_Computation32"/>
      <sheetName val="Amortization_Table32"/>
      <sheetName val="Mine_Assumptions32"/>
      <sheetName val="E-2_Capital_AFE_-_Carryover32"/>
      <sheetName val="Rp_Banten32"/>
      <sheetName val="DATA_HRG32"/>
      <sheetName val="Data_Jual32"/>
      <sheetName val="tanah_(2)32"/>
      <sheetName val="Jual_Mtr_1232"/>
      <sheetName val="ID_MENADO32"/>
      <sheetName val="BS-PL_Komersil_and_Fiskal32"/>
      <sheetName val="data_(2)32"/>
      <sheetName val="Wil_132"/>
      <sheetName val="WBS_(2)salah32"/>
      <sheetName val="gg_132"/>
      <sheetName val="Ending_SP32"/>
      <sheetName val="DATA_INPUT32"/>
      <sheetName val="GRAND_REKAP"/>
      <sheetName val="H_Satuan1"/>
      <sheetName val="Sheet1_(2)"/>
      <sheetName val="1771_2"/>
      <sheetName val="Sales_and_Collections"/>
      <sheetName val="Operating_Expenses_"/>
      <sheetName val="BY_PO"/>
      <sheetName val="Shoping_List_Tsel"/>
      <sheetName val="SPRS_breakdown_pricing"/>
      <sheetName val="Invested_capital_VDF"/>
      <sheetName val="B_-_Norelec"/>
      <sheetName val="Bill_sipil"/>
      <sheetName val="KAS_RP34"/>
      <sheetName val="KAS_$34"/>
      <sheetName val="ELIM_LBU134"/>
      <sheetName val="PNL1_A34"/>
      <sheetName val="PNL2_A34"/>
      <sheetName val="KAS__34"/>
      <sheetName val="Irregular_Income34"/>
      <sheetName val="FE-1770_P134"/>
      <sheetName val="Permanent_info34"/>
      <sheetName val="Tax_Rate33"/>
      <sheetName val="T_material33"/>
      <sheetName val="Tax_Computation33"/>
      <sheetName val="Amortization_Table33"/>
      <sheetName val="Mine_Assumptions33"/>
      <sheetName val="E-2_Capital_AFE_-_Carryover33"/>
      <sheetName val="Rp_Banten33"/>
      <sheetName val="DATA_HRG33"/>
      <sheetName val="Data_Jual33"/>
      <sheetName val="tanah_(2)33"/>
      <sheetName val="Jual_Mtr_1233"/>
      <sheetName val="ID_MENADO33"/>
      <sheetName val="BS-PL_Komersil_and_Fiskal33"/>
      <sheetName val="data_(2)33"/>
      <sheetName val="Wil_133"/>
      <sheetName val="WBS_(2)salah33"/>
      <sheetName val="gg_133"/>
      <sheetName val="Ending_SP33"/>
      <sheetName val="DATA_INPUT33"/>
      <sheetName val="DIRECT_COST2"/>
      <sheetName val="Ford_Options1"/>
      <sheetName val="XLS_Avg_Rev1"/>
      <sheetName val="Option_List1"/>
      <sheetName val="HP_18_th1"/>
      <sheetName val="Retail_Spider1"/>
      <sheetName val="Balance_Sheet1"/>
      <sheetName val="DB_1"/>
      <sheetName val="Table_Array1"/>
      <sheetName val="Ex_Rate1"/>
      <sheetName val="Angs_B_Group1"/>
      <sheetName val="Cost_Ctr1"/>
      <sheetName val="Table_11"/>
      <sheetName val="Asumsi_Sls1"/>
      <sheetName val="Budget_20021"/>
      <sheetName val="Data_SRL1"/>
      <sheetName val="Data_Prod_Graf1"/>
      <sheetName val="grafik_fisik1"/>
      <sheetName val="Check_Sheet1"/>
      <sheetName val="GRAND_REKAP1"/>
      <sheetName val="H_Satuan2"/>
      <sheetName val="TRAFIK_KAPAL1"/>
      <sheetName val="ARUS_KAS1"/>
      <sheetName val="Sheet1_(2)1"/>
      <sheetName val="1771_21"/>
      <sheetName val="Sales_and_Collections1"/>
      <sheetName val="Operating_Expenses_1"/>
      <sheetName val="P12_41"/>
      <sheetName val="Rincian_Bah&amp;Ten1"/>
      <sheetName val="Plan_vs_Real1"/>
      <sheetName val="Rinci_Progres1"/>
      <sheetName val="BY_PO1"/>
      <sheetName val="Shoping_List_Tsel1"/>
      <sheetName val="SPRS_breakdown_pricing1"/>
      <sheetName val="Invested_capital_VDF1"/>
      <sheetName val="B_-_Norelec1"/>
      <sheetName val="Bill_sipil1"/>
      <sheetName val="daya_tarik_loko1"/>
      <sheetName val="KAS_RP35"/>
      <sheetName val="KAS_$35"/>
      <sheetName val="ELIM_LBU135"/>
      <sheetName val="PNL1_A35"/>
      <sheetName val="PNL2_A35"/>
      <sheetName val="KAS__35"/>
      <sheetName val="Irregular_Income35"/>
      <sheetName val="FE-1770_P135"/>
      <sheetName val="Permanent_info35"/>
      <sheetName val="Tax_Rate34"/>
      <sheetName val="T_material34"/>
      <sheetName val="Tax_Computation34"/>
      <sheetName val="Amortization_Table34"/>
      <sheetName val="Mine_Assumptions34"/>
      <sheetName val="E-2_Capital_AFE_-_Carryover34"/>
      <sheetName val="Rp_Banten34"/>
      <sheetName val="DATA_HRG34"/>
      <sheetName val="Data_Jual34"/>
      <sheetName val="tanah_(2)34"/>
      <sheetName val="Jual_Mtr_1234"/>
      <sheetName val="ID_MENADO34"/>
      <sheetName val="BS-PL_Komersil_and_Fiskal34"/>
      <sheetName val="data_(2)34"/>
      <sheetName val="Wil_134"/>
      <sheetName val="WBS_(2)salah34"/>
      <sheetName val="gg_134"/>
      <sheetName val="Ending_SP34"/>
      <sheetName val="DATA_INPUT34"/>
      <sheetName val="Bobot_rev5"/>
      <sheetName val="2703_16"/>
      <sheetName val="Discount_Tables4"/>
      <sheetName val="Write_Off_&amp;_Disposal055"/>
      <sheetName val="Profit_&amp;_Loss_Account4"/>
      <sheetName val="Job_Code_Table4"/>
      <sheetName val="Data_Request4"/>
      <sheetName val="Effort_P4"/>
      <sheetName val="3__PL_ASCO4"/>
      <sheetName val="HRG_BHN4"/>
      <sheetName val="Hua_Yang_Quarterly4"/>
      <sheetName val="Simple_Coff_4"/>
      <sheetName val="STOCK_AKHIR4"/>
      <sheetName val="8400_24"/>
      <sheetName val="ut_no_stm5"/>
      <sheetName val="SAP_27JAN_12PM4"/>
      <sheetName val="Access_Radio_NL4004"/>
      <sheetName val="S_e_p4"/>
      <sheetName val="00_received_in_014"/>
      <sheetName val="F_e_b4"/>
      <sheetName val="Per_GL_J_a_n4"/>
      <sheetName val="A_p_r4"/>
      <sheetName val="M_a_y4"/>
      <sheetName val="DIRECT_COST3"/>
      <sheetName val="Bonus_(CP)4"/>
      <sheetName val="Bonus__(Des)4"/>
      <sheetName val="THR_Leb4"/>
      <sheetName val="THR_Nat4"/>
      <sheetName val="ISI_SPT4"/>
      <sheetName val="Income_Statement4"/>
      <sheetName val="trf_d-i4"/>
      <sheetName val="1200_5_ffe12"/>
      <sheetName val="KKP-II_2_2_1_22"/>
      <sheetName val="Ford_Options2"/>
      <sheetName val="XLS_Avg_Rev2"/>
      <sheetName val="Option_List2"/>
      <sheetName val="HP_18_th2"/>
      <sheetName val="Retail_Spider2"/>
      <sheetName val="Rumus_PL2"/>
      <sheetName val="fr_BS4"/>
      <sheetName val="Terbilang_sertifikat4"/>
      <sheetName val="WBS_20052"/>
      <sheetName val="Lead_Schedule2"/>
      <sheetName val="Balance_Sheet2"/>
      <sheetName val="DB_2"/>
      <sheetName val="Table_Array2"/>
      <sheetName val="Ex_Rate2"/>
      <sheetName val="Angs_B_Group2"/>
      <sheetName val="Cost_Ctr2"/>
      <sheetName val="Table_12"/>
      <sheetName val="Asumsi_Sls2"/>
      <sheetName val="Budget_20022"/>
      <sheetName val="Data_SRL2"/>
      <sheetName val="Data_Prod_Graf2"/>
      <sheetName val="grafik_fisik2"/>
      <sheetName val="Check_Sheet2"/>
      <sheetName val="GRAND_REKAP2"/>
      <sheetName val="H_Satuan3"/>
      <sheetName val="TRAFIK_KAPAL2"/>
      <sheetName val="ARUS_KAS2"/>
      <sheetName val="Sheet1_(2)2"/>
      <sheetName val="1771_22"/>
      <sheetName val="Sales_and_Collections2"/>
      <sheetName val="Operating_Expenses_2"/>
      <sheetName val="P12_42"/>
      <sheetName val="Rincian_Bah&amp;Ten2"/>
      <sheetName val="Plan_vs_Real2"/>
      <sheetName val="Rinci_Progres2"/>
      <sheetName val="BY_PO2"/>
      <sheetName val="Shoping_List_Tsel2"/>
      <sheetName val="SPRS_breakdown_pricing2"/>
      <sheetName val="Invested_capital_VDF2"/>
      <sheetName val="B_-_Norelec2"/>
      <sheetName val="Bill_sipil2"/>
      <sheetName val="daya_tarik_loko2"/>
      <sheetName val="KAS_RP36"/>
      <sheetName val="KAS_$36"/>
      <sheetName val="ELIM_LBU136"/>
      <sheetName val="PNL1_A36"/>
      <sheetName val="PNL2_A36"/>
      <sheetName val="KAS__36"/>
      <sheetName val="Irregular_Income36"/>
      <sheetName val="FE-1770_P136"/>
      <sheetName val="Permanent_info36"/>
      <sheetName val="Tax_Rate35"/>
      <sheetName val="T_material35"/>
      <sheetName val="Tax_Computation35"/>
      <sheetName val="Amortization_Table35"/>
      <sheetName val="Mine_Assumptions35"/>
      <sheetName val="E-2_Capital_AFE_-_Carryover35"/>
      <sheetName val="Rp_Banten35"/>
      <sheetName val="DATA_HRG35"/>
      <sheetName val="Data_Jual35"/>
      <sheetName val="tanah_(2)35"/>
      <sheetName val="Jual_Mtr_1235"/>
      <sheetName val="ID_MENADO35"/>
      <sheetName val="BS-PL_Komersil_and_Fiskal35"/>
      <sheetName val="data_(2)35"/>
      <sheetName val="Wil_135"/>
      <sheetName val="WBS_(2)salah35"/>
      <sheetName val="gg_135"/>
      <sheetName val="Ending_SP35"/>
      <sheetName val="DATA_INPUT35"/>
      <sheetName val="Bobot_rev6"/>
      <sheetName val="2703_17"/>
      <sheetName val="Discount_Tables5"/>
      <sheetName val="Write_Off_&amp;_Disposal056"/>
      <sheetName val="Profit_&amp;_Loss_Account5"/>
      <sheetName val="Job_Code_Table5"/>
      <sheetName val="Data_Request5"/>
      <sheetName val="Effort_P5"/>
      <sheetName val="3__PL_ASCO5"/>
      <sheetName val="HRG_BHN5"/>
      <sheetName val="Hua_Yang_Quarterly5"/>
      <sheetName val="Simple_Coff_5"/>
      <sheetName val="STOCK_AKHIR5"/>
      <sheetName val="8400_25"/>
      <sheetName val="ut_no_stm6"/>
      <sheetName val="SAP_27JAN_12PM5"/>
      <sheetName val="Access_Radio_NL4005"/>
      <sheetName val="S_e_p5"/>
      <sheetName val="00_received_in_015"/>
      <sheetName val="F_e_b5"/>
      <sheetName val="Per_GL_J_a_n5"/>
      <sheetName val="A_p_r5"/>
      <sheetName val="M_a_y5"/>
      <sheetName val="DIRECT_COST4"/>
      <sheetName val="Bonus_(CP)5"/>
      <sheetName val="Bonus__(Des)5"/>
      <sheetName val="THR_Leb5"/>
      <sheetName val="THR_Nat5"/>
      <sheetName val="ISI_SPT5"/>
      <sheetName val="Income_Statement5"/>
      <sheetName val="trf_d-i5"/>
      <sheetName val="1200_5_ffe13"/>
      <sheetName val="KKP-II_2_2_1_23"/>
      <sheetName val="Ford_Options3"/>
      <sheetName val="XLS_Avg_Rev3"/>
      <sheetName val="Option_List3"/>
      <sheetName val="HP_18_th3"/>
      <sheetName val="Retail_Spider3"/>
      <sheetName val="Rumus_PL3"/>
      <sheetName val="fr_BS5"/>
      <sheetName val="Terbilang_sertifikat5"/>
      <sheetName val="WBS_20053"/>
      <sheetName val="Lead_Schedule3"/>
      <sheetName val="Balance_Sheet3"/>
      <sheetName val="DB_3"/>
      <sheetName val="Table_Array3"/>
      <sheetName val="Ex_Rate3"/>
      <sheetName val="Angs_B_Group3"/>
      <sheetName val="Cost_Ctr3"/>
      <sheetName val="Table_13"/>
      <sheetName val="Asumsi_Sls3"/>
      <sheetName val="Budget_20023"/>
      <sheetName val="Data_SRL3"/>
      <sheetName val="Data_Prod_Graf3"/>
      <sheetName val="grafik_fisik3"/>
      <sheetName val="Check_Sheet3"/>
      <sheetName val="GRAND_REKAP3"/>
      <sheetName val="H_Satuan4"/>
      <sheetName val="TRAFIK_KAPAL3"/>
      <sheetName val="ARUS_KAS3"/>
      <sheetName val="Sheet1_(2)3"/>
      <sheetName val="1771_23"/>
      <sheetName val="Sales_and_Collections3"/>
      <sheetName val="Operating_Expenses_3"/>
      <sheetName val="P12_43"/>
      <sheetName val="Rincian_Bah&amp;Ten3"/>
      <sheetName val="Plan_vs_Real3"/>
      <sheetName val="Rinci_Progres3"/>
      <sheetName val="BY_PO3"/>
      <sheetName val="Shoping_List_Tsel3"/>
      <sheetName val="SPRS_breakdown_pricing3"/>
      <sheetName val="Invested_capital_VDF3"/>
      <sheetName val="B_-_Norelec3"/>
      <sheetName val="Bill_sipil3"/>
      <sheetName val="daya_tarik_loko3"/>
      <sheetName val="KAS_RP37"/>
      <sheetName val="KAS_$37"/>
      <sheetName val="ELIM_LBU137"/>
      <sheetName val="PNL1_A37"/>
      <sheetName val="PNL2_A37"/>
      <sheetName val="KAS__37"/>
      <sheetName val="Irregular_Income37"/>
      <sheetName val="FE-1770_P137"/>
      <sheetName val="Permanent_info37"/>
      <sheetName val="Tax_Rate36"/>
      <sheetName val="T_material36"/>
      <sheetName val="Tax_Computation36"/>
      <sheetName val="Amortization_Table36"/>
      <sheetName val="Mine_Assumptions36"/>
      <sheetName val="E-2_Capital_AFE_-_Carryover36"/>
      <sheetName val="Rp_Banten36"/>
      <sheetName val="DATA_HRG36"/>
      <sheetName val="Data_Jual36"/>
      <sheetName val="tanah_(2)36"/>
      <sheetName val="Jual_Mtr_1236"/>
      <sheetName val="ID_MENADO36"/>
      <sheetName val="BS-PL_Komersil_and_Fiskal36"/>
      <sheetName val="data_(2)36"/>
      <sheetName val="Wil_136"/>
      <sheetName val="WBS_(2)salah36"/>
      <sheetName val="gg_136"/>
      <sheetName val="Ending_SP36"/>
      <sheetName val="DATA_INPUT36"/>
      <sheetName val="Bobot_rev7"/>
      <sheetName val="2703_18"/>
      <sheetName val="Discount_Tables6"/>
      <sheetName val="Write_Off_&amp;_Disposal057"/>
      <sheetName val="Profit_&amp;_Loss_Account6"/>
      <sheetName val="Job_Code_Table6"/>
      <sheetName val="Data_Request6"/>
      <sheetName val="Effort_P6"/>
      <sheetName val="3__PL_ASCO6"/>
      <sheetName val="HRG_BHN6"/>
      <sheetName val="Hua_Yang_Quarterly6"/>
      <sheetName val="Simple_Coff_6"/>
      <sheetName val="STOCK_AKHIR6"/>
      <sheetName val="8400_26"/>
      <sheetName val="ut_no_stm7"/>
      <sheetName val="SAP_27JAN_12PM6"/>
      <sheetName val="Access_Radio_NL4006"/>
      <sheetName val="S_e_p6"/>
      <sheetName val="00_received_in_016"/>
      <sheetName val="F_e_b6"/>
      <sheetName val="Per_GL_J_a_n6"/>
      <sheetName val="A_p_r6"/>
      <sheetName val="M_a_y6"/>
      <sheetName val="DIRECT_COST5"/>
      <sheetName val="Bonus_(CP)6"/>
      <sheetName val="Bonus__(Des)6"/>
      <sheetName val="THR_Leb6"/>
      <sheetName val="THR_Nat6"/>
      <sheetName val="ISI_SPT6"/>
      <sheetName val="Income_Statement6"/>
      <sheetName val="trf_d-i6"/>
      <sheetName val="1200_5_ffe14"/>
      <sheetName val="KKP-II_2_2_1_24"/>
      <sheetName val="Ford_Options4"/>
      <sheetName val="XLS_Avg_Rev4"/>
      <sheetName val="Option_List4"/>
      <sheetName val="HP_18_th4"/>
      <sheetName val="Retail_Spider4"/>
      <sheetName val="Rumus_PL4"/>
      <sheetName val="fr_BS6"/>
      <sheetName val="Terbilang_sertifikat6"/>
      <sheetName val="WBS_20054"/>
      <sheetName val="Lead_Schedule4"/>
      <sheetName val="Balance_Sheet4"/>
      <sheetName val="DB_4"/>
      <sheetName val="Table_Array4"/>
      <sheetName val="Ex_Rate4"/>
      <sheetName val="Angs_B_Group4"/>
      <sheetName val="Cost_Ctr4"/>
      <sheetName val="Table_14"/>
      <sheetName val="Asumsi_Sls4"/>
      <sheetName val="Budget_20024"/>
      <sheetName val="Data_SRL4"/>
      <sheetName val="Data_Prod_Graf4"/>
      <sheetName val="grafik_fisik4"/>
      <sheetName val="Check_Sheet4"/>
      <sheetName val="GRAND_REKAP4"/>
      <sheetName val="H_Satuan5"/>
      <sheetName val="TRAFIK_KAPAL4"/>
      <sheetName val="ARUS_KAS4"/>
      <sheetName val="Sheet1_(2)4"/>
      <sheetName val="1771_24"/>
      <sheetName val="Sales_and_Collections4"/>
      <sheetName val="Operating_Expenses_4"/>
      <sheetName val="P12_44"/>
      <sheetName val="Rincian_Bah&amp;Ten4"/>
      <sheetName val="Plan_vs_Real4"/>
      <sheetName val="Rinci_Progres4"/>
      <sheetName val="BY_PO4"/>
      <sheetName val="Shoping_List_Tsel4"/>
      <sheetName val="SPRS_breakdown_pricing4"/>
      <sheetName val="Invested_capital_VDF4"/>
      <sheetName val="B_-_Norelec4"/>
      <sheetName val="Bill_sipil4"/>
      <sheetName val="daya_tarik_loko4"/>
      <sheetName val="KAS_RP38"/>
      <sheetName val="KAS_$38"/>
      <sheetName val="ELIM_LBU138"/>
      <sheetName val="PNL1_A38"/>
      <sheetName val="PNL2_A38"/>
      <sheetName val="KAS__38"/>
      <sheetName val="Irregular_Income38"/>
      <sheetName val="FE-1770_P138"/>
      <sheetName val="Permanent_info38"/>
      <sheetName val="Tax_Rate37"/>
      <sheetName val="T_material37"/>
      <sheetName val="Tax_Computation37"/>
      <sheetName val="Amortization_Table37"/>
      <sheetName val="Mine_Assumptions37"/>
      <sheetName val="E-2_Capital_AFE_-_Carryover37"/>
      <sheetName val="Rp_Banten37"/>
      <sheetName val="DATA_HRG37"/>
      <sheetName val="Data_Jual37"/>
      <sheetName val="tanah_(2)37"/>
      <sheetName val="Jual_Mtr_1237"/>
      <sheetName val="ID_MENADO37"/>
      <sheetName val="BS-PL_Komersil_and_Fiskal37"/>
      <sheetName val="data_(2)37"/>
      <sheetName val="Wil_137"/>
      <sheetName val="WBS_(2)salah37"/>
      <sheetName val="gg_137"/>
      <sheetName val="Ending_SP37"/>
      <sheetName val="DATA_INPUT37"/>
      <sheetName val="Bobot_rev8"/>
      <sheetName val="2703_19"/>
      <sheetName val="Discount_Tables7"/>
      <sheetName val="Write_Off_&amp;_Disposal058"/>
      <sheetName val="Profit_&amp;_Loss_Account7"/>
      <sheetName val="Job_Code_Table7"/>
      <sheetName val="Data_Request7"/>
      <sheetName val="Effort_P7"/>
      <sheetName val="3__PL_ASCO7"/>
      <sheetName val="HRG_BHN7"/>
      <sheetName val="Hua_Yang_Quarterly7"/>
      <sheetName val="Simple_Coff_7"/>
      <sheetName val="STOCK_AKHIR7"/>
      <sheetName val="8400_27"/>
      <sheetName val="ut_no_stm8"/>
      <sheetName val="SAP_27JAN_12PM7"/>
      <sheetName val="Access_Radio_NL4007"/>
      <sheetName val="S_e_p7"/>
      <sheetName val="00_received_in_017"/>
      <sheetName val="F_e_b7"/>
      <sheetName val="Per_GL_J_a_n7"/>
      <sheetName val="A_p_r7"/>
      <sheetName val="M_a_y7"/>
      <sheetName val="DIRECT_COST6"/>
      <sheetName val="Bonus_(CP)7"/>
      <sheetName val="Bonus__(Des)7"/>
      <sheetName val="THR_Leb7"/>
      <sheetName val="THR_Nat7"/>
      <sheetName val="ISI_SPT7"/>
      <sheetName val="Income_Statement7"/>
      <sheetName val="trf_d-i7"/>
      <sheetName val="1200_5_ffe15"/>
      <sheetName val="KKP-II_2_2_1_25"/>
      <sheetName val="Ford_Options5"/>
      <sheetName val="XLS_Avg_Rev5"/>
      <sheetName val="Option_List5"/>
      <sheetName val="HP_18_th5"/>
      <sheetName val="Retail_Spider5"/>
      <sheetName val="Rumus_PL5"/>
      <sheetName val="fr_BS7"/>
      <sheetName val="Terbilang_sertifikat7"/>
      <sheetName val="WBS_20055"/>
      <sheetName val="Lead_Schedule5"/>
      <sheetName val="Balance_Sheet5"/>
      <sheetName val="DB_5"/>
      <sheetName val="Table_Array5"/>
      <sheetName val="Ex_Rate5"/>
      <sheetName val="Angs_B_Group5"/>
      <sheetName val="Cost_Ctr5"/>
      <sheetName val="Table_15"/>
      <sheetName val="Asumsi_Sls5"/>
      <sheetName val="Budget_20025"/>
      <sheetName val="Data_SRL5"/>
      <sheetName val="Data_Prod_Graf5"/>
      <sheetName val="grafik_fisik5"/>
      <sheetName val="Check_Sheet5"/>
      <sheetName val="GRAND_REKAP5"/>
      <sheetName val="H_Satuan6"/>
      <sheetName val="TRAFIK_KAPAL5"/>
      <sheetName val="ARUS_KAS5"/>
      <sheetName val="Sheet1_(2)5"/>
      <sheetName val="1771_25"/>
      <sheetName val="Sales_and_Collections5"/>
      <sheetName val="Operating_Expenses_5"/>
      <sheetName val="P12_45"/>
      <sheetName val="Rincian_Bah&amp;Ten5"/>
      <sheetName val="Plan_vs_Real5"/>
      <sheetName val="Rinci_Progres5"/>
      <sheetName val="BY_PO5"/>
      <sheetName val="Shoping_List_Tsel5"/>
      <sheetName val="SPRS_breakdown_pricing5"/>
      <sheetName val="Invested_capital_VDF5"/>
      <sheetName val="B_-_Norelec5"/>
      <sheetName val="Bill_sipil5"/>
      <sheetName val="daya_tarik_loko5"/>
      <sheetName val="Beli Mtr"/>
      <sheetName val="DPS OK"/>
      <sheetName val="ENS MACHINE"/>
      <sheetName val="Investment Valuation"/>
      <sheetName val="Olah"/>
      <sheetName val="TO MIG"/>
      <sheetName val="Emp Status MIG"/>
      <sheetName val="INV-KTR"/>
      <sheetName val="CompUSD"/>
      <sheetName val="MAP GAB"/>
      <sheetName val="Alat"/>
      <sheetName val="841"/>
      <sheetName val="DATA_DES"/>
      <sheetName val="5 Yr. Disc."/>
      <sheetName val="Lokal"/>
      <sheetName val="PK"/>
      <sheetName val="PM _2_"/>
      <sheetName val="PM"/>
      <sheetName val="PMCct"/>
      <sheetName val="Eku21Fnl"/>
      <sheetName val="EkualisasiFnl"/>
      <sheetName val="ｲﾝﾄﾞﾈｼｱ"/>
      <sheetName val="PENERIMAAN"/>
      <sheetName val="Irregu hÚ_x0005__x001e__x0000__"/>
      <sheetName val="JOURNAL"/>
      <sheetName val="J.1 Deffered Landright"/>
      <sheetName val="Jenis"/>
      <sheetName val="isbs"/>
      <sheetName val="Scenario"/>
      <sheetName val="Chart of Products"/>
      <sheetName val="DASH"/>
      <sheetName val="Mobdemobalat"/>
      <sheetName val="HARGA AT"/>
      <sheetName val="PROD"/>
      <sheetName val="LAMP_2.2"/>
      <sheetName val="610.05"/>
      <sheetName val="sdm"/>
      <sheetName val="Div2"/>
      <sheetName val="PL SPP per ton"/>
      <sheetName val="rate-alat"/>
      <sheetName val="rate"/>
      <sheetName val="PRY 01-8"/>
      <sheetName val="Kuantitas &amp; Harga"/>
      <sheetName val="Bekisting"/>
      <sheetName val="Galian"/>
      <sheetName val="Material"/>
      <sheetName val="RinciBab1_Seksi1"/>
      <sheetName val="grail"/>
      <sheetName val="ANAL"/>
      <sheetName val="EVAL-ANAL"/>
      <sheetName val="BHN-ALAT"/>
      <sheetName val="DaftarHarga"/>
      <sheetName val="Monitor"/>
      <sheetName val="TL"/>
      <sheetName val="Unit Rate"/>
      <sheetName val="bhn-upah"/>
      <sheetName val="Marshal -1"/>
      <sheetName val="upah"/>
      <sheetName val="Bill 4.1"/>
      <sheetName val="Rkp(1)"/>
      <sheetName val="harga sat"/>
      <sheetName val="Anls"/>
      <sheetName val="Bill"/>
      <sheetName val="DIV.9"/>
      <sheetName val="REF.ONLY"/>
      <sheetName val="RPP01 3"/>
      <sheetName val="Rekap 1"/>
      <sheetName val="RPP01 6"/>
      <sheetName val="Pipe"/>
      <sheetName val="Danamon LK"/>
      <sheetName val="Daftar Upah,Bhn,&amp; alat"/>
      <sheetName val="AHS-8FO"/>
      <sheetName val="CATATAN"/>
      <sheetName val="fcsp-w"/>
      <sheetName val="D4"/>
      <sheetName val="D6"/>
      <sheetName val="D7"/>
      <sheetName val="D8"/>
      <sheetName val="HARGA MATERIAL"/>
      <sheetName val="Cash2"/>
      <sheetName val="prog-mgu"/>
      <sheetName val="Rekap Analisa"/>
      <sheetName val="1195 B1"/>
      <sheetName val="hardas"/>
      <sheetName val="resume rkap"/>
      <sheetName val="pricing"/>
      <sheetName val="HRG-DASAR"/>
      <sheetName val="resume"/>
      <sheetName val="SCHEDULE "/>
      <sheetName val="1.B"/>
      <sheetName val="NP"/>
      <sheetName val="Urai _ Guide Post"/>
      <sheetName val="Urai_Galian Tanah"/>
      <sheetName val="Invoice"/>
      <sheetName val="Customize Your Invoice"/>
      <sheetName val="trf 7 jht"/>
      <sheetName val="WT-LIST"/>
      <sheetName val="K"/>
      <sheetName val="Girder-30"/>
      <sheetName val="Customize Your Purchase Order"/>
      <sheetName val="GIRDER 2"/>
      <sheetName val="REKAP READYMIX"/>
      <sheetName val="Mobilisasi"/>
      <sheetName val="SPT TAHUNAN"/>
      <sheetName val="Rinc_Setoran Astek"/>
      <sheetName val="DPLK_PST"/>
      <sheetName val="jkk_takaful"/>
      <sheetName val="Hsatuan-OK"/>
      <sheetName val="Account Code"/>
      <sheetName val="RIG 134-ASSETS APR 97"/>
      <sheetName val="RIG 027-ASSETS-AFTER 30 JUN 97"/>
      <sheetName val="RAB NEGO 17.01.18"/>
      <sheetName val="hsat-SD"/>
      <sheetName val="EVALUASI"/>
      <sheetName val="Cashflow_ref"/>
      <sheetName val="HS-2"/>
      <sheetName val="bd"/>
      <sheetName val="upah_borong"/>
      <sheetName val="6-AGREGAT"/>
      <sheetName val="Sales Rental"/>
      <sheetName val="Sales Parameter"/>
      <sheetName val="8410(Kerb)"/>
      <sheetName val="Van_Melle"/>
      <sheetName val="HSATUAN"/>
      <sheetName val="FORM X COST"/>
      <sheetName val="Hargamat"/>
      <sheetName val="029Cikeas00"/>
      <sheetName val="610.03a 15-7"/>
      <sheetName val="DATA-MASUKAN"/>
      <sheetName val="BCA-6"/>
      <sheetName val="P_L98"/>
      <sheetName val="BS-RTI"/>
      <sheetName val="MI(data_base)"/>
      <sheetName val="RANKING_PELAPORAN"/>
      <sheetName val="Price_List"/>
      <sheetName val="Income_Statement-May_2004"/>
      <sheetName val="VAT01_16"/>
      <sheetName val="VAT02_16"/>
      <sheetName val="VAT03_16"/>
      <sheetName val="VAT04_16"/>
      <sheetName val="VAT05_16"/>
      <sheetName val="VAT06_16"/>
      <sheetName val="VAT07_16"/>
      <sheetName val="VAT08_16"/>
      <sheetName val="VAT09_16"/>
      <sheetName val="VAT10_16"/>
      <sheetName val="VAT10_16_P-1"/>
      <sheetName val="VAT11_16"/>
      <sheetName val="VAT11_16_P-1"/>
      <sheetName val="VAT12_16"/>
      <sheetName val="VAT01_17"/>
      <sheetName val="VAT02_17"/>
      <sheetName val="VAT03_17"/>
      <sheetName val="VAT04_17"/>
      <sheetName val="VAT05_17"/>
      <sheetName val="VAT06_17"/>
      <sheetName val="VAT07_17"/>
      <sheetName val="VAT08_17"/>
      <sheetName val="VAT09_17"/>
      <sheetName val="VAT10_17"/>
      <sheetName val="VAT11_17"/>
      <sheetName val="VAT12_17"/>
      <sheetName val="VAT01_18"/>
      <sheetName val="VAT02_18"/>
      <sheetName val="VAT03_18"/>
      <sheetName val="VAT04_18"/>
      <sheetName val="VAT05_18"/>
      <sheetName val="VAT06_18"/>
      <sheetName val="VAT07_18"/>
      <sheetName val="VAT08_18"/>
      <sheetName val="VAT09_18"/>
      <sheetName val="VAT10_18"/>
      <sheetName val="VAT11_18"/>
      <sheetName val="VAT12_18"/>
      <sheetName val="VAT01_19"/>
      <sheetName val="VAT02_19"/>
      <sheetName val="VAT03_19"/>
      <sheetName val="VAT04_19"/>
      <sheetName val="VAT04_19_P-1"/>
      <sheetName val="VAT05_19"/>
      <sheetName val="VAT05_19_P-1"/>
      <sheetName val="VAT06_19"/>
      <sheetName val="VAT07_19"/>
      <sheetName val="Data_Vendor"/>
      <sheetName val="GL_SALES_BFI"/>
      <sheetName val="SCREEN_SHOOT_GL_SALES_BFI"/>
      <sheetName val="7_1(3)"/>
      <sheetName val="Harga_Dasar"/>
      <sheetName val="Analisa_K"/>
      <sheetName val="Isolasi_Luar_Dalam"/>
      <sheetName val="Isolasi_Luar"/>
      <sheetName val="NAMA_DEPT"/>
      <sheetName val="BQ_ARS"/>
      <sheetName val="input_data_umum"/>
      <sheetName val="WP_AKTIVA"/>
      <sheetName val="Basic_Information"/>
      <sheetName val="L12_Akt_Tetap"/>
      <sheetName val="D_BOARD"/>
      <sheetName val="Detail_UMS_Rev_Juni"/>
      <sheetName val="TO_MIG"/>
      <sheetName val="Emp_Status_MIG"/>
      <sheetName val="Unit_Rate_Indirect"/>
      <sheetName val="daftar_harga_satuan"/>
      <sheetName val="MI(data_base)1"/>
      <sheetName val="RANKING_PELAPORAN1"/>
      <sheetName val="Price_List1"/>
      <sheetName val="Income_Statement-May_20041"/>
      <sheetName val="VAT01_161"/>
      <sheetName val="VAT02_161"/>
      <sheetName val="VAT03_161"/>
      <sheetName val="VAT04_161"/>
      <sheetName val="VAT05_161"/>
      <sheetName val="VAT06_161"/>
      <sheetName val="VAT07_161"/>
      <sheetName val="VAT08_161"/>
      <sheetName val="VAT09_161"/>
      <sheetName val="VAT10_161"/>
      <sheetName val="VAT10_16_P-11"/>
      <sheetName val="VAT11_161"/>
      <sheetName val="VAT11_16_P-11"/>
      <sheetName val="VAT12_161"/>
      <sheetName val="VAT01_171"/>
      <sheetName val="VAT02_171"/>
      <sheetName val="VAT03_171"/>
      <sheetName val="VAT04_171"/>
      <sheetName val="VAT05_171"/>
      <sheetName val="VAT06_171"/>
      <sheetName val="VAT07_171"/>
      <sheetName val="VAT08_171"/>
      <sheetName val="VAT09_171"/>
      <sheetName val="VAT10_171"/>
      <sheetName val="VAT11_171"/>
      <sheetName val="VAT12_171"/>
      <sheetName val="VAT01_181"/>
      <sheetName val="VAT02_181"/>
      <sheetName val="VAT03_181"/>
      <sheetName val="VAT04_181"/>
      <sheetName val="VAT05_181"/>
      <sheetName val="VAT06_181"/>
      <sheetName val="VAT07_181"/>
      <sheetName val="VAT08_181"/>
      <sheetName val="VAT09_181"/>
      <sheetName val="VAT10_181"/>
      <sheetName val="VAT11_181"/>
      <sheetName val="VAT12_181"/>
      <sheetName val="VAT01_191"/>
      <sheetName val="VAT02_191"/>
      <sheetName val="VAT03_191"/>
      <sheetName val="VAT04_191"/>
      <sheetName val="VAT04_19_P-11"/>
      <sheetName val="VAT05_191"/>
      <sheetName val="VAT05_19_P-11"/>
      <sheetName val="VAT06_191"/>
      <sheetName val="VAT07_191"/>
      <sheetName val="Data_Vendor1"/>
      <sheetName val="GL_SALES_BFI1"/>
      <sheetName val="SCREEN_SHOOT_GL_SALES_BFI1"/>
      <sheetName val="7_1(3)1"/>
      <sheetName val="Harga_Dasar1"/>
      <sheetName val="Analisa_K1"/>
      <sheetName val="Isolasi_Luar_Dalam1"/>
      <sheetName val="Isolasi_Luar1"/>
      <sheetName val="NAMA_DEPT1"/>
      <sheetName val="BQ_ARS1"/>
      <sheetName val="input_data_umum1"/>
      <sheetName val="WP_AKTIVA1"/>
      <sheetName val="Basic_Information1"/>
      <sheetName val="L12_Akt_Tetap1"/>
      <sheetName val="D_BOARD1"/>
      <sheetName val="PL_(MONTHLY)1"/>
      <sheetName val="Detail_UMS_Rev_Juni1"/>
      <sheetName val="TO_MIG1"/>
      <sheetName val="Emp_Status_MIG1"/>
      <sheetName val="Unit_Rate_Indirect1"/>
      <sheetName val="daftar_harga_satuan1"/>
      <sheetName val="Irregu hÚ_x0005__x001e____ú=_x0015_"/>
      <sheetName val="BSLA"/>
      <sheetName val="CRA-Detail"/>
      <sheetName val="peb'03"/>
      <sheetName val="RumusTB 1 bln"/>
      <sheetName val="PRBM0900"/>
      <sheetName val="07-230420"/>
      <sheetName val="DATABASE A1"/>
      <sheetName val="P'DPTAN &amp; BEBAN LAIN2"/>
      <sheetName val="JUAL@RETUR"/>
      <sheetName val="Jual per unit"/>
      <sheetName val="Sheet2 (2)"/>
      <sheetName val="UM_UT"/>
      <sheetName val="Constants"/>
      <sheetName val="KPI_DATABANK"/>
      <sheetName val="Operation 1206-0107"/>
      <sheetName val="Maintenance 1206-0107"/>
      <sheetName val="TB2004"/>
      <sheetName val="DES 08"/>
      <sheetName val="fiscal depr(E)"/>
      <sheetName val="DEPK2003"/>
      <sheetName val="JVFORM"/>
      <sheetName val="N-HMSP"/>
      <sheetName val="StrukGj"/>
      <sheetName val="Absen"/>
      <sheetName val="Valuation"/>
      <sheetName val="3"/>
      <sheetName val="availability"/>
      <sheetName val="BoQ_C4"/>
      <sheetName val="REKAP_BI"/>
      <sheetName val="Kalkulasi_Loan"/>
      <sheetName val="D-1"/>
      <sheetName val="HB "/>
      <sheetName val="REG TOTAL"/>
      <sheetName val="RUGI LABA (12)"/>
      <sheetName val="Manual"/>
      <sheetName val="OT Alin"/>
      <sheetName val="For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/>
      <sheetData sheetId="2443"/>
      <sheetData sheetId="2444"/>
      <sheetData sheetId="2445"/>
      <sheetData sheetId="2446" refreshError="1"/>
      <sheetData sheetId="2447" refreshError="1"/>
      <sheetData sheetId="244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des"/>
      <sheetName val="NOV"/>
      <sheetName val="oct"/>
      <sheetName val="sept"/>
      <sheetName val="aug"/>
      <sheetName val="july"/>
      <sheetName val="june"/>
      <sheetName val="may"/>
      <sheetName val="Apr"/>
      <sheetName val="Mar"/>
      <sheetName val="Feb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june"/>
      <sheetName val="JVFORM"/>
      <sheetName val="JAN"/>
      <sheetName val="P&amp;L98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ing AP"/>
      <sheetName val="PPh"/>
      <sheetName val="Supplier"/>
      <sheetName val="Payable Voucher"/>
      <sheetName val="Cetak PV"/>
      <sheetName val="Buku BANK"/>
      <sheetName val="Cetak BDV"/>
      <sheetName val="Cetak ORV"/>
      <sheetName val="Buku K A S"/>
      <sheetName val="Kas Voucher"/>
      <sheetName val="IDR SM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h"/>
      <sheetName val="Aging AP"/>
      <sheetName val="Supplier"/>
      <sheetName val="Payable Voucher"/>
      <sheetName val="Cetak PV"/>
      <sheetName val="Bank USD"/>
      <sheetName val="BANK IDR"/>
      <sheetName val="Cetak BDV"/>
      <sheetName val="Cetak ORV"/>
      <sheetName val="Buku K A S"/>
      <sheetName val="Kas Voucher"/>
      <sheetName val="IDR Vouc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Sheet1"/>
      <sheetName val="Tabel-LHP"/>
      <sheetName val="KKP_II_2_2_1_2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01"/>
      <sheetName val="FEB 2001"/>
      <sheetName val="MAR 2001"/>
      <sheetName val="APR 2001"/>
      <sheetName val="MAY 2001"/>
      <sheetName val="JUN 2001"/>
      <sheetName val="JUL 2001"/>
      <sheetName val="AGUS 2001"/>
      <sheetName val="SEPT 2001"/>
      <sheetName val="OKT 2001"/>
      <sheetName val="NOV 2001"/>
      <sheetName val="DEC 2001"/>
      <sheetName val="Re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e Data"/>
      <sheetName val="Crew Laybarge"/>
      <sheetName val="Rates Laybarge"/>
      <sheetName val="Management"/>
      <sheetName val="Manag-resources"/>
      <sheetName val="Inspection resources"/>
      <sheetName val="Engineering"/>
      <sheetName val="Transfer of Castoro 2"/>
      <sheetName val="Preparation"/>
      <sheetName val="Transit C2"/>
      <sheetName val="Additional Mob-Demob C2"/>
      <sheetName val="LAYING"/>
      <sheetName val="Laying Opt.1"/>
      <sheetName val="RISERS BASE CASE"/>
      <sheetName val="Consumables BASE"/>
      <sheetName val="Consumables OPTION1"/>
      <sheetName val="Line pipe trips"/>
      <sheetName val="Pipe transp"/>
      <sheetName val="Onshore laying"/>
      <sheetName val="Hydrotesting"/>
      <sheetName val="Linepipes+Fittings (ref)"/>
      <sheetName val="PROCUREMENT"/>
      <sheetName val="Grouting+Ballasting"/>
      <sheetName val="Materials"/>
      <sheetName val="DIVING VESSEL"/>
      <sheetName val="Riser Transportation"/>
      <sheetName val="Shore Approach"/>
      <sheetName val="Stabilisation works"/>
      <sheetName val="Duties Tax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100000"/>
      <sheetName val="Cover"/>
      <sheetName val="Atv"/>
      <sheetName val="Akt.msn"/>
      <sheetName val="Akt.Inv"/>
      <sheetName val="Akt.Ken"/>
      <sheetName val="Asuransi"/>
      <sheetName val="NRC"/>
      <sheetName val="RL"/>
      <sheetName val="JP"/>
      <sheetName val="HPP"/>
      <sheetName val="JM"/>
      <sheetName val="TB"/>
      <sheetName val="101.00"/>
      <sheetName val="102.01"/>
      <sheetName val="102.02"/>
      <sheetName val="102.03"/>
      <sheetName val="110.01"/>
      <sheetName val="110.02"/>
      <sheetName val="110.03"/>
      <sheetName val="110.04"/>
      <sheetName val="110.05"/>
      <sheetName val="110.06"/>
      <sheetName val="110.08"/>
      <sheetName val="110.10"/>
      <sheetName val="110.11"/>
      <sheetName val="110.12"/>
      <sheetName val="110.13"/>
      <sheetName val="110.14"/>
      <sheetName val="110.15"/>
      <sheetName val="110.16"/>
      <sheetName val="111.01"/>
      <sheetName val="120.01"/>
      <sheetName val="120.02"/>
      <sheetName val="120.03"/>
      <sheetName val="120,04"/>
      <sheetName val="130.01"/>
      <sheetName val="130.02"/>
      <sheetName val="130.03"/>
      <sheetName val="140.05"/>
      <sheetName val="150.03"/>
      <sheetName val="150.04"/>
      <sheetName val="150.05"/>
      <sheetName val="150.07"/>
      <sheetName val="150.08"/>
      <sheetName val="160.01"/>
      <sheetName val="160.02"/>
      <sheetName val="160.03"/>
      <sheetName val="160.04"/>
      <sheetName val="160.05"/>
      <sheetName val="170.01"/>
      <sheetName val="170.02"/>
      <sheetName val="170.03"/>
      <sheetName val="170.04"/>
      <sheetName val="180.01"/>
      <sheetName val="180.02"/>
      <sheetName val="201.00"/>
      <sheetName val="202.00"/>
      <sheetName val="202.01"/>
      <sheetName val="202.02"/>
      <sheetName val="203.01"/>
      <sheetName val="203.02"/>
      <sheetName val="203.04"/>
      <sheetName val="203.05"/>
      <sheetName val="203.06"/>
      <sheetName val="203.06A"/>
      <sheetName val="203.20"/>
      <sheetName val="203.07"/>
      <sheetName val="203.08"/>
      <sheetName val="203.09"/>
      <sheetName val="203.11"/>
      <sheetName val="203.12"/>
      <sheetName val="203.15"/>
      <sheetName val="203.16"/>
      <sheetName val="203.18"/>
      <sheetName val="203.19"/>
      <sheetName val="203.22"/>
      <sheetName val="203.23"/>
      <sheetName val="203.24"/>
      <sheetName val="203,25"/>
      <sheetName val="203.26"/>
      <sheetName val="203.27"/>
      <sheetName val="203.28"/>
      <sheetName val="203.29"/>
      <sheetName val="203,30"/>
      <sheetName val="203,31"/>
      <sheetName val="203,32"/>
      <sheetName val="203,33"/>
      <sheetName val="203,34"/>
      <sheetName val="203,35"/>
      <sheetName val="203,36"/>
      <sheetName val="203.37"/>
      <sheetName val="203.38"/>
      <sheetName val="203.39"/>
      <sheetName val="203.40"/>
      <sheetName val="203.41"/>
      <sheetName val="203.42"/>
      <sheetName val="203.43"/>
      <sheetName val="203.44"/>
      <sheetName val="203.45"/>
      <sheetName val="203.46"/>
      <sheetName val="203.47"/>
      <sheetName val="203.48"/>
      <sheetName val="203.49"/>
      <sheetName val="203.50"/>
      <sheetName val="203.51"/>
      <sheetName val="203.52"/>
      <sheetName val="203.53"/>
      <sheetName val="203.55"/>
      <sheetName val="203.56"/>
      <sheetName val="203.57"/>
      <sheetName val="203.58"/>
      <sheetName val="203.59"/>
      <sheetName val="210.00"/>
      <sheetName val="250.00"/>
      <sheetName val="250,01"/>
      <sheetName val="250,02"/>
      <sheetName val="260.00"/>
      <sheetName val="270.00"/>
      <sheetName val="270.01"/>
      <sheetName val="400.00"/>
      <sheetName val="400.01"/>
      <sheetName val="400.02"/>
      <sheetName val="401.01"/>
      <sheetName val="500.01"/>
      <sheetName val="500.02"/>
      <sheetName val="500.03"/>
      <sheetName val="500.04"/>
      <sheetName val="500.05"/>
      <sheetName val="500.06"/>
      <sheetName val="500.07"/>
      <sheetName val="500.08"/>
      <sheetName val="500.10"/>
      <sheetName val="500.11"/>
      <sheetName val="500.12"/>
      <sheetName val="500.13"/>
      <sheetName val="500.14"/>
      <sheetName val="500.15"/>
      <sheetName val="701.01"/>
      <sheetName val="702.12"/>
      <sheetName val="702.02"/>
      <sheetName val="702.03"/>
      <sheetName val="702.05"/>
      <sheetName val="702.06"/>
      <sheetName val="702.07"/>
      <sheetName val="702.10"/>
      <sheetName val="702.11"/>
      <sheetName val="702.17"/>
      <sheetName val="702.18"/>
      <sheetName val="800.07"/>
      <sheetName val="800.06"/>
      <sheetName val="800.01"/>
      <sheetName val="800.02"/>
      <sheetName val="800.03"/>
      <sheetName val="800.05"/>
      <sheetName val="800.04"/>
      <sheetName val="Sheet1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  <sheetName val="2703.1"/>
      <sheetName val="KAS $"/>
      <sheetName val="UnitCost"/>
      <sheetName val="P&amp;L"/>
      <sheetName val="Crew"/>
      <sheetName val="KKP-II.2.2.1.2"/>
      <sheetName val="SCORE_RC_Code"/>
      <sheetName val="Ex-Rate"/>
      <sheetName val="TBM"/>
      <sheetName val="new-bpe"/>
      <sheetName val="BPE Report"/>
      <sheetName val="ccv=0"/>
      <sheetName val="Sheet1"/>
      <sheetName val="Property"/>
      <sheetName val="CF"/>
      <sheetName val="Draft"/>
      <sheetName val="SE-C"/>
      <sheetName val="Data Jual"/>
      <sheetName val="co_data"/>
      <sheetName val="Manajemen Fee"/>
      <sheetName val="I.4.1 (2)"/>
      <sheetName val="Ex_Rate"/>
      <sheetName val="Bobot rev"/>
      <sheetName val="Sheet8"/>
      <sheetName val="Sheet4"/>
      <sheetName val="DOC"/>
      <sheetName val="FEED"/>
      <sheetName val="Equipment"/>
      <sheetName val="SumIQA"/>
      <sheetName val="F1771-V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Agustus"/>
      <sheetName val="C1 NOV"/>
      <sheetName val="Spec"/>
      <sheetName val="AFTER 55"/>
      <sheetName val="Table"/>
      <sheetName val="Simple Coff."/>
      <sheetName val="KODE"/>
      <sheetName val="HITUNG-HPP,25"/>
      <sheetName val="K&amp;B"/>
      <sheetName val="DATA"/>
      <sheetName val="TRIWULAN 3"/>
      <sheetName val="Sheet2"/>
      <sheetName val="Restan"/>
      <sheetName val="hitung"/>
      <sheetName val="DATA WP"/>
      <sheetName val="JAN 2001"/>
      <sheetName val="Credit-22"/>
      <sheetName val="WBS2"/>
      <sheetName val="PAJE-2007"/>
      <sheetName val="IS"/>
      <sheetName val="Source"/>
      <sheetName val="As"/>
      <sheetName val="CPC"/>
      <sheetName val="KAS _"/>
      <sheetName val="Kebun"/>
      <sheetName val="Rekap"/>
      <sheetName val="Cover-01"/>
      <sheetName val="Lamp-14(Manajemen)"/>
      <sheetName val="FKT_PJK"/>
      <sheetName val="Lease_Deprec"/>
      <sheetName val="BS INDUK"/>
      <sheetName val="NOTES"/>
      <sheetName val="ASET TETAP"/>
      <sheetName val="WS Des 2011"/>
      <sheetName val="NOTE IPMS"/>
      <sheetName val="NOTE INTEN"/>
      <sheetName val="J ELIM"/>
      <sheetName val="pajak"/>
      <sheetName val="Bs kons"/>
      <sheetName val="Pl kons"/>
      <sheetName val="Cf kons"/>
      <sheetName val="CFSheet1"/>
      <sheetName val="WS_EQUITY METHOD"/>
      <sheetName val="Table 1"/>
      <sheetName val="IR66N"/>
      <sheetName val="Table_Array"/>
      <sheetName val="2703_1"/>
      <sheetName val="KAS_$"/>
      <sheetName val="KKP-II_2_2_1_2"/>
      <sheetName val="BPE_Report"/>
      <sheetName val="Data_Jual"/>
      <sheetName val="Marshal"/>
      <sheetName val="harga"/>
      <sheetName val="LLL10"/>
      <sheetName val="ASSUMPTIONS"/>
      <sheetName val="Account"/>
      <sheetName val="Center"/>
      <sheetName val="Company"/>
      <sheetName val="MB51"/>
      <sheetName val="TBM-"/>
      <sheetName val="EX RATE"/>
      <sheetName val="CRA-Detail"/>
      <sheetName val="TB"/>
      <sheetName val="Attachement"/>
      <sheetName val="status"/>
      <sheetName val="n01"/>
      <sheetName val="pl01"/>
      <sheetName val="Amt.rvd.HITACHI"/>
      <sheetName val="Desc "/>
      <sheetName val="Other charges (income)"/>
      <sheetName val="Lead"/>
      <sheetName val="Menu"/>
      <sheetName val="GeneralInfo"/>
      <sheetName val="Permanent info"/>
      <sheetName val="Links"/>
      <sheetName val="Neraca"/>
      <sheetName val="MATT"/>
      <sheetName val="FA_TP99"/>
      <sheetName val="Exch.rate"/>
      <sheetName val="Database"/>
      <sheetName val="Detail"/>
      <sheetName val="Interdata"/>
      <sheetName val="load"/>
      <sheetName val="F1771-IV"/>
      <sheetName val="name"/>
      <sheetName val="Parameters"/>
      <sheetName val="B"/>
      <sheetName val="Scenario&amp;Sensitivity"/>
      <sheetName val="Mine Assumptions"/>
      <sheetName val="TLKM-J"/>
      <sheetName val="N-TLKM"/>
      <sheetName val="N-SMGR"/>
      <sheetName val="FIXED FLOAT"/>
      <sheetName val="Bobot_rev"/>
      <sheetName val="I_4_1_(2)"/>
      <sheetName val="Manajemen_Fee"/>
      <sheetName val="Simple_Coff_"/>
      <sheetName val="TRIWULAN_3"/>
      <sheetName val="BP1_23"/>
      <sheetName val="WP LABA RUGI"/>
      <sheetName val="Discount Tables"/>
      <sheetName val="Summary"/>
      <sheetName val="MSC Product Characteristics"/>
      <sheetName val="SheetGMP"/>
      <sheetName val="SheetGMT"/>
      <sheetName val="Table_Array1"/>
      <sheetName val="2703_11"/>
      <sheetName val="KAS_$1"/>
      <sheetName val="KKP-II_2_2_1_21"/>
      <sheetName val="BPE_Report1"/>
      <sheetName val="Data_Jual1"/>
      <sheetName val="A LIS"/>
      <sheetName val="IAC-MMR"/>
      <sheetName val="Rp Banten"/>
      <sheetName val="Irregular Income"/>
      <sheetName val="FE-1770.P1"/>
      <sheetName val="Ref"/>
      <sheetName val="I_4_1_(2)1"/>
      <sheetName val="Manajemen_Fee1"/>
      <sheetName val="Bobot_rev1"/>
      <sheetName val="C1_NOV"/>
      <sheetName val="AFTER_55"/>
      <sheetName val="Simple_Coff_1"/>
      <sheetName val="TRIWULAN_31"/>
      <sheetName val="JAN_2001"/>
      <sheetName val="DATA_WP"/>
      <sheetName val="KAS__"/>
      <sheetName val="Amt_rvd_HITACHI"/>
      <sheetName val="Desc_"/>
      <sheetName val="Other_charges_(income)"/>
      <sheetName val="Permanent_info"/>
      <sheetName val="Exch_rate"/>
      <sheetName val="Mine_Assumptions"/>
      <sheetName val="BS_INDUK"/>
      <sheetName val="ASET_TETAP"/>
      <sheetName val="WS_Des_2011"/>
      <sheetName val="NOTE_IPMS"/>
      <sheetName val="NOTE_INTEN"/>
      <sheetName val="J_ELIM"/>
      <sheetName val="Bs_kons"/>
      <sheetName val="Pl_kons"/>
      <sheetName val="Cf_kons"/>
      <sheetName val="WS_EQUITY_METHOD"/>
      <sheetName val="Table_1"/>
      <sheetName val="FIXED_FLOAT"/>
      <sheetName val="WP_LABA_RUGI"/>
      <sheetName val="Discount_Tables"/>
      <sheetName val="MSC_Product_Characteristics"/>
      <sheetName val="A_LIS"/>
      <sheetName val="Rp_Banten"/>
      <sheetName val="Irregular_Income"/>
      <sheetName val="FE-1770_P1"/>
      <sheetName val="fr BS"/>
      <sheetName val="Table_Array2"/>
      <sheetName val="2703_12"/>
      <sheetName val="KAS_$2"/>
      <sheetName val="KKP-II_2_2_1_22"/>
      <sheetName val="BPE_Report2"/>
      <sheetName val="Data_Jual2"/>
      <sheetName val="Manajemen_Fee2"/>
      <sheetName val="I_4_1_(2)2"/>
      <sheetName val="Bobot_rev2"/>
      <sheetName val="C1_NOV1"/>
      <sheetName val="AFTER_551"/>
      <sheetName val="Simple_Coff_2"/>
      <sheetName val="TRIWULAN_32"/>
      <sheetName val="DATA_WP1"/>
      <sheetName val="JAN_20011"/>
      <sheetName val="KAS__1"/>
      <sheetName val="Mine_Assumptions1"/>
      <sheetName val="Amt_rvd_HITACHI1"/>
      <sheetName val="Desc_1"/>
      <sheetName val="Other_charges_(income)1"/>
      <sheetName val="Permanent_info1"/>
      <sheetName val="Exch_rate1"/>
      <sheetName val="FIXED_FLOAT1"/>
      <sheetName val="WP_LABA_RUGI1"/>
      <sheetName val="Discount_Tables1"/>
      <sheetName val="MSC_Product_Characteristics1"/>
      <sheetName val="BS_INDUK1"/>
      <sheetName val="ASET_TETAP1"/>
      <sheetName val="WS_Des_20111"/>
      <sheetName val="NOTE_IPMS1"/>
      <sheetName val="NOTE_INTEN1"/>
      <sheetName val="J_ELIM1"/>
      <sheetName val="Bs_kons1"/>
      <sheetName val="Pl_kons1"/>
      <sheetName val="Cf_kons1"/>
      <sheetName val="WS_EQUITY_METHOD1"/>
      <sheetName val="Table_11"/>
      <sheetName val="Rp_Banten1"/>
      <sheetName val="Irregular_Income1"/>
      <sheetName val="FE-1770_P11"/>
      <sheetName val="A_LIS1"/>
      <sheetName val="00-MEMO"/>
      <sheetName val="P&amp;L98"/>
      <sheetName val="AUG02"/>
      <sheetName val="Jagorawi"/>
      <sheetName val="erlang table"/>
      <sheetName val="WP-PBM-04"/>
      <sheetName val="STOCK AKHIR"/>
      <sheetName val="commercial"/>
      <sheetName val="2004 AAL"/>
      <sheetName val="tabel nilai"/>
      <sheetName val="HG_BEL"/>
      <sheetName val="DAF-1"/>
      <sheetName val="An.3"/>
      <sheetName val="An.1"/>
      <sheetName val="An.2"/>
      <sheetName val="DAF-7"/>
      <sheetName val="CRITERIA1"/>
      <sheetName val="E.1.1 ShirtU$"/>
      <sheetName val="E.1.2 shirteur"/>
      <sheetName val="E.1.3knit"/>
      <sheetName val="E.1.4 Dom"/>
      <sheetName val="E"/>
      <sheetName val="E.2.1 shirt"/>
      <sheetName val="E.2.2 knit"/>
      <sheetName val="Rinc"/>
      <sheetName val="RATE"/>
      <sheetName val="Rates"/>
      <sheetName val="RKP-1"/>
      <sheetName val="Material"/>
      <sheetName val="Upah"/>
      <sheetName val="Analisa"/>
      <sheetName val="IGSYC"/>
      <sheetName val="Valuation"/>
      <sheetName val="LOOKUP"/>
      <sheetName val="DWP"/>
      <sheetName val="TM"/>
      <sheetName val="Pro-Base"/>
      <sheetName val="Fixset"/>
      <sheetName val="Scenario"/>
      <sheetName val="A"/>
      <sheetName val="Income Statement"/>
      <sheetName val="Graphs"/>
      <sheetName val="EB NetIncomeMthlyTrendAnalysis"/>
      <sheetName val="EB PDT"/>
      <sheetName val="BB_TB1"/>
      <sheetName val="EB_NetIncomeMthlyTrendAnalysis"/>
      <sheetName val="EB_PDT"/>
      <sheetName val="Tables"/>
      <sheetName val="A4 BS"/>
      <sheetName val="A-GL-SUMMARY"/>
      <sheetName val="602 LEDGER"/>
      <sheetName val="Local"/>
      <sheetName val="Check on 8.10.2003"/>
      <sheetName val="LabData203_204"/>
      <sheetName val="ACRCONT"/>
      <sheetName val="ctrl"/>
      <sheetName val="PER-HP"/>
      <sheetName val="rab_50"/>
      <sheetName val="BS_Recon"/>
      <sheetName val="Panen"/>
      <sheetName val="Nm Brg"/>
      <sheetName val="NERD"/>
      <sheetName val="PSSM"/>
      <sheetName val="leave"/>
      <sheetName val="GLJ"/>
      <sheetName val="ANGGOTA"/>
      <sheetName val="Sheet1 (2)"/>
      <sheetName val="COA"/>
      <sheetName val="HRG- UPAH"/>
      <sheetName val="fr_BS"/>
      <sheetName val="DataWP"/>
      <sheetName val="Coef"/>
      <sheetName val="Master"/>
      <sheetName val="KODEREKG"/>
      <sheetName val="SAD"/>
      <sheetName val="Intercompany"/>
      <sheetName val="LRK"/>
      <sheetName val="PEND+BIAYA"/>
      <sheetName val="NONCAB"/>
      <sheetName val="lr treas"/>
      <sheetName val="Look Up List"/>
      <sheetName val="PCA_Pivot"/>
      <sheetName val="GLdownload"/>
      <sheetName val="SFKLN"/>
      <sheetName val="Pvt1"/>
      <sheetName val="Reference Table"/>
      <sheetName val="2000_ Projects Summary"/>
      <sheetName val="2003-2004"/>
      <sheetName val="Recap DB Version 2 SOC"/>
      <sheetName val="F1771-2"/>
      <sheetName val="May"/>
      <sheetName val="BPEDEC97"/>
      <sheetName val="kalender"/>
      <sheetName val="Hua Yang Quarterly"/>
      <sheetName val="ID MENADO"/>
      <sheetName val="Alamat"/>
      <sheetName val="BOP-P2"/>
      <sheetName val="Hutang"/>
      <sheetName val="HPP_0503"/>
      <sheetName val="Bgt"/>
      <sheetName val="HPP"/>
      <sheetName val="Grouping"/>
      <sheetName val="TB2015"/>
      <sheetName val="TB2016"/>
      <sheetName val="CODE"/>
      <sheetName val="Sep"/>
      <sheetName val="Forex"/>
      <sheetName val="CPO 16-9-TID "/>
      <sheetName val="DAF-9"/>
      <sheetName val="DIRECT COST"/>
      <sheetName val="HRG BHN"/>
      <sheetName val="ENTRY"/>
      <sheetName val="harsat"/>
      <sheetName val="CasflowJan"/>
      <sheetName val="P3.5"/>
      <sheetName val="inv-enc"/>
      <sheetName val="inv-ssi"/>
      <sheetName val="Minority"/>
      <sheetName val="mutinv"/>
      <sheetName val="mutlab"/>
      <sheetName val="TienLuong"/>
      <sheetName val="tunj."/>
      <sheetName val="Kinerja Proyek"/>
      <sheetName val="Ranking-LK"/>
      <sheetName val="target raker2"/>
      <sheetName val="MAP"/>
      <sheetName val="RINCIAN"/>
      <sheetName val="Bank"/>
      <sheetName val="rtt_depo"/>
      <sheetName val="rtt_ygy"/>
      <sheetName val="NOPAT_VDF"/>
      <sheetName val="#REF"/>
      <sheetName val="data_benefit(1)"/>
      <sheetName val="data_val"/>
      <sheetName val="HPP_19_"/>
      <sheetName val="Analisa 2"/>
      <sheetName val="OFF"/>
      <sheetName val="PREMIUM"/>
      <sheetName val="INDEX"/>
      <sheetName val="KEPMEN"/>
      <sheetName val="Mortalitas"/>
      <sheetName val="Biaya"/>
      <sheetName val="LabaRugi"/>
      <sheetName val="CD&amp;Stok"/>
      <sheetName val="CRITERIA3"/>
      <sheetName val="BB"/>
      <sheetName val="may'03"/>
      <sheetName val="0220"/>
      <sheetName val="F1771-II"/>
      <sheetName val="F1771-III"/>
      <sheetName val="Sheet3"/>
      <sheetName val="CC"/>
      <sheetName val="Main"/>
      <sheetName val="H1b Accounts Payable"/>
      <sheetName val="P1 Equity"/>
      <sheetName val="EB_NetIncomeMthlyTrendAnalysis1"/>
      <sheetName val="EB_PDT1"/>
      <sheetName val="EX_RATE1"/>
      <sheetName val="A4_BS"/>
      <sheetName val="Check_on_8_10_2003"/>
      <sheetName val="H1b_Accounts_Payable"/>
      <sheetName val="P1_Equity"/>
      <sheetName val="602_LEDGER"/>
      <sheetName val="JAN_20012"/>
      <sheetName val="EB_NetIncomeMthlyTrendAnalysis2"/>
      <sheetName val="EB_PDT2"/>
      <sheetName val="EX_RATE2"/>
      <sheetName val="A4_BS1"/>
      <sheetName val="Check_on_8_10_20031"/>
      <sheetName val="H1b_Accounts_Payable1"/>
      <sheetName val="P1_Equity1"/>
      <sheetName val="602_LEDGER1"/>
      <sheetName val="Table_Array3"/>
      <sheetName val="JAN_20013"/>
      <sheetName val="EB_NetIncomeMthlyTrendAnalysis3"/>
      <sheetName val="EB_PDT3"/>
      <sheetName val="EX_RATE3"/>
      <sheetName val="Amt_rvd_HITACHI2"/>
      <sheetName val="Desc_2"/>
      <sheetName val="Other_charges_(income)2"/>
      <sheetName val="A4_BS2"/>
      <sheetName val="Permanent_info2"/>
      <sheetName val="Exch_rate2"/>
      <sheetName val="Check_on_8_10_20032"/>
      <sheetName val="H1b_Accounts_Payable2"/>
      <sheetName val="P1_Equity2"/>
      <sheetName val="602_LEDGER2"/>
      <sheetName val="WPL"/>
      <sheetName val="9"/>
      <sheetName val="MK(7ｶ国+5,7,12万台)"/>
      <sheetName val="101.00"/>
      <sheetName val="Family"/>
      <sheetName val="PREMI"/>
      <sheetName val="GL Detail by E-Code"/>
      <sheetName val="A.4.3"/>
      <sheetName val="Art 23"/>
      <sheetName val="PL"/>
      <sheetName val="Constants"/>
      <sheetName val="Pipe"/>
      <sheetName val="Write Off &amp; Disposal05"/>
      <sheetName val="DELETE"/>
      <sheetName val="DataC&amp;S"/>
      <sheetName val="tc"/>
      <sheetName val="I-PPh"/>
      <sheetName val="I-PPh Final"/>
      <sheetName val="Tax Rate"/>
      <sheetName val="Sale Comex "/>
      <sheetName val="Profit&amp;Loss"/>
      <sheetName val="74上"/>
      <sheetName val="DCF"/>
      <sheetName val="Sheet6"/>
      <sheetName val="KKP_II_2_2_1_2"/>
      <sheetName val="SUMMARY TOTAL"/>
      <sheetName val="TABEL"/>
      <sheetName val="PRY"/>
      <sheetName val="trf-d-w"/>
      <sheetName val="trf d-i"/>
      <sheetName val="DB"/>
      <sheetName val="2703_13"/>
      <sheetName val="KAS_$3"/>
      <sheetName val="KKP-II_2_2_1_23"/>
      <sheetName val="BPE_Report3"/>
      <sheetName val="Data_Jual3"/>
      <sheetName val="I_4_1_(2)3"/>
      <sheetName val="Manajemen_Fee3"/>
      <sheetName val="Bobot_rev3"/>
      <sheetName val="TRIWULAN_33"/>
      <sheetName val="Simple_Coff_3"/>
      <sheetName val="C1_NOV2"/>
      <sheetName val="AFTER_552"/>
      <sheetName val="DATA_WP2"/>
      <sheetName val="KAS__2"/>
      <sheetName val="Mine_Assumptions2"/>
      <sheetName val="A_LIS2"/>
      <sheetName val="WP_LABA_RUGI2"/>
      <sheetName val="Discount_Tables2"/>
      <sheetName val="Rp_Banten2"/>
      <sheetName val="Irregular_Income2"/>
      <sheetName val="FE-1770_P12"/>
      <sheetName val="MSC_Product_Characteristics2"/>
      <sheetName val="BS_INDUK2"/>
      <sheetName val="ASET_TETAP2"/>
      <sheetName val="WS_Des_20112"/>
      <sheetName val="NOTE_IPMS2"/>
      <sheetName val="NOTE_INTEN2"/>
      <sheetName val="J_ELIM2"/>
      <sheetName val="Bs_kons2"/>
      <sheetName val="Pl_kons2"/>
      <sheetName val="Cf_kons2"/>
      <sheetName val="WS_EQUITY_METHOD2"/>
      <sheetName val="Table_12"/>
      <sheetName val="FIXED_FLOAT2"/>
      <sheetName val="Table_Array4"/>
      <sheetName val="2703_14"/>
      <sheetName val="KAS_$4"/>
      <sheetName val="KKP-II_2_2_1_24"/>
      <sheetName val="BPE_Report4"/>
      <sheetName val="Data_Jual4"/>
      <sheetName val="I_4_1_(2)4"/>
      <sheetName val="Manajemen_Fee4"/>
      <sheetName val="Bobot_rev4"/>
      <sheetName val="TRIWULAN_34"/>
      <sheetName val="Simple_Coff_4"/>
      <sheetName val="C1_NOV3"/>
      <sheetName val="AFTER_553"/>
      <sheetName val="DATA_WP3"/>
      <sheetName val="KAS__3"/>
      <sheetName val="Mine_Assumptions3"/>
      <sheetName val="A_LIS3"/>
      <sheetName val="WP_LABA_RUGI3"/>
      <sheetName val="Discount_Tables3"/>
      <sheetName val="Rp_Banten3"/>
      <sheetName val="Irregular_Income3"/>
      <sheetName val="FE-1770_P13"/>
      <sheetName val="MSC_Product_Characteristics3"/>
      <sheetName val="Amt_rvd_HITACHI3"/>
      <sheetName val="Desc_3"/>
      <sheetName val="Other_charges_(income)3"/>
      <sheetName val="Permanent_info3"/>
      <sheetName val="Exch_rate3"/>
      <sheetName val="BS_INDUK3"/>
      <sheetName val="ASET_TETAP3"/>
      <sheetName val="WS_Des_20113"/>
      <sheetName val="NOTE_IPMS3"/>
      <sheetName val="NOTE_INTEN3"/>
      <sheetName val="J_ELIM3"/>
      <sheetName val="Bs_kons3"/>
      <sheetName val="Pl_kons3"/>
      <sheetName val="Cf_kons3"/>
      <sheetName val="WS_EQUITY_METHOD3"/>
      <sheetName val="Table_13"/>
      <sheetName val="FIXED_FLOAT3"/>
      <sheetName val="fr_BS1"/>
      <sheetName val="ANAL-str2"/>
      <sheetName val="RAB-LANSEKAP"/>
      <sheetName val="DAFTAR ACCOUNT"/>
      <sheetName val="UM Beli-New"/>
      <sheetName val="Company Info"/>
      <sheetName val="INVMOVEM.XLS"/>
      <sheetName val="TB-BS"/>
      <sheetName val="ALATPRODUKSI"/>
      <sheetName val="Marshal -1"/>
      <sheetName val="Table_Array7"/>
      <sheetName val="2703_17"/>
      <sheetName val="KAS_$7"/>
      <sheetName val="KKP-II_2_2_1_27"/>
      <sheetName val="BPE_Report7"/>
      <sheetName val="Data_Jual7"/>
      <sheetName val="I_4_1_(2)7"/>
      <sheetName val="Manajemen_Fee7"/>
      <sheetName val="Bobot_rev7"/>
      <sheetName val="TRIWULAN_37"/>
      <sheetName val="Simple_Coff_7"/>
      <sheetName val="C1_NOV6"/>
      <sheetName val="AFTER_556"/>
      <sheetName val="JAN_20016"/>
      <sheetName val="DATA_WP6"/>
      <sheetName val="KAS__6"/>
      <sheetName val="Mine_Assumptions6"/>
      <sheetName val="A_LIS6"/>
      <sheetName val="WP_LABA_RUGI6"/>
      <sheetName val="Discount_Tables6"/>
      <sheetName val="Rp_Banten6"/>
      <sheetName val="Irregular_Income6"/>
      <sheetName val="FE-1770_P16"/>
      <sheetName val="MSC_Product_Characteristics6"/>
      <sheetName val="Amt_rvd_HITACHI6"/>
      <sheetName val="Desc_6"/>
      <sheetName val="Other_charges_(income)6"/>
      <sheetName val="Permanent_info6"/>
      <sheetName val="Exch_rate6"/>
      <sheetName val="BS_INDUK6"/>
      <sheetName val="ASET_TETAP6"/>
      <sheetName val="WS_Des_20116"/>
      <sheetName val="NOTE_IPMS6"/>
      <sheetName val="NOTE_INTEN6"/>
      <sheetName val="J_ELIM6"/>
      <sheetName val="Bs_kons6"/>
      <sheetName val="Pl_kons6"/>
      <sheetName val="Cf_kons6"/>
      <sheetName val="WS_EQUITY_METHOD6"/>
      <sheetName val="Table_16"/>
      <sheetName val="FIXED_FLOAT6"/>
      <sheetName val="fr_BS4"/>
      <sheetName val="Table_Array5"/>
      <sheetName val="2703_15"/>
      <sheetName val="KAS_$5"/>
      <sheetName val="KKP-II_2_2_1_25"/>
      <sheetName val="BPE_Report5"/>
      <sheetName val="Data_Jual5"/>
      <sheetName val="I_4_1_(2)5"/>
      <sheetName val="Manajemen_Fee5"/>
      <sheetName val="Bobot_rev5"/>
      <sheetName val="TRIWULAN_35"/>
      <sheetName val="Simple_Coff_5"/>
      <sheetName val="C1_NOV4"/>
      <sheetName val="AFTER_554"/>
      <sheetName val="JAN_20014"/>
      <sheetName val="DATA_WP4"/>
      <sheetName val="KAS__4"/>
      <sheetName val="Mine_Assumptions4"/>
      <sheetName val="A_LIS4"/>
      <sheetName val="WP_LABA_RUGI4"/>
      <sheetName val="Discount_Tables4"/>
      <sheetName val="Rp_Banten4"/>
      <sheetName val="Irregular_Income4"/>
      <sheetName val="FE-1770_P14"/>
      <sheetName val="MSC_Product_Characteristics4"/>
      <sheetName val="Amt_rvd_HITACHI4"/>
      <sheetName val="Desc_4"/>
      <sheetName val="Other_charges_(income)4"/>
      <sheetName val="Permanent_info4"/>
      <sheetName val="Exch_rate4"/>
      <sheetName val="BS_INDUK4"/>
      <sheetName val="ASET_TETAP4"/>
      <sheetName val="WS_Des_20114"/>
      <sheetName val="NOTE_IPMS4"/>
      <sheetName val="NOTE_INTEN4"/>
      <sheetName val="J_ELIM4"/>
      <sheetName val="Bs_kons4"/>
      <sheetName val="Pl_kons4"/>
      <sheetName val="Cf_kons4"/>
      <sheetName val="WS_EQUITY_METHOD4"/>
      <sheetName val="Table_14"/>
      <sheetName val="FIXED_FLOAT4"/>
      <sheetName val="fr_BS2"/>
      <sheetName val="Table_Array6"/>
      <sheetName val="2703_16"/>
      <sheetName val="KAS_$6"/>
      <sheetName val="KKP-II_2_2_1_26"/>
      <sheetName val="BPE_Report6"/>
      <sheetName val="Data_Jual6"/>
      <sheetName val="I_4_1_(2)6"/>
      <sheetName val="Manajemen_Fee6"/>
      <sheetName val="Bobot_rev6"/>
      <sheetName val="TRIWULAN_36"/>
      <sheetName val="Simple_Coff_6"/>
      <sheetName val="C1_NOV5"/>
      <sheetName val="AFTER_555"/>
      <sheetName val="JAN_20015"/>
      <sheetName val="DATA_WP5"/>
      <sheetName val="KAS__5"/>
      <sheetName val="Mine_Assumptions5"/>
      <sheetName val="A_LIS5"/>
      <sheetName val="WP_LABA_RUGI5"/>
      <sheetName val="Discount_Tables5"/>
      <sheetName val="Rp_Banten5"/>
      <sheetName val="Irregular_Income5"/>
      <sheetName val="FE-1770_P15"/>
      <sheetName val="MSC_Product_Characteristics5"/>
      <sheetName val="rekap.kategori gangguan"/>
      <sheetName val="STOK2016"/>
      <sheetName val="Salary"/>
      <sheetName val="Interface"/>
      <sheetName val="Biaya Departemen"/>
      <sheetName val="DBF"/>
      <sheetName val="1771"/>
      <sheetName val="1771.2"/>
      <sheetName val="DH_RI_SI Exceptions"/>
      <sheetName val="B28(old version)"/>
      <sheetName val="ACT"/>
      <sheetName val="Module2"/>
      <sheetName val="Exc. Rate"/>
      <sheetName val="Input - Dependence"/>
      <sheetName val="RWP 33"/>
      <sheetName val="FIXED COST"/>
      <sheetName val="TAX SUMMARY"/>
      <sheetName val="FA Fiscal"/>
      <sheetName val="An_3"/>
      <sheetName val="An_1"/>
      <sheetName val="An_2"/>
      <sheetName val="BBM-03"/>
      <sheetName val="Amt_rvd_HITACHI5"/>
      <sheetName val="Desc_5"/>
      <sheetName val="Other_charges_(income)5"/>
      <sheetName val="Permanent_info5"/>
      <sheetName val="Exch_rate5"/>
      <sheetName val="BS_INDUK5"/>
      <sheetName val="ASET_TETAP5"/>
      <sheetName val="WS_Des_20115"/>
      <sheetName val="NOTE_IPMS5"/>
      <sheetName val="NOTE_INTEN5"/>
      <sheetName val="J_ELIM5"/>
      <sheetName val="Bs_kons5"/>
      <sheetName val="Pl_kons5"/>
      <sheetName val="Cf_kons5"/>
      <sheetName val="WS_EQUITY_METHOD5"/>
      <sheetName val="Table_15"/>
      <sheetName val="FIXED_FLOAT5"/>
      <sheetName val="fr_BS3"/>
      <sheetName val="pivot"/>
      <sheetName val="MAP-Prog"/>
      <sheetName val="BoQ Total_lama"/>
      <sheetName val="ANSTRUK"/>
      <sheetName val="pivotscd"/>
      <sheetName val="Cover"/>
      <sheetName val="DATA 2009"/>
      <sheetName val="DATA 2010"/>
      <sheetName val="Target Raker TW III"/>
      <sheetName val="KUB-01(10)"/>
      <sheetName val="cons workpapers"/>
      <sheetName val="jadw"/>
      <sheetName val="412"/>
      <sheetName val="SELISIHKURSSOURCE"/>
      <sheetName val="Analisa Harga Satuan"/>
      <sheetName val="Sheet15"/>
      <sheetName val="2019"/>
      <sheetName val=" ann sd mei 2019 "/>
      <sheetName val="Du_lieu"/>
      <sheetName val="Ideal"/>
      <sheetName val="GP-WB"/>
      <sheetName val="Utilitas Plant"/>
      <sheetName val="URUTAN PLANT"/>
      <sheetName val="PROD"/>
      <sheetName val="Ahs_2"/>
      <sheetName val="Ahs_1"/>
      <sheetName val="AHS1"/>
      <sheetName val="Alat"/>
      <sheetName val="412src2"/>
      <sheetName val="Projection 2007 Lampung"/>
      <sheetName val="Projection 2007 Medan"/>
      <sheetName val="Projection 2007 Pemalang"/>
      <sheetName val="Projection 2007 PSN"/>
      <sheetName val="Projection 2007 PSVN"/>
      <sheetName val="Projection 2007 Sulawesi"/>
      <sheetName val="Des_05"/>
      <sheetName val="Agst"/>
      <sheetName val="L12 Akt Tetap"/>
      <sheetName val="saklar"/>
      <sheetName val="BEP"/>
      <sheetName val="1"/>
      <sheetName val="General Info"/>
      <sheetName val="เงินกู้ MGC"/>
      <sheetName val="เงินกู้ธนชาติ"/>
      <sheetName val="Sheet10"/>
      <sheetName val="Basic_Information"/>
      <sheetName val="Content Page"/>
      <sheetName val="Owner Unit"/>
      <sheetName val="GOP_I"/>
      <sheetName val="By Month"/>
      <sheetName val="M"/>
      <sheetName val="A12-invsub"/>
      <sheetName val="Setup"/>
      <sheetName val="FCT Q3"/>
      <sheetName val="H.Satuan"/>
      <sheetName val="Pain data"/>
      <sheetName val="DTT - Valuation"/>
      <sheetName val="2004_AAL"/>
      <sheetName val="erlang_table"/>
      <sheetName val="tabel_nilai"/>
      <sheetName val="Income_Statement"/>
      <sheetName val="EB_NetIncomeMthlyTrendAnalysis4"/>
      <sheetName val="EB_PDT4"/>
      <sheetName val="A4_BS3"/>
      <sheetName val="602_LEDGER3"/>
      <sheetName val="Check_on_8_10_20033"/>
      <sheetName val="STOCK_AKHIR"/>
      <sheetName val="Sheet1_(2)"/>
      <sheetName val="Nm_Brg"/>
      <sheetName val="HRG-_UPAH"/>
      <sheetName val="E_1_1_ShirtU$"/>
      <sheetName val="E_1_2_shirteur"/>
      <sheetName val="E_1_3knit"/>
      <sheetName val="E_1_4_Dom"/>
      <sheetName val="E_2_1_shirt"/>
      <sheetName val="E_2_2_knit"/>
      <sheetName val="lr_treas"/>
      <sheetName val="Look_Up_List"/>
      <sheetName val="Reference_Table"/>
      <sheetName val="2000__Projects_Summary"/>
      <sheetName val="Recap_DB_Version_2_SOC"/>
      <sheetName val="Hua_Yang_Quarterly"/>
      <sheetName val="CPO_16-9-TID_"/>
      <sheetName val="DIRECT_COST"/>
      <sheetName val="HRG_BHN"/>
      <sheetName val="P3_5"/>
      <sheetName val="tunj_"/>
      <sheetName val="Analisa_2"/>
      <sheetName val="Write_Off_&amp;_Disposal05"/>
      <sheetName val="H1b_Accounts_Payable3"/>
      <sheetName val="P1_Equity3"/>
      <sheetName val="101_00"/>
      <sheetName val="GL_Detail_by_E-Code"/>
      <sheetName val="A_4_3"/>
      <sheetName val="Art_23"/>
      <sheetName val="I-PPh_Final"/>
      <sheetName val="Tax_Rate"/>
      <sheetName val="trf_d-i"/>
      <sheetName val="SUMMARY_TOTAL"/>
      <sheetName val="Balance Sheet"/>
      <sheetName val="Macro1"/>
      <sheetName val="Kode Rekening"/>
      <sheetName val="JO 31Jul2019 (Reported)"/>
      <sheetName val="JO vs IPP"/>
      <sheetName val="AR"/>
      <sheetName val="Wil 1"/>
      <sheetName val="ws detail lombok"/>
      <sheetName val="G-Lead"/>
      <sheetName val="基本情報＿Basic Information"/>
      <sheetName val="NAP"/>
      <sheetName val="NN"/>
      <sheetName val="july"/>
      <sheetName val="june"/>
      <sheetName val="SE"/>
      <sheetName val="bilangan"/>
      <sheetName val="DKH"/>
      <sheetName val="GRAND REKAP"/>
      <sheetName val="harga dasar"/>
      <sheetName val="div3"/>
      <sheetName val="PRY 01-8"/>
      <sheetName val="PRY 01-3"/>
      <sheetName val="Daf 1"/>
      <sheetName val="RAB NEGO 17.01.18"/>
      <sheetName val="BQ ARS"/>
      <sheetName val="ANALISA-SNI"/>
      <sheetName val="HRPar"/>
      <sheetName val="INPUT"/>
      <sheetName val="JUNI"/>
      <sheetName val="Hsatuan-OK"/>
      <sheetName val="BHN-ALAT"/>
      <sheetName val="rab"/>
      <sheetName val="DATA_DES"/>
      <sheetName val="Rekapitulasi"/>
      <sheetName val="Cash Flow bulanan"/>
      <sheetName val="SUMBER"/>
      <sheetName val="10"/>
      <sheetName val="5"/>
      <sheetName val="Parameter"/>
      <sheetName val="PRO"/>
      <sheetName val="PriceList"/>
      <sheetName val="sub"/>
      <sheetName val="7.1(3)"/>
      <sheetName val="HS"/>
      <sheetName val="610.05"/>
      <sheetName val="Bangunan Utama"/>
      <sheetName val="Rek"/>
      <sheetName val="HS KALIJATI"/>
      <sheetName val="EDTL"/>
      <sheetName val="P2"/>
      <sheetName val="RincianQ3_Q4"/>
      <sheetName val="An-str(krgnyr)"/>
      <sheetName val="HDasar"/>
      <sheetName val="igp-popno"/>
      <sheetName val="basic price"/>
      <sheetName val="H-Dasar"/>
      <sheetName val="610.06"/>
      <sheetName val="610.07"/>
      <sheetName val="610.08"/>
      <sheetName val="RKP"/>
      <sheetName val="FORM X COST"/>
      <sheetName val="teknis"/>
      <sheetName val="Daftar Upah,Bhn,&amp; alat"/>
      <sheetName val="BasicPrice"/>
      <sheetName val="work shop"/>
      <sheetName val="RWD-02"/>
      <sheetName val="EXTERNAL  (revisi 1)"/>
      <sheetName val="HS1b"/>
      <sheetName val="HSATUAN"/>
      <sheetName val="Bill"/>
      <sheetName val="Kuantitas &amp; Harga"/>
      <sheetName val="DaftarHarga"/>
      <sheetName val="D.BOARD"/>
      <sheetName val="extern"/>
      <sheetName val="Master 1.0"/>
      <sheetName val="Identitas"/>
      <sheetName val="SEX"/>
      <sheetName val="Material&amp;Alat"/>
      <sheetName val="BASIC"/>
      <sheetName val="hasat"/>
      <sheetName val="PROD 02"/>
      <sheetName val="Significant Processes"/>
      <sheetName val="Har Sat"/>
      <sheetName val="Input Data"/>
      <sheetName val="HPP_20_"/>
      <sheetName val="hardas"/>
      <sheetName val="HS-2"/>
      <sheetName val="Indeks"/>
      <sheetName val="HARGADASAR"/>
      <sheetName val="TONG HOP VL-NC"/>
      <sheetName val="chitiet"/>
      <sheetName val="DONGIA"/>
      <sheetName val="DON GIA"/>
      <sheetName val="DG"/>
      <sheetName val="VCV-BE-TONG"/>
      <sheetName val="CHITIET VL-NC"/>
      <sheetName val="CONS."/>
      <sheetName val="D4"/>
      <sheetName val="D6"/>
      <sheetName val="D7"/>
      <sheetName val="D8"/>
      <sheetName val="telp"/>
      <sheetName val="Analisa Upah &amp; Bahan Plum"/>
      <sheetName val="trans"/>
      <sheetName val="Arsitektur"/>
      <sheetName val="Cash2"/>
      <sheetName val="Unit Rate Indirect"/>
      <sheetName val="SPT TAHUNAN"/>
      <sheetName val="Rinc_Setoran Astek"/>
      <sheetName val="DPLK_PST"/>
      <sheetName val="jkk_takaful"/>
      <sheetName val="Girder-30"/>
      <sheetName val="H-SAT"/>
      <sheetName val="TL"/>
      <sheetName val="Perm. Test"/>
      <sheetName val="JAD-PEL"/>
      <sheetName val="IDX06"/>
      <sheetName val="equity of abacus"/>
      <sheetName val="RINC.PEND &amp; BEB TW II"/>
      <sheetName val="labarugi31des2009"/>
      <sheetName val="DATA HRG"/>
      <sheetName val="Price"/>
      <sheetName val="PRE"/>
      <sheetName val="Lampiran"/>
      <sheetName val="cons_workpapers"/>
      <sheetName val="equity_of_abacus"/>
      <sheetName val="RINC_PEND_&amp;_BEB_TW_II"/>
      <sheetName val="DATA_HRG"/>
      <sheetName val="xlSVH_T"/>
      <sheetName val="Scenarios&amp;Sensitivities"/>
      <sheetName val="A$"/>
      <sheetName val="Informatique"/>
      <sheetName val="Revenue calculation"/>
      <sheetName val="TB-WP"/>
      <sheetName val="Acquistion,Disposal"/>
      <sheetName val="Trial Balance "/>
      <sheetName val="Controls"/>
      <sheetName val="Macro5"/>
      <sheetName val="LBR-LBRN"/>
      <sheetName val="B - Norelec"/>
      <sheetName val="Standar"/>
      <sheetName val="Jateng"/>
      <sheetName val="Pusat"/>
      <sheetName val="Sulawesi"/>
      <sheetName val="Sumbagsel"/>
      <sheetName val="PANDUAN"/>
      <sheetName val="P&amp;Lreforecast"/>
      <sheetName val="Elektrikal"/>
      <sheetName val="Bahan"/>
      <sheetName val="PEMBESIAN BALOK INDUK!"/>
      <sheetName val="Februari"/>
      <sheetName val="Trf-SAP-GL"/>
      <sheetName val="L_Summary"/>
      <sheetName val="Incen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-22"/>
      <sheetName val="data identitas wp"/>
      <sheetName val="MARSHALLING"/>
      <sheetName val="BS Indo"/>
      <sheetName val="PL Indo"/>
      <sheetName val="Ikhtisar Corr"/>
      <sheetName val="fiscal corr"/>
      <sheetName val="PPh 29"/>
      <sheetName val="PPh 25 (2004)"/>
      <sheetName val="Credit-25"/>
      <sheetName val="FISCAL"/>
      <sheetName val="Provision"/>
      <sheetName val="FA Fiscal Depreciation"/>
      <sheetName val="Additional-Fiscal"/>
      <sheetName val="Disposal-Fiscal"/>
      <sheetName val="Additional-Acct"/>
      <sheetName val="Disposal-Acct"/>
      <sheetName val="gl enindo - 0903"/>
      <sheetName val="Credit_22"/>
      <sheetName val="Table Array"/>
      <sheetName val="GeneralInfo"/>
      <sheetName val="KODE"/>
      <sheetName val="JAN 2001"/>
      <sheetName val="Rinc"/>
      <sheetName val="Agustus"/>
      <sheetName val="F.3.2.1"/>
      <sheetName val="SumIQA"/>
      <sheetName val="B.1"/>
      <sheetName val="Ranges"/>
      <sheetName val="Cover Sheet"/>
      <sheetName val="PRO"/>
      <sheetName val="Ex-Rate"/>
      <sheetName val="kat"/>
      <sheetName val="data_identitas_wp"/>
      <sheetName val="BS_Indo"/>
      <sheetName val="PL_Indo"/>
      <sheetName val="Ikhtisar_Corr"/>
      <sheetName val="fiscal_corr"/>
      <sheetName val="PPh_29"/>
      <sheetName val="PPh_25_(2004)"/>
      <sheetName val="FA_Fiscal_Depreciation"/>
      <sheetName val="gl_enindo_-_0903"/>
      <sheetName val="KKP-II.2.2.1.2"/>
      <sheetName val="JanPayroll_Feb partial"/>
      <sheetName val="Other charges (income)"/>
      <sheetName val="status"/>
      <sheetName val="PRE"/>
      <sheetName val="Ass"/>
      <sheetName val="K&amp;B"/>
      <sheetName val="WP-Panu'02"/>
      <sheetName val="Lampiran"/>
      <sheetName val="L_Summary"/>
      <sheetName val="SCORE_RC_Code"/>
      <sheetName val="IS"/>
      <sheetName val="DATA"/>
      <sheetName val="Data Jual"/>
      <sheetName val="Simple Coff."/>
      <sheetName val="Restan"/>
      <sheetName val="KAS $"/>
      <sheetName val="Sheet4"/>
      <sheetName val="Links"/>
      <sheetName val="data_identitas_wp1"/>
      <sheetName val="BS_Indo1"/>
      <sheetName val="PL_Indo1"/>
      <sheetName val="Ikhtisar_Corr1"/>
      <sheetName val="fiscal_corr1"/>
      <sheetName val="PPh_291"/>
      <sheetName val="PPh_25_(2004)1"/>
      <sheetName val="FA_Fiscal_Depreciation1"/>
      <sheetName val="gl_enindo_-_09031"/>
      <sheetName val="Table_Array"/>
      <sheetName val="JAN_2001"/>
      <sheetName val="harga"/>
      <sheetName val="SPRS breakdown pricing"/>
      <sheetName val="hitung"/>
      <sheetName val="TBM"/>
      <sheetName val="Source"/>
      <sheetName val="Cover-01"/>
      <sheetName val="Account"/>
      <sheetName val="Center"/>
      <sheetName val="Company"/>
      <sheetName val="SE-C"/>
      <sheetName val="erlang table"/>
      <sheetName val="DOC"/>
      <sheetName val="FEED"/>
      <sheetName val="Equipment"/>
      <sheetName val="data_identitas_wp2"/>
      <sheetName val="BS_Indo2"/>
      <sheetName val="PL_Indo2"/>
      <sheetName val="Ikhtisar_Corr2"/>
      <sheetName val="fiscal_corr2"/>
      <sheetName val="PPh_292"/>
      <sheetName val="PPh_25_(2004)2"/>
      <sheetName val="FA_Fiscal_Depreciation2"/>
      <sheetName val="gl_enindo_-_09032"/>
      <sheetName val="Table_Array1"/>
      <sheetName val="JAN_20011"/>
      <sheetName val="Project budget BTS"/>
      <sheetName val="Assumption"/>
      <sheetName val="Family"/>
      <sheetName val="Biaya_Departemen"/>
      <sheetName val="Ref"/>
      <sheetName val="F_3_2_1"/>
      <sheetName val="B_1"/>
      <sheetName val="Cover_Sheet"/>
      <sheetName val="KKP-II_2_2_1_2"/>
      <sheetName val="JanPayroll_Feb_partial"/>
      <sheetName val="Other_charges_(income)"/>
      <sheetName val="Data_Jual"/>
      <sheetName val="Simple_Coff_"/>
      <sheetName val="KAS_$"/>
      <sheetName val="SPRS_breakdown_pricing"/>
      <sheetName val="erlang_table"/>
      <sheetName val="Project_budget_BTS"/>
      <sheetName val="Schedule-TB"/>
      <sheetName val="Kebun"/>
      <sheetName val="Rekap"/>
      <sheetName val="data_identitas_wp3"/>
      <sheetName val="BS_Indo3"/>
      <sheetName val="PL_Indo3"/>
      <sheetName val="Ikhtisar_Corr3"/>
      <sheetName val="fiscal_corr3"/>
      <sheetName val="PPh_293"/>
      <sheetName val="PPh_25_(2004)3"/>
      <sheetName val="FA_Fiscal_Depreciation3"/>
      <sheetName val="gl_enindo_-_09033"/>
      <sheetName val="Table_Array2"/>
      <sheetName val="JAN_20012"/>
      <sheetName val="F_3_2_11"/>
      <sheetName val="B_11"/>
      <sheetName val="Cover_Sheet1"/>
      <sheetName val="KKP-II_2_2_1_21"/>
      <sheetName val="JanPayroll_Feb_partial1"/>
      <sheetName val="Other_charges_(income)1"/>
      <sheetName val="Data_Jual1"/>
      <sheetName val="Simple_Coff_1"/>
      <sheetName val="KAS_$1"/>
      <sheetName val="erlang_table1"/>
      <sheetName val="SPRS_breakdown_pricing1"/>
      <sheetName val="Project_budget_BTS1"/>
      <sheetName val="Marshal"/>
      <sheetName val="Permanent info"/>
      <sheetName val="Incentive"/>
      <sheetName val="F.3 WIP"/>
      <sheetName val="Jabar"/>
      <sheetName val="Jateng"/>
      <sheetName val="Jatim"/>
      <sheetName val="Pusat"/>
      <sheetName val="Sulawesi"/>
      <sheetName val="Sumbagsel"/>
      <sheetName val="Sheet1"/>
      <sheetName val="KAA"/>
      <sheetName val="KUD"/>
      <sheetName val="Minamas"/>
      <sheetName val="commercial"/>
      <sheetName val="2703.1"/>
      <sheetName val="CPC"/>
      <sheetName val="DAF-7"/>
      <sheetName val="Sheet2"/>
      <sheetName val="An.3"/>
      <sheetName val="An.1"/>
      <sheetName val="An.2"/>
      <sheetName val="SUMMARY"/>
      <sheetName val="KEPMEN"/>
      <sheetName val="Mortalitas"/>
      <sheetName val="Irregular Income"/>
      <sheetName val="FE-1770.P1"/>
      <sheetName val="Material"/>
      <sheetName val="Upah"/>
      <sheetName val="311208"/>
      <sheetName val="Valuation"/>
      <sheetName val="LOOKUP"/>
      <sheetName val="DWP"/>
      <sheetName val="TM"/>
      <sheetName val="Pro-Base"/>
      <sheetName val="Fixset"/>
      <sheetName val="Scenario"/>
      <sheetName val="FKT_PJK"/>
      <sheetName val="A"/>
      <sheetName val="DH_RI_SI Exceptions"/>
      <sheetName val="JURNAL"/>
      <sheetName val="Sheet8"/>
      <sheetName val="SheetGMP"/>
      <sheetName val="SheetGMT"/>
      <sheetName val="Permanent_info"/>
      <sheetName val="F_3_WIP"/>
      <sheetName val="Irregular_Income1"/>
      <sheetName val="BLN_'97"/>
      <sheetName val="KODEREKG"/>
      <sheetName val="P&amp;L98"/>
      <sheetName val="WP LABA RUGI"/>
      <sheetName val="kalender"/>
      <sheetName val="COST-SUM"/>
      <sheetName val="As"/>
      <sheetName val="Rp Banten"/>
      <sheetName val="ID MENADO"/>
      <sheetName val="Alamat"/>
      <sheetName val="BOP-P2"/>
      <sheetName val="Hutang"/>
      <sheetName val="HPP_0503"/>
      <sheetName val="Bgt"/>
      <sheetName val="HG_BEL"/>
      <sheetName val="HPP"/>
      <sheetName val="STOCK AKHIR"/>
      <sheetName val="name"/>
      <sheetName val="Ret"/>
      <sheetName val="101.00"/>
      <sheetName val="CPO 16-9-TID "/>
      <sheetName val="B - Norelec"/>
      <sheetName val="CRITERIA1"/>
      <sheetName val="Ex_Rate"/>
      <sheetName val="Rates"/>
      <sheetName val="Kinerja Proyek"/>
      <sheetName val="Ranking-LK"/>
      <sheetName val="target raker2"/>
      <sheetName val="2004 AAL"/>
      <sheetName val="P3.5"/>
      <sheetName val="tabel nilai"/>
      <sheetName val="prelim"/>
      <sheetName val="REVENUE"/>
      <sheetName val="DAF-1"/>
      <sheetName val="MasterSheet"/>
      <sheetName val="input"/>
      <sheetName val="Balance Sheet"/>
      <sheetName val="Source CoA"/>
      <sheetName val="DataWP"/>
      <sheetName val="EX_Sda"/>
      <sheetName val="data_identitas_wp4"/>
      <sheetName val="BS_Indo4"/>
      <sheetName val="PL_Indo4"/>
      <sheetName val="Ikhtisar_Corr4"/>
      <sheetName val="fiscal_corr4"/>
      <sheetName val="PPh_294"/>
      <sheetName val="PPh_25_(2004)4"/>
      <sheetName val="FA_Fiscal_Depreciation4"/>
      <sheetName val="gl_enindo_-_09034"/>
      <sheetName val="Table_Array3"/>
      <sheetName val="JAN_20013"/>
      <sheetName val="F_3_2_12"/>
      <sheetName val="Cover_Sheet2"/>
      <sheetName val="B_12"/>
      <sheetName val="KKP-II_2_2_1_22"/>
      <sheetName val="Data_Jual2"/>
      <sheetName val="Simple_Coff_2"/>
      <sheetName val="JanPayroll_Feb_partial2"/>
      <sheetName val="Other_charges_(income)2"/>
      <sheetName val="KAS_$2"/>
      <sheetName val="Project_budget_BTS2"/>
      <sheetName val="erlang_table2"/>
      <sheetName val="SPRS_breakdown_pricing2"/>
      <sheetName val="HS"/>
      <sheetName val="610.05"/>
      <sheetName val="610.06"/>
      <sheetName val="610.07"/>
      <sheetName val="610.08"/>
      <sheetName val="ANAL"/>
      <sheetName val="ANTEK"/>
      <sheetName val="610.04"/>
      <sheetName val="BETON"/>
      <sheetName val="jvr"/>
      <sheetName val="K 2.1"/>
      <sheetName val="Master"/>
      <sheetName val="Cover"/>
      <sheetName val="A LIS"/>
      <sheetName val="Pipe"/>
      <sheetName val="Sale Comex "/>
      <sheetName val="FA-FPI-disposal"/>
      <sheetName val="Bank"/>
      <sheetName val="Write Off &amp; Disposal05"/>
      <sheetName val="Biaya"/>
      <sheetName val="LabaRugi"/>
      <sheetName val="Neraca"/>
      <sheetName val="CD&amp;Stok"/>
      <sheetName val="Cashflow_ref"/>
      <sheetName val="data_identitas_wp5"/>
      <sheetName val="BS_Indo5"/>
      <sheetName val="PL_Indo5"/>
      <sheetName val="Ikhtisar_Corr5"/>
      <sheetName val="fiscal_corr5"/>
      <sheetName val="PPh_295"/>
      <sheetName val="PPh_25_(2004)5"/>
      <sheetName val="FA_Fiscal_Depreciation5"/>
      <sheetName val="gl_enindo_-_09035"/>
      <sheetName val="Table_Array4"/>
      <sheetName val="JAN_20014"/>
      <sheetName val="F_3_2_13"/>
      <sheetName val="Cover_Sheet3"/>
      <sheetName val="B_13"/>
      <sheetName val="KKP-II_2_2_1_23"/>
      <sheetName val="Data_Jual3"/>
      <sheetName val="Simple_Coff_3"/>
      <sheetName val="JanPayroll_Feb_partial3"/>
      <sheetName val="Other_charges_(income)3"/>
      <sheetName val="KAS_$3"/>
      <sheetName val="Project_budget_BTS3"/>
      <sheetName val="erlang_table3"/>
      <sheetName val="SPRS_breakdown_pricing3"/>
      <sheetName val="Permanent_info1"/>
      <sheetName val="F_3_WIP1"/>
      <sheetName val="BP1_23"/>
      <sheetName val="ENTRY"/>
      <sheetName val="RBSB"/>
      <sheetName val="UnitRateA.1.II"/>
      <sheetName val="Breakdown"/>
      <sheetName val="HRPar"/>
      <sheetName val="HARGA SATUAN"/>
      <sheetName val="PEMBESIAN BALOK INDUK!"/>
      <sheetName val="Manajemen Fee"/>
      <sheetName val="DAF-5"/>
      <sheetName val="Analisa Upah &amp; Bahan Plum"/>
      <sheetName val="KOEF"/>
      <sheetName val="Analisa"/>
      <sheetName val="Assumptions"/>
      <sheetName val="pivotscd"/>
      <sheetName val="Merak_Sum-FIX"/>
      <sheetName val="DATA 2009"/>
      <sheetName val="TARGET RAKER "/>
      <sheetName val="target raker 1"/>
      <sheetName val="Du_lieu"/>
      <sheetName val="Mobilisasi"/>
      <sheetName val="map"/>
      <sheetName val="Daftar"/>
      <sheetName val="cons workpapers"/>
      <sheetName val="pol"/>
      <sheetName val="S.UPAH"/>
      <sheetName val="rumus"/>
      <sheetName val="Attachement"/>
      <sheetName val="SchC"/>
      <sheetName val="SchA"/>
      <sheetName val="SchB"/>
      <sheetName val="ELEMENT SUM"/>
      <sheetName val="SewAlat"/>
      <sheetName val="GP-WB"/>
      <sheetName val="HargaBahan"/>
      <sheetName val="PAD-F"/>
      <sheetName val="BHN+KMK"/>
      <sheetName val="RKP"/>
      <sheetName val="bearing PDMR1"/>
      <sheetName val="ALAT"/>
      <sheetName val="SUB+KMK"/>
      <sheetName val="DKH_1"/>
      <sheetName val="TNG"/>
      <sheetName val="eval"/>
      <sheetName val="Post Tens-1"/>
      <sheetName val="BTN-PS"/>
      <sheetName val="Ahs_2"/>
      <sheetName val="Ahs_1"/>
      <sheetName val="JUNI"/>
      <sheetName val="harsat"/>
      <sheetName val="7.1(3)"/>
      <sheetName val="RKP-1"/>
      <sheetName val="Orders"/>
      <sheetName val="WP-PBM-04"/>
      <sheetName val="data_val"/>
      <sheetName val="table"/>
      <sheetName val="Pricelist 2004c"/>
      <sheetName val="pos"/>
      <sheetName val="INDEX"/>
      <sheetName val="Irregular_Income"/>
      <sheetName val="FE-1770_P1"/>
      <sheetName val="DH_RI_SI_Exceptions"/>
      <sheetName val="2703_1"/>
      <sheetName val="WP_LABA_RUGI"/>
      <sheetName val="CPO_16-9-TID_"/>
      <sheetName val="B_-_Norelec"/>
      <sheetName val="101_00"/>
      <sheetName val="K_2_1"/>
      <sheetName val="2004_AAL"/>
      <sheetName val="P3_5"/>
      <sheetName val="A_LIS"/>
      <sheetName val="tabel_nilai"/>
      <sheetName val="Source_CoA"/>
      <sheetName val="Balance_Sheet"/>
      <sheetName val="Rp_Banten"/>
      <sheetName val="ID_MENADO"/>
      <sheetName val="An_3"/>
      <sheetName val="An_1"/>
      <sheetName val="An_2"/>
      <sheetName val="Write_Off_&amp;_Disposal05"/>
      <sheetName val="DATA WP"/>
      <sheetName val="WBS2"/>
      <sheetName val="FIN_3260_WHTByInv_Rev1010"/>
      <sheetName val="HITUNG-HPP,25"/>
      <sheetName val="INDIRECT DETAIL"/>
      <sheetName val="OH"/>
      <sheetName val="total GA per dept"/>
      <sheetName val="Opening"/>
      <sheetName val="Art 23"/>
      <sheetName val="AHS1"/>
      <sheetName val="Interdata"/>
      <sheetName val="SE"/>
      <sheetName val="Rupiah"/>
      <sheetName val="TEKNIS"/>
      <sheetName val="Basic (2)"/>
      <sheetName val="PRY 01-8"/>
      <sheetName val="PRY 01-3"/>
      <sheetName val="D.1.7"/>
      <sheetName val="D.1.5"/>
      <sheetName val="D.2.3"/>
      <sheetName val="D.2.2"/>
      <sheetName val="harga sat"/>
      <sheetName val="GRAND REKAP"/>
      <sheetName val="harga dasar"/>
      <sheetName val="prog-mgu"/>
      <sheetName val="igp-popno"/>
      <sheetName val="hasat"/>
      <sheetName val="telp"/>
      <sheetName val="trans"/>
      <sheetName val="DATAJUNI"/>
      <sheetName val="SDAYA"/>
      <sheetName val="ASS-UNIT"/>
      <sheetName val="Occupancy"/>
      <sheetName val="WP"/>
      <sheetName val="Lead"/>
      <sheetName val="saklar"/>
      <sheetName val="Prediksi 2011"/>
      <sheetName val="Prediksi HT 2011"/>
      <sheetName val="AJE&amp;RJE"/>
      <sheetName val="uu13"/>
      <sheetName val="5751"/>
      <sheetName val="6251"/>
      <sheetName val="6540 (2)"/>
      <sheetName val="Difference Cons"/>
      <sheetName val="KPP-01"/>
      <sheetName val="PBK-01"/>
      <sheetName val="RSK-01"/>
      <sheetName val="ACR '03 Calculation"/>
      <sheetName val="RESUME"/>
      <sheetName val="Irregular_Income2"/>
      <sheetName val="FE-1770_P11"/>
      <sheetName val="A_LIS1"/>
      <sheetName val="Permanent_info2"/>
      <sheetName val="F_3_WIP2"/>
      <sheetName val="2703_11"/>
      <sheetName val="DH_RI_SI_Exceptions1"/>
      <sheetName val="K_2_11"/>
      <sheetName val="WP_LABA_RUGI1"/>
      <sheetName val="2004_AAL1"/>
      <sheetName val="P3_51"/>
      <sheetName val="CPO_16-9-TID_1"/>
      <sheetName val="B_-_Norelec1"/>
      <sheetName val="101_001"/>
      <sheetName val="tabel_nilai1"/>
      <sheetName val="Source_CoA1"/>
      <sheetName val="Balance_Sheet1"/>
      <sheetName val="Rp_Banten1"/>
      <sheetName val="ID_MENADO1"/>
      <sheetName val="An_31"/>
      <sheetName val="An_11"/>
      <sheetName val="An_21"/>
      <sheetName val="Write_Off_&amp;_Disposal051"/>
      <sheetName val="data_identitas_wp6"/>
      <sheetName val="BS_Indo6"/>
      <sheetName val="PL_Indo6"/>
      <sheetName val="Ikhtisar_Corr6"/>
      <sheetName val="fiscal_corr6"/>
      <sheetName val="PPh_296"/>
      <sheetName val="PPh_25_(2004)6"/>
      <sheetName val="FA_Fiscal_Depreciation6"/>
      <sheetName val="gl_enindo_-_09036"/>
      <sheetName val="Table_Array5"/>
      <sheetName val="JAN_20015"/>
      <sheetName val="F_3_2_14"/>
      <sheetName val="B_14"/>
      <sheetName val="Cover_Sheet4"/>
      <sheetName val="KKP-II_2_2_1_24"/>
      <sheetName val="JanPayroll_Feb_partial4"/>
      <sheetName val="Other_charges_(income)4"/>
      <sheetName val="Data_Jual4"/>
      <sheetName val="Simple_Coff_4"/>
      <sheetName val="KAS_$4"/>
      <sheetName val="Project_budget_BTS4"/>
      <sheetName val="Irregular_Income3"/>
      <sheetName val="FE-1770_P12"/>
      <sheetName val="A_LIS2"/>
      <sheetName val="SPRS_breakdown_pricing4"/>
      <sheetName val="erlang_table4"/>
      <sheetName val="Permanent_info3"/>
      <sheetName val="F_3_WIP3"/>
      <sheetName val="2703_12"/>
      <sheetName val="DH_RI_SI_Exceptions2"/>
      <sheetName val="K_2_12"/>
      <sheetName val="WP_LABA_RUGI2"/>
      <sheetName val="2004_AAL2"/>
      <sheetName val="P3_52"/>
      <sheetName val="CPO_16-9-TID_2"/>
      <sheetName val="B_-_Norelec2"/>
      <sheetName val="101_002"/>
      <sheetName val="tabel_nilai2"/>
      <sheetName val="Source_CoA2"/>
      <sheetName val="Balance_Sheet2"/>
      <sheetName val="Rp_Banten2"/>
      <sheetName val="ID_MENADO2"/>
      <sheetName val="An_32"/>
      <sheetName val="An_12"/>
      <sheetName val="An_22"/>
      <sheetName val="Write_Off_&amp;_Disposal052"/>
      <sheetName val="data_identitas_wp7"/>
      <sheetName val="BS_Indo7"/>
      <sheetName val="PL_Indo7"/>
      <sheetName val="Ikhtisar_Corr7"/>
      <sheetName val="fiscal_corr7"/>
      <sheetName val="PPh_297"/>
      <sheetName val="PPh_25_(2004)7"/>
      <sheetName val="FA_Fiscal_Depreciation7"/>
      <sheetName val="gl_enindo_-_09037"/>
      <sheetName val="Table_Array6"/>
      <sheetName val="JAN_20016"/>
      <sheetName val="F_3_2_15"/>
      <sheetName val="B_15"/>
      <sheetName val="Cover_Sheet5"/>
      <sheetName val="KKP-II_2_2_1_25"/>
      <sheetName val="JanPayroll_Feb_partial5"/>
      <sheetName val="Other_charges_(income)5"/>
      <sheetName val="Data_Jual5"/>
      <sheetName val="Simple_Coff_5"/>
      <sheetName val="KAS_$5"/>
      <sheetName val="Project_budget_BTS5"/>
      <sheetName val="Irregular_Income4"/>
      <sheetName val="FE-1770_P13"/>
      <sheetName val="A_LIS3"/>
      <sheetName val="SPRS_breakdown_pricing5"/>
      <sheetName val="erlang_table5"/>
      <sheetName val="Permanent_info4"/>
      <sheetName val="F_3_WIP4"/>
      <sheetName val="2703_13"/>
      <sheetName val="DH_RI_SI_Exceptions3"/>
      <sheetName val="K_2_13"/>
      <sheetName val="WP_LABA_RUGI3"/>
      <sheetName val="2004_AAL3"/>
      <sheetName val="P3_53"/>
      <sheetName val="CPO_16-9-TID_3"/>
      <sheetName val="B_-_Norelec3"/>
      <sheetName val="101_003"/>
      <sheetName val="tabel_nilai3"/>
      <sheetName val="Source_CoA3"/>
      <sheetName val="Balance_Sheet3"/>
      <sheetName val="Rp_Banten3"/>
      <sheetName val="ID_MENADO3"/>
      <sheetName val="An_33"/>
      <sheetName val="An_13"/>
      <sheetName val="An_23"/>
      <sheetName val="Write_Off_&amp;_Disposal053"/>
      <sheetName val="data_identitas_wp9"/>
      <sheetName val="BS_Indo9"/>
      <sheetName val="PL_Indo9"/>
      <sheetName val="Ikhtisar_Corr9"/>
      <sheetName val="fiscal_corr9"/>
      <sheetName val="PPh_299"/>
      <sheetName val="PPh_25_(2004)9"/>
      <sheetName val="FA_Fiscal_Depreciation9"/>
      <sheetName val="gl_enindo_-_09039"/>
      <sheetName val="Table_Array8"/>
      <sheetName val="JAN_20018"/>
      <sheetName val="F_3_2_17"/>
      <sheetName val="B_17"/>
      <sheetName val="Cover_Sheet7"/>
      <sheetName val="KKP-II_2_2_1_27"/>
      <sheetName val="JanPayroll_Feb_partial7"/>
      <sheetName val="Other_charges_(income)7"/>
      <sheetName val="Data_Jual7"/>
      <sheetName val="Simple_Coff_7"/>
      <sheetName val="KAS_$7"/>
      <sheetName val="Project_budget_BTS7"/>
      <sheetName val="Irregular_Income6"/>
      <sheetName val="FE-1770_P15"/>
      <sheetName val="A_LIS5"/>
      <sheetName val="SPRS_breakdown_pricing7"/>
      <sheetName val="erlang_table7"/>
      <sheetName val="Permanent_info6"/>
      <sheetName val="F_3_WIP6"/>
      <sheetName val="2703_15"/>
      <sheetName val="DH_RI_SI_Exceptions5"/>
      <sheetName val="K_2_15"/>
      <sheetName val="WP_LABA_RUGI5"/>
      <sheetName val="2004_AAL5"/>
      <sheetName val="P3_55"/>
      <sheetName val="CPO_16-9-TID_5"/>
      <sheetName val="B_-_Norelec5"/>
      <sheetName val="101_005"/>
      <sheetName val="tabel_nilai5"/>
      <sheetName val="Source_CoA5"/>
      <sheetName val="Balance_Sheet5"/>
      <sheetName val="Rp_Banten5"/>
      <sheetName val="ID_MENADO5"/>
      <sheetName val="An_35"/>
      <sheetName val="An_15"/>
      <sheetName val="An_25"/>
      <sheetName val="Write_Off_&amp;_Disposal055"/>
      <sheetName val="data_identitas_wp8"/>
      <sheetName val="BS_Indo8"/>
      <sheetName val="PL_Indo8"/>
      <sheetName val="Ikhtisar_Corr8"/>
      <sheetName val="fiscal_corr8"/>
      <sheetName val="PPh_298"/>
      <sheetName val="PPh_25_(2004)8"/>
      <sheetName val="FA_Fiscal_Depreciation8"/>
      <sheetName val="gl_enindo_-_09038"/>
      <sheetName val="Table_Array7"/>
      <sheetName val="JAN_20017"/>
      <sheetName val="F_3_2_16"/>
      <sheetName val="B_16"/>
      <sheetName val="Cover_Sheet6"/>
      <sheetName val="KKP-II_2_2_1_26"/>
      <sheetName val="JanPayroll_Feb_partial6"/>
      <sheetName val="Other_charges_(income)6"/>
      <sheetName val="Data_Jual6"/>
      <sheetName val="Simple_Coff_6"/>
      <sheetName val="KAS_$6"/>
      <sheetName val="Project_budget_BTS6"/>
      <sheetName val="Irregular_Income5"/>
      <sheetName val="FE-1770_P14"/>
      <sheetName val="A_LIS4"/>
      <sheetName val="SPRS_breakdown_pricing6"/>
      <sheetName val="erlang_table6"/>
      <sheetName val="Permanent_info5"/>
      <sheetName val="F_3_WIP5"/>
      <sheetName val="2703_14"/>
      <sheetName val="DH_RI_SI_Exceptions4"/>
      <sheetName val="K_2_14"/>
      <sheetName val="WP_LABA_RUGI4"/>
      <sheetName val="2004_AAL4"/>
      <sheetName val="P3_54"/>
      <sheetName val="CPO_16-9-TID_4"/>
      <sheetName val="B_-_Norelec4"/>
      <sheetName val="101_004"/>
      <sheetName val="tabel_nilai4"/>
      <sheetName val="Source_CoA4"/>
      <sheetName val="Balance_Sheet4"/>
      <sheetName val="Rp_Banten4"/>
      <sheetName val="ID_MENADO4"/>
      <sheetName val="An_34"/>
      <sheetName val="An_14"/>
      <sheetName val="An_24"/>
      <sheetName val="Write_Off_&amp;_Disposal054"/>
      <sheetName val="data_identitas_wp10"/>
      <sheetName val="BS_Indo10"/>
      <sheetName val="PL_Indo10"/>
      <sheetName val="Ikhtisar_Corr10"/>
      <sheetName val="fiscal_corr10"/>
      <sheetName val="PPh_2910"/>
      <sheetName val="PPh_25_(2004)10"/>
      <sheetName val="FA_Fiscal_Depreciation10"/>
      <sheetName val="gl_enindo_-_090310"/>
      <sheetName val="Table_Array9"/>
      <sheetName val="JAN_20019"/>
      <sheetName val="F_3_2_18"/>
      <sheetName val="B_18"/>
      <sheetName val="Cover_Sheet8"/>
      <sheetName val="KKP-II_2_2_1_28"/>
      <sheetName val="JanPayroll_Feb_partial8"/>
      <sheetName val="Other_charges_(income)8"/>
      <sheetName val="Data_Jual8"/>
      <sheetName val="Simple_Coff_8"/>
      <sheetName val="KAS_$8"/>
      <sheetName val="Project_budget_BTS8"/>
      <sheetName val="Irregular_Income7"/>
      <sheetName val="FE-1770_P16"/>
      <sheetName val="A_LIS6"/>
      <sheetName val="SPRS_breakdown_pricing8"/>
      <sheetName val="erlang_table8"/>
      <sheetName val="Permanent_info7"/>
      <sheetName val="F_3_WIP7"/>
      <sheetName val="2703_16"/>
      <sheetName val="DH_RI_SI_Exceptions6"/>
      <sheetName val="K_2_16"/>
      <sheetName val="WP_LABA_RUGI6"/>
      <sheetName val="2004_AAL6"/>
      <sheetName val="P3_56"/>
      <sheetName val="CPO_16-9-TID_6"/>
      <sheetName val="B_-_Norelec6"/>
      <sheetName val="101_006"/>
      <sheetName val="tabel_nilai6"/>
      <sheetName val="Source_CoA6"/>
      <sheetName val="Balance_Sheet6"/>
      <sheetName val="Rp_Banten6"/>
      <sheetName val="ID_MENADO6"/>
      <sheetName val="An_36"/>
      <sheetName val="An_16"/>
      <sheetName val="An_26"/>
      <sheetName val="Write_Off_&amp;_Disposal056"/>
      <sheetName val="data_identitas_wp11"/>
      <sheetName val="BS_Indo11"/>
      <sheetName val="PL_Indo11"/>
      <sheetName val="Ikhtisar_Corr11"/>
      <sheetName val="fiscal_corr11"/>
      <sheetName val="PPh_2911"/>
      <sheetName val="PPh_25_(2004)11"/>
      <sheetName val="FA_Fiscal_Depreciation11"/>
      <sheetName val="gl_enindo_-_090311"/>
      <sheetName val="Table_Array10"/>
      <sheetName val="JAN_200110"/>
      <sheetName val="F_3_2_19"/>
      <sheetName val="B_19"/>
      <sheetName val="Cover_Sheet9"/>
      <sheetName val="KKP-II_2_2_1_29"/>
      <sheetName val="JanPayroll_Feb_partial9"/>
      <sheetName val="Other_charges_(income)9"/>
      <sheetName val="Data_Jual9"/>
      <sheetName val="Simple_Coff_9"/>
      <sheetName val="KAS_$9"/>
      <sheetName val="Project_budget_BTS9"/>
      <sheetName val="Irregular_Income8"/>
      <sheetName val="FE-1770_P17"/>
      <sheetName val="A_LIS7"/>
      <sheetName val="SPRS_breakdown_pricing9"/>
      <sheetName val="erlang_table9"/>
      <sheetName val="Permanent_info8"/>
      <sheetName val="F_3_WIP8"/>
      <sheetName val="2703_17"/>
      <sheetName val="DH_RI_SI_Exceptions7"/>
      <sheetName val="K_2_17"/>
      <sheetName val="WP_LABA_RUGI7"/>
      <sheetName val="2004_AAL7"/>
      <sheetName val="P3_57"/>
      <sheetName val="CPO_16-9-TID_7"/>
      <sheetName val="B_-_Norelec7"/>
      <sheetName val="101_007"/>
      <sheetName val="tabel_nilai7"/>
      <sheetName val="Source_CoA7"/>
      <sheetName val="Balance_Sheet7"/>
      <sheetName val="Rp_Banten7"/>
      <sheetName val="ID_MENADO7"/>
      <sheetName val="An_37"/>
      <sheetName val="An_17"/>
      <sheetName val="An_27"/>
      <sheetName val="Write_Off_&amp;_Disposal057"/>
      <sheetName val="data_identitas_wp13"/>
      <sheetName val="BS_Indo13"/>
      <sheetName val="PL_Indo13"/>
      <sheetName val="Ikhtisar_Corr13"/>
      <sheetName val="fiscal_corr13"/>
      <sheetName val="PPh_2913"/>
      <sheetName val="PPh_25_(2004)13"/>
      <sheetName val="FA_Fiscal_Depreciation13"/>
      <sheetName val="gl_enindo_-_090313"/>
      <sheetName val="Table_Array12"/>
      <sheetName val="JAN_200112"/>
      <sheetName val="F_3_2_111"/>
      <sheetName val="B_111"/>
      <sheetName val="Cover_Sheet11"/>
      <sheetName val="KKP-II_2_2_1_211"/>
      <sheetName val="JanPayroll_Feb_partial11"/>
      <sheetName val="Other_charges_(income)11"/>
      <sheetName val="Data_Jual11"/>
      <sheetName val="Simple_Coff_11"/>
      <sheetName val="KAS_$11"/>
      <sheetName val="Project_budget_BTS11"/>
      <sheetName val="Irregular_Income10"/>
      <sheetName val="FE-1770_P19"/>
      <sheetName val="A_LIS9"/>
      <sheetName val="SPRS_breakdown_pricing11"/>
      <sheetName val="erlang_table11"/>
      <sheetName val="Permanent_info10"/>
      <sheetName val="F_3_WIP10"/>
      <sheetName val="2703_19"/>
      <sheetName val="DH_RI_SI_Exceptions9"/>
      <sheetName val="K_2_19"/>
      <sheetName val="WP_LABA_RUGI9"/>
      <sheetName val="2004_AAL9"/>
      <sheetName val="P3_59"/>
      <sheetName val="CPO_16-9-TID_9"/>
      <sheetName val="B_-_Norelec9"/>
      <sheetName val="101_009"/>
      <sheetName val="tabel_nilai9"/>
      <sheetName val="Source_CoA9"/>
      <sheetName val="Balance_Sheet9"/>
      <sheetName val="Rp_Banten9"/>
      <sheetName val="ID_MENADO9"/>
      <sheetName val="An_39"/>
      <sheetName val="An_19"/>
      <sheetName val="An_29"/>
      <sheetName val="Write_Off_&amp;_Disposal059"/>
      <sheetName val="data_identitas_wp12"/>
      <sheetName val="BS_Indo12"/>
      <sheetName val="PL_Indo12"/>
      <sheetName val="Ikhtisar_Corr12"/>
      <sheetName val="fiscal_corr12"/>
      <sheetName val="PPh_2912"/>
      <sheetName val="PPh_25_(2004)12"/>
      <sheetName val="FA_Fiscal_Depreciation12"/>
      <sheetName val="gl_enindo_-_090312"/>
      <sheetName val="Table_Array11"/>
      <sheetName val="JAN_200111"/>
      <sheetName val="F_3_2_110"/>
      <sheetName val="B_110"/>
      <sheetName val="Cover_Sheet10"/>
      <sheetName val="KKP-II_2_2_1_210"/>
      <sheetName val="JanPayroll_Feb_partial10"/>
      <sheetName val="Other_charges_(income)10"/>
      <sheetName val="Data_Jual10"/>
      <sheetName val="Simple_Coff_10"/>
      <sheetName val="KAS_$10"/>
      <sheetName val="Project_budget_BTS10"/>
      <sheetName val="Irregular_Income9"/>
      <sheetName val="FE-1770_P18"/>
      <sheetName val="A_LIS8"/>
      <sheetName val="SPRS_breakdown_pricing10"/>
      <sheetName val="erlang_table10"/>
      <sheetName val="Permanent_info9"/>
      <sheetName val="F_3_WIP9"/>
      <sheetName val="2703_18"/>
      <sheetName val="DH_RI_SI_Exceptions8"/>
      <sheetName val="K_2_18"/>
      <sheetName val="WP_LABA_RUGI8"/>
      <sheetName val="2004_AAL8"/>
      <sheetName val="P3_58"/>
      <sheetName val="CPO_16-9-TID_8"/>
      <sheetName val="B_-_Norelec8"/>
      <sheetName val="101_008"/>
      <sheetName val="tabel_nilai8"/>
      <sheetName val="Source_CoA8"/>
      <sheetName val="Balance_Sheet8"/>
      <sheetName val="Rp_Banten8"/>
      <sheetName val="ID_MENADO8"/>
      <sheetName val="An_38"/>
      <sheetName val="An_18"/>
      <sheetName val="An_28"/>
      <sheetName val="Write_Off_&amp;_Disposal058"/>
      <sheetName val="data_identitas_wp15"/>
      <sheetName val="BS_Indo15"/>
      <sheetName val="PL_Indo15"/>
      <sheetName val="Ikhtisar_Corr15"/>
      <sheetName val="fiscal_corr15"/>
      <sheetName val="PPh_2915"/>
      <sheetName val="PPh_25_(2004)15"/>
      <sheetName val="FA_Fiscal_Depreciation15"/>
      <sheetName val="gl_enindo_-_090315"/>
      <sheetName val="Table_Array14"/>
      <sheetName val="JAN_200114"/>
      <sheetName val="F_3_2_113"/>
      <sheetName val="B_113"/>
      <sheetName val="Cover_Sheet13"/>
      <sheetName val="KKP-II_2_2_1_213"/>
      <sheetName val="JanPayroll_Feb_partial13"/>
      <sheetName val="Other_charges_(income)13"/>
      <sheetName val="Data_Jual13"/>
      <sheetName val="Simple_Coff_13"/>
      <sheetName val="KAS_$13"/>
      <sheetName val="Project_budget_BTS13"/>
      <sheetName val="Irregular_Income12"/>
      <sheetName val="FE-1770_P111"/>
      <sheetName val="A_LIS11"/>
      <sheetName val="SPRS_breakdown_pricing13"/>
      <sheetName val="erlang_table13"/>
      <sheetName val="Permanent_info12"/>
      <sheetName val="F_3_WIP12"/>
      <sheetName val="2703_111"/>
      <sheetName val="DH_RI_SI_Exceptions11"/>
      <sheetName val="K_2_111"/>
      <sheetName val="WP_LABA_RUGI11"/>
      <sheetName val="2004_AAL11"/>
      <sheetName val="P3_511"/>
      <sheetName val="CPO_16-9-TID_11"/>
      <sheetName val="B_-_Norelec11"/>
      <sheetName val="101_0011"/>
      <sheetName val="tabel_nilai11"/>
      <sheetName val="Source_CoA11"/>
      <sheetName val="Balance_Sheet11"/>
      <sheetName val="Rp_Banten11"/>
      <sheetName val="ID_MENADO11"/>
      <sheetName val="An_311"/>
      <sheetName val="An_111"/>
      <sheetName val="An_211"/>
      <sheetName val="Write_Off_&amp;_Disposal0511"/>
      <sheetName val="data_identitas_wp14"/>
      <sheetName val="BS_Indo14"/>
      <sheetName val="PL_Indo14"/>
      <sheetName val="Ikhtisar_Corr14"/>
      <sheetName val="fiscal_corr14"/>
      <sheetName val="PPh_2914"/>
      <sheetName val="PPh_25_(2004)14"/>
      <sheetName val="FA_Fiscal_Depreciation14"/>
      <sheetName val="gl_enindo_-_090314"/>
      <sheetName val="Table_Array13"/>
      <sheetName val="JAN_200113"/>
      <sheetName val="F_3_2_112"/>
      <sheetName val="B_112"/>
      <sheetName val="Cover_Sheet12"/>
      <sheetName val="KKP-II_2_2_1_212"/>
      <sheetName val="JanPayroll_Feb_partial12"/>
      <sheetName val="Other_charges_(income)12"/>
      <sheetName val="Data_Jual12"/>
      <sheetName val="Simple_Coff_12"/>
      <sheetName val="KAS_$12"/>
      <sheetName val="Project_budget_BTS12"/>
      <sheetName val="Irregular_Income11"/>
      <sheetName val="FE-1770_P110"/>
      <sheetName val="A_LIS10"/>
      <sheetName val="SPRS_breakdown_pricing12"/>
      <sheetName val="erlang_table12"/>
      <sheetName val="Permanent_info11"/>
      <sheetName val="F_3_WIP11"/>
      <sheetName val="2703_110"/>
      <sheetName val="DH_RI_SI_Exceptions10"/>
      <sheetName val="K_2_110"/>
      <sheetName val="WP_LABA_RUGI10"/>
      <sheetName val="2004_AAL10"/>
      <sheetName val="P3_510"/>
      <sheetName val="CPO_16-9-TID_10"/>
      <sheetName val="B_-_Norelec10"/>
      <sheetName val="101_0010"/>
      <sheetName val="tabel_nilai10"/>
      <sheetName val="Source_CoA10"/>
      <sheetName val="Balance_Sheet10"/>
      <sheetName val="Rp_Banten10"/>
      <sheetName val="ID_MENADO10"/>
      <sheetName val="An_310"/>
      <sheetName val="An_110"/>
      <sheetName val="An_210"/>
      <sheetName val="Write_Off_&amp;_Disposal0510"/>
      <sheetName val="data_identitas_wp16"/>
      <sheetName val="BS_Indo16"/>
      <sheetName val="PL_Indo16"/>
      <sheetName val="Ikhtisar_Corr16"/>
      <sheetName val="fiscal_corr16"/>
      <sheetName val="PPh_2916"/>
      <sheetName val="PPh_25_(2004)16"/>
      <sheetName val="FA_Fiscal_Depreciation16"/>
      <sheetName val="gl_enindo_-_090316"/>
      <sheetName val="Table_Array15"/>
      <sheetName val="JAN_200115"/>
      <sheetName val="F_3_2_114"/>
      <sheetName val="B_114"/>
      <sheetName val="Cover_Sheet14"/>
      <sheetName val="KKP-II_2_2_1_214"/>
      <sheetName val="JanPayroll_Feb_partial14"/>
      <sheetName val="Other_charges_(income)14"/>
      <sheetName val="Data_Jual14"/>
      <sheetName val="Simple_Coff_14"/>
      <sheetName val="KAS_$14"/>
      <sheetName val="Project_budget_BTS14"/>
      <sheetName val="Irregular_Income13"/>
      <sheetName val="FE-1770_P112"/>
      <sheetName val="A_LIS12"/>
      <sheetName val="SPRS_breakdown_pricing14"/>
      <sheetName val="erlang_table14"/>
      <sheetName val="Permanent_info13"/>
      <sheetName val="F_3_WIP13"/>
      <sheetName val="2703_112"/>
      <sheetName val="DH_RI_SI_Exceptions12"/>
      <sheetName val="K_2_112"/>
      <sheetName val="WP_LABA_RUGI12"/>
      <sheetName val="2004_AAL12"/>
      <sheetName val="P3_512"/>
      <sheetName val="CPO_16-9-TID_12"/>
      <sheetName val="B_-_Norelec12"/>
      <sheetName val="101_0012"/>
      <sheetName val="tabel_nilai12"/>
      <sheetName val="Source_CoA12"/>
      <sheetName val="Balance_Sheet12"/>
      <sheetName val="Rp_Banten12"/>
      <sheetName val="ID_MENADO12"/>
      <sheetName val="An_312"/>
      <sheetName val="An_112"/>
      <sheetName val="An_212"/>
      <sheetName val="Write_Off_&amp;_Disposal0512"/>
      <sheetName val="AC"/>
      <sheetName val="data_identitas_wp17"/>
      <sheetName val="BS_Indo17"/>
      <sheetName val="PL_Indo17"/>
      <sheetName val="Ikhtisar_Corr17"/>
      <sheetName val="fiscal_corr17"/>
      <sheetName val="PPh_2917"/>
      <sheetName val="PPh_25_(2004)17"/>
      <sheetName val="FA_Fiscal_Depreciation17"/>
      <sheetName val="gl_enindo_-_090317"/>
      <sheetName val="Table_Array16"/>
      <sheetName val="JAN_200116"/>
      <sheetName val="F_3_2_115"/>
      <sheetName val="B_115"/>
      <sheetName val="Cover_Sheet15"/>
      <sheetName val="KKP-II_2_2_1_215"/>
      <sheetName val="JanPayroll_Feb_partial15"/>
      <sheetName val="Other_charges_(income)15"/>
      <sheetName val="Data_Jual15"/>
      <sheetName val="Simple_Coff_15"/>
      <sheetName val="KAS_$15"/>
      <sheetName val="Project_budget_BTS15"/>
      <sheetName val="Irregular_Income14"/>
      <sheetName val="FE-1770_P113"/>
      <sheetName val="A_LIS13"/>
      <sheetName val="SPRS_breakdown_pricing15"/>
      <sheetName val="erlang_table15"/>
      <sheetName val="Permanent_info14"/>
      <sheetName val="F_3_WIP14"/>
      <sheetName val="2703_113"/>
      <sheetName val="DH_RI_SI_Exceptions13"/>
      <sheetName val="K_2_113"/>
      <sheetName val="WP_LABA_RUGI13"/>
      <sheetName val="2004_AAL13"/>
      <sheetName val="P3_513"/>
      <sheetName val="CPO_16-9-TID_13"/>
      <sheetName val="B_-_Norelec13"/>
      <sheetName val="101_0013"/>
      <sheetName val="tabel_nilai13"/>
      <sheetName val="Source_CoA13"/>
      <sheetName val="Balance_Sheet13"/>
      <sheetName val="Rp_Banten13"/>
      <sheetName val="ID_MENADO13"/>
      <sheetName val="An_313"/>
      <sheetName val="An_113"/>
      <sheetName val="An_213"/>
      <sheetName val="Write_Off_&amp;_Disposal0513"/>
      <sheetName val="Peralatan"/>
      <sheetName val="Pj_Crops"/>
      <sheetName val="Ass_Fin"/>
      <sheetName val="Contnts"/>
      <sheetName val="Pj_Cap_Items"/>
      <sheetName val="Ass_Ops"/>
      <sheetName val="Ass_Dev"/>
      <sheetName val="Pj_Summary"/>
      <sheetName val="Danamon LK"/>
      <sheetName val="basic price"/>
      <sheetName val="RINCI"/>
      <sheetName val="Analisa SNI STANDART "/>
      <sheetName val="Konfirm"/>
      <sheetName val="BASIC"/>
      <sheetName val="HD BAHAN"/>
      <sheetName val="BOQ CONTRACT WK"/>
      <sheetName val="H.Satuan"/>
      <sheetName val="D.BOARD"/>
      <sheetName val="HS-1"/>
      <sheetName val="D2.4"/>
      <sheetName val="D3-3"/>
      <sheetName val="D4.3 (TE)"/>
      <sheetName val="D5.3 (TF) "/>
      <sheetName val="D8.3 (TJ)"/>
      <sheetName val="Master Schedule"/>
      <sheetName val="HRG"/>
      <sheetName val="Analysis"/>
      <sheetName val="RAB NEGO 17.01.18"/>
      <sheetName val="basic_price"/>
      <sheetName val="sub"/>
      <sheetName val="Agregat Halus &amp; Kasar"/>
      <sheetName val="7.공정표"/>
      <sheetName val="Div2"/>
      <sheetName val="Rekap 1"/>
      <sheetName val="RPP01 3"/>
      <sheetName val="Arsitektur"/>
      <sheetName val="H_Satuan"/>
      <sheetName val="BasicPrice"/>
      <sheetName val="UPH,BHN,ALT"/>
      <sheetName val="HDasar"/>
      <sheetName val="div3"/>
      <sheetName val="DIV.9"/>
      <sheetName val="Fill this out first___"/>
      <sheetName val="STOK MAT"/>
      <sheetName val="Parameter"/>
      <sheetName val="Schedule 11a"/>
      <sheetName val="Temporary"/>
      <sheetName val="Septick tank"/>
      <sheetName val="Subkon"/>
      <sheetName val="Input Data"/>
      <sheetName val="fcsp-w"/>
      <sheetName val="FORM X COST"/>
      <sheetName val="PROD"/>
      <sheetName val="EXTERNAL  (revisi 1)"/>
      <sheetName val="HS1b"/>
      <sheetName val="DaftarHarga"/>
      <sheetName val="bahan"/>
      <sheetName val="SEP"/>
      <sheetName val="Indeks"/>
      <sheetName val="DKH"/>
      <sheetName val="351BQMCN"/>
      <sheetName val="Master 1.0"/>
      <sheetName val="공통비총괄표"/>
      <sheetName val="DCF"/>
      <sheetName val="K3LM"/>
      <sheetName val="HD Upah"/>
      <sheetName val="HD Alat"/>
      <sheetName val="jalur-TH-INI"/>
      <sheetName val="jalur-th-lalu"/>
      <sheetName val="Material&amp;Alat"/>
      <sheetName val="terbilang"/>
      <sheetName val="RAB-2006-Total"/>
      <sheetName val="tbl"/>
      <sheetName val="Kuantitas &amp; Harga"/>
      <sheetName val="RPP01 6"/>
      <sheetName val="TL"/>
      <sheetName val="Rekap Analisa"/>
      <sheetName val="hardas"/>
      <sheetName val="HPP_19_"/>
      <sheetName val="ANALISA-SNI"/>
      <sheetName val="Ideal"/>
      <sheetName val="BASIC-PRICE"/>
      <sheetName val="MAPP"/>
      <sheetName val="DASH"/>
      <sheetName val="5.1-5.4(1)-5.4(2)"/>
      <sheetName val="HRG BHN"/>
      <sheetName val="Assetdb"/>
      <sheetName val="AssetPar"/>
      <sheetName val="Sales Parameter"/>
      <sheetName val="5"/>
      <sheetName val="Har Sat"/>
      <sheetName val="kontak"/>
      <sheetName val="ED-Prod-02-2015"/>
      <sheetName val="DATA2015"/>
      <sheetName val="DATA2016"/>
      <sheetName val="ED-PMS-01&amp;02"/>
      <sheetName val="DB"/>
      <sheetName val="tp 45x45 (6)"/>
      <sheetName val="ekuitanak"/>
      <sheetName val="BHN-ALAT"/>
      <sheetName val="ANAL.BOW"/>
      <sheetName val="PriceList"/>
      <sheetName val="Bekisting"/>
      <sheetName val="plumbing"/>
      <sheetName val="escon"/>
      <sheetName val="H-Dasar"/>
      <sheetName val="SE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34"/>
      <sheetName val="2933"/>
      <sheetName val="2930"/>
      <sheetName val="101.00"/>
      <sheetName val="july"/>
      <sheetName val="june"/>
      <sheetName val="JAN"/>
      <sheetName val="101_00"/>
      <sheetName val="Invoice"/>
      <sheetName val="Customize Your Invoice"/>
      <sheetName val="共機J"/>
      <sheetName val="WBS2"/>
      <sheetName val="Ex-Rate"/>
      <sheetName val="Credit-22"/>
      <sheetName val="TBM"/>
      <sheetName val="Sheet1"/>
      <sheetName val="DATA WP"/>
      <sheetName val="??J"/>
      <sheetName val="101_006"/>
      <sheetName val="Customize_Your_Invoice5"/>
      <sheetName val="101_001"/>
      <sheetName val="Customize_Your_Invoice"/>
      <sheetName val="101_003"/>
      <sheetName val="Customize_Your_Invoice2"/>
      <sheetName val="101_002"/>
      <sheetName val="Customize_Your_Invoice1"/>
      <sheetName val="101_004"/>
      <sheetName val="Customize_Your_Invoice3"/>
      <sheetName val="101_005"/>
      <sheetName val="Customize_Your_Invoice4"/>
      <sheetName val="101_009"/>
      <sheetName val="Customize_Your_Invoice8"/>
      <sheetName val="101_007"/>
      <sheetName val="Customize_Your_Invoice6"/>
      <sheetName val="101_008"/>
      <sheetName val="Customize_Your_Invoice7"/>
      <sheetName val="A1-B ASSET"/>
      <sheetName val="101_0012"/>
      <sheetName val="Customize_Your_Invoice11"/>
      <sheetName val="101_0011"/>
      <sheetName val="Customize_Your_Invoice10"/>
      <sheetName val="DATA_WP1"/>
      <sheetName val="101_0010"/>
      <sheetName val="Customize_Your_Invoice9"/>
      <sheetName val="DATA_WP"/>
      <sheetName val="DCF"/>
      <sheetName val="412"/>
      <sheetName val="__J"/>
      <sheetName val="101_0013"/>
      <sheetName val="Customize_Your_Invoice12"/>
      <sheetName val="DATA_WP3"/>
      <sheetName val="DATA_WP2"/>
      <sheetName val="Irregular Income"/>
      <sheetName val="FE-1770.P1"/>
      <sheetName val="Balance"/>
      <sheetName val="KODEREKG"/>
      <sheetName val="定義"/>
      <sheetName val="GeneralInfo"/>
      <sheetName val="Master File (2)"/>
      <sheetName val="List PT"/>
      <sheetName val="Note"/>
      <sheetName val="TB"/>
      <sheetName val="B1 Data"/>
      <sheetName val="SE-C"/>
      <sheetName val="Table"/>
      <sheetName val="DailyOvertime"/>
      <sheetName val="BS 2017 (update2)"/>
      <sheetName val="BASE"/>
      <sheetName val="Buku Besar"/>
      <sheetName val="WorkSheet"/>
      <sheetName val="Base Data"/>
      <sheetName val="5"/>
      <sheetName val="SELISIHKURSSOURCE"/>
      <sheetName val="Depreciation"/>
      <sheetName val="E-1"/>
      <sheetName val="OLDMAP"/>
      <sheetName val="SAD"/>
      <sheetName val="Marshal"/>
      <sheetName val="101_0014"/>
      <sheetName val="Customize_Your_Invoice13"/>
      <sheetName val="DATA_WP4"/>
      <sheetName val="A1-B_ASSET"/>
      <sheetName val="Irregular_Income"/>
      <sheetName val="FE-1770_P1"/>
      <sheetName val="Master_File_(2)"/>
      <sheetName val="List_PT"/>
      <sheetName val="B1_Data"/>
      <sheetName val="Base_Data"/>
      <sheetName val="BS_2017_(update2)"/>
      <sheetName val="Buku_Besar"/>
      <sheetName val="P&amp;L98"/>
      <sheetName val="A"/>
      <sheetName val="KAS $"/>
      <sheetName val="KAS_$"/>
      <sheetName val="TB_KIP3"/>
      <sheetName val="INDUK"/>
      <sheetName val="BB_TB1"/>
      <sheetName val="Table Array"/>
      <sheetName val="tb-mar"/>
      <sheetName val="KODE"/>
      <sheetName val="BreakdownTax2011"/>
      <sheetName val="2002"/>
      <sheetName val="data_val"/>
      <sheetName val="Macro5"/>
      <sheetName val="GRADE"/>
      <sheetName val="DATA"/>
      <sheetName val="JVFORM"/>
      <sheetName val="datades02"/>
      <sheetName val="datades03"/>
      <sheetName val="olahuudes02"/>
      <sheetName val="olahuudes03"/>
      <sheetName val="eelist02"/>
      <sheetName val="eelist03"/>
      <sheetName val="trf d-i"/>
      <sheetName val="trf-d-w"/>
      <sheetName val="TRF13r"/>
      <sheetName val="cetakan"/>
      <sheetName val="iktsr03"/>
      <sheetName val="lamp 1"/>
      <sheetName val="uu13"/>
      <sheetName val="book03"/>
      <sheetName val="kepmenaker150"/>
      <sheetName val="trf d_i"/>
      <sheetName val="trf_d_w"/>
      <sheetName val="SUMMARY"/>
      <sheetName val="tunj."/>
      <sheetName val="TRBP"/>
      <sheetName val="Tariptunda"/>
      <sheetName val="TRF 150"/>
      <sheetName val="A.4.3"/>
      <sheetName val="A.4.2"/>
      <sheetName val="T"/>
      <sheetName val="trf_d-i"/>
      <sheetName val="lamp_1"/>
      <sheetName val="hitung"/>
      <sheetName val="HPP_0503"/>
      <sheetName val="Des"/>
      <sheetName val="strategi"/>
      <sheetName val="KRITERIA"/>
      <sheetName val="laporan"/>
      <sheetName val="KPI_konsol"/>
      <sheetName val="KPI"/>
      <sheetName val="konsolidasi"/>
      <sheetName val="Per_PT"/>
      <sheetName val="SDM"/>
      <sheetName val="cashflow"/>
      <sheetName val="grafikper-pt"/>
      <sheetName val="hasil_kpi"/>
      <sheetName val="Sheet2"/>
      <sheetName val="cadillac"/>
      <sheetName val="panther"/>
      <sheetName val="avanza"/>
      <sheetName val="rekap"/>
      <sheetName val="ARC_SEGMENT"/>
      <sheetName val="bayar_04_fak"/>
      <sheetName val="REKP PENJUALAN"/>
      <sheetName val="KKN"/>
      <sheetName val="Setup Data"/>
      <sheetName val="Family"/>
      <sheetName val="Front"/>
      <sheetName val="PLHOENG"/>
      <sheetName val="Contoh lap keu"/>
      <sheetName val="Exch.rate"/>
      <sheetName val="Equity"/>
      <sheetName val="Cover-01"/>
      <sheetName val="Irregular_Income1"/>
      <sheetName val="FE-1770_P11"/>
      <sheetName val="KAS_$1"/>
      <sheetName val="??"/>
      <sheetName val="SDMPROG"/>
      <sheetName val="FISIK RAB 2000"/>
      <sheetName val="Scenario&amp;Sensitivity"/>
      <sheetName val="Mine Assumptions"/>
      <sheetName val="claim"/>
      <sheetName val="JAN 2001"/>
      <sheetName val="rate"/>
      <sheetName val="Customer &amp; Supplier"/>
      <sheetName val="Indr"/>
      <sheetName val="Manajemen Fee"/>
      <sheetName val="__"/>
      <sheetName val="DBP-23"/>
      <sheetName val="ARL_2008"/>
      <sheetName val="status"/>
      <sheetName val="B.1"/>
      <sheetName val="Agu"/>
      <sheetName val="Apr"/>
      <sheetName val="Jul"/>
      <sheetName val="Jun"/>
      <sheetName val="Mar"/>
      <sheetName val="Mei"/>
      <sheetName val="Nov"/>
      <sheetName val="Okt"/>
      <sheetName val="Peb"/>
      <sheetName val="Sep"/>
      <sheetName val="PS21"/>
      <sheetName val="FF-21(a)"/>
      <sheetName val="101_0015"/>
      <sheetName val="Customize_Your_Invoice14"/>
      <sheetName val="DATA_WP5"/>
      <sheetName val="A1-B_ASSET1"/>
      <sheetName val="Master_File_(2)1"/>
      <sheetName val="List_PT1"/>
      <sheetName val="B1_Data1"/>
      <sheetName val="BS_2017_(update2)1"/>
      <sheetName val="Buku_Besar1"/>
      <sheetName val="Base_Data1"/>
      <sheetName val="Table_Array"/>
      <sheetName val="101_0016"/>
      <sheetName val="Customize_Your_Invoice15"/>
      <sheetName val="DATA_WP6"/>
      <sheetName val="A1-B_ASSET2"/>
      <sheetName val="Irregular_Income2"/>
      <sheetName val="FE-1770_P12"/>
      <sheetName val="Master_File_(2)2"/>
      <sheetName val="List_PT2"/>
      <sheetName val="B1_Data2"/>
      <sheetName val="BS_2017_(update2)2"/>
      <sheetName val="Buku_Besar2"/>
      <sheetName val="Base_Data2"/>
      <sheetName val="KAS_$2"/>
      <sheetName val="Table_Array1"/>
      <sheetName val="101_0017"/>
      <sheetName val="Customize_Your_Invoice16"/>
      <sheetName val="DATA_WP7"/>
      <sheetName val="A1-B_ASSET3"/>
      <sheetName val="Irregular_Income3"/>
      <sheetName val="FE-1770_P13"/>
      <sheetName val="Master_File_(2)3"/>
      <sheetName val="List_PT3"/>
      <sheetName val="B1_Data3"/>
      <sheetName val="BS_2017_(update2)3"/>
      <sheetName val="Buku_Besar3"/>
      <sheetName val="Base_Data3"/>
      <sheetName val="KAS_$3"/>
      <sheetName val="Table_Array2"/>
      <sheetName val="101_0018"/>
      <sheetName val="Customize_Your_Invoice17"/>
      <sheetName val="DATA_WP8"/>
      <sheetName val="A1-B_ASSET4"/>
      <sheetName val="Irregular_Income4"/>
      <sheetName val="FE-1770_P14"/>
      <sheetName val="Master_File_(2)4"/>
      <sheetName val="List_PT4"/>
      <sheetName val="B1_Data4"/>
      <sheetName val="BS_2017_(update2)4"/>
      <sheetName val="Buku_Besar4"/>
      <sheetName val="Base_Data4"/>
      <sheetName val="KAS_$4"/>
      <sheetName val="Table_Array3"/>
      <sheetName val="101_0022"/>
      <sheetName val="Customize_Your_Invoice21"/>
      <sheetName val="DATA_WP12"/>
      <sheetName val="A1-B_ASSET8"/>
      <sheetName val="Irregular_Income8"/>
      <sheetName val="FE-1770_P18"/>
      <sheetName val="Master_File_(2)8"/>
      <sheetName val="List_PT8"/>
      <sheetName val="B1_Data8"/>
      <sheetName val="BS_2017_(update2)8"/>
      <sheetName val="Buku_Besar8"/>
      <sheetName val="Base_Data8"/>
      <sheetName val="KAS_$8"/>
      <sheetName val="Table_Array7"/>
      <sheetName val="101_0019"/>
      <sheetName val="Customize_Your_Invoice18"/>
      <sheetName val="DATA_WP9"/>
      <sheetName val="A1-B_ASSET5"/>
      <sheetName val="Irregular_Income5"/>
      <sheetName val="FE-1770_P15"/>
      <sheetName val="Master_File_(2)5"/>
      <sheetName val="List_PT5"/>
      <sheetName val="B1_Data5"/>
      <sheetName val="BS_2017_(update2)5"/>
      <sheetName val="Buku_Besar5"/>
      <sheetName val="Base_Data5"/>
      <sheetName val="KAS_$5"/>
      <sheetName val="Table_Array4"/>
      <sheetName val="101_0020"/>
      <sheetName val="Customize_Your_Invoice19"/>
      <sheetName val="DATA_WP10"/>
      <sheetName val="A1-B_ASSET6"/>
      <sheetName val="Irregular_Income6"/>
      <sheetName val="FE-1770_P16"/>
      <sheetName val="Master_File_(2)6"/>
      <sheetName val="List_PT6"/>
      <sheetName val="B1_Data6"/>
      <sheetName val="BS_2017_(update2)6"/>
      <sheetName val="Buku_Besar6"/>
      <sheetName val="Base_Data6"/>
      <sheetName val="KAS_$6"/>
      <sheetName val="Table_Array5"/>
      <sheetName val="101_0021"/>
      <sheetName val="Customize_Your_Invoice20"/>
      <sheetName val="DATA_WP11"/>
      <sheetName val="A1-B_ASSET7"/>
      <sheetName val="Irregular_Income7"/>
      <sheetName val="FE-1770_P17"/>
      <sheetName val="Master_File_(2)7"/>
      <sheetName val="List_PT7"/>
      <sheetName val="B1_Data7"/>
      <sheetName val="BS_2017_(update2)7"/>
      <sheetName val="Buku_Besar7"/>
      <sheetName val="Base_Data7"/>
      <sheetName val="KAS_$7"/>
      <sheetName val="Table_Array6"/>
      <sheetName val="101_0023"/>
      <sheetName val="Customize_Your_Invoice22"/>
      <sheetName val="DATA_WP13"/>
      <sheetName val="A1-B_ASSET9"/>
      <sheetName val="Irregular_Income9"/>
      <sheetName val="FE-1770_P19"/>
      <sheetName val="Master_File_(2)9"/>
      <sheetName val="List_PT9"/>
      <sheetName val="B1_Data9"/>
      <sheetName val="BS_2017_(update2)9"/>
      <sheetName val="Buku_Besar9"/>
      <sheetName val="Base_Data9"/>
      <sheetName val="KAS_$9"/>
      <sheetName val="Table_Array8"/>
      <sheetName val="101_0024"/>
      <sheetName val="Customize_Your_Invoice23"/>
      <sheetName val="DATA_WP14"/>
      <sheetName val="A1-B_ASSET10"/>
      <sheetName val="Irregular_Income10"/>
      <sheetName val="FE-1770_P110"/>
      <sheetName val="Master_File_(2)10"/>
      <sheetName val="List_PT10"/>
      <sheetName val="B1_Data10"/>
      <sheetName val="BS_2017_(update2)10"/>
      <sheetName val="Buku_Besar10"/>
      <sheetName val="Base_Data10"/>
      <sheetName val="KAS_$10"/>
      <sheetName val="Table_Array9"/>
      <sheetName val="Customize Your Purchase Order"/>
      <sheetName val="Ex_Rate"/>
      <sheetName val="As"/>
      <sheetName val="tabel"/>
      <sheetName val="name"/>
      <sheetName val="NAMES"/>
      <sheetName val="trial"/>
      <sheetName val="Link"/>
      <sheetName val="KURS"/>
      <sheetName val="Biaya Departemen"/>
      <sheetName val="Biaya_Departemen"/>
      <sheetName val="Global Inputs"/>
      <sheetName val="EarningsReport"/>
      <sheetName val="mapping '10"/>
      <sheetName val="Tables"/>
      <sheetName val="BBCA"/>
      <sheetName val="N-HMSP"/>
      <sheetName val="MED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 2"/>
      <sheetName val="PK All"/>
      <sheetName val="MFKLU"/>
      <sheetName val="Master File (2)"/>
      <sheetName val="Master File _2_"/>
      <sheetName val="2934"/>
      <sheetName val="JAN"/>
      <sheetName val="PK_2"/>
      <sheetName val="PK_All"/>
      <sheetName val="Master_File_(2)"/>
      <sheetName val="Master_File__2_"/>
      <sheetName val="PK_21"/>
      <sheetName val="PK_All1"/>
      <sheetName val="Master_File_(2)1"/>
      <sheetName val="Master_File__2_1"/>
      <sheetName val="BS-PL Komersil and Fiskal"/>
      <sheetName val="Remain"/>
      <sheetName val="X.1.1"/>
      <sheetName val="Ex-Rate"/>
      <sheetName val="PK_27"/>
      <sheetName val="PK_All7"/>
      <sheetName val="Master_File_(2)7"/>
      <sheetName val="Master_File__2_7"/>
      <sheetName val="BS-PL_Komersil_and_Fiskal5"/>
      <sheetName val="PK_22"/>
      <sheetName val="PK_All2"/>
      <sheetName val="Master_File_(2)2"/>
      <sheetName val="Master_File__2_2"/>
      <sheetName val="BS-PL_Komersil_and_Fiskal"/>
      <sheetName val="PK_24"/>
      <sheetName val="PK_All4"/>
      <sheetName val="Master_File_(2)4"/>
      <sheetName val="Master_File__2_4"/>
      <sheetName val="BS-PL_Komersil_and_Fiskal2"/>
      <sheetName val="PK_23"/>
      <sheetName val="PK_All3"/>
      <sheetName val="Master_File_(2)3"/>
      <sheetName val="Master_File__2_3"/>
      <sheetName val="BS-PL_Komersil_and_Fiskal1"/>
      <sheetName val="PK_25"/>
      <sheetName val="PK_All5"/>
      <sheetName val="Master_File_(2)5"/>
      <sheetName val="Master_File__2_5"/>
      <sheetName val="BS-PL_Komersil_and_Fiskal3"/>
      <sheetName val="PK_26"/>
      <sheetName val="PK_All6"/>
      <sheetName val="Master_File_(2)6"/>
      <sheetName val="Master_File__2_6"/>
      <sheetName val="BS-PL_Komersil_and_Fiskal4"/>
      <sheetName val="PK_210"/>
      <sheetName val="PK_All10"/>
      <sheetName val="Master_File_(2)10"/>
      <sheetName val="Master_File__2_10"/>
      <sheetName val="BS-PL_Komersil_and_Fiskal8"/>
      <sheetName val="PK_28"/>
      <sheetName val="PK_All8"/>
      <sheetName val="Master_File_(2)8"/>
      <sheetName val="Master_File__2_8"/>
      <sheetName val="BS-PL_Komersil_and_Fiskal6"/>
      <sheetName val="PK_29"/>
      <sheetName val="PK_All9"/>
      <sheetName val="Master_File_(2)9"/>
      <sheetName val="Master_File__2_9"/>
      <sheetName val="BS-PL_Komersil_and_Fiskal7"/>
      <sheetName val="PK_213"/>
      <sheetName val="PK_All13"/>
      <sheetName val="Master_File_(2)13"/>
      <sheetName val="Master_File__2_13"/>
      <sheetName val="BS-PL_Komersil_and_Fiskal11"/>
      <sheetName val="PK_212"/>
      <sheetName val="PK_All12"/>
      <sheetName val="Master_File_(2)12"/>
      <sheetName val="Master_File__2_12"/>
      <sheetName val="BS-PL_Komersil_and_Fiskal10"/>
      <sheetName val="PK_211"/>
      <sheetName val="PK_All11"/>
      <sheetName val="Master_File_(2)11"/>
      <sheetName val="Master_File__2_11"/>
      <sheetName val="BS-PL_Komersil_and_Fiskal9"/>
      <sheetName val="A1-B ASSET"/>
      <sheetName val="C2"/>
      <sheetName val="TB 2012"/>
      <sheetName val="X_1_1"/>
      <sheetName val="july"/>
      <sheetName val="june"/>
      <sheetName val="PK_214"/>
      <sheetName val="PK_All14"/>
      <sheetName val="Master_File_(2)14"/>
      <sheetName val="Master_File__2_14"/>
      <sheetName val="BS-PL_Komersil_and_Fiskal12"/>
      <sheetName val="X_1_12"/>
      <sheetName val="X_1_11"/>
      <sheetName val="Analytical Review"/>
      <sheetName val="TB"/>
      <sheetName val="PPJB"/>
      <sheetName val="Biaya Departemen"/>
      <sheetName val="101.00"/>
      <sheetName val="A-1"/>
      <sheetName val="TBM"/>
      <sheetName val="Table Array"/>
      <sheetName val="Sheet3"/>
      <sheetName val="PK_215"/>
      <sheetName val="PK_All15"/>
      <sheetName val="Master_File_(2)15"/>
      <sheetName val="Master_File__2_15"/>
      <sheetName val="BS-PL_Komersil_and_Fiskal13"/>
      <sheetName val="X_1_13"/>
      <sheetName val="TB_2012"/>
      <sheetName val="A1-B_ASSET"/>
      <sheetName val="Analytical_Review"/>
      <sheetName val="Biaya_Departemen"/>
      <sheetName val="101_00"/>
      <sheetName val="A2-1"/>
      <sheetName val="G1"/>
      <sheetName val="Credit-22"/>
      <sheetName val="Table_Array"/>
      <sheetName val="Table"/>
      <sheetName val="DailyOvertime"/>
      <sheetName val="List PT"/>
      <sheetName val="MFWP"/>
      <sheetName val="5"/>
      <sheetName val="Invoice"/>
      <sheetName val="Customize Your Invoice"/>
      <sheetName val="1"/>
      <sheetName val="F.M"/>
      <sheetName val="Des"/>
      <sheetName val="Nov"/>
      <sheetName val="Okt"/>
      <sheetName val="Sep"/>
      <sheetName val="Ags"/>
      <sheetName val="Jul"/>
      <sheetName val="Jun"/>
      <sheetName val="Mei"/>
      <sheetName val="Apr"/>
      <sheetName val="Mar"/>
      <sheetName val="Peb"/>
      <sheetName val="Table_Array1"/>
      <sheetName val="Scenario&amp;Sensitivity"/>
      <sheetName val="Mine Assumptions"/>
      <sheetName val="DCF"/>
      <sheetName val="Asumsi"/>
      <sheetName val="OLDMAP"/>
      <sheetName val="Marshal"/>
      <sheetName val="Isian"/>
      <sheetName val="TLKM-J"/>
      <sheetName val="PK_216"/>
      <sheetName val="PK_All16"/>
      <sheetName val="Master_File_(2)16"/>
      <sheetName val="Master_File__2_16"/>
      <sheetName val="BS-PL_Komersil_and_Fiskal14"/>
      <sheetName val="X_1_14"/>
      <sheetName val="A1-B_ASSET1"/>
      <sheetName val="TB_20121"/>
      <sheetName val="Analytical_Review1"/>
      <sheetName val="Biaya_Departemen1"/>
      <sheetName val="101_001"/>
      <sheetName val="List_PT"/>
      <sheetName val="PK_217"/>
      <sheetName val="PK_All17"/>
      <sheetName val="Master_File_(2)17"/>
      <sheetName val="Master_File__2_17"/>
      <sheetName val="BS-PL_Komersil_and_Fiskal15"/>
      <sheetName val="X_1_15"/>
      <sheetName val="A1-B_ASSET2"/>
      <sheetName val="TB_20122"/>
      <sheetName val="Analytical_Review2"/>
      <sheetName val="Biaya_Departemen2"/>
      <sheetName val="101_002"/>
      <sheetName val="Table_Array2"/>
      <sheetName val="List_PT1"/>
      <sheetName val="PK_218"/>
      <sheetName val="PK_All18"/>
      <sheetName val="Master_File_(2)18"/>
      <sheetName val="Master_File__2_18"/>
      <sheetName val="BS-PL_Komersil_and_Fiskal16"/>
      <sheetName val="X_1_16"/>
      <sheetName val="A1-B_ASSET3"/>
      <sheetName val="TB_20123"/>
      <sheetName val="Analytical_Review3"/>
      <sheetName val="Biaya_Departemen3"/>
      <sheetName val="101_003"/>
      <sheetName val="Table_Array3"/>
      <sheetName val="List_PT2"/>
      <sheetName val="PK_219"/>
      <sheetName val="PK_All19"/>
      <sheetName val="Master_File_(2)19"/>
      <sheetName val="Master_File__2_19"/>
      <sheetName val="BS-PL_Komersil_and_Fiskal17"/>
      <sheetName val="X_1_17"/>
      <sheetName val="A1-B_ASSET4"/>
      <sheetName val="TB_20124"/>
      <sheetName val="Analytical_Review4"/>
      <sheetName val="Biaya_Departemen4"/>
      <sheetName val="101_004"/>
      <sheetName val="Table_Array4"/>
      <sheetName val="List_PT3"/>
      <sheetName val="PK_223"/>
      <sheetName val="PK_All23"/>
      <sheetName val="Master_File_(2)23"/>
      <sheetName val="Master_File__2_23"/>
      <sheetName val="BS-PL_Komersil_and_Fiskal21"/>
      <sheetName val="X_1_111"/>
      <sheetName val="A1-B_ASSET8"/>
      <sheetName val="TB_20128"/>
      <sheetName val="Analytical_Review8"/>
      <sheetName val="Biaya_Departemen8"/>
      <sheetName val="101_008"/>
      <sheetName val="Table_Array8"/>
      <sheetName val="List_PT7"/>
      <sheetName val="PK_220"/>
      <sheetName val="PK_All20"/>
      <sheetName val="Master_File_(2)20"/>
      <sheetName val="Master_File__2_20"/>
      <sheetName val="BS-PL_Komersil_and_Fiskal18"/>
      <sheetName val="X_1_18"/>
      <sheetName val="A1-B_ASSET5"/>
      <sheetName val="TB_20125"/>
      <sheetName val="Analytical_Review5"/>
      <sheetName val="Biaya_Departemen5"/>
      <sheetName val="101_005"/>
      <sheetName val="Table_Array5"/>
      <sheetName val="List_PT4"/>
      <sheetName val="PK_221"/>
      <sheetName val="PK_All21"/>
      <sheetName val="Master_File_(2)21"/>
      <sheetName val="Master_File__2_21"/>
      <sheetName val="BS-PL_Komersil_and_Fiskal19"/>
      <sheetName val="X_1_19"/>
      <sheetName val="A1-B_ASSET6"/>
      <sheetName val="TB_20126"/>
      <sheetName val="Analytical_Review6"/>
      <sheetName val="Biaya_Departemen6"/>
      <sheetName val="101_006"/>
      <sheetName val="Table_Array6"/>
      <sheetName val="List_PT5"/>
      <sheetName val="PK_222"/>
      <sheetName val="PK_All22"/>
      <sheetName val="Master_File_(2)22"/>
      <sheetName val="Master_File__2_22"/>
      <sheetName val="BS-PL_Komersil_and_Fiskal20"/>
      <sheetName val="X_1_110"/>
      <sheetName val="A1-B_ASSET7"/>
      <sheetName val="TB_20127"/>
      <sheetName val="Analytical_Review7"/>
      <sheetName val="Biaya_Departemen7"/>
      <sheetName val="101_007"/>
      <sheetName val="Table_Array7"/>
      <sheetName val="List_PT6"/>
      <sheetName val="PK_224"/>
      <sheetName val="PK_All24"/>
      <sheetName val="Master_File_(2)24"/>
      <sheetName val="Master_File__2_24"/>
      <sheetName val="BS-PL_Komersil_and_Fiskal22"/>
      <sheetName val="X_1_112"/>
      <sheetName val="A1-B_ASSET9"/>
      <sheetName val="TB_20129"/>
      <sheetName val="Analytical_Review9"/>
      <sheetName val="Biaya_Departemen9"/>
      <sheetName val="101_009"/>
      <sheetName val="Table_Array9"/>
      <sheetName val="List_PT8"/>
      <sheetName val="PK_225"/>
      <sheetName val="PK_All25"/>
      <sheetName val="Master_File_(2)25"/>
      <sheetName val="Master_File__2_25"/>
      <sheetName val="BS-PL_Komersil_and_Fiskal23"/>
      <sheetName val="X_1_113"/>
      <sheetName val="A1-B_ASSET10"/>
      <sheetName val="TB_201210"/>
      <sheetName val="Analytical_Review10"/>
      <sheetName val="Biaya_Departemen10"/>
      <sheetName val="101_0010"/>
      <sheetName val="Table_Array10"/>
      <sheetName val="List_PT9"/>
      <sheetName val="Agu"/>
      <sheetName val="5100"/>
      <sheetName val="5500"/>
      <sheetName val="6100"/>
      <sheetName val="Data Karyawan"/>
      <sheetName val="Sheet1"/>
      <sheetName val="co_data"/>
      <sheetName val="RATE"/>
      <sheetName val="master"/>
      <sheetName val="GeneralInfo"/>
      <sheetName val="KURS"/>
      <sheetName val="DEPK2003"/>
      <sheetName val="data_val"/>
      <sheetName val="Daftar"/>
      <sheetName val="Raw data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"/>
      <sheetName val="K"/>
      <sheetName val="WTB"/>
      <sheetName val="12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BB"/>
      <sheetName val="BBP"/>
      <sheetName val="Neraca Lajur"/>
      <sheetName val="Neraca"/>
      <sheetName val="Laba Rugi"/>
      <sheetName val="Sheet1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de MAP"/>
      <sheetName val="Guide"/>
      <sheetName val="Daftar"/>
      <sheetName val="Grafik Analisa"/>
      <sheetName val="Grafik WP"/>
      <sheetName val="Analisa Penerimaan"/>
      <sheetName val="Penerimaan"/>
      <sheetName val="Rekap"/>
      <sheetName val="Per Jenis Pajak"/>
      <sheetName val="Jan"/>
      <sheetName val="Peb"/>
      <sheetName val="Mar"/>
      <sheetName val="Apr"/>
      <sheetName val="Mei"/>
      <sheetName val="Jun"/>
      <sheetName val="Jul"/>
      <sheetName val="Agu"/>
      <sheetName val="Sep"/>
      <sheetName val="Okt"/>
      <sheetName val="Nov"/>
      <sheetName val="Des"/>
      <sheetName val="Resume"/>
      <sheetName val="Master File (2)"/>
      <sheetName val="Stamping Process"/>
      <sheetName val="Kode_MAP"/>
      <sheetName val="Grafik_Analisa"/>
      <sheetName val="Grafik_WP"/>
      <sheetName val="Analisa_Penerimaan"/>
      <sheetName val="Per_Jenis_Pajak"/>
      <sheetName val="Kode_MAP1"/>
      <sheetName val="Grafik_Analisa1"/>
      <sheetName val="Grafik_WP1"/>
      <sheetName val="Analisa_Penerimaan1"/>
      <sheetName val="Per_Jenis_Pajak1"/>
      <sheetName val="Master_File_(2)"/>
      <sheetName val="Stamping_Process"/>
      <sheetName val="A1-B ASSET"/>
      <sheetName val="DATA"/>
      <sheetName val="Kode_MAP7"/>
      <sheetName val="Grafik_Analisa7"/>
      <sheetName val="Grafik_WP7"/>
      <sheetName val="Analisa_Penerimaan7"/>
      <sheetName val="Per_Jenis_Pajak7"/>
      <sheetName val="Master_File_(2)6"/>
      <sheetName val="Stamping_Process6"/>
      <sheetName val="A1-B_ASSET5"/>
      <sheetName val="Kode_MAP2"/>
      <sheetName val="Grafik_Analisa2"/>
      <sheetName val="Grafik_WP2"/>
      <sheetName val="Analisa_Penerimaan2"/>
      <sheetName val="Per_Jenis_Pajak2"/>
      <sheetName val="Master_File_(2)1"/>
      <sheetName val="Stamping_Process1"/>
      <sheetName val="A1-B_ASSET"/>
      <sheetName val="Kode_MAP4"/>
      <sheetName val="Grafik_Analisa4"/>
      <sheetName val="Grafik_WP4"/>
      <sheetName val="Analisa_Penerimaan4"/>
      <sheetName val="Per_Jenis_Pajak4"/>
      <sheetName val="Master_File_(2)3"/>
      <sheetName val="Stamping_Process3"/>
      <sheetName val="A1-B_ASSET2"/>
      <sheetName val="Kode_MAP3"/>
      <sheetName val="Grafik_Analisa3"/>
      <sheetName val="Grafik_WP3"/>
      <sheetName val="Analisa_Penerimaan3"/>
      <sheetName val="Per_Jenis_Pajak3"/>
      <sheetName val="Master_File_(2)2"/>
      <sheetName val="Stamping_Process2"/>
      <sheetName val="A1-B_ASSET1"/>
      <sheetName val="Kode_MAP5"/>
      <sheetName val="Grafik_Analisa5"/>
      <sheetName val="Grafik_WP5"/>
      <sheetName val="Analisa_Penerimaan5"/>
      <sheetName val="Per_Jenis_Pajak5"/>
      <sheetName val="Master_File_(2)4"/>
      <sheetName val="Stamping_Process4"/>
      <sheetName val="A1-B_ASSET3"/>
      <sheetName val="Kode_MAP6"/>
      <sheetName val="Grafik_Analisa6"/>
      <sheetName val="Grafik_WP6"/>
      <sheetName val="Analisa_Penerimaan6"/>
      <sheetName val="Per_Jenis_Pajak6"/>
      <sheetName val="Master_File_(2)5"/>
      <sheetName val="Stamping_Process5"/>
      <sheetName val="A1-B_ASSET4"/>
      <sheetName val="Kode_MAP10"/>
      <sheetName val="Grafik_Analisa10"/>
      <sheetName val="Grafik_WP10"/>
      <sheetName val="Analisa_Penerimaan10"/>
      <sheetName val="Per_Jenis_Pajak10"/>
      <sheetName val="Master_File_(2)9"/>
      <sheetName val="Stamping_Process9"/>
      <sheetName val="A1-B_ASSET8"/>
      <sheetName val="Kode_MAP8"/>
      <sheetName val="Grafik_Analisa8"/>
      <sheetName val="Grafik_WP8"/>
      <sheetName val="Analisa_Penerimaan8"/>
      <sheetName val="Per_Jenis_Pajak8"/>
      <sheetName val="Master_File_(2)7"/>
      <sheetName val="Stamping_Process7"/>
      <sheetName val="A1-B_ASSET6"/>
      <sheetName val="Kode_MAP9"/>
      <sheetName val="Grafik_Analisa9"/>
      <sheetName val="Grafik_WP9"/>
      <sheetName val="Analisa_Penerimaan9"/>
      <sheetName val="Per_Jenis_Pajak9"/>
      <sheetName val="Master_File_(2)8"/>
      <sheetName val="Stamping_Process8"/>
      <sheetName val="A1-B_ASSET7"/>
      <sheetName val="List PT"/>
      <sheetName val="Kode_MAP13"/>
      <sheetName val="Grafik_Analisa13"/>
      <sheetName val="Grafik_WP13"/>
      <sheetName val="Analisa_Penerimaan13"/>
      <sheetName val="Per_Jenis_Pajak13"/>
      <sheetName val="Master_File_(2)12"/>
      <sheetName val="Stamping_Process12"/>
      <sheetName val="A1-B_ASSET11"/>
      <sheetName val="Kode_MAP12"/>
      <sheetName val="Grafik_Analisa12"/>
      <sheetName val="Grafik_WP12"/>
      <sheetName val="Analisa_Penerimaan12"/>
      <sheetName val="Per_Jenis_Pajak12"/>
      <sheetName val="Master_File_(2)11"/>
      <sheetName val="Stamping_Process11"/>
      <sheetName val="A1-B_ASSET10"/>
      <sheetName val="Kode_MAP11"/>
      <sheetName val="Grafik_Analisa11"/>
      <sheetName val="Grafik_WP11"/>
      <sheetName val="Analisa_Penerimaan11"/>
      <sheetName val="Per_Jenis_Pajak11"/>
      <sheetName val="Master_File_(2)10"/>
      <sheetName val="Stamping_Process10"/>
      <sheetName val="A1-B_ASSET9"/>
      <sheetName val="Kode_MAP14"/>
      <sheetName val="Grafik_Analisa14"/>
      <sheetName val="Grafik_WP14"/>
      <sheetName val="Analisa_Penerimaan14"/>
      <sheetName val="Per_Jenis_Pajak14"/>
      <sheetName val="Master_File_(2)13"/>
      <sheetName val="Stamping_Process13"/>
      <sheetName val="A1-B_ASSET12"/>
      <sheetName val="2934"/>
      <sheetName val="Email Instructions"/>
      <sheetName val="ID PRSHN"/>
      <sheetName val="#Non PT"/>
      <sheetName val="TBM"/>
      <sheetName val="0"/>
      <sheetName val="5"/>
      <sheetName val="Kode_MAP15"/>
      <sheetName val="Grafik_Analisa15"/>
      <sheetName val="Grafik_WP15"/>
      <sheetName val="Analisa_Penerimaan15"/>
      <sheetName val="Per_Jenis_Pajak15"/>
      <sheetName val="Master_File_(2)14"/>
      <sheetName val="Stamping_Process14"/>
      <sheetName val="A1-B_ASSET13"/>
      <sheetName val="List_PT"/>
      <sheetName val="ID_PRSHN"/>
      <sheetName val="#Non_PT"/>
      <sheetName val="Email_Instructions"/>
      <sheetName val="july"/>
      <sheetName val="june"/>
      <sheetName val="Credit-22"/>
      <sheetName val="tb-mar"/>
      <sheetName val="TERM OF PAYMENT"/>
      <sheetName val="2002"/>
      <sheetName val="Account Code"/>
      <sheetName val="X.1.1"/>
      <sheetName val="KOR"/>
      <sheetName val="DATA (2)"/>
      <sheetName val="TM_Control"/>
      <sheetName val="Valuation Chart"/>
      <sheetName val="Executive Summary"/>
      <sheetName val="Assumption"/>
      <sheetName val="MEDCO"/>
      <sheetName val="Dubai"/>
      <sheetName val="Original Data"/>
      <sheetName val="Consolidated Valuation"/>
      <sheetName val="E&amp;P"/>
      <sheetName val="TM_WACC tables"/>
      <sheetName val="Power"/>
      <sheetName val="Methanol"/>
      <sheetName val="Apexindo"/>
      <sheetName val="P2 (Base Case)"/>
      <sheetName val="P1 (Low Case)"/>
      <sheetName val="KPMG E&amp;P summary P2"/>
      <sheetName val="KPMG E&amp;P summary P1"/>
      <sheetName val="Apexindo CF"/>
      <sheetName val="E&amp;P Input P2"/>
      <sheetName val="Oil Prices P2"/>
      <sheetName val="Valuation Summary P2"/>
      <sheetName val="Kakap Cashflows P2"/>
      <sheetName val="Kalimantan Cashflows P2"/>
      <sheetName val="Langsa Cashflows P2"/>
      <sheetName val="Lematang Cashflows P2"/>
      <sheetName val="Rimau Cashflows P2"/>
      <sheetName val="Sembakung Cashflows P2"/>
      <sheetName val="Senoro Toili Cashflows P2"/>
      <sheetName val="SCS Cashflows P2"/>
      <sheetName val="Tarakan Cashflows P2"/>
      <sheetName val="Tuban Cashflows P2"/>
      <sheetName val="Oman Cashflows P2"/>
      <sheetName val="USA P2"/>
      <sheetName val="Exploration P2"/>
      <sheetName val="E&amp;P Input P1"/>
      <sheetName val="Oil Prices P1"/>
      <sheetName val="Valuation Summary P1"/>
      <sheetName val="Kakap Cashflows P1"/>
      <sheetName val="Kalimantan Cashflows P1"/>
      <sheetName val="Langsa Cashflows P1"/>
      <sheetName val="Lematang Cashflows P1"/>
      <sheetName val="Rimau Cashflows P1"/>
      <sheetName val="Sembakung Cashflows P1"/>
      <sheetName val="Senoro Toili Cashflows P1"/>
      <sheetName val="SCS Cashflows P1"/>
      <sheetName val="Tarakan Cashflows P1"/>
      <sheetName val="Tuban Cashflows P1"/>
      <sheetName val="Oman Cashflows P1"/>
      <sheetName val="USA P1"/>
      <sheetName val="Exploration P1"/>
      <sheetName val="Panaran"/>
      <sheetName val="Tanjung"/>
      <sheetName val="Geothermal"/>
      <sheetName val="101.00"/>
      <sheetName val="Invoice"/>
      <sheetName val="Customize Your Invoice"/>
      <sheetName val="KonPMS"/>
      <sheetName val="Operations"/>
      <sheetName val="Financials"/>
      <sheetName val="Scenarios and Sensitivities"/>
      <sheetName val="Sheet3 (2)"/>
      <sheetName val="KODE"/>
      <sheetName val="PEMAKAIAN PAKAN &amp; OBAT"/>
      <sheetName val="Links"/>
      <sheetName val="FIXED COST"/>
      <sheetName val="Kode_MAP16"/>
      <sheetName val="Grafik_Analisa16"/>
      <sheetName val="Grafik_WP16"/>
      <sheetName val="Analisa_Penerimaan16"/>
      <sheetName val="Per_Jenis_Pajak16"/>
      <sheetName val="Master_File_(2)15"/>
      <sheetName val="Stamping_Process15"/>
      <sheetName val="A1-B_ASSET14"/>
      <sheetName val="List_PT1"/>
      <sheetName val="ID_PRSHN1"/>
      <sheetName val="#Non_PT1"/>
      <sheetName val="412src2"/>
      <sheetName val="Biaya Departemen"/>
      <sheetName val="Ex_Rate"/>
      <sheetName val="DEPK2003"/>
      <sheetName val="FORM6"/>
      <sheetName val="FORM8(1)"/>
      <sheetName val="FORM1"/>
      <sheetName val="Email_Instructions1"/>
      <sheetName val="TERM_OF_PAYMENT"/>
      <sheetName val="Account_Code"/>
      <sheetName val="Kode_MAP17"/>
      <sheetName val="Grafik_Analisa17"/>
      <sheetName val="Grafik_WP17"/>
      <sheetName val="Analisa_Penerimaan17"/>
      <sheetName val="Per_Jenis_Pajak17"/>
      <sheetName val="Master_File_(2)16"/>
      <sheetName val="Stamping_Process16"/>
      <sheetName val="A1-B_ASSET15"/>
      <sheetName val="List_PT2"/>
      <sheetName val="Email_Instructions2"/>
      <sheetName val="ID_PRSHN2"/>
      <sheetName val="#Non_PT2"/>
      <sheetName val="TERM_OF_PAYMENT1"/>
      <sheetName val="Account_Code1"/>
      <sheetName val="Kode_MAP18"/>
      <sheetName val="Grafik_Analisa18"/>
      <sheetName val="Grafik_WP18"/>
      <sheetName val="Analisa_Penerimaan18"/>
      <sheetName val="Per_Jenis_Pajak18"/>
      <sheetName val="Master_File_(2)17"/>
      <sheetName val="Stamping_Process17"/>
      <sheetName val="A1-B_ASSET16"/>
      <sheetName val="List_PT3"/>
      <sheetName val="Email_Instructions3"/>
      <sheetName val="ID_PRSHN3"/>
      <sheetName val="#Non_PT3"/>
      <sheetName val="TERM_OF_PAYMENT2"/>
      <sheetName val="Account_Code2"/>
      <sheetName val="Kode_MAP19"/>
      <sheetName val="Grafik_Analisa19"/>
      <sheetName val="Grafik_WP19"/>
      <sheetName val="Analisa_Penerimaan19"/>
      <sheetName val="Per_Jenis_Pajak19"/>
      <sheetName val="Master_File_(2)18"/>
      <sheetName val="Stamping_Process18"/>
      <sheetName val="A1-B_ASSET17"/>
      <sheetName val="List_PT4"/>
      <sheetName val="Email_Instructions4"/>
      <sheetName val="ID_PRSHN4"/>
      <sheetName val="#Non_PT4"/>
      <sheetName val="TERM_OF_PAYMENT3"/>
      <sheetName val="Account_Code3"/>
      <sheetName val="Kode_MAP23"/>
      <sheetName val="Grafik_Analisa23"/>
      <sheetName val="Grafik_WP23"/>
      <sheetName val="Analisa_Penerimaan23"/>
      <sheetName val="Per_Jenis_Pajak23"/>
      <sheetName val="Master_File_(2)22"/>
      <sheetName val="Stamping_Process22"/>
      <sheetName val="A1-B_ASSET21"/>
      <sheetName val="List_PT8"/>
      <sheetName val="Email_Instructions8"/>
      <sheetName val="ID_PRSHN8"/>
      <sheetName val="#Non_PT8"/>
      <sheetName val="TERM_OF_PAYMENT7"/>
      <sheetName val="Account_Code7"/>
      <sheetName val="Kode_MAP20"/>
      <sheetName val="Grafik_Analisa20"/>
      <sheetName val="Grafik_WP20"/>
      <sheetName val="Analisa_Penerimaan20"/>
      <sheetName val="Per_Jenis_Pajak20"/>
      <sheetName val="Master_File_(2)19"/>
      <sheetName val="Stamping_Process19"/>
      <sheetName val="A1-B_ASSET18"/>
      <sheetName val="List_PT5"/>
      <sheetName val="Email_Instructions5"/>
      <sheetName val="ID_PRSHN5"/>
      <sheetName val="#Non_PT5"/>
      <sheetName val="TERM_OF_PAYMENT4"/>
      <sheetName val="Account_Code4"/>
      <sheetName val="Kode_MAP21"/>
      <sheetName val="Grafik_Analisa21"/>
      <sheetName val="Grafik_WP21"/>
      <sheetName val="Analisa_Penerimaan21"/>
      <sheetName val="Per_Jenis_Pajak21"/>
      <sheetName val="Master_File_(2)20"/>
      <sheetName val="Stamping_Process20"/>
      <sheetName val="A1-B_ASSET19"/>
      <sheetName val="List_PT6"/>
      <sheetName val="Email_Instructions6"/>
      <sheetName val="ID_PRSHN6"/>
      <sheetName val="#Non_PT6"/>
      <sheetName val="TERM_OF_PAYMENT5"/>
      <sheetName val="Account_Code5"/>
      <sheetName val="Kode_MAP22"/>
      <sheetName val="Grafik_Analisa22"/>
      <sheetName val="Grafik_WP22"/>
      <sheetName val="Analisa_Penerimaan22"/>
      <sheetName val="Per_Jenis_Pajak22"/>
      <sheetName val="Master_File_(2)21"/>
      <sheetName val="Stamping_Process21"/>
      <sheetName val="A1-B_ASSET20"/>
      <sheetName val="List_PT7"/>
      <sheetName val="Email_Instructions7"/>
      <sheetName val="ID_PRSHN7"/>
      <sheetName val="#Non_PT7"/>
      <sheetName val="TERM_OF_PAYMENT6"/>
      <sheetName val="Account_Code6"/>
      <sheetName val="Kode_MAP24"/>
      <sheetName val="Grafik_Analisa24"/>
      <sheetName val="Grafik_WP24"/>
      <sheetName val="Analisa_Penerimaan24"/>
      <sheetName val="Per_Jenis_Pajak24"/>
      <sheetName val="Master_File_(2)23"/>
      <sheetName val="Stamping_Process23"/>
      <sheetName val="A1-B_ASSET22"/>
      <sheetName val="List_PT9"/>
      <sheetName val="Email_Instructions9"/>
      <sheetName val="ID_PRSHN9"/>
      <sheetName val="#Non_PT9"/>
      <sheetName val="TERM_OF_PAYMENT8"/>
      <sheetName val="Account_Code8"/>
      <sheetName val="Kode_MAP25"/>
      <sheetName val="Grafik_Analisa25"/>
      <sheetName val="Grafik_WP25"/>
      <sheetName val="Analisa_Penerimaan25"/>
      <sheetName val="Per_Jenis_Pajak25"/>
      <sheetName val="Master_File_(2)24"/>
      <sheetName val="Stamping_Process24"/>
      <sheetName val="A1-B_ASSET23"/>
      <sheetName val="List_PT10"/>
      <sheetName val="Email_Instructions10"/>
      <sheetName val="ID_PRSHN10"/>
      <sheetName val="#Non_PT10"/>
      <sheetName val="TERM_OF_PAYMENT9"/>
      <sheetName val="Account_Code9"/>
      <sheetName val="5100"/>
      <sheetName val="5500"/>
      <sheetName val="6100"/>
      <sheetName val="Ket"/>
      <sheetName val="COA"/>
      <sheetName val="Adjusted"/>
      <sheetName val="usage"/>
      <sheetName val="EXC-R"/>
      <sheetName val="KURS"/>
      <sheetName val="rate"/>
      <sheetName val="JVFORM"/>
      <sheetName val="Biaya_Departemen"/>
      <sheetName val="LOG 11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 Departemen"/>
      <sheetName val="Order"/>
      <sheetName val="Schedule"/>
      <sheetName val="Schedule OK Status"/>
      <sheetName val="Sheet3"/>
      <sheetName val="Biaya_Departemen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iaya_Departemen1"/>
      <sheetName val="Schedule_OK_Stat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01"/>
      <sheetName val="1202"/>
      <sheetName val="1203 "/>
      <sheetName val="1204"/>
      <sheetName val="1205"/>
      <sheetName val="1206"/>
      <sheetName val="1207"/>
      <sheetName val="1208"/>
      <sheetName val="1209"/>
      <sheetName val="1210"/>
      <sheetName val="1211"/>
      <sheetName val="comb"/>
      <sheetName val="1212"/>
      <sheetName val="1213"/>
      <sheetName val="1214"/>
      <sheetName val="1215"/>
      <sheetName val="1216"/>
      <sheetName val="1101"/>
      <sheetName val="1102"/>
      <sheetName val="1103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Purchase"/>
      <sheetName val="rekap"/>
      <sheetName val="Purch Per Supplier"/>
      <sheetName val="SALES"/>
      <sheetName val="Gabungan"/>
      <sheetName val="FG"/>
      <sheetName val="KUR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  <sheetName val="Constants"/>
      <sheetName val="IS"/>
      <sheetName val="BS"/>
      <sheetName val="GeneralInfo"/>
      <sheetName val="412src2"/>
      <sheetName val="JAN 2001"/>
      <sheetName val="Ex-Rate"/>
      <sheetName val="FA1999"/>
      <sheetName val="bal sheet"/>
      <sheetName val="kursi"/>
      <sheetName val="RATE"/>
      <sheetName val="F1771-II"/>
      <sheetName val="F1771-III"/>
      <sheetName val="PO"/>
      <sheetName val="T.B"/>
      <sheetName val="Kontensalden"/>
      <sheetName val="K&amp;B"/>
      <sheetName val="I-PPh"/>
      <sheetName val="I-PPh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(単期5,7,12万台)"/>
      <sheetName val="MK(償却5,7,12万台)"/>
      <sheetName val="MK(7ｶ国+5,7,12万台)"/>
      <sheetName val="KURS"/>
      <sheetName val="101.00"/>
      <sheetName val="Monthly Recap"/>
      <sheetName val="Sheet1"/>
      <sheetName val="Monthly_Recap2"/>
      <sheetName val="101_002"/>
      <sheetName val="Monthly_Recap1"/>
      <sheetName val="101_001"/>
      <sheetName val="Monthly_Recap"/>
      <sheetName val="101_00"/>
      <sheetName val="Monthly_Recap5"/>
      <sheetName val="101_005"/>
      <sheetName val="Monthly_Recap4"/>
      <sheetName val="101_004"/>
      <sheetName val="Monthly_Recap3"/>
      <sheetName val="101_003"/>
      <sheetName val="Monthly_Recap6"/>
      <sheetName val="101_006"/>
      <sheetName val="Monthly_Recap7"/>
      <sheetName val="101_007"/>
      <sheetName val="Monthly_Recap11"/>
      <sheetName val="101_0011"/>
      <sheetName val="Monthly_Recap8"/>
      <sheetName val="101_008"/>
      <sheetName val="Monthly_Recap9"/>
      <sheetName val="101_009"/>
      <sheetName val="Monthly_Recap10"/>
      <sheetName val="101_0010"/>
      <sheetName val="Monthly_Recap12"/>
      <sheetName val="101_0012"/>
      <sheetName val="Monthly_Recap13"/>
      <sheetName val="101_0013"/>
      <sheetName val="Monthly_Recap14"/>
      <sheetName val="101_0014"/>
      <sheetName val="Monthly_Recap15"/>
      <sheetName val="101_0015"/>
      <sheetName val="Monthly_Recap16"/>
      <sheetName val="101_0016"/>
      <sheetName val="Monthly_Recap18"/>
      <sheetName val="101_0018"/>
      <sheetName val="Monthly_Recap17"/>
      <sheetName val="101_0017"/>
      <sheetName val="Monthly_Recap19"/>
      <sheetName val="101_0019"/>
      <sheetName val="Monthly_Recap21"/>
      <sheetName val="101_0021"/>
      <sheetName val="Monthly_Recap20"/>
      <sheetName val="101_0020"/>
      <sheetName val="Monthly_Recap22"/>
      <sheetName val="101_0022"/>
      <sheetName val="Monthly_Recap24"/>
      <sheetName val="101_0024"/>
      <sheetName val="Monthly_Recap23"/>
      <sheetName val="101_0023"/>
      <sheetName val="Monthly_Recap25"/>
      <sheetName val="101_0025"/>
      <sheetName val="Monthly_Recap27"/>
      <sheetName val="101_0027"/>
      <sheetName val="Monthly_Recap26"/>
      <sheetName val="101_0026"/>
      <sheetName val="Monthly_Recap28"/>
      <sheetName val="101_0028"/>
      <sheetName val="Monthly_Recap30"/>
      <sheetName val="101_0030"/>
      <sheetName val="Monthly_Recap29"/>
      <sheetName val="101_0029"/>
      <sheetName val="a"/>
      <sheetName val="Monthly_Recap31"/>
      <sheetName val="101_0031"/>
      <sheetName val="Monthly_Recap32"/>
      <sheetName val="101_0032"/>
      <sheetName val="Monthly_Recap34"/>
      <sheetName val="101_0034"/>
      <sheetName val="Monthly_Recap33"/>
      <sheetName val="101_0033"/>
      <sheetName val="Monthly_Recap35"/>
      <sheetName val="101_0035"/>
      <sheetName val="bs"/>
      <sheetName val="GeneralInfo"/>
      <sheetName val="@GeneralInfo"/>
      <sheetName val="Table"/>
      <sheetName val="5"/>
      <sheetName val="NetPar"/>
      <sheetName val="XL4Poppy"/>
      <sheetName val="Chiet tinh"/>
      <sheetName val="Links"/>
      <sheetName val="FKT_PJK"/>
      <sheetName val="Main lead"/>
      <sheetName val="Monthly_Recap36"/>
      <sheetName val="101_0036"/>
      <sheetName val="Chiet_tinh"/>
      <sheetName val="Monthly_Recap41"/>
      <sheetName val="101_0041"/>
      <sheetName val="Chiet_tinh5"/>
      <sheetName val="Main_lead2"/>
      <sheetName val="Monthly_Recap38"/>
      <sheetName val="101_0038"/>
      <sheetName val="Chiet_tinh2"/>
      <sheetName val="Monthly_Recap37"/>
      <sheetName val="101_0037"/>
      <sheetName val="Chiet_tinh1"/>
      <sheetName val="Monthly_Recap39"/>
      <sheetName val="101_0039"/>
      <sheetName val="Chiet_tinh3"/>
      <sheetName val="Main_lead"/>
      <sheetName val="Monthly_Recap40"/>
      <sheetName val="101_0040"/>
      <sheetName val="Chiet_tinh4"/>
      <sheetName val="Main_lead1"/>
      <sheetName val="Monthly_Recap44"/>
      <sheetName val="101_0044"/>
      <sheetName val="Chiet_tinh8"/>
      <sheetName val="Main_lead5"/>
      <sheetName val="Monthly_Recap42"/>
      <sheetName val="101_0042"/>
      <sheetName val="Chiet_tinh6"/>
      <sheetName val="Main_lead3"/>
      <sheetName val="Monthly_Recap43"/>
      <sheetName val="101_0043"/>
      <sheetName val="Chiet_tinh7"/>
      <sheetName val="Main_lead4"/>
      <sheetName val="Monthly_Recap46"/>
      <sheetName val="101_0046"/>
      <sheetName val="Chiet_tinh10"/>
      <sheetName val="Main_lead7"/>
      <sheetName val="Monthly_Recap45"/>
      <sheetName val="101_0045"/>
      <sheetName val="Chiet_tinh9"/>
      <sheetName val="Main_lead6"/>
      <sheetName val="Monthly_Recap48"/>
      <sheetName val="101_0048"/>
      <sheetName val="Chiet_tinh12"/>
      <sheetName val="Main_lead9"/>
      <sheetName val="Monthly_Recap47"/>
      <sheetName val="101_0047"/>
      <sheetName val="Chiet_tinh11"/>
      <sheetName val="Main_lead8"/>
      <sheetName val="Teso"/>
      <sheetName val="412src2"/>
      <sheetName val="LAB"/>
      <sheetName val="Laba"/>
      <sheetName val="TB LAS"/>
      <sheetName val="Lead"/>
      <sheetName val="LP-PENJ-EKSKUTIF-LP-2"/>
      <sheetName val="Assumptions Sheet"/>
      <sheetName val="15 - BS, IS Level"/>
      <sheetName val="中国5,7,12現調"/>
      <sheetName val="Marshal"/>
      <sheetName val="Client AJE"/>
      <sheetName val="Parameters"/>
      <sheetName val="WBS"/>
      <sheetName val="Monthly_Recap49"/>
      <sheetName val="101_0049"/>
      <sheetName val="Chiet_tinh13"/>
      <sheetName val="Main_lead10"/>
      <sheetName val="Biaya Departemen"/>
      <sheetName val="OU"/>
      <sheetName val="10"/>
      <sheetName val="Recovered_Sheet2"/>
      <sheetName val="MK(W L,D)ｺｽﾄ"/>
      <sheetName val="LRK"/>
      <sheetName val="PEND+BIAYA"/>
      <sheetName val="NONCAB"/>
      <sheetName val="lr treas"/>
      <sheetName val="Basic Information"/>
      <sheetName val="Permanent info"/>
      <sheetName val="K-9 Ok"/>
      <sheetName val="FF-2 (1)"/>
      <sheetName val="FSA"/>
      <sheetName val="B"/>
      <sheetName val="ID01"/>
      <sheetName val="登録データ"/>
      <sheetName val="販売計画"/>
      <sheetName val="PER-HP"/>
      <sheetName val="101_0050"/>
      <sheetName val="Monthly_Recap50"/>
      <sheetName val="Chiet_tinh14"/>
      <sheetName val="Main_lead11"/>
      <sheetName val="TB_LAS"/>
      <sheetName val="Assumptions_Sheet"/>
      <sheetName val="15_-_BS,_IS_Level"/>
      <sheetName val="Client_AJE"/>
      <sheetName val="Biaya_Departemen"/>
      <sheetName val="V3 PMI (revise)"/>
      <sheetName val="J.1 Deffered Landright"/>
      <sheetName val="Daftar"/>
      <sheetName val="MDR"/>
      <sheetName val="invt_jun03 (2)"/>
      <sheetName val="C O A"/>
      <sheetName val="cons workpapers"/>
      <sheetName val="equity of abacus"/>
      <sheetName val="DTMUTASI"/>
      <sheetName val="101_0051"/>
      <sheetName val="Monthly_Recap51"/>
      <sheetName val="Chiet_tinh15"/>
      <sheetName val="Main_lead12"/>
      <sheetName val="TB_LAS1"/>
      <sheetName val="Assumptions_Sheet1"/>
      <sheetName val="15_-_BS,_IS_Level1"/>
      <sheetName val="Client_AJE1"/>
      <sheetName val="Biaya_Departemen1"/>
      <sheetName val="lr_treas1"/>
      <sheetName val="MK(W_L,D)ｺｽﾄ1"/>
      <sheetName val="Basic_Information1"/>
      <sheetName val="Permanent_info1"/>
      <sheetName val="K-9_Ok1"/>
      <sheetName val="FF-2_(1)1"/>
      <sheetName val="lr_treas"/>
      <sheetName val="MK(W_L,D)ｺｽﾄ"/>
      <sheetName val="Basic_Information"/>
      <sheetName val="Permanent_info"/>
      <sheetName val="K-9_Ok"/>
      <sheetName val="FF-2_(1)"/>
      <sheetName val="input-cost"/>
      <sheetName val="A u g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FE-1770_P1"/>
      <sheetName val="FE-1770_P2"/>
      <sheetName val="FI-177O_P1"/>
      <sheetName val="FI-1770_P2"/>
      <sheetName val="Final_Tax"/>
      <sheetName val="Irregular_Income"/>
      <sheetName val="TB"/>
      <sheetName val="Tables"/>
      <sheetName val="ACRCONT"/>
      <sheetName val="FG-chart"/>
      <sheetName val="F1771-2"/>
      <sheetName val="AGM"/>
      <sheetName val="Rinc"/>
      <sheetName val="Interest"/>
      <sheetName val="BS final"/>
      <sheetName val="Scenario&amp;Sensitivity"/>
      <sheetName val="Mine Assumptions"/>
      <sheetName val="Family"/>
      <sheetName val="Data"/>
      <sheetName val="CFWork"/>
      <sheetName val="VAT out"/>
      <sheetName val="Sheet2"/>
      <sheetName val="K.1.1.1 HGU"/>
      <sheetName val="ner"/>
      <sheetName val="Posting"/>
      <sheetName val="11b"/>
      <sheetName val="PopCache"/>
      <sheetName val="Macro5"/>
      <sheetName val="TBM"/>
      <sheetName val="PM-PL"/>
      <sheetName val="JUAL"/>
      <sheetName val="THRK"/>
      <sheetName val="Journal Template"/>
      <sheetName val="WHT_21"/>
      <sheetName val="WHT-21"/>
      <sheetName val="Rp Banten"/>
      <sheetName val="RMFE 04"/>
      <sheetName val="P&amp;L98"/>
      <sheetName val="NERACA"/>
      <sheetName val="trf-d-w"/>
      <sheetName val="trf d-i"/>
      <sheetName val="Insurance"/>
      <sheetName val="B.1"/>
      <sheetName val="KEUANGAN"/>
      <sheetName val="RENCANA KERJA"/>
      <sheetName val="Main Menu"/>
      <sheetName val="TO"/>
      <sheetName val="K 2.1"/>
      <sheetName val="3. Neraca dan RL"/>
      <sheetName val="Ex_Rate"/>
      <sheetName val="ged"/>
      <sheetName val="F1771-IV"/>
      <sheetName val="F1771-V"/>
      <sheetName val="BS_Recon"/>
      <sheetName val="SUMMARY"/>
      <sheetName val="TP"/>
      <sheetName val="Forecase 2004"/>
      <sheetName val="M-2 Adjusted"/>
      <sheetName val="Receivable"/>
      <sheetName val="Assumptions"/>
      <sheetName val="Internal order"/>
      <sheetName val="BEP"/>
      <sheetName val="12-06-ins"/>
      <sheetName val="F1771-II"/>
      <sheetName val="F1771-III"/>
      <sheetName val="11400&amp;11405"/>
      <sheetName val="Vehicle"/>
      <sheetName val="Professionals Standard"/>
      <sheetName val="INFO"/>
      <sheetName val="ESG local"/>
      <sheetName val="SFKLN"/>
      <sheetName val="intmar00"/>
      <sheetName val="Scenario_Sensitivity"/>
      <sheetName val="panther"/>
      <sheetName val="Details BS YTD"/>
      <sheetName val="Other Current"/>
      <sheetName val="Other YTD"/>
      <sheetName val="HPP_20_"/>
      <sheetName val="HPP_19_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1999US$"/>
      <sheetName val="FF-2"/>
      <sheetName val="Detail pg2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Exch.rate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TB98,oct99&amp;sap99-WPL"/>
      <sheetName val="BOQ price"/>
      <sheetName val="NCR"/>
      <sheetName val="India"/>
      <sheetName val="PL98"/>
      <sheetName val="HBI NCD"/>
      <sheetName val="Mgt_P&amp;L"/>
      <sheetName val="Table Array"/>
      <sheetName val="status"/>
      <sheetName val="MAIN"/>
      <sheetName val="Income Statement"/>
      <sheetName val="oblig Trad&amp;AFS"/>
      <sheetName val="Interest&amp;Other"/>
      <sheetName val="move (2)"/>
      <sheetName val="Main_Menu"/>
      <sheetName val="trf_d-i"/>
      <sheetName val="B_1"/>
      <sheetName val="Rp_Banten"/>
      <sheetName val="A_u_g"/>
      <sheetName val="Forecase_2004"/>
      <sheetName val="RMFE_04"/>
      <sheetName val="K_2_1"/>
      <sheetName val="move_(2)"/>
      <sheetName val="HBS Credit_Detail"/>
      <sheetName val="Agustus"/>
      <sheetName val="2-asi-00"/>
      <sheetName val="FE-1771-I"/>
      <sheetName val="InvoiceList"/>
      <sheetName val="BP1_23"/>
      <sheetName val="INV0299 (2)"/>
      <sheetName val="AccountChart"/>
      <sheetName val="Prof2606"/>
      <sheetName val="dt-2003"/>
      <sheetName val="hit-311203"/>
      <sheetName val="lampiran2"/>
      <sheetName val="rekap"/>
      <sheetName val="tarip"/>
      <sheetName val="DEFECTED NOV"/>
      <sheetName val="rate"/>
      <sheetName val="Cost Input Sheet"/>
      <sheetName val="FS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Bank Recon - IDR"/>
      <sheetName val="Inputs"/>
      <sheetName val="PO"/>
      <sheetName val="RWP 33"/>
      <sheetName val="NAMECODE"/>
      <sheetName val="ExchRates"/>
      <sheetName val="Assumption"/>
      <sheetName val="FOREX 04"/>
      <sheetName val="Ex-Rate"/>
      <sheetName val="FOREX 03"/>
      <sheetName val="FOREX 04 audited"/>
      <sheetName val="Data Input"/>
      <sheetName val="Calculations"/>
      <sheetName val="CUSTOMER LOOKUP"/>
      <sheetName val="Results"/>
      <sheetName val="Introduction"/>
      <sheetName val="Base Data"/>
      <sheetName val="TRADING PROFIT"/>
      <sheetName val="Graphs"/>
      <sheetName val="Revaluation"/>
      <sheetName val="EB PDT"/>
      <sheetName val="ID MENADO"/>
      <sheetName val="LIST"/>
      <sheetName val="Input"/>
      <sheetName val="382046NOV99"/>
      <sheetName val="Q120 AP Aging"/>
      <sheetName val="07-230420"/>
      <sheetName val="Module2"/>
      <sheetName val="Exc. Rate"/>
      <sheetName val="WP-SP-03"/>
      <sheetName val="EYAS Standar"/>
      <sheetName val="BAL SHEET(2)"/>
      <sheetName val="K2-FA"/>
      <sheetName val="SUMMARY "/>
      <sheetName val="Setup"/>
      <sheetName val="Content 3"/>
      <sheetName val="hutang DPLK"/>
      <sheetName val="CODE,NAME"/>
      <sheetName val="Des"/>
      <sheetName val="INSTMATR"/>
      <sheetName val="NL180"/>
      <sheetName val="NL240"/>
      <sheetName val="Access Radio NL400"/>
      <sheetName val="SPARE"/>
      <sheetName val="B_11"/>
      <sheetName val="Rp_Banten1"/>
      <sheetName val="RMFE_041"/>
      <sheetName val="A_u_g1"/>
      <sheetName val="Forecase_20041"/>
      <sheetName val="K_2_11"/>
      <sheetName val="Cost_Input_Sheet"/>
      <sheetName val="move_(2)1"/>
      <sheetName val="BOQ_price"/>
      <sheetName val="HBI_NCD"/>
      <sheetName val="Table_Array"/>
      <sheetName val=" INCOME STATEMENT"/>
      <sheetName val="General"/>
      <sheetName val="Model"/>
      <sheetName val="F2-1"/>
      <sheetName val="BS-PL Komersil and Fiskal"/>
      <sheetName val="A2.1 CAJE"/>
      <sheetName val="details"/>
      <sheetName val="fs_lines"/>
      <sheetName val="fs_sub_classes"/>
      <sheetName val="notes_lines"/>
      <sheetName val="A2_1_CAJE"/>
      <sheetName val="FE-1770_P13"/>
      <sheetName val="FE-1770_P23"/>
      <sheetName val="FI-177O_P13"/>
      <sheetName val="FI-1770_P23"/>
      <sheetName val="Final_Tax3"/>
      <sheetName val="Irregular_Income3"/>
      <sheetName val="BS_final2"/>
      <sheetName val="RENCANA_KERJA2"/>
      <sheetName val="Mine_Assumptions2"/>
      <sheetName val="3__Neraca_dan_RL2"/>
      <sheetName val="VAT_out2"/>
      <sheetName val="Journal_Template2"/>
      <sheetName val="M-2_Adjusted1"/>
      <sheetName val="WP-Panu'02"/>
      <sheetName val="Front Sheet"/>
      <sheetName val="INSTITUTION"/>
      <sheetName val="Invoices_table"/>
      <sheetName val="TB IDR Only"/>
      <sheetName val="IDR"/>
      <sheetName val="Breakdown LF603.1"/>
      <sheetName val="Sheet 1 (2)"/>
      <sheetName val="COA BM"/>
      <sheetName val="Check Sheet"/>
      <sheetName val="PLHO Report"/>
      <sheetName val="PLHOENG"/>
      <sheetName val="Validation"/>
      <sheetName val="InvoEâ_x0004_ist"/>
      <sheetName val="0"/>
      <sheetName val="Set"/>
      <sheetName val="Rekap Penj"/>
      <sheetName val="perset"/>
      <sheetName val="Cover-01"/>
      <sheetName val="House"/>
      <sheetName val="Tol"/>
      <sheetName val="Investasi &amp; depresiasi"/>
      <sheetName val="Asumsi"/>
      <sheetName val="Expense"/>
      <sheetName val="Indicadores"/>
      <sheetName val="IR-Weights"/>
      <sheetName val="HospitalInfo"/>
      <sheetName val="Name Map"/>
      <sheetName val="Scenario"/>
      <sheetName val="Sheet1 (19)"/>
      <sheetName val="Table 1"/>
      <sheetName val="As"/>
      <sheetName val="Tax comp"/>
      <sheetName val="TWDV over NBV"/>
      <sheetName val="DTL"/>
      <sheetName val="Income State"/>
      <sheetName val="229 Accr Exp"/>
      <sheetName val="FL &amp; IC"/>
      <sheetName val="Instructions"/>
      <sheetName val="TRAVEL PLAN"/>
      <sheetName val="GRACE"/>
      <sheetName val="Product Requirement"/>
      <sheetName val="Customer List"/>
      <sheetName val="Pipe"/>
      <sheetName val="Financial Statement"/>
      <sheetName val="Attachement"/>
      <sheetName val="Q120_AP_Aging"/>
      <sheetName val="DEFECTED_NOV"/>
      <sheetName val="Other_Current"/>
      <sheetName val="Other_YTD"/>
      <sheetName val="Income_Statement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Cover"/>
      <sheetName val="PEDESB"/>
      <sheetName val="rab_50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Professionals_Standard1"/>
      <sheetName val="ESG_local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BOQ_price1"/>
      <sheetName val="Data Submission"/>
      <sheetName val="Lookup Tables"/>
      <sheetName val="HWL (2)"/>
      <sheetName val="TB-WP"/>
      <sheetName val="CRITERIA1"/>
      <sheetName val="2001GeneralInfo"/>
      <sheetName val="2001Marshal"/>
      <sheetName val="99.10.12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InterestCalculation"/>
      <sheetName val="Rin1"/>
      <sheetName val="Contract"/>
      <sheetName val="S16-CA(2000P)"/>
      <sheetName val="FE-1770_P15"/>
      <sheetName val="FE-1770_P25"/>
      <sheetName val="FI-177O_P15"/>
      <sheetName val="FI-1770_P25"/>
      <sheetName val="Final_Tax5"/>
      <sheetName val="Irregular_Income5"/>
      <sheetName val="Permanent_info3"/>
      <sheetName val="Rp_Banten3"/>
      <sheetName val="B_13"/>
      <sheetName val="BS_final4"/>
      <sheetName val="RENCANA_KERJA4"/>
      <sheetName val="VAT_out4"/>
      <sheetName val="Mine_Assumptions4"/>
      <sheetName val="Journal_Template4"/>
      <sheetName val="Forecase_20043"/>
      <sheetName val="trf_d-i3"/>
      <sheetName val="A_u_g3"/>
      <sheetName val="3__Neraca_dan_RL4"/>
      <sheetName val="Main_Menu3"/>
      <sheetName val="RMFE_042"/>
      <sheetName val="K_2_12"/>
      <sheetName val="Details_BS_YTD2"/>
      <sheetName val="Detail_pg22"/>
      <sheetName val="Professionals_Standard2"/>
      <sheetName val="ESG_local2"/>
      <sheetName val="M-2_Adjusted3"/>
      <sheetName val="Internal_order2"/>
      <sheetName val="move_(2)2"/>
      <sheetName val="Exch_rate1"/>
      <sheetName val="HBS_Credit_Detail1"/>
      <sheetName val="K_1_1_1_HGU1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Table_Array1"/>
      <sheetName val="BOQ_price2"/>
      <sheetName val="oblig_Trad&amp;AFS1"/>
      <sheetName val="Cost_Input_Sheet1"/>
      <sheetName val="Base_Data"/>
      <sheetName val="Income_Statement1"/>
      <sheetName val="DEFECTED_NOV1"/>
      <sheetName val="RWP_33"/>
      <sheetName val="Bank_Recon_-_IDR1"/>
      <sheetName val="FOREX_041"/>
      <sheetName val="FOREX_031"/>
      <sheetName val="FOREX_04_audited1"/>
      <sheetName val="Data_Input1"/>
      <sheetName val="INV0299_(2)1"/>
      <sheetName val="HBI_NCD1"/>
      <sheetName val="TRADING_PROFIT"/>
      <sheetName val="EB_PDT"/>
      <sheetName val="Other_Current1"/>
      <sheetName val="Other_YTD1"/>
      <sheetName val="Q120_AP_Aging1"/>
      <sheetName val="InvoEâist"/>
      <sheetName val="ID_MENADO"/>
      <sheetName val="SUMMARY_"/>
      <sheetName val="BS-PL_Komersil_and_Fiskal"/>
      <sheetName val="Exc__Rate"/>
      <sheetName val="TB_IDR_Only"/>
      <sheetName val="Breakdown_LF603_1"/>
      <sheetName val="Sheet_1_(2)"/>
      <sheetName val="COA_BM"/>
      <sheetName val="EYAS_Standar"/>
      <sheetName val="BAL_SHEET(2)"/>
      <sheetName val="Rekap_Penj"/>
      <sheetName val="Sheet1_(19)"/>
      <sheetName val="Check_Sheet"/>
      <sheetName val="PLHO_Report"/>
      <sheetName val="Income_State"/>
      <sheetName val="Product_Requirement"/>
      <sheetName val="Front_Sheet"/>
      <sheetName val="CUSTOMER_LOOKUP"/>
      <sheetName val="229_Accr_Exp"/>
      <sheetName val="Name_Map"/>
      <sheetName val="Table_1"/>
      <sheetName val="FL_&amp;_IC"/>
      <sheetName val="TRAVEL_PLAN"/>
      <sheetName val="Data_Submission"/>
      <sheetName val="Lookup_Tables"/>
      <sheetName val="Content_3"/>
      <sheetName val="hutang_DPLK"/>
      <sheetName val="Access_Radio_NL400"/>
      <sheetName val="Tax_comp"/>
      <sheetName val="TWDV_over_NBV"/>
      <sheetName val="A2_1_CAJE2"/>
      <sheetName val="Investasi_&amp;_depresiasi"/>
      <sheetName val="FE-1770_P16"/>
      <sheetName val="FE-1770_P26"/>
      <sheetName val="FI-177O_P16"/>
      <sheetName val="FI-1770_P26"/>
      <sheetName val="Final_Tax6"/>
      <sheetName val="Irregular_Income6"/>
      <sheetName val="Permanent_info4"/>
      <sheetName val="Rp_Banten4"/>
      <sheetName val="B_14"/>
      <sheetName val="BS_final5"/>
      <sheetName val="RENCANA_KERJA5"/>
      <sheetName val="VAT_out5"/>
      <sheetName val="Mine_Assumptions5"/>
      <sheetName val="Journal_Template5"/>
      <sheetName val="Forecase_20044"/>
      <sheetName val="trf_d-i4"/>
      <sheetName val="A_u_g4"/>
      <sheetName val="3__Neraca_dan_RL5"/>
      <sheetName val="Main_Menu4"/>
      <sheetName val="RMFE_043"/>
      <sheetName val="K_2_13"/>
      <sheetName val="Details_BS_YTD3"/>
      <sheetName val="Detail_pg23"/>
      <sheetName val="Professionals_Standard3"/>
      <sheetName val="ESG_local3"/>
      <sheetName val="M-2_Adjusted4"/>
      <sheetName val="Internal_order3"/>
      <sheetName val="move_(2)3"/>
      <sheetName val="Exch_rate2"/>
      <sheetName val="HBS_Credit_Detail2"/>
      <sheetName val="K_1_1_1_HGU2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Table_Array2"/>
      <sheetName val="BOQ_price3"/>
      <sheetName val="oblig_Trad&amp;AFS2"/>
      <sheetName val="Cost_Input_Sheet2"/>
      <sheetName val="Base_Data1"/>
      <sheetName val="Income_Statement2"/>
      <sheetName val="DEFECTED_NOV2"/>
      <sheetName val="RWP_331"/>
      <sheetName val="Bank_Recon_-_IDR2"/>
      <sheetName val="FOREX_042"/>
      <sheetName val="FOREX_032"/>
      <sheetName val="FOREX_04_audited2"/>
      <sheetName val="Data_Input2"/>
      <sheetName val="INV0299_(2)2"/>
      <sheetName val="HBI_NCD2"/>
      <sheetName val="TRADING_PROFIT1"/>
      <sheetName val="EB_PDT1"/>
      <sheetName val="Other_Current2"/>
      <sheetName val="Other_YTD2"/>
      <sheetName val="Q120_AP_Aging2"/>
      <sheetName val="ID_MENADO1"/>
      <sheetName val="SUMMARY_1"/>
      <sheetName val="BS-PL_Komersil_and_Fiskal1"/>
      <sheetName val="Exc__Rate1"/>
      <sheetName val="TB_IDR_Only1"/>
      <sheetName val="Breakdown_LF603_11"/>
      <sheetName val="Sheet_1_(2)1"/>
      <sheetName val="COA_BM1"/>
      <sheetName val="EYAS_Standar1"/>
      <sheetName val="BAL_SHEET(2)1"/>
      <sheetName val="Rekap_Penj1"/>
      <sheetName val="Sheet1_(19)1"/>
      <sheetName val="Check_Sheet1"/>
      <sheetName val="PLHO_Report1"/>
      <sheetName val="Income_State1"/>
      <sheetName val="Product_Requirement1"/>
      <sheetName val="Front_Sheet1"/>
      <sheetName val="CUSTOMER_LOOKUP1"/>
      <sheetName val="229_Accr_Exp1"/>
      <sheetName val="Name_Map1"/>
      <sheetName val="Table_11"/>
      <sheetName val="FL_&amp;_IC1"/>
      <sheetName val="TRAVEL_PLAN1"/>
      <sheetName val="Data_Submission1"/>
      <sheetName val="Lookup_Tables1"/>
      <sheetName val="Content_31"/>
      <sheetName val="hutang_DPLK1"/>
      <sheetName val="Access_Radio_NL4001"/>
      <sheetName val="Tax_comp1"/>
      <sheetName val="TWDV_over_NBV1"/>
      <sheetName val="A2_1_CAJE3"/>
      <sheetName val="Investasi_&amp;_depresiasi1"/>
      <sheetName val="FE-1770_P17"/>
      <sheetName val="FE-1770_P27"/>
      <sheetName val="FI-177O_P17"/>
      <sheetName val="FI-1770_P27"/>
      <sheetName val="Final_Tax7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InvoEâ_x005f_x0004_ist"/>
      <sheetName val="Other charges (income)"/>
      <sheetName val="Source"/>
      <sheetName val="Stock CIW"/>
      <sheetName val="laporan"/>
      <sheetName val="K.6DEPOSIT"/>
      <sheetName val="InvoEâ_x005f_x005f_x005f_x0004_ist"/>
      <sheetName val="hitung"/>
      <sheetName val="A&amp;C"/>
      <sheetName val="GL Items MEI"/>
      <sheetName val="BWD"/>
      <sheetName val="Lookup"/>
      <sheetName val="lab norge"/>
      <sheetName val="DB"/>
      <sheetName val="WWb"/>
      <sheetName val="L I - ATY"/>
      <sheetName val="S e p"/>
      <sheetName val="M a r"/>
      <sheetName val="PEMBELIAN-05"/>
      <sheetName val="PEMBELIAN-11"/>
      <sheetName val="1"/>
      <sheetName val="SUD"/>
      <sheetName val="BP-BP1"/>
      <sheetName val="Muebles y Enseres"/>
      <sheetName val="HR"/>
      <sheetName val="dayin"/>
      <sheetName val="Sch "/>
      <sheetName val="Petrosea"/>
      <sheetName val="SAD Conclusion"/>
      <sheetName val="SAD Schedule"/>
      <sheetName val="JSB"/>
      <sheetName val="KODJA"/>
      <sheetName val="nto71"/>
      <sheetName val="Cruser Sp71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HO Use"/>
      <sheetName val="HWL_(2)"/>
      <sheetName val="WPL"/>
      <sheetName val="LOC Score"/>
      <sheetName val="FA"/>
      <sheetName val="BGT Cashflow"/>
      <sheetName val="ACT Cashflow"/>
      <sheetName val="BGT Cashflow "/>
      <sheetName val="April"/>
      <sheetName val="New List"/>
      <sheetName val="PANDUAN"/>
      <sheetName val="TBL"/>
      <sheetName val="Cons"/>
      <sheetName val="C"/>
      <sheetName val="HWL_(2)1"/>
      <sheetName val="FE-1771$.P1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BB"/>
      <sheetName val="Farmer-Pond-Monodon"/>
      <sheetName val="Pro-Base"/>
      <sheetName val="Fixset"/>
      <sheetName val="SCORE_RC_Code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_INCOME_STATEMENT"/>
      <sheetName val="COA"/>
      <sheetName val="JOURNAL"/>
      <sheetName val="SUPPORT"/>
      <sheetName val="Bgn-Ingg PLANTATION"/>
      <sheetName val="BAHAN"/>
      <sheetName val="L.BA blok"/>
      <sheetName val="SBAT01"/>
      <sheetName val="Tabel"/>
      <sheetName val="rincian DO"/>
      <sheetName val="Lamp RPT048"/>
      <sheetName val="Lamp RPT040"/>
      <sheetName val="00 received in 01"/>
      <sheetName val="Per GL J a n"/>
      <sheetName val="JADI"/>
      <sheetName val="insentif"/>
      <sheetName val="5-1"/>
      <sheetName val="7.2"/>
      <sheetName val="IPO Proceed"/>
      <sheetName val="CP"/>
      <sheetName val="Cap. Structure"/>
      <sheetName val="OPNAME SALES"/>
      <sheetName val="SAA"/>
      <sheetName val="CA"/>
      <sheetName val="AUTO"/>
      <sheetName val="BHIT"/>
      <sheetName val="HERO"/>
      <sheetName val="HERO-N"/>
      <sheetName val="PKP"/>
      <sheetName val="Properties"/>
      <sheetName val="NETDEBT"/>
      <sheetName val="ROCE95"/>
      <sheetName val="PLBR1295"/>
      <sheetName val="ASSETS"/>
      <sheetName val="ProductionQty"/>
      <sheetName val="rumus"/>
      <sheetName val="ahas-ins"/>
      <sheetName val="laporan96"/>
      <sheetName val="DAT FIS"/>
      <sheetName val="DAT KOM"/>
      <sheetName val="inventory_stock_movement"/>
      <sheetName val="mst_prod_material"/>
      <sheetName val="fiscal depr(E)"/>
      <sheetName val="Indirects Actuals"/>
      <sheetName val="Stock_CIW"/>
      <sheetName val="gg.1"/>
      <sheetName val="NEGARA"/>
      <sheetName val="M a y"/>
      <sheetName val="J u l"/>
      <sheetName val="A p r"/>
      <sheetName val="O c t"/>
      <sheetName val="J u n"/>
      <sheetName val="N o v"/>
      <sheetName val="F e b"/>
      <sheetName val="J a n"/>
      <sheetName val="COAT&amp;WRAP-QIOT-#3"/>
      <sheetName val="PNT-QUOT-#3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CompanyList"/>
      <sheetName val="Foundation"/>
      <sheetName val="FIN_3260_WHTByInv_Rev0310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InvoEâ_x005f_x005f_x005f_x005f_x005f_x005f_x0004"/>
      <sheetName val="FA-FPI-disposal"/>
      <sheetName val="Listes de Sélection"/>
      <sheetName val="Company Consol.(R)"/>
      <sheetName val="PIUTANG"/>
      <sheetName val="COLLATERAL CONTROL"/>
      <sheetName val="Revenue"/>
      <sheetName val="Parameter"/>
      <sheetName val="ICB"/>
      <sheetName val="Reference2"/>
      <sheetName val="1.1"/>
      <sheetName val="PORTO"/>
      <sheetName val="Name List"/>
      <sheetName val="Sumber"/>
      <sheetName val="FE-1770_P19"/>
      <sheetName val="FE-1770_P29"/>
      <sheetName val="FI-177O_P19"/>
      <sheetName val="FI-1770_P29"/>
      <sheetName val="Final_Tax9"/>
      <sheetName val="Irregular_Income9"/>
      <sheetName val="Rp_Banten7"/>
      <sheetName val="Permanent_info7"/>
      <sheetName val="RMFE_046"/>
      <sheetName val="BS_final8"/>
      <sheetName val="B_17"/>
      <sheetName val="3__Neraca_dan_RL8"/>
      <sheetName val="Mine_Assumptions8"/>
      <sheetName val="RENCANA_KERJA8"/>
      <sheetName val="VAT_out8"/>
      <sheetName val="Journal_Template8"/>
      <sheetName val="trf_d-i7"/>
      <sheetName val="K_2_16"/>
      <sheetName val="Forecase_20047"/>
      <sheetName val="Main_Menu7"/>
      <sheetName val="A_u_g7"/>
      <sheetName val="M-2_Adjusted7"/>
      <sheetName val="BOQ_price6"/>
      <sheetName val="Professionals_Standard6"/>
      <sheetName val="ESG_local6"/>
      <sheetName val="Details_BS_YTD6"/>
      <sheetName val="K_1_1_1_HGU5"/>
      <sheetName val="DEFECTED_NOV5"/>
      <sheetName val="Exch_rate5"/>
      <sheetName val="Internal_order6"/>
      <sheetName val="Other_Current5"/>
      <sheetName val="Other_YTD5"/>
      <sheetName val="HBI_NCD5"/>
      <sheetName val="Table_Array5"/>
      <sheetName val="HBS_Credit_Detail5"/>
      <sheetName val="ID_MENADO4"/>
      <sheetName val="Bank_Recon_-_IDR5"/>
      <sheetName val="Detail_pg26"/>
      <sheetName val="move_(2)6"/>
      <sheetName val="oblig_Trad&amp;AFS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Income_Statement5"/>
      <sheetName val="INV0299_(2)5"/>
      <sheetName val="FOREX_045"/>
      <sheetName val="FOREX_035"/>
      <sheetName val="FOREX_04_audited5"/>
      <sheetName val="Data_Input5"/>
      <sheetName val="Cost_Input_Sheet5"/>
      <sheetName val="Q120_AP_Aging5"/>
      <sheetName val="Base_Data4"/>
      <sheetName val="RWP_334"/>
      <sheetName val="TRADING_PROFIT4"/>
      <sheetName val="EB_PDT4"/>
      <sheetName val="Exc__Rate4"/>
      <sheetName val="EYAS_Standar4"/>
      <sheetName val="BAL_SHEET(2)4"/>
      <sheetName val="CUSTOMER_LOOKUP4"/>
      <sheetName val="SUMMARY_4"/>
      <sheetName val="Sheet1_(19)4"/>
      <sheetName val="Rekap_Penj4"/>
      <sheetName val="BS-PL_Komersil_and_Fiskal4"/>
      <sheetName val="Front_Sheet4"/>
      <sheetName val="Name_Map4"/>
      <sheetName val="TB_IDR_Only4"/>
      <sheetName val="Breakdown_LF603_14"/>
      <sheetName val="Sheet_1_(2)4"/>
      <sheetName val="COA_BM4"/>
      <sheetName val="Check_Sheet4"/>
      <sheetName val="PLHO_Report4"/>
      <sheetName val="FL_&amp;_IC4"/>
      <sheetName val="Table_14"/>
      <sheetName val="229_Accr_Exp4"/>
      <sheetName val="Income_State4"/>
      <sheetName val="Content_34"/>
      <sheetName val="hutang_DPLK4"/>
      <sheetName val="Access_Radio_NL4004"/>
      <sheetName val="HWL_(2)3"/>
      <sheetName val="A2_1_CAJE6"/>
      <sheetName val="TRAVEL_PLAN4"/>
      <sheetName val="Financial_Statement1"/>
      <sheetName val="Tax_comp4"/>
      <sheetName val="TWDV_over_NBV4"/>
      <sheetName val="Product_Requirement4"/>
      <sheetName val="Investasi_&amp;_depresiasi4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Customer_List1"/>
      <sheetName val="Stock_CIW1"/>
      <sheetName val="_INCOME_STATEMENT2"/>
      <sheetName val="Data_Submission4"/>
      <sheetName val="Lookup_Tables4"/>
      <sheetName val="K_6DEPOSIT1"/>
      <sheetName val="99_10_121"/>
      <sheetName val="Other_charges_(income)1"/>
      <sheetName val="lab_norge1"/>
      <sheetName val="SAD_Conclusion1"/>
      <sheetName val="SAD_Schedule1"/>
      <sheetName val="Cruser_Sp711"/>
      <sheetName val="Sch_1"/>
      <sheetName val="E-9_3(PBC)1"/>
      <sheetName val="hitung_ulang_JEPANG1"/>
      <sheetName val="HO_Use1"/>
      <sheetName val="BGT_Cashflow1"/>
      <sheetName val="ACT_Cashflow1"/>
      <sheetName val="BGT_Cashflow_1"/>
      <sheetName val="Muebles_y_Enseres1"/>
      <sheetName val="New_List1"/>
      <sheetName val="LOC_Score1"/>
      <sheetName val="Laba_Rugi1"/>
      <sheetName val="Pembelian_Aktiva1"/>
      <sheetName val="Beban_Operasi1"/>
      <sheetName val="GL_Items_MEI1"/>
      <sheetName val="7_21"/>
      <sheetName val="00_received_in_011"/>
      <sheetName val="Per_GL_J_a_n1"/>
      <sheetName val="FE-1770_P18"/>
      <sheetName val="FE-1770_P28"/>
      <sheetName val="FI-177O_P18"/>
      <sheetName val="FI-1770_P28"/>
      <sheetName val="Final_Tax8"/>
      <sheetName val="Irregular_Income8"/>
      <sheetName val="Rp_Banten6"/>
      <sheetName val="Permanent_info6"/>
      <sheetName val="RMFE_045"/>
      <sheetName val="BS_final7"/>
      <sheetName val="B_16"/>
      <sheetName val="3__Neraca_dan_RL7"/>
      <sheetName val="Mine_Assumptions7"/>
      <sheetName val="RENCANA_KERJA7"/>
      <sheetName val="VAT_out7"/>
      <sheetName val="Journal_Template7"/>
      <sheetName val="trf_d-i6"/>
      <sheetName val="K_2_15"/>
      <sheetName val="Forecase_20046"/>
      <sheetName val="Main_Menu6"/>
      <sheetName val="A_u_g6"/>
      <sheetName val="M-2_Adjusted6"/>
      <sheetName val="BOQ_price5"/>
      <sheetName val="Professionals_Standard5"/>
      <sheetName val="ESG_local5"/>
      <sheetName val="Details_BS_YTD5"/>
      <sheetName val="K_1_1_1_HGU4"/>
      <sheetName val="DEFECTED_NOV4"/>
      <sheetName val="Exch_rate4"/>
      <sheetName val="Internal_order5"/>
      <sheetName val="Other_Current4"/>
      <sheetName val="Other_YTD4"/>
      <sheetName val="HBI_NCD4"/>
      <sheetName val="Table_Array4"/>
      <sheetName val="HBS_Credit_Detail4"/>
      <sheetName val="ID_MENADO3"/>
      <sheetName val="Bank_Recon_-_IDR4"/>
      <sheetName val="Detail_pg25"/>
      <sheetName val="move_(2)5"/>
      <sheetName val="oblig_Trad&amp;AFS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Income_Statement4"/>
      <sheetName val="INV0299_(2)4"/>
      <sheetName val="FOREX_044"/>
      <sheetName val="FOREX_034"/>
      <sheetName val="FOREX_04_audited4"/>
      <sheetName val="Data_Input4"/>
      <sheetName val="Cost_Input_Sheet4"/>
      <sheetName val="Q120_AP_Aging4"/>
      <sheetName val="Base_Data3"/>
      <sheetName val="RWP_333"/>
      <sheetName val="TRADING_PROFIT3"/>
      <sheetName val="EB_PDT3"/>
      <sheetName val="Exc__Rate3"/>
      <sheetName val="EYAS_Standar3"/>
      <sheetName val="BAL_SHEET(2)3"/>
      <sheetName val="CUSTOMER_LOOKUP3"/>
      <sheetName val="SUMMARY_3"/>
      <sheetName val="Sheet1_(19)3"/>
      <sheetName val="Rekap_Penj3"/>
      <sheetName val="BS-PL_Komersil_and_Fiskal3"/>
      <sheetName val="Front_Sheet3"/>
      <sheetName val="Name_Map3"/>
      <sheetName val="TB_IDR_Only3"/>
      <sheetName val="Breakdown_LF603_13"/>
      <sheetName val="Sheet_1_(2)3"/>
      <sheetName val="COA_BM3"/>
      <sheetName val="Check_Sheet3"/>
      <sheetName val="PLHO_Report3"/>
      <sheetName val="FL_&amp;_IC3"/>
      <sheetName val="Table_13"/>
      <sheetName val="229_Accr_Exp3"/>
      <sheetName val="Income_State3"/>
      <sheetName val="Content_33"/>
      <sheetName val="hutang_DPLK3"/>
      <sheetName val="Access_Radio_NL4003"/>
      <sheetName val="HWL_(2)2"/>
      <sheetName val="A2_1_CAJE5"/>
      <sheetName val="TRAVEL_PLAN3"/>
      <sheetName val="Tax_comp3"/>
      <sheetName val="TWDV_over_NBV3"/>
      <sheetName val="Product_Requirement3"/>
      <sheetName val="Investasi_&amp;_depresiasi3"/>
      <sheetName val="Customer_List"/>
      <sheetName val="_INCOME_STATEMENT1"/>
      <sheetName val="Data_Submission3"/>
      <sheetName val="Lookup_Tables3"/>
      <sheetName val="K_6DEPOSIT"/>
      <sheetName val="99_10_12"/>
      <sheetName val="Other_charges_(income)"/>
      <sheetName val="lab_norge"/>
      <sheetName val="SAD_Conclusion"/>
      <sheetName val="SAD_Schedule"/>
      <sheetName val="Cruser_Sp71"/>
      <sheetName val="Sch_"/>
      <sheetName val="E-9_3(PBC)"/>
      <sheetName val="hitung_ulang_JEPANG"/>
      <sheetName val="HO_Use"/>
      <sheetName val="BGT_Cashflow"/>
      <sheetName val="ACT_Cashflow"/>
      <sheetName val="BGT_Cashflow_"/>
      <sheetName val="Muebles_y_Enseres"/>
      <sheetName val="New_List"/>
      <sheetName val="LOC_Score"/>
      <sheetName val="Laba_Rugi"/>
      <sheetName val="Pembelian_Aktiva"/>
      <sheetName val="Beban_Operasi"/>
      <sheetName val="GL_Items_MEI"/>
      <sheetName val="7_2"/>
      <sheetName val="00_received_in_01"/>
      <sheetName val="Per_GL_J_a_n"/>
      <sheetName val="FE-1770_P110"/>
      <sheetName val="FE-1770_P210"/>
      <sheetName val="FI-177O_P110"/>
      <sheetName val="FI-1770_P210"/>
      <sheetName val="Final_Tax10"/>
      <sheetName val="Irregular_Income10"/>
      <sheetName val="Rp_Banten8"/>
      <sheetName val="Permanent_info8"/>
      <sheetName val="RMFE_047"/>
      <sheetName val="BS_final9"/>
      <sheetName val="B_18"/>
      <sheetName val="3__Neraca_dan_RL9"/>
      <sheetName val="Mine_Assumptions9"/>
      <sheetName val="RENCANA_KERJA9"/>
      <sheetName val="VAT_out9"/>
      <sheetName val="Journal_Template9"/>
      <sheetName val="trf_d-i8"/>
      <sheetName val="K_2_17"/>
      <sheetName val="Forecase_20048"/>
      <sheetName val="Main_Menu8"/>
      <sheetName val="A_u_g8"/>
      <sheetName val="M-2_Adjusted8"/>
      <sheetName val="BOQ_price7"/>
      <sheetName val="Professionals_Standard7"/>
      <sheetName val="ESG_local7"/>
      <sheetName val="Details_BS_YTD7"/>
      <sheetName val="K_1_1_1_HGU6"/>
      <sheetName val="DEFECTED_NOV6"/>
      <sheetName val="Exch_rate6"/>
      <sheetName val="Internal_order7"/>
      <sheetName val="Other_Current6"/>
      <sheetName val="Other_YTD6"/>
      <sheetName val="HBI_NCD6"/>
      <sheetName val="Table_Array6"/>
      <sheetName val="HBS_Credit_Detail6"/>
      <sheetName val="ID_MENADO5"/>
      <sheetName val="Bank_Recon_-_IDR6"/>
      <sheetName val="Detail_pg27"/>
      <sheetName val="move_(2)7"/>
      <sheetName val="oblig_Trad&amp;AFS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Income_Statement6"/>
      <sheetName val="INV0299_(2)6"/>
      <sheetName val="FOREX_046"/>
      <sheetName val="FOREX_036"/>
      <sheetName val="FOREX_04_audited6"/>
      <sheetName val="Data_Input6"/>
      <sheetName val="Cost_Input_Sheet6"/>
      <sheetName val="Q120_AP_Aging6"/>
      <sheetName val="Base_Data5"/>
      <sheetName val="RWP_335"/>
      <sheetName val="TRADING_PROFIT5"/>
      <sheetName val="EB_PDT5"/>
      <sheetName val="Exc__Rate5"/>
      <sheetName val="EYAS_Standar5"/>
      <sheetName val="BAL_SHEET(2)5"/>
      <sheetName val="CUSTOMER_LOOKUP5"/>
      <sheetName val="SUMMARY_5"/>
      <sheetName val="Sheet1_(19)5"/>
      <sheetName val="Rekap_Penj5"/>
      <sheetName val="BS-PL_Komersil_and_Fiskal5"/>
      <sheetName val="Front_Sheet5"/>
      <sheetName val="Name_Map5"/>
      <sheetName val="TB_IDR_Only5"/>
      <sheetName val="Breakdown_LF603_15"/>
      <sheetName val="Sheet_1_(2)5"/>
      <sheetName val="COA_BM5"/>
      <sheetName val="Check_Sheet5"/>
      <sheetName val="PLHO_Report5"/>
      <sheetName val="FL_&amp;_IC5"/>
      <sheetName val="Table_15"/>
      <sheetName val="229_Accr_Exp5"/>
      <sheetName val="Income_State5"/>
      <sheetName val="Content_35"/>
      <sheetName val="hutang_DPLK5"/>
      <sheetName val="Access_Radio_NL4005"/>
      <sheetName val="HWL_(2)4"/>
      <sheetName val="A2_1_CAJE7"/>
      <sheetName val="TRAVEL_PLAN5"/>
      <sheetName val="Financial_Statement2"/>
      <sheetName val="Tax_comp5"/>
      <sheetName val="TWDV_over_NBV5"/>
      <sheetName val="Product_Requirement5"/>
      <sheetName val="Investasi_&amp;_depresiasi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Customer_List2"/>
      <sheetName val="Stock_CIW2"/>
      <sheetName val="_INCOME_STATEMENT3"/>
      <sheetName val="Data_Submission5"/>
      <sheetName val="Lookup_Tables5"/>
      <sheetName val="K_6DEPOSIT2"/>
      <sheetName val="99_10_122"/>
      <sheetName val="Other_charges_(income)2"/>
      <sheetName val="lab_norge2"/>
      <sheetName val="SAD_Conclusion2"/>
      <sheetName val="SAD_Schedule2"/>
      <sheetName val="Cruser_Sp712"/>
      <sheetName val="Sch_2"/>
      <sheetName val="E-9_3(PBC)2"/>
      <sheetName val="hitung_ulang_JEPANG2"/>
      <sheetName val="HO_Use2"/>
      <sheetName val="BGT_Cashflow2"/>
      <sheetName val="ACT_Cashflow2"/>
      <sheetName val="BGT_Cashflow_2"/>
      <sheetName val="Muebles_y_Enseres2"/>
      <sheetName val="New_List2"/>
      <sheetName val="LOC_Score2"/>
      <sheetName val="Laba_Rugi2"/>
      <sheetName val="Pembelian_Aktiva2"/>
      <sheetName val="Beban_Operasi2"/>
      <sheetName val="GL_Items_MEI2"/>
      <sheetName val="7_22"/>
      <sheetName val="00_received_in_012"/>
      <sheetName val="Per_GL_J_a_n2"/>
      <sheetName val="FE-1770_P111"/>
      <sheetName val="FE-1770_P211"/>
      <sheetName val="FI-177O_P111"/>
      <sheetName val="FI-1770_P211"/>
      <sheetName val="Final_Tax11"/>
      <sheetName val="Irregular_Income11"/>
      <sheetName val="Rp_Banten9"/>
      <sheetName val="Permanent_info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BOQ_price8"/>
      <sheetName val="Professionals_Standard8"/>
      <sheetName val="ESG_local8"/>
      <sheetName val="Details_BS_YTD8"/>
      <sheetName val="K_1_1_1_HGU7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INV0299_(2)7"/>
      <sheetName val="FOREX_047"/>
      <sheetName val="FOREX_037"/>
      <sheetName val="FOREX_04_audited7"/>
      <sheetName val="Data_Input7"/>
      <sheetName val="Cost_Input_Sheet7"/>
      <sheetName val="Q120_AP_Aging7"/>
      <sheetName val="Base_Data6"/>
      <sheetName val="RWP_336"/>
      <sheetName val="TRADING_PROFIT6"/>
      <sheetName val="EB_PDT6"/>
      <sheetName val="Exc__Rate6"/>
      <sheetName val="EYAS_Standar6"/>
      <sheetName val="BAL_SHEET(2)6"/>
      <sheetName val="CUSTOMER_LOOKUP6"/>
      <sheetName val="SUMMARY_6"/>
      <sheetName val="Sheet1_(19)6"/>
      <sheetName val="Rekap_Penj6"/>
      <sheetName val="BS-PL_Komersil_and_Fiskal6"/>
      <sheetName val="Front_Sheet6"/>
      <sheetName val="Name_Map6"/>
      <sheetName val="TB_IDR_Only6"/>
      <sheetName val="Breakdown_LF603_16"/>
      <sheetName val="Sheet_1_(2)6"/>
      <sheetName val="COA_BM6"/>
      <sheetName val="Check_Sheet6"/>
      <sheetName val="PLHO_Report6"/>
      <sheetName val="FL_&amp;_IC6"/>
      <sheetName val="Table_16"/>
      <sheetName val="229_Accr_Exp6"/>
      <sheetName val="Income_State6"/>
      <sheetName val="Content_36"/>
      <sheetName val="hutang_DPLK6"/>
      <sheetName val="Access_Radio_NL4006"/>
      <sheetName val="HWL_(2)5"/>
      <sheetName val="A2_1_CAJE8"/>
      <sheetName val="TRAVEL_PLAN6"/>
      <sheetName val="Financial_Statement3"/>
      <sheetName val="Tax_comp6"/>
      <sheetName val="TWDV_over_NBV6"/>
      <sheetName val="Product_Requirement6"/>
      <sheetName val="Investasi_&amp;_depresiasi6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Customer_List3"/>
      <sheetName val="Stock_CIW3"/>
      <sheetName val="_INCOME_STATEMENT4"/>
      <sheetName val="Data_Submission6"/>
      <sheetName val="Lookup_Tables6"/>
      <sheetName val="K_6DEPOSIT3"/>
      <sheetName val="99_10_123"/>
      <sheetName val="Other_charges_(income)3"/>
      <sheetName val="lab_norge3"/>
      <sheetName val="SAD_Conclusion3"/>
      <sheetName val="SAD_Schedule3"/>
      <sheetName val="Cruser_Sp71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OC_Score3"/>
      <sheetName val="Laba_Rugi3"/>
      <sheetName val="Pembelian_Aktiva3"/>
      <sheetName val="Beban_Operasi3"/>
      <sheetName val="GL_Items_MEI3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WP-PBM-04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Bgn-Ingg_PLANTATION"/>
      <sheetName val="L_BA_blok"/>
      <sheetName val="Lamp_RPT048"/>
      <sheetName val="Lamp_RPT040"/>
      <sheetName val="Monthly_Recap52"/>
      <sheetName val="101_0052"/>
      <sheetName val="Chiet_tinh16"/>
      <sheetName val="Main_lead13"/>
      <sheetName val="TB_LAS2"/>
      <sheetName val="Assumptions_Sheet2"/>
      <sheetName val="15_-_BS,_IS_Level2"/>
      <sheetName val="Client_AJE2"/>
      <sheetName val="Biaya_Departemen2"/>
      <sheetName val="lr_treas2"/>
      <sheetName val="MK(W_L,D)ｺｽﾄ2"/>
      <sheetName val="Basic_Information2"/>
      <sheetName val="K-9_Ok2"/>
      <sheetName val="FF-2_(1)2"/>
      <sheetName val="C_O_A"/>
      <sheetName val="cons_workpapers"/>
      <sheetName val="equity_of_abacus"/>
      <sheetName val="J_1_Deffered_Landright"/>
      <sheetName val="invt_jun03_(2)"/>
      <sheetName val="counters"/>
      <sheetName val="I-PPh"/>
      <sheetName val="I-PPh Final"/>
      <sheetName val="DEPK2003"/>
      <sheetName val="Trial Balance - MARCH 2006"/>
      <sheetName val="入力フォーム"/>
      <sheetName val="C_O_A1"/>
      <sheetName val="cons_workpapers1"/>
      <sheetName val="equity_of_abacus1"/>
      <sheetName val="101_0053"/>
      <sheetName val="Monthly_Recap53"/>
      <sheetName val="Chiet_tinh17"/>
      <sheetName val="Main_lead14"/>
      <sheetName val="TB_LAS3"/>
      <sheetName val="Assumptions_Sheet3"/>
      <sheetName val="15_-_BS,_IS_Level3"/>
      <sheetName val="Client_AJE3"/>
      <sheetName val="Biaya_Departemen3"/>
      <sheetName val="C_O_A2"/>
      <sheetName val="cons_workpapers2"/>
      <sheetName val="equity_of_abacus2"/>
      <sheetName val="101_0054"/>
      <sheetName val="Monthly_Recap54"/>
      <sheetName val="Chiet_tinh18"/>
      <sheetName val="Main_lead15"/>
      <sheetName val="TB_LAS4"/>
      <sheetName val="Assumptions_Sheet4"/>
      <sheetName val="15_-_BS,_IS_Level4"/>
      <sheetName val="Client_AJE4"/>
      <sheetName val="Biaya_Departemen4"/>
      <sheetName val="lr_treas3"/>
      <sheetName val="MK(W_L,D)ｺｽﾄ3"/>
      <sheetName val="Basic_Information3"/>
      <sheetName val="K-9_Ok3"/>
      <sheetName val="FF-2_(1)3"/>
      <sheetName val="C_O_A3"/>
      <sheetName val="cons_workpapers3"/>
      <sheetName val="equity_of_abacus3"/>
      <sheetName val="101_0058"/>
      <sheetName val="Monthly_Recap58"/>
      <sheetName val="Chiet_tinh22"/>
      <sheetName val="Main_lead19"/>
      <sheetName val="TB_LAS8"/>
      <sheetName val="Assumptions_Sheet8"/>
      <sheetName val="15_-_BS,_IS_Level8"/>
      <sheetName val="Client_AJE8"/>
      <sheetName val="Biaya_Departemen8"/>
      <sheetName val="lr_treas7"/>
      <sheetName val="MK(W_L,D)ｺｽﾄ7"/>
      <sheetName val="Basic_Information7"/>
      <sheetName val="K-9_Ok7"/>
      <sheetName val="FF-2_(1)7"/>
      <sheetName val="C_O_A7"/>
      <sheetName val="cons_workpapers7"/>
      <sheetName val="equity_of_abacus7"/>
      <sheetName val="101_0055"/>
      <sheetName val="Monthly_Recap55"/>
      <sheetName val="Chiet_tinh19"/>
      <sheetName val="Main_lead16"/>
      <sheetName val="TB_LAS5"/>
      <sheetName val="Assumptions_Sheet5"/>
      <sheetName val="15_-_BS,_IS_Level5"/>
      <sheetName val="Client_AJE5"/>
      <sheetName val="Biaya_Departemen5"/>
      <sheetName val="lr_treas4"/>
      <sheetName val="MK(W_L,D)ｺｽﾄ4"/>
      <sheetName val="Basic_Information4"/>
      <sheetName val="K-9_Ok4"/>
      <sheetName val="FF-2_(1)4"/>
      <sheetName val="C_O_A4"/>
      <sheetName val="cons_workpapers4"/>
      <sheetName val="equity_of_abacus4"/>
      <sheetName val="101_0056"/>
      <sheetName val="Monthly_Recap56"/>
      <sheetName val="Chiet_tinh20"/>
      <sheetName val="Main_lead17"/>
      <sheetName val="TB_LAS6"/>
      <sheetName val="Assumptions_Sheet6"/>
      <sheetName val="15_-_BS,_IS_Level6"/>
      <sheetName val="Client_AJE6"/>
      <sheetName val="Biaya_Departemen6"/>
      <sheetName val="lr_treas5"/>
      <sheetName val="MK(W_L,D)ｺｽﾄ5"/>
      <sheetName val="Basic_Information5"/>
      <sheetName val="K-9_Ok5"/>
      <sheetName val="FF-2_(1)5"/>
      <sheetName val="C_O_A5"/>
      <sheetName val="cons_workpapers5"/>
      <sheetName val="equity_of_abacus5"/>
      <sheetName val="101_0057"/>
      <sheetName val="Monthly_Recap57"/>
      <sheetName val="Chiet_tinh21"/>
      <sheetName val="Main_lead18"/>
      <sheetName val="TB_LAS7"/>
      <sheetName val="Assumptions_Sheet7"/>
      <sheetName val="15_-_BS,_IS_Level7"/>
      <sheetName val="Client_AJE7"/>
      <sheetName val="Biaya_Departemen7"/>
      <sheetName val="lr_treas6"/>
      <sheetName val="MK(W_L,D)ｺｽﾄ6"/>
      <sheetName val="Basic_Information6"/>
      <sheetName val="K-9_Ok6"/>
      <sheetName val="FF-2_(1)6"/>
      <sheetName val="C_O_A6"/>
      <sheetName val="cons_workpapers6"/>
      <sheetName val="equity_of_abacus6"/>
      <sheetName val="101_0059"/>
      <sheetName val="Monthly_Recap59"/>
      <sheetName val="Chiet_tinh23"/>
      <sheetName val="Main_lead20"/>
      <sheetName val="TB_LAS9"/>
      <sheetName val="Assumptions_Sheet9"/>
      <sheetName val="15_-_BS,_IS_Level9"/>
      <sheetName val="Client_AJE9"/>
      <sheetName val="Biaya_Departemen9"/>
      <sheetName val="lr_treas8"/>
      <sheetName val="MK(W_L,D)ｺｽﾄ8"/>
      <sheetName val="Basic_Information8"/>
      <sheetName val="K-9_Ok8"/>
      <sheetName val="FF-2_(1)8"/>
      <sheetName val="C_O_A8"/>
      <sheetName val="cons_workpapers8"/>
      <sheetName val="equity_of_abacus8"/>
      <sheetName val="101_0060"/>
      <sheetName val="Monthly_Recap60"/>
      <sheetName val="Chiet_tinh24"/>
      <sheetName val="Main_lead21"/>
      <sheetName val="TB_LAS10"/>
      <sheetName val="Assumptions_Sheet10"/>
      <sheetName val="15_-_BS,_IS_Level10"/>
      <sheetName val="Client_AJE10"/>
      <sheetName val="Biaya_Departemen10"/>
      <sheetName val="lr_treas9"/>
      <sheetName val="MK(W_L,D)ｺｽﾄ9"/>
      <sheetName val="Basic_Information9"/>
      <sheetName val="K-9_Ok9"/>
      <sheetName val="FF-2_(1)9"/>
      <sheetName val="C_O_A9"/>
      <sheetName val="cons_workpapers9"/>
      <sheetName val="equity_of_abacus9"/>
      <sheetName val="OLDMAP"/>
      <sheetName val="InvoEâ_x005f_x005f_x0004"/>
      <sheetName val="Analisa"/>
      <sheetName val="602 LEDGER"/>
      <sheetName val="1106-M&amp;E"/>
      <sheetName val="101_0061"/>
      <sheetName val="Monthly_Recap61"/>
      <sheetName val="Chiet_tinh25"/>
      <sheetName val="Main_lead22"/>
      <sheetName val="TB_LAS11"/>
      <sheetName val="Assumptions_Sheet11"/>
      <sheetName val="15_-_BS,_IS_Level11"/>
      <sheetName val="Client_AJE11"/>
      <sheetName val="Biaya_Departemen11"/>
      <sheetName val="lr_treas10"/>
      <sheetName val="MK(W_L,D)ｺｽﾄ10"/>
      <sheetName val="Permanent_info29"/>
      <sheetName val="Basic_Information10"/>
      <sheetName val="C_O_A10"/>
      <sheetName val="K-9_Ok10"/>
      <sheetName val="FF-2_(1)10"/>
      <sheetName val="cons_workpapers10"/>
      <sheetName val="equity_of_abacus10"/>
      <sheetName val="J_1_Deffered_Landright1"/>
      <sheetName val="invt_jun03_(2)1"/>
      <sheetName val="A_u_g29"/>
      <sheetName val="FE-1770_P131"/>
      <sheetName val="FE-1770_P231"/>
      <sheetName val="FI-177O_P131"/>
      <sheetName val="FI-1770_P231"/>
      <sheetName val="Final_Tax31"/>
      <sheetName val="Irregular_Income31"/>
      <sheetName val="BS_final30"/>
      <sheetName val="Mine_Assumptions30"/>
      <sheetName val="VAT_out30"/>
      <sheetName val="K_1_1_1_HGU27"/>
      <sheetName val="Journal_Template30"/>
      <sheetName val="Rp_Banten29"/>
      <sheetName val="RMFE_0428"/>
      <sheetName val="trf_d-i29"/>
      <sheetName val="B_129"/>
      <sheetName val="RENCANA_KERJA30"/>
      <sheetName val="Main_Menu29"/>
      <sheetName val="K_2_128"/>
      <sheetName val="3__Neraca_dan_RL30"/>
      <sheetName val="Forecase_200429"/>
      <sheetName val="M-2_Adjusted29"/>
      <sheetName val="Internal_order28"/>
      <sheetName val="Professionals_Standard28"/>
      <sheetName val="ESG_local28"/>
      <sheetName val="Details_BS_YTD28"/>
      <sheetName val="Other_Current27"/>
      <sheetName val="Other_YTD27"/>
      <sheetName val="Detail_pg228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Exch_rate27"/>
      <sheetName val="BOQ_price28"/>
      <sheetName val="HBI_NCD27"/>
      <sheetName val="Table_Array27"/>
      <sheetName val="Income_Statement27"/>
      <sheetName val="oblig_Trad&amp;AFS27"/>
      <sheetName val="move_(2)28"/>
      <sheetName val="HBS_Credit_Detail27"/>
      <sheetName val="INV0299_(2)27"/>
      <sheetName val="DEFECTED_NOV27"/>
      <sheetName val="Cost_Input_Sheet27"/>
      <sheetName val="Bank_Recon_-_IDR27"/>
      <sheetName val="RWP_3326"/>
      <sheetName val="FOREX_0427"/>
      <sheetName val="FOREX_0327"/>
      <sheetName val="FOREX_04_audited27"/>
      <sheetName val="Data_Input27"/>
      <sheetName val="CUSTOMER_LOOKUP26"/>
      <sheetName val="Base_Data26"/>
      <sheetName val="TRADING_PROFIT26"/>
      <sheetName val="EB_PDT26"/>
      <sheetName val="ID_MENADO26"/>
      <sheetName val="Q120_AP_Aging27"/>
      <sheetName val="Exc__Rate26"/>
      <sheetName val="EYAS_Standar26"/>
      <sheetName val="BAL_SHEET(2)26"/>
      <sheetName val="SUMMARY_26"/>
      <sheetName val="Content_326"/>
      <sheetName val="hutang_DPLK26"/>
      <sheetName val="Access_Radio_NL40026"/>
      <sheetName val="_INCOME_STATEMENT24"/>
      <sheetName val="BS-PL_Komersil_and_Fiskal26"/>
      <sheetName val="A2_1_CAJE28"/>
      <sheetName val="Front_Sheet26"/>
      <sheetName val="TB_IDR_Only26"/>
      <sheetName val="Breakdown_LF603_126"/>
      <sheetName val="Sheet_1_(2)26"/>
      <sheetName val="COA_BM26"/>
      <sheetName val="Check_Sheet26"/>
      <sheetName val="PLHO_Report26"/>
      <sheetName val="Rekap_Penj26"/>
      <sheetName val="Investasi_&amp;_depresiasi26"/>
      <sheetName val="Name_Map26"/>
      <sheetName val="Sheet1_(19)26"/>
      <sheetName val="Table_126"/>
      <sheetName val="Tax_comp26"/>
      <sheetName val="TWDV_over_NBV26"/>
      <sheetName val="Income_State26"/>
      <sheetName val="229_Accr_Exp26"/>
      <sheetName val="FL_&amp;_IC26"/>
      <sheetName val="TRAVEL_PLAN26"/>
      <sheetName val="Product_Requirement26"/>
      <sheetName val="Customer_List23"/>
      <sheetName val="Financial_Statement23"/>
      <sheetName val="Data_Submission26"/>
      <sheetName val="Lookup_Tables26"/>
      <sheetName val="HWL_(2)25"/>
      <sheetName val="99_10_1223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Other_charges_(income)23"/>
      <sheetName val="Stock_CIW23"/>
      <sheetName val="K_6DEPOSIT23"/>
      <sheetName val="GL_Items_MEI21"/>
      <sheetName val="lab_norge23"/>
      <sheetName val="L_I_-_ATY"/>
      <sheetName val="S_e_p"/>
      <sheetName val="M_a_r"/>
      <sheetName val="Muebles_y_Enseres21"/>
      <sheetName val="Sch_21"/>
      <sheetName val="SAD_Conclusion23"/>
      <sheetName val="SAD_Schedule23"/>
      <sheetName val="Cruser_Sp7121"/>
      <sheetName val="E-9_3(PBC)21"/>
      <sheetName val="hitung_ulang_JEPANG21"/>
      <sheetName val="HO_Use21"/>
      <sheetName val="LOC_Score21"/>
      <sheetName val="BGT_Cashflow21"/>
      <sheetName val="ACT_Cashflow21"/>
      <sheetName val="BGT_Cashflow_21"/>
      <sheetName val="New_List21"/>
      <sheetName val="FE-1771$_P1"/>
      <sheetName val="Laba_Rugi21"/>
      <sheetName val="Pembelian_Aktiva21"/>
      <sheetName val="Beban_Operasi21"/>
      <sheetName val="Bgn-Ingg_PLANTATION1"/>
      <sheetName val="L_BA_blok1"/>
      <sheetName val="rincian_DO"/>
      <sheetName val="Lamp_RPT0481"/>
      <sheetName val="Lamp_RPT0401"/>
      <sheetName val="00_received_in_0121"/>
      <sheetName val="Per_GL_J_a_n21"/>
      <sheetName val="7_221"/>
      <sheetName val="IPO_Proceed"/>
      <sheetName val="Cap__Structure"/>
      <sheetName val="OPNAME_SALES"/>
      <sheetName val="DAT_FIS"/>
      <sheetName val="DAT_KOM"/>
      <sheetName val="fiscal_depr(E)"/>
      <sheetName val="Indirects_Actuals"/>
      <sheetName val="gg_1"/>
      <sheetName val="M_a_y"/>
      <sheetName val="J_u_l"/>
      <sheetName val="A_p_r"/>
      <sheetName val="O_c_t"/>
      <sheetName val="J_u_n"/>
      <sheetName val="N_o_v"/>
      <sheetName val="F_e_b"/>
      <sheetName val="J_a_n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1_1"/>
      <sheetName val="Name_List"/>
      <sheetName val="V3_PMI_(revise)"/>
      <sheetName val="I-PPh_Final"/>
      <sheetName val="Trial_Balance_-_MARCH_2006"/>
      <sheetName val="101_0062"/>
      <sheetName val="Monthly_Recap62"/>
      <sheetName val="Chiet_tinh26"/>
      <sheetName val="Main_lead23"/>
      <sheetName val="TB_LAS12"/>
      <sheetName val="Assumptions_Sheet12"/>
      <sheetName val="15_-_BS,_IS_Level12"/>
      <sheetName val="Client_AJE12"/>
      <sheetName val="Biaya_Departemen12"/>
      <sheetName val="lr_treas11"/>
      <sheetName val="MK(W_L,D)ｺｽﾄ11"/>
      <sheetName val="Permanent_info30"/>
      <sheetName val="Basic_Information11"/>
      <sheetName val="C_O_A11"/>
      <sheetName val="K-9_Ok11"/>
      <sheetName val="FF-2_(1)11"/>
      <sheetName val="cons_workpapers11"/>
      <sheetName val="equity_of_abacus11"/>
      <sheetName val="J_1_Deffered_Landright2"/>
      <sheetName val="invt_jun03_(2)2"/>
      <sheetName val="A_u_g30"/>
      <sheetName val="FE-1770_P132"/>
      <sheetName val="FE-1770_P232"/>
      <sheetName val="FI-177O_P132"/>
      <sheetName val="FI-1770_P232"/>
      <sheetName val="Final_Tax32"/>
      <sheetName val="Irregular_Income32"/>
      <sheetName val="BS_final31"/>
      <sheetName val="Mine_Assumptions31"/>
      <sheetName val="VAT_out31"/>
      <sheetName val="K_1_1_1_HGU28"/>
      <sheetName val="Journal_Template31"/>
      <sheetName val="Rp_Banten30"/>
      <sheetName val="RMFE_0429"/>
      <sheetName val="trf_d-i30"/>
      <sheetName val="B_130"/>
      <sheetName val="RENCANA_KERJA31"/>
      <sheetName val="Main_Menu30"/>
      <sheetName val="K_2_129"/>
      <sheetName val="3__Neraca_dan_RL31"/>
      <sheetName val="Forecase_200430"/>
      <sheetName val="M-2_Adjusted30"/>
      <sheetName val="Internal_order29"/>
      <sheetName val="Professionals_Standard29"/>
      <sheetName val="ESG_local29"/>
      <sheetName val="Details_BS_YTD29"/>
      <sheetName val="Other_Current28"/>
      <sheetName val="Other_YTD28"/>
      <sheetName val="Detail_pg229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Exch_rate28"/>
      <sheetName val="BOQ_price29"/>
      <sheetName val="HBI_NCD28"/>
      <sheetName val="Table_Array28"/>
      <sheetName val="Income_Statement28"/>
      <sheetName val="oblig_Trad&amp;AFS28"/>
      <sheetName val="move_(2)29"/>
      <sheetName val="HBS_Credit_Detail28"/>
      <sheetName val="INV0299_(2)28"/>
      <sheetName val="DEFECTED_NOV28"/>
      <sheetName val="Cost_Input_Sheet28"/>
      <sheetName val="Bank_Recon_-_IDR28"/>
      <sheetName val="RWP_3327"/>
      <sheetName val="FOREX_0428"/>
      <sheetName val="FOREX_0328"/>
      <sheetName val="FOREX_04_audited28"/>
      <sheetName val="Data_Input28"/>
      <sheetName val="CUSTOMER_LOOKUP27"/>
      <sheetName val="Base_Data27"/>
      <sheetName val="TRADING_PROFIT27"/>
      <sheetName val="EB_PDT27"/>
      <sheetName val="ID_MENADO27"/>
      <sheetName val="Q120_AP_Aging28"/>
      <sheetName val="Exc__Rate27"/>
      <sheetName val="EYAS_Standar27"/>
      <sheetName val="BAL_SHEET(2)27"/>
      <sheetName val="SUMMARY_27"/>
      <sheetName val="Content_327"/>
      <sheetName val="hutang_DPLK27"/>
      <sheetName val="Access_Radio_NL40027"/>
      <sheetName val="_INCOME_STATEMENT25"/>
      <sheetName val="BS-PL_Komersil_and_Fiskal27"/>
      <sheetName val="A2_1_CAJE29"/>
      <sheetName val="Front_Sheet27"/>
      <sheetName val="TB_IDR_Only27"/>
      <sheetName val="Breakdown_LF603_127"/>
      <sheetName val="Sheet_1_(2)27"/>
      <sheetName val="COA_BM27"/>
      <sheetName val="Check_Sheet27"/>
      <sheetName val="PLHO_Report27"/>
      <sheetName val="Rekap_Penj27"/>
      <sheetName val="Investasi_&amp;_depresiasi27"/>
      <sheetName val="Name_Map27"/>
      <sheetName val="Sheet1_(19)27"/>
      <sheetName val="Table_127"/>
      <sheetName val="Tax_comp27"/>
      <sheetName val="TWDV_over_NBV27"/>
      <sheetName val="Income_State27"/>
      <sheetName val="229_Accr_Exp27"/>
      <sheetName val="FL_&amp;_IC27"/>
      <sheetName val="TRAVEL_PLAN27"/>
      <sheetName val="Product_Requirement27"/>
      <sheetName val="Customer_List24"/>
      <sheetName val="Financial_Statement24"/>
      <sheetName val="Data_Submission27"/>
      <sheetName val="Lookup_Tables27"/>
      <sheetName val="HWL_(2)26"/>
      <sheetName val="99_10_1224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Other_charges_(income)24"/>
      <sheetName val="Stock_CIW24"/>
      <sheetName val="K_6DEPOSIT24"/>
      <sheetName val="GL_Items_MEI22"/>
      <sheetName val="lab_norge24"/>
      <sheetName val="L_I_-_ATY1"/>
      <sheetName val="S_e_p1"/>
      <sheetName val="M_a_r1"/>
      <sheetName val="Muebles_y_Enseres22"/>
      <sheetName val="Sch_22"/>
      <sheetName val="SAD_Conclusion24"/>
      <sheetName val="SAD_Schedule24"/>
      <sheetName val="Cruser_Sp7122"/>
      <sheetName val="E-9_3(PBC)22"/>
      <sheetName val="hitung_ulang_JEPANG22"/>
      <sheetName val="HO_Use22"/>
      <sheetName val="LOC_Score22"/>
      <sheetName val="BGT_Cashflow22"/>
      <sheetName val="ACT_Cashflow22"/>
      <sheetName val="BGT_Cashflow_22"/>
      <sheetName val="New_List22"/>
      <sheetName val="FE-1771$_P11"/>
      <sheetName val="Laba_Rugi22"/>
      <sheetName val="Pembelian_Aktiva22"/>
      <sheetName val="Beban_Operasi22"/>
      <sheetName val="Bgn-Ingg_PLANTATION2"/>
      <sheetName val="L_BA_blok2"/>
      <sheetName val="rincian_DO1"/>
      <sheetName val="Lamp_RPT0482"/>
      <sheetName val="Lamp_RPT0402"/>
      <sheetName val="00_received_in_0122"/>
      <sheetName val="Per_GL_J_a_n22"/>
      <sheetName val="7_222"/>
      <sheetName val="IPO_Proceed1"/>
      <sheetName val="Cap__Structure1"/>
      <sheetName val="OPNAME_SALES1"/>
      <sheetName val="DAT_FIS1"/>
      <sheetName val="DAT_KOM1"/>
      <sheetName val="fiscal_depr(E)1"/>
      <sheetName val="Indirects_Actuals1"/>
      <sheetName val="gg_11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1_11"/>
      <sheetName val="Name_List1"/>
      <sheetName val="V3_PMI_(revise)1"/>
      <sheetName val="I-PPh_Final1"/>
      <sheetName val="Trial_Balance_-_MARCH_20061"/>
      <sheetName val="101_0064"/>
      <sheetName val="Monthly_Recap64"/>
      <sheetName val="Chiet_tinh28"/>
      <sheetName val="Main_lead25"/>
      <sheetName val="TB_LAS14"/>
      <sheetName val="Assumptions_Sheet14"/>
      <sheetName val="15_-_BS,_IS_Level14"/>
      <sheetName val="Client_AJE14"/>
      <sheetName val="Biaya_Departemen14"/>
      <sheetName val="lr_treas13"/>
      <sheetName val="MK(W_L,D)ｺｽﾄ13"/>
      <sheetName val="Permanent_info32"/>
      <sheetName val="Basic_Information13"/>
      <sheetName val="K-9_Ok13"/>
      <sheetName val="FF-2_(1)13"/>
      <sheetName val="C_O_A13"/>
      <sheetName val="cons_workpapers13"/>
      <sheetName val="equity_of_abacus13"/>
      <sheetName val="J_1_Deffered_Landright4"/>
      <sheetName val="invt_jun03_(2)4"/>
      <sheetName val="A_u_g32"/>
      <sheetName val="FE-1770_P134"/>
      <sheetName val="FE-1770_P234"/>
      <sheetName val="FI-177O_P134"/>
      <sheetName val="FI-1770_P234"/>
      <sheetName val="Final_Tax34"/>
      <sheetName val="Irregular_Income34"/>
      <sheetName val="BS_final33"/>
      <sheetName val="Mine_Assumptions33"/>
      <sheetName val="VAT_out33"/>
      <sheetName val="K_1_1_1_HGU30"/>
      <sheetName val="Journal_Template33"/>
      <sheetName val="Rp_Banten32"/>
      <sheetName val="RMFE_0431"/>
      <sheetName val="trf_d-i32"/>
      <sheetName val="B_132"/>
      <sheetName val="RENCANA_KERJA33"/>
      <sheetName val="Main_Menu32"/>
      <sheetName val="K_2_131"/>
      <sheetName val="3__Neraca_dan_RL33"/>
      <sheetName val="Forecase_200432"/>
      <sheetName val="M-2_Adjusted32"/>
      <sheetName val="Internal_order31"/>
      <sheetName val="Professionals_Standard31"/>
      <sheetName val="ESG_local31"/>
      <sheetName val="Details_BS_YTD31"/>
      <sheetName val="Other_Current30"/>
      <sheetName val="Other_YTD30"/>
      <sheetName val="Detail_pg231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Exch_rate30"/>
      <sheetName val="BOQ_price31"/>
      <sheetName val="HBI_NCD30"/>
      <sheetName val="Table_Array30"/>
      <sheetName val="Income_Statement30"/>
      <sheetName val="oblig_Trad&amp;AFS30"/>
      <sheetName val="move_(2)31"/>
      <sheetName val="HBS_Credit_Detail30"/>
      <sheetName val="INV0299_(2)30"/>
      <sheetName val="DEFECTED_NOV30"/>
      <sheetName val="Cost_Input_Sheet30"/>
      <sheetName val="Bank_Recon_-_IDR30"/>
      <sheetName val="RWP_3329"/>
      <sheetName val="FOREX_0430"/>
      <sheetName val="FOREX_0330"/>
      <sheetName val="FOREX_04_audited30"/>
      <sheetName val="Data_Input30"/>
      <sheetName val="CUSTOMER_LOOKUP29"/>
      <sheetName val="Base_Data29"/>
      <sheetName val="TRADING_PROFIT29"/>
      <sheetName val="EB_PDT29"/>
      <sheetName val="ID_MENADO29"/>
      <sheetName val="Q120_AP_Aging30"/>
      <sheetName val="Exc__Rate29"/>
      <sheetName val="EYAS_Standar29"/>
      <sheetName val="BAL_SHEET(2)29"/>
      <sheetName val="SUMMARY_29"/>
      <sheetName val="Content_329"/>
      <sheetName val="hutang_DPLK29"/>
      <sheetName val="Access_Radio_NL40029"/>
      <sheetName val="_INCOME_STATEMENT27"/>
      <sheetName val="BS-PL_Komersil_and_Fiskal29"/>
      <sheetName val="A2_1_CAJE31"/>
      <sheetName val="Front_Sheet29"/>
      <sheetName val="TB_IDR_Only29"/>
      <sheetName val="Breakdown_LF603_129"/>
      <sheetName val="Sheet_1_(2)29"/>
      <sheetName val="COA_BM29"/>
      <sheetName val="Check_Sheet29"/>
      <sheetName val="PLHO_Report29"/>
      <sheetName val="Rekap_Penj29"/>
      <sheetName val="Investasi_&amp;_depresiasi29"/>
      <sheetName val="Name_Map29"/>
      <sheetName val="Sheet1_(19)29"/>
      <sheetName val="Table_129"/>
      <sheetName val="Tax_comp29"/>
      <sheetName val="TWDV_over_NBV29"/>
      <sheetName val="Income_State29"/>
      <sheetName val="229_Accr_Exp29"/>
      <sheetName val="FL_&amp;_IC29"/>
      <sheetName val="TRAVEL_PLAN29"/>
      <sheetName val="Product_Requirement29"/>
      <sheetName val="Customer_List26"/>
      <sheetName val="Financial_Statement26"/>
      <sheetName val="Data_Submission29"/>
      <sheetName val="Lookup_Tables29"/>
      <sheetName val="HWL_(2)28"/>
      <sheetName val="99_10_1226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Other_charges_(income)26"/>
      <sheetName val="Stock_CIW26"/>
      <sheetName val="K_6DEPOSIT26"/>
      <sheetName val="GL_Items_MEI24"/>
      <sheetName val="lab_norge26"/>
      <sheetName val="L_I_-_ATY3"/>
      <sheetName val="S_e_p3"/>
      <sheetName val="M_a_r3"/>
      <sheetName val="Muebles_y_Enseres24"/>
      <sheetName val="Sch_24"/>
      <sheetName val="SAD_Conclusion26"/>
      <sheetName val="SAD_Schedule26"/>
      <sheetName val="Cruser_Sp7124"/>
      <sheetName val="E-9_3(PBC)24"/>
      <sheetName val="hitung_ulang_JEPANG24"/>
      <sheetName val="HO_Use24"/>
      <sheetName val="LOC_Score24"/>
      <sheetName val="BGT_Cashflow24"/>
      <sheetName val="ACT_Cashflow24"/>
      <sheetName val="BGT_Cashflow_24"/>
      <sheetName val="New_List24"/>
      <sheetName val="FE-1771$_P13"/>
      <sheetName val="Laba_Rugi24"/>
      <sheetName val="Pembelian_Aktiva24"/>
      <sheetName val="Beban_Operasi24"/>
      <sheetName val="Bgn-Ingg_PLANTATION4"/>
      <sheetName val="L_BA_blok4"/>
      <sheetName val="rincian_DO3"/>
      <sheetName val="Lamp_RPT0484"/>
      <sheetName val="Lamp_RPT0404"/>
      <sheetName val="00_received_in_0124"/>
      <sheetName val="Per_GL_J_a_n24"/>
      <sheetName val="7_224"/>
      <sheetName val="IPO_Proceed3"/>
      <sheetName val="Cap__Structure3"/>
      <sheetName val="OPNAME_SALES3"/>
      <sheetName val="DAT_FIS3"/>
      <sheetName val="DAT_KOM3"/>
      <sheetName val="fiscal_depr(E)3"/>
      <sheetName val="Indirects_Actuals3"/>
      <sheetName val="gg_13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Cockpit_23"/>
      <sheetName val="Cons_I3"/>
      <sheetName val="Cons_II3"/>
      <sheetName val="CONS_OPAT3"/>
      <sheetName val="RONOA_tree3"/>
      <sheetName val="Training_-_Action_List3"/>
      <sheetName val="Listes_de_Sélection3"/>
      <sheetName val="Company_Consol_(R)3"/>
      <sheetName val="COLLATERAL_CONTROL3"/>
      <sheetName val="1_13"/>
      <sheetName val="Name_List3"/>
      <sheetName val="V3_PMI_(revise)3"/>
      <sheetName val="I-PPh_Final3"/>
      <sheetName val="Trial_Balance_-_MARCH_20063"/>
      <sheetName val="101_0063"/>
      <sheetName val="Monthly_Recap63"/>
      <sheetName val="Chiet_tinh27"/>
      <sheetName val="Main_lead24"/>
      <sheetName val="TB_LAS13"/>
      <sheetName val="Assumptions_Sheet13"/>
      <sheetName val="15_-_BS,_IS_Level13"/>
      <sheetName val="Client_AJE13"/>
      <sheetName val="Biaya_Departemen13"/>
      <sheetName val="lr_treas12"/>
      <sheetName val="MK(W_L,D)ｺｽﾄ12"/>
      <sheetName val="Permanent_info31"/>
      <sheetName val="Basic_Information12"/>
      <sheetName val="K-9_Ok12"/>
      <sheetName val="FF-2_(1)12"/>
      <sheetName val="C_O_A12"/>
      <sheetName val="cons_workpapers12"/>
      <sheetName val="equity_of_abacus12"/>
      <sheetName val="J_1_Deffered_Landright3"/>
      <sheetName val="invt_jun03_(2)3"/>
      <sheetName val="A_u_g31"/>
      <sheetName val="FE-1770_P133"/>
      <sheetName val="FE-1770_P233"/>
      <sheetName val="FI-177O_P133"/>
      <sheetName val="FI-1770_P233"/>
      <sheetName val="Final_Tax33"/>
      <sheetName val="Irregular_Income33"/>
      <sheetName val="BS_final32"/>
      <sheetName val="Mine_Assumptions32"/>
      <sheetName val="VAT_out32"/>
      <sheetName val="K_1_1_1_HGU29"/>
      <sheetName val="Journal_Template32"/>
      <sheetName val="Rp_Banten31"/>
      <sheetName val="RMFE_0430"/>
      <sheetName val="trf_d-i31"/>
      <sheetName val="B_131"/>
      <sheetName val="RENCANA_KERJA32"/>
      <sheetName val="Main_Menu31"/>
      <sheetName val="K_2_130"/>
      <sheetName val="3__Neraca_dan_RL32"/>
      <sheetName val="Forecase_200431"/>
      <sheetName val="M-2_Adjusted31"/>
      <sheetName val="Internal_order30"/>
      <sheetName val="Professionals_Standard30"/>
      <sheetName val="ESG_local30"/>
      <sheetName val="Details_BS_YTD30"/>
      <sheetName val="Other_Current29"/>
      <sheetName val="Other_YTD29"/>
      <sheetName val="Detail_pg230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Exch_rate29"/>
      <sheetName val="BOQ_price30"/>
      <sheetName val="HBI_NCD29"/>
      <sheetName val="Table_Array29"/>
      <sheetName val="Income_Statement29"/>
      <sheetName val="oblig_Trad&amp;AFS29"/>
      <sheetName val="move_(2)30"/>
      <sheetName val="HBS_Credit_Detail29"/>
      <sheetName val="INV0299_(2)29"/>
      <sheetName val="DEFECTED_NOV29"/>
      <sheetName val="Cost_Input_Sheet29"/>
      <sheetName val="Bank_Recon_-_IDR29"/>
      <sheetName val="RWP_3328"/>
      <sheetName val="FOREX_0429"/>
      <sheetName val="FOREX_0329"/>
      <sheetName val="FOREX_04_audited29"/>
      <sheetName val="Data_Input29"/>
      <sheetName val="CUSTOMER_LOOKUP28"/>
      <sheetName val="Base_Data28"/>
      <sheetName val="TRADING_PROFIT28"/>
      <sheetName val="EB_PDT28"/>
      <sheetName val="ID_MENADO28"/>
      <sheetName val="Q120_AP_Aging29"/>
      <sheetName val="Exc__Rate28"/>
      <sheetName val="EYAS_Standar28"/>
      <sheetName val="BAL_SHEET(2)28"/>
      <sheetName val="SUMMARY_28"/>
      <sheetName val="Content_328"/>
      <sheetName val="hutang_DPLK28"/>
      <sheetName val="Access_Radio_NL40028"/>
      <sheetName val="_INCOME_STATEMENT26"/>
      <sheetName val="BS-PL_Komersil_and_Fiskal28"/>
      <sheetName val="A2_1_CAJE30"/>
      <sheetName val="Front_Sheet28"/>
      <sheetName val="TB_IDR_Only28"/>
      <sheetName val="Breakdown_LF603_128"/>
      <sheetName val="Sheet_1_(2)28"/>
      <sheetName val="COA_BM28"/>
      <sheetName val="Check_Sheet28"/>
      <sheetName val="PLHO_Report28"/>
      <sheetName val="Rekap_Penj28"/>
      <sheetName val="Investasi_&amp;_depresiasi28"/>
      <sheetName val="Name_Map28"/>
      <sheetName val="Sheet1_(19)28"/>
      <sheetName val="Table_128"/>
      <sheetName val="Tax_comp28"/>
      <sheetName val="TWDV_over_NBV28"/>
      <sheetName val="Income_State28"/>
      <sheetName val="229_Accr_Exp28"/>
      <sheetName val="FL_&amp;_IC28"/>
      <sheetName val="TRAVEL_PLAN28"/>
      <sheetName val="Product_Requirement28"/>
      <sheetName val="Customer_List25"/>
      <sheetName val="Financial_Statement25"/>
      <sheetName val="Data_Submission28"/>
      <sheetName val="Lookup_Tables28"/>
      <sheetName val="HWL_(2)27"/>
      <sheetName val="99_10_1225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Other_charges_(income)25"/>
      <sheetName val="Stock_CIW25"/>
      <sheetName val="K_6DEPOSIT25"/>
      <sheetName val="GL_Items_MEI23"/>
      <sheetName val="lab_norge25"/>
      <sheetName val="L_I_-_ATY2"/>
      <sheetName val="S_e_p2"/>
      <sheetName val="M_a_r2"/>
      <sheetName val="Muebles_y_Enseres23"/>
      <sheetName val="Sch_23"/>
      <sheetName val="SAD_Conclusion25"/>
      <sheetName val="SAD_Schedule25"/>
      <sheetName val="Cruser_Sp7123"/>
      <sheetName val="E-9_3(PBC)23"/>
      <sheetName val="hitung_ulang_JEPANG23"/>
      <sheetName val="HO_Use23"/>
      <sheetName val="LOC_Score23"/>
      <sheetName val="BGT_Cashflow23"/>
      <sheetName val="ACT_Cashflow23"/>
      <sheetName val="BGT_Cashflow_23"/>
      <sheetName val="New_List23"/>
      <sheetName val="FE-1771$_P12"/>
      <sheetName val="Laba_Rugi23"/>
      <sheetName val="Pembelian_Aktiva23"/>
      <sheetName val="Beban_Operasi23"/>
      <sheetName val="Bgn-Ingg_PLANTATION3"/>
      <sheetName val="L_BA_blok3"/>
      <sheetName val="rincian_DO2"/>
      <sheetName val="Lamp_RPT0483"/>
      <sheetName val="Lamp_RPT0403"/>
      <sheetName val="00_received_in_0123"/>
      <sheetName val="Per_GL_J_a_n23"/>
      <sheetName val="7_223"/>
      <sheetName val="IPO_Proceed2"/>
      <sheetName val="Cap__Structure2"/>
      <sheetName val="OPNAME_SALES2"/>
      <sheetName val="DAT_FIS2"/>
      <sheetName val="DAT_KOM2"/>
      <sheetName val="fiscal_depr(E)2"/>
      <sheetName val="Indirects_Actuals2"/>
      <sheetName val="gg_12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COLLATERAL_CONTROL2"/>
      <sheetName val="1_12"/>
      <sheetName val="Name_List2"/>
      <sheetName val="V3_PMI_(revise)2"/>
      <sheetName val="I-PPh_Final2"/>
      <sheetName val="Trial_Balance_-_MARCH_20062"/>
      <sheetName val="DailyOvertime"/>
      <sheetName val="Agu"/>
      <sheetName val="Apr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KAS $"/>
      <sheetName val="Account Code"/>
      <sheetName val="KAS_$"/>
      <sheetName val="Account_Code"/>
      <sheetName val="Aspek Operasional"/>
      <sheetName val="Historis"/>
      <sheetName val="MAP 2012"/>
      <sheetName val="MAP 2013"/>
      <sheetName val="MAP 2013 Operasional"/>
      <sheetName val="C.2 CASH"/>
      <sheetName val="1105-B&amp;I-OK"/>
      <sheetName val="Sheet3"/>
      <sheetName val="PF-OFFICE"/>
      <sheetName val="PRO"/>
      <sheetName val="PMDN M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 refreshError="1"/>
      <sheetData sheetId="4250"/>
      <sheetData sheetId="4251" refreshError="1"/>
      <sheetData sheetId="4252" refreshError="1"/>
      <sheetData sheetId="4253" refreshError="1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/>
      <sheetData sheetId="5029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MK(7ｶ国+5,7,12万台)"/>
      <sheetName val="KURS"/>
      <sheetName val="SEP"/>
      <sheetName val="SELISIH_KURSSOURCE2"/>
      <sheetName val="Sheet1_(2)"/>
      <sheetName val="N_BANDING"/>
      <sheetName val="RL_BANDING"/>
      <sheetName val="Sheet2_(2)"/>
      <sheetName val="Sheet1_(3)"/>
      <sheetName val="SELISIH_KURSSOURCE21"/>
      <sheetName val="Sheet1_(2)1"/>
      <sheetName val="N_BANDING1"/>
      <sheetName val="RL_BANDING1"/>
      <sheetName val="Sheet2_(2)1"/>
      <sheetName val="Sheet1_(3)1"/>
      <sheetName val="Biaya Departemen"/>
      <sheetName val="Links"/>
      <sheetName val="leave"/>
      <sheetName val="2934"/>
      <sheetName val="MK(7??+5,7,12??)"/>
      <sheetName val="SELISIH_KURSSOURCE27"/>
      <sheetName val="Sheet1_(2)7"/>
      <sheetName val="N_BANDING7"/>
      <sheetName val="RL_BANDING7"/>
      <sheetName val="Sheet2_(2)7"/>
      <sheetName val="Sheet1_(3)7"/>
      <sheetName val="Biaya_Departemen5"/>
      <sheetName val="SELISIH_KURSSOURCE22"/>
      <sheetName val="Sheet1_(2)2"/>
      <sheetName val="N_BANDING2"/>
      <sheetName val="RL_BANDING2"/>
      <sheetName val="Sheet2_(2)2"/>
      <sheetName val="Sheet1_(3)2"/>
      <sheetName val="Biaya_Departemen"/>
      <sheetName val="SELISIH_KURSSOURCE24"/>
      <sheetName val="Sheet1_(2)4"/>
      <sheetName val="N_BANDING4"/>
      <sheetName val="RL_BANDING4"/>
      <sheetName val="Sheet2_(2)4"/>
      <sheetName val="Sheet1_(3)4"/>
      <sheetName val="Biaya_Departemen2"/>
      <sheetName val="SELISIH_KURSSOURCE23"/>
      <sheetName val="Sheet1_(2)3"/>
      <sheetName val="N_BANDING3"/>
      <sheetName val="RL_BANDING3"/>
      <sheetName val="Sheet2_(2)3"/>
      <sheetName val="Sheet1_(3)3"/>
      <sheetName val="Biaya_Departemen1"/>
      <sheetName val="SELISIH_KURSSOURCE25"/>
      <sheetName val="Sheet1_(2)5"/>
      <sheetName val="N_BANDING5"/>
      <sheetName val="RL_BANDING5"/>
      <sheetName val="Sheet2_(2)5"/>
      <sheetName val="Sheet1_(3)5"/>
      <sheetName val="Biaya_Departemen3"/>
      <sheetName val="SELISIH_KURSSOURCE26"/>
      <sheetName val="Sheet1_(2)6"/>
      <sheetName val="N_BANDING6"/>
      <sheetName val="RL_BANDING6"/>
      <sheetName val="Sheet2_(2)6"/>
      <sheetName val="Sheet1_(3)6"/>
      <sheetName val="Biaya_Departemen4"/>
      <sheetName val="SELISIH_KURSSOURCE210"/>
      <sheetName val="Sheet1_(2)10"/>
      <sheetName val="N_BANDING10"/>
      <sheetName val="RL_BANDING10"/>
      <sheetName val="Sheet2_(2)10"/>
      <sheetName val="Sheet1_(3)10"/>
      <sheetName val="Biaya_Departemen8"/>
      <sheetName val="SELISIH_KURSSOURCE28"/>
      <sheetName val="Sheet1_(2)8"/>
      <sheetName val="N_BANDING8"/>
      <sheetName val="RL_BANDING8"/>
      <sheetName val="Sheet2_(2)8"/>
      <sheetName val="Sheet1_(3)8"/>
      <sheetName val="Biaya_Departemen6"/>
      <sheetName val="SELISIH_KURSSOURCE29"/>
      <sheetName val="Sheet1_(2)9"/>
      <sheetName val="N_BANDING9"/>
      <sheetName val="RL_BANDING9"/>
      <sheetName val="Sheet2_(2)9"/>
      <sheetName val="Sheet1_(3)9"/>
      <sheetName val="Biaya_Departemen7"/>
      <sheetName val="FKT_PJK"/>
      <sheetName val="SELISIH_KURSSOURCE213"/>
      <sheetName val="Sheet1_(2)13"/>
      <sheetName val="N_BANDING13"/>
      <sheetName val="RL_BANDING13"/>
      <sheetName val="Sheet2_(2)13"/>
      <sheetName val="Sheet1_(3)13"/>
      <sheetName val="Biaya_Departemen11"/>
      <sheetName val="SELISIH_KURSSOURCE212"/>
      <sheetName val="Sheet1_(2)12"/>
      <sheetName val="N_BANDING12"/>
      <sheetName val="RL_BANDING12"/>
      <sheetName val="Sheet2_(2)12"/>
      <sheetName val="Sheet1_(3)12"/>
      <sheetName val="Biaya_Departemen10"/>
      <sheetName val="SELISIH_KURSSOURCE211"/>
      <sheetName val="Sheet1_(2)11"/>
      <sheetName val="N_BANDING11"/>
      <sheetName val="RL_BANDING11"/>
      <sheetName val="Sheet2_(2)11"/>
      <sheetName val="Sheet1_(3)11"/>
      <sheetName val="Biaya_Departemen9"/>
      <sheetName val="MK(7__+5,7,12__)"/>
      <sheetName val="JAn&amp;Feb Source"/>
      <sheetName val="SELISIH_KURSSOURCE214"/>
      <sheetName val="Sheet1_(2)14"/>
      <sheetName val="N_BANDING14"/>
      <sheetName val="RL_BANDING14"/>
      <sheetName val="Sheet2_(2)14"/>
      <sheetName val="Sheet1_(3)14"/>
      <sheetName val="Biaya_Departemen12"/>
      <sheetName val="FirstSheetMapping"/>
      <sheetName val="Company Code"/>
      <sheetName val="Internal Account Code"/>
      <sheetName val="month"/>
      <sheetName val="WBS"/>
      <sheetName val="Data"/>
      <sheetName val="SORTED"/>
      <sheetName val="Persed"/>
      <sheetName val="602 LEDGER"/>
      <sheetName val="COA (2)"/>
      <sheetName val="P&amp;L98"/>
      <sheetName val="SELISIH_KURSSOURCE215"/>
      <sheetName val="Sheet1_(2)15"/>
      <sheetName val="N_BANDING15"/>
      <sheetName val="RL_BANDING15"/>
      <sheetName val="Sheet2_(2)15"/>
      <sheetName val="Sheet1_(3)15"/>
      <sheetName val="Biaya_Departemen13"/>
      <sheetName val="JAn&amp;Feb_Source"/>
      <sheetName val="Company_Code"/>
      <sheetName val="Internal_Account_Code"/>
      <sheetName val="LP-PENJ-EKSKUTIF-LP-2"/>
      <sheetName val="Basic Information"/>
      <sheetName val="Basic_Information"/>
      <sheetName val="15 - BS, IS Level"/>
      <sheetName val="DH_RI_SI Exceptions"/>
      <sheetName val="a"/>
      <sheetName val="IDR"/>
      <sheetName val="Ex_Rate"/>
      <sheetName val="Marshal"/>
      <sheetName val="10"/>
      <sheetName val="Master File (2)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Key Updates"/>
      <sheetName val="Interns-PaySlip IDR"/>
      <sheetName val="Office-PaySlip IDR"/>
      <sheetName val="LO-PaySlip IDR"/>
      <sheetName val="PaySlip USD"/>
      <sheetName val="Calc"/>
      <sheetName val="Monthly Recap"/>
      <sheetName val="Monthly RecapLO"/>
      <sheetName val="Table"/>
      <sheetName val="JamsostekSep08"/>
      <sheetName val="Rapel"/>
      <sheetName val="Basic_Information1"/>
      <sheetName val="M_Maincomp"/>
      <sheetName val="Menu"/>
      <sheetName val="ledger02"/>
      <sheetName val="Parameters"/>
      <sheetName val="T1"/>
      <sheetName val="JVFORM"/>
      <sheetName val="Benchmark"/>
      <sheetName val="SELISIH_KURSSOURCE216"/>
      <sheetName val="Sheet1_(2)16"/>
      <sheetName val="N_BANDING16"/>
      <sheetName val="RL_BANDING16"/>
      <sheetName val="Sheet2_(2)16"/>
      <sheetName val="Sheet1_(3)16"/>
      <sheetName val="Biaya_Departemen14"/>
      <sheetName val="JAn&amp;Feb_Source1"/>
      <sheetName val="Company_Code1"/>
      <sheetName val="Internal_Account_Code1"/>
      <sheetName val="NOTHIT"/>
      <sheetName val="data (2)"/>
      <sheetName val="Resume"/>
      <sheetName val="602_LEDGER"/>
      <sheetName val="COA_(2)"/>
      <sheetName val="DH_RI_SI_Exceptions"/>
      <sheetName val="15_-_BS,_IS_Level"/>
      <sheetName val="SELISIH_KURSSOURCE217"/>
      <sheetName val="Sheet1_(2)17"/>
      <sheetName val="N_BANDING17"/>
      <sheetName val="RL_BANDING17"/>
      <sheetName val="Sheet2_(2)17"/>
      <sheetName val="Sheet1_(3)17"/>
      <sheetName val="Biaya_Departemen15"/>
      <sheetName val="JAn&amp;Feb_Source2"/>
      <sheetName val="Company_Code2"/>
      <sheetName val="Internal_Account_Code2"/>
      <sheetName val="602_LEDGER1"/>
      <sheetName val="COA_(2)1"/>
      <sheetName val="Basic_Information2"/>
      <sheetName val="DH_RI_SI_Exceptions1"/>
      <sheetName val="15_-_BS,_IS_Level1"/>
      <sheetName val="SELISIH_KURSSOURCE218"/>
      <sheetName val="Sheet1_(2)18"/>
      <sheetName val="N_BANDING18"/>
      <sheetName val="RL_BANDING18"/>
      <sheetName val="Sheet2_(2)18"/>
      <sheetName val="Sheet1_(3)18"/>
      <sheetName val="Biaya_Departemen16"/>
      <sheetName val="JAn&amp;Feb_Source3"/>
      <sheetName val="Company_Code3"/>
      <sheetName val="Internal_Account_Code3"/>
      <sheetName val="602_LEDGER2"/>
      <sheetName val="COA_(2)2"/>
      <sheetName val="Basic_Information3"/>
      <sheetName val="DH_RI_SI_Exceptions2"/>
      <sheetName val="15_-_BS,_IS_Level2"/>
      <sheetName val="SELISIH_KURSSOURCE219"/>
      <sheetName val="Sheet1_(2)19"/>
      <sheetName val="N_BANDING19"/>
      <sheetName val="RL_BANDING19"/>
      <sheetName val="Sheet2_(2)19"/>
      <sheetName val="Sheet1_(3)19"/>
      <sheetName val="Biaya_Departemen17"/>
      <sheetName val="JAn&amp;Feb_Source4"/>
      <sheetName val="Company_Code4"/>
      <sheetName val="Internal_Account_Code4"/>
      <sheetName val="602_LEDGER3"/>
      <sheetName val="COA_(2)3"/>
      <sheetName val="Basic_Information4"/>
      <sheetName val="DH_RI_SI_Exceptions3"/>
      <sheetName val="15_-_BS,_IS_Level3"/>
      <sheetName val="SELISIH_KURSSOURCE223"/>
      <sheetName val="Sheet1_(2)23"/>
      <sheetName val="N_BANDING23"/>
      <sheetName val="RL_BANDING23"/>
      <sheetName val="Sheet2_(2)23"/>
      <sheetName val="Sheet1_(3)23"/>
      <sheetName val="Biaya_Departemen21"/>
      <sheetName val="JAn&amp;Feb_Source8"/>
      <sheetName val="Company_Code8"/>
      <sheetName val="Internal_Account_Code8"/>
      <sheetName val="602_LEDGER7"/>
      <sheetName val="COA_(2)7"/>
      <sheetName val="Basic_Information8"/>
      <sheetName val="DH_RI_SI_Exceptions7"/>
      <sheetName val="15_-_BS,_IS_Level7"/>
      <sheetName val="SELISIH_KURSSOURCE220"/>
      <sheetName val="Sheet1_(2)20"/>
      <sheetName val="N_BANDING20"/>
      <sheetName val="RL_BANDING20"/>
      <sheetName val="Sheet2_(2)20"/>
      <sheetName val="Sheet1_(3)20"/>
      <sheetName val="Biaya_Departemen18"/>
      <sheetName val="JAn&amp;Feb_Source5"/>
      <sheetName val="Company_Code5"/>
      <sheetName val="Internal_Account_Code5"/>
      <sheetName val="602_LEDGER4"/>
      <sheetName val="COA_(2)4"/>
      <sheetName val="Basic_Information5"/>
      <sheetName val="DH_RI_SI_Exceptions4"/>
      <sheetName val="15_-_BS,_IS_Level4"/>
      <sheetName val="SELISIH_KURSSOURCE221"/>
      <sheetName val="Sheet1_(2)21"/>
      <sheetName val="N_BANDING21"/>
      <sheetName val="RL_BANDING21"/>
      <sheetName val="Sheet2_(2)21"/>
      <sheetName val="Sheet1_(3)21"/>
      <sheetName val="Biaya_Departemen19"/>
      <sheetName val="JAn&amp;Feb_Source6"/>
      <sheetName val="Company_Code6"/>
      <sheetName val="Internal_Account_Code6"/>
      <sheetName val="602_LEDGER5"/>
      <sheetName val="COA_(2)5"/>
      <sheetName val="Basic_Information6"/>
      <sheetName val="DH_RI_SI_Exceptions5"/>
      <sheetName val="15_-_BS,_IS_Level5"/>
      <sheetName val="SELISIH_KURSSOURCE222"/>
      <sheetName val="Sheet1_(2)22"/>
      <sheetName val="N_BANDING22"/>
      <sheetName val="RL_BANDING22"/>
      <sheetName val="Sheet2_(2)22"/>
      <sheetName val="Sheet1_(3)22"/>
      <sheetName val="Biaya_Departemen20"/>
      <sheetName val="JAn&amp;Feb_Source7"/>
      <sheetName val="Company_Code7"/>
      <sheetName val="Internal_Account_Code7"/>
      <sheetName val="602_LEDGER6"/>
      <sheetName val="COA_(2)6"/>
      <sheetName val="Basic_Information7"/>
      <sheetName val="DH_RI_SI_Exceptions6"/>
      <sheetName val="15_-_BS,_IS_Level6"/>
      <sheetName val="SELISIH_KURSSOURCE224"/>
      <sheetName val="Sheet1_(2)24"/>
      <sheetName val="N_BANDING24"/>
      <sheetName val="RL_BANDING24"/>
      <sheetName val="Sheet2_(2)24"/>
      <sheetName val="Sheet1_(3)24"/>
      <sheetName val="Biaya_Departemen22"/>
      <sheetName val="JAn&amp;Feb_Source9"/>
      <sheetName val="Company_Code9"/>
      <sheetName val="Internal_Account_Code9"/>
      <sheetName val="602_LEDGER8"/>
      <sheetName val="COA_(2)8"/>
      <sheetName val="Basic_Information9"/>
      <sheetName val="DH_RI_SI_Exceptions8"/>
      <sheetName val="15_-_BS,_IS_Level8"/>
      <sheetName val="SELISIH_KURSSOURCE225"/>
      <sheetName val="Sheet1_(2)25"/>
      <sheetName val="N_BANDING25"/>
      <sheetName val="RL_BANDING25"/>
      <sheetName val="Sheet2_(2)25"/>
      <sheetName val="Sheet1_(3)25"/>
      <sheetName val="Biaya_Departemen23"/>
      <sheetName val="JAn&amp;Feb_Source10"/>
      <sheetName val="Company_Code10"/>
      <sheetName val="Internal_Account_Code10"/>
      <sheetName val="602_LEDGER9"/>
      <sheetName val="COA_(2)9"/>
      <sheetName val="Basic_Information10"/>
      <sheetName val="DH_RI_SI_Exceptions9"/>
      <sheetName val="15_-_BS,_IS_Level9"/>
      <sheetName val="1 - B1 (KBIs)"/>
      <sheetName val="LabaRugi"/>
      <sheetName val="Labor"/>
      <sheetName val="adj"/>
      <sheetName val="BBM-03"/>
      <sheetName val="PO ADM"/>
      <sheetName val="RIG 134-ASSETS APR 97"/>
      <sheetName val="RIG 027-ASSETS-AFTER 30 JUN 97"/>
      <sheetName val="GeneralInfo"/>
      <sheetName val="Daftar"/>
      <sheetName val="BS-PL Komersil and Fiskal"/>
      <sheetName val="Account Code"/>
      <sheetName val="DEPK2003"/>
      <sheetName val="INFO"/>
      <sheetName val="B28(old versio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abel Data"/>
      <sheetName val="Pivot Voucher"/>
      <sheetName val="Pivot Transfer Internal"/>
      <sheetName val="Stock Tangki"/>
      <sheetName val="Penerimaan"/>
      <sheetName val="Voucher"/>
      <sheetName val="Form Loader"/>
      <sheetName val="Langsir antar Site"/>
      <sheetName val="Transfer Internal"/>
      <sheetName val="External Pinjam"/>
      <sheetName val="BDMS Pinjam"/>
      <sheetName val="Sounding Pagi"/>
      <sheetName val="Rekap Stock"/>
      <sheetName val="Cek Kontraktor"/>
      <sheetName val="Report Unit"/>
      <sheetName val="Stock BTLD-MRB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abel Data"/>
      <sheetName val="Pivot Voucher"/>
      <sheetName val="Pivot Transfer Internal"/>
      <sheetName val="Stock Tangki"/>
      <sheetName val="Penerimaan"/>
      <sheetName val="Voucher"/>
      <sheetName val="Form Loader"/>
      <sheetName val="Langsir antar Site"/>
      <sheetName val="Transfer Internal"/>
      <sheetName val="External Pinjam"/>
      <sheetName val="BDMS Pinjam"/>
      <sheetName val="Sounding Pagi"/>
      <sheetName val="Rekap Stock"/>
      <sheetName val="Cek Kontraktor"/>
      <sheetName val="Report Unit"/>
      <sheetName val="Stock BTLD-MRB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G 027-ASSETS-APR97"/>
      <sheetName val="RIG 027-ASSETS-AFTER 30 JUN 97"/>
      <sheetName val="RIG 134-ASSETS APR 97"/>
      <sheetName val="RIG 027_ASSETS_AFTER 30 JUN 97"/>
      <sheetName val="RIG 134_ASSETS APR 97"/>
      <sheetName val="Table Array"/>
      <sheetName val="july"/>
      <sheetName val="june"/>
      <sheetName val="RIG_027-ASSETS-APR97"/>
      <sheetName val="RIG_027-ASSETS-AFTER_30_JUN_97"/>
      <sheetName val="RIG_134-ASSETS_APR_97"/>
      <sheetName val="RIG_027_ASSETS_AFTER_30_JUN_97"/>
      <sheetName val="RIG_134_ASSETS_APR_97"/>
      <sheetName val="RIG_027-ASSETS-APR971"/>
      <sheetName val="RIG_027-ASSETS-AFTER_30_JUN_971"/>
      <sheetName val="RIG_134-ASSETS_APR_971"/>
      <sheetName val="RIG_027_ASSETS_AFTER_30_JUN_971"/>
      <sheetName val="RIG_134_ASSETS_APR_971"/>
      <sheetName val="Table_Array"/>
      <sheetName val="412src2"/>
      <sheetName val="GeneralInfo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RIG_027-ASSETS-APR977"/>
      <sheetName val="RIG_027-ASSETS-AFTER_30_JUN_977"/>
      <sheetName val="RIG_134-ASSETS_APR_977"/>
      <sheetName val="RIG_027_ASSETS_AFTER_30_JUN_977"/>
      <sheetName val="RIG_134_ASSETS_APR_977"/>
      <sheetName val="Table_Array6"/>
      <sheetName val="RIG_027-ASSETS-APR972"/>
      <sheetName val="RIG_027-ASSETS-AFTER_30_JUN_972"/>
      <sheetName val="RIG_134-ASSETS_APR_972"/>
      <sheetName val="RIG_027_ASSETS_AFTER_30_JUN_972"/>
      <sheetName val="RIG_134_ASSETS_APR_972"/>
      <sheetName val="Table_Array1"/>
      <sheetName val="RIG_027-ASSETS-APR974"/>
      <sheetName val="RIG_027-ASSETS-AFTER_30_JUN_974"/>
      <sheetName val="RIG_134-ASSETS_APR_974"/>
      <sheetName val="RIG_027_ASSETS_AFTER_30_JUN_974"/>
      <sheetName val="RIG_134_ASSETS_APR_974"/>
      <sheetName val="Table_Array3"/>
      <sheetName val="RIG_027-ASSETS-APR973"/>
      <sheetName val="RIG_027-ASSETS-AFTER_30_JUN_973"/>
      <sheetName val="RIG_134-ASSETS_APR_973"/>
      <sheetName val="RIG_027_ASSETS_AFTER_30_JUN_973"/>
      <sheetName val="RIG_134_ASSETS_APR_973"/>
      <sheetName val="Table_Array2"/>
      <sheetName val="RIG_027-ASSETS-APR975"/>
      <sheetName val="RIG_027-ASSETS-AFTER_30_JUN_975"/>
      <sheetName val="RIG_134-ASSETS_APR_975"/>
      <sheetName val="RIG_027_ASSETS_AFTER_30_JUN_975"/>
      <sheetName val="RIG_134_ASSETS_APR_975"/>
      <sheetName val="Table_Array4"/>
      <sheetName val="RIG_027-ASSETS-APR976"/>
      <sheetName val="RIG_027-ASSETS-AFTER_30_JUN_976"/>
      <sheetName val="RIG_134-ASSETS_APR_976"/>
      <sheetName val="RIG_027_ASSETS_AFTER_30_JUN_976"/>
      <sheetName val="RIG_134_ASSETS_APR_976"/>
      <sheetName val="Table_Array5"/>
      <sheetName val="RIG_027-ASSETS-APR9710"/>
      <sheetName val="RIG_027-ASSETS-AFTER_30_JUN_910"/>
      <sheetName val="RIG_134-ASSETS_APR_9710"/>
      <sheetName val="RIG_027_ASSETS_AFTER_30_JUN_910"/>
      <sheetName val="RIG_134_ASSETS_APR_9710"/>
      <sheetName val="Table_Array9"/>
      <sheetName val="RIG_027-ASSETS-APR978"/>
      <sheetName val="RIG_027-ASSETS-AFTER_30_JUN_978"/>
      <sheetName val="RIG_134-ASSETS_APR_978"/>
      <sheetName val="RIG_027_ASSETS_AFTER_30_JUN_978"/>
      <sheetName val="RIG_134_ASSETS_APR_978"/>
      <sheetName val="Table_Array7"/>
      <sheetName val="RIG_027-ASSETS-APR979"/>
      <sheetName val="RIG_027-ASSETS-AFTER_30_JUN_979"/>
      <sheetName val="RIG_134-ASSETS_APR_979"/>
      <sheetName val="RIG_027_ASSETS_AFTER_30_JUN_979"/>
      <sheetName val="RIG_134_ASSETS_APR_979"/>
      <sheetName val="Table_Array8"/>
      <sheetName val="RIG_027-ASSETS-APR9713"/>
      <sheetName val="RIG_027-ASSETS-AFTER_30_JUN_913"/>
      <sheetName val="RIG_134-ASSETS_APR_9713"/>
      <sheetName val="RIG_027_ASSETS_AFTER_30_JUN_913"/>
      <sheetName val="RIG_134_ASSETS_APR_9713"/>
      <sheetName val="Table_Array12"/>
      <sheetName val="RIG_027-ASSETS-APR9712"/>
      <sheetName val="RIG_027-ASSETS-AFTER_30_JUN_912"/>
      <sheetName val="RIG_134-ASSETS_APR_9712"/>
      <sheetName val="RIG_027_ASSETS_AFTER_30_JUN_912"/>
      <sheetName val="RIG_134_ASSETS_APR_9712"/>
      <sheetName val="Table_Array11"/>
      <sheetName val="RIG_027-ASSETS-APR9711"/>
      <sheetName val="RIG_027-ASSETS-AFTER_30_JUN_911"/>
      <sheetName val="RIG_134-ASSETS_APR_9711"/>
      <sheetName val="RIG_027_ASSETS_AFTER_30_JUN_911"/>
      <sheetName val="RIG_134_ASSETS_APR_9711"/>
      <sheetName val="Table_Array10"/>
      <sheetName val="RIG_027-ASSETS-APR9714"/>
      <sheetName val="RIG_027-ASSETS-AFTER_30_JUN_914"/>
      <sheetName val="RIG_134-ASSETS_APR_9714"/>
      <sheetName val="RIG_027_ASSETS_AFTER_30_JUN_914"/>
      <sheetName val="RIG_134_ASSETS_APR_9714"/>
      <sheetName val="Table_Array13"/>
      <sheetName val="CODE"/>
      <sheetName val="Monthly Recap"/>
      <sheetName val="Rates"/>
      <sheetName val="JVFORM"/>
      <sheetName val="412"/>
      <sheetName val="SELISIHKURSSOURCE"/>
      <sheetName val="Invoice"/>
      <sheetName val="Customize Your Invoice"/>
      <sheetName val="Company Code"/>
      <sheetName val="Internal Account Code"/>
      <sheetName val="month"/>
      <sheetName val="Input Areas"/>
      <sheetName val="UK GAAP Adjustments"/>
      <sheetName val="UK GAAP Purchase Price"/>
      <sheetName val="P&amp;L98"/>
      <sheetName val="RIG_027-ASSETS-APR9715"/>
      <sheetName val="RIG_027-ASSETS-AFTER_30_JUN_915"/>
      <sheetName val="RIG_134-ASSETS_APR_9715"/>
      <sheetName val="RIG_027_ASSETS_AFTER_30_JUN_915"/>
      <sheetName val="RIG_134_ASSETS_APR_9715"/>
      <sheetName val="Table_Array14"/>
      <sheetName val="Monthly_Recap"/>
      <sheetName val="Company_Code"/>
      <sheetName val="Internal_Account_Code"/>
      <sheetName val="Customize_Your_Invoice"/>
      <sheetName val="VLOOKUP"/>
      <sheetName val="Account Payable"/>
      <sheetName val="Revenue (10)"/>
      <sheetName val="Loan"/>
      <sheetName val="Fin Exp"/>
      <sheetName val="EXP0905"/>
      <sheetName val="Sites"/>
      <sheetName val="HK Rawat"/>
      <sheetName val="Transport "/>
      <sheetName val="Biaya Departemen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Links"/>
      <sheetName val="Permanent info"/>
      <sheetName val="101.00"/>
      <sheetName val="Trial Balance - MARCH 2006"/>
      <sheetName val="L4-Info"/>
      <sheetName val="Lookups"/>
      <sheetName val="RIG_027-ASSETS-APR9716"/>
      <sheetName val="RIG_027-ASSETS-AFTER_30_JUN_916"/>
      <sheetName val="RIG_134-ASSETS_APR_9716"/>
      <sheetName val="RIG_027_ASSETS_AFTER_30_JUN_916"/>
      <sheetName val="RIG_134_ASSETS_APR_9716"/>
      <sheetName val="Table_Array15"/>
      <sheetName val="Monthly_Recap1"/>
      <sheetName val="Start"/>
      <sheetName val="Texte"/>
      <sheetName val="sumdepn01"/>
      <sheetName val="conversion table"/>
      <sheetName val="Monthly RecapLO"/>
      <sheetName val="Company_Code1"/>
      <sheetName val="Internal_Account_Code1"/>
      <sheetName val="Customize_Your_Invoice1"/>
      <sheetName val="Input_Areas"/>
      <sheetName val="UK_GAAP_Adjustments"/>
      <sheetName val="UK_GAAP_Purchase_Price"/>
      <sheetName val="HK_Rawat"/>
      <sheetName val="Account_Payable"/>
      <sheetName val="Revenue_(10)"/>
      <sheetName val="Fin_Exp"/>
      <sheetName val="RIG_027-ASSETS-APR9717"/>
      <sheetName val="RIG_027-ASSETS-AFTER_30_JUN_917"/>
      <sheetName val="RIG_134-ASSETS_APR_9717"/>
      <sheetName val="RIG_027_ASSETS_AFTER_30_JUN_917"/>
      <sheetName val="RIG_134_ASSETS_APR_9717"/>
      <sheetName val="Table_Array16"/>
      <sheetName val="Monthly_Recap2"/>
      <sheetName val="Company_Code2"/>
      <sheetName val="Internal_Account_Code2"/>
      <sheetName val="Customize_Your_Invoice2"/>
      <sheetName val="Input_Areas1"/>
      <sheetName val="UK_GAAP_Adjustments1"/>
      <sheetName val="UK_GAAP_Purchase_Price1"/>
      <sheetName val="HK_Rawat1"/>
      <sheetName val="Account_Payable1"/>
      <sheetName val="Revenue_(10)1"/>
      <sheetName val="Fin_Exp1"/>
      <sheetName val="RIG_027-ASSETS-APR9718"/>
      <sheetName val="RIG_027-ASSETS-AFTER_30_JUN_918"/>
      <sheetName val="RIG_134-ASSETS_APR_9718"/>
      <sheetName val="RIG_027_ASSETS_AFTER_30_JUN_918"/>
      <sheetName val="RIG_134_ASSETS_APR_9718"/>
      <sheetName val="Table_Array17"/>
      <sheetName val="Monthly_Recap3"/>
      <sheetName val="Company_Code3"/>
      <sheetName val="Internal_Account_Code3"/>
      <sheetName val="Customize_Your_Invoice3"/>
      <sheetName val="Input_Areas2"/>
      <sheetName val="UK_GAAP_Adjustments2"/>
      <sheetName val="UK_GAAP_Purchase_Price2"/>
      <sheetName val="HK_Rawat2"/>
      <sheetName val="Account_Payable2"/>
      <sheetName val="Revenue_(10)2"/>
      <sheetName val="Fin_Exp2"/>
      <sheetName val="RIG_027-ASSETS-APR9719"/>
      <sheetName val="RIG_027-ASSETS-AFTER_30_JUN_919"/>
      <sheetName val="RIG_134-ASSETS_APR_9719"/>
      <sheetName val="RIG_027_ASSETS_AFTER_30_JUN_919"/>
      <sheetName val="RIG_134_ASSETS_APR_9719"/>
      <sheetName val="Table_Array18"/>
      <sheetName val="Monthly_Recap4"/>
      <sheetName val="Company_Code4"/>
      <sheetName val="Internal_Account_Code4"/>
      <sheetName val="Customize_Your_Invoice4"/>
      <sheetName val="Input_Areas3"/>
      <sheetName val="UK_GAAP_Adjustments3"/>
      <sheetName val="UK_GAAP_Purchase_Price3"/>
      <sheetName val="HK_Rawat3"/>
      <sheetName val="Account_Payable3"/>
      <sheetName val="Revenue_(10)3"/>
      <sheetName val="Fin_Exp3"/>
      <sheetName val="RIG_027-ASSETS-APR9723"/>
      <sheetName val="RIG_027-ASSETS-AFTER_30_JUN_923"/>
      <sheetName val="RIG_134-ASSETS_APR_9723"/>
      <sheetName val="RIG_027_ASSETS_AFTER_30_JUN_923"/>
      <sheetName val="RIG_134_ASSETS_APR_9723"/>
      <sheetName val="Table_Array22"/>
      <sheetName val="Monthly_Recap8"/>
      <sheetName val="Company_Code8"/>
      <sheetName val="Internal_Account_Code8"/>
      <sheetName val="Customize_Your_Invoice8"/>
      <sheetName val="Input_Areas7"/>
      <sheetName val="UK_GAAP_Adjustments7"/>
      <sheetName val="UK_GAAP_Purchase_Price7"/>
      <sheetName val="HK_Rawat7"/>
      <sheetName val="Account_Payable7"/>
      <sheetName val="Revenue_(10)7"/>
      <sheetName val="Fin_Exp7"/>
      <sheetName val="RIG_027-ASSETS-APR9720"/>
      <sheetName val="RIG_027-ASSETS-AFTER_30_JUN_920"/>
      <sheetName val="RIG_134-ASSETS_APR_9720"/>
      <sheetName val="RIG_027_ASSETS_AFTER_30_JUN_920"/>
      <sheetName val="RIG_134_ASSETS_APR_9720"/>
      <sheetName val="Table_Array19"/>
      <sheetName val="Monthly_Recap5"/>
      <sheetName val="Company_Code5"/>
      <sheetName val="Internal_Account_Code5"/>
      <sheetName val="Customize_Your_Invoice5"/>
      <sheetName val="Input_Areas4"/>
      <sheetName val="UK_GAAP_Adjustments4"/>
      <sheetName val="UK_GAAP_Purchase_Price4"/>
      <sheetName val="HK_Rawat4"/>
      <sheetName val="Account_Payable4"/>
      <sheetName val="Revenue_(10)4"/>
      <sheetName val="Fin_Exp4"/>
      <sheetName val="RIG_027-ASSETS-APR9721"/>
      <sheetName val="RIG_027-ASSETS-AFTER_30_JUN_921"/>
      <sheetName val="RIG_134-ASSETS_APR_9721"/>
      <sheetName val="RIG_027_ASSETS_AFTER_30_JUN_921"/>
      <sheetName val="RIG_134_ASSETS_APR_9721"/>
      <sheetName val="Table_Array20"/>
      <sheetName val="Monthly_Recap6"/>
      <sheetName val="Company_Code6"/>
      <sheetName val="Internal_Account_Code6"/>
      <sheetName val="Customize_Your_Invoice6"/>
      <sheetName val="Input_Areas5"/>
      <sheetName val="UK_GAAP_Adjustments5"/>
      <sheetName val="UK_GAAP_Purchase_Price5"/>
      <sheetName val="HK_Rawat5"/>
      <sheetName val="Account_Payable5"/>
      <sheetName val="Revenue_(10)5"/>
      <sheetName val="Fin_Exp5"/>
      <sheetName val="RIG_027-ASSETS-APR9722"/>
      <sheetName val="RIG_027-ASSETS-AFTER_30_JUN_922"/>
      <sheetName val="RIG_134-ASSETS_APR_9722"/>
      <sheetName val="RIG_027_ASSETS_AFTER_30_JUN_922"/>
      <sheetName val="RIG_134_ASSETS_APR_9722"/>
      <sheetName val="Table_Array21"/>
      <sheetName val="Monthly_Recap7"/>
      <sheetName val="Company_Code7"/>
      <sheetName val="Internal_Account_Code7"/>
      <sheetName val="Customize_Your_Invoice7"/>
      <sheetName val="Input_Areas6"/>
      <sheetName val="UK_GAAP_Adjustments6"/>
      <sheetName val="UK_GAAP_Purchase_Price6"/>
      <sheetName val="HK_Rawat6"/>
      <sheetName val="Account_Payable6"/>
      <sheetName val="Revenue_(10)6"/>
      <sheetName val="Fin_Exp6"/>
      <sheetName val="RIG_027-ASSETS-APR9724"/>
      <sheetName val="RIG_027-ASSETS-AFTER_30_JUN_924"/>
      <sheetName val="RIG_134-ASSETS_APR_9724"/>
      <sheetName val="RIG_027_ASSETS_AFTER_30_JUN_924"/>
      <sheetName val="RIG_134_ASSETS_APR_9724"/>
      <sheetName val="Table_Array23"/>
      <sheetName val="Monthly_Recap9"/>
      <sheetName val="Company_Code9"/>
      <sheetName val="Internal_Account_Code9"/>
      <sheetName val="Customize_Your_Invoice9"/>
      <sheetName val="Input_Areas8"/>
      <sheetName val="UK_GAAP_Adjustments8"/>
      <sheetName val="UK_GAAP_Purchase_Price8"/>
      <sheetName val="HK_Rawat8"/>
      <sheetName val="Account_Payable8"/>
      <sheetName val="Revenue_(10)8"/>
      <sheetName val="Fin_Exp8"/>
      <sheetName val="RIG_027-ASSETS-APR9725"/>
      <sheetName val="RIG_027-ASSETS-AFTER_30_JUN_925"/>
      <sheetName val="RIG_134-ASSETS_APR_9725"/>
      <sheetName val="RIG_027_ASSETS_AFTER_30_JUN_925"/>
      <sheetName val="RIG_134_ASSETS_APR_9725"/>
      <sheetName val="Table_Array24"/>
      <sheetName val="Monthly_Recap10"/>
      <sheetName val="Company_Code10"/>
      <sheetName val="Internal_Account_Code10"/>
      <sheetName val="Customize_Your_Invoice10"/>
      <sheetName val="Input_Areas9"/>
      <sheetName val="UK_GAAP_Adjustments9"/>
      <sheetName val="UK_GAAP_Purchase_Price9"/>
      <sheetName val="HK_Rawat9"/>
      <sheetName val="Account_Payable9"/>
      <sheetName val="Revenue_(10)9"/>
      <sheetName val="Fin_Exp9"/>
      <sheetName val="Cover"/>
      <sheetName val="Administrator"/>
      <sheetName val="User"/>
      <sheetName val="OLDMAP"/>
      <sheetName val="10"/>
      <sheetName val="MK(7ｶ国+5,7,12万台)"/>
      <sheetName val="Table"/>
      <sheetName val="DailyOvertime"/>
      <sheetName val="DEPK2003"/>
      <sheetName val="std"/>
      <sheetName val="Monthly_RecapLO"/>
      <sheetName val="Permanent_info"/>
      <sheetName val="Setup"/>
      <sheetName val="koring (2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 refreshError="1"/>
      <sheetData sheetId="34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PGCOM USD"/>
      <sheetName val="SALES"/>
      <sheetName val="FDIN"/>
      <sheetName val="FDM"/>
      <sheetName val="FD Interconnect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EWINDO"/>
      <sheetName val="SANDEN"/>
      <sheetName val="REPORT-PR12 (2)"/>
      <sheetName val="SANWA"/>
      <sheetName val="REPORT-PR12"/>
      <sheetName val="Account Code"/>
      <sheetName val="JVC COMMISSION"/>
      <sheetName val="Table Arr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.sheet"/>
      <sheetName val="Comb"/>
      <sheetName val="TB"/>
      <sheetName val="Adj"/>
      <sheetName val="FOREX"/>
      <sheetName val="adjaudit"/>
      <sheetName val="Sales&amp;Purc&amp;Susp Merch."/>
      <sheetName val="Inward"/>
      <sheetName val="Outward"/>
      <sheetName val="TFFI 4th2"/>
      <sheetName val="TFFII 8th"/>
      <sheetName val="Building Improv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.4 Project Managem"/>
      <sheetName val="Constn &amp; Install - LEV.4"/>
    </sheetNames>
    <sheetDataSet>
      <sheetData sheetId="0"/>
      <sheetData sheetId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Attendance"/>
      <sheetName val="DailyOvertime"/>
      <sheetName val="SPL"/>
      <sheetName val="Monthly RecapLO"/>
      <sheetName val="Mo.Recap By Empl."/>
      <sheetName val="Schedule"/>
      <sheetName val="01.Period"/>
      <sheetName val="Table"/>
      <sheetName val="Sheet1"/>
      <sheetName val="Sheet2"/>
      <sheetName val="Table Array"/>
      <sheetName val="MK(7ｶ国+5,7,12万台)"/>
      <sheetName val="Links"/>
      <sheetName val="SELISIHKURSSOURCE"/>
      <sheetName val="412"/>
      <sheetName val="MK(7??+5,7,12??)"/>
      <sheetName val="Monthly_RecapLO"/>
      <sheetName val="Mo_Recap_By_Empl_"/>
      <sheetName val="01_Period"/>
      <sheetName val="Table_Array"/>
      <sheetName val="Monthly_RecapLO1"/>
      <sheetName val="Mo_Recap_By_Empl_1"/>
      <sheetName val="01_Period1"/>
      <sheetName val="Table_Array1"/>
      <sheetName val="Permanent info"/>
      <sheetName val="Adj"/>
      <sheetName val="Con"/>
      <sheetName val="412src2"/>
      <sheetName val="Ex_Rate"/>
      <sheetName val="tb"/>
      <sheetName val="Closing Rate"/>
      <sheetName val="proj10060"/>
      <sheetName val="Monthly_RecapLO2"/>
      <sheetName val="Mo_Recap_By_Empl_2"/>
      <sheetName val="01_Period2"/>
      <sheetName val="Table_Array2"/>
      <sheetName val="RIG 134-ASSETS APR 97"/>
      <sheetName val="RIG 027-ASSETS-AFTER 30 JUN 97"/>
      <sheetName val="MK(7__+5,7,12__)"/>
      <sheetName val="Marsh2008 (2)"/>
      <sheetName val="Mutasi-Marsh 2008 (1)"/>
      <sheetName val="Detail_FA"/>
      <sheetName val="Laba Kotor"/>
      <sheetName val="Monthly_RecapLO3"/>
      <sheetName val="Mo_Recap_By_Empl_3"/>
      <sheetName val="01_Period3"/>
      <sheetName val="Table_Array3"/>
      <sheetName val="Permanent_info"/>
      <sheetName val="Closing_Rate"/>
      <sheetName val="General Parameter"/>
      <sheetName val="101.00"/>
      <sheetName val="General_Parameter"/>
      <sheetName val="101_00"/>
      <sheetName val="General_Parameter1"/>
      <sheetName val="101_001"/>
      <sheetName val="General_Parameter2"/>
      <sheetName val="101_002"/>
      <sheetName val="General_Parameter3"/>
      <sheetName val="101_003"/>
      <sheetName val="Monthly_RecapLO4"/>
      <sheetName val="Mo_Recap_By_Empl_4"/>
      <sheetName val="01_Period4"/>
      <sheetName val="Table_Array4"/>
      <sheetName val="Permanent_info1"/>
      <sheetName val="Closing_Rate1"/>
      <sheetName val="RIG_134-ASSETS_APR_971"/>
      <sheetName val="RIG_027-ASSETS-AFTER_30_JUN_971"/>
      <sheetName val="Marsh2008_(2)1"/>
      <sheetName val="Mutasi-Marsh_2008_(1)1"/>
      <sheetName val="RIG_134-ASSETS_APR_97"/>
      <sheetName val="RIG_027-ASSETS-AFTER_30_JUN_97"/>
      <sheetName val="Marsh2008_(2)"/>
      <sheetName val="Mutasi-Marsh_2008_(1)"/>
      <sheetName val="Atur"/>
      <sheetName val="Invoice"/>
      <sheetName val="Customize Your Invoice"/>
      <sheetName val="Q2"/>
      <sheetName val="Accounts Payable (AA)"/>
      <sheetName val="10-1-1"/>
      <sheetName val="PF-OFFICE"/>
      <sheetName val="Projection 2007 Lampung"/>
      <sheetName val="Projection 2007 Medan"/>
      <sheetName val="Projection 2007 Pemalang"/>
      <sheetName val="Projection 2007 PSN"/>
      <sheetName val="Projection 2007 PSVN"/>
      <sheetName val="Projection 2007 Sulawesi"/>
      <sheetName val="P&amp;L"/>
      <sheetName val="Laba_Kotor"/>
      <sheetName val="Laba_Kotor1"/>
      <sheetName val="Monthly_RecapLO5"/>
      <sheetName val="Mo_Recap_By_Empl_5"/>
      <sheetName val="01_Period5"/>
      <sheetName val="Table_Array5"/>
      <sheetName val="Permanent_info2"/>
      <sheetName val="RIG_134-ASSETS_APR_972"/>
      <sheetName val="RIG_027-ASSETS-AFTER_30_JUN_972"/>
      <sheetName val="Closing_Rate2"/>
      <sheetName val="Marsh2008_(2)2"/>
      <sheetName val="Mutasi-Marsh_2008_(1)2"/>
      <sheetName val="Laba_Kotor2"/>
      <sheetName val="Monthly_RecapLO6"/>
      <sheetName val="Mo_Recap_By_Empl_6"/>
      <sheetName val="01_Period6"/>
      <sheetName val="Table_Array6"/>
      <sheetName val="Permanent_info3"/>
      <sheetName val="RIG_134-ASSETS_APR_973"/>
      <sheetName val="RIG_027-ASSETS-AFTER_30_JUN_973"/>
      <sheetName val="Closing_Rate3"/>
      <sheetName val="Marsh2008_(2)3"/>
      <sheetName val="Mutasi-Marsh_2008_(1)3"/>
      <sheetName val="Laba_Kotor3"/>
      <sheetName val="Monthly_RecapLO10"/>
      <sheetName val="Mo_Recap_By_Empl_10"/>
      <sheetName val="01_Period10"/>
      <sheetName val="Table_Array10"/>
      <sheetName val="Permanent_info7"/>
      <sheetName val="RIG_134-ASSETS_APR_977"/>
      <sheetName val="RIG_027-ASSETS-AFTER_30_JUN_977"/>
      <sheetName val="Closing_Rate7"/>
      <sheetName val="Marsh2008_(2)7"/>
      <sheetName val="Mutasi-Marsh_2008_(1)7"/>
      <sheetName val="Laba_Kotor7"/>
      <sheetName val="Monthly_RecapLO7"/>
      <sheetName val="Mo_Recap_By_Empl_7"/>
      <sheetName val="01_Period7"/>
      <sheetName val="Table_Array7"/>
      <sheetName val="Permanent_info4"/>
      <sheetName val="RIG_134-ASSETS_APR_974"/>
      <sheetName val="RIG_027-ASSETS-AFTER_30_JUN_974"/>
      <sheetName val="Closing_Rate4"/>
      <sheetName val="Marsh2008_(2)4"/>
      <sheetName val="Mutasi-Marsh_2008_(1)4"/>
      <sheetName val="Laba_Kotor4"/>
      <sheetName val="Monthly_RecapLO8"/>
      <sheetName val="Mo_Recap_By_Empl_8"/>
      <sheetName val="01_Period8"/>
      <sheetName val="Table_Array8"/>
      <sheetName val="Permanent_info5"/>
      <sheetName val="RIG_134-ASSETS_APR_975"/>
      <sheetName val="RIG_027-ASSETS-AFTER_30_JUN_975"/>
      <sheetName val="Closing_Rate5"/>
      <sheetName val="Marsh2008_(2)5"/>
      <sheetName val="Mutasi-Marsh_2008_(1)5"/>
      <sheetName val="Laba_Kotor5"/>
      <sheetName val="Monthly_RecapLO9"/>
      <sheetName val="Mo_Recap_By_Empl_9"/>
      <sheetName val="01_Period9"/>
      <sheetName val="Table_Array9"/>
      <sheetName val="Permanent_info6"/>
      <sheetName val="RIG_134-ASSETS_APR_976"/>
      <sheetName val="RIG_027-ASSETS-AFTER_30_JUN_976"/>
      <sheetName val="Closing_Rate6"/>
      <sheetName val="Marsh2008_(2)6"/>
      <sheetName val="Mutasi-Marsh_2008_(1)6"/>
      <sheetName val="Laba_Kotor6"/>
      <sheetName val="Monthly_RecapLO11"/>
      <sheetName val="Mo_Recap_By_Empl_11"/>
      <sheetName val="01_Period11"/>
      <sheetName val="Table_Array11"/>
      <sheetName val="Permanent_info8"/>
      <sheetName val="RIG_134-ASSETS_APR_978"/>
      <sheetName val="RIG_027-ASSETS-AFTER_30_JUN_978"/>
      <sheetName val="Closing_Rate8"/>
      <sheetName val="Marsh2008_(2)8"/>
      <sheetName val="Mutasi-Marsh_2008_(1)8"/>
      <sheetName val="Laba_Kotor8"/>
      <sheetName val="Monthly_RecapLO12"/>
      <sheetName val="Mo_Recap_By_Empl_12"/>
      <sheetName val="01_Period12"/>
      <sheetName val="Table_Array12"/>
      <sheetName val="Permanent_info9"/>
      <sheetName val="RIG_134-ASSETS_APR_979"/>
      <sheetName val="RIG_027-ASSETS-AFTER_30_JUN_979"/>
      <sheetName val="Closing_Rate9"/>
      <sheetName val="Marsh2008_(2)9"/>
      <sheetName val="Mutasi-Marsh_2008_(1)9"/>
      <sheetName val="Laba_Kotor9"/>
      <sheetName val="Account Code"/>
      <sheetName val="Monthly_RecapLO13"/>
      <sheetName val="Mo_Recap_By_Empl_13"/>
      <sheetName val="01_Period13"/>
      <sheetName val="Table_Array13"/>
      <sheetName val="Permanent_info10"/>
      <sheetName val="RIG_134-ASSETS_APR_9710"/>
      <sheetName val="RIG_027-ASSETS-AFTER_30_JUN_910"/>
      <sheetName val="Closing_Rate10"/>
      <sheetName val="Marsh2008_(2)10"/>
      <sheetName val="Mutasi-Marsh_2008_(1)10"/>
      <sheetName val="Laba_Kotor10"/>
      <sheetName val="General_Parameter4"/>
      <sheetName val="101_004"/>
      <sheetName val="Customize_Your_Invoice"/>
      <sheetName val="Accounts_Payable_(AA)"/>
      <sheetName val="Monthly_RecapLO14"/>
      <sheetName val="Mo_Recap_By_Empl_14"/>
      <sheetName val="01_Period14"/>
      <sheetName val="Table_Array14"/>
      <sheetName val="Permanent_info11"/>
      <sheetName val="RIG_134-ASSETS_APR_9711"/>
      <sheetName val="RIG_027-ASSETS-AFTER_30_JUN_911"/>
      <sheetName val="Closing_Rate11"/>
      <sheetName val="Marsh2008_(2)11"/>
      <sheetName val="Mutasi-Marsh_2008_(1)11"/>
      <sheetName val="Laba_Kotor11"/>
      <sheetName val="General_Parameter5"/>
      <sheetName val="101_005"/>
      <sheetName val="Customize_Your_Invoice1"/>
      <sheetName val="Accounts_Payable_(AA)1"/>
      <sheetName val="Monthly_RecapLO16"/>
      <sheetName val="Mo_Recap_By_Empl_16"/>
      <sheetName val="01_Period16"/>
      <sheetName val="Table_Array16"/>
      <sheetName val="Permanent_info13"/>
      <sheetName val="RIG_134-ASSETS_APR_9713"/>
      <sheetName val="RIG_027-ASSETS-AFTER_30_JUN_913"/>
      <sheetName val="Closing_Rate13"/>
      <sheetName val="Marsh2008_(2)13"/>
      <sheetName val="Mutasi-Marsh_2008_(1)13"/>
      <sheetName val="Laba_Kotor13"/>
      <sheetName val="General_Parameter7"/>
      <sheetName val="101_007"/>
      <sheetName val="Customize_Your_Invoice3"/>
      <sheetName val="Accounts_Payable_(AA)3"/>
      <sheetName val="Monthly_RecapLO15"/>
      <sheetName val="Mo_Recap_By_Empl_15"/>
      <sheetName val="01_Period15"/>
      <sheetName val="Table_Array15"/>
      <sheetName val="Permanent_info12"/>
      <sheetName val="RIG_134-ASSETS_APR_9712"/>
      <sheetName val="RIG_027-ASSETS-AFTER_30_JUN_912"/>
      <sheetName val="Closing_Rate12"/>
      <sheetName val="Marsh2008_(2)12"/>
      <sheetName val="Mutasi-Marsh_2008_(1)12"/>
      <sheetName val="Laba_Kotor12"/>
      <sheetName val="General_Parameter6"/>
      <sheetName val="101_006"/>
      <sheetName val="Customize_Your_Invoice2"/>
      <sheetName val="Accounts_Payable_(AA)2"/>
      <sheetName val="KURS"/>
      <sheetName val="A"/>
      <sheetName val="Master File (2)"/>
      <sheetName val="B1 Data"/>
      <sheetName val="LOOKUP"/>
      <sheetName val="RATE"/>
      <sheetName val="Master_File_(2)"/>
      <sheetName val="B1_Data"/>
      <sheetName val="G-Ass"/>
      <sheetName val="Setup"/>
      <sheetName val="FY0809TPEILOCAttendance"/>
      <sheetName val="BSAA"/>
      <sheetName val="GeneralInf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DailyAttendance"/>
      <sheetName val="DailyOvertime"/>
      <sheetName val="Monthly Recap"/>
      <sheetName val="Mo.Recap By Empl."/>
      <sheetName val="Period"/>
      <sheetName val="Table"/>
      <sheetName val="Employee"/>
      <sheetName val="Monthly RecapLO"/>
      <sheetName val="Permanent info"/>
      <sheetName val="Table Array"/>
      <sheetName val="MK(7ｶ国+5,7,12万台)"/>
      <sheetName val="KURS"/>
      <sheetName val="tb"/>
      <sheetName val="a"/>
      <sheetName val="412src2"/>
      <sheetName val="412"/>
      <sheetName val="SELISIHKURSSOURCE"/>
      <sheetName val="Links"/>
      <sheetName val="GeneralInfo"/>
      <sheetName val="MK(7??+5,7,12??)"/>
      <sheetName val="MK Data"/>
      <sheetName val="Account Code"/>
      <sheetName val="MK(7__+5,7,12__)"/>
      <sheetName val="master"/>
      <sheetName val="BAB-1"/>
      <sheetName val="Constn &amp; Install - LEV.4"/>
      <sheetName val="LEV.4 Project Managem"/>
      <sheetName val="PAC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GeneralInfo"/>
      <sheetName val="Attachement"/>
      <sheetName val="Attachement (2)"/>
      <sheetName val="Sheet5"/>
      <sheetName val="Sheet4"/>
      <sheetName val="Sheet3"/>
      <sheetName val="Sheet2"/>
      <sheetName val="Sheet1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Margin"/>
      <sheetName val="OpsHighlite"/>
      <sheetName val="Permanent info"/>
      <sheetName val="IS"/>
      <sheetName val="BSliRp"/>
      <sheetName val="TB"/>
      <sheetName val="Attachement_(2)"/>
      <sheetName val="FI-1771_P1"/>
      <sheetName val="FE-1771_P1"/>
      <sheetName val="FI-1771_P2"/>
      <sheetName val="FE-1771_P2"/>
      <sheetName val="Detail_FA"/>
      <sheetName val="Ex-Rate"/>
      <sheetName val="tabel"/>
      <sheetName val="Links"/>
      <sheetName val="Lead"/>
      <sheetName val="Cover Sheet"/>
      <sheetName val="PRO"/>
      <sheetName val="Exchange Rates"/>
      <sheetName val="PROJ CASH"/>
      <sheetName val="RumusTB 1 bln"/>
      <sheetName val="Harga"/>
      <sheetName val="PER-HP"/>
      <sheetName val="Credit-22"/>
      <sheetName val="mat&amp;upah"/>
      <sheetName val="DATA"/>
      <sheetName val="Customize"/>
      <sheetName val="pesd_bahan"/>
      <sheetName val="Irregular Income"/>
      <sheetName val="status"/>
      <sheetName val="FE-1770.P1"/>
      <sheetName val="Data WP"/>
      <sheetName val="Table Array"/>
      <sheetName val="Lampiran"/>
      <sheetName val="MASTER"/>
      <sheetName val="Hidden"/>
      <sheetName val="data (2)"/>
      <sheetName val="Data Jual"/>
      <sheetName val="List-Value"/>
      <sheetName val="Pricelist 2004c"/>
      <sheetName val="table"/>
      <sheetName val="monthly"/>
      <sheetName val="daftar"/>
      <sheetName val="AA.1.1 BNI"/>
      <sheetName val="hitung"/>
      <sheetName val="Account Payable"/>
      <sheetName val="Revenue (10)"/>
      <sheetName val="Data Supp _Monthly_"/>
      <sheetName val="Assumptions"/>
      <sheetName val="WMSO.3"/>
      <sheetName val="WMSO.7"/>
      <sheetName val="WMSO.1"/>
      <sheetName val="Ex_Rate"/>
      <sheetName val="Menu"/>
      <sheetName val="Attachement_(2)2"/>
      <sheetName val="FI-1771_P12"/>
      <sheetName val="FE-1771_P12"/>
      <sheetName val="FI-1771_P22"/>
      <sheetName val="FE-1771_P22"/>
      <sheetName val="Permanent_info"/>
      <sheetName val="Attachement_(2)1"/>
      <sheetName val="FI-1771_P11"/>
      <sheetName val="FE-1771_P11"/>
      <sheetName val="FI-1771_P21"/>
      <sheetName val="FE-1771_P21"/>
      <sheetName val="KAS $"/>
      <sheetName val="Lease_Deprec"/>
      <sheetName val="Con"/>
      <sheetName val="P&amp;L98"/>
      <sheetName val="BS-RTI"/>
      <sheetName val="LP-PENJ-EKSKUTIF-LP-2"/>
      <sheetName val="cons workpapers"/>
      <sheetName val="Konsentrasi-1"/>
      <sheetName val="LOOKUP"/>
      <sheetName val="I. COA Definition &amp; Responsible"/>
      <sheetName val="Cover"/>
      <sheetName val="Cover_Sheet"/>
      <sheetName val="Exchange_Rates"/>
      <sheetName val="PROJ_CASH"/>
      <sheetName val="RumusTB_1_bln"/>
      <sheetName val="Data_Jual"/>
      <sheetName val="data_(2)"/>
      <sheetName val="Pricelist_2004c"/>
      <sheetName val="Source Data"/>
      <sheetName val="Depreciation Methods"/>
      <sheetName val="Macro5"/>
      <sheetName val="Attachement_(2)3"/>
      <sheetName val="FI-1771_P13"/>
      <sheetName val="FE-1771_P13"/>
      <sheetName val="FI-1771_P23"/>
      <sheetName val="FE-1771_P23"/>
      <sheetName val="Permanent_info1"/>
      <sheetName val="MASTER_INPUT"/>
      <sheetName val="10 yr val"/>
      <sheetName val="Balance Sheet"/>
      <sheetName val="NOPAT_VDF"/>
      <sheetName val="Biaya Departemen"/>
      <sheetName val="U"/>
      <sheetName val="Standar"/>
      <sheetName val="Cover_Sheet1"/>
      <sheetName val="Exchange_Rates1"/>
      <sheetName val="PROJ_CASH1"/>
      <sheetName val="RumusTB_1_bln1"/>
      <sheetName val="Irregular_Income"/>
      <sheetName val="FE-1770_P1"/>
      <sheetName val="Data_WP"/>
      <sheetName val="Table_Array"/>
      <sheetName val="data_(2)1"/>
      <sheetName val="Data_Jual1"/>
      <sheetName val="Pricelist_2004c1"/>
      <sheetName val="AA_1_1_BNI"/>
      <sheetName val="Account_Payable"/>
      <sheetName val="Revenue_(10)"/>
      <sheetName val="Data_Supp__Monthly_"/>
      <sheetName val="WMSO_3"/>
      <sheetName val="WMSO_7"/>
      <sheetName val="WMSO_1"/>
      <sheetName val="KAS_$"/>
      <sheetName val="cons_workpapers"/>
      <sheetName val="I__COA_Definition_&amp;_Responsible"/>
      <sheetName val="Source_Data"/>
      <sheetName val="Depreciation_Methods"/>
      <sheetName val="10_yr_val"/>
      <sheetName val="Balance_Sheet"/>
      <sheetName val="Biaya_Departemen"/>
      <sheetName val="Introduction"/>
      <sheetName val="FKT_PJK"/>
      <sheetName val="As"/>
      <sheetName val="Attachement_(2)4"/>
      <sheetName val="FI-1771_P14"/>
      <sheetName val="FE-1771_P14"/>
      <sheetName val="FI-1771_P24"/>
      <sheetName val="FE-1771_P24"/>
      <sheetName val="Permanent_info2"/>
      <sheetName val="Cover_Sheet2"/>
      <sheetName val="Exchange_Rates2"/>
      <sheetName val="PROJ_CASH2"/>
      <sheetName val="RumusTB_1_bln2"/>
      <sheetName val="Irregular_Income1"/>
      <sheetName val="FE-1770_P11"/>
      <sheetName val="Data_WP1"/>
      <sheetName val="Table_Array1"/>
      <sheetName val="data_(2)2"/>
      <sheetName val="Data_Jual2"/>
      <sheetName val="Pricelist_2004c2"/>
      <sheetName val="AA_1_1_BNI1"/>
      <sheetName val="Account_Payable1"/>
      <sheetName val="Revenue_(10)1"/>
      <sheetName val="Data_Supp__Monthly_1"/>
      <sheetName val="WMSO_31"/>
      <sheetName val="WMSO_71"/>
      <sheetName val="WMSO_11"/>
      <sheetName val="I__COA_Definition_&amp;_Responsibl1"/>
      <sheetName val="KAS_$1"/>
      <sheetName val="cons_workpapers1"/>
      <sheetName val="Source_Data1"/>
      <sheetName val="Depreciation_Methods1"/>
      <sheetName val="10_yr_val1"/>
      <sheetName val="Balance_Sheet1"/>
      <sheetName val="Biaya_Departemen1"/>
      <sheetName val="General Info"/>
      <sheetName val="Price"/>
      <sheetName val="A"/>
      <sheetName val="BARSdec05"/>
      <sheetName val="CVR"/>
      <sheetName val="Reklas"/>
      <sheetName val="akumulasi kerugian"/>
      <sheetName val="Attachment"/>
      <sheetName val="Penyusutan"/>
      <sheetName val="F1771"/>
      <sheetName val="F1771-I"/>
      <sheetName val="F1771-II"/>
      <sheetName val="F1771-III"/>
      <sheetName val="F1771-IV"/>
      <sheetName val="F1771-V"/>
      <sheetName val="M_T_D_"/>
      <sheetName val="Local"/>
      <sheetName val="forex"/>
      <sheetName val="HypUpload"/>
      <sheetName val="Februari"/>
      <sheetName val="9"/>
      <sheetName val="TP_DATABASE"/>
      <sheetName val="Essbase L&amp;S Budget"/>
      <sheetName val="UV.10"/>
      <sheetName val="commercial"/>
      <sheetName val="Material"/>
      <sheetName val="Upah"/>
      <sheetName val="Design"/>
      <sheetName val="Operasi Harian"/>
      <sheetName val="Information"/>
      <sheetName val="AFS Adj"/>
      <sheetName val="PIK_QUO"/>
      <sheetName val="Total"/>
      <sheetName val="I.4.1 (2)"/>
      <sheetName val="RATE-NEW"/>
      <sheetName val="STAF"/>
      <sheetName val="Rekap"/>
      <sheetName val="SBY"/>
      <sheetName val="budget idr"/>
      <sheetName val="JADI"/>
      <sheetName val="neraca"/>
      <sheetName val="Parameter"/>
      <sheetName val="cc_Link"/>
      <sheetName val="charts"/>
      <sheetName val="skenario"/>
      <sheetName val="JSiar"/>
      <sheetName val="fin pro centers"/>
      <sheetName val="tabel nilai"/>
      <sheetName val="akumulasi_kerugian"/>
      <sheetName val="Operasi_Harian"/>
      <sheetName val="AFS_Adj"/>
      <sheetName val="SheetGMP"/>
      <sheetName val="SheetGMT"/>
      <sheetName val="me rate"/>
      <sheetName val="rinci"/>
      <sheetName val="KALENDER"/>
      <sheetName val="营业预算"/>
      <sheetName val="Map"/>
      <sheetName val="Projection 2007 Medan"/>
      <sheetName val="Projection 2007 PSVN"/>
      <sheetName val="MCOST1"/>
      <sheetName val="Parameters"/>
      <sheetName val="Kebun"/>
      <sheetName val="KKP-II.2.2.1.2"/>
      <sheetName val="Macro1"/>
      <sheetName val="DFA"/>
      <sheetName val="RJ"/>
      <sheetName val="LabaRugi"/>
      <sheetName val="Labor"/>
      <sheetName val="Kontrol"/>
      <sheetName val="Penjualan"/>
      <sheetName val="ProdSendiri"/>
      <sheetName val="PS&amp;Susut TL"/>
      <sheetName val="SewaBeli"/>
      <sheetName val="Transfer"/>
      <sheetName val="Listing"/>
      <sheetName val="Kode Jabatan UPMKR 2012"/>
      <sheetName val="12013"/>
      <sheetName val="A12A.301.SSD"/>
      <sheetName val="name"/>
      <sheetName val="NAMES"/>
      <sheetName val="d_com"/>
      <sheetName val="2703.1"/>
      <sheetName val="SCORE_RC_Code"/>
      <sheetName val="TAX SUMMARY"/>
      <sheetName val="견적기준"/>
      <sheetName val="gaji"/>
      <sheetName val="Materiality"/>
      <sheetName val="AJE-RJE-CAJE 2017"/>
      <sheetName val="AJE-RJE-CAJE 2018"/>
      <sheetName val="Control IPK VS LK"/>
      <sheetName val="AJE-RJE-CAJE 2016"/>
      <sheetName val="WBS"/>
      <sheetName val="BS"/>
      <sheetName val="PL"/>
      <sheetName val="LPE"/>
      <sheetName val="Arus kas"/>
      <sheetName val="WP-CF-DIR-18"/>
      <sheetName val="WP-CF-Dir- 17"/>
      <sheetName val="WP-CF-Dir-16"/>
      <sheetName val="BOD &amp; BOC"/>
      <sheetName val="5. Kas &amp; Bank"/>
      <sheetName val="6. Investasi entitas asosiasi"/>
      <sheetName val="7. Persediaan"/>
      <sheetName val="8. Aset Tetap"/>
      <sheetName val="9. Biaya ditangguhkan"/>
      <sheetName val="10. Utang usaha pihak ketiga"/>
      <sheetName val="11. BMHD"/>
      <sheetName val="12. Perpajakan"/>
      <sheetName val="13. Utang lain2 pihak berelasi"/>
      <sheetName val="14 Imbalan Pasca Kerja"/>
      <sheetName val="15 Modal Saham"/>
      <sheetName val="16 Beban penjualan"/>
      <sheetName val="17 Beban Umum &amp; Administrasi"/>
      <sheetName val="18.Pendapatan (Beban) Lain2"/>
      <sheetName val="19 Pihak berelasi"/>
      <sheetName val="20 Instrumen keuangan"/>
      <sheetName val="21 Manajemen Risiko"/>
      <sheetName val="Gastos Generales 0814"/>
      <sheetName val="12.14 EE+ER (amend) "/>
      <sheetName val="E7000-Header"/>
      <sheetName val="#REF!"/>
      <sheetName val="Menlo NW"/>
      <sheetName val="ODC Indonesia"/>
      <sheetName val="Data_CA.3.1"/>
      <sheetName val="Data_CA.3.2"/>
      <sheetName val="Data_CA.1_DN_LN"/>
      <sheetName val="Data_ArusKas"/>
      <sheetName val="Data_Neraca_Detail"/>
      <sheetName val="Judul"/>
      <sheetName val="Attachement_(2)5"/>
      <sheetName val="FI-1771_P15"/>
      <sheetName val="FE-1771_P15"/>
      <sheetName val="FI-1771_P25"/>
      <sheetName val="FE-1771_P25"/>
      <sheetName val="Permanent_info3"/>
      <sheetName val="Cover_Sheet3"/>
      <sheetName val="Exchange_Rates3"/>
      <sheetName val="PROJ_CASH3"/>
      <sheetName val="RumusTB_1_bln3"/>
      <sheetName val="data_(2)3"/>
      <sheetName val="Data_Jual3"/>
      <sheetName val="Pricelist_2004c3"/>
      <sheetName val="Irregular_Income2"/>
      <sheetName val="FE-1770_P12"/>
      <sheetName val="Data_WP2"/>
      <sheetName val="Table_Array2"/>
      <sheetName val="Account_Payable2"/>
      <sheetName val="Revenue_(10)2"/>
      <sheetName val="Data_Supp__Monthly_2"/>
      <sheetName val="Source_Data2"/>
      <sheetName val="Depreciation_Methods2"/>
      <sheetName val="AA_1_1_BNI2"/>
      <sheetName val="WMSO_32"/>
      <sheetName val="WMSO_72"/>
      <sheetName val="WMSO_12"/>
      <sheetName val="KAS_$2"/>
      <sheetName val="10_yr_val2"/>
      <sheetName val="I__COA_Definition_&amp;_Responsibl2"/>
      <sheetName val="Balance_Sheet2"/>
      <sheetName val="Biaya_Departemen2"/>
      <sheetName val="cons_workpapers2"/>
      <sheetName val="General_Info"/>
      <sheetName val="ALT"/>
      <sheetName val="month"/>
      <sheetName val="Project Input Sheet "/>
      <sheetName val="Var Analysis (old)"/>
      <sheetName val="TBS"/>
      <sheetName val="Grading"/>
      <sheetName val="Posisi Stock"/>
      <sheetName val="Monthly RecapLO"/>
      <sheetName val="Monthly Recap"/>
      <sheetName val="1771"/>
      <sheetName val="PPh 23,4(2),15, 26"/>
      <sheetName val="Penyusutan Kendaraan"/>
      <sheetName val="WP AKTIVA"/>
      <sheetName val="Sheet8"/>
      <sheetName val="bq"/>
      <sheetName val="HRG- UPAH"/>
      <sheetName val="Data LPJUM"/>
      <sheetName val="march'08"/>
      <sheetName val="Source"/>
      <sheetName val="Attachement_(2)6"/>
      <sheetName val="FI-1771_P16"/>
      <sheetName val="FE-1771_P16"/>
      <sheetName val="FI-1771_P26"/>
      <sheetName val="FE-1771_P26"/>
      <sheetName val="Permanent_info4"/>
      <sheetName val="Cover_Sheet4"/>
      <sheetName val="Exchange_Rates4"/>
      <sheetName val="PROJ_CASH4"/>
      <sheetName val="RumusTB_1_bln4"/>
      <sheetName val="data_(2)4"/>
      <sheetName val="Data_Jual4"/>
      <sheetName val="Pricelist_2004c4"/>
      <sheetName val="Irregular_Income3"/>
      <sheetName val="FE-1770_P13"/>
      <sheetName val="Data_WP3"/>
      <sheetName val="Table_Array3"/>
      <sheetName val="Account_Payable3"/>
      <sheetName val="Revenue_(10)3"/>
      <sheetName val="Data_Supp__Monthly_3"/>
      <sheetName val="Source_Data3"/>
      <sheetName val="Depreciation_Methods3"/>
      <sheetName val="AA_1_1_BNI3"/>
      <sheetName val="WMSO_33"/>
      <sheetName val="WMSO_73"/>
      <sheetName val="WMSO_13"/>
      <sheetName val="KAS_$3"/>
      <sheetName val="10_yr_val3"/>
      <sheetName val="I__COA_Definition_&amp;_Responsibl3"/>
      <sheetName val="Balance_Sheet3"/>
      <sheetName val="Biaya_Departemen3"/>
      <sheetName val="cons_workpapers3"/>
      <sheetName val="General_Info1"/>
      <sheetName val="akumulasi_kerugian1"/>
      <sheetName val="DbCost"/>
      <sheetName val="EQUIPMENT"/>
      <sheetName val="99CITR"/>
      <sheetName val="Report By Value"/>
      <sheetName val="317935OCT99"/>
      <sheetName val="317935DEC99"/>
      <sheetName val="317935NOV99"/>
      <sheetName val="Orders"/>
      <sheetName val="BONUS"/>
      <sheetName val="Sales Analysis BSA"/>
      <sheetName val="Credit_22"/>
      <sheetName val="MPO Shit Rota"/>
      <sheetName val="All_Table"/>
      <sheetName val="Aging"/>
      <sheetName val="317897NOV99"/>
      <sheetName val="317897OCT99"/>
      <sheetName val="Operation"/>
      <sheetName val="Attachement_(2)9"/>
      <sheetName val="FI-1771_P19"/>
      <sheetName val="FE-1771_P19"/>
      <sheetName val="FI-1771_P29"/>
      <sheetName val="FE-1771_P29"/>
      <sheetName val="Permanent_info7"/>
      <sheetName val="Cover_Sheet7"/>
      <sheetName val="Exchange_Rates7"/>
      <sheetName val="PROJ_CASH7"/>
      <sheetName val="RumusTB_1_bln7"/>
      <sheetName val="data_(2)7"/>
      <sheetName val="Data_Jual7"/>
      <sheetName val="Pricelist_2004c7"/>
      <sheetName val="Irregular_Income6"/>
      <sheetName val="FE-1770_P16"/>
      <sheetName val="Data_WP6"/>
      <sheetName val="Table_Array6"/>
      <sheetName val="Account_Payable6"/>
      <sheetName val="Revenue_(10)6"/>
      <sheetName val="Data_Supp__Monthly_6"/>
      <sheetName val="Source_Data6"/>
      <sheetName val="Depreciation_Methods6"/>
      <sheetName val="AA_1_1_BNI6"/>
      <sheetName val="WMSO_36"/>
      <sheetName val="WMSO_76"/>
      <sheetName val="WMSO_16"/>
      <sheetName val="KAS_$6"/>
      <sheetName val="10_yr_val6"/>
      <sheetName val="I__COA_Definition_&amp;_Responsibl6"/>
      <sheetName val="Balance_Sheet6"/>
      <sheetName val="Biaya_Departemen6"/>
      <sheetName val="cons_workpapers6"/>
      <sheetName val="General_Info4"/>
      <sheetName val="akumulasi_kerugian4"/>
      <sheetName val="Attachement_(2)7"/>
      <sheetName val="FI-1771_P17"/>
      <sheetName val="FE-1771_P17"/>
      <sheetName val="FI-1771_P27"/>
      <sheetName val="FE-1771_P27"/>
      <sheetName val="Permanent_info5"/>
      <sheetName val="Cover_Sheet5"/>
      <sheetName val="Exchange_Rates5"/>
      <sheetName val="PROJ_CASH5"/>
      <sheetName val="RumusTB_1_bln5"/>
      <sheetName val="data_(2)5"/>
      <sheetName val="Data_Jual5"/>
      <sheetName val="Pricelist_2004c5"/>
      <sheetName val="Irregular_Income4"/>
      <sheetName val="FE-1770_P14"/>
      <sheetName val="Data_WP4"/>
      <sheetName val="Table_Array4"/>
      <sheetName val="Account_Payable4"/>
      <sheetName val="Revenue_(10)4"/>
      <sheetName val="Data_Supp__Monthly_4"/>
      <sheetName val="Source_Data4"/>
      <sheetName val="Depreciation_Methods4"/>
      <sheetName val="AA_1_1_BNI4"/>
      <sheetName val="WMSO_34"/>
      <sheetName val="WMSO_74"/>
      <sheetName val="WMSO_14"/>
      <sheetName val="KAS_$4"/>
      <sheetName val="10_yr_val4"/>
      <sheetName val="I__COA_Definition_&amp;_Responsibl4"/>
      <sheetName val="Balance_Sheet4"/>
      <sheetName val="Biaya_Departemen4"/>
      <sheetName val="cons_workpapers4"/>
      <sheetName val="General_Info2"/>
      <sheetName val="akumulasi_kerugian2"/>
      <sheetName val="Attachement_(2)8"/>
      <sheetName val="FI-1771_P18"/>
      <sheetName val="FE-1771_P18"/>
      <sheetName val="FI-1771_P28"/>
      <sheetName val="FE-1771_P28"/>
      <sheetName val="Permanent_info6"/>
      <sheetName val="Cover_Sheet6"/>
      <sheetName val="Exchange_Rates6"/>
      <sheetName val="PROJ_CASH6"/>
      <sheetName val="RumusTB_1_bln6"/>
      <sheetName val="data_(2)6"/>
      <sheetName val="Data_Jual6"/>
      <sheetName val="Pricelist_2004c6"/>
      <sheetName val="Irregular_Income5"/>
      <sheetName val="FE-1770_P15"/>
      <sheetName val="Data_WP5"/>
      <sheetName val="Table_Array5"/>
      <sheetName val="Account_Payable5"/>
      <sheetName val="Revenue_(10)5"/>
      <sheetName val="Data_Supp__Monthly_5"/>
      <sheetName val="Source_Data5"/>
      <sheetName val="Depreciation_Methods5"/>
      <sheetName val="AA_1_1_BNI5"/>
      <sheetName val="WMSO_35"/>
      <sheetName val="WMSO_75"/>
      <sheetName val="WMSO_15"/>
      <sheetName val="KAS_$5"/>
      <sheetName val="10_yr_val5"/>
      <sheetName val="I__COA_Definition_&amp;_Responsibl5"/>
      <sheetName val="Balance_Sheet5"/>
      <sheetName val="Biaya_Departemen5"/>
      <sheetName val="cons_workpapers5"/>
      <sheetName val="General_Info3"/>
      <sheetName val="akumulasi_kerugian3"/>
      <sheetName val="TIE-INS"/>
      <sheetName val="PriceList"/>
      <sheetName val="Estimate"/>
      <sheetName val="7.공정표"/>
      <sheetName val="BoQ"/>
      <sheetName val="AnalisaSIPIL RIIL"/>
      <sheetName val="HS-2"/>
      <sheetName val="BasicPrice"/>
      <sheetName val="prelim"/>
      <sheetName val="Template"/>
      <sheetName val="RIG 134-ASSETS APR 97"/>
      <sheetName val="RIG 027-ASSETS-AFTER 30 JUN 97"/>
      <sheetName val="Pipe"/>
      <sheetName val="DB"/>
      <sheetName val="Marshal -1"/>
      <sheetName val="Hargamat"/>
      <sheetName val="NP (2)"/>
      <sheetName val="NP"/>
      <sheetName val="6-AGREGAT"/>
      <sheetName val="K"/>
      <sheetName val="Urai _ Guide Post"/>
      <sheetName val="Urai_Galian Tanah"/>
      <sheetName val="SPI"/>
      <sheetName val="Stamping Process"/>
      <sheetName val="HARSAT"/>
      <sheetName val="Mobdemobalat"/>
      <sheetName val="Rkp1"/>
      <sheetName val="sdm"/>
      <sheetName val="rkp"/>
      <sheetName val="LUMPSUM"/>
      <sheetName val="Sales Parameter"/>
      <sheetName val="Fill this out first..."/>
      <sheetName val="tp 45x45 (6)"/>
      <sheetName val="Rekap Direct Cost"/>
      <sheetName val="VAT out"/>
      <sheetName val="Analisa K"/>
      <sheetName val="HARGA DASAR"/>
      <sheetName val="D.BOARD"/>
      <sheetName val="bialangsung"/>
      <sheetName val="DB-PU"/>
      <sheetName val="PERALATAN PROYEK GOL III A"/>
      <sheetName val="HargaBahan"/>
      <sheetName val="data cabang"/>
      <sheetName val="Run Off"/>
      <sheetName val="NOTHIT"/>
      <sheetName val="Plan"/>
      <sheetName val="Desc "/>
      <sheetName val="Trial"/>
      <sheetName val="OFF"/>
      <sheetName val="labarugi_31 maret 2008"/>
      <sheetName val="rkap2008"/>
      <sheetName val="Drivers ST1"/>
      <sheetName val="main"/>
      <sheetName val="Family"/>
      <sheetName val="Simple Coff."/>
      <sheetName val="BL"/>
      <sheetName val="Suggestions Made Per Person"/>
      <sheetName val="Total Suggestions Made"/>
      <sheetName val="C"/>
      <sheetName val="173"/>
      <sheetName val="General Parameter"/>
      <sheetName val="kurs"/>
      <sheetName val="cls"/>
      <sheetName val="iloi"/>
      <sheetName val="SMC2"/>
      <sheetName val="Menu BAV2"/>
      <sheetName val="Index (VH)"/>
      <sheetName val="RBAV1 Total"/>
      <sheetName val="RJxmPkkTahun"/>
      <sheetName val="RJxmPkkBulan"/>
      <sheetName val="MTD_Flash_Report"/>
      <sheetName val="Power"/>
      <sheetName val="3800"/>
      <sheetName val="Int Acc"/>
      <sheetName val="OLDMAP"/>
      <sheetName val="Exch.rate"/>
      <sheetName val="2-asi-00"/>
      <sheetName val="PEGAWAI"/>
      <sheetName val="1721"/>
      <sheetName val="1721-A"/>
      <sheetName val="1721-A1"/>
      <sheetName val="1721-A1 (2)"/>
      <sheetName val="1721-A2"/>
      <sheetName val="1721-B"/>
      <sheetName val="1721-C"/>
      <sheetName val="FxRate"/>
      <sheetName val="pbt - issue-to-issue"/>
      <sheetName val="SUM"/>
      <sheetName val="Constn &amp; Install - LEV.4"/>
      <sheetName val="Essbase_L&amp;S_Budget"/>
      <sheetName val="UV_10"/>
      <sheetName val="Operasi_Harian1"/>
      <sheetName val="AFS_Adj1"/>
      <sheetName val="budget_idr"/>
      <sheetName val="fin_pro_centers"/>
      <sheetName val="me_rate"/>
      <sheetName val="I_4_1_(2)"/>
      <sheetName val="tabel_nilai"/>
      <sheetName val="Projection_2007_Medan"/>
      <sheetName val="Projection_2007_PSVN"/>
      <sheetName val="KKP-II_2_2_1_2"/>
      <sheetName val="TAX_SUMMARY"/>
      <sheetName val="Gastos_Generales_0814"/>
      <sheetName val="12_14_EE+ER_(amend)_"/>
      <sheetName val="Menlo_NW"/>
      <sheetName val="HRG-_UPAH"/>
      <sheetName val="ODC_Indonesia"/>
      <sheetName val="Data_CA_3_1"/>
      <sheetName val="Data_CA_3_2"/>
      <sheetName val="Data_CA_1_DN_LN"/>
      <sheetName val="2703_1"/>
      <sheetName val="Data_LPJUM"/>
      <sheetName val="Posisi_Stock"/>
      <sheetName val="Report_By_Value"/>
      <sheetName val="MPO_Shit_Rota"/>
      <sheetName val="Var_Analysis_(old)"/>
      <sheetName val="PS&amp;Susut_TL"/>
      <sheetName val="Kode_Jabatan_UPMKR_2012"/>
      <sheetName val="A12A_301_SSD"/>
      <sheetName val="Sales_Analysis_BSA"/>
      <sheetName val="Monthly_RecapLO"/>
      <sheetName val="Monthly_Recap"/>
      <sheetName val="PPh_23,4(2),15,_26"/>
      <sheetName val="Penyusutan_Kendaraan"/>
      <sheetName val="labarugi_31_maret_2008"/>
      <sheetName val="2001 Monthly Sum"/>
      <sheetName val="COGS"/>
      <sheetName val="GLJ"/>
      <sheetName val="ged"/>
      <sheetName val="Alat"/>
      <sheetName val="AN_EL(16.0)"/>
      <sheetName val="InterestCalculation"/>
      <sheetName val="LIST 99"/>
      <sheetName val="PER ABJAD"/>
      <sheetName val="AJE&amp;RJE"/>
      <sheetName val="TIRE DIVISION"/>
      <sheetName val="STKBB"/>
      <sheetName val="NEGARA"/>
      <sheetName val="Client Aje"/>
      <sheetName val="Farmer-Pond-Monodon"/>
      <sheetName val="412src2"/>
      <sheetName val="ListAnalisa"/>
      <sheetName val="extern"/>
      <sheetName val="UNDER PASS"/>
      <sheetName val="Pier Head"/>
      <sheetName val="BP1_23"/>
      <sheetName val="DATAOKT"/>
      <sheetName val="AHSbj"/>
      <sheetName val="AnalisaHarga"/>
      <sheetName val="AC"/>
      <sheetName val="Basic"/>
      <sheetName val="telp"/>
      <sheetName val="trans"/>
      <sheetName val="D HARGA"/>
      <sheetName val="HD Bahan"/>
      <sheetName val="K3LM"/>
      <sheetName val="HD Upah"/>
      <sheetName val="HD Alat"/>
      <sheetName val="jalur-TH-INI"/>
      <sheetName val="jalur-th-lalu"/>
      <sheetName val="Basic Price"/>
      <sheetName val="LR Komprehensif per Scope"/>
      <sheetName val="load"/>
      <sheetName val="sub"/>
      <sheetName val="Div2"/>
      <sheetName val="rumus"/>
      <sheetName val="ANALISA TENDER"/>
      <sheetName val="SPT TAHUNAN"/>
      <sheetName val="Rinc_Setoran Astek"/>
      <sheetName val="DPLK_PST"/>
      <sheetName val="jkk_takaful"/>
      <sheetName val="DIV.9"/>
      <sheetName val="L-Mechanical"/>
      <sheetName val="DEF"/>
      <sheetName val="Master Schedule"/>
      <sheetName val="smt"/>
      <sheetName val="inputs"/>
      <sheetName val="HargaSat"/>
      <sheetName val="Z"/>
      <sheetName val="H.Satuan"/>
      <sheetName val="div 7"/>
      <sheetName val="SUMBER"/>
      <sheetName val="BHN-ALAT"/>
      <sheetName val="TABEL-DETASIR"/>
      <sheetName val="ABSEN"/>
      <sheetName val="UPAH_B_KAS"/>
      <sheetName val="UPAH_B_KAS _2_"/>
      <sheetName val="T_TANGAN"/>
      <sheetName val="Analisa SNI STANDART "/>
      <sheetName val="Plumbing"/>
      <sheetName val="Rekapitulasi"/>
      <sheetName val="7.PEK-STRUKTUR"/>
      <sheetName val="Param"/>
      <sheetName val="HS"/>
      <sheetName val="Data_Umum"/>
      <sheetName val="P2"/>
      <sheetName val="HS-1"/>
      <sheetName val="Unit Rate"/>
      <sheetName val="Teknis"/>
      <sheetName val="5.1-5.4(1)-5.4(2)"/>
      <sheetName val="PRIST LIST"/>
      <sheetName val="New MADC"/>
      <sheetName val="HRG UPAH BAHAN"/>
      <sheetName val="ESCON"/>
      <sheetName val="bhn-upah"/>
      <sheetName val="Kuantitas &amp; Harga"/>
      <sheetName val="GP-WB"/>
      <sheetName val="Divisi1"/>
      <sheetName val="WT-LIST"/>
      <sheetName val="Analysis"/>
      <sheetName val="rms remunerasi"/>
      <sheetName val="PEMBAGIAN"/>
      <sheetName val="pricing"/>
      <sheetName val="SUB &amp; mandor"/>
      <sheetName val="Cash Flow bulanan"/>
      <sheetName val="HARGA MATERIAL"/>
      <sheetName val="AnAlat"/>
      <sheetName val="Sat Bah &amp; Up"/>
      <sheetName val="EVALUASI"/>
      <sheetName val="Cashflow_ref"/>
      <sheetName val="brd2"/>
      <sheetName val="rate"/>
      <sheetName val="DAF-5"/>
      <sheetName val="Ana. PU"/>
      <sheetName val="Konfirm"/>
      <sheetName val="Analis Kusen okk"/>
      <sheetName val="Schedule 11a"/>
      <sheetName val="RPP01 3"/>
      <sheetName val="Rekap 1"/>
      <sheetName val="MAP-Prog"/>
      <sheetName val="KOEF"/>
      <sheetName val="analisa Str"/>
      <sheetName val="database"/>
      <sheetName val="PROD"/>
      <sheetName val="DKH-S3"/>
      <sheetName val="UPH,BHN,ALT"/>
      <sheetName val="jan"/>
      <sheetName val="FEB"/>
      <sheetName val="HRPar"/>
      <sheetName val="MAR"/>
      <sheetName val="HARGADASAR"/>
      <sheetName val="Sales Rental"/>
      <sheetName val="BOQ CONTRACT WK"/>
      <sheetName val="Perm. Test"/>
      <sheetName val="LAMP_2.2"/>
      <sheetName val="equity of abacus"/>
      <sheetName val="610.05"/>
      <sheetName val="41,9&amp;36,3"/>
      <sheetName val="PersList"/>
      <sheetName val="D4"/>
      <sheetName val="D6"/>
      <sheetName val="D7"/>
      <sheetName val="D8"/>
      <sheetName val="RINCIAN"/>
      <sheetName val="est proy"/>
      <sheetName val="INPUT"/>
      <sheetName val="DASH"/>
      <sheetName val="Basic P"/>
      <sheetName val="DAF-3"/>
      <sheetName val="Kinerja Proyek"/>
      <sheetName val="MATAUANG"/>
      <sheetName val="igp_alt4"/>
      <sheetName val="july"/>
      <sheetName val="june"/>
      <sheetName val="PAD-F"/>
      <sheetName val="BTL-Bau"/>
      <sheetName val="Management"/>
      <sheetName val="Monitor"/>
      <sheetName val="Utilitas Plant"/>
      <sheetName val="URUTAN PLANT"/>
      <sheetName val="DKH"/>
      <sheetName val="Daftar Upah,Bhn,&amp; alat"/>
      <sheetName val="validation"/>
      <sheetName val="Hrg Sat"/>
      <sheetName val="BLOK-BJR"/>
      <sheetName val="MAPP"/>
      <sheetName val="Bab10"/>
      <sheetName val="TBM"/>
      <sheetName val="Tambahan anal"/>
      <sheetName val="upah-prod"/>
      <sheetName val="STOK MAT"/>
      <sheetName val="DaftarHarga"/>
      <sheetName val="factor"/>
      <sheetName val="Z017"/>
      <sheetName val="Arsitektur"/>
      <sheetName val="HS KALIJATI"/>
      <sheetName val="BQ (by owner)"/>
      <sheetName val="rab me (fisik)"/>
      <sheetName val="DIRECT COST"/>
      <sheetName val="UnitR"/>
      <sheetName val="hs-ars"/>
      <sheetName val="DIV_4"/>
      <sheetName val="PRY 01-8"/>
      <sheetName val="RKP-1"/>
      <sheetName val="Temporary"/>
      <sheetName val="Septick tank"/>
      <sheetName val="Subkon"/>
      <sheetName val="hsat-SD"/>
      <sheetName val="ytd _dept_"/>
      <sheetName val="Table 1"/>
      <sheetName val="DAF-1"/>
      <sheetName val="Agregat Halus &amp; Kasar"/>
      <sheetName val="BETO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ihan"/>
      <sheetName val="FormB1"/>
      <sheetName val="FormB1-Akhir"/>
      <sheetName val="B1 Data"/>
      <sheetName val="SUMMARY"/>
      <sheetName val="LOOKUP"/>
      <sheetName val="B1_Data"/>
      <sheetName val="B1_Data1"/>
      <sheetName val="RIG 134-ASSETS APR 97"/>
      <sheetName val="RIG 027-ASSETS-AFTER 30 JUN 97"/>
      <sheetName val="MAIN"/>
      <sheetName val="Marshal"/>
      <sheetName val="SheetGMP"/>
      <sheetName val="SheetGMT"/>
      <sheetName val="TaxDat"/>
      <sheetName val="a"/>
      <sheetName val="EXC-R2004"/>
      <sheetName val="B1_Data7"/>
      <sheetName val="RIG_134-ASSETS_APR_975"/>
      <sheetName val="RIG_027-ASSETS-AFTER_30_JUN_975"/>
      <sheetName val="B1_Data2"/>
      <sheetName val="RIG_134-ASSETS_APR_97"/>
      <sheetName val="RIG_027-ASSETS-AFTER_30_JUN_97"/>
      <sheetName val="B1_Data4"/>
      <sheetName val="RIG_134-ASSETS_APR_972"/>
      <sheetName val="RIG_027-ASSETS-AFTER_30_JUN_972"/>
      <sheetName val="B1_Data3"/>
      <sheetName val="RIG_134-ASSETS_APR_971"/>
      <sheetName val="RIG_027-ASSETS-AFTER_30_JUN_971"/>
      <sheetName val="B1_Data5"/>
      <sheetName val="RIG_134-ASSETS_APR_973"/>
      <sheetName val="RIG_027-ASSETS-AFTER_30_JUN_973"/>
      <sheetName val="B1_Data6"/>
      <sheetName val="RIG_134-ASSETS_APR_974"/>
      <sheetName val="RIG_027-ASSETS-AFTER_30_JUN_974"/>
      <sheetName val="B1_Data10"/>
      <sheetName val="RIG_134-ASSETS_APR_978"/>
      <sheetName val="RIG_027-ASSETS-AFTER_30_JUN_978"/>
      <sheetName val="B1_Data8"/>
      <sheetName val="RIG_134-ASSETS_APR_976"/>
      <sheetName val="RIG_027-ASSETS-AFTER_30_JUN_976"/>
      <sheetName val="B1_Data9"/>
      <sheetName val="RIG_134-ASSETS_APR_977"/>
      <sheetName val="RIG_027-ASSETS-AFTER_30_JUN_977"/>
      <sheetName val="B1_Data13"/>
      <sheetName val="RIG_134-ASSETS_APR_9711"/>
      <sheetName val="RIG_027-ASSETS-AFTER_30_JUN_911"/>
      <sheetName val="B1_Data12"/>
      <sheetName val="RIG_134-ASSETS_APR_9710"/>
      <sheetName val="RIG_027-ASSETS-AFTER_30_JUN_910"/>
      <sheetName val="B1_Data11"/>
      <sheetName val="RIG_134-ASSETS_APR_979"/>
      <sheetName val="RIG_027-ASSETS-AFTER_30_JUN_979"/>
      <sheetName val="NL"/>
      <sheetName val="BTR"/>
      <sheetName val="BGR"/>
      <sheetName val="BKS"/>
      <sheetName val="B1_Data14"/>
      <sheetName val="RIG_134-ASSETS_APR_9712"/>
      <sheetName val="RIG_027-ASSETS-AFTER_30_JUN_912"/>
      <sheetName val="Orders"/>
      <sheetName val="AVPマルチプル"/>
      <sheetName val="DATA"/>
      <sheetName val="KHUSUS MULTICARD 2008"/>
      <sheetName val="Mar"/>
      <sheetName val="MstB1Data"/>
      <sheetName val="JVFORM"/>
      <sheetName val="2934"/>
      <sheetName val="data (2)"/>
      <sheetName val="AJE&amp;RJE"/>
      <sheetName val="M"/>
      <sheetName val="Monthly Recap"/>
      <sheetName val="B1_Data15"/>
      <sheetName val="RIG_134-ASSETS_APR_9713"/>
      <sheetName val="RIG_027-ASSETS-AFTER_30_JUN_913"/>
      <sheetName val="KHUSUS_MULTICARD_2008"/>
      <sheetName val="data_(2)"/>
      <sheetName val="Type"/>
      <sheetName val="Permanent info"/>
      <sheetName val="MATERIALFINAL"/>
      <sheetName val="IS"/>
      <sheetName val="QTREND"/>
      <sheetName val="FP20YPX"/>
      <sheetName val="Control"/>
      <sheetName val="Indr"/>
      <sheetName val="Mutasi"/>
      <sheetName val="Macro1"/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Reconcile23"/>
      <sheetName val="Sheet3"/>
      <sheetName val="Sheet2"/>
      <sheetName val="Sheet1"/>
      <sheetName val="DH_RI_SI Exceptions"/>
      <sheetName val="Links"/>
      <sheetName val="WHT_21"/>
      <sheetName val="Biaya Departemen"/>
      <sheetName val="EQUIPMENT"/>
      <sheetName val="Power99-1a"/>
      <sheetName val="Menu"/>
      <sheetName val="Project Listing"/>
      <sheetName val="Lead"/>
      <sheetName val="FKT_PJK"/>
      <sheetName val="Database"/>
      <sheetName val="Irregular Income"/>
      <sheetName val="FE-1770.P1"/>
      <sheetName val="Information"/>
      <sheetName val="LRK"/>
      <sheetName val="PEND+BIAYA"/>
      <sheetName val="NONCAB"/>
      <sheetName val="lr treas"/>
      <sheetName val="Cover-01"/>
      <sheetName val="Drop Down"/>
      <sheetName val="Sheet2 (2)"/>
      <sheetName val="panther"/>
      <sheetName val="Premi Iuran"/>
      <sheetName val="TB"/>
      <sheetName val="412src2"/>
      <sheetName val="PENJ.NERACA"/>
      <sheetName val="CASH FLOW"/>
      <sheetName val="recap"/>
      <sheetName val="IDR Transactions"/>
      <sheetName val="Properties"/>
      <sheetName val="Tab.Daten"/>
      <sheetName val="ID"/>
      <sheetName val="L4-Info"/>
      <sheetName val="Professionals Standard"/>
      <sheetName val="INFO"/>
      <sheetName val="07-230420"/>
      <sheetName val="P&amp;L98"/>
      <sheetName val="DATA21"/>
      <sheetName val="Ex-Rate"/>
      <sheetName val="status"/>
      <sheetName val="rab_50"/>
      <sheetName val="LabData203_204"/>
      <sheetName val="BS"/>
      <sheetName val="TBM"/>
      <sheetName val="total"/>
      <sheetName val="TERM OF PAYMENT"/>
      <sheetName val="Daftar Isi"/>
      <sheetName val="DIRECT COST"/>
      <sheetName val="INDIRECT DETAIL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AccInfors"/>
      <sheetName val="masterppm"/>
      <sheetName val="SDMPROG"/>
      <sheetName val="AVP?????"/>
      <sheetName val="Table"/>
      <sheetName val="UTI"/>
      <sheetName val="AvsBsys"/>
      <sheetName val="TP"/>
      <sheetName val="AVP_____"/>
      <sheetName val="SUPPORT"/>
      <sheetName val="PL"/>
      <sheetName val="Comp equip"/>
      <sheetName val="MV"/>
      <sheetName val="ICB"/>
      <sheetName val="Reference2"/>
      <sheetName val="B1_Data16"/>
      <sheetName val="RIG_134-ASSETS_APR_9714"/>
      <sheetName val="RIG_027-ASSETS-AFTER_30_JUN_914"/>
      <sheetName val="KHUSUS_MULTICARD_20081"/>
      <sheetName val="data_(2)1"/>
      <sheetName val="Permanent_info"/>
      <sheetName val="Monthly_Recap"/>
      <sheetName val="B1_Data17"/>
      <sheetName val="RIG_134-ASSETS_APR_9715"/>
      <sheetName val="RIG_027-ASSETS-AFTER_30_JUN_915"/>
      <sheetName val="KHUSUS_MULTICARD_20082"/>
      <sheetName val="data_(2)2"/>
      <sheetName val="Monthly_Recap1"/>
      <sheetName val="Permanent_info1"/>
      <sheetName val="B1_Data18"/>
      <sheetName val="RIG_134-ASSETS_APR_9716"/>
      <sheetName val="RIG_027-ASSETS-AFTER_30_JUN_916"/>
      <sheetName val="KHUSUS_MULTICARD_20083"/>
      <sheetName val="data_(2)3"/>
      <sheetName val="Monthly_Recap2"/>
      <sheetName val="Permanent_info2"/>
      <sheetName val="B1_Data19"/>
      <sheetName val="RIG_134-ASSETS_APR_9717"/>
      <sheetName val="RIG_027-ASSETS-AFTER_30_JUN_917"/>
      <sheetName val="KHUSUS_MULTICARD_20084"/>
      <sheetName val="data_(2)4"/>
      <sheetName val="Monthly_Recap3"/>
      <sheetName val="Permanent_info3"/>
      <sheetName val="B1_Data23"/>
      <sheetName val="RIG_134-ASSETS_APR_9721"/>
      <sheetName val="RIG_027-ASSETS-AFTER_30_JUN_921"/>
      <sheetName val="KHUSUS_MULTICARD_20088"/>
      <sheetName val="data_(2)8"/>
      <sheetName val="Monthly_Recap7"/>
      <sheetName val="Permanent_info7"/>
      <sheetName val="B1_Data20"/>
      <sheetName val="RIG_134-ASSETS_APR_9718"/>
      <sheetName val="RIG_027-ASSETS-AFTER_30_JUN_918"/>
      <sheetName val="KHUSUS_MULTICARD_20085"/>
      <sheetName val="data_(2)5"/>
      <sheetName val="Monthly_Recap4"/>
      <sheetName val="Permanent_info4"/>
      <sheetName val="B1_Data21"/>
      <sheetName val="RIG_134-ASSETS_APR_9719"/>
      <sheetName val="RIG_027-ASSETS-AFTER_30_JUN_919"/>
      <sheetName val="KHUSUS_MULTICARD_20086"/>
      <sheetName val="data_(2)6"/>
      <sheetName val="Monthly_Recap5"/>
      <sheetName val="Permanent_info5"/>
      <sheetName val="B1_Data22"/>
      <sheetName val="RIG_134-ASSETS_APR_9720"/>
      <sheetName val="RIG_027-ASSETS-AFTER_30_JUN_920"/>
      <sheetName val="KHUSUS_MULTICARD_20087"/>
      <sheetName val="data_(2)7"/>
      <sheetName val="Monthly_Recap6"/>
      <sheetName val="Permanent_info6"/>
      <sheetName val="B1_Data24"/>
      <sheetName val="RIG_134-ASSETS_APR_9722"/>
      <sheetName val="RIG_027-ASSETS-AFTER_30_JUN_922"/>
      <sheetName val="KHUSUS_MULTICARD_20089"/>
      <sheetName val="data_(2)9"/>
      <sheetName val="Monthly_Recap8"/>
      <sheetName val="Permanent_info8"/>
      <sheetName val="B1_Data25"/>
      <sheetName val="RIG_134-ASSETS_APR_9723"/>
      <sheetName val="RIG_027-ASSETS-AFTER_30_JUN_923"/>
      <sheetName val="KHUSUS_MULTICARD_200810"/>
      <sheetName val="data_(2)10"/>
      <sheetName val="Monthly_Recap9"/>
      <sheetName val="Permanent_info9"/>
      <sheetName val="name"/>
      <sheetName val="Laba Kotor"/>
      <sheetName val="BS PL Summary(TB)"/>
      <sheetName val="MTD_Flash_Report"/>
      <sheetName val="Power"/>
      <sheetName val="KURS"/>
      <sheetName val="PPh 23,4(2),15, 26"/>
      <sheetName val="Tenant"/>
      <sheetName val="DEPK2003"/>
      <sheetName val="Monthly RecapLO"/>
      <sheetName val="PPh_23,4(2),15,_26"/>
      <sheetName val="Monthly_RecapLO"/>
      <sheetName val="REKAP PPH"/>
      <sheetName val="penlainkp98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Opening"/>
      <sheetName val="TAX LIST"/>
      <sheetName val="master"/>
      <sheetName val="Range"/>
      <sheetName val="Permanent info"/>
      <sheetName val="Bobot rev"/>
      <sheetName val="NAMA ITEM"/>
      <sheetName val="CODE"/>
      <sheetName val="SheetGMP"/>
      <sheetName val="SheetGMT"/>
      <sheetName val="Price"/>
      <sheetName val="SUMMARY"/>
      <sheetName val="SAA"/>
      <sheetName val="WPL"/>
      <sheetName val="Sheet1"/>
      <sheetName val="MSC Product Characteristics"/>
      <sheetName val="tb"/>
      <sheetName val="BTR"/>
      <sheetName val="BGR"/>
      <sheetName val="BKS"/>
      <sheetName val="GLOBAL"/>
      <sheetName val="Nama Perusahaan"/>
      <sheetName val="mat&amp;upah"/>
      <sheetName val="Orders"/>
      <sheetName val="Sheet2"/>
      <sheetName val="ALL"/>
      <sheetName val="Data Supp _Monthly_"/>
      <sheetName val="FA Fiscal"/>
      <sheetName val="IS"/>
      <sheetName val="MW"/>
      <sheetName val="BSAA"/>
      <sheetName val="Credit-22"/>
      <sheetName val="Cost Code"/>
      <sheetName val="LabaRugi"/>
      <sheetName val="CD&amp;Stok"/>
      <sheetName val="Neraca"/>
      <sheetName val="Permanent_info"/>
      <sheetName val="TAX_LIST"/>
      <sheetName val="Bobot_rev"/>
      <sheetName val="NAMA_ITEM"/>
      <sheetName val="F1771-V"/>
      <sheetName val="Links"/>
      <sheetName val="Lead"/>
      <sheetName val="Sheet3"/>
      <sheetName val="AUG02"/>
      <sheetName val="UV.10"/>
      <sheetName val="LP-PENJ-EKSKUTIF-LP-2"/>
      <sheetName val="Name"/>
      <sheetName val="Permanent_info1"/>
      <sheetName val="TAX_LIST1"/>
      <sheetName val="Bobot_rev1"/>
      <sheetName val="NAMA_ITEM1"/>
      <sheetName val="RAB"/>
      <sheetName val="K5"/>
      <sheetName val="Progres Rasio LR"/>
      <sheetName val="B - Norelec"/>
      <sheetName val="Simple Coff."/>
      <sheetName val="Master Price List"/>
      <sheetName val="KONS2008"/>
      <sheetName val="MSC_Product_Characteristics"/>
      <sheetName val="Nama_Perusahaan"/>
      <sheetName val="Data_Supp__Monthly_"/>
      <sheetName val="FA_Fiscal"/>
      <sheetName val="Cost_Code"/>
      <sheetName val="UV_10"/>
      <sheetName val="Progres_Rasio_LR"/>
      <sheetName val="B_-_Norelec"/>
      <sheetName val="Simple_Coff_"/>
      <sheetName val="Master_Price_List"/>
      <sheetName val="Biaya Departemen"/>
      <sheetName val="TBM"/>
      <sheetName val="AKUN"/>
      <sheetName val="Harga"/>
      <sheetName val="Permanent_info2"/>
      <sheetName val="TAX_LIST2"/>
      <sheetName val="Bobot_rev2"/>
      <sheetName val="NAMA_ITEM2"/>
      <sheetName val="MSC_Product_Characteristics1"/>
      <sheetName val="Nama_Perusahaan1"/>
      <sheetName val="Data_Supp__Monthly_1"/>
      <sheetName val="FA_Fiscal1"/>
      <sheetName val="Cost_Code1"/>
      <sheetName val="UV_101"/>
      <sheetName val="Progres_Rasio_LR1"/>
      <sheetName val="B_-_Norelec1"/>
      <sheetName val="Simple_Coff_1"/>
      <sheetName val="Master_Price_List1"/>
      <sheetName val="Biaya_Departemen"/>
      <sheetName val="pesd_bahan"/>
      <sheetName val="ARC_SEGMENT"/>
      <sheetName val="Ex-Rate"/>
      <sheetName val="Family"/>
      <sheetName val="Assumptions"/>
      <sheetName val="LOOKUP"/>
      <sheetName val="UPAH + ALAT"/>
      <sheetName val="DATA WP"/>
      <sheetName val="MALE"/>
      <sheetName val="SING"/>
      <sheetName val="SRI L"/>
      <sheetName val="VIET"/>
      <sheetName val="Check on 8.10.2003"/>
      <sheetName val="Rekap"/>
      <sheetName val="D4"/>
      <sheetName val="D6"/>
      <sheetName val="D7"/>
      <sheetName val="D8"/>
      <sheetName val="CUACA"/>
      <sheetName val="Table Array"/>
      <sheetName val="MT"/>
      <sheetName val="cc_Link"/>
      <sheetName val="charts"/>
      <sheetName val="skenario"/>
      <sheetName val="JSiar"/>
      <sheetName val="PB(B)"/>
      <sheetName val="DOC"/>
      <sheetName val="FEED"/>
      <sheetName val="Equipment"/>
      <sheetName val="tabel nilai"/>
      <sheetName val="Type"/>
      <sheetName val="Data Jual"/>
      <sheetName val="Revenue"/>
      <sheetName val="Macro5"/>
      <sheetName val="Detail_FA"/>
      <sheetName val="KKP 01 Audit"/>
      <sheetName val="RJ"/>
      <sheetName val="Info"/>
      <sheetName val="Daftar Customer"/>
      <sheetName val="P90"/>
      <sheetName val="BANGUNAN"/>
      <sheetName val="KODE"/>
      <sheetName val="TP"/>
      <sheetName val="Projection 2007 Medan"/>
      <sheetName val="Projection 2007 PSVN"/>
      <sheetName val="NO AKUN (2)"/>
      <sheetName val="FKT_PJK"/>
      <sheetName val="Audited"/>
      <sheetName val="Hrg.Sat"/>
      <sheetName val="BSliRp"/>
      <sheetName val="DATA"/>
      <sheetName val="Total"/>
      <sheetName val="Material"/>
      <sheetName val="Upah"/>
      <sheetName val="Attachment"/>
      <sheetName val="Summary Fiscal Adjustment"/>
      <sheetName val="Daftar Koreksi Positif"/>
      <sheetName val="Rekon FA "/>
      <sheetName val="Add (Eng)"/>
      <sheetName val="GainLoss"/>
      <sheetName val="Fiscal Depreciation"/>
      <sheetName val="Exit Fiscal (Eng)"/>
      <sheetName val="Interest income"/>
      <sheetName val="7.1(3)"/>
      <sheetName val="RKAP"/>
      <sheetName val="HSBahan"/>
      <sheetName val="Harsat Mat"/>
      <sheetName val="monthly"/>
      <sheetName val="ODC Indonesia"/>
      <sheetName val="Basic MCS 06"/>
      <sheetName val="Factor"/>
      <sheetName val="2002"/>
      <sheetName val="Mar"/>
      <sheetName val="326BQSTC"/>
      <sheetName val="Standar"/>
      <sheetName val="Mandays karyawan"/>
      <sheetName val="M.GC"/>
      <sheetName val="Oilpalm Profile"/>
      <sheetName val="LC_3"/>
      <sheetName val="Rek_LC"/>
      <sheetName val="LC_2"/>
      <sheetName val="CType"/>
      <sheetName val="harsat"/>
      <sheetName val="TAX_LIST3"/>
      <sheetName val="Permanent_info3"/>
      <sheetName val="Bobot_rev3"/>
      <sheetName val="NAMA_ITEM3"/>
      <sheetName val="Nama_Perusahaan2"/>
      <sheetName val="MSC_Product_Characteristics2"/>
      <sheetName val="Data_Supp__Monthly_2"/>
      <sheetName val="FA_Fiscal2"/>
      <sheetName val="Cost_Code2"/>
      <sheetName val="Progres_Rasio_LR2"/>
      <sheetName val="B_-_Norelec2"/>
      <sheetName val="Simple_Coff_2"/>
      <sheetName val="Master_Price_List2"/>
      <sheetName val="UV_102"/>
      <sheetName val="Biaya_Departemen1"/>
      <sheetName val="TAX_LIST4"/>
      <sheetName val="Permanent_info4"/>
      <sheetName val="Bobot_rev4"/>
      <sheetName val="NAMA_ITEM4"/>
      <sheetName val="Nama_Perusahaan3"/>
      <sheetName val="MSC_Product_Characteristics3"/>
      <sheetName val="Data_Supp__Monthly_3"/>
      <sheetName val="FA_Fiscal3"/>
      <sheetName val="Cost_Code3"/>
      <sheetName val="Progres_Rasio_LR3"/>
      <sheetName val="B_-_Norelec3"/>
      <sheetName val="Simple_Coff_3"/>
      <sheetName val="Master_Price_List3"/>
      <sheetName val="UV_103"/>
      <sheetName val="Biaya_Departemen2"/>
      <sheetName val="Bekisting"/>
      <sheetName val="Bab10"/>
      <sheetName val="Alat"/>
      <sheetName val="MAPP"/>
      <sheetName val="grail"/>
      <sheetName val="Kinerja Proyek"/>
      <sheetName val="Ranking-LK"/>
      <sheetName val="target raker2"/>
      <sheetName val="Arsitektur"/>
      <sheetName val="As"/>
      <sheetName val="tabel"/>
      <sheetName val="TAX_LIST7"/>
      <sheetName val="Permanent_info7"/>
      <sheetName val="Bobot_rev7"/>
      <sheetName val="NAMA_ITEM7"/>
      <sheetName val="Nama_Perusahaan6"/>
      <sheetName val="MSC_Product_Characteristics6"/>
      <sheetName val="Data_Supp__Monthly_6"/>
      <sheetName val="FA_Fiscal6"/>
      <sheetName val="Cost_Code6"/>
      <sheetName val="Progres_Rasio_LR6"/>
      <sheetName val="B_-_Norelec6"/>
      <sheetName val="Simple_Coff_6"/>
      <sheetName val="Master_Price_List6"/>
      <sheetName val="UV_106"/>
      <sheetName val="Biaya_Departemen5"/>
      <sheetName val="TAX_LIST5"/>
      <sheetName val="Permanent_info5"/>
      <sheetName val="Bobot_rev5"/>
      <sheetName val="NAMA_ITEM5"/>
      <sheetName val="Nama_Perusahaan4"/>
      <sheetName val="MSC_Product_Characteristics4"/>
      <sheetName val="Data_Supp__Monthly_4"/>
      <sheetName val="FA_Fiscal4"/>
      <sheetName val="Cost_Code4"/>
      <sheetName val="Progres_Rasio_LR4"/>
      <sheetName val="B_-_Norelec4"/>
      <sheetName val="Simple_Coff_4"/>
      <sheetName val="Master_Price_List4"/>
      <sheetName val="UV_104"/>
      <sheetName val="Biaya_Departemen3"/>
      <sheetName val="TAX_LIST6"/>
      <sheetName val="Permanent_info6"/>
      <sheetName val="Bobot_rev6"/>
      <sheetName val="NAMA_ITEM6"/>
      <sheetName val="Nama_Perusahaan5"/>
      <sheetName val="MSC_Product_Characteristics5"/>
      <sheetName val="Data_Supp__Monthly_5"/>
      <sheetName val="FA_Fiscal5"/>
      <sheetName val="Cost_Code5"/>
      <sheetName val="Progres_Rasio_LR5"/>
      <sheetName val="B_-_Norelec5"/>
      <sheetName val="Simple_Coff_5"/>
      <sheetName val="Master_Price_List5"/>
      <sheetName val="UV_105"/>
      <sheetName val="Biaya_Departemen4"/>
      <sheetName val="Rkp(1)"/>
      <sheetName val="COVER"/>
      <sheetName val="Template"/>
      <sheetName val="D.BOARD"/>
      <sheetName val="LUMPSUM"/>
      <sheetName val="rkp"/>
      <sheetName val="map"/>
      <sheetName val="DASH"/>
      <sheetName val="BPS"/>
      <sheetName val="A"/>
      <sheetName val="Breakdown"/>
      <sheetName val="SDM"/>
      <sheetName val="PriceList"/>
      <sheetName val="KKP-II.2.2.1.2"/>
      <sheetName val="MTD_Flash_Report"/>
      <sheetName val="Power"/>
      <sheetName val="COV"/>
      <sheetName val="LAMP_2.2"/>
      <sheetName val="H.Satuan"/>
      <sheetName val="610.05"/>
      <sheetName val="TRBP"/>
      <sheetName val="Tariptunda"/>
      <sheetName val="Met_ Minor"/>
      <sheetName val="Tanah"/>
      <sheetName val="Pag_hal"/>
      <sheetName val="INPUT"/>
      <sheetName val="Basic P"/>
      <sheetName val="hardas"/>
      <sheetName val="ListAnalisa"/>
      <sheetName val="NP"/>
      <sheetName val="DB"/>
      <sheetName val="Hsatuan-OK"/>
      <sheetName val="Monitor"/>
      <sheetName val="New MADC"/>
      <sheetName val="GP-WB"/>
      <sheetName val="HRG UPAH BAHAN"/>
      <sheetName val="TEKNIS"/>
      <sheetName val="Macro1"/>
      <sheetName val="Link Budget"/>
      <sheetName val="S-1"/>
      <sheetName val="KEND"/>
      <sheetName val="table"/>
      <sheetName val="TERMINAL"/>
      <sheetName val="Source"/>
      <sheetName val="igp_alt4"/>
      <sheetName val="HRPar"/>
      <sheetName val="BK-PU"/>
      <sheetName val="An HarSatPek"/>
      <sheetName val="Sat Bah &amp; Up"/>
      <sheetName val="Struk"/>
      <sheetName val="hasat"/>
      <sheetName val="Harga satuan"/>
      <sheetName val="Upah+Bahan"/>
      <sheetName val="RIG 134-ASSETS APR 97"/>
      <sheetName val="RIG 027-ASSETS-AFTER 30 JUN 97"/>
      <sheetName val="gaji"/>
      <sheetName val="data (2)"/>
      <sheetName val="bau"/>
      <sheetName val="Harga Sat"/>
      <sheetName val="Sales Parameter"/>
      <sheetName val="est proy"/>
      <sheetName val="HS"/>
      <sheetName val="RPP01 6"/>
      <sheetName val="cons workpapers"/>
      <sheetName val="equity of abacus"/>
      <sheetName val="lamplr_0 agustus 2008"/>
      <sheetName val="MENU"/>
      <sheetName val="jvr"/>
      <sheetName val="รหัสพนักงาน"/>
      <sheetName val="SD"/>
      <sheetName val="Marsall-EI-2001-Revision-email"/>
      <sheetName val="INV. 0076"/>
      <sheetName val="PARAMETER"/>
      <sheetName val="note_defect"/>
      <sheetName val="dariastek"/>
      <sheetName val="#REF!"/>
      <sheetName val="DATABASE"/>
      <sheetName val="TU"/>
      <sheetName val="Analisa"/>
      <sheetName val="MMR DET"/>
      <sheetName val="GL"/>
      <sheetName val="MSC-L5"/>
      <sheetName val="FF-3"/>
      <sheetName val="Sheet1 (3)"/>
      <sheetName val="Bank"/>
      <sheetName val="Hargamat"/>
      <sheetName val="MATERIALFINAL"/>
      <sheetName val="List PT"/>
      <sheetName val="HargaBahan"/>
      <sheetName val="DAF-7"/>
      <sheetName val="PAD-F"/>
      <sheetName val="rumus"/>
      <sheetName val="TL"/>
      <sheetName val="Unit Rate"/>
      <sheetName val="WT-LIST"/>
      <sheetName val="Data_Umum"/>
      <sheetName val="T-3.2 UP Material"/>
      <sheetName val="Basic Price"/>
      <sheetName val="STOK MAT"/>
      <sheetName val="Cash2"/>
      <sheetName val="BasicPrice"/>
      <sheetName val="input data umum"/>
      <sheetName val="bd"/>
      <sheetName val="HARGA MATERIAL"/>
      <sheetName val="ANALISA-SNI"/>
      <sheetName val="div 7"/>
      <sheetName val="Analisa K"/>
      <sheetName val="L-Mechanical"/>
      <sheetName val="Z"/>
      <sheetName val="Plumbing"/>
      <sheetName val="bbt-1999"/>
      <sheetName val="Div2"/>
      <sheetName val="L3 An H Sat Mob"/>
      <sheetName val="DATAOKT"/>
      <sheetName val="Bill_Qua"/>
      <sheetName val="AnAlat"/>
      <sheetName val="Option List"/>
      <sheetName val="ANAL.BOW"/>
      <sheetName val="TABEL-DETASIR"/>
      <sheetName val="ABSEN"/>
      <sheetName val="UPAH_B_KAS"/>
      <sheetName val="UPAH_B_KAS _2_"/>
      <sheetName val="T_TANGAN"/>
      <sheetName val="Analisa SNI STANDART "/>
      <sheetName val="S-Curve"/>
      <sheetName val="bahan"/>
      <sheetName val="PersList"/>
      <sheetName val="Stay Cable PDMR2"/>
      <sheetName val="escon"/>
      <sheetName val="Anls"/>
      <sheetName val="BASIC"/>
      <sheetName val="harga "/>
      <sheetName val="Material&amp;Alat"/>
      <sheetName val="UPH"/>
      <sheetName val="Fill this out first..."/>
      <sheetName val="AN-MAJOR"/>
      <sheetName val="DKH SOKER"/>
      <sheetName val="Rekapitulasi"/>
      <sheetName val="7.PEK-STRUKTUR"/>
      <sheetName val="Param"/>
      <sheetName val="HARGA DASAR"/>
      <sheetName val="DATA2009"/>
      <sheetName val="Data-Masukan"/>
      <sheetName val="resume rkap"/>
      <sheetName val="resume"/>
      <sheetName val="jan"/>
      <sheetName val="FEB"/>
      <sheetName val="BHN-ALAT"/>
      <sheetName val="Pipe"/>
      <sheetName val="RinciBab1_Seksi1"/>
      <sheetName val="Master Schedule"/>
      <sheetName val="DAF-1"/>
      <sheetName val="An_Basic"/>
      <sheetName val="H-Dasar"/>
      <sheetName val="412src2"/>
      <sheetName val="validation"/>
      <sheetName val="EVAL-ANAL"/>
      <sheetName val="tetrapod"/>
      <sheetName val="telp"/>
      <sheetName val="div-2"/>
      <sheetName val="amtek"/>
      <sheetName val="MasterSheet"/>
      <sheetName val="HS-2"/>
      <sheetName val="Utilitas Plant"/>
      <sheetName val="URUTAN PLANT"/>
      <sheetName val="Sch"/>
      <sheetName val="DaftarHarga"/>
      <sheetName val="BL"/>
      <sheetName val="an-satuan"/>
      <sheetName val="detil PER DIVISI"/>
      <sheetName val="Rekap Direct Cost"/>
      <sheetName val="Konfirm"/>
      <sheetName val="Schedule 11a"/>
      <sheetName val="Temporary"/>
      <sheetName val="Septick tank"/>
      <sheetName val="Subkon"/>
      <sheetName val="trans"/>
      <sheetName val="pt-perso"/>
      <sheetName val="KENDALA PRODUKSI"/>
      <sheetName val="DAF-4"/>
      <sheetName val="DAF-5"/>
      <sheetName val="iTEM hARSAT"/>
      <sheetName val="STAF"/>
      <sheetName val="HS KALIJATI"/>
      <sheetName val="Uraian Upah"/>
      <sheetName val="SchC"/>
      <sheetName val="SchA"/>
      <sheetName val="SchB"/>
      <sheetName val="ELEMENT SUM"/>
      <sheetName val="SewAlat"/>
      <sheetName val="Urai _ Guide Post"/>
      <sheetName val="Urai_Galian Tanah"/>
      <sheetName val="Mobdemobalat"/>
      <sheetName val="DKH"/>
      <sheetName val="EVALUASI"/>
      <sheetName val="jalur-TH-INI"/>
      <sheetName val="jalur-th-lalu"/>
      <sheetName val="Analis Kusen okk"/>
      <sheetName val="841"/>
      <sheetName val="311"/>
      <sheetName val="811"/>
      <sheetName val="K"/>
      <sheetName val="bialangsung"/>
      <sheetName val="SATDASAR"/>
      <sheetName val="MAJOR"/>
      <sheetName val="029Cikeas00"/>
      <sheetName val="Rupiah"/>
      <sheetName val="JUNI"/>
      <sheetName val="tp 45x45 (6)"/>
      <sheetName val="RAP"/>
      <sheetName val="july"/>
      <sheetName val="june"/>
      <sheetName val="AHS1"/>
      <sheetName val="UNDER PASS"/>
      <sheetName val="Pier Head"/>
      <sheetName val="NOTHIT"/>
      <sheetName val="Agregat Halus &amp; Kasar"/>
      <sheetName val="Bestat"/>
      <sheetName val="HarDasTenaga"/>
      <sheetName val="HarDasMat"/>
      <sheetName val="TOTAL UPAH"/>
      <sheetName val="DATA 2009"/>
      <sheetName val="DATA 2010"/>
      <sheetName val="Target Raker TW III"/>
      <sheetName val="KUB-01(10)"/>
      <sheetName val="Palikanci"/>
      <sheetName val="B1 Data"/>
      <sheetName val="MUNA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GL to Audited"/>
      <sheetName val="Marshal"/>
      <sheetName val="Other corrections"/>
      <sheetName val="Interest"/>
      <sheetName val=" art.21 recons"/>
      <sheetName val="Withholdings Recons"/>
      <sheetName val="Tax Credits"/>
      <sheetName val="Depr"/>
      <sheetName val="Add FA"/>
      <sheetName val="disposal"/>
      <sheetName val="Provisi -tax"/>
      <sheetName val="Write-off"/>
      <sheetName val="List of NPL"/>
      <sheetName val="Grey"/>
      <sheetName val="BSPL,etc"/>
      <sheetName val="Fiscal Adjustments"/>
      <sheetName val="Daftar lampiran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E-1771-VI"/>
      <sheetName val="FI-1771-VI"/>
      <sheetName val="Rules"/>
      <sheetName val="Permanent info"/>
      <sheetName val="General Info"/>
      <sheetName val="DATA WP"/>
      <sheetName val="TP"/>
      <sheetName val="Sheet2"/>
      <sheetName val="GL_to_Audited"/>
      <sheetName val="Other_corrections"/>
      <sheetName val="_art_21_recons"/>
      <sheetName val="Withholdings_Recons"/>
      <sheetName val="Tax_Credits"/>
      <sheetName val="Add_FA"/>
      <sheetName val="Provisi_-tax"/>
      <sheetName val="List_of_NPL"/>
      <sheetName val="Fiscal_Adjustments"/>
      <sheetName val="Daftar_lampiran"/>
      <sheetName val="FI-1771_P1"/>
      <sheetName val="FE-1771_P1"/>
      <sheetName val="FI-1771_P2"/>
      <sheetName val="FE-1771_P2"/>
      <sheetName val="#REF"/>
      <sheetName val="Main table"/>
      <sheetName val="รหัสพนักงาน"/>
      <sheetName val="IS"/>
      <sheetName val="Table Array"/>
      <sheetName val="Credit-22"/>
      <sheetName val="Marshal -1"/>
      <sheetName val="2002"/>
      <sheetName val="SAA"/>
      <sheetName val="SheetGMP"/>
      <sheetName val="SheetGMT"/>
      <sheetName val="Ex-Rate"/>
      <sheetName val="BSliRp"/>
      <sheetName val="BTR"/>
      <sheetName val="BGR"/>
      <sheetName val="BKS"/>
      <sheetName val="KEND"/>
      <sheetName val="dariastek"/>
      <sheetName val="TBM"/>
      <sheetName val="TR0-7 31072003 (3)"/>
      <sheetName val="BS-after AJE"/>
      <sheetName val="NAMA ITEM"/>
      <sheetName val="Nama Perusahaan"/>
      <sheetName val="ALL"/>
      <sheetName val="Data Supp _Monthly_"/>
      <sheetName val="Contents"/>
      <sheetName val="WORK ORDER"/>
      <sheetName val="Notes"/>
      <sheetName val="Depr(E)"/>
      <sheetName val="Add(E)"/>
      <sheetName val="Prov(E)"/>
      <sheetName val="WO(E)"/>
      <sheetName val="NPL(E)"/>
      <sheetName val="bspl(E)"/>
      <sheetName val="List Att"/>
      <sheetName val="Cost Code"/>
      <sheetName val="Helper"/>
      <sheetName val="BELI"/>
      <sheetName val="N-ASII"/>
      <sheetName val="GL_to_Audited2"/>
      <sheetName val="Other_corrections2"/>
      <sheetName val="_art_21_recons2"/>
      <sheetName val="Withholdings_Recons2"/>
      <sheetName val="Tax_Credits2"/>
      <sheetName val="Add_FA2"/>
      <sheetName val="Provisi_-tax2"/>
      <sheetName val="List_of_NPL2"/>
      <sheetName val="Fiscal_Adjustments2"/>
      <sheetName val="Daftar_lampiran2"/>
      <sheetName val="FI-1771_P12"/>
      <sheetName val="FE-1771_P12"/>
      <sheetName val="FI-1771_P22"/>
      <sheetName val="FE-1771_P22"/>
      <sheetName val="Permanent_info"/>
      <sheetName val="General_Info"/>
      <sheetName val="DATA_WP"/>
      <sheetName val="GL_to_Audited1"/>
      <sheetName val="Other_corrections1"/>
      <sheetName val="_art_21_recons1"/>
      <sheetName val="Withholdings_Recons1"/>
      <sheetName val="Tax_Credits1"/>
      <sheetName val="Add_FA1"/>
      <sheetName val="Provisi_-tax1"/>
      <sheetName val="List_of_NPL1"/>
      <sheetName val="Fiscal_Adjustments1"/>
      <sheetName val="Daftar_lampiran1"/>
      <sheetName val="FI-1771_P11"/>
      <sheetName val="FE-1771_P11"/>
      <sheetName val="FI-1771_P21"/>
      <sheetName val="FE-1771_P21"/>
      <sheetName val="SCORE_RC_Code"/>
      <sheetName val="Simple Coff."/>
      <sheetName val="master"/>
      <sheetName val=""/>
      <sheetName val="RATE 2008"/>
      <sheetName val="P&amp;L"/>
      <sheetName val="Name"/>
      <sheetName val="NAP"/>
      <sheetName val="FE_1770_P1"/>
      <sheetName val="Marshal_-1"/>
      <sheetName val="Main_table"/>
      <sheetName val="Table_Array"/>
      <sheetName val="NAMA_ITEM"/>
      <sheetName val="fr BS"/>
      <sheetName val="GL_to_Audited3"/>
      <sheetName val="Other_corrections3"/>
      <sheetName val="_art_21_recons3"/>
      <sheetName val="Withholdings_Recons3"/>
      <sheetName val="Tax_Credits3"/>
      <sheetName val="Add_FA3"/>
      <sheetName val="Provisi_-tax3"/>
      <sheetName val="List_of_NPL3"/>
      <sheetName val="Fiscal_Adjustments3"/>
      <sheetName val="Daftar_lampiran3"/>
      <sheetName val="FI-1771_P13"/>
      <sheetName val="FE-1771_P13"/>
      <sheetName val="FI-1771_P23"/>
      <sheetName val="FE-1771_P23"/>
      <sheetName val="Permanent_info1"/>
      <sheetName val="General_Info1"/>
      <sheetName val="DATA_WP1"/>
      <sheetName val="cons_workpapers"/>
      <sheetName val="Ket"/>
      <sheetName val="Main_table1"/>
      <sheetName val="Table_Array1"/>
      <sheetName val="Marshal_-11"/>
      <sheetName val="TR0-7_31072003_(3)"/>
      <sheetName val="BS-after_AJE"/>
      <sheetName val="NAMA_ITEM1"/>
      <sheetName val="Nama_Perusahaan"/>
      <sheetName val="Data_Supp__Monthly_"/>
      <sheetName val="WORK_ORDER"/>
      <sheetName val="Cost_Code"/>
      <sheetName val="List_Att"/>
      <sheetName val="Simple_Coff_"/>
      <sheetName val="RATE_2008"/>
      <sheetName val="fr_BS"/>
      <sheetName val="F1771-V"/>
      <sheetName val="JAN 08"/>
      <sheetName val="SUMMARY"/>
      <sheetName val="GL_to_Audited4"/>
      <sheetName val="Other_corrections4"/>
      <sheetName val="_art_21_recons4"/>
      <sheetName val="Withholdings_Recons4"/>
      <sheetName val="Tax_Credits4"/>
      <sheetName val="Add_FA4"/>
      <sheetName val="Provisi_-tax4"/>
      <sheetName val="List_of_NPL4"/>
      <sheetName val="Fiscal_Adjustments4"/>
      <sheetName val="Daftar_lampiran4"/>
      <sheetName val="FI-1771_P14"/>
      <sheetName val="FE-1771_P14"/>
      <sheetName val="FI-1771_P24"/>
      <sheetName val="FE-1771_P24"/>
      <sheetName val="Permanent_info2"/>
      <sheetName val="General_Info2"/>
      <sheetName val="DATA_WP2"/>
      <sheetName val="Main_table2"/>
      <sheetName val="Table_Array2"/>
      <sheetName val="Marshal_-12"/>
      <sheetName val="TR0-7_31072003_(3)1"/>
      <sheetName val="BS-after_AJE1"/>
      <sheetName val="NAMA_ITEM2"/>
      <sheetName val="Nama_Perusahaan1"/>
      <sheetName val="Data_Supp__Monthly_1"/>
      <sheetName val="WORK_ORDER1"/>
      <sheetName val="Cost_Code1"/>
      <sheetName val="List_Att1"/>
      <sheetName val="RATE_20081"/>
      <sheetName val="fr_BS1"/>
      <sheetName val="Simple_Coff_1"/>
      <sheetName val="LabaRugi"/>
      <sheetName val="CD&amp;Stok"/>
      <sheetName val="Neraca"/>
      <sheetName val="Instructions"/>
      <sheetName val="Total_Cost"/>
      <sheetName val="tax-ss"/>
      <sheetName val="Input Acts-Fcst"/>
      <sheetName val="Input Acts-Fcst Restate-BB"/>
      <sheetName val="Rumus"/>
      <sheetName val="Sheet1"/>
      <sheetName val="harga"/>
      <sheetName val="tabel nilai"/>
      <sheetName val="GL"/>
      <sheetName val="kkp"/>
      <sheetName val="Orders"/>
      <sheetName val="Rekap"/>
      <sheetName val="ASS"/>
      <sheetName val="Cover"/>
      <sheetName val="monthly"/>
      <sheetName val="data (2)"/>
      <sheetName val="budget idr"/>
      <sheetName val="1771"/>
      <sheetName val="1771.2"/>
      <sheetName val="tb"/>
      <sheetName val="Tabel Referensi"/>
      <sheetName val="Form B"/>
      <sheetName val="Form A"/>
      <sheetName val="Opening"/>
      <sheetName val="BDO"/>
      <sheetName val="NERD"/>
      <sheetName val="As"/>
      <sheetName val="JAN_08"/>
      <sheetName val="Input_Acts-Fcst"/>
      <sheetName val="Input_Acts-Fcst_Restate-BB"/>
      <sheetName val="Tabel_Referensi"/>
      <sheetName val="Detail_FA"/>
      <sheetName val="Level 1-3 Listing"/>
      <sheetName val="Profile"/>
      <sheetName val="MRC1"/>
      <sheetName val="NO AKUN (2)"/>
      <sheetName val="#REF!"/>
      <sheetName val="DBS-CITR2001"/>
      <sheetName val="TB 2006"/>
      <sheetName val="tabel"/>
      <sheetName val="Standar"/>
      <sheetName val="RJ"/>
      <sheetName val="Links"/>
      <sheetName val="Lead"/>
      <sheetName val="Labor"/>
      <sheetName val="9"/>
      <sheetName val="Kontrol"/>
      <sheetName val="Penjualan"/>
      <sheetName val="ProdSendiri"/>
      <sheetName val="PS&amp;Susut TL"/>
      <sheetName val="SewaBeli"/>
      <sheetName val="Transfer"/>
      <sheetName val="Listing"/>
      <sheetName val="DATA"/>
      <sheetName val="Kode Jabatan UPMKR 2012"/>
      <sheetName val="12013"/>
      <sheetName val="2"/>
      <sheetName val="UPAH + ALAT"/>
      <sheetName val="PARAMETER"/>
      <sheetName val="VAT out"/>
      <sheetName val="Data_CA.3.1"/>
      <sheetName val="Data_CA.3.2"/>
      <sheetName val="Data_CA.1_DN_LN"/>
      <sheetName val="Data_ArusKas"/>
      <sheetName val="Data_Neraca_Detail"/>
      <sheetName val="WIPF0506"/>
      <sheetName val="Domestic Leg"/>
      <sheetName val="Foreign leg"/>
      <sheetName val="Foreign Leg Acc Crv"/>
      <sheetName val="Foreign Leg Disc Crv"/>
      <sheetName val="Scenarios and Sensitivities"/>
      <sheetName val="Operations"/>
      <sheetName val="Financials"/>
      <sheetName val="Global Assumptions"/>
      <sheetName val="PER ABJAD"/>
      <sheetName val="Type"/>
      <sheetName val="pesd_bahan"/>
      <sheetName val="A1-B ASSET"/>
      <sheetName val="master supplier"/>
      <sheetName val="RKAP"/>
      <sheetName val="General"/>
      <sheetName val="Mar 1"/>
      <sheetName val="INPUT SHEET"/>
      <sheetName val="Marketing"/>
      <sheetName val="KKP-II.2.2.1.2"/>
      <sheetName val="HSBahan"/>
      <sheetName val="Hrg.Sat"/>
      <sheetName val="Analisa"/>
      <sheetName val="FE-1771$.P1"/>
      <sheetName val="DATA VALUASI"/>
      <sheetName val="COA"/>
      <sheetName val="MULTIPERIOD RETURNS"/>
      <sheetName val="BLANK"/>
      <sheetName val="Vessel"/>
      <sheetName val="GL_to_Audited5"/>
      <sheetName val="Other_corrections5"/>
      <sheetName val="_art_21_recons5"/>
      <sheetName val="Withholdings_Recons5"/>
      <sheetName val="Tax_Credits5"/>
      <sheetName val="Add_FA5"/>
      <sheetName val="Provisi_-tax5"/>
      <sheetName val="List_of_NPL5"/>
      <sheetName val="Fiscal_Adjustments5"/>
      <sheetName val="Daftar_lampiran5"/>
      <sheetName val="FI-1771_P15"/>
      <sheetName val="FE-1771_P15"/>
      <sheetName val="FI-1771_P25"/>
      <sheetName val="FE-1771_P25"/>
      <sheetName val="Permanent_info3"/>
      <sheetName val="General_Info3"/>
      <sheetName val="DATA_WP3"/>
      <sheetName val="TR0-7_31072003_(3)2"/>
      <sheetName val="BS-after_AJE2"/>
      <sheetName val="Main_table3"/>
      <sheetName val="Table_Array3"/>
      <sheetName val="Marshal_-13"/>
      <sheetName val="NAMA_ITEM3"/>
      <sheetName val="Data_Supp__Monthly_2"/>
      <sheetName val="WORK_ORDER2"/>
      <sheetName val="Nama_Perusahaan2"/>
      <sheetName val="List_Att2"/>
      <sheetName val="Cost_Code2"/>
      <sheetName val="Simple_Coff_2"/>
      <sheetName val="fr_BS2"/>
      <sheetName val="RATE_20082"/>
      <sheetName val="GL_to_Audited6"/>
      <sheetName val="Other_corrections6"/>
      <sheetName val="_art_21_recons6"/>
      <sheetName val="Withholdings_Recons6"/>
      <sheetName val="Tax_Credits6"/>
      <sheetName val="Add_FA6"/>
      <sheetName val="Provisi_-tax6"/>
      <sheetName val="List_of_NPL6"/>
      <sheetName val="Fiscal_Adjustments6"/>
      <sheetName val="Daftar_lampiran6"/>
      <sheetName val="FI-1771_P16"/>
      <sheetName val="FE-1771_P16"/>
      <sheetName val="FI-1771_P26"/>
      <sheetName val="FE-1771_P26"/>
      <sheetName val="Permanent_info4"/>
      <sheetName val="General_Info4"/>
      <sheetName val="DATA_WP4"/>
      <sheetName val="TR0-7_31072003_(3)3"/>
      <sheetName val="BS-after_AJE3"/>
      <sheetName val="Main_table4"/>
      <sheetName val="Table_Array4"/>
      <sheetName val="Marshal_-14"/>
      <sheetName val="NAMA_ITEM4"/>
      <sheetName val="Data_Supp__Monthly_3"/>
      <sheetName val="WORK_ORDER3"/>
      <sheetName val="Nama_Perusahaan3"/>
      <sheetName val="List_Att3"/>
      <sheetName val="Cost_Code3"/>
      <sheetName val="Simple_Coff_3"/>
      <sheetName val="fr_BS3"/>
      <sheetName val="RATE_20083"/>
      <sheetName val="JAN_081"/>
      <sheetName val="Input_Acts-Fcst1"/>
      <sheetName val="Input_Acts-Fcst_Restate-BB1"/>
      <sheetName val="SDM"/>
      <sheetName val="prd01-6"/>
      <sheetName val="6106"/>
      <sheetName val="Kinerja Proyek"/>
      <sheetName val="Ranking-LK"/>
      <sheetName val="target raker2"/>
      <sheetName val="Div2"/>
      <sheetName val="PBTR (Kab. Pemalang)"/>
      <sheetName val="PPTR"/>
      <sheetName val="JSB"/>
      <sheetName val="JMKT"/>
      <sheetName val="WBW"/>
      <sheetName val="SNJ "/>
      <sheetName val="SUMARY"/>
      <sheetName val="rencana 2017"/>
      <sheetName val="resume SPP"/>
      <sheetName val="SKEMA"/>
      <sheetName val="Skema DTT"/>
      <sheetName val="LAP DTT"/>
      <sheetName val="Timeline"/>
      <sheetName val="COF"/>
      <sheetName val="Data Tdk dibayar LMAN"/>
      <sheetName val="paspro non psn"/>
      <sheetName val="wbw non psn"/>
      <sheetName val="komparasi"/>
      <sheetName val="cons workpapers"/>
      <sheetName val="3800"/>
      <sheetName val="J1"/>
      <sheetName val="D.BOARD"/>
      <sheetName val="BasicPrice"/>
      <sheetName val="GL_to_Audited9"/>
      <sheetName val="Other_corrections9"/>
      <sheetName val="_art_21_recons9"/>
      <sheetName val="Withholdings_Recons9"/>
      <sheetName val="Tax_Credits9"/>
      <sheetName val="Add_FA9"/>
      <sheetName val="Provisi_-tax9"/>
      <sheetName val="List_of_NPL9"/>
      <sheetName val="Fiscal_Adjustments9"/>
      <sheetName val="Daftar_lampiran9"/>
      <sheetName val="FI-1771_P19"/>
      <sheetName val="FE-1771_P19"/>
      <sheetName val="FI-1771_P29"/>
      <sheetName val="FE-1771_P29"/>
      <sheetName val="Permanent_info7"/>
      <sheetName val="General_Info7"/>
      <sheetName val="DATA_WP7"/>
      <sheetName val="TR0-7_31072003_(3)6"/>
      <sheetName val="BS-after_AJE6"/>
      <sheetName val="Main_table7"/>
      <sheetName val="Table_Array7"/>
      <sheetName val="Marshal_-17"/>
      <sheetName val="NAMA_ITEM7"/>
      <sheetName val="Data_Supp__Monthly_6"/>
      <sheetName val="WORK_ORDER6"/>
      <sheetName val="Nama_Perusahaan6"/>
      <sheetName val="List_Att6"/>
      <sheetName val="Cost_Code6"/>
      <sheetName val="Simple_Coff_6"/>
      <sheetName val="fr_BS6"/>
      <sheetName val="RATE_20086"/>
      <sheetName val="JAN_084"/>
      <sheetName val="Input_Acts-Fcst4"/>
      <sheetName val="Input_Acts-Fcst_Restate-BB4"/>
      <sheetName val="GL_to_Audited7"/>
      <sheetName val="Other_corrections7"/>
      <sheetName val="_art_21_recons7"/>
      <sheetName val="Withholdings_Recons7"/>
      <sheetName val="Tax_Credits7"/>
      <sheetName val="Add_FA7"/>
      <sheetName val="Provisi_-tax7"/>
      <sheetName val="List_of_NPL7"/>
      <sheetName val="Fiscal_Adjustments7"/>
      <sheetName val="Daftar_lampiran7"/>
      <sheetName val="FI-1771_P17"/>
      <sheetName val="FE-1771_P17"/>
      <sheetName val="FI-1771_P27"/>
      <sheetName val="FE-1771_P27"/>
      <sheetName val="Permanent_info5"/>
      <sheetName val="General_Info5"/>
      <sheetName val="DATA_WP5"/>
      <sheetName val="TR0-7_31072003_(3)4"/>
      <sheetName val="BS-after_AJE4"/>
      <sheetName val="Main_table5"/>
      <sheetName val="Table_Array5"/>
      <sheetName val="Marshal_-15"/>
      <sheetName val="NAMA_ITEM5"/>
      <sheetName val="Data_Supp__Monthly_4"/>
      <sheetName val="WORK_ORDER4"/>
      <sheetName val="Nama_Perusahaan4"/>
      <sheetName val="List_Att4"/>
      <sheetName val="Cost_Code4"/>
      <sheetName val="Simple_Coff_4"/>
      <sheetName val="fr_BS4"/>
      <sheetName val="RATE_20084"/>
      <sheetName val="JAN_082"/>
      <sheetName val="Input_Acts-Fcst2"/>
      <sheetName val="Input_Acts-Fcst_Restate-BB2"/>
      <sheetName val="GL_to_Audited8"/>
      <sheetName val="Other_corrections8"/>
      <sheetName val="_art_21_recons8"/>
      <sheetName val="Withholdings_Recons8"/>
      <sheetName val="Tax_Credits8"/>
      <sheetName val="Add_FA8"/>
      <sheetName val="Provisi_-tax8"/>
      <sheetName val="List_of_NPL8"/>
      <sheetName val="Fiscal_Adjustments8"/>
      <sheetName val="Daftar_lampiran8"/>
      <sheetName val="FI-1771_P18"/>
      <sheetName val="FE-1771_P18"/>
      <sheetName val="FI-1771_P28"/>
      <sheetName val="FE-1771_P28"/>
      <sheetName val="Permanent_info6"/>
      <sheetName val="General_Info6"/>
      <sheetName val="DATA_WP6"/>
      <sheetName val="TR0-7_31072003_(3)5"/>
      <sheetName val="BS-after_AJE5"/>
      <sheetName val="Main_table6"/>
      <sheetName val="Table_Array6"/>
      <sheetName val="Marshal_-16"/>
      <sheetName val="NAMA_ITEM6"/>
      <sheetName val="Data_Supp__Monthly_5"/>
      <sheetName val="WORK_ORDER5"/>
      <sheetName val="Nama_Perusahaan5"/>
      <sheetName val="List_Att5"/>
      <sheetName val="Cost_Code5"/>
      <sheetName val="Simple_Coff_5"/>
      <sheetName val="fr_BS5"/>
      <sheetName val="RATE_20085"/>
      <sheetName val="JAN_083"/>
      <sheetName val="Input_Acts-Fcst3"/>
      <sheetName val="Input_Acts-Fcst_Restate-BB3"/>
      <sheetName val="LUMPSUM"/>
      <sheetName val="terbilang"/>
      <sheetName val="FKT_PJK"/>
      <sheetName val="Breakdown"/>
      <sheetName val="UnitRateA.1.II"/>
      <sheetName val="rkp"/>
      <sheetName val="map"/>
      <sheetName val="Audited"/>
      <sheetName val="MI(data base)"/>
      <sheetName val="RANKING PELAPORAN"/>
      <sheetName val="Schedule 11a"/>
      <sheetName val="Temporary"/>
      <sheetName val="Septick tank"/>
      <sheetName val="Subkon"/>
      <sheetName val="DB"/>
      <sheetName val="Analysis"/>
      <sheetName val="H.Satuan"/>
      <sheetName val="B1 Data"/>
      <sheetName val="Assumptions"/>
      <sheetName val="Agregat Halus &amp; Kasar"/>
      <sheetName val="PDCC"/>
      <sheetName val="SPI GMBH"/>
      <sheetName val="UK"/>
      <sheetName val="SPI"/>
      <sheetName val="SSI"/>
      <sheetName val="Syntegra"/>
      <sheetName val="NP (2)"/>
      <sheetName val="NP"/>
      <sheetName val="6-AGREGAT"/>
      <sheetName val="DASH"/>
      <sheetName val="INPUT"/>
      <sheetName val="BTL-Bau"/>
      <sheetName val="BTL-Persiapan"/>
      <sheetName val="BTL-alat"/>
      <sheetName val="BTL-Rupa"/>
      <sheetName val="K"/>
      <sheetName val="div 7"/>
      <sheetName val="HARGA MATERIAL"/>
      <sheetName val="uba"/>
      <sheetName val="bahan"/>
      <sheetName val="PersList"/>
      <sheetName val="ANALISA TENDER"/>
      <sheetName val="BPS"/>
      <sheetName val="Hsatuan-OK"/>
      <sheetName val="D HARGA"/>
      <sheetName val="Mobdemobalat"/>
      <sheetName val="Rekap Direct Cost"/>
      <sheetName val="Konfirm"/>
      <sheetName val="hardas"/>
      <sheetName val="Harga satuan"/>
      <sheetName val="STAF"/>
      <sheetName val="PriceList"/>
      <sheetName val="HRPar"/>
      <sheetName val="HARGA AT"/>
      <sheetName val="DB-PU"/>
      <sheetName val="TERMINAL"/>
      <sheetName val="Ref"/>
      <sheetName val="Form 2-FRG"/>
      <sheetName val="J.1 Deffered Landright"/>
      <sheetName val="Mapping"/>
      <sheetName val="PRO"/>
      <sheetName val="des"/>
      <sheetName val="DATA-BASE"/>
      <sheetName val="price"/>
      <sheetName val="A"/>
      <sheetName val="Domestic_Leg"/>
      <sheetName val="Foreign_leg"/>
      <sheetName val="Foreign_Leg_Acc_Crv"/>
      <sheetName val="Foreign_Leg_Disc_Crv"/>
      <sheetName val="Scenarios_and_Sensitivities"/>
      <sheetName val="Global_Assumptions"/>
      <sheetName val="PER_ABJAD"/>
      <sheetName val="Form_B"/>
      <sheetName val="Form_A"/>
      <sheetName val="tabel_nilai"/>
      <sheetName val="Tabel_Referensi1"/>
      <sheetName val="FE-1771$_P1"/>
      <sheetName val="DATA_VALUASI"/>
      <sheetName val="data_(2)"/>
      <sheetName val="budget_idr"/>
      <sheetName val="1771_2"/>
      <sheetName val="Level_1-3_Listing"/>
      <sheetName val="NO_AKUN_(2)"/>
      <sheetName val="TB_2006"/>
      <sheetName val="Form_2-FRG"/>
      <sheetName val="J_1_Deffered_Landright"/>
      <sheetName val="Domestic_Leg1"/>
      <sheetName val="Foreign_leg1"/>
      <sheetName val="KBB-CIB BANK"/>
      <sheetName val="RBP- 2"/>
      <sheetName val="bialangsung"/>
      <sheetName val="Lease_Deprec"/>
      <sheetName val="IS033106"/>
      <sheetName val="Total"/>
      <sheetName val="D3.1"/>
      <sheetName val="code"/>
      <sheetName val="Data_Input"/>
      <sheetName val="MSC Product Characteristics"/>
      <sheetName val="Sales"/>
      <sheetName val="Salary"/>
      <sheetName val="Master Price List"/>
      <sheetName val="List PT"/>
      <sheetName val="Foreign_Leg_Acc_Crv1"/>
      <sheetName val="Foreign_Leg_Disc_Crv1"/>
      <sheetName val="Scenarios_and_Sensitivities1"/>
      <sheetName val="Global_Assumptions1"/>
      <sheetName val="PER_ABJAD1"/>
      <sheetName val="Form_B1"/>
      <sheetName val="Form_A1"/>
      <sheetName val="tabel_nilai1"/>
      <sheetName val="Tabel_Referensi2"/>
      <sheetName val="FE-1771$_P11"/>
      <sheetName val="DATA_VALUASI1"/>
      <sheetName val="data_(2)1"/>
      <sheetName val="budget_idr1"/>
      <sheetName val="1771_21"/>
      <sheetName val="Level_1-3_Listing1"/>
      <sheetName val="NO_AKUN_(2)1"/>
      <sheetName val="TB_20061"/>
      <sheetName val="Form_2-FRG1"/>
      <sheetName val="J_1_Deffered_Landright1"/>
      <sheetName val="MSC-L5"/>
      <sheetName val="table"/>
      <sheetName val="Difference Cons"/>
      <sheetName val="Library Procedures"/>
      <sheetName val="hitung"/>
      <sheetName val="KURS"/>
      <sheetName val="KAS $"/>
      <sheetName val="Master_Produk"/>
      <sheetName val="Laba Kotor"/>
      <sheetName val="COA (2)"/>
      <sheetName val="datalist"/>
      <sheetName val="Content"/>
      <sheetName val="HQ"/>
      <sheetName val="M"/>
      <sheetName val="GOP_I"/>
      <sheetName val="By Month"/>
      <sheetName val="Worksheet"/>
      <sheetName val="f&amp;b (2)"/>
      <sheetName val="เงินกู้ธนชาติ"/>
      <sheetName val="new IFS format"/>
      <sheetName val="Data_CA_3_1"/>
      <sheetName val="Data_CA_3_2"/>
      <sheetName val="Data_CA_1_DN_LN"/>
      <sheetName val="Mar_1"/>
      <sheetName val="INPUT_SHEET"/>
      <sheetName val="Hrg_Sat"/>
      <sheetName val="VAT_out"/>
      <sheetName val="MULTIPERIOD_RETURNS"/>
      <sheetName val="PS&amp;Susut_TL"/>
      <sheetName val="cons_workpapers1"/>
      <sheetName val="Names"/>
      <sheetName val="TRBP"/>
      <sheetName val="Tariptunda"/>
      <sheetName val="D3_1"/>
      <sheetName val="TU"/>
      <sheetName val="NOTES "/>
      <sheetName val="INFORMATION"/>
      <sheetName val="Data Sheet"/>
      <sheetName val="BALANCE SHEET"/>
      <sheetName val="chemcal"/>
      <sheetName val="Menu"/>
      <sheetName val="Pipe Sup Rate"/>
      <sheetName val="Transportasi"/>
      <sheetName val=".."/>
      <sheetName val="PRODUCT"/>
      <sheetName val="cost set 92"/>
      <sheetName val="Calculation"/>
      <sheetName val="EmpData"/>
      <sheetName val="fiscal depr(E)"/>
      <sheetName val="HopCon"/>
      <sheetName val="MAR_REC"/>
      <sheetName val="DATA01-08-2004"/>
      <sheetName val="ROSS LIST"/>
      <sheetName val="Parameters"/>
      <sheetName val="103"/>
      <sheetName val="BUT-1"/>
      <sheetName val="HEX-A"/>
      <sheetName val="HEX-E"/>
      <sheetName val="I-BUT"/>
      <sheetName val="RD I-BUT"/>
      <sheetName val="Ranges"/>
      <sheetName val="Benefit"/>
      <sheetName val="MATAUANG"/>
      <sheetName val="HARSAT"/>
      <sheetName val="igp_alt4"/>
      <sheetName val="D4"/>
      <sheetName val="D6"/>
      <sheetName val="D7"/>
      <sheetName val="D8"/>
      <sheetName val="UnitR"/>
      <sheetName val="UNDER PASS"/>
      <sheetName val="ABSEN"/>
      <sheetName val="UPAH_B_KAS"/>
      <sheetName val="UPAH_B_KAS _2_"/>
      <sheetName val="T_TANGAN"/>
      <sheetName val="Pier Head"/>
      <sheetName val="412src2"/>
      <sheetName val="ListAnalisa"/>
      <sheetName val="7.공정표"/>
      <sheetName val="Uraian Upah"/>
      <sheetName val="input data umum"/>
      <sheetName val="Account"/>
      <sheetName val="A_Fin&amp;Acc Admin"/>
      <sheetName val="analis"/>
      <sheetName val="PER-HP"/>
      <sheetName val="Ex_Rate"/>
      <sheetName val="Equity"/>
      <sheetName val="Subsidiary Manager"/>
      <sheetName val="HargaBahan"/>
      <sheetName val="DAF-1"/>
      <sheetName val="BHN-ALAT"/>
      <sheetName val="MAPP"/>
      <sheetName val="Hargamat"/>
      <sheetName val="610.03a 15-7"/>
      <sheetName val="GP-WB"/>
      <sheetName val="HDasar"/>
      <sheetName val="UPH,BHN,ALT"/>
      <sheetName val="gvl"/>
      <sheetName val="STOK MAT"/>
      <sheetName val="SEX"/>
      <sheetName val="DATA2009"/>
      <sheetName val="T-3.2 UP Material"/>
      <sheetName val="ADVBQT"/>
      <sheetName val="PC-1"/>
      <sheetName val="OPNAME BAD STOCK"/>
      <sheetName val="constants"/>
      <sheetName val="AKTEP 4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take_98"/>
      <sheetName val="P-1 Acc Payroll"/>
      <sheetName val="AGING"/>
      <sheetName val="Exc. Rate"/>
      <sheetName val="Other charges (income)"/>
      <sheetName val="Rate"/>
      <sheetName val="koef"/>
      <sheetName val="RAB_RS"/>
      <sheetName val="Grading Tahap 1"/>
      <sheetName val="2005"/>
      <sheetName val="Master Edit"/>
      <sheetName val="PNT"/>
      <sheetName val="Perm. Test"/>
      <sheetName val="Kode"/>
      <sheetName val="summary training"/>
      <sheetName val="BBM-03"/>
      <sheetName val="KONS DIT HULU"/>
      <sheetName val="assumpt_cons"/>
      <sheetName val="ce"/>
      <sheetName val="advanced"/>
      <sheetName val="OLDMAP"/>
      <sheetName val="rms remunerasi"/>
      <sheetName val="대비표"/>
      <sheetName val="Monitor"/>
      <sheetName val="AnAlat"/>
      <sheetName val="DaftarHarga"/>
      <sheetName val="Daftar Upah,Bhn,&amp; alat"/>
      <sheetName val="Material&amp;Alat"/>
      <sheetName val="New MADC"/>
      <sheetName val="HRG UPAH BAHAN"/>
      <sheetName val="sub"/>
      <sheetName val="SATDASAR"/>
      <sheetName val="MAJOR"/>
      <sheetName val="DKH"/>
      <sheetName val="Cash2"/>
      <sheetName val="ANAL.BOW"/>
      <sheetName val="Fill this out first___"/>
      <sheetName val="Data_Umum"/>
      <sheetName val="ANAL"/>
      <sheetName val="DEF"/>
      <sheetName val="UMUM"/>
      <sheetName val="h90-160 (penebalan)"/>
      <sheetName val="Management"/>
      <sheetName val="Template"/>
      <sheetName val="산근"/>
      <sheetName val="bhn-upah"/>
      <sheetName val="DbCost"/>
      <sheetName val="MasterSheet"/>
      <sheetName val="TOTAL UPAH"/>
      <sheetName val="RINCIAN"/>
      <sheetName val="harga sat"/>
      <sheetName val="Analisa K"/>
      <sheetName val="Source"/>
      <sheetName val="Plumbing"/>
      <sheetName val="L-Mechanical"/>
      <sheetName val="5.1-5.4(1)-5.4(2)"/>
      <sheetName val="Analisa HSP"/>
      <sheetName val="Urai _Resap pengikat"/>
      <sheetName val="RPP01 6"/>
      <sheetName val="pricing"/>
      <sheetName val="HRG-DASAR"/>
      <sheetName val="Unit Rate"/>
      <sheetName val="smt"/>
      <sheetName val="DAF-5"/>
      <sheetName val="HS"/>
      <sheetName val="Alat"/>
      <sheetName val="Option List"/>
      <sheetName val="Analisa SNI STANDART "/>
      <sheetName val="AnalisaSIPIL RIIL"/>
      <sheetName val="An_Basic"/>
      <sheetName val="HPP X Q'TY"/>
      <sheetName val="RINCIAN-SC"/>
      <sheetName val="SUMBER"/>
      <sheetName val="telp"/>
      <sheetName val="Z"/>
      <sheetName val="Price Persiapan dan Penunjang"/>
      <sheetName val="COV"/>
      <sheetName val="escon"/>
      <sheetName val="7.1(3)"/>
      <sheetName val="Sales Parameter"/>
      <sheetName val="Fill this out first..."/>
      <sheetName val="tp 45x45 (6)"/>
      <sheetName val="EVALUASI"/>
      <sheetName val="SITE-E"/>
      <sheetName val="TEKNIS"/>
      <sheetName val="Divisi1"/>
      <sheetName val="Basic"/>
      <sheetName val="AC"/>
      <sheetName val="DAF-4"/>
      <sheetName val="JAD-PEL"/>
      <sheetName val="KEB-MAT"/>
      <sheetName val="HS-2"/>
      <sheetName val="EXTERNAL  (revisi 1)"/>
      <sheetName val="HS1b"/>
      <sheetName val="Master Schedule"/>
      <sheetName val="est proy"/>
      <sheetName val="trans"/>
      <sheetName val="MG"/>
      <sheetName val="PROD"/>
      <sheetName val="RKP-1"/>
      <sheetName val="Basic P"/>
      <sheetName val="Utilitas Plant"/>
      <sheetName val="Master File (2)"/>
      <sheetName val="PAD-F"/>
      <sheetName val="URUTAN PLANT"/>
      <sheetName val="Pipe"/>
      <sheetName val="HD ALAT"/>
      <sheetName val="jan"/>
      <sheetName val="FEB"/>
      <sheetName val="MAR"/>
      <sheetName val="841"/>
      <sheetName val="311"/>
      <sheetName val="811"/>
      <sheetName val="Tambahan anal"/>
      <sheetName val="GAJI"/>
      <sheetName val="bau"/>
      <sheetName val="PDPC0908"/>
      <sheetName val="Huruf"/>
      <sheetName val="Stamping Process"/>
      <sheetName val="Upah"/>
      <sheetName val="HS KALIJATI"/>
      <sheetName val="Galian"/>
      <sheetName val="PRD 01-7 alat"/>
      <sheetName val="bbt-1999"/>
      <sheetName val="Analis Kusen okk"/>
      <sheetName val="MUNAV"/>
      <sheetName val="Present"/>
      <sheetName val="Beton"/>
      <sheetName val="BeratPenulangan"/>
      <sheetName val="ProdAlat"/>
      <sheetName val="BAU1"/>
      <sheetName val="FMU"/>
      <sheetName val="NOV 08"/>
      <sheetName val="ORDER SHEET TTI M"/>
      <sheetName val="Upah+Bahan"/>
      <sheetName val="Bill of Qty"/>
      <sheetName val="PRY 01-8"/>
      <sheetName val="PRY 01-3"/>
      <sheetName val="MK(W L,D)ｺｽﾄ"/>
      <sheetName val="ytd _dept_"/>
      <sheetName val="MT"/>
      <sheetName val="RES"/>
      <sheetName val="RAB"/>
      <sheetName val="Progres Rasio LR"/>
      <sheetName val="A-BANTU"/>
      <sheetName val="Sheet 1"/>
      <sheetName val="KPI_DATABANK"/>
      <sheetName val="TB-TBZ"/>
      <sheetName val="TB-YGN"/>
      <sheetName val="BS"/>
      <sheetName val="PL"/>
      <sheetName val="TB-TBZ (v0)"/>
      <sheetName val="1"/>
      <sheetName val="3"/>
      <sheetName val="4"/>
      <sheetName val="5"/>
      <sheetName val="PC-YGN"/>
      <sheetName val="PC-TBZ"/>
      <sheetName val="SGPL-P"/>
      <sheetName val="Exchange Rate"/>
      <sheetName val="tabel_nilai3"/>
      <sheetName val="Tabel_Referensi4"/>
      <sheetName val="data_(2)3"/>
      <sheetName val="budget_idr3"/>
      <sheetName val="1771_23"/>
      <sheetName val="NO_AKUN_(2)3"/>
      <sheetName val="Form_B3"/>
      <sheetName val="Form_A3"/>
      <sheetName val="TB_20063"/>
      <sheetName val="PS&amp;Susut_TL1"/>
      <sheetName val="MULTIPERIOD_RETURNS1"/>
      <sheetName val="VAT_out1"/>
      <sheetName val="Mar_11"/>
      <sheetName val="INPUT_SHEET1"/>
      <sheetName val="KKP-II_2_2_1_21"/>
      <sheetName val="Data_CA_3_11"/>
      <sheetName val="Data_CA_3_21"/>
      <sheetName val="Data_CA_1_DN_LN1"/>
      <sheetName val="Kode_Jabatan_UPMKR_20121"/>
      <sheetName val="UPAH_+_ALAT1"/>
      <sheetName val="TB-TBZ_(v0)1"/>
      <sheetName val="Exchange_Rate1"/>
      <sheetName val="Hrg_Sat1"/>
      <sheetName val="tabel_nilai2"/>
      <sheetName val="Tabel_Referensi3"/>
      <sheetName val="data_(2)2"/>
      <sheetName val="budget_idr2"/>
      <sheetName val="1771_22"/>
      <sheetName val="NO_AKUN_(2)2"/>
      <sheetName val="Form_B2"/>
      <sheetName val="Form_A2"/>
      <sheetName val="TB_20062"/>
      <sheetName val="KKP-II_2_2_1_2"/>
      <sheetName val="Kode_Jabatan_UPMKR_2012"/>
      <sheetName val="UPAH_+_ALAT"/>
      <sheetName val="TB-TBZ_(v0)"/>
      <sheetName val="Exchange_Rate"/>
      <sheetName val="JAN_085"/>
      <sheetName val="Input_Acts-Fcst5"/>
      <sheetName val="Input_Acts-Fcst_Restate-BB5"/>
      <sheetName val="tabel_nilai4"/>
      <sheetName val="Tabel_Referensi5"/>
      <sheetName val="data_(2)4"/>
      <sheetName val="budget_idr4"/>
      <sheetName val="1771_24"/>
      <sheetName val="NO_AKUN_(2)4"/>
      <sheetName val="Form_B4"/>
      <sheetName val="Form_A4"/>
      <sheetName val="TB_20064"/>
      <sheetName val="Level_1-3_Listing2"/>
      <sheetName val="PS&amp;Susut_TL2"/>
      <sheetName val="MULTIPERIOD_RETURNS2"/>
      <sheetName val="VAT_out2"/>
      <sheetName val="Mar_12"/>
      <sheetName val="INPUT_SHEET2"/>
      <sheetName val="KKP-II_2_2_1_22"/>
      <sheetName val="Domestic_Leg2"/>
      <sheetName val="Foreign_leg2"/>
      <sheetName val="Foreign_Leg_Acc_Crv2"/>
      <sheetName val="Foreign_Leg_Disc_Crv2"/>
      <sheetName val="Scenarios_and_Sensitivities2"/>
      <sheetName val="Global_Assumptions2"/>
      <sheetName val="PER_ABJAD2"/>
      <sheetName val="FE-1771$_P12"/>
      <sheetName val="DATA_VALUASI2"/>
      <sheetName val="Data_CA_3_12"/>
      <sheetName val="Data_CA_3_22"/>
      <sheetName val="Data_CA_1_DN_LN2"/>
      <sheetName val="Kode_Jabatan_UPMKR_20122"/>
      <sheetName val="UPAH_+_ALAT2"/>
      <sheetName val="TB-TBZ_(v0)2"/>
      <sheetName val="Exchange_Rate2"/>
      <sheetName val="Hrg_Sat2"/>
      <sheetName val="GL_to_Audited10"/>
      <sheetName val="Other_corrections10"/>
      <sheetName val="_art_21_recons10"/>
      <sheetName val="Withholdings_Recons10"/>
      <sheetName val="Tax_Credits10"/>
      <sheetName val="Add_FA10"/>
      <sheetName val="Provisi_-tax10"/>
      <sheetName val="List_of_NPL10"/>
      <sheetName val="Fiscal_Adjustments10"/>
      <sheetName val="Daftar_lampiran10"/>
      <sheetName val="FI-1771_P110"/>
      <sheetName val="FE-1771_P110"/>
      <sheetName val="FI-1771_P210"/>
      <sheetName val="FE-1771_P210"/>
      <sheetName val="Permanent_info8"/>
      <sheetName val="General_Info8"/>
      <sheetName val="DATA_WP8"/>
      <sheetName val="Marshal_-18"/>
      <sheetName val="Main_table8"/>
      <sheetName val="Table_Array8"/>
      <sheetName val="NAMA_ITEM8"/>
      <sheetName val="TR0-7_31072003_(3)7"/>
      <sheetName val="BS-after_AJE7"/>
      <sheetName val="Data_Supp__Monthly_7"/>
      <sheetName val="List_Att7"/>
      <sheetName val="RATE_20087"/>
      <sheetName val="Nama_Perusahaan7"/>
      <sheetName val="Cost_Code7"/>
      <sheetName val="WORK_ORDER7"/>
      <sheetName val="Simple_Coff_7"/>
      <sheetName val="fr_BS7"/>
      <sheetName val="JAN_086"/>
      <sheetName val="Input_Acts-Fcst6"/>
      <sheetName val="Input_Acts-Fcst_Restate-BB6"/>
      <sheetName val="tabel_nilai5"/>
      <sheetName val="Tabel_Referensi6"/>
      <sheetName val="data_(2)5"/>
      <sheetName val="budget_idr5"/>
      <sheetName val="1771_25"/>
      <sheetName val="NO_AKUN_(2)5"/>
      <sheetName val="Form_B5"/>
      <sheetName val="Form_A5"/>
      <sheetName val="TB_20065"/>
      <sheetName val="Level_1-3_Listing3"/>
      <sheetName val="PS&amp;Susut_TL3"/>
      <sheetName val="MULTIPERIOD_RETURNS3"/>
      <sheetName val="VAT_out3"/>
      <sheetName val="Mar_13"/>
      <sheetName val="INPUT_SHEET3"/>
      <sheetName val="KKP-II_2_2_1_23"/>
      <sheetName val="Domestic_Leg3"/>
      <sheetName val="Foreign_leg3"/>
      <sheetName val="Foreign_Leg_Acc_Crv3"/>
      <sheetName val="Foreign_Leg_Disc_Crv3"/>
      <sheetName val="Scenarios_and_Sensitivities3"/>
      <sheetName val="Global_Assumptions3"/>
      <sheetName val="PER_ABJAD3"/>
      <sheetName val="FE-1771$_P13"/>
      <sheetName val="DATA_VALUASI3"/>
      <sheetName val="Data_CA_3_13"/>
      <sheetName val="Data_CA_3_23"/>
      <sheetName val="Data_CA_1_DN_LN3"/>
      <sheetName val="Kode_Jabatan_UPMKR_20123"/>
      <sheetName val="UPAH_+_ALAT3"/>
      <sheetName val="TB-TBZ_(v0)3"/>
      <sheetName val="Exchange_Rate3"/>
      <sheetName val="Hrg_Sat3"/>
      <sheetName val="FE-1770-I"/>
      <sheetName val="FE-1770.P1"/>
      <sheetName val="FE-1770-II"/>
      <sheetName val="CIVIC 1.6L(7ｶ国MA輸出)ｺｽﾄ"/>
      <sheetName val="Danamon LK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SLI"/>
      <sheetName val="Control"/>
      <sheetName val="TB Jun 03"/>
      <sheetName val="Assumption"/>
      <sheetName val="Monthly RecapLO"/>
      <sheetName val="6 mth TAC"/>
      <sheetName val="6 mth DTA"/>
      <sheetName val="Fill in data"/>
      <sheetName val="A1-B_ASSET"/>
      <sheetName val="master_supplier"/>
      <sheetName val="MSC_Product_Characteristics"/>
      <sheetName val="D3_11"/>
      <sheetName val="cons_workpapers2"/>
      <sheetName val="A1-B_ASSET1"/>
      <sheetName val="master_supplier1"/>
      <sheetName val="MSC_Product_Characteristics1"/>
      <sheetName val="COA_(2)"/>
      <sheetName val="NOTES_"/>
      <sheetName val="Data_Sheet"/>
      <sheetName val="BALANCE_SHEET"/>
      <sheetName val="Form_2-FRG2"/>
      <sheetName val="J_1_Deffered_Landright2"/>
      <sheetName val="Difference_Cons"/>
      <sheetName val="F1771"/>
      <sheetName val="Lookups"/>
      <sheetName val="COSTS"/>
      <sheetName val="Property"/>
      <sheetName val="Budget04"/>
      <sheetName val="Eligible-Data"/>
      <sheetName val="All 06 Home Base Salaries"/>
      <sheetName val="HPP_18_"/>
      <sheetName val="Jakarta Cikampek"/>
      <sheetName val="Jagorawi"/>
      <sheetName val="KPNO"/>
      <sheetName val="ANGGARAN"/>
      <sheetName val="DRAFT"/>
      <sheetName val="BS-Report"/>
      <sheetName val="sad CHECKING"/>
      <sheetName val="Manual"/>
      <sheetName val="debtage"/>
      <sheetName val="310J1"/>
      <sheetName val="COA_(2)1"/>
      <sheetName val="COA_(2)2"/>
      <sheetName val="COA_(2)3"/>
      <sheetName val="AK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/>
      <sheetData sheetId="599"/>
      <sheetData sheetId="600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 refreshError="1"/>
      <sheetData sheetId="1036" refreshError="1"/>
      <sheetData sheetId="1037" refreshError="1"/>
      <sheetData sheetId="1038" refreshError="1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/>
      <sheetData sheetId="1100"/>
      <sheetData sheetId="110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"/>
      <sheetName val="BM"/>
      <sheetName val="score revisi"/>
      <sheetName val="indeks"/>
      <sheetName val="incentif"/>
      <sheetName val="tabel nilai"/>
      <sheetName val="Bobot"/>
      <sheetName val="Rekap"/>
      <sheetName val="Rekap (2)"/>
      <sheetName val="DIRECTOR"/>
      <sheetName val="COO"/>
      <sheetName val="CDO"/>
      <sheetName val="JABEKBAN"/>
      <sheetName val="JABEKBAN (2)"/>
      <sheetName val="JABAR"/>
      <sheetName val="JABAR (2)"/>
      <sheetName val="LAMPUNG"/>
      <sheetName val="PALEMBANG"/>
      <sheetName val="BENGKULU"/>
      <sheetName val="JAMBI"/>
      <sheetName val="PADANG"/>
      <sheetName val="RIAU"/>
      <sheetName val="MEDAN"/>
      <sheetName val="VCOO"/>
      <sheetName val="JATENG"/>
      <sheetName val="JATIM_BALI"/>
      <sheetName val="LOMBOK"/>
      <sheetName val="MAKASAR"/>
      <sheetName val="MENADO"/>
      <sheetName val="Sheet1"/>
      <sheetName val="Sheet1 (2)"/>
      <sheetName val="Sheet1 (3)"/>
      <sheetName val="score"/>
      <sheetName val="RM"/>
      <sheetName val="RSM"/>
      <sheetName val="product mix"/>
      <sheetName val="Target"/>
      <sheetName val="SheetGMP"/>
      <sheetName val="SheetG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  <sheetName val="Ak_pro (2)"/>
      <sheetName val="Ak_pro"/>
      <sheetName val="PJR.PENJ "/>
      <sheetName val="GeneralInfo"/>
      <sheetName val="tabel nilai"/>
      <sheetName val="Sheet1"/>
      <sheetName val="by service"/>
      <sheetName val="ROSS LIST"/>
      <sheetName val="ZK70A96E"/>
      <sheetName val="NAP"/>
      <sheetName val="AFTER AUDIT 2000"/>
      <sheetName val="NERKON_"/>
      <sheetName val="P-Kebun_"/>
      <sheetName val="PLL_"/>
      <sheetName val="AL-BTL_KK_(2)"/>
      <sheetName val="BTL__"/>
      <sheetName val="Ak_pro_"/>
      <sheetName val="HUT_"/>
      <sheetName val="pph_"/>
      <sheetName val="HB_"/>
      <sheetName val="PJR_PENJ"/>
      <sheetName val="DAF_ISI"/>
      <sheetName val="COVER_"/>
      <sheetName val="Ak_pro_(2)"/>
      <sheetName val="PJR_PENJ_"/>
      <sheetName val="sepdua"/>
      <sheetName val="Total"/>
      <sheetName val="Factors"/>
      <sheetName val="COVER"/>
      <sheetName val="Contents"/>
      <sheetName val="Marshal"/>
      <sheetName val="BTR"/>
      <sheetName val="BGR"/>
      <sheetName val="BKS"/>
      <sheetName val="dariastek"/>
      <sheetName val="SC Nov"/>
      <sheetName val="Rumus"/>
      <sheetName val="OTHER INCOME &amp; BY PERDIVISI"/>
      <sheetName val="VAT out"/>
      <sheetName val="General Info"/>
      <sheetName val="Depresiasi"/>
      <sheetName val="Additional"/>
      <sheetName val="Mutasi Final"/>
      <sheetName val="TAS Fleet Adj Ratio"/>
      <sheetName val="Sheet5"/>
      <sheetName val="DIRECT COST"/>
      <sheetName val="SAA"/>
      <sheetName val="Permanent info"/>
      <sheetName val="IS"/>
      <sheetName val="Calculation"/>
      <sheetName val="PAJE-2008"/>
      <sheetName val="rs"/>
      <sheetName val="Data Supp _Monthly_"/>
      <sheetName val="SCORE_RC_Code"/>
      <sheetName val="NEGARA"/>
      <sheetName val="neraca okt"/>
      <sheetName val="Customize"/>
      <sheetName val="CD&amp;Stok"/>
      <sheetName val="Ranges"/>
      <sheetName val="NERKON_1"/>
      <sheetName val="P-Kebun_1"/>
      <sheetName val="PLL_1"/>
      <sheetName val="AL-BTL_KK_(2)1"/>
      <sheetName val="BTL__1"/>
      <sheetName val="Ak_pro_1"/>
      <sheetName val="HUT_1"/>
      <sheetName val="pph_1"/>
      <sheetName val="HB_1"/>
      <sheetName val="PJR_PENJ1"/>
      <sheetName val="DAF_ISI1"/>
      <sheetName val="COVER_1"/>
      <sheetName val="Ak_pro_(2)1"/>
      <sheetName val="PJR_PENJ_1"/>
      <sheetName val="tabel_nilai"/>
      <sheetName val="by_service"/>
      <sheetName val="ROSS_LIST"/>
      <sheetName val="TRIWULAN_3"/>
      <sheetName val="NERACA JUL"/>
      <sheetName val="F1771-II"/>
      <sheetName val="F1771-III"/>
      <sheetName val="Individual Gross Profit J - Aug"/>
      <sheetName val="ME ADJ entries WIP"/>
      <sheetName val="NERKON_2"/>
      <sheetName val="P-Kebun_2"/>
      <sheetName val="PLL_2"/>
      <sheetName val="AL-BTL_KK_(2)2"/>
      <sheetName val="BTL__2"/>
      <sheetName val="Ak_pro_2"/>
      <sheetName val="HUT_2"/>
      <sheetName val="pph_2"/>
      <sheetName val="HB_2"/>
      <sheetName val="PJR_PENJ2"/>
      <sheetName val="DAF_ISI2"/>
      <sheetName val="COVER_2"/>
      <sheetName val="Ak_pro_(2)2"/>
      <sheetName val="PJR_PENJ_2"/>
      <sheetName val="tabel_nilai1"/>
      <sheetName val="by_service1"/>
      <sheetName val="ROSS_LIST1"/>
      <sheetName val="BS"/>
      <sheetName val="Fill this out first..."/>
      <sheetName val="Shares Outstanding"/>
      <sheetName val="Print Controls"/>
      <sheetName val="DCF_10"/>
      <sheetName val="Controls"/>
      <sheetName val="Input Log. Set-up"/>
      <sheetName val="AFTER_AUDIT_2000"/>
      <sheetName val="SC_Nov"/>
      <sheetName val="OTHER_INCOME_&amp;_BY_PERDIVISI"/>
      <sheetName val="VAT_out"/>
      <sheetName val="General_Info"/>
      <sheetName val="Mutasi_Final"/>
      <sheetName val="TAS_Fleet_Adj_Ratio"/>
      <sheetName val="DIRECT_COST"/>
      <sheetName val="Permanent_info"/>
      <sheetName val="Data_Supp__Monthly_"/>
      <sheetName val="neraca_okt"/>
      <sheetName val="NERACA_JUL"/>
      <sheetName val="Individual_Gross_Profit_J_-_Aug"/>
      <sheetName val="ME_ADJ_entries_WIP"/>
      <sheetName val="Fill_this_out_first___"/>
      <sheetName val="Shares_Outstanding"/>
      <sheetName val="Print_Controls"/>
      <sheetName val="Input_Log__Set-up"/>
      <sheetName val="Interdata"/>
      <sheetName val="NERKON_3"/>
      <sheetName val="P-Kebun_3"/>
      <sheetName val="PLL_3"/>
      <sheetName val="AL-BTL_KK_(2)3"/>
      <sheetName val="BTL__3"/>
      <sheetName val="Ak_pro_3"/>
      <sheetName val="HUT_3"/>
      <sheetName val="pph_3"/>
      <sheetName val="HB_3"/>
      <sheetName val="PJR_PENJ3"/>
      <sheetName val="DAF_ISI3"/>
      <sheetName val="COVER_3"/>
      <sheetName val="Ak_pro_(2)3"/>
      <sheetName val="PJR_PENJ_3"/>
      <sheetName val="tabel_nilai2"/>
      <sheetName val="by_service2"/>
      <sheetName val="ROSS_LIST2"/>
      <sheetName val="AFTER_AUDIT_20001"/>
      <sheetName val="SC_Nov1"/>
      <sheetName val="OTHER_INCOME_&amp;_BY_PERDIVISI1"/>
      <sheetName val="VAT_out1"/>
      <sheetName val="General_Info1"/>
      <sheetName val="Mutasi_Final1"/>
      <sheetName val="TAS_Fleet_Adj_Ratio1"/>
      <sheetName val="DIRECT_COST1"/>
      <sheetName val="Permanent_info1"/>
      <sheetName val="Data_Supp__Monthly_1"/>
      <sheetName val="neraca_okt1"/>
      <sheetName val="Individual_Gross_Profit_J_-_Au1"/>
      <sheetName val="ME_ADJ_entries_WIP1"/>
      <sheetName val="NERACA_JUL1"/>
      <sheetName val="Fill_this_out_first___1"/>
      <sheetName val="Shares_Outstanding1"/>
      <sheetName val="Print_Controls1"/>
      <sheetName val="Input_Log__Set-up1"/>
      <sheetName val="SAP + LS"/>
      <sheetName val="CURRENCY C.O.A."/>
      <sheetName val="DATA"/>
      <sheetName val="data_val"/>
      <sheetName val="Logistics"/>
      <sheetName val="F1771-V"/>
      <sheetName val="Local access"/>
      <sheetName val="NERKON_4"/>
      <sheetName val="P-Kebun_4"/>
      <sheetName val="PLL_4"/>
      <sheetName val="AL-BTL_KK_(2)4"/>
      <sheetName val="BTL__4"/>
      <sheetName val="Ak_pro_4"/>
      <sheetName val="HUT_4"/>
      <sheetName val="pph_4"/>
      <sheetName val="HB_4"/>
      <sheetName val="PJR_PENJ4"/>
      <sheetName val="DAF_ISI4"/>
      <sheetName val="COVER_4"/>
      <sheetName val="Ak_pro_(2)4"/>
      <sheetName val="PJR_PENJ_4"/>
      <sheetName val="tabel_nilai3"/>
      <sheetName val="by_service3"/>
      <sheetName val="ROSS_LIST3"/>
      <sheetName val="AFTER_AUDIT_20002"/>
      <sheetName val="General_Info2"/>
      <sheetName val="Mutasi_Final2"/>
      <sheetName val="TAS_Fleet_Adj_Ratio2"/>
      <sheetName val="OTHER_INCOME_&amp;_BY_PERDIVISI2"/>
      <sheetName val="SC_Nov2"/>
      <sheetName val="VAT_out2"/>
      <sheetName val="DIRECT_COST2"/>
      <sheetName val="Permanent_info2"/>
      <sheetName val="Data_Supp__Monthly_2"/>
      <sheetName val="Individual_Gross_Profit_J_-_Au2"/>
      <sheetName val="neraca_okt2"/>
      <sheetName val="Fill_this_out_first___2"/>
      <sheetName val="Shares_Outstanding2"/>
      <sheetName val="Print_Controls2"/>
      <sheetName val="ME_ADJ_entries_WIP2"/>
      <sheetName val="Input_Log__Set-up2"/>
      <sheetName val="NERACA_JUL2"/>
      <sheetName val="SAP_+_LS"/>
      <sheetName val="CURRENCY_C_O_A_"/>
      <sheetName val="SCFP"/>
      <sheetName val="OFF"/>
      <sheetName val="JADI"/>
      <sheetName val="FE-1770.P1"/>
      <sheetName val="ocean voyage"/>
      <sheetName val="Jan-des"/>
      <sheetName val="analis"/>
      <sheetName val="Table Array"/>
      <sheetName val="Orders"/>
      <sheetName val="NERD"/>
      <sheetName val="Calc. Overview"/>
      <sheetName val="Sales"/>
      <sheetName val="Salary"/>
      <sheetName val="PL (MONTHLY)"/>
      <sheetName val="PREPAID"/>
      <sheetName val="20A.Sum"/>
      <sheetName val="WBS 2005"/>
      <sheetName val="GABLUARJAWA1 (2)"/>
      <sheetName val="Price"/>
      <sheetName val="Parameter"/>
      <sheetName val="Powergen"/>
      <sheetName val="Sheet2"/>
      <sheetName val="EV SJB"/>
      <sheetName val="Perintah"/>
      <sheetName val="Rpt13.Oth"/>
      <sheetName val="OPNAME GOOD STOCK"/>
      <sheetName val="OPNAME SALES"/>
      <sheetName val="OPNAME BAD STOCK"/>
      <sheetName val="CMA_Calculations"/>
      <sheetName val="Harga"/>
      <sheetName val="MTD-REPORT"/>
      <sheetName val="SALES 09-10  PIVOT"/>
      <sheetName val="KALENDER"/>
      <sheetName val="EquityTemplate"/>
      <sheetName val="4.1 Placement w.o.b"/>
      <sheetName val="Master Rumah"/>
      <sheetName val="Data_Neraca_Kom"/>
      <sheetName val="UPAH + ALAT"/>
      <sheetName val="NAMECODE"/>
      <sheetName val="N2.2"/>
      <sheetName val="spread-sheet"/>
      <sheetName val="Agregat Halus &amp; Kasar"/>
      <sheetName val="Lamp_V"/>
      <sheetName val="Anls_BKL"/>
      <sheetName val="Elekt"/>
      <sheetName val="Fill this out first___"/>
      <sheetName val="Proyek"/>
      <sheetName val="INV-KTR"/>
      <sheetName val="KAS $"/>
      <sheetName val="BS final"/>
      <sheetName val="2703.1"/>
      <sheetName val="KKP-II.2.2.1.2"/>
      <sheetName val="Div2"/>
      <sheetName val="NERKON_5"/>
      <sheetName val="P-Kebun_5"/>
      <sheetName val="PLL_5"/>
      <sheetName val="AL-BTL_KK_(2)5"/>
      <sheetName val="BTL__5"/>
      <sheetName val="Ak_pro_5"/>
      <sheetName val="HUT_5"/>
      <sheetName val="pph_5"/>
      <sheetName val="HB_5"/>
      <sheetName val="PJR_PENJ5"/>
      <sheetName val="DAF_ISI5"/>
      <sheetName val="COVER_5"/>
      <sheetName val="Ak_pro_(2)5"/>
      <sheetName val="PJR_PENJ_5"/>
      <sheetName val="tabel_nilai4"/>
      <sheetName val="by_service4"/>
      <sheetName val="ROSS_LIST4"/>
      <sheetName val="AFTER_AUDIT_20003"/>
      <sheetName val="General_Info3"/>
      <sheetName val="Mutasi_Final3"/>
      <sheetName val="TAS_Fleet_Adj_Ratio3"/>
      <sheetName val="OTHER_INCOME_&amp;_BY_PERDIVISI3"/>
      <sheetName val="SC_Nov3"/>
      <sheetName val="VAT_out3"/>
      <sheetName val="DIRECT_COST3"/>
      <sheetName val="Permanent_info3"/>
      <sheetName val="Data_Supp__Monthly_3"/>
      <sheetName val="Individual_Gross_Profit_J_-_Au3"/>
      <sheetName val="neraca_okt3"/>
      <sheetName val="Fill_this_out_first___3"/>
      <sheetName val="Shares_Outstanding3"/>
      <sheetName val="Print_Controls3"/>
      <sheetName val="ME_ADJ_entries_WIP3"/>
      <sheetName val="Input_Log__Set-up3"/>
      <sheetName val="NERACA_JUL3"/>
      <sheetName val="SAP_+_LS1"/>
      <sheetName val="CURRENCY_C_O_A_1"/>
      <sheetName val="Kinerja Proyek"/>
      <sheetName val="Sheet4"/>
      <sheetName val="HSD"/>
      <sheetName val="DKH"/>
      <sheetName val="REKAP"/>
      <sheetName val="HARSAT"/>
      <sheetName val="PLANT"/>
      <sheetName val="MAP"/>
      <sheetName val="P&amp;L98"/>
      <sheetName val="SPI"/>
      <sheetName val="12-06-ins"/>
      <sheetName val="tp 45x45 (6)"/>
      <sheetName val="data2009"/>
      <sheetName val="data2008"/>
      <sheetName val="Schedule 11a"/>
      <sheetName val="Temporary"/>
      <sheetName val="Septick tank"/>
      <sheetName val="Subkon"/>
      <sheetName val="UnitRateA.1.II"/>
      <sheetName val="Pricing-2"/>
      <sheetName val="Summary"/>
      <sheetName val="terbilang"/>
      <sheetName val="pricing"/>
      <sheetName val="HRG-DASAR"/>
      <sheetName val="表一甲"/>
      <sheetName val="Danamon LK"/>
      <sheetName val="pivot"/>
      <sheetName val="Master Edit"/>
      <sheetName val="A"/>
      <sheetName val="Assumptions"/>
      <sheetName val="PDCC"/>
      <sheetName val="SPI GMBH"/>
      <sheetName val="UK"/>
      <sheetName val="SSI"/>
      <sheetName val="Syntegra"/>
      <sheetName val="RekapLEP"/>
      <sheetName val="NP (2)"/>
      <sheetName val="NP"/>
      <sheetName val="Template"/>
      <sheetName val="bbt-1999"/>
      <sheetName val="igp_alt4"/>
      <sheetName val="ANAL"/>
      <sheetName val="MPB-01"/>
      <sheetName val="RESUME"/>
      <sheetName val="ANTEK"/>
      <sheetName val="villa"/>
      <sheetName val="Rkp1"/>
      <sheetName val="Basic Price"/>
      <sheetName val="DB"/>
      <sheetName val="SheetGMP"/>
      <sheetName val="SheetGMT"/>
      <sheetName val="Difference Cons"/>
      <sheetName val="RINCIAN"/>
      <sheetName val="DETAIL"/>
      <sheetName val="wip"/>
      <sheetName val="2.Assumption"/>
      <sheetName val="STR"/>
      <sheetName val="financials"/>
      <sheetName val="SC "/>
      <sheetName val="RANKING BROKER"/>
      <sheetName val="Angs_B_Group"/>
      <sheetName val="data (2)"/>
      <sheetName val="LKT - HL"/>
      <sheetName val="LKT - HS"/>
      <sheetName val="TRIWULAN 3"/>
      <sheetName val="BK-PU"/>
      <sheetName val="An_Basic"/>
      <sheetName val="Alokasi Rutin"/>
      <sheetName val="aktdit(WP)"/>
      <sheetName val="Cutleries"/>
      <sheetName val="DAF-2"/>
      <sheetName val="Basic P"/>
      <sheetName val="Earnings"/>
      <sheetName val="Monitor"/>
      <sheetName val="DaftarHarga"/>
      <sheetName val="STAF"/>
      <sheetName val="INPUT"/>
      <sheetName val="PriceList"/>
      <sheetName val="Harga Bahan &amp; Upah "/>
      <sheetName val="PAD-F"/>
      <sheetName val="Rekap Direct Cost"/>
      <sheetName val="Konfirm"/>
      <sheetName val="Sales Parameter"/>
      <sheetName val="extern"/>
      <sheetName val="FE-1770_P1"/>
      <sheetName val="ocean_voyage"/>
      <sheetName val="Table_Array"/>
      <sheetName val="Calc__Overview"/>
      <sheetName val="PL_(MONTHLY)"/>
      <sheetName val="Master_Rumah"/>
      <sheetName val="4_1_Placement_w_o_b"/>
      <sheetName val="N2_2"/>
      <sheetName val="Local_access"/>
      <sheetName val="2703_1"/>
      <sheetName val="KKP-II_2_2_1_2"/>
      <sheetName val="SALES_09-10__PIVOT"/>
      <sheetName val="BS_final"/>
      <sheetName val="20A_Sum"/>
      <sheetName val="WBS_2005"/>
      <sheetName val="GABLUARJAWA1_(2)"/>
      <sheetName val="EV_SJB"/>
      <sheetName val="Rpt13_Oth"/>
      <sheetName val="KAS_$"/>
      <sheetName val="2_Assumption"/>
      <sheetName val="610.03a 15-7"/>
      <sheetName val="2934"/>
      <sheetName val="Master File (2)"/>
      <sheetName val="PRIST LIST"/>
      <sheetName val="ANALISA TENDER"/>
      <sheetName val="Links"/>
      <sheetName val="Lead"/>
      <sheetName val="Kel II"/>
      <sheetName val="Client AJE"/>
      <sheetName val="Monitoring Penjualan"/>
      <sheetName val="Fill_this_out_first___4"/>
      <sheetName val="Fill_this_out_first___5"/>
      <sheetName val="CURRENCY_C_O_A_2"/>
      <sheetName val="FE-1770_P11"/>
      <sheetName val="ocean_voyage1"/>
      <sheetName val="Table_Array1"/>
      <sheetName val="Calc__Overview1"/>
      <sheetName val="PL_(MONTHLY)1"/>
      <sheetName val="Master_Rumah1"/>
      <sheetName val="4_1_Placement_w_o_b1"/>
      <sheetName val="N2_21"/>
      <sheetName val="20A_Sum1"/>
      <sheetName val="WBS_20051"/>
      <sheetName val="GABLUARJAWA1_(2)1"/>
      <sheetName val="EV_SJB1"/>
      <sheetName val="Rpt13_Oth1"/>
      <sheetName val="Local_access1"/>
      <sheetName val="2703_11"/>
      <sheetName val="KKP-II_2_2_1_21"/>
      <sheetName val="SALES_09-10__PIVOT1"/>
      <sheetName val="BS_final1"/>
      <sheetName val="KAS_$1"/>
      <sheetName val="NERKON_6"/>
      <sheetName val="P-Kebun_6"/>
      <sheetName val="PLL_6"/>
      <sheetName val="AL-BTL_KK_(2)6"/>
      <sheetName val="BTL__6"/>
      <sheetName val="Ak_pro_6"/>
      <sheetName val="HUT_6"/>
      <sheetName val="pph_6"/>
      <sheetName val="HB_6"/>
      <sheetName val="PJR_PENJ6"/>
      <sheetName val="DAF_ISI6"/>
      <sheetName val="COVER_6"/>
      <sheetName val="Ak_pro_(2)6"/>
      <sheetName val="PJR_PENJ_6"/>
      <sheetName val="tabel_nilai5"/>
      <sheetName val="by_service5"/>
      <sheetName val="ROSS_LIST5"/>
      <sheetName val="AFTER_AUDIT_20004"/>
      <sheetName val="SC_Nov4"/>
      <sheetName val="OTHER_INCOME_&amp;_BY_PERDIVISI4"/>
      <sheetName val="VAT_out4"/>
      <sheetName val="General_Info4"/>
      <sheetName val="Mutasi_Final4"/>
      <sheetName val="TAS_Fleet_Adj_Ratio4"/>
      <sheetName val="DIRECT_COST4"/>
      <sheetName val="Permanent_info4"/>
      <sheetName val="Data_Supp__Monthly_4"/>
      <sheetName val="Fill_this_out_first___6"/>
      <sheetName val="Shares_Outstanding4"/>
      <sheetName val="Print_Controls4"/>
      <sheetName val="neraca_okt4"/>
      <sheetName val="Fill_this_out_first___7"/>
      <sheetName val="NERACA_JUL4"/>
      <sheetName val="Individual_Gross_Profit_J_-_Au4"/>
      <sheetName val="ME_ADJ_entries_WIP4"/>
      <sheetName val="Input_Log__Set-up4"/>
      <sheetName val="SAP_+_LS2"/>
      <sheetName val="CURRENCY_C_O_A_3"/>
      <sheetName val="FE-1770_P12"/>
      <sheetName val="ocean_voyage2"/>
      <sheetName val="Table_Array2"/>
      <sheetName val="Calc__Overview2"/>
      <sheetName val="PL_(MONTHLY)2"/>
      <sheetName val="Master_Rumah2"/>
      <sheetName val="4_1_Placement_w_o_b2"/>
      <sheetName val="N2_22"/>
      <sheetName val="20A_Sum2"/>
      <sheetName val="WBS_20052"/>
      <sheetName val="GABLUARJAWA1_(2)2"/>
      <sheetName val="EV_SJB2"/>
      <sheetName val="Rpt13_Oth2"/>
      <sheetName val="Local_access2"/>
      <sheetName val="2703_12"/>
      <sheetName val="KKP-II_2_2_1_22"/>
      <sheetName val="SALES_09-10__PIVOT2"/>
      <sheetName val="BS_final2"/>
      <sheetName val="KAS_$2"/>
      <sheetName val="NERKON_7"/>
      <sheetName val="P-Kebun_7"/>
      <sheetName val="PLL_7"/>
      <sheetName val="AL-BTL_KK_(2)7"/>
      <sheetName val="BTL__7"/>
      <sheetName val="Ak_pro_7"/>
      <sheetName val="HUT_7"/>
      <sheetName val="pph_7"/>
      <sheetName val="HB_7"/>
      <sheetName val="PJR_PENJ7"/>
      <sheetName val="DAF_ISI7"/>
      <sheetName val="COVER_7"/>
      <sheetName val="Ak_pro_(2)7"/>
      <sheetName val="PJR_PENJ_7"/>
      <sheetName val="tabel_nilai6"/>
      <sheetName val="by_service6"/>
      <sheetName val="ROSS_LIST6"/>
      <sheetName val="AFTER_AUDIT_20005"/>
      <sheetName val="SC_Nov5"/>
      <sheetName val="OTHER_INCOME_&amp;_BY_PERDIVISI5"/>
      <sheetName val="VAT_out5"/>
      <sheetName val="General_Info5"/>
      <sheetName val="Mutasi_Final5"/>
      <sheetName val="TAS_Fleet_Adj_Ratio5"/>
      <sheetName val="DIRECT_COST5"/>
      <sheetName val="Permanent_info5"/>
      <sheetName val="Data_Supp__Monthly_5"/>
      <sheetName val="Fill_this_out_first___8"/>
      <sheetName val="Shares_Outstanding5"/>
      <sheetName val="Print_Controls5"/>
      <sheetName val="neraca_okt5"/>
      <sheetName val="Fill_this_out_first___9"/>
      <sheetName val="NERACA_JUL5"/>
      <sheetName val="Individual_Gross_Profit_J_-_Au5"/>
      <sheetName val="ME_ADJ_entries_WIP5"/>
      <sheetName val="Input_Log__Set-up5"/>
      <sheetName val="SAP_+_LS3"/>
      <sheetName val="CURRENCY_C_O_A_4"/>
      <sheetName val="FE-1770_P13"/>
      <sheetName val="ocean_voyage3"/>
      <sheetName val="Table_Array3"/>
      <sheetName val="Calc__Overview3"/>
      <sheetName val="PL_(MONTHLY)3"/>
      <sheetName val="Master_Rumah3"/>
      <sheetName val="4_1_Placement_w_o_b3"/>
      <sheetName val="N2_23"/>
      <sheetName val="20A_Sum3"/>
      <sheetName val="WBS_20053"/>
      <sheetName val="GABLUARJAWA1_(2)3"/>
      <sheetName val="EV_SJB3"/>
      <sheetName val="Rpt13_Oth3"/>
      <sheetName val="Local_access3"/>
      <sheetName val="2703_13"/>
      <sheetName val="KKP-II_2_2_1_23"/>
      <sheetName val="SALES_09-10__PIVOT3"/>
      <sheetName val="BS_final3"/>
      <sheetName val="KAS_$3"/>
      <sheetName val="NERKON_9"/>
      <sheetName val="P-Kebun_9"/>
      <sheetName val="PLL_9"/>
      <sheetName val="AL-BTL_KK_(2)9"/>
      <sheetName val="BTL__9"/>
      <sheetName val="Ak_pro_9"/>
      <sheetName val="HUT_9"/>
      <sheetName val="pph_9"/>
      <sheetName val="HB_9"/>
      <sheetName val="PJR_PENJ9"/>
      <sheetName val="DAF_ISI9"/>
      <sheetName val="COVER_9"/>
      <sheetName val="Ak_pro_(2)9"/>
      <sheetName val="PJR_PENJ_9"/>
      <sheetName val="tabel_nilai8"/>
      <sheetName val="by_service8"/>
      <sheetName val="ROSS_LIST8"/>
      <sheetName val="AFTER_AUDIT_20007"/>
      <sheetName val="SC_Nov7"/>
      <sheetName val="OTHER_INCOME_&amp;_BY_PERDIVISI7"/>
      <sheetName val="VAT_out7"/>
      <sheetName val="General_Info7"/>
      <sheetName val="Mutasi_Final7"/>
      <sheetName val="TAS_Fleet_Adj_Ratio7"/>
      <sheetName val="DIRECT_COST7"/>
      <sheetName val="Permanent_info7"/>
      <sheetName val="Data_Supp__Monthly_7"/>
      <sheetName val="Fill_this_out_first___12"/>
      <sheetName val="Shares_Outstanding7"/>
      <sheetName val="Print_Controls7"/>
      <sheetName val="neraca_okt7"/>
      <sheetName val="Fill_this_out_first___13"/>
      <sheetName val="NERACA_JUL7"/>
      <sheetName val="Individual_Gross_Profit_J_-_Au7"/>
      <sheetName val="ME_ADJ_entries_WIP7"/>
      <sheetName val="Input_Log__Set-up7"/>
      <sheetName val="SAP_+_LS5"/>
      <sheetName val="CURRENCY_C_O_A_6"/>
      <sheetName val="FE-1770_P15"/>
      <sheetName val="ocean_voyage5"/>
      <sheetName val="Table_Array5"/>
      <sheetName val="Calc__Overview5"/>
      <sheetName val="PL_(MONTHLY)5"/>
      <sheetName val="Master_Rumah5"/>
      <sheetName val="4_1_Placement_w_o_b5"/>
      <sheetName val="N2_25"/>
      <sheetName val="20A_Sum5"/>
      <sheetName val="WBS_20055"/>
      <sheetName val="GABLUARJAWA1_(2)5"/>
      <sheetName val="EV_SJB5"/>
      <sheetName val="Rpt13_Oth5"/>
      <sheetName val="Local_access5"/>
      <sheetName val="2703_15"/>
      <sheetName val="KKP-II_2_2_1_25"/>
      <sheetName val="SALES_09-10__PIVOT5"/>
      <sheetName val="BS_final5"/>
      <sheetName val="KAS_$5"/>
      <sheetName val="NERKON_8"/>
      <sheetName val="P-Kebun_8"/>
      <sheetName val="PLL_8"/>
      <sheetName val="AL-BTL_KK_(2)8"/>
      <sheetName val="BTL__8"/>
      <sheetName val="Ak_pro_8"/>
      <sheetName val="HUT_8"/>
      <sheetName val="pph_8"/>
      <sheetName val="HB_8"/>
      <sheetName val="code"/>
      <sheetName val="UPAH &amp; SEWA"/>
      <sheetName val="PJR_PENJ8"/>
      <sheetName val="DAF_ISI8"/>
      <sheetName val="COVER_8"/>
      <sheetName val="Ak_pro_(2)8"/>
      <sheetName val="PJR_PENJ_8"/>
      <sheetName val="tabel_nilai7"/>
      <sheetName val="by_service7"/>
      <sheetName val="ROSS_LIST7"/>
      <sheetName val="AFTER_AUDIT_20006"/>
      <sheetName val="SC_Nov6"/>
      <sheetName val="OTHER_INCOME_&amp;_BY_PERDIVISI6"/>
      <sheetName val="VAT_out6"/>
      <sheetName val="General_Info6"/>
      <sheetName val="Mutasi_Final6"/>
      <sheetName val="TAS_Fleet_Adj_Ratio6"/>
      <sheetName val="DIRECT_COST6"/>
      <sheetName val="Permanent_info6"/>
      <sheetName val="Data_Supp__Monthly_6"/>
      <sheetName val="Fill_this_out_first___10"/>
      <sheetName val="Shares_Outstanding6"/>
      <sheetName val="Print_Controls6"/>
      <sheetName val="neraca_okt6"/>
      <sheetName val="Fill_this_out_first___11"/>
      <sheetName val="NERACA_JUL6"/>
      <sheetName val="Individual_Gross_Profit_J_-_Au6"/>
      <sheetName val="ME_ADJ_entries_WIP6"/>
      <sheetName val="Input_Log__Set-up6"/>
      <sheetName val="SAP_+_LS4"/>
      <sheetName val="CURRENCY_C_O_A_5"/>
      <sheetName val="FE-1770_P14"/>
      <sheetName val="ocean_voyage4"/>
      <sheetName val="Table_Array4"/>
      <sheetName val="Calc__Overview4"/>
      <sheetName val="PL_(MONTHLY)4"/>
      <sheetName val="Master_Rumah4"/>
      <sheetName val="4_1_Placement_w_o_b4"/>
      <sheetName val="N2_24"/>
      <sheetName val="20A_Sum4"/>
      <sheetName val="WBS_20054"/>
      <sheetName val="GABLUARJAWA1_(2)4"/>
      <sheetName val="EV_SJB4"/>
      <sheetName val="Rpt13_Oth4"/>
      <sheetName val="Local_access4"/>
      <sheetName val="2703_14"/>
      <sheetName val="KKP-II_2_2_1_24"/>
      <sheetName val="SALES_09-10__PIVOT4"/>
      <sheetName val="BS_final4"/>
      <sheetName val="KAS_$4"/>
      <sheetName val="NERKON_10"/>
      <sheetName val="P-Kebun_10"/>
      <sheetName val="PLL_10"/>
      <sheetName val="AL-BTL_KK_(2)10"/>
      <sheetName val="BTL__10"/>
      <sheetName val="Ak_pro_10"/>
      <sheetName val="HUT_10"/>
      <sheetName val="pph_10"/>
      <sheetName val="HB_10"/>
      <sheetName val="PJR_PENJ10"/>
      <sheetName val="DAF_ISI10"/>
      <sheetName val="COVER_10"/>
      <sheetName val="Ak_pro_(2)10"/>
      <sheetName val="PJR_PENJ_10"/>
      <sheetName val="tabel_nilai9"/>
      <sheetName val="by_service9"/>
      <sheetName val="ROSS_LIST9"/>
      <sheetName val="AFTER_AUDIT_20008"/>
      <sheetName val="SC_Nov8"/>
      <sheetName val="OTHER_INCOME_&amp;_BY_PERDIVISI8"/>
      <sheetName val="VAT_out8"/>
      <sheetName val="General_Info8"/>
      <sheetName val="Mutasi_Final8"/>
      <sheetName val="TAS_Fleet_Adj_Ratio8"/>
      <sheetName val="DIRECT_COST8"/>
      <sheetName val="Permanent_info8"/>
      <sheetName val="Data_Supp__Monthly_8"/>
      <sheetName val="Fill_this_out_first___14"/>
      <sheetName val="Shares_Outstanding8"/>
      <sheetName val="Print_Controls8"/>
      <sheetName val="neraca_okt8"/>
      <sheetName val="Fill_this_out_first___15"/>
      <sheetName val="NERACA_JUL8"/>
      <sheetName val="Individual_Gross_Profit_J_-_Au8"/>
      <sheetName val="ME_ADJ_entries_WIP8"/>
      <sheetName val="Input_Log__Set-up8"/>
      <sheetName val="SAP_+_LS6"/>
      <sheetName val="CURRENCY_C_O_A_7"/>
      <sheetName val="FE-1770_P16"/>
      <sheetName val="ocean_voyage6"/>
      <sheetName val="Table_Array6"/>
      <sheetName val="Calc__Overview6"/>
      <sheetName val="PL_(MONTHLY)6"/>
      <sheetName val="Master_Rumah6"/>
      <sheetName val="4_1_Placement_w_o_b6"/>
      <sheetName val="N2_26"/>
      <sheetName val="20A_Sum6"/>
      <sheetName val="WBS_20056"/>
      <sheetName val="GABLUARJAWA1_(2)6"/>
      <sheetName val="EV_SJB6"/>
      <sheetName val="Rpt13_Oth6"/>
      <sheetName val="Local_access6"/>
      <sheetName val="2703_16"/>
      <sheetName val="KKP-II_2_2_1_26"/>
      <sheetName val="SALES_09-10__PIVOT6"/>
      <sheetName val="BS_final6"/>
      <sheetName val="KAS_$6"/>
      <sheetName val="NERKON_11"/>
      <sheetName val="P-Kebun_11"/>
      <sheetName val="PLL_11"/>
      <sheetName val="AL-BTL_KK_(2)11"/>
      <sheetName val="BTL__11"/>
      <sheetName val="Ak_pro_11"/>
      <sheetName val="HUT_11"/>
      <sheetName val="pph_11"/>
      <sheetName val="HB_11"/>
      <sheetName val="PJR_PENJ11"/>
      <sheetName val="DAF_ISI11"/>
      <sheetName val="COVER_11"/>
      <sheetName val="Ak_pro_(2)11"/>
      <sheetName val="PJR_PENJ_11"/>
      <sheetName val="tabel_nilai10"/>
      <sheetName val="by_service10"/>
      <sheetName val="ROSS_LIST10"/>
      <sheetName val="AFTER_AUDIT_20009"/>
      <sheetName val="SC_Nov9"/>
      <sheetName val="OTHER_INCOME_&amp;_BY_PERDIVISI9"/>
      <sheetName val="VAT_out9"/>
      <sheetName val="General_Info9"/>
      <sheetName val="Mutasi_Final9"/>
      <sheetName val="TAS_Fleet_Adj_Ratio9"/>
      <sheetName val="DIRECT_COST9"/>
      <sheetName val="Permanent_info9"/>
      <sheetName val="Data_Supp__Monthly_9"/>
      <sheetName val="Fill_this_out_first___16"/>
      <sheetName val="Shares_Outstanding9"/>
      <sheetName val="Print_Controls9"/>
      <sheetName val="neraca_okt9"/>
      <sheetName val="Fill_this_out_first___17"/>
      <sheetName val="NERACA_JUL9"/>
      <sheetName val="Individual_Gross_Profit_J_-_Au9"/>
      <sheetName val="ME_ADJ_entries_WIP9"/>
      <sheetName val="Input_Log__Set-up9"/>
      <sheetName val="SAP_+_LS7"/>
      <sheetName val="CURRENCY_C_O_A_8"/>
      <sheetName val="FE-1770_P17"/>
      <sheetName val="ocean_voyage7"/>
      <sheetName val="Table_Array7"/>
      <sheetName val="Calc__Overview7"/>
      <sheetName val="PL_(MONTHLY)7"/>
      <sheetName val="Master_Rumah7"/>
      <sheetName val="4_1_Placement_w_o_b7"/>
      <sheetName val="N2_27"/>
      <sheetName val="20A_Sum7"/>
      <sheetName val="WBS_20057"/>
      <sheetName val="GABLUARJAWA1_(2)7"/>
      <sheetName val="EV_SJB7"/>
      <sheetName val="Rpt13_Oth7"/>
      <sheetName val="Local_access7"/>
      <sheetName val="2703_17"/>
      <sheetName val="KKP-II_2_2_1_27"/>
      <sheetName val="SALES_09-10__PIVOT7"/>
      <sheetName val="BS_final7"/>
      <sheetName val="KAS_$7"/>
      <sheetName val="NERKON_13"/>
      <sheetName val="P-Kebun_13"/>
      <sheetName val="PLL_13"/>
      <sheetName val="AL-BTL_KK_(2)13"/>
      <sheetName val="BTL__13"/>
      <sheetName val="Ak_pro_13"/>
      <sheetName val="HUT_13"/>
      <sheetName val="pph_13"/>
      <sheetName val="HB_13"/>
      <sheetName val="PJR_PENJ13"/>
      <sheetName val="DAF_ISI13"/>
      <sheetName val="COVER_13"/>
      <sheetName val="Ak_pro_(2)13"/>
      <sheetName val="PJR_PENJ_13"/>
      <sheetName val="tabel_nilai12"/>
      <sheetName val="by_service12"/>
      <sheetName val="ROSS_LIST12"/>
      <sheetName val="AFTER_AUDIT_200011"/>
      <sheetName val="SC_Nov11"/>
      <sheetName val="OTHER_INCOME_&amp;_BY_PERDIVISI11"/>
      <sheetName val="VAT_out11"/>
      <sheetName val="General_Info11"/>
      <sheetName val="Mutasi_Final11"/>
      <sheetName val="TAS_Fleet_Adj_Ratio11"/>
      <sheetName val="DIRECT_COST11"/>
      <sheetName val="Permanent_info11"/>
      <sheetName val="Data_Supp__Monthly_11"/>
      <sheetName val="Fill_this_out_first___20"/>
      <sheetName val="Shares_Outstanding11"/>
      <sheetName val="Print_Controls11"/>
      <sheetName val="neraca_okt11"/>
      <sheetName val="Fill_this_out_first___21"/>
      <sheetName val="NERACA_JUL11"/>
      <sheetName val="Individual_Gross_Profit_J_-_A11"/>
      <sheetName val="ME_ADJ_entries_WIP11"/>
      <sheetName val="Input_Log__Set-up11"/>
      <sheetName val="SAP_+_LS9"/>
      <sheetName val="CURRENCY_C_O_A_10"/>
      <sheetName val="FE-1770_P19"/>
      <sheetName val="ocean_voyage9"/>
      <sheetName val="Table_Array9"/>
      <sheetName val="Calc__Overview9"/>
      <sheetName val="PL_(MONTHLY)9"/>
      <sheetName val="Master_Rumah9"/>
      <sheetName val="4_1_Placement_w_o_b9"/>
      <sheetName val="N2_29"/>
      <sheetName val="20A_Sum9"/>
      <sheetName val="WBS_20059"/>
      <sheetName val="GABLUARJAWA1_(2)9"/>
      <sheetName val="EV_SJB9"/>
      <sheetName val="Rpt13_Oth9"/>
      <sheetName val="Local_access9"/>
      <sheetName val="2703_19"/>
      <sheetName val="KKP-II_2_2_1_29"/>
      <sheetName val="SALES_09-10__PIVOT9"/>
      <sheetName val="BS_final9"/>
      <sheetName val="KAS_$9"/>
      <sheetName val="NERKON_12"/>
      <sheetName val="P-Kebun_12"/>
      <sheetName val="PLL_12"/>
      <sheetName val="AL-BTL_KK_(2)12"/>
      <sheetName val="BTL__12"/>
      <sheetName val="Ak_pro_12"/>
      <sheetName val="HUT_12"/>
      <sheetName val="pph_12"/>
      <sheetName val="HB_12"/>
      <sheetName val="PJR_PENJ12"/>
      <sheetName val="DAF_ISI12"/>
      <sheetName val="COVER_12"/>
      <sheetName val="Ak_pro_(2)12"/>
      <sheetName val="PJR_PENJ_12"/>
      <sheetName val="tabel_nilai11"/>
      <sheetName val="by_service11"/>
      <sheetName val="ROSS_LIST11"/>
      <sheetName val="AFTER_AUDIT_200010"/>
      <sheetName val="SC_Nov10"/>
      <sheetName val="OTHER_INCOME_&amp;_BY_PERDIVISI10"/>
      <sheetName val="VAT_out10"/>
      <sheetName val="General_Info10"/>
      <sheetName val="Mutasi_Final10"/>
      <sheetName val="TAS_Fleet_Adj_Ratio10"/>
      <sheetName val="DIRECT_COST10"/>
      <sheetName val="Permanent_info10"/>
      <sheetName val="Data_Supp__Monthly_10"/>
      <sheetName val="Fill_this_out_first___18"/>
      <sheetName val="Shares_Outstanding10"/>
      <sheetName val="Print_Controls10"/>
      <sheetName val="neraca_okt10"/>
      <sheetName val="Fill_this_out_first___19"/>
      <sheetName val="NERACA_JUL10"/>
      <sheetName val="Individual_Gross_Profit_J_-_A10"/>
      <sheetName val="ME_ADJ_entries_WIP10"/>
      <sheetName val="Input_Log__Set-up10"/>
      <sheetName val="SAP_+_LS8"/>
      <sheetName val="CURRENCY_C_O_A_9"/>
      <sheetName val="FE-1770_P18"/>
      <sheetName val="ocean_voyage8"/>
      <sheetName val="Table_Array8"/>
      <sheetName val="Calc__Overview8"/>
      <sheetName val="PL_(MONTHLY)8"/>
      <sheetName val="Master_Rumah8"/>
      <sheetName val="4_1_Placement_w_o_b8"/>
      <sheetName val="N2_28"/>
      <sheetName val="20A_Sum8"/>
      <sheetName val="WBS_20058"/>
      <sheetName val="GABLUARJAWA1_(2)8"/>
      <sheetName val="EV_SJB8"/>
      <sheetName val="Rpt13_Oth8"/>
      <sheetName val="Local_access8"/>
      <sheetName val="2703_18"/>
      <sheetName val="KKP-II_2_2_1_28"/>
      <sheetName val="SALES_09-10__PIVOT8"/>
      <sheetName val="BS_final8"/>
      <sheetName val="KAS_$8"/>
      <sheetName val="NERKON_15"/>
      <sheetName val="P-Kebun_15"/>
      <sheetName val="PLL_15"/>
      <sheetName val="AL-BTL_KK_(2)15"/>
      <sheetName val="BTL__15"/>
      <sheetName val="Ak_pro_15"/>
      <sheetName val="HUT_15"/>
      <sheetName val="pph_15"/>
      <sheetName val="HB_15"/>
      <sheetName val="PJR_PENJ15"/>
      <sheetName val="DAF_ISI15"/>
      <sheetName val="COVER_15"/>
      <sheetName val="Ak_pro_(2)15"/>
      <sheetName val="PJR_PENJ_15"/>
      <sheetName val="tabel_nilai14"/>
      <sheetName val="by_service14"/>
      <sheetName val="ROSS_LIST14"/>
      <sheetName val="AFTER_AUDIT_200013"/>
      <sheetName val="SC_Nov13"/>
      <sheetName val="OTHER_INCOME_&amp;_BY_PERDIVISI13"/>
      <sheetName val="VAT_out13"/>
      <sheetName val="General_Info13"/>
      <sheetName val="Mutasi_Final13"/>
      <sheetName val="TAS_Fleet_Adj_Ratio13"/>
      <sheetName val="DIRECT_COST13"/>
      <sheetName val="Permanent_info13"/>
      <sheetName val="Data_Supp__Monthly_13"/>
      <sheetName val="Fill_this_out_first___24"/>
      <sheetName val="Shares_Outstanding13"/>
      <sheetName val="Print_Controls13"/>
      <sheetName val="neraca_okt13"/>
      <sheetName val="Fill_this_out_first___25"/>
      <sheetName val="NERACA_JUL13"/>
      <sheetName val="Individual_Gross_Profit_J_-_A13"/>
      <sheetName val="ME_ADJ_entries_WIP13"/>
      <sheetName val="Input_Log__Set-up13"/>
      <sheetName val="SAP_+_LS11"/>
      <sheetName val="CURRENCY_C_O_A_12"/>
      <sheetName val="FE-1770_P111"/>
      <sheetName val="ocean_voyage11"/>
      <sheetName val="Table_Array11"/>
      <sheetName val="Calc__Overview11"/>
      <sheetName val="PL_(MONTHLY)11"/>
      <sheetName val="Master_Rumah11"/>
      <sheetName val="4_1_Placement_w_o_b11"/>
      <sheetName val="N2_211"/>
      <sheetName val="20A_Sum11"/>
      <sheetName val="WBS_200511"/>
      <sheetName val="GABLUARJAWA1_(2)11"/>
      <sheetName val="EV_SJB11"/>
      <sheetName val="Rpt13_Oth11"/>
      <sheetName val="Local_access11"/>
      <sheetName val="2703_111"/>
      <sheetName val="KKP-II_2_2_1_211"/>
      <sheetName val="SALES_09-10__PIVOT11"/>
      <sheetName val="BS_final11"/>
      <sheetName val="KAS_$11"/>
      <sheetName val="WBS"/>
      <sheetName val="NERKON_14"/>
      <sheetName val="P-Kebun_14"/>
      <sheetName val="PLL_14"/>
      <sheetName val="AL-BTL_KK_(2)14"/>
      <sheetName val="BTL__14"/>
      <sheetName val="Ak_pro_14"/>
      <sheetName val="HUT_14"/>
      <sheetName val="pph_14"/>
      <sheetName val="HB_14"/>
      <sheetName val="PJR_PENJ14"/>
      <sheetName val="DAF_ISI14"/>
      <sheetName val="COVER_14"/>
      <sheetName val="Ak_pro_(2)14"/>
      <sheetName val="PJR_PENJ_14"/>
      <sheetName val="tabel_nilai13"/>
      <sheetName val="by_service13"/>
      <sheetName val="ROSS_LIST13"/>
      <sheetName val="AFTER_AUDIT_200012"/>
      <sheetName val="SC_Nov12"/>
      <sheetName val="OTHER_INCOME_&amp;_BY_PERDIVISI12"/>
      <sheetName val="VAT_out12"/>
      <sheetName val="General_Info12"/>
      <sheetName val="Mutasi_Final12"/>
      <sheetName val="TAS_Fleet_Adj_Ratio12"/>
      <sheetName val="DIRECT_COST12"/>
      <sheetName val="Permanent_info12"/>
      <sheetName val="Data_Supp__Monthly_12"/>
      <sheetName val="Fill_this_out_first___22"/>
      <sheetName val="Shares_Outstanding12"/>
      <sheetName val="Print_Controls12"/>
      <sheetName val="neraca_okt12"/>
      <sheetName val="Fill_this_out_first___23"/>
      <sheetName val="NERACA_JUL12"/>
      <sheetName val="Individual_Gross_Profit_J_-_A12"/>
      <sheetName val="ME_ADJ_entries_WIP12"/>
      <sheetName val="Input_Log__Set-up12"/>
      <sheetName val="SAP_+_LS10"/>
      <sheetName val="CURRENCY_C_O_A_11"/>
      <sheetName val="FE-1770_P110"/>
      <sheetName val="ocean_voyage10"/>
      <sheetName val="Table_Array10"/>
      <sheetName val="Calc__Overview10"/>
      <sheetName val="PL_(MONTHLY)10"/>
      <sheetName val="Master_Rumah10"/>
      <sheetName val="4_1_Placement_w_o_b10"/>
      <sheetName val="N2_210"/>
      <sheetName val="20A_Sum10"/>
      <sheetName val="WBS_200510"/>
      <sheetName val="GABLUARJAWA1_(2)10"/>
      <sheetName val="EV_SJB10"/>
      <sheetName val="Rpt13_Oth10"/>
      <sheetName val="Local_access10"/>
      <sheetName val="2703_110"/>
      <sheetName val="KKP-II_2_2_1_210"/>
      <sheetName val="SALES_09-10__PIVOT10"/>
      <sheetName val="BS_final10"/>
      <sheetName val="KAS_$10"/>
      <sheetName val="NERKON_16"/>
      <sheetName val="P-Kebun_16"/>
      <sheetName val="PLL_16"/>
      <sheetName val="AL-BTL_KK_(2)16"/>
      <sheetName val="BTL__16"/>
      <sheetName val="Ak_pro_16"/>
      <sheetName val="HUT_16"/>
      <sheetName val="pph_16"/>
      <sheetName val="HB_16"/>
      <sheetName val="PJR_PENJ16"/>
      <sheetName val="DAF_ISI16"/>
      <sheetName val="COVER_16"/>
      <sheetName val="Ak_pro_(2)16"/>
      <sheetName val="PJR_PENJ_16"/>
      <sheetName val="tabel_nilai15"/>
      <sheetName val="by_service15"/>
      <sheetName val="ROSS_LIST15"/>
      <sheetName val="AFTER_AUDIT_200014"/>
      <sheetName val="SC_Nov14"/>
      <sheetName val="OTHER_INCOME_&amp;_BY_PERDIVISI14"/>
      <sheetName val="VAT_out14"/>
      <sheetName val="General_Info14"/>
      <sheetName val="Mutasi_Final14"/>
      <sheetName val="TAS_Fleet_Adj_Ratio14"/>
      <sheetName val="DIRECT_COST14"/>
      <sheetName val="Permanent_info14"/>
      <sheetName val="Data_Supp__Monthly_14"/>
      <sheetName val="Fill_this_out_first___26"/>
      <sheetName val="Shares_Outstanding14"/>
      <sheetName val="Print_Controls14"/>
      <sheetName val="neraca_okt14"/>
      <sheetName val="Fill_this_out_first___27"/>
      <sheetName val="NERACA_JUL14"/>
      <sheetName val="Individual_Gross_Profit_J_-_A14"/>
      <sheetName val="ME_ADJ_entries_WIP14"/>
      <sheetName val="Input_Log__Set-up14"/>
      <sheetName val="SAP_+_LS12"/>
      <sheetName val="CURRENCY_C_O_A_13"/>
      <sheetName val="FE-1770_P112"/>
      <sheetName val="ocean_voyage12"/>
      <sheetName val="Table_Array12"/>
      <sheetName val="Calc__Overview12"/>
      <sheetName val="PL_(MONTHLY)12"/>
      <sheetName val="Master_Rumah12"/>
      <sheetName val="4_1_Placement_w_o_b12"/>
      <sheetName val="N2_212"/>
      <sheetName val="20A_Sum12"/>
      <sheetName val="WBS_200512"/>
      <sheetName val="GABLUARJAWA1_(2)12"/>
      <sheetName val="EV_SJB12"/>
      <sheetName val="Rpt13_Oth12"/>
      <sheetName val="Local_access12"/>
      <sheetName val="2703_112"/>
      <sheetName val="KKP-II_2_2_1_212"/>
      <sheetName val="SALES_09-10__PIVOT12"/>
      <sheetName val="BS_final12"/>
      <sheetName val="KAS_$12"/>
      <sheetName val="NERKON_17"/>
      <sheetName val="P-Kebun_17"/>
      <sheetName val="PLL_17"/>
      <sheetName val="AL-BTL_KK_(2)17"/>
      <sheetName val="BTL__17"/>
      <sheetName val="Ak_pro_17"/>
      <sheetName val="HUT_17"/>
      <sheetName val="pph_17"/>
      <sheetName val="HB_17"/>
      <sheetName val="PJR_PENJ17"/>
      <sheetName val="DAF_ISI17"/>
      <sheetName val="COVER_17"/>
      <sheetName val="Ak_pro_(2)17"/>
      <sheetName val="PJR_PENJ_17"/>
      <sheetName val="tabel_nilai16"/>
      <sheetName val="by_service16"/>
      <sheetName val="ROSS_LIST16"/>
      <sheetName val="AFTER_AUDIT_200015"/>
      <sheetName val="SC_Nov15"/>
      <sheetName val="OTHER_INCOME_&amp;_BY_PERDIVISI15"/>
      <sheetName val="VAT_out15"/>
      <sheetName val="General_Info15"/>
      <sheetName val="Mutasi_Final15"/>
      <sheetName val="TAS_Fleet_Adj_Ratio15"/>
      <sheetName val="DIRECT_COST15"/>
      <sheetName val="Permanent_info15"/>
      <sheetName val="Data_Supp__Monthly_15"/>
      <sheetName val="Fill_this_out_first___28"/>
      <sheetName val="Shares_Outstanding15"/>
      <sheetName val="Print_Controls15"/>
      <sheetName val="neraca_okt15"/>
      <sheetName val="Fill_this_out_first___29"/>
      <sheetName val="NERACA_JUL15"/>
      <sheetName val="Individual_Gross_Profit_J_-_A15"/>
      <sheetName val="ME_ADJ_entries_WIP15"/>
      <sheetName val="Input_Log__Set-up15"/>
      <sheetName val="SAP_+_LS13"/>
      <sheetName val="CURRENCY_C_O_A_14"/>
      <sheetName val="FE-1770_P113"/>
      <sheetName val="ocean_voyage13"/>
      <sheetName val="Table_Array13"/>
      <sheetName val="Calc__Overview13"/>
      <sheetName val="PL_(MONTHLY)13"/>
      <sheetName val="Master_Rumah13"/>
      <sheetName val="4_1_Placement_w_o_b13"/>
      <sheetName val="N2_213"/>
      <sheetName val="20A_Sum13"/>
      <sheetName val="WBS_200513"/>
      <sheetName val="GABLUARJAWA1_(2)13"/>
      <sheetName val="EV_SJB13"/>
      <sheetName val="Rpt13_Oth13"/>
      <sheetName val="Local_access13"/>
      <sheetName val="2703_113"/>
      <sheetName val="KKP-II_2_2_1_213"/>
      <sheetName val="SALES_09-10__PIVOT13"/>
      <sheetName val="BS_final13"/>
      <sheetName val="KAS_$13"/>
      <sheetName val="311208"/>
      <sheetName val="HB"/>
      <sheetName val="Exc. Rate"/>
      <sheetName val="tabel"/>
      <sheetName val="B2 (Act by Mth) Total"/>
      <sheetName val="2003 Bgt"/>
      <sheetName val="HO"/>
      <sheetName val="ELEMENT SUM"/>
      <sheetName val="BQ"/>
      <sheetName val="SPT TAHUNAN"/>
      <sheetName val="Rinc_Setoran Astek"/>
      <sheetName val="DPLK_PST"/>
      <sheetName val="jkk_takaful"/>
      <sheetName val="HS-2"/>
      <sheetName val="Harga Dasar"/>
      <sheetName val="SDM"/>
      <sheetName val="RAB"/>
      <sheetName val="cons workpapers"/>
      <sheetName val="Balance Sheet"/>
      <sheetName val="equity of abacus"/>
      <sheetName val="Lookup"/>
      <sheetName val="validation"/>
      <sheetName val="Input Data"/>
      <sheetName val="HS-1"/>
      <sheetName val="Allowance"/>
      <sheetName val="SPJ"/>
      <sheetName val="Gaji"/>
      <sheetName val="FINISHING"/>
      <sheetName val="HargaBahan"/>
      <sheetName val="FKT_PJK"/>
      <sheetName val="bahan"/>
      <sheetName val="MAP-Prog"/>
      <sheetName val="Pipe"/>
      <sheetName val="rate-alat"/>
      <sheetName val="New MADC"/>
      <sheetName val="DASH"/>
      <sheetName val="D4"/>
      <sheetName val="D6"/>
      <sheetName val="D7"/>
      <sheetName val="D8"/>
      <sheetName val="GP-WB"/>
      <sheetName val="HRG UPAH BAHAN"/>
      <sheetName val="Source"/>
      <sheetName val="HSATUAN"/>
      <sheetName val="H.Satuan"/>
      <sheetName val="TL"/>
      <sheetName val="HR Detail"/>
      <sheetName val="HRPar"/>
      <sheetName val="SDMTA"/>
      <sheetName val="analisa"/>
      <sheetName val="D.BOARD"/>
      <sheetName val="7.1(3)"/>
      <sheetName val="STOK MAT"/>
      <sheetName val="Anal. Alat"/>
      <sheetName val="Upah"/>
      <sheetName val="BOQ"/>
      <sheetName val="antek12a-13"/>
      <sheetName val="HRG BHN"/>
      <sheetName val="hardas"/>
      <sheetName val="TAGIHAN"/>
      <sheetName val="PROD"/>
      <sheetName val="ListAnalisa"/>
      <sheetName val="41,9&amp;36,3"/>
      <sheetName val="rkp"/>
      <sheetName val="TEKNIS"/>
      <sheetName val="bau"/>
      <sheetName val="BL"/>
      <sheetName val="an-satuan"/>
      <sheetName val="Master 1.0"/>
      <sheetName val="DATA 2009"/>
      <sheetName val="TARGET RAKER "/>
      <sheetName val="target raker 1"/>
      <sheetName val="SUPPORT"/>
      <sheetName val="Key Assumptions"/>
      <sheetName val="TABEL-DETASIR"/>
      <sheetName val="HARGA MATERIAL"/>
      <sheetName val="pt-perso"/>
      <sheetName val="AC"/>
      <sheetName val="LOADDAT"/>
      <sheetName val="Div 6 - Aspal"/>
      <sheetName val="MAP-2A"/>
      <sheetName val="Mobdemobalat"/>
      <sheetName val="DAF-7"/>
      <sheetName val="RPP01-5"/>
      <sheetName val="COVER-01"/>
      <sheetName val="jalur-TH-INI"/>
      <sheetName val="jalur-th-lalu"/>
      <sheetName val="412src2"/>
      <sheetName val="SchC"/>
      <sheetName val="SchA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chB"/>
      <sheetName val="prelim"/>
      <sheetName val="SewAlat"/>
      <sheetName val="DIV.9"/>
      <sheetName val="PERALATAN PROYEK GOL III A"/>
      <sheetName val="1.B"/>
      <sheetName val="analisa Str"/>
      <sheetName val="Ana. PU"/>
      <sheetName val="database"/>
      <sheetName val="DKH-S3"/>
      <sheetName val="UPH,BHN,ALT"/>
      <sheetName val="BHN-ALAT"/>
      <sheetName val="MAPP"/>
      <sheetName val="Bab10"/>
      <sheetName val="hsat-SD"/>
      <sheetName val="H-Dasar"/>
      <sheetName val="Material&amp;Upah"/>
      <sheetName val="DBKoef"/>
      <sheetName val="RESUME REALISASI"/>
      <sheetName val="Estimate"/>
      <sheetName val="5.1-5.4(1)-5.4(2)"/>
      <sheetName val="K"/>
      <sheetName val="RPP01 6"/>
      <sheetName val="Hargamat"/>
      <sheetName val="D HARGA"/>
      <sheetName val="trans"/>
      <sheetName val="BasicPrice"/>
      <sheetName val="Param"/>
      <sheetName val="TARIP"/>
      <sheetName val="01Reg3"/>
      <sheetName val="MG"/>
      <sheetName val="NAMA DEPT"/>
      <sheetName val="Sampul-1"/>
      <sheetName val="Utilitas Plant"/>
      <sheetName val="URUTAN PLANT"/>
      <sheetName val="Hrg Sat"/>
      <sheetName val="jan05"/>
      <sheetName val="DOC"/>
      <sheetName val="FEED"/>
      <sheetName val="Equipment"/>
      <sheetName val="1771"/>
      <sheetName val="Invoice utama"/>
      <sheetName val="Comps Backup"/>
      <sheetName val="WASTE BY MATERI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KELUARAN"/>
      <sheetName val="KOREKSI-PM"/>
      <sheetName val="STP"/>
      <sheetName val="CONF-INT"/>
      <sheetName val="CONF-EKST"/>
      <sheetName val="SSP. IMP"/>
      <sheetName val="SSP-JLN"/>
      <sheetName val="PEMBELIAN"/>
      <sheetName val="ALKET"/>
      <sheetName val="URAIAN-1"/>
      <sheetName val="URAIAN-2"/>
      <sheetName val="URAIAN-3"/>
      <sheetName val="URAIAN-4"/>
      <sheetName val="NOTHIT"/>
      <sheetName val="Sheet1"/>
      <sheetName val="Sheet2"/>
      <sheetName val="PAN"/>
      <sheetName val="PHP "/>
      <sheetName val="LAMP. PEMB"/>
      <sheetName val="BACK-TUP"/>
      <sheetName val="KPS.6"/>
      <sheetName val="kor-pm1"/>
      <sheetName val="B1 Data"/>
      <sheetName val="SSP__IMP"/>
      <sheetName val="PHP_"/>
      <sheetName val="LAMP__PEMB"/>
      <sheetName val="KPS_6"/>
      <sheetName val="C1"/>
      <sheetName val="ASSUM-COMB-Prop"/>
      <sheetName val="SSP__IMP1"/>
      <sheetName val="PHP_1"/>
      <sheetName val="LAMP__PEMB1"/>
      <sheetName val="KPS_61"/>
      <sheetName val="B1_Data"/>
      <sheetName val="des"/>
      <sheetName val="TBM"/>
      <sheetName val="Permanent info"/>
      <sheetName val="NEGARA"/>
      <sheetName val="LOOKUP"/>
      <sheetName val="janflash"/>
      <sheetName val="new IFS format"/>
      <sheetName val="SSP__IMP7"/>
      <sheetName val="PHP_7"/>
      <sheetName val="LAMP__PEMB7"/>
      <sheetName val="KPS_67"/>
      <sheetName val="B1_Data6"/>
      <sheetName val="Permanent_info5"/>
      <sheetName val="SSP__IMP2"/>
      <sheetName val="PHP_2"/>
      <sheetName val="LAMP__PEMB2"/>
      <sheetName val="KPS_62"/>
      <sheetName val="B1_Data1"/>
      <sheetName val="Permanent_info"/>
      <sheetName val="SSP__IMP4"/>
      <sheetName val="PHP_4"/>
      <sheetName val="LAMP__PEMB4"/>
      <sheetName val="KPS_64"/>
      <sheetName val="B1_Data3"/>
      <sheetName val="Permanent_info2"/>
      <sheetName val="SSP__IMP3"/>
      <sheetName val="PHP_3"/>
      <sheetName val="LAMP__PEMB3"/>
      <sheetName val="KPS_63"/>
      <sheetName val="B1_Data2"/>
      <sheetName val="Permanent_info1"/>
      <sheetName val="SSP__IMP5"/>
      <sheetName val="PHP_5"/>
      <sheetName val="LAMP__PEMB5"/>
      <sheetName val="KPS_65"/>
      <sheetName val="B1_Data4"/>
      <sheetName val="Permanent_info3"/>
      <sheetName val="SSP__IMP6"/>
      <sheetName val="PHP_6"/>
      <sheetName val="LAMP__PEMB6"/>
      <sheetName val="KPS_66"/>
      <sheetName val="B1_Data5"/>
      <sheetName val="Permanent_info4"/>
      <sheetName val="SSP__IMP10"/>
      <sheetName val="PHP_10"/>
      <sheetName val="LAMP__PEMB10"/>
      <sheetName val="KPS_610"/>
      <sheetName val="B1_Data9"/>
      <sheetName val="Permanent_info8"/>
      <sheetName val="SSP__IMP8"/>
      <sheetName val="PHP_8"/>
      <sheetName val="LAMP__PEMB8"/>
      <sheetName val="KPS_68"/>
      <sheetName val="B1_Data7"/>
      <sheetName val="Permanent_info6"/>
      <sheetName val="SSP__IMP9"/>
      <sheetName val="PHP_9"/>
      <sheetName val="LAMP__PEMB9"/>
      <sheetName val="KPS_69"/>
      <sheetName val="B1_Data8"/>
      <sheetName val="Permanent_info7"/>
      <sheetName val="Olah"/>
      <sheetName val="SSP__IMP13"/>
      <sheetName val="PHP_13"/>
      <sheetName val="LAMP__PEMB13"/>
      <sheetName val="KPS_613"/>
      <sheetName val="B1_Data12"/>
      <sheetName val="Permanent_info11"/>
      <sheetName val="SSP__IMP12"/>
      <sheetName val="PHP_12"/>
      <sheetName val="LAMP__PEMB12"/>
      <sheetName val="KPS_612"/>
      <sheetName val="B1_Data11"/>
      <sheetName val="Permanent_info10"/>
      <sheetName val="new_IFS_format1"/>
      <sheetName val="SSP__IMP11"/>
      <sheetName val="PHP_11"/>
      <sheetName val="LAMP__PEMB11"/>
      <sheetName val="KPS_611"/>
      <sheetName val="B1_Data10"/>
      <sheetName val="Permanent_info9"/>
      <sheetName val="new_IFS_format"/>
      <sheetName val="L1"/>
      <sheetName val="SSP__IMP14"/>
      <sheetName val="PHP_14"/>
      <sheetName val="LAMP__PEMB14"/>
      <sheetName val="KPS_614"/>
      <sheetName val="B1_Data13"/>
      <sheetName val="Permanent_info12"/>
      <sheetName val="new_IFS_format3"/>
      <sheetName val="new_IFS_format2"/>
      <sheetName val="J1"/>
      <sheetName val="2002"/>
      <sheetName val="ocean voyage"/>
      <sheetName val="Data KKP PPN"/>
      <sheetName val="WS BS"/>
      <sheetName val="IS PER MONTH 11.30.07"/>
      <sheetName val="5"/>
      <sheetName val="Biaya Departemen"/>
      <sheetName val="NL"/>
      <sheetName val="source"/>
      <sheetName val="Mort-06"/>
      <sheetName val="Mexico"/>
      <sheetName val="2934"/>
      <sheetName val="SSP__IMP15"/>
      <sheetName val="PHP_15"/>
      <sheetName val="LAMP__PEMB15"/>
      <sheetName val="KPS_615"/>
      <sheetName val="B1_Data14"/>
      <sheetName val="Permanent_info13"/>
      <sheetName val="new_IFS_format4"/>
      <sheetName val="Data_KKP_PPN"/>
      <sheetName val="ocean_voyage"/>
      <sheetName val="WS_BS"/>
      <sheetName val="IS_PER_MONTH_11_30_07"/>
      <sheetName val="Biaya_Departemen"/>
      <sheetName val="Jan-des"/>
      <sheetName val="D1"/>
      <sheetName val="FE_1770_P1"/>
      <sheetName val="SUMMARY"/>
      <sheetName val="ARUT-1-99"/>
      <sheetName val="PPh 23,4(2),15, 26"/>
      <sheetName val="PPh_23,4(2),15,_26"/>
      <sheetName val="Monthly Recap"/>
      <sheetName val="Ex-Rate"/>
      <sheetName val="NAP"/>
      <sheetName val="Tabel Referensi"/>
      <sheetName val="Library procedures"/>
      <sheetName val="412src2"/>
      <sheetName val="Laba Kotor"/>
      <sheetName val="PPh_23,4(2),15,_261"/>
      <sheetName val="Data"/>
      <sheetName val="Inputs"/>
      <sheetName val="1999"/>
      <sheetName val="B1"/>
      <sheetName val="Irregular Income"/>
      <sheetName val="FE-1770.P1"/>
      <sheetName val="V_List"/>
      <sheetName val="SELISIHKURSSOURCE"/>
      <sheetName val="SSP__IMP16"/>
      <sheetName val="PHP_16"/>
      <sheetName val="LAMP__PEMB16"/>
      <sheetName val="KPS_616"/>
      <sheetName val="B1_Data15"/>
      <sheetName val="Permanent_info14"/>
      <sheetName val="new_IFS_format5"/>
      <sheetName val="Data_KKP_PPN1"/>
      <sheetName val="ocean_voyage1"/>
      <sheetName val="WS_BS1"/>
      <sheetName val="IS_PER_MONTH_11_30_071"/>
      <sheetName val="Biaya_Departemen1"/>
      <sheetName val="Monthly_Recap"/>
      <sheetName val="SSP__IMP17"/>
      <sheetName val="PHP_17"/>
      <sheetName val="LAMP__PEMB17"/>
      <sheetName val="KPS_617"/>
      <sheetName val="B1_Data16"/>
      <sheetName val="Permanent_info15"/>
      <sheetName val="new_IFS_format6"/>
      <sheetName val="Data_KKP_PPN2"/>
      <sheetName val="ocean_voyage2"/>
      <sheetName val="WS_BS2"/>
      <sheetName val="IS_PER_MONTH_11_30_072"/>
      <sheetName val="Biaya_Departemen2"/>
      <sheetName val="PPh_23,4(2),15,_262"/>
      <sheetName val="Monthly_Recap1"/>
      <sheetName val="SSP__IMP18"/>
      <sheetName val="PHP_18"/>
      <sheetName val="LAMP__PEMB18"/>
      <sheetName val="KPS_618"/>
      <sheetName val="B1_Data17"/>
      <sheetName val="Permanent_info16"/>
      <sheetName val="new_IFS_format7"/>
      <sheetName val="Data_KKP_PPN3"/>
      <sheetName val="ocean_voyage3"/>
      <sheetName val="WS_BS3"/>
      <sheetName val="IS_PER_MONTH_11_30_073"/>
      <sheetName val="Biaya_Departemen3"/>
      <sheetName val="PPh_23,4(2),15,_263"/>
      <sheetName val="Monthly_Recap2"/>
      <sheetName val="SSP__IMP19"/>
      <sheetName val="PHP_19"/>
      <sheetName val="LAMP__PEMB19"/>
      <sheetName val="KPS_619"/>
      <sheetName val="B1_Data18"/>
      <sheetName val="Permanent_info17"/>
      <sheetName val="new_IFS_format8"/>
      <sheetName val="Data_KKP_PPN4"/>
      <sheetName val="ocean_voyage4"/>
      <sheetName val="WS_BS4"/>
      <sheetName val="IS_PER_MONTH_11_30_074"/>
      <sheetName val="Biaya_Departemen4"/>
      <sheetName val="PPh_23,4(2),15,_264"/>
      <sheetName val="Monthly_Recap3"/>
      <sheetName val="SSP__IMP23"/>
      <sheetName val="PHP_23"/>
      <sheetName val="LAMP__PEMB23"/>
      <sheetName val="KPS_623"/>
      <sheetName val="B1_Data22"/>
      <sheetName val="Permanent_info21"/>
      <sheetName val="new_IFS_format12"/>
      <sheetName val="Data_KKP_PPN8"/>
      <sheetName val="ocean_voyage8"/>
      <sheetName val="WS_BS8"/>
      <sheetName val="IS_PER_MONTH_11_30_078"/>
      <sheetName val="Biaya_Departemen8"/>
      <sheetName val="PPh_23,4(2),15,_268"/>
      <sheetName val="Monthly_Recap7"/>
      <sheetName val="SSP__IMP20"/>
      <sheetName val="PHP_20"/>
      <sheetName val="LAMP__PEMB20"/>
      <sheetName val="KPS_620"/>
      <sheetName val="B1_Data19"/>
      <sheetName val="Permanent_info18"/>
      <sheetName val="new_IFS_format9"/>
      <sheetName val="Data_KKP_PPN5"/>
      <sheetName val="ocean_voyage5"/>
      <sheetName val="WS_BS5"/>
      <sheetName val="IS_PER_MONTH_11_30_075"/>
      <sheetName val="Biaya_Departemen5"/>
      <sheetName val="PPh_23,4(2),15,_265"/>
      <sheetName val="Monthly_Recap4"/>
      <sheetName val="SSP__IMP21"/>
      <sheetName val="PHP_21"/>
      <sheetName val="LAMP__PEMB21"/>
      <sheetName val="KPS_621"/>
      <sheetName val="B1_Data20"/>
      <sheetName val="Permanent_info19"/>
      <sheetName val="new_IFS_format10"/>
      <sheetName val="Data_KKP_PPN6"/>
      <sheetName val="ocean_voyage6"/>
      <sheetName val="WS_BS6"/>
      <sheetName val="IS_PER_MONTH_11_30_076"/>
      <sheetName val="Biaya_Departemen6"/>
      <sheetName val="PPh_23,4(2),15,_266"/>
      <sheetName val="Monthly_Recap5"/>
      <sheetName val="SSP__IMP22"/>
      <sheetName val="PHP_22"/>
      <sheetName val="LAMP__PEMB22"/>
      <sheetName val="KPS_622"/>
      <sheetName val="B1_Data21"/>
      <sheetName val="Permanent_info20"/>
      <sheetName val="new_IFS_format11"/>
      <sheetName val="Data_KKP_PPN7"/>
      <sheetName val="ocean_voyage7"/>
      <sheetName val="WS_BS7"/>
      <sheetName val="IS_PER_MONTH_11_30_077"/>
      <sheetName val="Biaya_Departemen7"/>
      <sheetName val="PPh_23,4(2),15,_267"/>
      <sheetName val="Monthly_Recap6"/>
      <sheetName val="SSP__IMP24"/>
      <sheetName val="PHP_24"/>
      <sheetName val="LAMP__PEMB24"/>
      <sheetName val="KPS_624"/>
      <sheetName val="B1_Data23"/>
      <sheetName val="Permanent_info22"/>
      <sheetName val="new_IFS_format13"/>
      <sheetName val="Data_KKP_PPN9"/>
      <sheetName val="ocean_voyage9"/>
      <sheetName val="WS_BS9"/>
      <sheetName val="IS_PER_MONTH_11_30_079"/>
      <sheetName val="Biaya_Departemen9"/>
      <sheetName val="PPh_23,4(2),15,_269"/>
      <sheetName val="Monthly_Recap8"/>
      <sheetName val="SSP__IMP25"/>
      <sheetName val="PHP_25"/>
      <sheetName val="LAMP__PEMB25"/>
      <sheetName val="KPS_625"/>
      <sheetName val="B1_Data24"/>
      <sheetName val="Permanent_info23"/>
      <sheetName val="new_IFS_format14"/>
      <sheetName val="Data_KKP_PPN10"/>
      <sheetName val="ocean_voyage10"/>
      <sheetName val="WS_BS10"/>
      <sheetName val="IS_PER_MONTH_11_30_0710"/>
      <sheetName val="Biaya_Departemen10"/>
      <sheetName val="PPh_23,4(2),15,_2610"/>
      <sheetName val="Monthly_Recap9"/>
      <sheetName val="FG"/>
      <sheetName val="Net Trans Sum"/>
      <sheetName val="TaxDat"/>
      <sheetName val="gldownload"/>
      <sheetName val="(40)g&amp;a"/>
      <sheetName val="GM R2-02"/>
      <sheetName val="PL (MONTHLY)"/>
      <sheetName val="KURS"/>
      <sheetName val="KAS 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TBM"/>
      <sheetName val="MAR_REC"/>
      <sheetName val="new IFS format"/>
      <sheetName val="Marshal"/>
      <sheetName val="VAT out"/>
      <sheetName val="GeneralInfo"/>
      <sheetName val="d_com"/>
      <sheetName val="Main table"/>
      <sheetName val="DATA01-08-2004"/>
      <sheetName val="Ex-Rate"/>
      <sheetName val="NAP"/>
      <sheetName val="data (2)"/>
      <sheetName val="Jul-97"/>
      <sheetName val="Detail PNL $"/>
      <sheetName val="Daftar Customer"/>
      <sheetName val="Permanent_info"/>
      <sheetName val="Marshal_2"/>
      <sheetName val="Lampiran_"/>
      <sheetName val="monthly"/>
      <sheetName val="Sheet1"/>
      <sheetName val="TB"/>
      <sheetName val="Ranges"/>
      <sheetName val="SAA"/>
      <sheetName val="tabel"/>
      <sheetName val="Con"/>
      <sheetName val="FKT_PJK"/>
      <sheetName val="Total"/>
      <sheetName val="Identitas"/>
      <sheetName val="Calc. Overview"/>
      <sheetName val="data wp"/>
      <sheetName val="Sheet3"/>
      <sheetName val="Notes"/>
      <sheetName val="BTS-L4-L5-1C"/>
      <sheetName val="SE-C"/>
      <sheetName val="Option1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DATA"/>
      <sheetName val="1999"/>
      <sheetName val="BIA-F"/>
      <sheetName val="Marshal -1"/>
      <sheetName val="BankHolidays"/>
      <sheetName val="SUMMARY NDE"/>
      <sheetName val="PTCI Alyui Bay Exp -  2004 (Rp)"/>
      <sheetName val="Data Client"/>
      <sheetName val="Coa"/>
      <sheetName val="CAJE"/>
      <sheetName val="tabel nilai"/>
      <sheetName val="DIRECT COST"/>
      <sheetName val="Actuals Actuals 501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Trad"/>
      <sheetName val="Summary"/>
      <sheetName val="TRF 150"/>
      <sheetName val="kepmenaker150"/>
      <sheetName val="Angka"/>
      <sheetName val="Oct 99"/>
      <sheetName val="POMALAA"/>
      <sheetName val="FA FISKAL"/>
      <sheetName val="Credit-22"/>
      <sheetName val="new_IFS_format"/>
      <sheetName val="VAT_out"/>
      <sheetName val="Main_table"/>
      <sheetName val="data_(2)"/>
      <sheetName val="Detail_PNL_$"/>
      <sheetName val="sepdua"/>
      <sheetName val="Factors"/>
      <sheetName val="Var"/>
      <sheetName val="Sheet1 (3)"/>
      <sheetName val="Training"/>
      <sheetName val="output"/>
      <sheetName val="cov"/>
      <sheetName val="BS-after AJE"/>
      <sheetName val="File references"/>
      <sheetName val="NERACA JUL"/>
      <sheetName val="Contractual Terms(1)"/>
      <sheetName val="Permanent_info1"/>
      <sheetName val="Marshal_21"/>
      <sheetName val="Lampiran_1"/>
      <sheetName val="Daftar_Customer"/>
      <sheetName val="Calc__Overview"/>
      <sheetName val="Marshal_-1"/>
      <sheetName val="Data_Client"/>
      <sheetName val="SUMMARY_NDE"/>
      <sheetName val="data_wp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TRF_150"/>
      <sheetName val="new_IFS_format1"/>
      <sheetName val="VAT_out1"/>
      <sheetName val="Main_table1"/>
      <sheetName val="data_(2)1"/>
      <sheetName val="Detail_PNL_$1"/>
      <sheetName val="cons_workpapers"/>
      <sheetName val="dft bns"/>
      <sheetName val="Market Positioning"/>
      <sheetName val="N.Assumptions"/>
      <sheetName val="P.Assumptions"/>
      <sheetName val="WACC (Intl)"/>
      <sheetName val="IS"/>
      <sheetName val="Permanent_info2"/>
      <sheetName val="Marshal_22"/>
      <sheetName val="Lampiran_2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Interdata"/>
      <sheetName val="Kontrol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Sheet2"/>
      <sheetName val="PAJE-2007"/>
      <sheetName val="Table Array"/>
      <sheetName val="SCORE_RC_Code"/>
      <sheetName val="Fiscal Cal"/>
      <sheetName val="ROSS LIST"/>
      <sheetName val="EX RATE"/>
      <sheetName val="note"/>
      <sheetName val="OLDDATA"/>
      <sheetName val="Rekap Piutang"/>
      <sheetName val="Cost Code"/>
      <sheetName val="Entry  HTM"/>
      <sheetName val="B"/>
      <sheetName val="PConsCS"/>
      <sheetName val="dia-in"/>
      <sheetName val="COSTCODE"/>
      <sheetName val="Ikhtisar"/>
      <sheetName val="VALIDASI"/>
      <sheetName val="nop"/>
      <sheetName val="Lead"/>
      <sheetName val="Detail_FA"/>
      <sheetName val="N2.2"/>
      <sheetName val="DATATRANS"/>
      <sheetName val="LabData203_204"/>
      <sheetName val="K2-FA"/>
      <sheetName val="Pg7.4"/>
      <sheetName val="Pg2"/>
      <sheetName val="Parameter"/>
      <sheetName val="NIOF"/>
      <sheetName val="Account Payable"/>
      <sheetName val="Revenue _10_"/>
      <sheetName val="Fiscal_Cal"/>
      <sheetName val="Table_Array"/>
      <sheetName val="Bank"/>
      <sheetName val="Rekap"/>
      <sheetName val="Party_Id"/>
      <sheetName val="neraca okt"/>
      <sheetName val="oblig Trad&amp;AFS"/>
      <sheetName val="COGM"/>
      <sheetName val="CGS"/>
      <sheetName val="tindak lanj"/>
      <sheetName val="OPNAME BAD STOCK"/>
      <sheetName val="SheetGMP"/>
      <sheetName val="SheetGMT"/>
      <sheetName val="Name"/>
      <sheetName val="As"/>
      <sheetName val="Standar"/>
      <sheetName val="RJ"/>
      <sheetName val="LabaRugi"/>
      <sheetName val="Links"/>
      <sheetName val="Labor"/>
      <sheetName val="9"/>
      <sheetName val="Harga"/>
      <sheetName val="A-1"/>
      <sheetName val="Master Edit"/>
      <sheetName val="Nov"/>
      <sheetName val="Input"/>
      <sheetName val="Financials"/>
      <sheetName val="Olah"/>
      <sheetName val="Master"/>
      <sheetName val="FE-1771$.P1"/>
      <sheetName val="23CITR98eForms"/>
      <sheetName val="BSliRp"/>
      <sheetName val="pm"/>
      <sheetName val="Ex_Rate"/>
      <sheetName val="NH-Badan"/>
      <sheetName val="B1"/>
      <sheetName val="BTR"/>
      <sheetName val="BGR"/>
      <sheetName val="BKS"/>
      <sheetName val="L2"/>
      <sheetName val="POTO MAC"/>
      <sheetName val="DAILY"/>
      <sheetName val="PEGAWAI"/>
      <sheetName val="Macro5"/>
      <sheetName val="cal2"/>
      <sheetName val="Sheet 1"/>
      <sheetName val="PREPAID"/>
      <sheetName val="AFTER AUDIT 2000"/>
      <sheetName val="Proyek"/>
      <sheetName val="Asumsi"/>
      <sheetName val="Jurnal"/>
      <sheetName val="General Info"/>
      <sheetName val="Scenarios and Sensitivities"/>
      <sheetName val="Operations"/>
      <sheetName val="Global Assumptions"/>
      <sheetName val="Account"/>
      <sheetName val="DCF SD JUNI 04"/>
      <sheetName val="DCF"/>
      <sheetName val="GEN EXP JANUARY"/>
      <sheetName val="MMR DET"/>
      <sheetName val="ocean voyage"/>
      <sheetName val="20-102"/>
      <sheetName val="C1 NOV"/>
      <sheetName val="029Cikeas00"/>
      <sheetName val="NLsimpro"/>
      <sheetName val="Information"/>
      <sheetName val="FE_1770_P1"/>
      <sheetName val="CMA_Calculations"/>
      <sheetName val="analis"/>
      <sheetName val="Investment"/>
      <sheetName val="SELL-SUMM-COST"/>
      <sheetName val="MULTIPERIOD RETURNS"/>
      <sheetName val="NWEXT"/>
      <sheetName val="HARGA MATERIAL"/>
      <sheetName val="tabel perkiraan"/>
      <sheetName val="wip"/>
      <sheetName val="NEGARA"/>
      <sheetName val="setoran"/>
      <sheetName val="Feuil1"/>
      <sheetName val="FO"/>
      <sheetName val="Income Statement"/>
      <sheetName val="WTB"/>
      <sheetName val="LIST 99"/>
      <sheetName val="A"/>
      <sheetName val="Contents"/>
      <sheetName val="Orders"/>
      <sheetName val="data_benefit(1)"/>
      <sheetName val="data_val"/>
      <sheetName val="Interim --&gt; Top"/>
      <sheetName val="0000"/>
      <sheetName val="Aug'04"/>
      <sheetName val="NS"/>
      <sheetName val="Type"/>
      <sheetName val="Customize"/>
      <sheetName val="Pricelist 2004c"/>
      <sheetName val="Proposed 2003 Salary Range"/>
      <sheetName val="Adjustment"/>
      <sheetName val="BBM-03"/>
      <sheetName val="assets"/>
      <sheetName val="May"/>
      <sheetName val="report"/>
      <sheetName val="06aktt"/>
      <sheetName val="A-GL-SUMMARY"/>
      <sheetName val="PER-HP"/>
      <sheetName val="Worksheet Jan-Jun 2004"/>
      <sheetName val="THISWORKSHEET"/>
      <sheetName val="FE-1770-I"/>
      <sheetName val="FE-1770-II"/>
      <sheetName val="Notes 08"/>
      <sheetName val="Depresiasi"/>
      <sheetName val="Additional"/>
      <sheetName val="Mutasi Final"/>
      <sheetName val="Tickmarks"/>
      <sheetName val="PPh 22"/>
      <sheetName val="DbKtr"/>
      <sheetName val="cons workpapers"/>
      <sheetName val="equity of abacus"/>
      <sheetName val="Annual-Plan-1998-A-US$-Rupiah-F"/>
      <sheetName val="jasa giro"/>
      <sheetName val="UUK13"/>
      <sheetName val="Mortalitas"/>
      <sheetName val="2930"/>
      <sheetName val="2933"/>
      <sheetName val="2934"/>
      <sheetName val="Table 5"/>
      <sheetName val="extract"/>
      <sheetName val="Balance Sheet"/>
      <sheetName val="Travel"/>
      <sheetName val="Rates"/>
      <sheetName val="CF"/>
      <sheetName val="Index"/>
      <sheetName val="DataNo"/>
      <sheetName val="TABLE"/>
      <sheetName val="BQNSC"/>
      <sheetName val="Rekap Direct Cost"/>
      <sheetName val="Analisa -Baku"/>
      <sheetName val="Template "/>
      <sheetName val="SET"/>
      <sheetName val="00 received in 01"/>
      <sheetName val="Per GL J a n"/>
      <sheetName val="COGS"/>
      <sheetName val="Ist"/>
      <sheetName val="Assumptions Master"/>
      <sheetName val="LP-2"/>
      <sheetName val="LP-1"/>
      <sheetName val="Biaya"/>
      <sheetName val="Data2"/>
      <sheetName val="Sheet6"/>
      <sheetName val="CUACA"/>
      <sheetName val="A1-B ASSETS"/>
      <sheetName val="Harvesting-Total"/>
      <sheetName val="Neraca"/>
      <sheetName val="Modify TB"/>
      <sheetName val="OP-23"/>
      <sheetName val="WBS2"/>
      <sheetName val="Ten"/>
      <sheetName val="WT"/>
      <sheetName val="boq"/>
      <sheetName val="D3.1"/>
      <sheetName val="Hrg.Sat"/>
      <sheetName val="Trf-SAP-GL"/>
      <sheetName val="AddNationality"/>
      <sheetName val="AddPositionList"/>
      <sheetName val="ICT OPEX 2010 (Analysis)"/>
      <sheetName val="TMF Draft"/>
      <sheetName val="A_2"/>
      <sheetName val="TrialBalance Q3-2002"/>
      <sheetName val="BOH-FOH Structure"/>
      <sheetName val="KODE"/>
      <sheetName val="HARVEST02"/>
      <sheetName val="prbm0900"/>
      <sheetName val="NRC"/>
      <sheetName val="Setup Data"/>
      <sheetName val="Regulated Tariff"/>
      <sheetName val="calculations"/>
      <sheetName val="F e b"/>
      <sheetName val="J a n"/>
      <sheetName val="A p r"/>
      <sheetName val="DbRp"/>
      <sheetName val="Permanent_info4"/>
      <sheetName val="Marshal_24"/>
      <sheetName val="Lampiran_4"/>
      <sheetName val="new_IFS_format3"/>
      <sheetName val="VAT_out3"/>
      <sheetName val="Main_table3"/>
      <sheetName val="data_(2)3"/>
      <sheetName val="Detail_PNL_$3"/>
      <sheetName val="Daftar_Customer3"/>
      <sheetName val="PTCI_Alyui_Bay_Exp_-__2004_(Rp2"/>
      <sheetName val="Data_Client3"/>
      <sheetName val="AUDIT_SPK2"/>
      <sheetName val="Marshal_-13"/>
      <sheetName val="SUMMARY_NDE3"/>
      <sheetName val="Calc__Overview3"/>
      <sheetName val="data_wp3"/>
      <sheetName val="Operation_1206-01073"/>
      <sheetName val="Maintenance_1206-01073"/>
      <sheetName val="Irregular_Income3"/>
      <sheetName val="FE-1770_P13"/>
      <sheetName val="Price_&amp;_Cost3"/>
      <sheetName val="finance_cost_and_fees3"/>
      <sheetName val="pinjaman_ke_CFA3"/>
      <sheetName val="tabel_nilai2"/>
      <sheetName val="DIRECT_COST2"/>
      <sheetName val="Actuals_Actuals_5012"/>
      <sheetName val="Oct_992"/>
      <sheetName val="FA_FISKAL2"/>
      <sheetName val="TRF_1503"/>
      <sheetName val="Sheet1_(3)2"/>
      <sheetName val="BS-after_AJE2"/>
      <sheetName val="File_references2"/>
      <sheetName val="NERACA_JUL2"/>
      <sheetName val="Contractual_Terms(1)2"/>
      <sheetName val="dft_bns2"/>
      <sheetName val="Market_Positioning2"/>
      <sheetName val="N_Assumptions2"/>
      <sheetName val="P_Assumptions2"/>
      <sheetName val="WACC_(Intl)2"/>
      <sheetName val="Fiscal_Cal1"/>
      <sheetName val="Table_Array1"/>
      <sheetName val="ROSS_LIST"/>
      <sheetName val="N2_2"/>
      <sheetName val="Pg7_4"/>
      <sheetName val="Account_Payable"/>
      <sheetName val="Revenue__10_"/>
      <sheetName val="neraca_okt"/>
      <sheetName val="oblig_Trad&amp;AFS"/>
      <sheetName val="tindak_lanj"/>
      <sheetName val="OPNAME_BAD_STOCK"/>
      <sheetName val="POTO_MAC"/>
      <sheetName val="FE-1771$_P1"/>
      <sheetName val="AFTER_AUDIT_2000"/>
      <sheetName val="General_Info"/>
      <sheetName val="Proposed_2003_Salary_Range"/>
      <sheetName val="Master_Edit"/>
      <sheetName val="DCF_SD_JUNI_04"/>
      <sheetName val="GEN_EXP_JANUARY"/>
      <sheetName val="Cost_Code"/>
      <sheetName val="Sheet_1"/>
      <sheetName val="Scenarios_and_Sensitivities"/>
      <sheetName val="Global_Assumptions"/>
      <sheetName val="MULTIPERIOD_RETURNS"/>
      <sheetName val="ocean_voyage"/>
      <sheetName val="S_Suramadu"/>
      <sheetName val="inputs"/>
      <sheetName val="Produksi 1"/>
      <sheetName val="Rekap_Direct_Cost"/>
      <sheetName val="Analisa_-Baku"/>
      <sheetName val="C1_NOV"/>
      <sheetName val="MMR_DET"/>
      <sheetName val="Lead Schedule"/>
      <sheetName val="PIUTANG"/>
      <sheetName val="3800-Interim"/>
      <sheetName val="2OP-CT"/>
      <sheetName val="1FIX"/>
      <sheetName val="HD"/>
      <sheetName val="1EQU"/>
      <sheetName val="HDF"/>
      <sheetName val="Info"/>
      <sheetName val="Menu"/>
      <sheetName val="RD"/>
      <sheetName val="Calculation"/>
      <sheetName val="SQL"/>
      <sheetName val="DATA TRUK-SHIPPER"/>
      <sheetName val="Aloha"/>
      <sheetName val="Myk_BS"/>
      <sheetName val="HEADCOUNT REPORT"/>
      <sheetName val="Price"/>
      <sheetName val="KOMP"/>
      <sheetName val="PROD 01"/>
      <sheetName val="Job Sheet"/>
      <sheetName val="Cover"/>
      <sheetName val="xxdata"/>
      <sheetName val="RAB"/>
      <sheetName val="NMS Configuration"/>
      <sheetName val="MN1"/>
      <sheetName val="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DATA21"/>
      <sheetName val="FSA"/>
      <sheetName val="Drop Down"/>
      <sheetName val="Data Sheet"/>
      <sheetName val="ARC_SEGMENT"/>
      <sheetName val="Nil_angka1"/>
      <sheetName val="Daftar No MAPPI"/>
      <sheetName val="DATA UMUM"/>
      <sheetName val="Urai"/>
      <sheetName val="NORMA"/>
      <sheetName val="may'03"/>
      <sheetName val="Guidance Team"/>
      <sheetName val="TERMINAL"/>
      <sheetName val="Harga satuan"/>
      <sheetName val="Prices"/>
      <sheetName val="Pelanggan"/>
      <sheetName val="Prepaid Rent"/>
      <sheetName val="all ar"/>
      <sheetName val="Journal"/>
      <sheetName val="variable"/>
      <sheetName val="Purchases FWJ"/>
      <sheetName val="Deskrip"/>
      <sheetName val="PPH1298S"/>
      <sheetName val="Sale-Leaseback (2)"/>
      <sheetName val="PLL"/>
      <sheetName val="PP"/>
      <sheetName val="PPH GB"/>
      <sheetName val="Curve2"/>
      <sheetName val="Mth by Mth KPI's"/>
      <sheetName val="Analysis Data"/>
      <sheetName val="WBS1"/>
      <sheetName val="B.1. ..."/>
      <sheetName val="Earnings"/>
      <sheetName val="PL-COMB"/>
      <sheetName val="1771"/>
      <sheetName val="1771.2"/>
      <sheetName val="Results"/>
      <sheetName val="gg.1"/>
      <sheetName val="Option List"/>
      <sheetName val="hs-ars"/>
      <sheetName val="Drivers ST1"/>
      <sheetName val="Table 1"/>
      <sheetName val="Calc"/>
      <sheetName val="laporan"/>
      <sheetName val="FORM-X-1"/>
      <sheetName val="AKUN"/>
      <sheetName val="All Jurnal"/>
      <sheetName val="master data"/>
      <sheetName val="Data Alat"/>
      <sheetName val="Rekap_Piutang"/>
      <sheetName val="Entry__HTM"/>
      <sheetName val="P&amp;L"/>
      <sheetName val="TRANS"/>
      <sheetName val="Individual Gross Profit J - Aug"/>
      <sheetName val="Permanent_info5"/>
      <sheetName val="Marshal_25"/>
      <sheetName val="Lampiran_5"/>
      <sheetName val="new_IFS_format4"/>
      <sheetName val="VAT_out4"/>
      <sheetName val="Main_table4"/>
      <sheetName val="data_(2)4"/>
      <sheetName val="Detail_PNL_$4"/>
      <sheetName val="Daftar_Customer4"/>
      <sheetName val="Calc__Overview4"/>
      <sheetName val="data_wp4"/>
      <sheetName val="Operation_1206-01074"/>
      <sheetName val="Maintenance_1206-01074"/>
      <sheetName val="Irregular_Income4"/>
      <sheetName val="FE-1770_P14"/>
      <sheetName val="Price_&amp;_Cost4"/>
      <sheetName val="finance_cost_and_fees4"/>
      <sheetName val="pinjaman_ke_CFA4"/>
      <sheetName val="Marshal_-14"/>
      <sheetName val="SUMMARY_NDE4"/>
      <sheetName val="Data_Client4"/>
      <sheetName val="TRF_1504"/>
      <sheetName val="tabel_nilai3"/>
      <sheetName val="DIRECT_COST3"/>
      <sheetName val="Actuals_Actuals_5013"/>
      <sheetName val="PTCI_Alyui_Bay_Exp_-__2004_(Rp3"/>
      <sheetName val="AUDIT_SPK3"/>
      <sheetName val="Oct_993"/>
      <sheetName val="FA_FISKAL3"/>
      <sheetName val="Sheet1_(3)3"/>
      <sheetName val="File_references3"/>
      <sheetName val="NERACA_JUL3"/>
      <sheetName val="Contractual_Terms(1)3"/>
      <sheetName val="BS-after_AJE3"/>
      <sheetName val="dft_bns3"/>
      <sheetName val="Market_Positioning3"/>
      <sheetName val="N_Assumptions3"/>
      <sheetName val="P_Assumptions3"/>
      <sheetName val="WACC_(Intl)3"/>
      <sheetName val="Fiscal_Cal2"/>
      <sheetName val="Table_Array2"/>
      <sheetName val="ROSS_LIST1"/>
      <sheetName val="N2_21"/>
      <sheetName val="Pg7_41"/>
      <sheetName val="OPNAME_BAD_STOCK1"/>
      <sheetName val="EX_RATE1"/>
      <sheetName val="oblig_Trad&amp;AFS1"/>
      <sheetName val="tindak_lanj1"/>
      <sheetName val="Consolidated"/>
      <sheetName val="MasterSheet"/>
      <sheetName val="Local access"/>
      <sheetName val="RumusTB 1 bln"/>
      <sheetName val="shareholders"/>
      <sheetName val="DAT_1"/>
      <sheetName val="JSiar"/>
      <sheetName val="#REF!"/>
      <sheetName val="DAT-1"/>
      <sheetName val="1997"/>
      <sheetName val="PAJE-2006"/>
      <sheetName val="JAN~DEC'06"/>
      <sheetName val="jobhist"/>
      <sheetName val="INP-FARMER USE"/>
      <sheetName val="Workings"/>
      <sheetName val="PPh 23,4(2),15, 26"/>
      <sheetName val="SEDIA-NON PNGN"/>
      <sheetName val="P&amp;L98"/>
      <sheetName val="CODE"/>
      <sheetName val="DEPOSIT-PPYMT"/>
      <sheetName val="NOTHIT"/>
      <sheetName val="HPP_20_"/>
      <sheetName val="Girder-30"/>
      <sheetName val="Invoice"/>
      <sheetName val="Customize Your Invoice"/>
      <sheetName val="5"/>
      <sheetName val="7.1(3)"/>
      <sheetName val="BQ-GB-1"/>
      <sheetName val="Analysis"/>
      <sheetName val="D4"/>
      <sheetName val="D6"/>
      <sheetName val="D7"/>
      <sheetName val="D8"/>
      <sheetName val="uba"/>
      <sheetName val="Basic P"/>
      <sheetName val="DASH"/>
      <sheetName val="GP-WB"/>
      <sheetName val="D HARGA"/>
      <sheetName val="D.BOARD"/>
      <sheetName val="div 7"/>
      <sheetName val="MAP"/>
      <sheetName val="RAP"/>
      <sheetName val="Harsat"/>
      <sheetName val="New MADC"/>
      <sheetName val="HRG UPAH BAHAN"/>
      <sheetName val="KOEF"/>
      <sheetName val="COVER-01"/>
      <sheetName val="HD ALAT"/>
      <sheetName val="Mobdemobalat"/>
      <sheetName val="BasicPrice"/>
      <sheetName val="B1 Data"/>
      <sheetName val="Lookup"/>
      <sheetName val="UNDER PASS"/>
      <sheetName val="Pier Head"/>
      <sheetName val="validation"/>
      <sheetName val="412src2"/>
      <sheetName val="Template"/>
      <sheetName val="BAF1"/>
      <sheetName val="TAGIHAN"/>
      <sheetName val="Analisa K"/>
      <sheetName val="Bahan"/>
      <sheetName val="TABEL-DETASIR"/>
      <sheetName val="bialangsung"/>
      <sheetName val="Material"/>
      <sheetName val="Upah"/>
      <sheetName val="Kuantitas &amp; Harga"/>
      <sheetName val="Rekap Analisa"/>
      <sheetName val="LUMPSUM"/>
      <sheetName val="AnalisaSIPIL RIIL"/>
      <sheetName val="SDMTA"/>
      <sheetName val="F1771-V"/>
      <sheetName val="H.Satuan"/>
      <sheetName val="WBS 2005"/>
      <sheetName val="fcsp-w"/>
      <sheetName val="EquityTemplate"/>
      <sheetName val="Detail-FA"/>
      <sheetName val="F-1"/>
      <sheetName val="kode Baru "/>
      <sheetName val="Grandtotals"/>
      <sheetName val="Assumptions"/>
      <sheetName val="MATERIALFINAL"/>
      <sheetName val="DataWP"/>
      <sheetName val="LR&amp;Neraca"/>
      <sheetName val="B.1"/>
      <sheetName val="FURNITUR"/>
      <sheetName val="Cal"/>
      <sheetName val="Data26"/>
      <sheetName val="SAD"/>
      <sheetName val="Lookup Lists"/>
      <sheetName val="MasterList"/>
      <sheetName val="DSUC"/>
      <sheetName val="N-INDF"/>
      <sheetName val="MPPA"/>
      <sheetName val="SONA"/>
      <sheetName val="jds"/>
      <sheetName val="TAS Fleet Adj Ratio"/>
      <sheetName val="NPasiva"/>
      <sheetName val="SAT-BHN"/>
      <sheetName val="#REF"/>
      <sheetName val="HRG BHN"/>
      <sheetName val="AWAL"/>
      <sheetName val="Account_Payable1"/>
      <sheetName val="Revenue__10_1"/>
      <sheetName val="POTO_MAC1"/>
      <sheetName val="neraca_okt1"/>
      <sheetName val="FE-1771$_P11"/>
      <sheetName val="Rekap_Direct_Cost1"/>
      <sheetName val="Analisa_-Baku1"/>
      <sheetName val="AFTER_AUDIT_20001"/>
      <sheetName val="General_Info1"/>
      <sheetName val="Scenarios_and_Sensitivities1"/>
      <sheetName val="Global_Assumptions1"/>
      <sheetName val="MMR_DET1"/>
      <sheetName val="DCF_SD_JUNI_041"/>
      <sheetName val="GEN_EXP_JANUARY1"/>
      <sheetName val="Master_Edit1"/>
      <sheetName val="Cost_Code1"/>
      <sheetName val="Sheet_11"/>
      <sheetName val="C1_NOV1"/>
      <sheetName val="Worksheet_Jan-Jun_2004"/>
      <sheetName val="Notes_08"/>
      <sheetName val="Mutasi_Final"/>
      <sheetName val="PPh_22"/>
      <sheetName val="cons_workpapers1"/>
      <sheetName val="equity_of_abacus"/>
      <sheetName val="jasa_giro"/>
      <sheetName val="Table_5"/>
      <sheetName val="Template_"/>
      <sheetName val="Income_Statement"/>
      <sheetName val="LIST_99"/>
      <sheetName val="Interim_--&gt;_Top"/>
      <sheetName val="Permanent_info6"/>
      <sheetName val="Marshal_26"/>
      <sheetName val="Lampiran_6"/>
      <sheetName val="new_IFS_format5"/>
      <sheetName val="VAT_out5"/>
      <sheetName val="Main_table5"/>
      <sheetName val="data_(2)5"/>
      <sheetName val="Detail_PNL_$5"/>
      <sheetName val="Daftar_Customer5"/>
      <sheetName val="tabel_nilai4"/>
      <sheetName val="Calc__Overview5"/>
      <sheetName val="Data_Client5"/>
      <sheetName val="DIRECT_COST4"/>
      <sheetName val="PTCI_Alyui_Bay_Exp_-__2004_(Rp4"/>
      <sheetName val="data_wp5"/>
      <sheetName val="Operation_1206-01075"/>
      <sheetName val="Maintenance_1206-01075"/>
      <sheetName val="Irregular_Income5"/>
      <sheetName val="FE-1770_P15"/>
      <sheetName val="Price_&amp;_Cost5"/>
      <sheetName val="finance_cost_and_fees5"/>
      <sheetName val="pinjaman_ke_CFA5"/>
      <sheetName val="Marshal_-15"/>
      <sheetName val="SUMMARY_NDE5"/>
      <sheetName val="Actuals_Actuals_5014"/>
      <sheetName val="AUDIT_SPK4"/>
      <sheetName val="dft_bns4"/>
      <sheetName val="Market_Positioning4"/>
      <sheetName val="N_Assumptions4"/>
      <sheetName val="P_Assumptions4"/>
      <sheetName val="WACC_(Intl)4"/>
      <sheetName val="TRF_1505"/>
      <sheetName val="Oct_994"/>
      <sheetName val="FA_FISKAL4"/>
      <sheetName val="File_references4"/>
      <sheetName val="Rekap_Direct_Cost2"/>
      <sheetName val="Analisa_-Baku2"/>
      <sheetName val="Sheet1_(3)4"/>
      <sheetName val="Contractual_Terms(1)4"/>
      <sheetName val="NERACA_JUL4"/>
      <sheetName val="BS-after_AJE4"/>
      <sheetName val="Table_Array3"/>
      <sheetName val="Fiscal_Cal3"/>
      <sheetName val="ROSS_LIST2"/>
      <sheetName val="N2_22"/>
      <sheetName val="Pg7_42"/>
      <sheetName val="Account_Payable2"/>
      <sheetName val="Revenue__10_2"/>
      <sheetName val="OPNAME_BAD_STOCK2"/>
      <sheetName val="POTO_MAC2"/>
      <sheetName val="neraca_okt2"/>
      <sheetName val="oblig_Trad&amp;AFS2"/>
      <sheetName val="tindak_lanj2"/>
      <sheetName val="FE-1771$_P12"/>
      <sheetName val="AFTER_AUDIT_20002"/>
      <sheetName val="General_Info2"/>
      <sheetName val="Scenarios_and_Sensitivities2"/>
      <sheetName val="Global_Assumptions2"/>
      <sheetName val="MMR_DET2"/>
      <sheetName val="DCF_SD_JUNI_042"/>
      <sheetName val="GEN_EXP_JANUARY2"/>
      <sheetName val="Master_Edit2"/>
      <sheetName val="Cost_Code2"/>
      <sheetName val="Sheet_12"/>
      <sheetName val="C1_NOV2"/>
      <sheetName val="Rekap_Piutang1"/>
      <sheetName val="Entry__HTM1"/>
      <sheetName val="Worksheet_Jan-Jun_20041"/>
      <sheetName val="Notes_081"/>
      <sheetName val="Mutasi_Final1"/>
      <sheetName val="PPh_221"/>
      <sheetName val="cons_workpapers2"/>
      <sheetName val="equity_of_abacus1"/>
      <sheetName val="jasa_giro1"/>
      <sheetName val="Table_51"/>
      <sheetName val="Proposed_2003_Salary_Range1"/>
      <sheetName val="ocean_voyage1"/>
      <sheetName val="MULTIPERIOD_RETURNS1"/>
      <sheetName val="Template_1"/>
      <sheetName val="Income_Statement1"/>
      <sheetName val="LIST_991"/>
      <sheetName val="Interim_--&gt;_Top1"/>
      <sheetName val="HARGA_MATERIAL"/>
      <sheetName val="tabel_perkiraan"/>
      <sheetName val="Modify_TB"/>
      <sheetName val="00_received_in_01"/>
      <sheetName val="Per_GL_J_a_n"/>
      <sheetName val="Produksi_1"/>
      <sheetName val="Lead_Schedule"/>
      <sheetName val="Pricelist_2004c"/>
      <sheetName val="Balance_Sheet"/>
      <sheetName val="Assumptions_Master"/>
      <sheetName val="Permanent_info7"/>
      <sheetName val="Marshal_27"/>
      <sheetName val="Lampiran_7"/>
      <sheetName val="new_IFS_format6"/>
      <sheetName val="VAT_out6"/>
      <sheetName val="Main_table6"/>
      <sheetName val="data_(2)6"/>
      <sheetName val="Detail_PNL_$6"/>
      <sheetName val="Daftar_Customer6"/>
      <sheetName val="Calc__Overview6"/>
      <sheetName val="data_wp6"/>
      <sheetName val="Operation_1206-01076"/>
      <sheetName val="Maintenance_1206-01076"/>
      <sheetName val="Irregular_Income6"/>
      <sheetName val="FE-1770_P16"/>
      <sheetName val="Price_&amp;_Cost6"/>
      <sheetName val="finance_cost_and_fees6"/>
      <sheetName val="pinjaman_ke_CFA6"/>
      <sheetName val="Marshal_-16"/>
      <sheetName val="LIFTSUMM"/>
      <sheetName val="farmasi"/>
      <sheetName val="TblPajak"/>
      <sheetName val="trfakt sgl"/>
      <sheetName val="Palikanci"/>
      <sheetName val="CPC"/>
      <sheetName val="SUMMARY_NDE6"/>
      <sheetName val="Data_Client6"/>
      <sheetName val="TRF_1506"/>
      <sheetName val="tabel_nilai5"/>
      <sheetName val="DIRECT_COST5"/>
      <sheetName val="Actuals_Actuals_5015"/>
      <sheetName val="PTCI_Alyui_Bay_Exp_-__2004_(Rp5"/>
      <sheetName val="AUDIT_SPK5"/>
      <sheetName val="Oct_995"/>
      <sheetName val="FA_FISKAL5"/>
      <sheetName val="Sheet1_(3)5"/>
      <sheetName val="File_references5"/>
      <sheetName val="NERACA_JUL5"/>
      <sheetName val="Contractual_Terms(1)5"/>
      <sheetName val="BS-after_AJE5"/>
      <sheetName val="dft_bns5"/>
      <sheetName val="Market_Positioning5"/>
      <sheetName val="N_Assumptions5"/>
      <sheetName val="P_Assumptions5"/>
      <sheetName val="WACC_(Intl)5"/>
      <sheetName val="Fiscal_Cal4"/>
      <sheetName val="Table_Array4"/>
      <sheetName val="ROSS_LIST3"/>
      <sheetName val="N2_23"/>
      <sheetName val="Pg7_43"/>
      <sheetName val="OPNAME_BAD_STOCK3"/>
      <sheetName val="EX_RATE3"/>
      <sheetName val="oblig_Trad&amp;AFS3"/>
      <sheetName val="tindak_lanj3"/>
      <sheetName val="EX_RATE2"/>
      <sheetName val="Permanent_info8"/>
      <sheetName val="Marshal_28"/>
      <sheetName val="Lampiran_8"/>
      <sheetName val="new_IFS_format7"/>
      <sheetName val="VAT_out7"/>
      <sheetName val="Main_table7"/>
      <sheetName val="data_(2)7"/>
      <sheetName val="Detail_PNL_$7"/>
      <sheetName val="Daftar_Customer7"/>
      <sheetName val="Calc__Overview7"/>
      <sheetName val="data_wp7"/>
      <sheetName val="Operation_1206-01077"/>
      <sheetName val="Maintenance_1206-01077"/>
      <sheetName val="Irregular_Income7"/>
      <sheetName val="FE-1770_P17"/>
      <sheetName val="Price_&amp;_Cost7"/>
      <sheetName val="finance_cost_and_fees7"/>
      <sheetName val="pinjaman_ke_CFA7"/>
      <sheetName val="Marshal_-17"/>
      <sheetName val="SUMMARY_NDE7"/>
      <sheetName val="Data_Client7"/>
      <sheetName val="TRF_1507"/>
      <sheetName val="tabel_nilai6"/>
      <sheetName val="DIRECT_COST6"/>
      <sheetName val="Actuals_Actuals_5016"/>
      <sheetName val="PTCI_Alyui_Bay_Exp_-__2004_(Rp6"/>
      <sheetName val="AUDIT_SPK6"/>
      <sheetName val="Oct_996"/>
      <sheetName val="FA_FISKAL6"/>
      <sheetName val="Sheet1_(3)6"/>
      <sheetName val="File_references6"/>
      <sheetName val="NERACA_JUL6"/>
      <sheetName val="Contractual_Terms(1)6"/>
      <sheetName val="BS-after_AJE6"/>
      <sheetName val="dft_bns6"/>
      <sheetName val="Market_Positioning6"/>
      <sheetName val="N_Assumptions6"/>
      <sheetName val="P_Assumptions6"/>
      <sheetName val="WACC_(Intl)6"/>
      <sheetName val="Fiscal_Cal5"/>
      <sheetName val="Table_Array5"/>
      <sheetName val="ROSS_LIST4"/>
      <sheetName val="N2_24"/>
      <sheetName val="Pg7_44"/>
      <sheetName val="OPNAME_BAD_STOCK4"/>
      <sheetName val="EX_RATE4"/>
      <sheetName val="oblig_Trad&amp;AFS4"/>
      <sheetName val="tindak_lanj4"/>
      <sheetName val="Template_2"/>
      <sheetName val="Income_Statement2"/>
      <sheetName val="Permanent_info9"/>
      <sheetName val="Marshal_29"/>
      <sheetName val="Lampiran_9"/>
      <sheetName val="new_IFS_format8"/>
      <sheetName val="VAT_out8"/>
      <sheetName val="Main_table8"/>
      <sheetName val="data_(2)8"/>
      <sheetName val="Detail_PNL_$8"/>
      <sheetName val="Daftar_Customer8"/>
      <sheetName val="Calc__Overview8"/>
      <sheetName val="data_wp8"/>
      <sheetName val="Operation_1206-01078"/>
      <sheetName val="Maintenance_1206-01078"/>
      <sheetName val="Irregular_Income8"/>
      <sheetName val="FE-1770_P18"/>
      <sheetName val="Price_&amp;_Cost8"/>
      <sheetName val="finance_cost_and_fees8"/>
      <sheetName val="pinjaman_ke_CFA8"/>
      <sheetName val="Marshal_-18"/>
      <sheetName val="SUMMARY_NDE8"/>
      <sheetName val="Data_Client8"/>
      <sheetName val="TRF_1508"/>
      <sheetName val="tabel_nilai7"/>
      <sheetName val="DIRECT_COST7"/>
      <sheetName val="Actuals_Actuals_5017"/>
      <sheetName val="PTCI_Alyui_Bay_Exp_-__2004_(Rp7"/>
      <sheetName val="AUDIT_SPK7"/>
      <sheetName val="Oct_997"/>
      <sheetName val="FA_FISKAL7"/>
      <sheetName val="Sheet1_(3)7"/>
      <sheetName val="File_references7"/>
      <sheetName val="NERACA_JUL7"/>
      <sheetName val="Contractual_Terms(1)7"/>
      <sheetName val="BS-after_AJE7"/>
      <sheetName val="dft_bns7"/>
      <sheetName val="Market_Positioning7"/>
      <sheetName val="N_Assumptions7"/>
      <sheetName val="P_Assumptions7"/>
      <sheetName val="WACC_(Intl)7"/>
      <sheetName val="Fiscal_Cal6"/>
      <sheetName val="Table_Array6"/>
      <sheetName val="ROSS_LIST5"/>
      <sheetName val="N2_25"/>
      <sheetName val="Pg7_45"/>
      <sheetName val="OPNAME_BAD_STOCK5"/>
      <sheetName val="EX_RATE5"/>
      <sheetName val="oblig_Trad&amp;AFS5"/>
      <sheetName val="tindak_lanj5"/>
      <sheetName val="Account_Payable3"/>
      <sheetName val="Revenue__10_3"/>
      <sheetName val="neraca_okt3"/>
      <sheetName val="Cost_Code3"/>
      <sheetName val="Sheet_13"/>
      <sheetName val="DCF_SD_JUNI_043"/>
      <sheetName val="GEN_EXP_JANUARY3"/>
      <sheetName val="POTO_MAC3"/>
      <sheetName val="AFTER_AUDIT_20003"/>
      <sheetName val="FE-1771$_P13"/>
      <sheetName val="Master_Edit3"/>
      <sheetName val="Template_3"/>
      <sheetName val="Income_Statement3"/>
      <sheetName val="General_Info3"/>
      <sheetName val="No-Perk"/>
      <sheetName val="CR.AJE"/>
      <sheetName val="MALE"/>
      <sheetName val="SING"/>
      <sheetName val="SRI L"/>
      <sheetName val="VIET"/>
      <sheetName val="BRIIV"/>
      <sheetName val="gmps"/>
      <sheetName val="module2"/>
      <sheetName val="Sheet8"/>
      <sheetName val="Sep"/>
      <sheetName val="Prod cc"/>
      <sheetName val="JAN 2001"/>
      <sheetName val="TBal"/>
      <sheetName val="Form Standar"/>
      <sheetName val="bs"/>
      <sheetName val="Sheet2 (2)"/>
      <sheetName val="Pelatihan manajemen kelompok"/>
      <sheetName val="U1"/>
      <sheetName val="U1.7"/>
      <sheetName val="SCB-HK"/>
      <sheetName val="EarningsReport"/>
      <sheetName val="Chart"/>
      <sheetName val="CRITERIA3"/>
      <sheetName val="MK(7ｶ国+5,7,12万台)"/>
      <sheetName val="PKP-FINAL(17073)"/>
      <sheetName val="@GeneralInfo"/>
      <sheetName val="VAT OUT GL"/>
      <sheetName val="FIXASS_MAR"/>
      <sheetName val="TARIP"/>
      <sheetName val="SACA-NT2"/>
      <sheetName val="METHANOL"/>
      <sheetName val="NITROGEN"/>
      <sheetName val="UK"/>
      <sheetName val="Toggles &amp; Other"/>
      <sheetName val="FS"/>
      <sheetName val="Drop List References"/>
      <sheetName val="INV-KTR"/>
      <sheetName val="AR"/>
      <sheetName val="CA Sheet"/>
      <sheetName val="DCF Inputs"/>
      <sheetName val="Calcs for Sensitivy"/>
      <sheetName val="FF-2"/>
      <sheetName val="List PT"/>
      <sheetName val="Prepayment Others ( K1 )"/>
      <sheetName val="Main"/>
      <sheetName val="FF-2 (1)"/>
      <sheetName val="inven"/>
      <sheetName val="source"/>
      <sheetName val="M Plan"/>
      <sheetName val="Switch Pg."/>
      <sheetName val="41_9_36_3"/>
      <sheetName val="Daf.Harga-Upah"/>
      <sheetName val="Lampiran"/>
      <sheetName val="des"/>
      <sheetName val="BSAA"/>
      <sheetName val="PAJE"/>
      <sheetName val="Plan"/>
      <sheetName val="Project"/>
      <sheetName val="Permanent_info12"/>
      <sheetName val="Marshal_212"/>
      <sheetName val="Lampiran_12"/>
      <sheetName val="new_IFS_format11"/>
      <sheetName val="VAT_out11"/>
      <sheetName val="Main_table11"/>
      <sheetName val="data_(2)11"/>
      <sheetName val="Detail_PNL_$11"/>
      <sheetName val="Daftar_Customer11"/>
      <sheetName val="Calc__Overview11"/>
      <sheetName val="data_wp11"/>
      <sheetName val="Operation_1206-010711"/>
      <sheetName val="Maintenance_1206-010711"/>
      <sheetName val="Irregular_Income11"/>
      <sheetName val="FE-1770_P111"/>
      <sheetName val="Price_&amp;_Cost11"/>
      <sheetName val="finance_cost_and_fees11"/>
      <sheetName val="pinjaman_ke_CFA11"/>
      <sheetName val="Marshal_-111"/>
      <sheetName val="SUMMARY_NDE11"/>
      <sheetName val="Data_Client11"/>
      <sheetName val="TRF_15011"/>
      <sheetName val="tabel_nilai10"/>
      <sheetName val="DIRECT_COST10"/>
      <sheetName val="Actuals_Actuals_50110"/>
      <sheetName val="PTCI_Alyui_Bay_Exp_-__2004_(R10"/>
      <sheetName val="AUDIT_SPK10"/>
      <sheetName val="Oct_9910"/>
      <sheetName val="FA_FISKAL10"/>
      <sheetName val="Sheet1_(3)10"/>
      <sheetName val="File_references10"/>
      <sheetName val="NERACA_JUL10"/>
      <sheetName val="Contractual_Terms(1)10"/>
      <sheetName val="BS-after_AJE10"/>
      <sheetName val="dft_bns10"/>
      <sheetName val="Market_Positioning10"/>
      <sheetName val="N_Assumptions10"/>
      <sheetName val="P_Assumptions10"/>
      <sheetName val="WACC_(Intl)10"/>
      <sheetName val="Fiscal_Cal9"/>
      <sheetName val="Table_Array9"/>
      <sheetName val="ROSS_LIST8"/>
      <sheetName val="N2_28"/>
      <sheetName val="Pg7_48"/>
      <sheetName val="OPNAME_BAD_STOCK8"/>
      <sheetName val="EX_RATE8"/>
      <sheetName val="oblig_Trad&amp;AFS8"/>
      <sheetName val="tindak_lanj8"/>
      <sheetName val="Account_Payable6"/>
      <sheetName val="Revenue__10_6"/>
      <sheetName val="neraca_okt6"/>
      <sheetName val="Cost_Code6"/>
      <sheetName val="Sheet_16"/>
      <sheetName val="DCF_SD_JUNI_046"/>
      <sheetName val="GEN_EXP_JANUARY6"/>
      <sheetName val="POTO_MAC6"/>
      <sheetName val="AFTER_AUDIT_20006"/>
      <sheetName val="FE-1771$_P16"/>
      <sheetName val="Master_Edit6"/>
      <sheetName val="Template_6"/>
      <sheetName val="Income_Statement6"/>
      <sheetName val="General_Info6"/>
      <sheetName val="tabel_perkiraan2"/>
      <sheetName val="A1-B_ASSETS2"/>
      <sheetName val="Permanent_info11"/>
      <sheetName val="Marshal_211"/>
      <sheetName val="Lampiran_11"/>
      <sheetName val="new_IFS_format10"/>
      <sheetName val="VAT_out10"/>
      <sheetName val="Main_table10"/>
      <sheetName val="data_(2)10"/>
      <sheetName val="Detail_PNL_$10"/>
      <sheetName val="Daftar_Customer10"/>
      <sheetName val="Calc__Overview10"/>
      <sheetName val="data_wp10"/>
      <sheetName val="Operation_1206-010710"/>
      <sheetName val="Maintenance_1206-010710"/>
      <sheetName val="Irregular_Income10"/>
      <sheetName val="FE-1770_P110"/>
      <sheetName val="Price_&amp;_Cost10"/>
      <sheetName val="finance_cost_and_fees10"/>
      <sheetName val="pinjaman_ke_CFA10"/>
      <sheetName val="Marshal_-110"/>
      <sheetName val="SUMMARY_NDE10"/>
      <sheetName val="Data_Client10"/>
      <sheetName val="TRF_15010"/>
      <sheetName val="tabel_nilai9"/>
      <sheetName val="DIRECT_COST9"/>
      <sheetName val="Actuals_Actuals_5019"/>
      <sheetName val="PTCI_Alyui_Bay_Exp_-__2004_(Rp9"/>
      <sheetName val="AUDIT_SPK9"/>
      <sheetName val="Oct_999"/>
      <sheetName val="FA_FISKAL9"/>
      <sheetName val="Sheet1_(3)9"/>
      <sheetName val="File_references9"/>
      <sheetName val="NERACA_JUL9"/>
      <sheetName val="Contractual_Terms(1)9"/>
      <sheetName val="BS-after_AJE9"/>
      <sheetName val="dft_bns9"/>
      <sheetName val="Market_Positioning9"/>
      <sheetName val="N_Assumptions9"/>
      <sheetName val="P_Assumptions9"/>
      <sheetName val="WACC_(Intl)9"/>
      <sheetName val="Fiscal_Cal8"/>
      <sheetName val="Table_Array8"/>
      <sheetName val="ROSS_LIST7"/>
      <sheetName val="N2_27"/>
      <sheetName val="Pg7_47"/>
      <sheetName val="OPNAME_BAD_STOCK7"/>
      <sheetName val="EX_RATE7"/>
      <sheetName val="oblig_Trad&amp;AFS7"/>
      <sheetName val="tindak_lanj7"/>
      <sheetName val="Account_Payable5"/>
      <sheetName val="Revenue__10_5"/>
      <sheetName val="neraca_okt5"/>
      <sheetName val="Cost_Code5"/>
      <sheetName val="Sheet_15"/>
      <sheetName val="DCF_SD_JUNI_045"/>
      <sheetName val="GEN_EXP_JANUARY5"/>
      <sheetName val="POTO_MAC5"/>
      <sheetName val="AFTER_AUDIT_20005"/>
      <sheetName val="FE-1771$_P15"/>
      <sheetName val="Master_Edit5"/>
      <sheetName val="Template_5"/>
      <sheetName val="Income_Statement5"/>
      <sheetName val="General_Info5"/>
      <sheetName val="tabel_perkiraan1"/>
      <sheetName val="A1-B_ASSETS1"/>
      <sheetName val="Permanent_info10"/>
      <sheetName val="Marshal_210"/>
      <sheetName val="Lampiran_10"/>
      <sheetName val="new_IFS_format9"/>
      <sheetName val="VAT_out9"/>
      <sheetName val="Main_table9"/>
      <sheetName val="data_(2)9"/>
      <sheetName val="Detail_PNL_$9"/>
      <sheetName val="Daftar_Customer9"/>
      <sheetName val="Calc__Overview9"/>
      <sheetName val="data_wp9"/>
      <sheetName val="Operation_1206-01079"/>
      <sheetName val="Maintenance_1206-01079"/>
      <sheetName val="Irregular_Income9"/>
      <sheetName val="FE-1770_P19"/>
      <sheetName val="Price_&amp;_Cost9"/>
      <sheetName val="finance_cost_and_fees9"/>
      <sheetName val="pinjaman_ke_CFA9"/>
      <sheetName val="Marshal_-19"/>
      <sheetName val="SUMMARY_NDE9"/>
      <sheetName val="Data_Client9"/>
      <sheetName val="TRF_1509"/>
      <sheetName val="tabel_nilai8"/>
      <sheetName val="DIRECT_COST8"/>
      <sheetName val="Actuals_Actuals_5018"/>
      <sheetName val="PTCI_Alyui_Bay_Exp_-__2004_(Rp8"/>
      <sheetName val="AUDIT_SPK8"/>
      <sheetName val="Oct_998"/>
      <sheetName val="FA_FISKAL8"/>
      <sheetName val="Sheet1_(3)8"/>
      <sheetName val="File_references8"/>
      <sheetName val="NERACA_JUL8"/>
      <sheetName val="Contractual_Terms(1)8"/>
      <sheetName val="BS-after_AJE8"/>
      <sheetName val="dft_bns8"/>
      <sheetName val="Market_Positioning8"/>
      <sheetName val="N_Assumptions8"/>
      <sheetName val="P_Assumptions8"/>
      <sheetName val="WACC_(Intl)8"/>
      <sheetName val="Fiscal_Cal7"/>
      <sheetName val="Table_Array7"/>
      <sheetName val="ROSS_LIST6"/>
      <sheetName val="N2_26"/>
      <sheetName val="Pg7_46"/>
      <sheetName val="OPNAME_BAD_STOCK6"/>
      <sheetName val="EX_RATE6"/>
      <sheetName val="oblig_Trad&amp;AFS6"/>
      <sheetName val="tindak_lanj6"/>
      <sheetName val="Account_Payable4"/>
      <sheetName val="Revenue__10_4"/>
      <sheetName val="neraca_okt4"/>
      <sheetName val="Cost_Code4"/>
      <sheetName val="Sheet_14"/>
      <sheetName val="DCF_SD_JUNI_044"/>
      <sheetName val="GEN_EXP_JANUARY4"/>
      <sheetName val="POTO_MAC4"/>
      <sheetName val="AFTER_AUDIT_20004"/>
      <sheetName val="FE-1771$_P14"/>
      <sheetName val="Master_Edit4"/>
      <sheetName val="Template_4"/>
      <sheetName val="Income_Statement4"/>
      <sheetName val="General_Info4"/>
      <sheetName val="A1-B_ASSETS"/>
      <sheetName val="Permanent_info13"/>
      <sheetName val="Marshal_213"/>
      <sheetName val="Lampiran_13"/>
      <sheetName val="new_IFS_format12"/>
      <sheetName val="VAT_out12"/>
      <sheetName val="Main_table12"/>
      <sheetName val="data_(2)12"/>
      <sheetName val="Detail_PNL_$12"/>
      <sheetName val="Daftar_Customer12"/>
      <sheetName val="Calc__Overview12"/>
      <sheetName val="data_wp12"/>
      <sheetName val="Operation_1206-010712"/>
      <sheetName val="Maintenance_1206-010712"/>
      <sheetName val="Irregular_Income12"/>
      <sheetName val="FE-1770_P112"/>
      <sheetName val="Price_&amp;_Cost12"/>
      <sheetName val="finance_cost_and_fees12"/>
      <sheetName val="pinjaman_ke_CFA12"/>
      <sheetName val="Marshal_-112"/>
      <sheetName val="SUMMARY_NDE12"/>
      <sheetName val="Data_Client12"/>
      <sheetName val="TRF_15012"/>
      <sheetName val="tabel_nilai11"/>
      <sheetName val="DIRECT_COST11"/>
      <sheetName val="Actuals_Actuals_50111"/>
      <sheetName val="PTCI_Alyui_Bay_Exp_-__2004_(R11"/>
      <sheetName val="AUDIT_SPK11"/>
      <sheetName val="Oct_9911"/>
      <sheetName val="FA_FISKAL11"/>
      <sheetName val="Sheet1_(3)11"/>
      <sheetName val="File_references11"/>
      <sheetName val="NERACA_JUL11"/>
      <sheetName val="Contractual_Terms(1)11"/>
      <sheetName val="BS-after_AJE11"/>
      <sheetName val="dft_bns11"/>
      <sheetName val="Market_Positioning11"/>
      <sheetName val="N_Assumptions11"/>
      <sheetName val="P_Assumptions11"/>
      <sheetName val="WACC_(Intl)11"/>
      <sheetName val="Fiscal_Cal10"/>
      <sheetName val="Table_Array10"/>
      <sheetName val="ROSS_LIST9"/>
      <sheetName val="N2_29"/>
      <sheetName val="Pg7_49"/>
      <sheetName val="OPNAME_BAD_STOCK9"/>
      <sheetName val="EX_RATE9"/>
      <sheetName val="oblig_Trad&amp;AFS9"/>
      <sheetName val="tindak_lanj9"/>
      <sheetName val="Account_Payable7"/>
      <sheetName val="Revenue__10_7"/>
      <sheetName val="neraca_okt7"/>
      <sheetName val="Cost_Code7"/>
      <sheetName val="Sheet_17"/>
      <sheetName val="DCF_SD_JUNI_047"/>
      <sheetName val="GEN_EXP_JANUARY7"/>
      <sheetName val="POTO_MAC7"/>
      <sheetName val="AFTER_AUDIT_20007"/>
      <sheetName val="FE-1771$_P17"/>
      <sheetName val="Master_Edit7"/>
      <sheetName val="Template_7"/>
      <sheetName val="Income_Statement7"/>
      <sheetName val="General_Info7"/>
      <sheetName val="C1_NOV3"/>
      <sheetName val="tabel_perkiraan3"/>
      <sheetName val="A1-B_ASSETS3"/>
      <sheetName val="Permanent_info14"/>
      <sheetName val="Marshal_214"/>
      <sheetName val="Lampiran_14"/>
      <sheetName val="new_IFS_format13"/>
      <sheetName val="VAT_out13"/>
      <sheetName val="Main_table13"/>
      <sheetName val="data_(2)13"/>
      <sheetName val="Detail_PNL_$13"/>
      <sheetName val="Daftar_Customer13"/>
      <sheetName val="Calc__Overview13"/>
      <sheetName val="data_wp13"/>
      <sheetName val="Operation_1206-010713"/>
      <sheetName val="Maintenance_1206-010713"/>
      <sheetName val="Irregular_Income13"/>
      <sheetName val="FE-1770_P113"/>
      <sheetName val="Price_&amp;_Cost13"/>
      <sheetName val="finance_cost_and_fees13"/>
      <sheetName val="pinjaman_ke_CFA13"/>
      <sheetName val="Marshal_-113"/>
      <sheetName val="SUMMARY_NDE13"/>
      <sheetName val="Data_Client13"/>
      <sheetName val="TRF_15013"/>
      <sheetName val="tabel_nilai12"/>
      <sheetName val="DIRECT_COST12"/>
      <sheetName val="Actuals_Actuals_50112"/>
      <sheetName val="PTCI_Alyui_Bay_Exp_-__2004_(R12"/>
      <sheetName val="AUDIT_SPK12"/>
      <sheetName val="Oct_9912"/>
      <sheetName val="FA_FISKAL12"/>
      <sheetName val="Sheet1_(3)12"/>
      <sheetName val="File_references12"/>
      <sheetName val="NERACA_JUL12"/>
      <sheetName val="Contractual_Terms(1)12"/>
      <sheetName val="BS-after_AJE12"/>
      <sheetName val="dft_bns12"/>
      <sheetName val="Market_Positioning12"/>
      <sheetName val="N_Assumptions12"/>
      <sheetName val="P_Assumptions12"/>
      <sheetName val="WACC_(Intl)12"/>
      <sheetName val="Fiscal_Cal11"/>
      <sheetName val="Table_Array11"/>
      <sheetName val="ROSS_LIST10"/>
      <sheetName val="N2_210"/>
      <sheetName val="Pg7_410"/>
      <sheetName val="OPNAME_BAD_STOCK10"/>
      <sheetName val="oblig_Trad&amp;AFS10"/>
      <sheetName val="tindak_lanj10"/>
      <sheetName val="Account_Payable8"/>
      <sheetName val="Revenue__10_8"/>
      <sheetName val="neraca_okt8"/>
      <sheetName val="Cost_Code8"/>
      <sheetName val="Sheet_18"/>
      <sheetName val="DCF_SD_JUNI_048"/>
      <sheetName val="GEN_EXP_JANUARY8"/>
      <sheetName val="POTO_MAC8"/>
      <sheetName val="AFTER_AUDIT_20008"/>
      <sheetName val="FE-1771$_P18"/>
      <sheetName val="Master_Edit8"/>
      <sheetName val="Template_8"/>
      <sheetName val="Income_Statement8"/>
      <sheetName val="General_Info8"/>
      <sheetName val="C1_NOV4"/>
      <sheetName val="tabel_perkiraan4"/>
      <sheetName val="A1-B_ASSETS4"/>
      <sheetName val="Permanent_info15"/>
      <sheetName val="Marshal_215"/>
      <sheetName val="Lampiran_15"/>
      <sheetName val="new_IFS_format14"/>
      <sheetName val="VAT_out14"/>
      <sheetName val="Main_table14"/>
      <sheetName val="data_(2)14"/>
      <sheetName val="Detail_PNL_$14"/>
      <sheetName val="Daftar_Customer14"/>
      <sheetName val="Calc__Overview14"/>
      <sheetName val="data_wp14"/>
      <sheetName val="Operation_1206-010714"/>
      <sheetName val="Maintenance_1206-010714"/>
      <sheetName val="Irregular_Income14"/>
      <sheetName val="FE-1770_P114"/>
      <sheetName val="Price_&amp;_Cost14"/>
      <sheetName val="finance_cost_and_fees14"/>
      <sheetName val="pinjaman_ke_CFA14"/>
      <sheetName val="Marshal_-114"/>
      <sheetName val="SUMMARY_NDE14"/>
      <sheetName val="Data_Client14"/>
      <sheetName val="TRF_15014"/>
      <sheetName val="tabel_nilai13"/>
      <sheetName val="DIRECT_COST13"/>
      <sheetName val="Actuals_Actuals_50113"/>
      <sheetName val="PTCI_Alyui_Bay_Exp_-__2004_(R13"/>
      <sheetName val="AUDIT_SPK13"/>
      <sheetName val="Oct_9913"/>
      <sheetName val="FA_FISKAL13"/>
      <sheetName val="Sheet1_(3)13"/>
      <sheetName val="File_references13"/>
      <sheetName val="NERACA_JUL13"/>
      <sheetName val="Contractual_Terms(1)13"/>
      <sheetName val="BS-after_AJE13"/>
      <sheetName val="dft_bns13"/>
      <sheetName val="Market_Positioning13"/>
      <sheetName val="N_Assumptions13"/>
      <sheetName val="P_Assumptions13"/>
      <sheetName val="WACC_(Intl)13"/>
      <sheetName val="Fiscal_Cal12"/>
      <sheetName val="Table_Array12"/>
      <sheetName val="ROSS_LIST11"/>
      <sheetName val="N2_211"/>
      <sheetName val="Pg7_411"/>
      <sheetName val="OPNAME_BAD_STOCK11"/>
      <sheetName val="oblig_Trad&amp;AFS11"/>
      <sheetName val="tindak_lanj11"/>
      <sheetName val="Account_Payable9"/>
      <sheetName val="Revenue__10_9"/>
      <sheetName val="neraca_okt9"/>
      <sheetName val="Cost_Code9"/>
      <sheetName val="Sheet_19"/>
      <sheetName val="DCF_SD_JUNI_049"/>
      <sheetName val="GEN_EXP_JANUARY9"/>
      <sheetName val="POTO_MAC9"/>
      <sheetName val="AFTER_AUDIT_20009"/>
      <sheetName val="FE-1771$_P19"/>
      <sheetName val="Master_Edit9"/>
      <sheetName val="Template_9"/>
      <sheetName val="Income_Statement9"/>
      <sheetName val="General_Info9"/>
      <sheetName val="C1_NOV5"/>
      <sheetName val="tabel_perkiraan5"/>
      <sheetName val="A1-B_ASSETS5"/>
      <sheetName val="Pricelist_2004c1"/>
      <sheetName val="HARGA_MATERIAL1"/>
      <sheetName val="Permanent_info16"/>
      <sheetName val="Marshal_216"/>
      <sheetName val="Lampiran_16"/>
      <sheetName val="new_IFS_format15"/>
      <sheetName val="VAT_out15"/>
      <sheetName val="Main_table15"/>
      <sheetName val="data_(2)15"/>
      <sheetName val="Detail_PNL_$15"/>
      <sheetName val="Daftar_Customer15"/>
      <sheetName val="Calc__Overview15"/>
      <sheetName val="data_wp15"/>
      <sheetName val="Operation_1206-010715"/>
      <sheetName val="Maintenance_1206-010715"/>
      <sheetName val="Irregular_Income15"/>
      <sheetName val="FE-1770_P115"/>
      <sheetName val="Price_&amp;_Cost15"/>
      <sheetName val="finance_cost_and_fees15"/>
      <sheetName val="pinjaman_ke_CFA15"/>
      <sheetName val="Marshal_-115"/>
      <sheetName val="SUMMARY_NDE15"/>
      <sheetName val="Data_Client15"/>
      <sheetName val="TRF_15015"/>
      <sheetName val="tabel_nilai14"/>
      <sheetName val="DIRECT_COST14"/>
      <sheetName val="Actuals_Actuals_50114"/>
      <sheetName val="PTCI_Alyui_Bay_Exp_-__2004_(R14"/>
      <sheetName val="AUDIT_SPK14"/>
      <sheetName val="Oct_9914"/>
      <sheetName val="FA_FISKAL14"/>
      <sheetName val="Sheet1_(3)14"/>
      <sheetName val="File_references14"/>
      <sheetName val="NERACA_JUL14"/>
      <sheetName val="Contractual_Terms(1)14"/>
      <sheetName val="BS-after_AJE14"/>
      <sheetName val="dft_bns14"/>
      <sheetName val="Market_Positioning14"/>
      <sheetName val="N_Assumptions14"/>
      <sheetName val="P_Assumptions14"/>
      <sheetName val="WACC_(Intl)14"/>
      <sheetName val="Fiscal_Cal13"/>
      <sheetName val="Table_Array13"/>
      <sheetName val="ROSS_LIST12"/>
      <sheetName val="N2_212"/>
      <sheetName val="Pg7_412"/>
      <sheetName val="OPNAME_BAD_STOCK12"/>
      <sheetName val="oblig_Trad&amp;AFS12"/>
      <sheetName val="tindak_lanj12"/>
      <sheetName val="Account_Payable10"/>
      <sheetName val="Revenue__10_10"/>
      <sheetName val="neraca_okt10"/>
      <sheetName val="Cost_Code10"/>
      <sheetName val="Sheet_110"/>
      <sheetName val="DCF_SD_JUNI_0410"/>
      <sheetName val="GEN_EXP_JANUARY10"/>
      <sheetName val="POTO_MAC10"/>
      <sheetName val="AFTER_AUDIT_200010"/>
      <sheetName val="FE-1771$_P110"/>
      <sheetName val="Master_Edit10"/>
      <sheetName val="Template_10"/>
      <sheetName val="Income_Statement10"/>
      <sheetName val="General_Info10"/>
      <sheetName val="C1_NOV6"/>
      <sheetName val="tabel_perkiraan6"/>
      <sheetName val="A1-B_ASSETS6"/>
      <sheetName val="LIST_992"/>
      <sheetName val="Interim_--&gt;_Top2"/>
      <sheetName val="Pricelist_2004c2"/>
      <sheetName val="Proposed_2003_Salary_Range2"/>
      <sheetName val="HARGA_MATERIAL2"/>
      <sheetName val="ocean_voyage2"/>
      <sheetName val="MULTIPERIOD_RETURNS2"/>
      <sheetName val="Rekap_Piutang2"/>
      <sheetName val="Entry__HTM2"/>
      <sheetName val="Worksheet_Jan-Jun_20042"/>
      <sheetName val="Notes_082"/>
      <sheetName val="Mutasi_Final2"/>
      <sheetName val="PPh_222"/>
      <sheetName val="cons_workpapers3"/>
      <sheetName val="equity_of_abacus2"/>
      <sheetName val="jasa_giro2"/>
      <sheetName val="Table_52"/>
      <sheetName val="Permanent_info17"/>
      <sheetName val="Marshal_217"/>
      <sheetName val="Lampiran_17"/>
      <sheetName val="new_IFS_format16"/>
      <sheetName val="VAT_out16"/>
      <sheetName val="Main_table16"/>
      <sheetName val="data_(2)16"/>
      <sheetName val="Detail_PNL_$16"/>
      <sheetName val="Daftar_Customer16"/>
      <sheetName val="Calc__Overview16"/>
      <sheetName val="data_wp16"/>
      <sheetName val="Operation_1206-010716"/>
      <sheetName val="Maintenance_1206-010716"/>
      <sheetName val="Irregular_Income16"/>
      <sheetName val="FE-1770_P116"/>
      <sheetName val="Price_&amp;_Cost16"/>
      <sheetName val="finance_cost_and_fees16"/>
      <sheetName val="pinjaman_ke_CFA16"/>
      <sheetName val="Marshal_-116"/>
      <sheetName val="SUMMARY_NDE16"/>
      <sheetName val="Data_Client16"/>
      <sheetName val="TRF_15016"/>
      <sheetName val="tabel_nilai15"/>
      <sheetName val="DIRECT_COST15"/>
      <sheetName val="Actuals_Actuals_50115"/>
      <sheetName val="PTCI_Alyui_Bay_Exp_-__2004_(R15"/>
      <sheetName val="AUDIT_SPK15"/>
      <sheetName val="Oct_9915"/>
      <sheetName val="FA_FISKAL15"/>
      <sheetName val="Sheet1_(3)15"/>
      <sheetName val="File_references15"/>
      <sheetName val="NERACA_JUL15"/>
      <sheetName val="Contractual_Terms(1)15"/>
      <sheetName val="BS-after_AJE15"/>
      <sheetName val="dft_bns15"/>
      <sheetName val="Market_Positioning15"/>
      <sheetName val="N_Assumptions15"/>
      <sheetName val="P_Assumptions15"/>
      <sheetName val="WACC_(Intl)15"/>
      <sheetName val="Fiscal_Cal14"/>
      <sheetName val="Table_Array14"/>
      <sheetName val="ROSS_LIST13"/>
      <sheetName val="N2_213"/>
      <sheetName val="Pg7_413"/>
      <sheetName val="OPNAME_BAD_STOCK13"/>
      <sheetName val="oblig_Trad&amp;AFS13"/>
      <sheetName val="tindak_lanj13"/>
      <sheetName val="Account_Payable11"/>
      <sheetName val="Revenue__10_11"/>
      <sheetName val="neraca_okt11"/>
      <sheetName val="Cost_Code11"/>
      <sheetName val="Sheet_111"/>
      <sheetName val="DCF_SD_JUNI_0411"/>
      <sheetName val="GEN_EXP_JANUARY11"/>
      <sheetName val="POTO_MAC11"/>
      <sheetName val="AFTER_AUDIT_200011"/>
      <sheetName val="FE-1771$_P111"/>
      <sheetName val="Master_Edit11"/>
      <sheetName val="Template_11"/>
      <sheetName val="Income_Statement11"/>
      <sheetName val="General_Info11"/>
      <sheetName val="C1_NOV7"/>
      <sheetName val="tabel_perkiraan7"/>
      <sheetName val="A1-B_ASSETS7"/>
      <sheetName val="LIST_993"/>
      <sheetName val="Interim_--&gt;_Top3"/>
      <sheetName val="Pricelist_2004c3"/>
      <sheetName val="Proposed_2003_Salary_Range3"/>
      <sheetName val="HARGA_MATERIAL3"/>
      <sheetName val="Scenarios_and_Sensitivities3"/>
      <sheetName val="Global_Assumptions3"/>
      <sheetName val="MMR_DET3"/>
      <sheetName val="ocean_voyage3"/>
      <sheetName val="MULTIPERIOD_RETURNS3"/>
      <sheetName val="Rekap_Piutang3"/>
      <sheetName val="Entry__HTM3"/>
      <sheetName val="Worksheet_Jan-Jun_20043"/>
      <sheetName val="Notes_083"/>
      <sheetName val="Mutasi_Final3"/>
      <sheetName val="PPh_223"/>
      <sheetName val="cons_workpapers4"/>
      <sheetName val="equity_of_abacus3"/>
      <sheetName val="jasa_giro3"/>
      <sheetName val="Table_53"/>
      <sheetName val="Rekap_Direct_Cost3"/>
      <sheetName val="Analisa_-Baku3"/>
      <sheetName val="TB Mar06"/>
      <sheetName val="DATAFEED"/>
      <sheetName val="aging0308"/>
      <sheetName val="Jan-des"/>
      <sheetName val="TB-WP"/>
      <sheetName val="NPWP"/>
      <sheetName val="kalender"/>
      <sheetName val="D2"/>
      <sheetName val="Range"/>
      <sheetName val="Pemenuhan"/>
      <sheetName val="labor1"/>
      <sheetName val="MSC-L5"/>
      <sheetName val="Nav"/>
      <sheetName val="JADI"/>
      <sheetName val="datateknis"/>
      <sheetName val="FISIK RAB 2000"/>
      <sheetName val="CRA-Detail"/>
      <sheetName val="WPL"/>
      <sheetName val="F_I"/>
      <sheetName val="OH"/>
      <sheetName val="total GA per dept"/>
      <sheetName val="PROOF"/>
      <sheetName val="tr-28202"/>
      <sheetName val="NEW POF THRIFT"/>
      <sheetName val="Neraca Feb 08"/>
      <sheetName val="Funk CA omk spec"/>
      <sheetName val="ExchRates"/>
      <sheetName val="Original"/>
      <sheetName val="FOREX 04 audited"/>
      <sheetName val="List"/>
      <sheetName val="A3-100"/>
      <sheetName val="KMSA-SKU"/>
      <sheetName val="Comp equip"/>
      <sheetName val="ee_data"/>
      <sheetName val="KASA"/>
      <sheetName val="AST-Intern2000"/>
      <sheetName val="LIST BAGIAN DAN DIVISI"/>
      <sheetName val="Act_cost"/>
      <sheetName val="crushnsp"/>
      <sheetName val="pittonsp"/>
      <sheetName val="Productivit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GL"/>
      <sheetName val="WS"/>
      <sheetName val="LPS"/>
      <sheetName val="Sheet1"/>
      <sheetName val="A"/>
      <sheetName val="Permanent info"/>
      <sheetName val="GeneralInfo"/>
      <sheetName val="NERACA JUL"/>
      <sheetName val="neraca okt"/>
      <sheetName val="BARSdec05"/>
      <sheetName val="asset"/>
      <sheetName val="data (2)"/>
      <sheetName val="Sheet2"/>
      <sheetName val="panther"/>
      <sheetName val="1999"/>
      <sheetName val="d_com"/>
      <sheetName val="0"/>
      <sheetName val="Oct 99"/>
      <sheetName val="Type"/>
      <sheetName val="F1771-2"/>
      <sheetName val="F1771-3"/>
      <sheetName val="gg_1"/>
      <sheetName val="EXP09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"/>
      <sheetName val="DK_BPJS KESEHATAN_31122015"/>
      <sheetName val="CV_BPJS KESEHATAN_31122015"/>
      <sheetName val="CECK DATA"/>
      <sheetName val="FORM DAFTAR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DD-DISP-R027"/>
      <sheetName val="ADD-DISP-R134"/>
      <sheetName val="ADD-DISP-OTHER"/>
      <sheetName val="Sheet3"/>
      <sheetName val="ADD_DISP_OTHER"/>
      <sheetName val="K2-FA"/>
      <sheetName val="Permanent info"/>
      <sheetName val="Stamping Process"/>
      <sheetName val="Permanent_info"/>
      <sheetName val="NOTHIT"/>
      <sheetName val="NS"/>
      <sheetName val="P&amp;L"/>
      <sheetName val="janflash"/>
      <sheetName val="Instructions"/>
      <sheetName val="Permanent_info6"/>
      <sheetName val="Stamping_Process5"/>
      <sheetName val="Permanent_info1"/>
      <sheetName val="Stamping_Process"/>
      <sheetName val="Permanent_info3"/>
      <sheetName val="Stamping_Process2"/>
      <sheetName val="Permanent_info2"/>
      <sheetName val="Stamping_Process1"/>
      <sheetName val="Permanent_info4"/>
      <sheetName val="Stamping_Process3"/>
      <sheetName val="Permanent_info5"/>
      <sheetName val="Stamping_Process4"/>
      <sheetName val="Permanent_info9"/>
      <sheetName val="Stamping_Process8"/>
      <sheetName val="Permanent_info7"/>
      <sheetName val="Stamping_Process6"/>
      <sheetName val="Permanent_info8"/>
      <sheetName val="Stamping_Process7"/>
      <sheetName val="Permanent_info12"/>
      <sheetName val="Stamping_Process11"/>
      <sheetName val="Permanent_info11"/>
      <sheetName val="Stamping_Process10"/>
      <sheetName val="Permanent_info10"/>
      <sheetName val="Stamping_Process9"/>
      <sheetName val="Permanent_info13"/>
      <sheetName val="Stamping_Process12"/>
      <sheetName val="BS"/>
      <sheetName val="WBS1"/>
      <sheetName val="Sheet1"/>
      <sheetName val="TBM"/>
      <sheetName val="May"/>
      <sheetName val="Angka"/>
      <sheetName val="B1 Data"/>
      <sheetName val="GeneralInfo"/>
      <sheetName val="Non-Statistical Sampling Master"/>
      <sheetName val="Two Step Revenue Testing Master"/>
      <sheetName val="Global Data"/>
      <sheetName val="OEM"/>
      <sheetName val="Invoice"/>
      <sheetName val="Customize Your Invoice"/>
      <sheetName val="412src2"/>
      <sheetName val="data_val"/>
      <sheetName val="Neraca"/>
      <sheetName val="cov"/>
      <sheetName val="VAT out"/>
      <sheetName val="TARIP"/>
      <sheetName val="NWEXT"/>
      <sheetName val="Biaya Departemen"/>
      <sheetName val="2934"/>
      <sheetName val="Permanent_info14"/>
      <sheetName val="Stamping_Process13"/>
      <sheetName val="B1_Data"/>
      <sheetName val="Non-Statistical_Sampling_Master"/>
      <sheetName val="Two_Step_Revenue_Testing_Master"/>
      <sheetName val="Global_Data"/>
      <sheetName val="VAT_out"/>
      <sheetName val="Customize_Your_Invoice"/>
      <sheetName val="PL (MONTHLY)"/>
      <sheetName val="GL"/>
      <sheetName val="List PT"/>
      <sheetName val="Daftar Customer"/>
      <sheetName val="Identitas"/>
      <sheetName val="Retail Spider"/>
      <sheetName val="I-PPh23 (2)"/>
      <sheetName val="SSP PPN"/>
      <sheetName val="OAR-FS"/>
      <sheetName val="TB Grouping"/>
      <sheetName val="Notes"/>
      <sheetName val="Olah"/>
      <sheetName val="july"/>
      <sheetName val="june"/>
      <sheetName val="status"/>
      <sheetName val="Permanent_info15"/>
      <sheetName val="Stamping_Process14"/>
      <sheetName val="B1_Data1"/>
      <sheetName val="Non-Statistical_Sampling_Maste1"/>
      <sheetName val="Two_Step_Revenue_Testing_Maste1"/>
      <sheetName val="Global_Data1"/>
      <sheetName val="VAT_out1"/>
      <sheetName val="Customize_Your_Invoice1"/>
      <sheetName val="Biaya_Departemen"/>
      <sheetName val="PL_(MONTHLY)"/>
      <sheetName val="List_PT"/>
      <sheetName val="Permanent_info16"/>
      <sheetName val="Stamping_Process15"/>
      <sheetName val="B1_Data2"/>
      <sheetName val="Non-Statistical_Sampling_Maste2"/>
      <sheetName val="Two_Step_Revenue_Testing_Maste2"/>
      <sheetName val="Global_Data2"/>
      <sheetName val="VAT_out2"/>
      <sheetName val="Customize_Your_Invoice2"/>
      <sheetName val="Biaya_Departemen1"/>
      <sheetName val="PL_(MONTHLY)1"/>
      <sheetName val="List_PT1"/>
      <sheetName val="Permanent_info17"/>
      <sheetName val="Stamping_Process16"/>
      <sheetName val="B1_Data3"/>
      <sheetName val="Non-Statistical_Sampling_Maste3"/>
      <sheetName val="Two_Step_Revenue_Testing_Maste3"/>
      <sheetName val="Global_Data3"/>
      <sheetName val="VAT_out3"/>
      <sheetName val="Customize_Your_Invoice3"/>
      <sheetName val="Biaya_Departemen2"/>
      <sheetName val="PL_(MONTHLY)2"/>
      <sheetName val="List_PT2"/>
      <sheetName val="Permanent_info18"/>
      <sheetName val="Stamping_Process17"/>
      <sheetName val="B1_Data4"/>
      <sheetName val="Non-Statistical_Sampling_Maste4"/>
      <sheetName val="Two_Step_Revenue_Testing_Maste4"/>
      <sheetName val="Global_Data4"/>
      <sheetName val="VAT_out4"/>
      <sheetName val="Customize_Your_Invoice4"/>
      <sheetName val="Biaya_Departemen3"/>
      <sheetName val="PL_(MONTHLY)3"/>
      <sheetName val="List_PT3"/>
      <sheetName val="Permanent_info22"/>
      <sheetName val="Stamping_Process21"/>
      <sheetName val="B1_Data8"/>
      <sheetName val="Non-Statistical_Sampling_Maste8"/>
      <sheetName val="Two_Step_Revenue_Testing_Maste8"/>
      <sheetName val="Global_Data8"/>
      <sheetName val="VAT_out8"/>
      <sheetName val="Customize_Your_Invoice8"/>
      <sheetName val="Biaya_Departemen7"/>
      <sheetName val="PL_(MONTHLY)7"/>
      <sheetName val="List_PT7"/>
      <sheetName val="Permanent_info19"/>
      <sheetName val="Stamping_Process18"/>
      <sheetName val="B1_Data5"/>
      <sheetName val="Non-Statistical_Sampling_Maste5"/>
      <sheetName val="Two_Step_Revenue_Testing_Maste5"/>
      <sheetName val="Global_Data5"/>
      <sheetName val="VAT_out5"/>
      <sheetName val="Customize_Your_Invoice5"/>
      <sheetName val="Biaya_Departemen4"/>
      <sheetName val="PL_(MONTHLY)4"/>
      <sheetName val="List_PT4"/>
      <sheetName val="Permanent_info20"/>
      <sheetName val="Stamping_Process19"/>
      <sheetName val="B1_Data6"/>
      <sheetName val="Non-Statistical_Sampling_Maste6"/>
      <sheetName val="Two_Step_Revenue_Testing_Maste6"/>
      <sheetName val="Global_Data6"/>
      <sheetName val="VAT_out6"/>
      <sheetName val="Customize_Your_Invoice6"/>
      <sheetName val="Biaya_Departemen5"/>
      <sheetName val="PL_(MONTHLY)5"/>
      <sheetName val="List_PT5"/>
      <sheetName val="Permanent_info21"/>
      <sheetName val="Stamping_Process20"/>
      <sheetName val="B1_Data7"/>
      <sheetName val="Non-Statistical_Sampling_Maste7"/>
      <sheetName val="Two_Step_Revenue_Testing_Maste7"/>
      <sheetName val="Global_Data7"/>
      <sheetName val="VAT_out7"/>
      <sheetName val="Customize_Your_Invoice7"/>
      <sheetName val="Biaya_Departemen6"/>
      <sheetName val="PL_(MONTHLY)6"/>
      <sheetName val="List_PT6"/>
      <sheetName val="Permanent_info23"/>
      <sheetName val="Stamping_Process22"/>
      <sheetName val="B1_Data9"/>
      <sheetName val="Non-Statistical_Sampling_Maste9"/>
      <sheetName val="Two_Step_Revenue_Testing_Maste9"/>
      <sheetName val="Global_Data9"/>
      <sheetName val="VAT_out9"/>
      <sheetName val="Customize_Your_Invoice9"/>
      <sheetName val="Biaya_Departemen8"/>
      <sheetName val="PL_(MONTHLY)8"/>
      <sheetName val="List_PT8"/>
      <sheetName val="Permanent_info24"/>
      <sheetName val="Stamping_Process23"/>
      <sheetName val="B1_Data10"/>
      <sheetName val="Non-Statistical_Sampling_Mast10"/>
      <sheetName val="Two_Step_Revenue_Testing_Mast10"/>
      <sheetName val="Global_Data10"/>
      <sheetName val="VAT_out10"/>
      <sheetName val="Customize_Your_Invoice10"/>
      <sheetName val="Biaya_Departemen9"/>
      <sheetName val="PL_(MONTHLY)9"/>
      <sheetName val="List_PT9"/>
      <sheetName val="F1771-2"/>
      <sheetName val="FE-1771$.P1"/>
      <sheetName val="RIG 134-ASSETS APR 97"/>
      <sheetName val="RIG 027-ASSETS-AFTER 30 JUN 97"/>
      <sheetName val="V_List"/>
      <sheetName val="FE-1771$_P1"/>
      <sheetName val="RIG_134-ASSETS_APR_97"/>
      <sheetName val="RIG_027-ASSETS-AFTER_30_JUN_97"/>
      <sheetName val="tabel perkiraan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K2-FA"/>
    </sheetNames>
    <sheetDataSet>
      <sheetData sheetId="0"/>
      <sheetData sheetId="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ารบัญ"/>
      <sheetName val="ใบคำนวณส่วนผสม Mix"/>
      <sheetName val="Mix Detail"/>
      <sheetName val="Mixing"/>
      <sheetName val="ใบผสมแร่และแสล็ก"/>
      <sheetName val="บัตรแร่ผสม"/>
      <sheetName val="OreDetail"/>
      <sheetName val="OreType"/>
      <sheetName val="Wt_Ore"/>
      <sheetName val="LabAnalysis"/>
      <sheetName val="OreInformation"/>
      <sheetName val="Vendor"/>
      <sheetName val="ถ่าน"/>
      <sheetName val="คำนวณแรเหม่ม่"/>
      <sheetName val="ใบคำนวณส่วนผสม_Mix"/>
      <sheetName val="Mix_Detail"/>
      <sheetName val="repkg fees"/>
      <sheetName val="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Permanent info"/>
    </sheetNames>
    <sheetDataSet>
      <sheetData sheetId="0"/>
      <sheetData sheetId="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"/>
      <sheetName val="bs"/>
      <sheetName val="pl"/>
      <sheetName val="FA"/>
    </sheetNames>
    <sheetDataSet>
      <sheetData sheetId="0"/>
      <sheetData sheetId="1"/>
      <sheetData sheetId="2"/>
      <sheetData sheetId="3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CACAD"/>
      <sheetName val="UMURPEN"/>
      <sheetName val="JANPASIF"/>
      <sheetName val="JANAKTIF"/>
      <sheetName val="varINPUT"/>
      <sheetName val="sx"/>
      <sheetName val="jiwasraya04"/>
      <sheetName val="jishir04"/>
      <sheetName val="tabelhir2"/>
      <sheetName val="deftabel2 "/>
      <sheetName val="surtabel2"/>
      <sheetName val="pasifdat"/>
      <sheetName val="tabelIB"/>
      <sheetName val="pegsesuu"/>
      <sheetName val="pegprauu"/>
      <sheetName val="mantanpeg"/>
      <sheetName val="nomal"/>
      <sheetName val="normaldir"/>
      <sheetName val="jandadir"/>
      <sheetName val="janda"/>
      <sheetName val="ANAK"/>
      <sheetName val="FUTSAL"/>
      <sheetName val="Rasio"/>
      <sheetName val="AXPEN"/>
      <sheetName val="AX"/>
      <sheetName val="MULDECOK"/>
      <sheetName val="MULDEC1"/>
      <sheetName val="0000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  <sheetName val="Permanent info"/>
      <sheetName val="KONS2005"/>
      <sheetName val="INPUT"/>
      <sheetName val="cov"/>
      <sheetName val="GeneralInfo"/>
      <sheetName val="Marshal"/>
      <sheetName val="SUMMARY"/>
      <sheetName val="Oct 03"/>
      <sheetName val="Rpt13.Oth"/>
      <sheetName val="PO"/>
      <sheetName val="PEGAWAI"/>
      <sheetName val="RM COSTS"/>
      <sheetName val="Opening"/>
      <sheetName val="Sheet1"/>
      <sheetName val="Pg2"/>
      <sheetName val="Procedures"/>
      <sheetName val="PL-Invst Pty"/>
      <sheetName val="General Info"/>
      <sheetName val="Ex_Rate"/>
      <sheetName val="3. Neraca dan RL"/>
      <sheetName val="Supplementary MR"/>
      <sheetName val="NERKON_"/>
      <sheetName val="PLL_"/>
      <sheetName val="AL-BTL_KK_(2)"/>
      <sheetName val="BTL__"/>
      <sheetName val="HUT_"/>
      <sheetName val="pph_"/>
      <sheetName val="HB_"/>
      <sheetName val="DAF_ISI"/>
      <sheetName val="COVER_"/>
      <sheetName val="Permanent_info"/>
      <sheetName val="Settings"/>
      <sheetName val="HARGA MATERIAL"/>
      <sheetName val="Summary Data"/>
      <sheetName val="PBT BY MARKET"/>
      <sheetName val="System"/>
      <sheetName val="DATA WP"/>
      <sheetName val="K2-FA"/>
      <sheetName val="Sandi laba rugi"/>
      <sheetName val="Sheet3"/>
      <sheetName val="Menu"/>
      <sheetName val="Detail Piutang"/>
      <sheetName val="analis"/>
      <sheetName val="Jan 2000 Award %"/>
      <sheetName val="pl"/>
      <sheetName val="bs"/>
      <sheetName val="Sensititivy"/>
      <sheetName val="ROSS LIST"/>
      <sheetName val="Income"/>
      <sheetName val="SE-C"/>
      <sheetName val="P.8.2 1036 Depot"/>
      <sheetName val="WPL(01)"/>
      <sheetName val="VAT out"/>
      <sheetName val="PipWT"/>
      <sheetName val="laporan"/>
      <sheetName val="PROFITLOSS"/>
      <sheetName val="AE_DM"/>
      <sheetName val="Int-Scheme I"/>
      <sheetName val="File references"/>
      <sheetName val="Pg 4-8 - Detail P&amp;L (FC04)"/>
      <sheetName val="TblPajak"/>
      <sheetName val="trf multiple"/>
      <sheetName val="trfakt sgl"/>
      <sheetName val="Rpt2. NR"/>
      <sheetName val="Slip"/>
      <sheetName val="RUGILABA"/>
      <sheetName val="X-file"/>
      <sheetName val="Indexing (Hide)"/>
      <sheetName val="Profit &amp; Loss"/>
      <sheetName val="FE-1771$.P1"/>
      <sheetName val="PENDING PO &amp; LC"/>
      <sheetName val="RECEIPTS"/>
      <sheetName val="KKP-II.2.2.1.2"/>
      <sheetName val="Costing"/>
      <sheetName val="Sheet1 (2)"/>
      <sheetName val="Apr"/>
      <sheetName val="MarYTD"/>
      <sheetName val="Pov"/>
      <sheetName val="RL NIS"/>
      <sheetName val="Laba rugi Asli"/>
      <sheetName val="Neraca Asli"/>
      <sheetName val="BUDGET99"/>
      <sheetName val="Gaji pokok + tunjangan tetap'03"/>
      <sheetName val="SheetGMP"/>
      <sheetName val="SheetGMT"/>
      <sheetName val="UM yg blm dSPJkan"/>
      <sheetName val="Retail Spider"/>
      <sheetName val="Data"/>
      <sheetName val="TB"/>
      <sheetName val="SAP"/>
      <sheetName val="List Values"/>
      <sheetName val="NERKON_1"/>
      <sheetName val="PLL_1"/>
      <sheetName val="AL-BTL_KK_(2)1"/>
      <sheetName val="BTL__1"/>
      <sheetName val="HUT_1"/>
      <sheetName val="pph_1"/>
      <sheetName val="HB_1"/>
      <sheetName val="DAF_ISI1"/>
      <sheetName val="COVER_1"/>
      <sheetName val="Permanent_info1"/>
      <sheetName val="Rpt13_Oth"/>
      <sheetName val="Oct_03"/>
      <sheetName val="RM_COSTS"/>
      <sheetName val="PL-Invst_Pty"/>
      <sheetName val="General_Info"/>
      <sheetName val="3__Neraca_dan_RL"/>
      <sheetName val="Supplementary_MR"/>
      <sheetName val="HARGA_MATERIAL"/>
      <sheetName val="DATA_WP"/>
      <sheetName val="Sandi_laba_rugi"/>
      <sheetName val="Summary_Data"/>
      <sheetName val="PBT_BY_MARKET"/>
      <sheetName val="Interdata"/>
      <sheetName val="Total"/>
      <sheetName val="OPNAME GOOD STOCK"/>
      <sheetName val="OPNAME SALES"/>
      <sheetName val="Period"/>
      <sheetName val="Yearly"/>
      <sheetName val="Set-Up Jan-July"/>
      <sheetName val="Set-Up Aug-Dec"/>
      <sheetName val="VCELA"/>
      <sheetName val="IS "/>
      <sheetName val="IS"/>
      <sheetName val="daftar"/>
      <sheetName val="AA.1.1 BNI"/>
      <sheetName val="harga"/>
      <sheetName val="hitung"/>
      <sheetName val="SCORE_RC_Code"/>
      <sheetName val="Ship"/>
      <sheetName val="FKT_PJK"/>
      <sheetName val="NERKON_2"/>
      <sheetName val="PLL_2"/>
      <sheetName val="AL-BTL_KK_(2)2"/>
      <sheetName val="BTL__2"/>
      <sheetName val="HUT_2"/>
      <sheetName val="pph_2"/>
      <sheetName val="HB_2"/>
      <sheetName val="DAF_ISI2"/>
      <sheetName val="COVER_2"/>
      <sheetName val="Permanent_info2"/>
      <sheetName val="Rpt13_Oth1"/>
      <sheetName val="Oct_031"/>
      <sheetName val="RM_COSTS1"/>
      <sheetName val="PL-Invst_Pty1"/>
      <sheetName val="General_Info1"/>
      <sheetName val="3__Neraca_dan_RL1"/>
      <sheetName val="Supplementary_MR1"/>
      <sheetName val="HARGA_MATERIAL1"/>
      <sheetName val="DATA_WP1"/>
      <sheetName val="Sandi_laba_rugi1"/>
      <sheetName val="Summary_Data1"/>
      <sheetName val="PBT_BY_MARKET1"/>
      <sheetName val="Biaya_Departemen"/>
      <sheetName val="PAD-F"/>
      <sheetName val="16-AC-27JULI"/>
      <sheetName val="NWEXT"/>
      <sheetName val="Valuation"/>
      <sheetName val="kONTRAK"/>
      <sheetName val="Gb Link Requirement"/>
      <sheetName val="Table_Array"/>
      <sheetName val="Detail_Piutang"/>
      <sheetName val="ROSS_LIST"/>
      <sheetName val="P_8_2_1036_Depot"/>
      <sheetName val="VAT_out"/>
      <sheetName val="Int-Scheme_I"/>
      <sheetName val="File_references"/>
      <sheetName val="Jan_2000_Award_%"/>
      <sheetName val="Pg_4-8_-_Detail_P&amp;L_(FC04)"/>
      <sheetName val="trf_multiple"/>
      <sheetName val="trfakt_sgl"/>
      <sheetName val="Rpt2__NR"/>
      <sheetName val="PENDING_PO_&amp;_LC"/>
      <sheetName val="KKP-II_2_2_1_2"/>
      <sheetName val="FE-1771$_P1"/>
      <sheetName val="Sheet1_(2)"/>
      <sheetName val="Indexing_(Hide)"/>
      <sheetName val="Profit_&amp;_Loss"/>
      <sheetName val="RL_NIS"/>
      <sheetName val="Laba_rugi_Asli"/>
      <sheetName val="Neraca_Asli"/>
      <sheetName val="Gaji_pokok_+_tunjangan_tetap'03"/>
      <sheetName val="Retail_Spider"/>
      <sheetName val="UM_yg_blm_dSPJkan"/>
      <sheetName val="List_Values"/>
      <sheetName val="OPNAME_GOOD_STOCK"/>
      <sheetName val="OPNAME_SALES"/>
      <sheetName val="Set-Up_Jan-July"/>
      <sheetName val="Set-Up_Aug-Dec"/>
      <sheetName val="IS_"/>
      <sheetName val="AA_1_1_BNI"/>
      <sheetName val="Gb_Link_Requirement"/>
      <sheetName val="Kertas kerja dan lap. keuangan"/>
      <sheetName val="NERKON_3"/>
      <sheetName val="PLL_3"/>
      <sheetName val="AL-BTL_KK_(2)3"/>
      <sheetName val="BTL__3"/>
      <sheetName val="HUT_3"/>
      <sheetName val="pph_3"/>
      <sheetName val="HB_3"/>
      <sheetName val="DAF_ISI3"/>
      <sheetName val="COVER_3"/>
      <sheetName val="Permanent_info3"/>
      <sheetName val="Rpt13_Oth2"/>
      <sheetName val="Oct_032"/>
      <sheetName val="RM_COSTS2"/>
      <sheetName val="PL-Invst_Pty2"/>
      <sheetName val="General_Info2"/>
      <sheetName val="3__Neraca_dan_RL2"/>
      <sheetName val="Supplementary_MR2"/>
      <sheetName val="HARGA_MATERIAL2"/>
      <sheetName val="DATA_WP2"/>
      <sheetName val="Sandi_laba_rugi2"/>
      <sheetName val="Summary_Data2"/>
      <sheetName val="PBT_BY_MARKET2"/>
      <sheetName val="Detail_Piutang1"/>
      <sheetName val="Jan_2000_Award_%1"/>
      <sheetName val="Pg_4-8_-_Detail_P&amp;L_(FC04)1"/>
      <sheetName val="ROSS_LIST1"/>
      <sheetName val="P_8_2_1036_Depot1"/>
      <sheetName val="VAT_out1"/>
      <sheetName val="Int-Scheme_I1"/>
      <sheetName val="File_references1"/>
      <sheetName val="trf_multiple1"/>
      <sheetName val="trfakt_sgl1"/>
      <sheetName val="Rpt2__NR1"/>
      <sheetName val="Indexing_(Hide)1"/>
      <sheetName val="Profit_&amp;_Loss1"/>
      <sheetName val="PENDING_PO_&amp;_LC1"/>
      <sheetName val="KKP-II_2_2_1_21"/>
      <sheetName val="FE-1771$_P11"/>
      <sheetName val="Sheet1_(2)1"/>
      <sheetName val="RL_NIS1"/>
      <sheetName val="Laba_rugi_Asli1"/>
      <sheetName val="Neraca_Asli1"/>
      <sheetName val="Gaji_pokok_+_tunjangan_tetap'01"/>
      <sheetName val="UM_yg_blm_dSPJkan1"/>
      <sheetName val="Retail_Spider1"/>
      <sheetName val="List_Values1"/>
      <sheetName val="Set-Up_Jan-July1"/>
      <sheetName val="Set-Up_Aug-Dec1"/>
      <sheetName val="OPNAME_GOOD_STOCK1"/>
      <sheetName val="OPNAME_SALES1"/>
      <sheetName val="IS_1"/>
      <sheetName val="AA_1_1_BNI1"/>
      <sheetName val="Gb_Link_Requirement1"/>
      <sheetName val="Kertas_kerja_dan_lap__keuangan"/>
      <sheetName val="SALES(영업)"/>
      <sheetName val="PAK EKO"/>
      <sheetName val="Fin Acc ACT 2005"/>
      <sheetName val="lists"/>
      <sheetName val="F1771-V"/>
      <sheetName val="NAP"/>
      <sheetName val="Periods"/>
      <sheetName val="연돌일위집계"/>
      <sheetName val="pivotscd"/>
      <sheetName val="Defn Phase Tonnes &amp; Volumes"/>
      <sheetName val="Hargamaterial"/>
      <sheetName val="LKT - HL"/>
      <sheetName val="LKT - HS"/>
      <sheetName val="Rekap"/>
      <sheetName val="Mobilisasi"/>
      <sheetName val="61004"/>
      <sheetName val="TBM-"/>
      <sheetName val="1999 actuals"/>
      <sheetName val="Lamp-14(Manajemen)"/>
      <sheetName val="Sheet4"/>
      <sheetName val="TARIP"/>
      <sheetName val="MasterMksAgst07"/>
      <sheetName val="BIAYA GABUNGAN"/>
      <sheetName val="KK  Neraca &amp; RL individu"/>
      <sheetName val="As"/>
      <sheetName val="HTI"/>
      <sheetName val="LR"/>
      <sheetName val="TM"/>
      <sheetName val="NS"/>
      <sheetName val="Rates"/>
      <sheetName val="SET"/>
      <sheetName val="Sheet6"/>
      <sheetName val="OTHER INCOME &amp; BY PERDIVISI"/>
      <sheetName val="Ret"/>
      <sheetName val="摊销表"/>
      <sheetName val="Report In Log Perdepo"/>
      <sheetName val="K101"/>
      <sheetName val="Bal.Sheet"/>
      <sheetName val="TRANP BIBIT"/>
      <sheetName val="TOR955"/>
      <sheetName val="Co. 058-Adelaide"/>
      <sheetName val="Sheet2"/>
      <sheetName val="OPNAME BAD STOCK"/>
      <sheetName val="CMA_Calculations"/>
      <sheetName val="IPK Sem12014"/>
      <sheetName val="tabel nilai"/>
      <sheetName val="Name"/>
      <sheetName val="tabel"/>
      <sheetName val="Standar"/>
      <sheetName val="analisa"/>
      <sheetName val="PRD 01-3"/>
      <sheetName val="X"/>
      <sheetName val="Lamp 1(NRC)ok0201"/>
      <sheetName val="ner"/>
      <sheetName val="Posting"/>
      <sheetName val="Source Data"/>
      <sheetName val="Cover-01"/>
      <sheetName val="Cover_01"/>
      <sheetName val="pivot"/>
      <sheetName val="OFFEREXT"/>
      <sheetName val="CMA Calculations"/>
      <sheetName val="NERKON_4"/>
      <sheetName val="PLL_4"/>
      <sheetName val="AL-BTL_KK_(2)4"/>
      <sheetName val="BTL__4"/>
      <sheetName val="HUT_4"/>
      <sheetName val="pph_4"/>
      <sheetName val="HB_4"/>
      <sheetName val="DAF_ISI4"/>
      <sheetName val="COVER_4"/>
      <sheetName val="Permanent_info4"/>
      <sheetName val="Oct_033"/>
      <sheetName val="Rpt13_Oth3"/>
      <sheetName val="RM_COSTS3"/>
      <sheetName val="PL-Invst_Pty3"/>
      <sheetName val="General_Info3"/>
      <sheetName val="3__Neraca_dan_RL3"/>
      <sheetName val="Supplementary_MR3"/>
      <sheetName val="Summary_Data3"/>
      <sheetName val="PBT_BY_MARKET3"/>
      <sheetName val="HARGA_MATERIAL3"/>
      <sheetName val="Jan_2000_Award_%2"/>
      <sheetName val="Sandi_laba_rugi3"/>
      <sheetName val="DATA_WP3"/>
      <sheetName val="Detail_Piutang2"/>
      <sheetName val="Rpt2__NR2"/>
      <sheetName val="Int-Scheme_I2"/>
      <sheetName val="ROSS_LIST2"/>
      <sheetName val="P_8_2_1036_Depot2"/>
      <sheetName val="VAT_out2"/>
      <sheetName val="File_references2"/>
      <sheetName val="PENDING_PO_&amp;_LC2"/>
      <sheetName val="KKP-II_2_2_1_22"/>
      <sheetName val="Sheet1_(2)2"/>
      <sheetName val="Pg_4-8_-_Detail_P&amp;L_(FC04)2"/>
      <sheetName val="trf_multiple2"/>
      <sheetName val="trfakt_sgl2"/>
      <sheetName val="Indexing_(Hide)2"/>
      <sheetName val="Profit_&amp;_Loss2"/>
      <sheetName val="FE-1771$_P12"/>
      <sheetName val="RL_NIS2"/>
      <sheetName val="Gaji_pokok_+_tunjangan_tetap'02"/>
      <sheetName val="Laba_rugi_Asli2"/>
      <sheetName val="Neraca_Asli2"/>
      <sheetName val="UM_yg_blm_dSPJkan2"/>
      <sheetName val="Retail_Spider2"/>
      <sheetName val="Set-Up_Jan-July2"/>
      <sheetName val="Set-Up_Aug-Dec2"/>
      <sheetName val="List_Values2"/>
      <sheetName val="IS_2"/>
      <sheetName val="Gb_Link_Requirement2"/>
      <sheetName val="OPNAME_GOOD_STOCK2"/>
      <sheetName val="OPNAME_SALES2"/>
      <sheetName val="AA_1_1_BNI2"/>
      <sheetName val="Kertas_kerja_dan_lap__keuangan1"/>
      <sheetName val="PAK_EKO"/>
      <sheetName val="Fin_Acc_ACT_2005"/>
      <sheetName val="Basic Price"/>
      <sheetName val="PEMBAGIAN"/>
      <sheetName val="pricing"/>
      <sheetName val="COA"/>
      <sheetName val="TRBP"/>
      <sheetName val="Tariptunda"/>
      <sheetName val="REFUO"/>
      <sheetName val="Tunai"/>
      <sheetName val="Angsuran"/>
      <sheetName val="ANALISA-HST"/>
      <sheetName val="RAB"/>
      <sheetName val="NERKON_5"/>
      <sheetName val="PLL_5"/>
      <sheetName val="AL-BTL_KK_(2)5"/>
      <sheetName val="BTL__5"/>
      <sheetName val="HUT_5"/>
      <sheetName val="pph_5"/>
      <sheetName val="HB_5"/>
      <sheetName val="DAF_ISI5"/>
      <sheetName val="COVER_5"/>
      <sheetName val="Permanent_info5"/>
      <sheetName val="Oct_034"/>
      <sheetName val="Rpt13_Oth4"/>
      <sheetName val="RM_COSTS4"/>
      <sheetName val="PL-Invst_Pty4"/>
      <sheetName val="General_Info4"/>
      <sheetName val="3__Neraca_dan_RL4"/>
      <sheetName val="Supplementary_MR4"/>
      <sheetName val="Summary_Data4"/>
      <sheetName val="PBT_BY_MARKET4"/>
      <sheetName val="HARGA_MATERIAL4"/>
      <sheetName val="Jan_2000_Award_%3"/>
      <sheetName val="Sandi_laba_rugi4"/>
      <sheetName val="DATA_WP4"/>
      <sheetName val="Detail_Piutang3"/>
      <sheetName val="Rpt2__NR3"/>
      <sheetName val="Int-Scheme_I3"/>
      <sheetName val="ROSS_LIST3"/>
      <sheetName val="P_8_2_1036_Depot3"/>
      <sheetName val="VAT_out3"/>
      <sheetName val="File_references3"/>
      <sheetName val="PENDING_PO_&amp;_LC3"/>
      <sheetName val="KKP-II_2_2_1_23"/>
      <sheetName val="Sheet1_(2)3"/>
      <sheetName val="Pg_4-8_-_Detail_P&amp;L_(FC04)3"/>
      <sheetName val="trf_multiple3"/>
      <sheetName val="trfakt_sgl3"/>
      <sheetName val="Indexing_(Hide)3"/>
      <sheetName val="Profit_&amp;_Loss3"/>
      <sheetName val="FE-1771$_P13"/>
      <sheetName val="RL_NIS3"/>
      <sheetName val="Gaji_pokok_+_tunjangan_tetap'04"/>
      <sheetName val="Laba_rugi_Asli3"/>
      <sheetName val="Neraca_Asli3"/>
      <sheetName val="UM_yg_blm_dSPJkan3"/>
      <sheetName val="Retail_Spider3"/>
      <sheetName val="Set-Up_Jan-July3"/>
      <sheetName val="Set-Up_Aug-Dec3"/>
      <sheetName val="List_Values3"/>
      <sheetName val="IS_3"/>
      <sheetName val="Gb_Link_Requirement3"/>
      <sheetName val="OPNAME_GOOD_STOCK3"/>
      <sheetName val="OPNAME_SALES3"/>
      <sheetName val="AA_1_1_BNI3"/>
      <sheetName val="Kertas_kerja_dan_lap__keuangan2"/>
      <sheetName val="PAK_EKO1"/>
      <sheetName val="Fin_Acc_ACT_20051"/>
      <sheetName val="Credit-22"/>
      <sheetName val="PersList"/>
      <sheetName val="Powergen"/>
      <sheetName val="PREPAID"/>
      <sheetName val="UshDeb00"/>
      <sheetName val="LIST IAF MF"/>
      <sheetName val="HarSat"/>
      <sheetName val="Range"/>
      <sheetName val="Rekap Direct Cost"/>
      <sheetName val="EST"/>
      <sheetName val="Index (VH)"/>
      <sheetName val="pivot2"/>
      <sheetName val="pivot3"/>
      <sheetName val="pivot4"/>
      <sheetName val="pivot5"/>
      <sheetName val="pivot6"/>
      <sheetName val="pivot7"/>
      <sheetName val="RJxmPkkTahun"/>
      <sheetName val="RJxmPkkBulan"/>
      <sheetName val="1700-45"/>
      <sheetName val="REKAP RINCIAN"/>
      <sheetName val="Rencana 2018-2022 Expensess"/>
      <sheetName val="SEGMEN-08"/>
      <sheetName val="SOC-08"/>
      <sheetName val="Dates"/>
      <sheetName val="GL"/>
      <sheetName val="Bandung"/>
      <sheetName val="Assumptions"/>
      <sheetName val="H.Satuan"/>
      <sheetName val="D.BOARD"/>
      <sheetName val="DATA PROYEK"/>
      <sheetName val="PER HARI"/>
      <sheetName val="MAP"/>
      <sheetName val="7.1(3)"/>
      <sheetName val="prelim"/>
      <sheetName val="OwnEq"/>
      <sheetName val="rgms1299"/>
      <sheetName val="SAP-Plb "/>
      <sheetName val="sdm"/>
      <sheetName val="Base Info"/>
      <sheetName val="PRY 01-3"/>
      <sheetName val="Harga Dasar"/>
      <sheetName val="MI(data base)"/>
      <sheetName val="RANKING PELAPORAN"/>
      <sheetName val="Ex-Rate"/>
      <sheetName val="LM13_16"/>
      <sheetName val="olah swt2"/>
      <sheetName val="prod.prog"/>
      <sheetName val="almanak &amp;hk."/>
      <sheetName val="New MADC"/>
      <sheetName val="DASH"/>
      <sheetName val="HRG UPAH BAHAN"/>
      <sheetName val="prog-mgu"/>
      <sheetName val="SEP"/>
      <sheetName val="BP1_23"/>
      <sheetName val="TAGIHAN"/>
      <sheetName val="ELEMENT SUM"/>
      <sheetName val="Master Edit"/>
      <sheetName val="bbt-1999"/>
      <sheetName val="KEB-MAT"/>
      <sheetName val="HRG BHN"/>
      <sheetName val="BQ-GB-1"/>
      <sheetName val="telp"/>
      <sheetName val="RWD-02"/>
      <sheetName val="DATAJUNI"/>
      <sheetName val="Uraian Upah"/>
      <sheetName val="rekap1"/>
      <sheetName val="Lap &lt;jual&gt; Gj 10"/>
      <sheetName val="D4"/>
      <sheetName val="D6"/>
      <sheetName val="D7"/>
      <sheetName val="D8"/>
      <sheetName val="Table Array"/>
      <sheetName val="bau"/>
      <sheetName val="GAJI"/>
      <sheetName val="BasicPrice"/>
      <sheetName val="D HARGA"/>
      <sheetName val="div 7"/>
      <sheetName val="P_Par"/>
      <sheetName val="P_ID"/>
      <sheetName val="Hotel"/>
      <sheetName val="Sheet"/>
      <sheetName val="OH"/>
      <sheetName val="AHS"/>
      <sheetName val="BIAYA_GABUNGAN"/>
      <sheetName val="KK__Neraca_&amp;_RL_individu"/>
      <sheetName val="1999_actuals"/>
      <sheetName val="OTHER_INCOME_&amp;_BY_PERDIVISI"/>
      <sheetName val="Report_In_Log_Perdepo"/>
      <sheetName val="Bal_Sheet"/>
      <sheetName val="TRANP_BIBIT"/>
      <sheetName val="Co__058-Adelaide"/>
      <sheetName val="OPNAME_BAD_STOCK"/>
      <sheetName val="tabel_nilai"/>
      <sheetName val="Source_Data"/>
      <sheetName val="Lamp_1(NRC)ok0201"/>
      <sheetName val="Rekap_Direct_Cost"/>
      <sheetName val="Index_(VH)"/>
      <sheetName val="SAP-Plb_"/>
      <sheetName val="Rencana_2018-2022_Expensess"/>
      <sheetName val="Defn_Phase_Tonnes_&amp;_Volumes"/>
      <sheetName val="LKT_-_HL"/>
      <sheetName val="LKT_-_HS"/>
      <sheetName val="LIST_IAF_MF"/>
      <sheetName val="IPK_Sem12014"/>
      <sheetName val="PRD_01-3"/>
      <sheetName val="StdUsageRM"/>
      <sheetName val="Cases"/>
      <sheetName val="StdUsagePM"/>
      <sheetName val="B"/>
      <sheetName val="Parms"/>
      <sheetName val="A"/>
      <sheetName val="WBS"/>
      <sheetName val="Construction Period"/>
      <sheetName val="04114"/>
      <sheetName val="h-013211-2"/>
      <sheetName val="Calc. Overview"/>
      <sheetName val="d_com"/>
      <sheetName val="MSC-L5"/>
      <sheetName val="Master Data Karyawan "/>
      <sheetName val="FORM-X-1"/>
      <sheetName val="#REF"/>
      <sheetName val="6"/>
      <sheetName val="BBM-03"/>
      <sheetName val="pro ra op"/>
      <sheetName val="rkpm 2007"/>
      <sheetName val="Properties"/>
      <sheetName val="Penjualan"/>
      <sheetName val="11b"/>
      <sheetName val="CRITERIA3"/>
      <sheetName val="Anciliary Revenues"/>
      <sheetName val="KONS2007"/>
      <sheetName val="Anciliary_Revenues"/>
      <sheetName val="REKAP_RINCIAN"/>
      <sheetName val="PAK_EKO2"/>
      <sheetName val="Rekap_Direct_Cost1"/>
      <sheetName val="Fin_Acc_ACT_20052"/>
      <sheetName val="1999_actuals1"/>
      <sheetName val="BIAYA_GABUNGAN1"/>
      <sheetName val="KK__Neraca_&amp;_RL_individu1"/>
      <sheetName val="OTHER_INCOME_&amp;_BY_PERDIVISI1"/>
      <sheetName val="Report_In_Log_Perdepo1"/>
      <sheetName val="Bal_Sheet1"/>
      <sheetName val="OPNAME_BAD_STOCK1"/>
      <sheetName val="Co__058-Adelaide1"/>
      <sheetName val="tabel_nilai1"/>
      <sheetName val="Elimination"/>
      <sheetName val="Non-Statistical Sampling Master"/>
      <sheetName val="Two Step Revenue Testing Master"/>
      <sheetName val="Global Data"/>
      <sheetName val="Factors"/>
      <sheetName val="Garis Lurus"/>
      <sheetName val="WSS"/>
      <sheetName val="Table"/>
      <sheetName val="1200.11.1"/>
      <sheetName val="Dkg-16"/>
      <sheetName val="Quantity Prod"/>
      <sheetName val="CR2 - RAW"/>
      <sheetName val="ocean voyage"/>
      <sheetName val="PLFeb"/>
      <sheetName val="Parameters"/>
      <sheetName val="Plan"/>
      <sheetName val="Project"/>
      <sheetName val="K101 FA Lead"/>
      <sheetName val="LABA RUGI"/>
      <sheetName val="Rekap Piutang"/>
      <sheetName val="Daftar Customer"/>
      <sheetName val="REKAP_ARSITEKTUR."/>
      <sheetName val="Others"/>
      <sheetName val="PAJE"/>
      <sheetName val="SAA"/>
      <sheetName val="data_val"/>
      <sheetName val="LOOKUP"/>
      <sheetName val="PER-HP"/>
      <sheetName val="HR SBU"/>
      <sheetName val="TRANP_BIBIT1"/>
      <sheetName val="Source_Data1"/>
      <sheetName val="Lamp_1(NRC)ok02011"/>
      <sheetName val="Index_(VH)1"/>
      <sheetName val="Original+CC"/>
      <sheetName val="karylengkap"/>
      <sheetName val="_control"/>
      <sheetName val="other revenue"/>
      <sheetName val="status"/>
      <sheetName val="2"/>
      <sheetName val="Aug'04"/>
      <sheetName val="N.Assumptions"/>
      <sheetName val="P.Assumptions"/>
      <sheetName val="WACC (Intl)"/>
      <sheetName val="NPWP"/>
      <sheetName val="Rencana_2018-2022_Expensess1"/>
      <sheetName val="REKAP_RINCIAN1"/>
      <sheetName val="Defn_Phase_Tonnes_&amp;_Volumes1"/>
      <sheetName val="LKT_-_HL1"/>
      <sheetName val="LKT_-_HS1"/>
      <sheetName val="LIST_IAF_MF1"/>
      <sheetName val="IPK_Sem120141"/>
      <sheetName val="PRD_01-31"/>
      <sheetName val="NERKON_6"/>
      <sheetName val="PLL_6"/>
      <sheetName val="AL-BTL_KK_(2)6"/>
      <sheetName val="BTL__6"/>
      <sheetName val="HUT_6"/>
      <sheetName val="pph_6"/>
      <sheetName val="HB_6"/>
      <sheetName val="DAF_ISI6"/>
      <sheetName val="COVER_6"/>
      <sheetName val="Permanent_info6"/>
      <sheetName val="Rpt13_Oth5"/>
      <sheetName val="Oct_035"/>
      <sheetName val="RM_COSTS5"/>
      <sheetName val="PL-Invst_Pty5"/>
      <sheetName val="General_Info5"/>
      <sheetName val="3__Neraca_dan_RL5"/>
      <sheetName val="Supplementary_MR5"/>
      <sheetName val="HARGA_MATERIAL5"/>
      <sheetName val="DATA_WP5"/>
      <sheetName val="Sandi_laba_rugi5"/>
      <sheetName val="Summary_Data5"/>
      <sheetName val="PBT_BY_MARKET5"/>
      <sheetName val="Detail_Piutang4"/>
      <sheetName val="Pg_4-8_-_Detail_P&amp;L_(FC04)4"/>
      <sheetName val="Jan_2000_Award_%4"/>
      <sheetName val="ROSS_LIST4"/>
      <sheetName val="P_8_2_1036_Depot4"/>
      <sheetName val="VAT_out4"/>
      <sheetName val="Int-Scheme_I4"/>
      <sheetName val="File_references4"/>
      <sheetName val="trf_multiple4"/>
      <sheetName val="trfakt_sgl4"/>
      <sheetName val="Rpt2__NR4"/>
      <sheetName val="Indexing_(Hide)4"/>
      <sheetName val="Profit_&amp;_Loss4"/>
      <sheetName val="PENDING_PO_&amp;_LC4"/>
      <sheetName val="KKP-II_2_2_1_24"/>
      <sheetName val="Laba_rugi_Asli4"/>
      <sheetName val="Neraca_Asli4"/>
      <sheetName val="FE-1771$_P14"/>
      <sheetName val="RL_NIS4"/>
      <sheetName val="Gaji_pokok_+_tunjangan_tetap'05"/>
      <sheetName val="UM_yg_blm_dSPJkan4"/>
      <sheetName val="Sheet1_(2)4"/>
      <sheetName val="Retail_Spider4"/>
      <sheetName val="Set-Up_Jan-July4"/>
      <sheetName val="Set-Up_Aug-Dec4"/>
      <sheetName val="PAK_EKO3"/>
      <sheetName val="Rekap_Direct_Cost2"/>
      <sheetName val="List_Values4"/>
      <sheetName val="OPNAME_GOOD_STOCK4"/>
      <sheetName val="OPNAME_SALES4"/>
      <sheetName val="IS_4"/>
      <sheetName val="AA_1_1_BNI4"/>
      <sheetName val="Gb_Link_Requirement4"/>
      <sheetName val="Kertas_kerja_dan_lap__keuangan3"/>
      <sheetName val="Fin_Acc_ACT_20053"/>
      <sheetName val="1999_actuals2"/>
      <sheetName val="BIAYA_GABUNGAN2"/>
      <sheetName val="KK__Neraca_&amp;_RL_individu2"/>
      <sheetName val="OTHER_INCOME_&amp;_BY_PERDIVISI2"/>
      <sheetName val="Report_In_Log_Perdepo2"/>
      <sheetName val="Bal_Sheet2"/>
      <sheetName val="OPNAME_BAD_STOCK2"/>
      <sheetName val="Co__058-Adelaide2"/>
      <sheetName val="tabel_nilai2"/>
      <sheetName val="TRANP_BIBIT2"/>
      <sheetName val="Source_Data2"/>
      <sheetName val="Lamp_1(NRC)ok02012"/>
      <sheetName val="Index_(VH)2"/>
      <sheetName val="Rencana_2018-2022_Expensess2"/>
      <sheetName val="REKAP_RINCIAN2"/>
      <sheetName val="Defn_Phase_Tonnes_&amp;_Volumes2"/>
      <sheetName val="LKT_-_HL2"/>
      <sheetName val="LKT_-_HS2"/>
      <sheetName val="LIST_IAF_MF2"/>
      <sheetName val="IPK_Sem120142"/>
      <sheetName val="PRD_01-32"/>
      <sheetName val="NERKON_7"/>
      <sheetName val="PLL_7"/>
      <sheetName val="AL-BTL_KK_(2)7"/>
      <sheetName val="BTL__7"/>
      <sheetName val="HUT_7"/>
      <sheetName val="pph_7"/>
      <sheetName val="HB_7"/>
      <sheetName val="DAF_ISI7"/>
      <sheetName val="COVER_7"/>
      <sheetName val="Permanent_info7"/>
      <sheetName val="Rpt13_Oth6"/>
      <sheetName val="Oct_036"/>
      <sheetName val="RM_COSTS6"/>
      <sheetName val="PL-Invst_Pty6"/>
      <sheetName val="General_Info6"/>
      <sheetName val="3__Neraca_dan_RL6"/>
      <sheetName val="Supplementary_MR6"/>
      <sheetName val="HARGA_MATERIAL6"/>
      <sheetName val="DATA_WP6"/>
      <sheetName val="Sandi_laba_rugi6"/>
      <sheetName val="Summary_Data6"/>
      <sheetName val="PBT_BY_MARKET6"/>
      <sheetName val="Detail_Piutang5"/>
      <sheetName val="Pg_4-8_-_Detail_P&amp;L_(FC04)5"/>
      <sheetName val="Jan_2000_Award_%5"/>
      <sheetName val="ROSS_LIST5"/>
      <sheetName val="P_8_2_1036_Depot5"/>
      <sheetName val="VAT_out5"/>
      <sheetName val="Int-Scheme_I5"/>
      <sheetName val="File_references5"/>
      <sheetName val="trf_multiple5"/>
      <sheetName val="trfakt_sgl5"/>
      <sheetName val="Rpt2__NR5"/>
      <sheetName val="Indexing_(Hide)5"/>
      <sheetName val="Profit_&amp;_Loss5"/>
      <sheetName val="PENDING_PO_&amp;_LC5"/>
      <sheetName val="KKP-II_2_2_1_25"/>
      <sheetName val="Laba_rugi_Asli5"/>
      <sheetName val="Neraca_Asli5"/>
      <sheetName val="FE-1771$_P15"/>
      <sheetName val="RL_NIS5"/>
      <sheetName val="Gaji_pokok_+_tunjangan_tetap'06"/>
      <sheetName val="UM_yg_blm_dSPJkan5"/>
      <sheetName val="Sheet1_(2)5"/>
      <sheetName val="Retail_Spider5"/>
      <sheetName val="Set-Up_Jan-July5"/>
      <sheetName val="Set-Up_Aug-Dec5"/>
      <sheetName val="PAK_EKO4"/>
      <sheetName val="Rekap_Direct_Cost3"/>
      <sheetName val="List_Values5"/>
      <sheetName val="OPNAME_GOOD_STOCK5"/>
      <sheetName val="OPNAME_SALES5"/>
      <sheetName val="IS_5"/>
      <sheetName val="AA_1_1_BNI5"/>
      <sheetName val="Gb_Link_Requirement5"/>
      <sheetName val="Kertas_kerja_dan_lap__keuangan4"/>
      <sheetName val="Fin_Acc_ACT_20054"/>
      <sheetName val="1999_actuals3"/>
      <sheetName val="BIAYA_GABUNGAN3"/>
      <sheetName val="KK__Neraca_&amp;_RL_individu3"/>
      <sheetName val="OTHER_INCOME_&amp;_BY_PERDIVISI3"/>
      <sheetName val="Report_In_Log_Perdepo3"/>
      <sheetName val="Bal_Sheet3"/>
      <sheetName val="OPNAME_BAD_STOCK3"/>
      <sheetName val="Co__058-Adelaide3"/>
      <sheetName val="tabel_nilai3"/>
      <sheetName val="TRANP_BIBIT3"/>
      <sheetName val="Source_Data3"/>
      <sheetName val="Lamp_1(NRC)ok02013"/>
      <sheetName val="Index_(VH)3"/>
      <sheetName val="Rencana_2018-2022_Expensess3"/>
      <sheetName val="REKAP_RINCIAN3"/>
      <sheetName val="Defn_Phase_Tonnes_&amp;_Volumes3"/>
      <sheetName val="LKT_-_HL3"/>
      <sheetName val="LKT_-_HS3"/>
      <sheetName val="LIST_IAF_MF3"/>
      <sheetName val="IPK_Sem120143"/>
      <sheetName val="PRD_01-33"/>
      <sheetName val="NERKON_9"/>
      <sheetName val="PLL_9"/>
      <sheetName val="AL-BTL_KK_(2)9"/>
      <sheetName val="BTL__9"/>
      <sheetName val="HUT_9"/>
      <sheetName val="pph_9"/>
      <sheetName val="HB_9"/>
      <sheetName val="DAF_ISI9"/>
      <sheetName val="COVER_9"/>
      <sheetName val="Permanent_info9"/>
      <sheetName val="Rpt13_Oth8"/>
      <sheetName val="Oct_038"/>
      <sheetName val="RM_COSTS8"/>
      <sheetName val="PL-Invst_Pty8"/>
      <sheetName val="General_Info8"/>
      <sheetName val="3__Neraca_dan_RL8"/>
      <sheetName val="Supplementary_MR8"/>
      <sheetName val="HARGA_MATERIAL8"/>
      <sheetName val="DATA_WP8"/>
      <sheetName val="Sandi_laba_rugi8"/>
      <sheetName val="Summary_Data8"/>
      <sheetName val="PBT_BY_MARKET8"/>
      <sheetName val="Detail_Piutang7"/>
      <sheetName val="Pg_4-8_-_Detail_P&amp;L_(FC04)7"/>
      <sheetName val="Jan_2000_Award_%7"/>
      <sheetName val="ROSS_LIST7"/>
      <sheetName val="P_8_2_1036_Depot7"/>
      <sheetName val="VAT_out7"/>
      <sheetName val="Int-Scheme_I7"/>
      <sheetName val="File_references7"/>
      <sheetName val="trf_multiple7"/>
      <sheetName val="trfakt_sgl7"/>
      <sheetName val="Rpt2__NR7"/>
      <sheetName val="Indexing_(Hide)7"/>
      <sheetName val="Profit_&amp;_Loss7"/>
      <sheetName val="PENDING_PO_&amp;_LC7"/>
      <sheetName val="KKP-II_2_2_1_27"/>
      <sheetName val="Laba_rugi_Asli7"/>
      <sheetName val="Neraca_Asli7"/>
      <sheetName val="FE-1771$_P17"/>
      <sheetName val="RL_NIS7"/>
      <sheetName val="Gaji_pokok_+_tunjangan_tetap'08"/>
      <sheetName val="UM_yg_blm_dSPJkan7"/>
      <sheetName val="Sheet1_(2)7"/>
      <sheetName val="Retail_Spider7"/>
      <sheetName val="Set-Up_Jan-July7"/>
      <sheetName val="Set-Up_Aug-Dec7"/>
      <sheetName val="PAK_EKO6"/>
      <sheetName val="Rekap_Direct_Cost5"/>
      <sheetName val="List_Values7"/>
      <sheetName val="OPNAME_GOOD_STOCK7"/>
      <sheetName val="OPNAME_SALES7"/>
      <sheetName val="IS_7"/>
      <sheetName val="AA_1_1_BNI7"/>
      <sheetName val="Gb_Link_Requirement7"/>
      <sheetName val="Kertas_kerja_dan_lap__keuangan6"/>
      <sheetName val="Fin_Acc_ACT_20056"/>
      <sheetName val="1999_actuals5"/>
      <sheetName val="BIAYA_GABUNGAN5"/>
      <sheetName val="KK__Neraca_&amp;_RL_individu5"/>
      <sheetName val="OTHER_INCOME_&amp;_BY_PERDIVISI5"/>
      <sheetName val="Report_In_Log_Perdepo5"/>
      <sheetName val="Bal_Sheet5"/>
      <sheetName val="OPNAME_BAD_STOCK5"/>
      <sheetName val="Co__058-Adelaide5"/>
      <sheetName val="tabel_nilai5"/>
      <sheetName val="TRANP_BIBIT5"/>
      <sheetName val="Source_Data5"/>
      <sheetName val="Lamp_1(NRC)ok02015"/>
      <sheetName val="Index_(VH)5"/>
      <sheetName val="Rencana_2018-2022_Expensess5"/>
      <sheetName val="REKAP_RINCIAN5"/>
      <sheetName val="Defn_Phase_Tonnes_&amp;_Volumes5"/>
      <sheetName val="LKT_-_HL5"/>
      <sheetName val="LKT_-_HS5"/>
      <sheetName val="LIST_IAF_MF5"/>
      <sheetName val="IPK_Sem120145"/>
      <sheetName val="PRD_01-35"/>
      <sheetName val="NERKON_8"/>
      <sheetName val="PLL_8"/>
      <sheetName val="AL-BTL_KK_(2)8"/>
      <sheetName val="BTL__8"/>
      <sheetName val="HUT_8"/>
      <sheetName val="pph_8"/>
      <sheetName val="HB_8"/>
      <sheetName val="DAF_ISI8"/>
      <sheetName val="COVER_8"/>
      <sheetName val="Permanent_info8"/>
      <sheetName val="Rpt13_Oth7"/>
      <sheetName val="Oct_037"/>
      <sheetName val="RM_COSTS7"/>
      <sheetName val="PL-Invst_Pty7"/>
      <sheetName val="General_Info7"/>
      <sheetName val="3__Neraca_dan_RL7"/>
      <sheetName val="Supplementary_MR7"/>
      <sheetName val="HARGA_MATERIAL7"/>
      <sheetName val="DATA_WP7"/>
      <sheetName val="Sandi_laba_rugi7"/>
      <sheetName val="Summary_Data7"/>
      <sheetName val="PBT_BY_MARKET7"/>
      <sheetName val="Detail_Piutang6"/>
      <sheetName val="Pg_4-8_-_Detail_P&amp;L_(FC04)6"/>
      <sheetName val="Jan_2000_Award_%6"/>
      <sheetName val="ROSS_LIST6"/>
      <sheetName val="P_8_2_1036_Depot6"/>
      <sheetName val="VAT_out6"/>
      <sheetName val="Int-Scheme_I6"/>
      <sheetName val="File_references6"/>
      <sheetName val="trf_multiple6"/>
      <sheetName val="trfakt_sgl6"/>
      <sheetName val="Rpt2__NR6"/>
      <sheetName val="Indexing_(Hide)6"/>
      <sheetName val="Profit_&amp;_Loss6"/>
      <sheetName val="PENDING_PO_&amp;_LC6"/>
      <sheetName val="KKP-II_2_2_1_26"/>
      <sheetName val="Laba_rugi_Asli6"/>
      <sheetName val="Neraca_Asli6"/>
      <sheetName val="FE-1771$_P16"/>
      <sheetName val="RL_NIS6"/>
      <sheetName val="Gaji_pokok_+_tunjangan_tetap'07"/>
      <sheetName val="UM_yg_blm_dSPJkan6"/>
      <sheetName val="Sheet1_(2)6"/>
      <sheetName val="Retail_Spider6"/>
      <sheetName val="Set-Up_Jan-July6"/>
      <sheetName val="Set-Up_Aug-Dec6"/>
      <sheetName val="PAK_EKO5"/>
      <sheetName val="Rekap_Direct_Cost4"/>
      <sheetName val="List_Values6"/>
      <sheetName val="OPNAME_GOOD_STOCK6"/>
      <sheetName val="OPNAME_SALES6"/>
      <sheetName val="IS_6"/>
      <sheetName val="AA_1_1_BNI6"/>
      <sheetName val="Gb_Link_Requirement6"/>
      <sheetName val="Kertas_kerja_dan_lap__keuangan5"/>
      <sheetName val="Fin_Acc_ACT_20055"/>
      <sheetName val="1999_actuals4"/>
      <sheetName val="BIAYA_GABUNGAN4"/>
      <sheetName val="KK__Neraca_&amp;_RL_individu4"/>
      <sheetName val="OTHER_INCOME_&amp;_BY_PERDIVISI4"/>
      <sheetName val="Report_In_Log_Perdepo4"/>
      <sheetName val="Bal_Sheet4"/>
      <sheetName val="OPNAME_BAD_STOCK4"/>
      <sheetName val="Co__058-Adelaide4"/>
      <sheetName val="tabel_nilai4"/>
      <sheetName val="TRANP_BIBIT4"/>
      <sheetName val="Source_Data4"/>
      <sheetName val="Lamp_1(NRC)ok02014"/>
      <sheetName val="Index_(VH)4"/>
      <sheetName val="Rencana_2018-2022_Expensess4"/>
      <sheetName val="REKAP_RINCIAN4"/>
      <sheetName val="Defn_Phase_Tonnes_&amp;_Volumes4"/>
      <sheetName val="LKT_-_HL4"/>
      <sheetName val="LKT_-_HS4"/>
      <sheetName val="LIST_IAF_MF4"/>
      <sheetName val="IPK_Sem120144"/>
      <sheetName val="PRD_01-34"/>
      <sheetName val="NERKON_10"/>
      <sheetName val="PLL_10"/>
      <sheetName val="AL-BTL_KK_(2)10"/>
      <sheetName val="BTL__10"/>
      <sheetName val="HUT_10"/>
      <sheetName val="pph_10"/>
      <sheetName val="HB_10"/>
      <sheetName val="DAF_ISI10"/>
      <sheetName val="COVER_10"/>
      <sheetName val="Permanent_info10"/>
      <sheetName val="Rpt13_Oth9"/>
      <sheetName val="Oct_039"/>
      <sheetName val="RM_COSTS9"/>
      <sheetName val="PL-Invst_Pty9"/>
      <sheetName val="General_Info9"/>
      <sheetName val="3__Neraca_dan_RL9"/>
      <sheetName val="Supplementary_MR9"/>
      <sheetName val="HARGA_MATERIAL9"/>
      <sheetName val="DATA_WP9"/>
      <sheetName val="Sandi_laba_rugi9"/>
      <sheetName val="Summary_Data9"/>
      <sheetName val="PBT_BY_MARKET9"/>
      <sheetName val="Detail_Piutang8"/>
      <sheetName val="Pg_4-8_-_Detail_P&amp;L_(FC04)8"/>
      <sheetName val="Jan_2000_Award_%8"/>
      <sheetName val="ROSS_LIST8"/>
      <sheetName val="P_8_2_1036_Depot8"/>
      <sheetName val="VAT_out8"/>
      <sheetName val="Int-Scheme_I8"/>
      <sheetName val="File_references8"/>
      <sheetName val="trf_multiple8"/>
      <sheetName val="trfakt_sgl8"/>
      <sheetName val="Rpt2__NR8"/>
      <sheetName val="Indexing_(Hide)8"/>
      <sheetName val="Profit_&amp;_Loss8"/>
      <sheetName val="PENDING_PO_&amp;_LC8"/>
      <sheetName val="KKP-II_2_2_1_28"/>
      <sheetName val="Laba_rugi_Asli8"/>
      <sheetName val="Neraca_Asli8"/>
      <sheetName val="FE-1771$_P18"/>
      <sheetName val="RL_NIS8"/>
      <sheetName val="Gaji_pokok_+_tunjangan_tetap'09"/>
      <sheetName val="UM_yg_blm_dSPJkan8"/>
      <sheetName val="Sheet1_(2)8"/>
      <sheetName val="Retail_Spider8"/>
      <sheetName val="Set-Up_Jan-July8"/>
      <sheetName val="Set-Up_Aug-Dec8"/>
      <sheetName val="PAK_EKO7"/>
      <sheetName val="Rekap_Direct_Cost6"/>
      <sheetName val="List_Values8"/>
      <sheetName val="OPNAME_GOOD_STOCK8"/>
      <sheetName val="OPNAME_SALES8"/>
      <sheetName val="IS_8"/>
      <sheetName val="AA_1_1_BNI8"/>
      <sheetName val="Gb_Link_Requirement8"/>
      <sheetName val="Kertas_kerja_dan_lap__keuangan7"/>
      <sheetName val="Fin_Acc_ACT_20057"/>
      <sheetName val="1999_actuals6"/>
      <sheetName val="BIAYA_GABUNGAN6"/>
      <sheetName val="KK__Neraca_&amp;_RL_individu6"/>
      <sheetName val="OTHER_INCOME_&amp;_BY_PERDIVISI6"/>
      <sheetName val="Report_In_Log_Perdepo6"/>
      <sheetName val="Bal_Sheet6"/>
      <sheetName val="OPNAME_BAD_STOCK6"/>
      <sheetName val="Co__058-Adelaide6"/>
      <sheetName val="tabel_nilai6"/>
      <sheetName val="TRANP_BIBIT6"/>
      <sheetName val="Source_Data6"/>
      <sheetName val="Lamp_1(NRC)ok02016"/>
      <sheetName val="Index_(VH)6"/>
      <sheetName val="Rencana_2018-2022_Expensess6"/>
      <sheetName val="REKAP_RINCIAN6"/>
      <sheetName val="Defn_Phase_Tonnes_&amp;_Volumes6"/>
      <sheetName val="LKT_-_HL6"/>
      <sheetName val="LKT_-_HS6"/>
      <sheetName val="LIST_IAF_MF6"/>
      <sheetName val="IPK_Sem120146"/>
      <sheetName val="PRD_01-36"/>
      <sheetName val="NERKON_11"/>
      <sheetName val="PLL_11"/>
      <sheetName val="AL-BTL_KK_(2)11"/>
      <sheetName val="BTL__11"/>
      <sheetName val="HUT_11"/>
      <sheetName val="pph_11"/>
      <sheetName val="HB_11"/>
      <sheetName val="DAF_ISI11"/>
      <sheetName val="COVER_11"/>
      <sheetName val="Permanent_info11"/>
      <sheetName val="Rpt13_Oth10"/>
      <sheetName val="Oct_0310"/>
      <sheetName val="RM_COSTS10"/>
      <sheetName val="PL-Invst_Pty10"/>
      <sheetName val="General_Info10"/>
      <sheetName val="3__Neraca_dan_RL10"/>
      <sheetName val="Supplementary_MR10"/>
      <sheetName val="HARGA_MATERIAL10"/>
      <sheetName val="DATA_WP10"/>
      <sheetName val="Sandi_laba_rugi10"/>
      <sheetName val="Summary_Data10"/>
      <sheetName val="PBT_BY_MARKET10"/>
      <sheetName val="Detail_Piutang9"/>
      <sheetName val="Pg_4-8_-_Detail_P&amp;L_(FC04)9"/>
      <sheetName val="Jan_2000_Award_%9"/>
      <sheetName val="ROSS_LIST9"/>
      <sheetName val="P_8_2_1036_Depot9"/>
      <sheetName val="VAT_out9"/>
      <sheetName val="Int-Scheme_I9"/>
      <sheetName val="File_references9"/>
      <sheetName val="trf_multiple9"/>
      <sheetName val="trfakt_sgl9"/>
      <sheetName val="Rpt2__NR9"/>
      <sheetName val="Indexing_(Hide)9"/>
      <sheetName val="Profit_&amp;_Loss9"/>
      <sheetName val="PENDING_PO_&amp;_LC9"/>
      <sheetName val="KKP-II_2_2_1_29"/>
      <sheetName val="Laba_rugi_Asli9"/>
      <sheetName val="Neraca_Asli9"/>
      <sheetName val="FE-1771$_P19"/>
      <sheetName val="RL_NIS9"/>
      <sheetName val="Gaji_pokok_+_tunjangan_tetap'10"/>
      <sheetName val="UM_yg_blm_dSPJkan9"/>
      <sheetName val="Sheet1_(2)9"/>
      <sheetName val="Retail_Spider9"/>
      <sheetName val="Set-Up_Jan-July9"/>
      <sheetName val="Set-Up_Aug-Dec9"/>
      <sheetName val="PAK_EKO8"/>
      <sheetName val="Rekap_Direct_Cost7"/>
      <sheetName val="List_Values9"/>
      <sheetName val="OPNAME_GOOD_STOCK9"/>
      <sheetName val="OPNAME_SALES9"/>
      <sheetName val="IS_9"/>
      <sheetName val="AA_1_1_BNI9"/>
      <sheetName val="Gb_Link_Requirement9"/>
      <sheetName val="Kertas_kerja_dan_lap__keuangan8"/>
      <sheetName val="Fin_Acc_ACT_20058"/>
      <sheetName val="1999_actuals7"/>
      <sheetName val="BIAYA_GABUNGAN7"/>
      <sheetName val="KK__Neraca_&amp;_RL_individu7"/>
      <sheetName val="OTHER_INCOME_&amp;_BY_PERDIVISI7"/>
      <sheetName val="Report_In_Log_Perdepo7"/>
      <sheetName val="Bal_Sheet7"/>
      <sheetName val="OPNAME_BAD_STOCK7"/>
      <sheetName val="Co__058-Adelaide7"/>
      <sheetName val="tabel_nilai7"/>
      <sheetName val="TRANP_BIBIT7"/>
      <sheetName val="Source_Data7"/>
      <sheetName val="Lamp_1(NRC)ok02017"/>
      <sheetName val="Index_(VH)7"/>
      <sheetName val="Rencana_2018-2022_Expensess7"/>
      <sheetName val="REKAP_RINCIAN7"/>
      <sheetName val="Defn_Phase_Tonnes_&amp;_Volumes7"/>
      <sheetName val="LKT_-_HL7"/>
      <sheetName val="LKT_-_HS7"/>
      <sheetName val="LIST_IAF_MF7"/>
      <sheetName val="IPK_Sem120147"/>
      <sheetName val="PRD_01-37"/>
      <sheetName val="NERKON_13"/>
      <sheetName val="PLL_13"/>
      <sheetName val="AL-BTL_KK_(2)13"/>
      <sheetName val="BTL__13"/>
      <sheetName val="HUT_13"/>
      <sheetName val="pph_13"/>
      <sheetName val="HB_13"/>
      <sheetName val="DAF_ISI13"/>
      <sheetName val="COVER_13"/>
      <sheetName val="Permanent_info13"/>
      <sheetName val="Rpt13_Oth12"/>
      <sheetName val="Oct_0312"/>
      <sheetName val="RM_COSTS12"/>
      <sheetName val="PL-Invst_Pty12"/>
      <sheetName val="General_Info12"/>
      <sheetName val="3__Neraca_dan_RL12"/>
      <sheetName val="Supplementary_MR12"/>
      <sheetName val="HARGA_MATERIAL12"/>
      <sheetName val="DATA_WP12"/>
      <sheetName val="Sandi_laba_rugi12"/>
      <sheetName val="Summary_Data12"/>
      <sheetName val="PBT_BY_MARKET12"/>
      <sheetName val="Detail_Piutang11"/>
      <sheetName val="Pg_4-8_-_Detail_P&amp;L_(FC04)11"/>
      <sheetName val="Jan_2000_Award_%11"/>
      <sheetName val="ROSS_LIST11"/>
      <sheetName val="P_8_2_1036_Depot11"/>
      <sheetName val="VAT_out11"/>
      <sheetName val="Int-Scheme_I11"/>
      <sheetName val="File_references11"/>
      <sheetName val="trf_multiple11"/>
      <sheetName val="trfakt_sgl11"/>
      <sheetName val="Rpt2__NR11"/>
      <sheetName val="Indexing_(Hide)11"/>
      <sheetName val="Profit_&amp;_Loss11"/>
      <sheetName val="PENDING_PO_&amp;_LC11"/>
      <sheetName val="KKP-II_2_2_1_211"/>
      <sheetName val="Laba_rugi_Asli11"/>
      <sheetName val="Neraca_Asli11"/>
      <sheetName val="FE-1771$_P111"/>
      <sheetName val="RL_NIS11"/>
      <sheetName val="Gaji_pokok_+_tunjangan_tetap'12"/>
      <sheetName val="UM_yg_blm_dSPJkan11"/>
      <sheetName val="Sheet1_(2)11"/>
      <sheetName val="Retail_Spider11"/>
      <sheetName val="Set-Up_Jan-July11"/>
      <sheetName val="Set-Up_Aug-Dec11"/>
      <sheetName val="PAK_EKO10"/>
      <sheetName val="Rekap_Direct_Cost9"/>
      <sheetName val="List_Values11"/>
      <sheetName val="OPNAME_GOOD_STOCK11"/>
      <sheetName val="OPNAME_SALES11"/>
      <sheetName val="IS_11"/>
      <sheetName val="AA_1_1_BNI11"/>
      <sheetName val="Gb_Link_Requirement11"/>
      <sheetName val="Kertas_kerja_dan_lap__keuanga10"/>
      <sheetName val="Fin_Acc_ACT_200510"/>
      <sheetName val="1999_actuals9"/>
      <sheetName val="BIAYA_GABUNGAN9"/>
      <sheetName val="KK__Neraca_&amp;_RL_individu9"/>
      <sheetName val="OTHER_INCOME_&amp;_BY_PERDIVISI9"/>
      <sheetName val="Report_In_Log_Perdepo9"/>
      <sheetName val="Bal_Sheet9"/>
      <sheetName val="OPNAME_BAD_STOCK9"/>
      <sheetName val="Co__058-Adelaide9"/>
      <sheetName val="tabel_nilai9"/>
      <sheetName val="TRANP_BIBIT9"/>
      <sheetName val="Source_Data9"/>
      <sheetName val="Lamp_1(NRC)ok02019"/>
      <sheetName val="Index_(VH)9"/>
      <sheetName val="Rencana_2018-2022_Expensess9"/>
      <sheetName val="REKAP_RINCIAN9"/>
      <sheetName val="Defn_Phase_Tonnes_&amp;_Volumes9"/>
      <sheetName val="LKT_-_HL9"/>
      <sheetName val="LKT_-_HS9"/>
      <sheetName val="LIST_IAF_MF9"/>
      <sheetName val="IPK_Sem120149"/>
      <sheetName val="PRD_01-39"/>
      <sheetName val="NERKON_12"/>
      <sheetName val="PLL_12"/>
      <sheetName val="AL-BTL_KK_(2)12"/>
      <sheetName val="BTL__12"/>
      <sheetName val="HUT_12"/>
      <sheetName val="pph_12"/>
      <sheetName val="HB_12"/>
      <sheetName val="DAF_ISI12"/>
      <sheetName val="COVER_12"/>
      <sheetName val="Permanent_info12"/>
      <sheetName val="Rpt13_Oth11"/>
      <sheetName val="Oct_0311"/>
      <sheetName val="RM_COSTS11"/>
      <sheetName val="PL-Invst_Pty11"/>
      <sheetName val="General_Info11"/>
      <sheetName val="3__Neraca_dan_RL11"/>
      <sheetName val="Supplementary_MR11"/>
      <sheetName val="HARGA_MATERIAL11"/>
      <sheetName val="DATA_WP11"/>
      <sheetName val="Sandi_laba_rugi11"/>
      <sheetName val="Summary_Data11"/>
      <sheetName val="PBT_BY_MARKET11"/>
      <sheetName val="Detail_Piutang10"/>
      <sheetName val="Pg_4-8_-_Detail_P&amp;L_(FC04)10"/>
      <sheetName val="Jan_2000_Award_%10"/>
      <sheetName val="ROSS_LIST10"/>
      <sheetName val="P_8_2_1036_Depot10"/>
      <sheetName val="VAT_out10"/>
      <sheetName val="Int-Scheme_I10"/>
      <sheetName val="File_references10"/>
      <sheetName val="trf_multiple10"/>
      <sheetName val="trfakt_sgl10"/>
      <sheetName val="Rpt2__NR10"/>
      <sheetName val="Indexing_(Hide)10"/>
      <sheetName val="Profit_&amp;_Loss10"/>
      <sheetName val="PENDING_PO_&amp;_LC10"/>
      <sheetName val="KKP-II_2_2_1_210"/>
      <sheetName val="Laba_rugi_Asli10"/>
      <sheetName val="Neraca_Asli10"/>
      <sheetName val="FE-1771$_P110"/>
      <sheetName val="RL_NIS10"/>
      <sheetName val="Gaji_pokok_+_tunjangan_tetap'11"/>
      <sheetName val="UM_yg_blm_dSPJkan10"/>
      <sheetName val="Sheet1_(2)10"/>
      <sheetName val="Retail_Spider10"/>
      <sheetName val="Set-Up_Jan-July10"/>
      <sheetName val="Set-Up_Aug-Dec10"/>
      <sheetName val="PAK_EKO9"/>
      <sheetName val="Rekap_Direct_Cost8"/>
      <sheetName val="List_Values10"/>
      <sheetName val="OPNAME_GOOD_STOCK10"/>
      <sheetName val="OPNAME_SALES10"/>
      <sheetName val="IS_10"/>
      <sheetName val="AA_1_1_BNI10"/>
      <sheetName val="Gb_Link_Requirement10"/>
      <sheetName val="Kertas_kerja_dan_lap__keuangan9"/>
      <sheetName val="Fin_Acc_ACT_20059"/>
      <sheetName val="1999_actuals8"/>
      <sheetName val="BIAYA_GABUNGAN8"/>
      <sheetName val="KK__Neraca_&amp;_RL_individu8"/>
      <sheetName val="OTHER_INCOME_&amp;_BY_PERDIVISI8"/>
      <sheetName val="Report_In_Log_Perdepo8"/>
      <sheetName val="Bal_Sheet8"/>
      <sheetName val="OPNAME_BAD_STOCK8"/>
      <sheetName val="Co__058-Adelaide8"/>
      <sheetName val="tabel_nilai8"/>
      <sheetName val="TRANP_BIBIT8"/>
      <sheetName val="Source_Data8"/>
      <sheetName val="Lamp_1(NRC)ok02018"/>
      <sheetName val="Index_(VH)8"/>
      <sheetName val="Rencana_2018-2022_Expensess8"/>
      <sheetName val="REKAP_RINCIAN8"/>
      <sheetName val="Defn_Phase_Tonnes_&amp;_Volumes8"/>
      <sheetName val="LKT_-_HL8"/>
      <sheetName val="LKT_-_HS8"/>
      <sheetName val="LIST_IAF_MF8"/>
      <sheetName val="IPK_Sem120148"/>
      <sheetName val="PRD_01-38"/>
      <sheetName val="NERKON_15"/>
      <sheetName val="PLL_15"/>
      <sheetName val="AL-BTL_KK_(2)15"/>
      <sheetName val="BTL__15"/>
      <sheetName val="HUT_15"/>
      <sheetName val="pph_15"/>
      <sheetName val="HB_15"/>
      <sheetName val="DAF_ISI15"/>
      <sheetName val="COVER_15"/>
      <sheetName val="Permanent_info15"/>
      <sheetName val="Rpt13_Oth14"/>
      <sheetName val="Oct_0314"/>
      <sheetName val="RM_COSTS14"/>
      <sheetName val="PL-Invst_Pty14"/>
      <sheetName val="General_Info14"/>
      <sheetName val="3__Neraca_dan_RL14"/>
      <sheetName val="Supplementary_MR14"/>
      <sheetName val="HARGA_MATERIAL14"/>
      <sheetName val="DATA_WP14"/>
      <sheetName val="Sandi_laba_rugi14"/>
      <sheetName val="Summary_Data14"/>
      <sheetName val="PBT_BY_MARKET14"/>
      <sheetName val="Detail_Piutang13"/>
      <sheetName val="Pg_4-8_-_Detail_P&amp;L_(FC04)13"/>
      <sheetName val="Jan_2000_Award_%13"/>
      <sheetName val="ROSS_LIST13"/>
      <sheetName val="P_8_2_1036_Depot13"/>
      <sheetName val="VAT_out13"/>
      <sheetName val="Int-Scheme_I13"/>
      <sheetName val="File_references13"/>
      <sheetName val="trf_multiple13"/>
      <sheetName val="trfakt_sgl13"/>
      <sheetName val="Rpt2__NR13"/>
      <sheetName val="Indexing_(Hide)13"/>
      <sheetName val="Profit_&amp;_Loss13"/>
      <sheetName val="PENDING_PO_&amp;_LC13"/>
      <sheetName val="KKP-II_2_2_1_213"/>
      <sheetName val="Laba_rugi_Asli13"/>
      <sheetName val="Neraca_Asli13"/>
      <sheetName val="FE-1771$_P113"/>
      <sheetName val="RL_NIS13"/>
      <sheetName val="Gaji_pokok_+_tunjangan_tetap'14"/>
      <sheetName val="UM_yg_blm_dSPJkan13"/>
      <sheetName val="Sheet1_(2)13"/>
      <sheetName val="Retail_Spider13"/>
      <sheetName val="Set-Up_Jan-July13"/>
      <sheetName val="Set-Up_Aug-Dec13"/>
      <sheetName val="PAK_EKO12"/>
      <sheetName val="Rekap_Direct_Cost11"/>
      <sheetName val="List_Values13"/>
      <sheetName val="OPNAME_GOOD_STOCK13"/>
      <sheetName val="OPNAME_SALES13"/>
      <sheetName val="IS_13"/>
      <sheetName val="AA_1_1_BNI13"/>
      <sheetName val="Gb_Link_Requirement13"/>
      <sheetName val="Kertas_kerja_dan_lap__keuanga12"/>
      <sheetName val="Fin_Acc_ACT_200512"/>
      <sheetName val="1999_actuals11"/>
      <sheetName val="BIAYA_GABUNGAN11"/>
      <sheetName val="KK__Neraca_&amp;_RL_individu11"/>
      <sheetName val="OTHER_INCOME_&amp;_BY_PERDIVISI11"/>
      <sheetName val="Report_In_Log_Perdepo11"/>
      <sheetName val="Bal_Sheet11"/>
      <sheetName val="OPNAME_BAD_STOCK11"/>
      <sheetName val="Co__058-Adelaide11"/>
      <sheetName val="tabel_nilai11"/>
      <sheetName val="TRANP_BIBIT11"/>
      <sheetName val="Source_Data11"/>
      <sheetName val="Lamp_1(NRC)ok020111"/>
      <sheetName val="Index_(VH)11"/>
      <sheetName val="Rencana_2018-2022_Expensess11"/>
      <sheetName val="REKAP_RINCIAN11"/>
      <sheetName val="Defn_Phase_Tonnes_&amp;_Volumes11"/>
      <sheetName val="LKT_-_HL11"/>
      <sheetName val="LKT_-_HS11"/>
      <sheetName val="LIST_IAF_MF11"/>
      <sheetName val="IPK_Sem1201411"/>
      <sheetName val="PRD_01-311"/>
      <sheetName val="ELEMENT_SUM1"/>
      <sheetName val="NERKON_14"/>
      <sheetName val="PLL_14"/>
      <sheetName val="AL-BTL_KK_(2)14"/>
      <sheetName val="BTL__14"/>
      <sheetName val="HUT_14"/>
      <sheetName val="pph_14"/>
      <sheetName val="HB_14"/>
      <sheetName val="DAF_ISI14"/>
      <sheetName val="COVER_14"/>
      <sheetName val="Permanent_info14"/>
      <sheetName val="Rpt13_Oth13"/>
      <sheetName val="Oct_0313"/>
      <sheetName val="RM_COSTS13"/>
      <sheetName val="PL-Invst_Pty13"/>
      <sheetName val="General_Info13"/>
      <sheetName val="3__Neraca_dan_RL13"/>
      <sheetName val="Supplementary_MR13"/>
      <sheetName val="HARGA_MATERIAL13"/>
      <sheetName val="DATA_WP13"/>
      <sheetName val="Sandi_laba_rugi13"/>
      <sheetName val="Summary_Data13"/>
      <sheetName val="PBT_BY_MARKET13"/>
      <sheetName val="Detail_Piutang12"/>
      <sheetName val="Pg_4-8_-_Detail_P&amp;L_(FC04)12"/>
      <sheetName val="Jan_2000_Award_%12"/>
      <sheetName val="ROSS_LIST12"/>
      <sheetName val="P_8_2_1036_Depot12"/>
      <sheetName val="VAT_out12"/>
      <sheetName val="Int-Scheme_I12"/>
      <sheetName val="File_references12"/>
      <sheetName val="trf_multiple12"/>
      <sheetName val="trfakt_sgl12"/>
      <sheetName val="Rpt2__NR12"/>
      <sheetName val="Indexing_(Hide)12"/>
      <sheetName val="Profit_&amp;_Loss12"/>
      <sheetName val="PENDING_PO_&amp;_LC12"/>
      <sheetName val="KKP-II_2_2_1_212"/>
      <sheetName val="Laba_rugi_Asli12"/>
      <sheetName val="Neraca_Asli12"/>
      <sheetName val="FE-1771$_P112"/>
      <sheetName val="RL_NIS12"/>
      <sheetName val="Gaji_pokok_+_tunjangan_tetap'13"/>
      <sheetName val="UM_yg_blm_dSPJkan12"/>
      <sheetName val="Sheet1_(2)12"/>
      <sheetName val="Retail_Spider12"/>
      <sheetName val="Set-Up_Jan-July12"/>
      <sheetName val="Set-Up_Aug-Dec12"/>
      <sheetName val="PAK_EKO11"/>
      <sheetName val="Rekap_Direct_Cost10"/>
      <sheetName val="List_Values12"/>
      <sheetName val="OPNAME_GOOD_STOCK12"/>
      <sheetName val="OPNAME_SALES12"/>
      <sheetName val="IS_12"/>
      <sheetName val="AA_1_1_BNI12"/>
      <sheetName val="Gb_Link_Requirement12"/>
      <sheetName val="Kertas_kerja_dan_lap__keuanga11"/>
      <sheetName val="Fin_Acc_ACT_200511"/>
      <sheetName val="1999_actuals10"/>
      <sheetName val="BIAYA_GABUNGAN10"/>
      <sheetName val="KK__Neraca_&amp;_RL_individu10"/>
      <sheetName val="OTHER_INCOME_&amp;_BY_PERDIVISI10"/>
      <sheetName val="Report_In_Log_Perdepo10"/>
      <sheetName val="Bal_Sheet10"/>
      <sheetName val="OPNAME_BAD_STOCK10"/>
      <sheetName val="Co__058-Adelaide10"/>
      <sheetName val="tabel_nilai10"/>
      <sheetName val="TRANP_BIBIT10"/>
      <sheetName val="Source_Data10"/>
      <sheetName val="Lamp_1(NRC)ok020110"/>
      <sheetName val="Index_(VH)10"/>
      <sheetName val="Rencana_2018-2022_Expensess10"/>
      <sheetName val="REKAP_RINCIAN10"/>
      <sheetName val="Defn_Phase_Tonnes_&amp;_Volumes10"/>
      <sheetName val="LKT_-_HL10"/>
      <sheetName val="LKT_-_HS10"/>
      <sheetName val="LIST_IAF_MF10"/>
      <sheetName val="IPK_Sem1201410"/>
      <sheetName val="PRD_01-310"/>
      <sheetName val="ELEMENT_SUM"/>
      <sheetName val="NERKON_16"/>
      <sheetName val="PLL_16"/>
      <sheetName val="AL-BTL_KK_(2)16"/>
      <sheetName val="BTL__16"/>
      <sheetName val="HUT_16"/>
      <sheetName val="pph_16"/>
      <sheetName val="HB_16"/>
      <sheetName val="DAF_ISI16"/>
      <sheetName val="COVER_16"/>
      <sheetName val="Permanent_info16"/>
      <sheetName val="Rpt13_Oth15"/>
      <sheetName val="Oct_0315"/>
      <sheetName val="RM_COSTS15"/>
      <sheetName val="PL-Invst_Pty15"/>
      <sheetName val="General_Info15"/>
      <sheetName val="3__Neraca_dan_RL15"/>
      <sheetName val="Supplementary_MR15"/>
      <sheetName val="HARGA_MATERIAL15"/>
      <sheetName val="DATA_WP15"/>
      <sheetName val="Sandi_laba_rugi15"/>
      <sheetName val="Summary_Data15"/>
      <sheetName val="PBT_BY_MARKET15"/>
      <sheetName val="Detail_Piutang14"/>
      <sheetName val="Pg_4-8_-_Detail_P&amp;L_(FC04)14"/>
      <sheetName val="Jan_2000_Award_%14"/>
      <sheetName val="ROSS_LIST14"/>
      <sheetName val="P_8_2_1036_Depot14"/>
      <sheetName val="VAT_out14"/>
      <sheetName val="Int-Scheme_I14"/>
      <sheetName val="File_references14"/>
      <sheetName val="trf_multiple14"/>
      <sheetName val="trfakt_sgl14"/>
      <sheetName val="Rpt2__NR14"/>
      <sheetName val="Indexing_(Hide)14"/>
      <sheetName val="Profit_&amp;_Loss14"/>
      <sheetName val="PENDING_PO_&amp;_LC14"/>
      <sheetName val="KKP-II_2_2_1_214"/>
      <sheetName val="Laba_rugi_Asli14"/>
      <sheetName val="Neraca_Asli14"/>
      <sheetName val="FE-1771$_P114"/>
      <sheetName val="RL_NIS14"/>
      <sheetName val="Gaji_pokok_+_tunjangan_tetap'15"/>
      <sheetName val="UM_yg_blm_dSPJkan14"/>
      <sheetName val="Sheet1_(2)14"/>
      <sheetName val="Retail_Spider14"/>
      <sheetName val="Set-Up_Jan-July14"/>
      <sheetName val="Set-Up_Aug-Dec14"/>
      <sheetName val="PAK_EKO13"/>
      <sheetName val="Rekap_Direct_Cost12"/>
      <sheetName val="List_Values14"/>
      <sheetName val="OPNAME_GOOD_STOCK14"/>
      <sheetName val="OPNAME_SALES14"/>
      <sheetName val="IS_14"/>
      <sheetName val="AA_1_1_BNI14"/>
      <sheetName val="Gb_Link_Requirement14"/>
      <sheetName val="Kertas_kerja_dan_lap__keuanga13"/>
      <sheetName val="Fin_Acc_ACT_200513"/>
      <sheetName val="1999_actuals12"/>
      <sheetName val="BIAYA_GABUNGAN12"/>
      <sheetName val="KK__Neraca_&amp;_RL_individu12"/>
      <sheetName val="OTHER_INCOME_&amp;_BY_PERDIVISI12"/>
      <sheetName val="Report_In_Log_Perdepo12"/>
      <sheetName val="Bal_Sheet12"/>
      <sheetName val="OPNAME_BAD_STOCK12"/>
      <sheetName val="Co__058-Adelaide12"/>
      <sheetName val="tabel_nilai12"/>
      <sheetName val="TRANP_BIBIT12"/>
      <sheetName val="Source_Data12"/>
      <sheetName val="Lamp_1(NRC)ok020112"/>
      <sheetName val="Index_(VH)12"/>
      <sheetName val="Rencana_2018-2022_Expensess12"/>
      <sheetName val="REKAP_RINCIAN12"/>
      <sheetName val="Defn_Phase_Tonnes_&amp;_Volumes12"/>
      <sheetName val="LKT_-_HL12"/>
      <sheetName val="LKT_-_HS12"/>
      <sheetName val="LIST_IAF_MF12"/>
      <sheetName val="IPK_Sem1201412"/>
      <sheetName val="PRD_01-312"/>
      <sheetName val="NERKON_17"/>
      <sheetName val="PLL_17"/>
      <sheetName val="AL-BTL_KK_(2)17"/>
      <sheetName val="BTL__17"/>
      <sheetName val="HUT_17"/>
      <sheetName val="pph_17"/>
      <sheetName val="HB_17"/>
      <sheetName val="DAF_ISI17"/>
      <sheetName val="COVER_17"/>
      <sheetName val="Permanent_info17"/>
      <sheetName val="Rpt13_Oth16"/>
      <sheetName val="Oct_0316"/>
      <sheetName val="RM_COSTS16"/>
      <sheetName val="PL-Invst_Pty16"/>
      <sheetName val="General_Info16"/>
      <sheetName val="3__Neraca_dan_RL16"/>
      <sheetName val="Supplementary_MR16"/>
      <sheetName val="HARGA_MATERIAL16"/>
      <sheetName val="DATA_WP16"/>
      <sheetName val="Sandi_laba_rugi16"/>
      <sheetName val="Summary_Data16"/>
      <sheetName val="PBT_BY_MARKET16"/>
      <sheetName val="Detail_Piutang15"/>
      <sheetName val="Pg_4-8_-_Detail_P&amp;L_(FC04)15"/>
      <sheetName val="Jan_2000_Award_%15"/>
      <sheetName val="ROSS_LIST15"/>
      <sheetName val="P_8_2_1036_Depot15"/>
      <sheetName val="VAT_out15"/>
      <sheetName val="Int-Scheme_I15"/>
      <sheetName val="File_references15"/>
      <sheetName val="trf_multiple15"/>
      <sheetName val="trfakt_sgl15"/>
      <sheetName val="Rpt2__NR15"/>
      <sheetName val="Indexing_(Hide)15"/>
      <sheetName val="Profit_&amp;_Loss15"/>
      <sheetName val="PENDING_PO_&amp;_LC15"/>
      <sheetName val="KKP-II_2_2_1_215"/>
      <sheetName val="Laba_rugi_Asli15"/>
      <sheetName val="Neraca_Asli15"/>
      <sheetName val="FE-1771$_P115"/>
      <sheetName val="RL_NIS15"/>
      <sheetName val="Gaji_pokok_+_tunjangan_tetap'16"/>
      <sheetName val="UM_yg_blm_dSPJkan15"/>
      <sheetName val="Sheet1_(2)15"/>
      <sheetName val="Retail_Spider15"/>
      <sheetName val="Set-Up_Jan-July15"/>
      <sheetName val="Set-Up_Aug-Dec15"/>
      <sheetName val="PAK_EKO14"/>
      <sheetName val="Rekap_Direct_Cost13"/>
      <sheetName val="List_Values15"/>
      <sheetName val="OPNAME_GOOD_STOCK15"/>
      <sheetName val="OPNAME_SALES15"/>
      <sheetName val="IS_15"/>
      <sheetName val="AA_1_1_BNI15"/>
      <sheetName val="Gb_Link_Requirement15"/>
      <sheetName val="Kertas_kerja_dan_lap__keuanga14"/>
      <sheetName val="Fin_Acc_ACT_200514"/>
      <sheetName val="1999_actuals13"/>
      <sheetName val="BIAYA_GABUNGAN13"/>
      <sheetName val="KK__Neraca_&amp;_RL_individu13"/>
      <sheetName val="OTHER_INCOME_&amp;_BY_PERDIVISI13"/>
      <sheetName val="Report_In_Log_Perdepo13"/>
      <sheetName val="Bal_Sheet13"/>
      <sheetName val="OPNAME_BAD_STOCK13"/>
      <sheetName val="Co__058-Adelaide13"/>
      <sheetName val="tabel_nilai13"/>
      <sheetName val="TRANP_BIBIT13"/>
      <sheetName val="Source_Data13"/>
      <sheetName val="Lamp_1(NRC)ok020113"/>
      <sheetName val="Index_(VH)13"/>
      <sheetName val="Rencana_2018-2022_Expensess13"/>
      <sheetName val="REKAP_RINCIAN13"/>
      <sheetName val="Defn_Phase_Tonnes_&amp;_Volumes13"/>
      <sheetName val="LKT_-_HL13"/>
      <sheetName val="LKT_-_HS13"/>
      <sheetName val="LIST_IAF_MF13"/>
      <sheetName val="IPK_Sem1201413"/>
      <sheetName val="PRD_01-313"/>
      <sheetName val="REQDELTA"/>
      <sheetName val="Lap &lt;jual&gt; Gj 11"/>
      <sheetName val="General"/>
      <sheetName val="IOB P&amp;L-PBC"/>
      <sheetName val="Worksheet-03"/>
      <sheetName val="AnAlat"/>
      <sheetName val="cons workpapers"/>
      <sheetName val="bialangsung"/>
      <sheetName val="equity of abacus"/>
      <sheetName val="PRD01-1"/>
      <sheetName val="Ranges"/>
      <sheetName val="igp_alt4"/>
      <sheetName val="CALCULATIONS"/>
      <sheetName val="Daf. Upah &amp; Bah"/>
      <sheetName val="OLDMAP"/>
      <sheetName val="FINISHING"/>
      <sheetName val="LAMP_2.2"/>
      <sheetName val="VOL_1"/>
      <sheetName val="Rkp"/>
      <sheetName val="hsat-SD"/>
      <sheetName val="an-satuan"/>
      <sheetName val="H-Dasar"/>
      <sheetName val="rate-alat"/>
      <sheetName val="Material&amp;Upah"/>
      <sheetName val="DBKoef"/>
      <sheetName val="7.PEK-STRUKTUR"/>
      <sheetName val="rms remunerasi"/>
      <sheetName val="TL"/>
      <sheetName val="UPH"/>
      <sheetName val="MAPP"/>
      <sheetName val="Alat tanah dan Struktur (10-05)"/>
      <sheetName val="Alat tanah dan Struktur (03-09)"/>
      <sheetName val="Rkp1"/>
      <sheetName val="hardas"/>
      <sheetName val="data (2)"/>
      <sheetName val="GP-WB"/>
      <sheetName val="railing"/>
      <sheetName val="escon"/>
      <sheetName val="HS-DASAR"/>
      <sheetName val="bd"/>
      <sheetName val="Plumbing"/>
      <sheetName val="B1 Data"/>
      <sheetName val="TOTAL UPAH"/>
      <sheetName val="anal"/>
      <sheetName val="ANTEK"/>
      <sheetName val="DKH"/>
      <sheetName val="S-Curve"/>
      <sheetName val="bahan"/>
      <sheetName val="Stay Cable PDMR2"/>
      <sheetName val="PriceList"/>
      <sheetName val="Hargamat"/>
      <sheetName val="PROD"/>
      <sheetName val="DATA TRUK-PELANGGAN"/>
      <sheetName val="DB"/>
      <sheetName val="MarkUp"/>
      <sheetName val="SUD"/>
      <sheetName val="RKP-BOQ"/>
      <sheetName val="Ana. PU"/>
      <sheetName val="RPP01 6"/>
      <sheetName val="Cash2"/>
      <sheetName val="BQ"/>
      <sheetName val="PRIST LIST"/>
      <sheetName val="RPP01 3"/>
      <sheetName val="ListAnalisa"/>
      <sheetName val="Rekap 1"/>
      <sheetName val="Monitor"/>
      <sheetName val="DaftarHarga"/>
      <sheetName val="KOEF"/>
      <sheetName val="HD ALAT"/>
      <sheetName val="Schedule 11a"/>
      <sheetName val="Temporary"/>
      <sheetName val="Septick tank"/>
      <sheetName val="Subkon"/>
      <sheetName val="TABEL-DETASIR"/>
      <sheetName val="pt-perso"/>
      <sheetName val="Pipe"/>
      <sheetName val="DEF"/>
      <sheetName val="Upah"/>
      <sheetName val="Informasi"/>
      <sheetName val="KAS $"/>
      <sheetName val="MATAUANG"/>
      <sheetName val="TIE-INS"/>
      <sheetName val="Basic P"/>
      <sheetName val="STAF"/>
      <sheetName val="UPH,BHN,ALT"/>
      <sheetName val="input data umum"/>
      <sheetName val="Links"/>
      <sheetName val="Lap Harian"/>
      <sheetName val="Konfirm"/>
      <sheetName val="GRAND REKAP"/>
      <sheetName val="HARSAT Das"/>
      <sheetName val="OLAH"/>
      <sheetName val="ahas-ins"/>
      <sheetName val="FF-2"/>
      <sheetName val="tiket&amp;hotel"/>
      <sheetName val="BTL-B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771-V"/>
      <sheetName val="F1771_V"/>
      <sheetName val="TBM"/>
      <sheetName val="DataSalesPlan08"/>
      <sheetName val="Marshal"/>
      <sheetName val="PROLOSS"/>
      <sheetName val="Oct 03"/>
      <sheetName val="DATA"/>
      <sheetName val="SFKLN"/>
      <sheetName val="K2-FA"/>
      <sheetName val="Retail Spider"/>
      <sheetName val="GeneralInfo"/>
      <sheetName val="F1771-2"/>
      <sheetName val="랙_기능별 물자"/>
      <sheetName val="F1771-IV"/>
      <sheetName val="Sheet1"/>
      <sheetName val="Daftar Saldo Piutang"/>
      <sheetName val="Sheet2"/>
      <sheetName val="HPP_19_"/>
      <sheetName val="F1771-II"/>
      <sheetName val="Ranges"/>
      <sheetName val="Periods"/>
      <sheetName val="Rpt13.Oth"/>
      <sheetName val="F1771-III"/>
      <sheetName val="TKtb"/>
      <sheetName val="Data Plafon"/>
      <sheetName val="analis"/>
      <sheetName val="Powergen"/>
      <sheetName val="F1771-3"/>
      <sheetName val="Permanent info"/>
      <sheetName val="OTHER INCOME &amp; BY PERDIVISI"/>
      <sheetName val="Indexing (Hide)"/>
      <sheetName val="RL NIS"/>
      <sheetName val="IN01"/>
      <sheetName val="UM"/>
      <sheetName val="Contractual Terms(1)"/>
      <sheetName val="Period"/>
      <sheetName val="랙_기능별_물자"/>
      <sheetName val="Retail_Spider"/>
      <sheetName val="Oct_03"/>
      <sheetName val="Daftar_Saldo_Piutang"/>
      <sheetName val="AR_to_LSY"/>
      <sheetName val="X-file"/>
      <sheetName val="Daftar lampiran"/>
      <sheetName val="F1771"/>
      <sheetName val="F1771-I"/>
      <sheetName val="F1771-VI"/>
      <sheetName val="Depreciation  schedule"/>
      <sheetName val="Penyusutan  (E)"/>
      <sheetName val="Penyusutan "/>
      <sheetName val="Attachement"/>
      <sheetName val="Lampiran"/>
      <sheetName val="Korfis (E)"/>
      <sheetName val="Korfis (I)"/>
      <sheetName val="Provision (E)"/>
      <sheetName val="Provision (I)"/>
      <sheetName val="reconc"/>
      <sheetName val="NAP"/>
      <sheetName val="WPL"/>
      <sheetName val="PO Database"/>
      <sheetName val="B1"/>
      <sheetName val="WTB"/>
      <sheetName val="Revenue"/>
      <sheetName val="akun"/>
      <sheetName val="Plan"/>
      <sheetName val="Project"/>
      <sheetName val="B"/>
      <sheetName val="data_val"/>
      <sheetName val="PENDING PO &amp; LC"/>
      <sheetName val="RECEIPTS"/>
      <sheetName val="Gaji pokok + tunjangan tetap'03"/>
      <sheetName val="랙_기능별_물자1"/>
      <sheetName val="Retail_Spider1"/>
      <sheetName val="Oct_031"/>
      <sheetName val="Daftar_Saldo_Piutang1"/>
      <sheetName val="F1771_II"/>
      <sheetName val="Parameter"/>
      <sheetName val="BPR"/>
      <sheetName val="cons_workpapers"/>
      <sheetName val="Rpt13_Oth"/>
      <sheetName val="Data_Plafon"/>
      <sheetName val="Permanent_info"/>
      <sheetName val="OTHER_INCOME_&amp;_BY_PERDIVISI"/>
      <sheetName val="Indexing_(Hide)"/>
      <sheetName val="RL_NIS"/>
      <sheetName val="Contractual_Terms(1)"/>
      <sheetName val="Daftar_lampiran"/>
      <sheetName val="Depreciation__schedule"/>
      <sheetName val="Penyusutan__(E)"/>
      <sheetName val="Penyusutan_"/>
      <sheetName val="Korfis_(E)"/>
      <sheetName val="Korfis_(I)"/>
      <sheetName val="Provision_(E)"/>
      <sheetName val="Provision_(I)"/>
      <sheetName val="PO_Database"/>
      <sheetName val="PENDING_PO_&amp;_LC"/>
      <sheetName val="Gaji_pokok_+_tunjangan_tetap'03"/>
      <sheetName val="ID MENADO"/>
      <sheetName val="랙_기능별_물자2"/>
      <sheetName val="Retail_Spider2"/>
      <sheetName val="Oct_032"/>
      <sheetName val="Daftar_Saldo_Piutang2"/>
      <sheetName val="Rpt13_Oth1"/>
      <sheetName val="Data_Plafon1"/>
      <sheetName val="Permanent_info1"/>
      <sheetName val="OTHER_INCOME_&amp;_BY_PERDIVISI1"/>
      <sheetName val="Indexing_(Hide)1"/>
      <sheetName val="RL_NIS1"/>
      <sheetName val="Contractual_Terms(1)1"/>
      <sheetName val="Daftar_lampiran1"/>
      <sheetName val="Depreciation__schedule1"/>
      <sheetName val="Penyusutan__(E)1"/>
      <sheetName val="Penyusutan_1"/>
      <sheetName val="Korfis_(E)1"/>
      <sheetName val="Korfis_(I)1"/>
      <sheetName val="Provision_(E)1"/>
      <sheetName val="Provision_(I)1"/>
      <sheetName val="PO_Database1"/>
      <sheetName val="PENDING_PO_&amp;_LC1"/>
      <sheetName val="Gaji_pokok_+_tunjangan_tetap'01"/>
      <sheetName val="pl"/>
      <sheetName val="PER-HP"/>
      <sheetName val="VCELA"/>
      <sheetName val="Unit Costs"/>
      <sheetName val="dBase"/>
      <sheetName val="General"/>
      <sheetName val="Table"/>
      <sheetName val="BS"/>
      <sheetName val="IS"/>
      <sheetName val="Opening"/>
      <sheetName val="PO Database@3101"/>
      <sheetName val="SDH"/>
      <sheetName val="61004"/>
      <sheetName val="BQ ARS"/>
      <sheetName val="D 1"/>
      <sheetName val="kki"/>
      <sheetName val="fin pro centers"/>
      <sheetName val="SUMMARY"/>
      <sheetName val="Ret"/>
      <sheetName val="Panen"/>
      <sheetName val="Nm Brg"/>
      <sheetName val="Slip"/>
      <sheetName val="Harga"/>
      <sheetName val="tabel nilai"/>
      <sheetName val="Profit &amp; Loss"/>
      <sheetName val="ID_MENADO"/>
      <sheetName val="SAA"/>
      <sheetName val="EV SJB"/>
      <sheetName val="Perintah"/>
      <sheetName val="OPNAME GOOD STOCK"/>
      <sheetName val="OPNAME SALES"/>
      <sheetName val="OPNAME BAD STOCK"/>
      <sheetName val="CMA_Calculations"/>
      <sheetName val="IPK Sem12014"/>
      <sheetName val="Total"/>
      <sheetName val="SheetGMP"/>
      <sheetName val="SheetGMT"/>
      <sheetName val="IBASE"/>
      <sheetName val="TABEL"/>
      <sheetName val="PEGAWAI"/>
      <sheetName val="F1771_2"/>
      <sheetName val="Lamp-14(Manajemen)"/>
      <sheetName val="610.04"/>
      <sheetName val="610.05"/>
      <sheetName val="610.07"/>
      <sheetName val="610.08"/>
      <sheetName val="DB-PU"/>
      <sheetName val="COA"/>
      <sheetName val="ASS"/>
      <sheetName val="LKT - HL"/>
      <sheetName val="LKT - HS"/>
      <sheetName val="PREPAID"/>
      <sheetName val="TB 2015"/>
      <sheetName val="LR"/>
      <sheetName val="pivotscd"/>
      <sheetName val="Oct_033"/>
      <sheetName val="Retail_Spider3"/>
      <sheetName val="랙_기능별_물자3"/>
      <sheetName val="Daftar_Saldo_Piutang3"/>
      <sheetName val="Rpt13_Oth2"/>
      <sheetName val="Data_Plafon2"/>
      <sheetName val="Indexing_(Hide)2"/>
      <sheetName val="RL_NIS2"/>
      <sheetName val="Permanent_info2"/>
      <sheetName val="OTHER_INCOME_&amp;_BY_PERDIVISI2"/>
      <sheetName val="Contractual_Terms(1)2"/>
      <sheetName val="PENDING_PO_&amp;_LC2"/>
      <sheetName val="Daftar_lampiran2"/>
      <sheetName val="Depreciation__schedule2"/>
      <sheetName val="Penyusutan__(E)2"/>
      <sheetName val="Penyusutan_2"/>
      <sheetName val="Korfis_(E)2"/>
      <sheetName val="Korfis_(I)2"/>
      <sheetName val="Provision_(E)2"/>
      <sheetName val="Provision_(I)2"/>
      <sheetName val="PO_Database2"/>
      <sheetName val="Gaji_pokok_+_tunjangan_tetap'02"/>
      <sheetName val="Oct_034"/>
      <sheetName val="Retail_Spider4"/>
      <sheetName val="랙_기능별_물자4"/>
      <sheetName val="Daftar_Saldo_Piutang4"/>
      <sheetName val="Rpt13_Oth3"/>
      <sheetName val="Data_Plafon3"/>
      <sheetName val="Indexing_(Hide)3"/>
      <sheetName val="RL_NIS3"/>
      <sheetName val="Permanent_info3"/>
      <sheetName val="OTHER_INCOME_&amp;_BY_PERDIVISI3"/>
      <sheetName val="Contractual_Terms(1)3"/>
      <sheetName val="PENDING_PO_&amp;_LC3"/>
      <sheetName val="Daftar_lampiran3"/>
      <sheetName val="Depreciation__schedule3"/>
      <sheetName val="Penyusutan__(E)3"/>
      <sheetName val="Penyusutan_3"/>
      <sheetName val="Korfis_(E)3"/>
      <sheetName val="Korfis_(I)3"/>
      <sheetName val="Provision_(E)3"/>
      <sheetName val="Provision_(I)3"/>
      <sheetName val="PO_Database3"/>
      <sheetName val="Gaji_pokok_+_tunjangan_tetap'04"/>
      <sheetName val="ID_MENADO1"/>
      <sheetName val="Sat Bah &amp; Up"/>
      <sheetName val="SCORE_RC_Code"/>
      <sheetName val="FKT_PJK"/>
      <sheetName val="PopCache_Sheet1"/>
      <sheetName val="Table Array"/>
      <sheetName val="AU_BS"/>
      <sheetName val="Ex-Rate"/>
      <sheetName val="INPUT"/>
      <sheetName val="Lead"/>
      <sheetName val="RATE"/>
      <sheetName val="WBS 2005"/>
      <sheetName val="TANAH"/>
      <sheetName val="Oct_037"/>
      <sheetName val="Retail_Spider7"/>
      <sheetName val="랙_기능별_물자7"/>
      <sheetName val="Daftar_Saldo_Piutang7"/>
      <sheetName val="Rpt13_Oth6"/>
      <sheetName val="Data_Plafon6"/>
      <sheetName val="Indexing_(Hide)6"/>
      <sheetName val="RL_NIS6"/>
      <sheetName val="Permanent_info6"/>
      <sheetName val="OTHER_INCOME_&amp;_BY_PERDIVISI6"/>
      <sheetName val="Contractual_Terms(1)6"/>
      <sheetName val="PENDING_PO_&amp;_LC6"/>
      <sheetName val="Daftar_lampiran6"/>
      <sheetName val="Depreciation__schedule6"/>
      <sheetName val="Penyusutan__(E)6"/>
      <sheetName val="Penyusutan_6"/>
      <sheetName val="Korfis_(E)6"/>
      <sheetName val="Korfis_(I)6"/>
      <sheetName val="Provision_(E)6"/>
      <sheetName val="Provision_(I)6"/>
      <sheetName val="PO_Database6"/>
      <sheetName val="Gaji_pokok_+_tunjangan_tetap'07"/>
      <sheetName val="ID_MENADO4"/>
      <sheetName val="Oct_035"/>
      <sheetName val="Retail_Spider5"/>
      <sheetName val="랙_기능별_물자5"/>
      <sheetName val="Daftar_Saldo_Piutang5"/>
      <sheetName val="Rpt13_Oth4"/>
      <sheetName val="Data_Plafon4"/>
      <sheetName val="Indexing_(Hide)4"/>
      <sheetName val="RL_NIS4"/>
      <sheetName val="Permanent_info4"/>
      <sheetName val="OTHER_INCOME_&amp;_BY_PERDIVISI4"/>
      <sheetName val="Contractual_Terms(1)4"/>
      <sheetName val="PENDING_PO_&amp;_LC4"/>
      <sheetName val="Daftar_lampiran4"/>
      <sheetName val="Depreciation__schedule4"/>
      <sheetName val="Penyusutan__(E)4"/>
      <sheetName val="Penyusutan_4"/>
      <sheetName val="Korfis_(E)4"/>
      <sheetName val="Korfis_(I)4"/>
      <sheetName val="Provision_(E)4"/>
      <sheetName val="Provision_(I)4"/>
      <sheetName val="PO_Database4"/>
      <sheetName val="Gaji_pokok_+_tunjangan_tetap'05"/>
      <sheetName val="ID_MENADO2"/>
      <sheetName val="Oct_036"/>
      <sheetName val="Retail_Spider6"/>
      <sheetName val="랙_기능별_물자6"/>
      <sheetName val="Daftar_Saldo_Piutang6"/>
      <sheetName val="Rpt13_Oth5"/>
      <sheetName val="Data_Plafon5"/>
      <sheetName val="Indexing_(Hide)5"/>
      <sheetName val="RL_NIS5"/>
      <sheetName val="Permanent_info5"/>
      <sheetName val="OTHER_INCOME_&amp;_BY_PERDIVISI5"/>
      <sheetName val="Contractual_Terms(1)5"/>
      <sheetName val="PENDING_PO_&amp;_LC5"/>
      <sheetName val="Daftar_lampiran5"/>
      <sheetName val="Depreciation__schedule5"/>
      <sheetName val="Penyusutan__(E)5"/>
      <sheetName val="Penyusutan_5"/>
      <sheetName val="Korfis_(E)5"/>
      <sheetName val="Korfis_(I)5"/>
      <sheetName val="Provision_(E)5"/>
      <sheetName val="Provision_(I)5"/>
      <sheetName val="PO_Database5"/>
      <sheetName val="Gaji_pokok_+_tunjangan_tetap'06"/>
      <sheetName val="ID_MENADO3"/>
      <sheetName val="Basic Price"/>
      <sheetName val="BasicPrice"/>
      <sheetName val="Cover"/>
      <sheetName val="Template"/>
      <sheetName val="Merak_Sum-FIX"/>
      <sheetName val="61005"/>
      <sheetName val="61006"/>
      <sheetName val="61007"/>
      <sheetName val="61008"/>
      <sheetName val="SUR-HARGA"/>
      <sheetName val="HARSAT"/>
      <sheetName val="sheet"/>
      <sheetName val="ANAL"/>
      <sheetName val="RESUME"/>
      <sheetName val="PRY 01-3"/>
      <sheetName val="RKP"/>
      <sheetName val="pol"/>
      <sheetName val="304-06"/>
      <sheetName val="Monitor"/>
      <sheetName val="DATA_DES"/>
      <sheetName val="igp_alt4"/>
      <sheetName val="Breakdown"/>
      <sheetName val="DATA PROYEK"/>
      <sheetName val="Settings"/>
      <sheetName val="Links"/>
      <sheetName val="D.BOARD"/>
      <sheetName val="Mobdemobalat"/>
      <sheetName val="DKH"/>
      <sheetName val="Rekap"/>
      <sheetName val="trf-d-w"/>
      <sheetName val="trf d-i"/>
      <sheetName val="HPP X Q'TY"/>
      <sheetName val="RINCIAN-SC"/>
      <sheetName val="prog-mgu"/>
      <sheetName val="SEP"/>
      <sheetName val="HS"/>
      <sheetName val="Input Data"/>
      <sheetName val="Basic P"/>
      <sheetName val="BP1_23"/>
      <sheetName val="Harga Dasar"/>
      <sheetName val="GP-WB"/>
      <sheetName val="telp"/>
      <sheetName val="villa"/>
      <sheetName val="FINISHING"/>
      <sheetName val="AnalisaHarga"/>
      <sheetName val="HD Alat"/>
      <sheetName val="Hargamaterial"/>
      <sheetName val="PRD 01-3"/>
      <sheetName val="AHS"/>
      <sheetName val="Int-Scheme I"/>
      <sheetName val="Analisa"/>
      <sheetName val="RAB"/>
      <sheetName val="H.Satuan"/>
      <sheetName val="DAF-1"/>
      <sheetName val="PriceList"/>
      <sheetName val="DATAOKT"/>
      <sheetName val="RWD-02"/>
      <sheetName val="DATA_2009"/>
      <sheetName val="Pricing-2"/>
      <sheetName val="PORT"/>
      <sheetName val="Sheet8"/>
      <sheetName val="Date"/>
      <sheetName val="Sheet1 "/>
      <sheetName val="Solar"/>
      <sheetName val="OLI HEQ"/>
      <sheetName val=" BEP-1999"/>
      <sheetName val="ECP"/>
      <sheetName val="Feuil1"/>
      <sheetName val="bbt-1999"/>
      <sheetName val="Uraian Upah"/>
      <sheetName val="CUACA"/>
      <sheetName val="MAP"/>
      <sheetName val="Analysis"/>
      <sheetName val="RAP"/>
      <sheetName val="uba"/>
      <sheetName val="TIE-INS"/>
      <sheetName val="COV"/>
      <sheetName val="RIG 134-ASSETS APR 97"/>
      <sheetName val="RIG 027-ASSETS-AFTER 30 JUN 97"/>
      <sheetName val="Detail Piutang"/>
      <sheetName val="2002"/>
      <sheetName val="Sheet4"/>
      <sheetName val="1200.11.1"/>
      <sheetName val="317932DEC99"/>
      <sheetName val="317932NOV99"/>
      <sheetName val="317932OCT99"/>
      <sheetName val="HPP_20_"/>
      <sheetName val="SD"/>
      <sheetName val="Ship"/>
      <sheetName val="D_1"/>
      <sheetName val="fin_pro_centers"/>
      <sheetName val="Nm_Brg"/>
      <sheetName val="tabel_nilai"/>
      <sheetName val="Profit_&amp;_Loss"/>
      <sheetName val="Table_Array"/>
      <sheetName val="Detail_Piutang"/>
      <sheetName val="Int-Scheme_I"/>
      <sheetName val="1200_11_1"/>
      <sheetName val="EV_SJB"/>
      <sheetName val="OPNAME_GOOD_STOCK"/>
      <sheetName val="OPNAME_SALES"/>
      <sheetName val="OPNAME_BAD_STOCK"/>
      <sheetName val="IPK_Sem12014"/>
      <sheetName val="PO_Database@3101"/>
      <sheetName val="Factors"/>
      <sheetName val="Act"/>
      <sheetName val="FA_TP99"/>
      <sheetName val="PO AI"/>
      <sheetName val="M-2"/>
      <sheetName val="TARIP"/>
      <sheetName val="MasterMksAgst07"/>
      <sheetName val="Index (VH)"/>
      <sheetName val="Anciliary Revenues"/>
      <sheetName val="Prog Imbalan"/>
      <sheetName val="PSC_Calc"/>
      <sheetName val="Non-Statistical Sampling Master"/>
      <sheetName val="Two Step Revenue Testing Master"/>
      <sheetName val="Global Data"/>
      <sheetName val="revisi-gltran"/>
      <sheetName val="Detail Cost by Category"/>
      <sheetName val="CODE"/>
      <sheetName val="BBM-03"/>
      <sheetName val="Catt L K Induk"/>
      <sheetName val="RPP01 6"/>
      <sheetName val="Konfirm"/>
      <sheetName val="DB"/>
      <sheetName val="Master 1.0"/>
      <sheetName val="input data umum"/>
      <sheetName val="Schedule 11a"/>
      <sheetName val="Temporary"/>
      <sheetName val="Septick tank"/>
      <sheetName val="Subkon"/>
      <sheetName val="Material"/>
      <sheetName val="Bab10"/>
      <sheetName val="Alat"/>
      <sheetName val="MAPP"/>
      <sheetName val="Upah"/>
      <sheetName val="REF.ONLY"/>
      <sheetName val="an-satuan"/>
      <sheetName val="STOK MAT"/>
      <sheetName val="Bill of Qty MEP"/>
      <sheetName val="hasat"/>
      <sheetName val="HS-2"/>
      <sheetName val="Xplor pattern 08.05"/>
      <sheetName val="PROD"/>
      <sheetName val="Agregat Halus &amp; Kasar"/>
      <sheetName val="Hsatuan-OK"/>
      <sheetName val="Sales Parameter"/>
      <sheetName val="HARGA MATERIAL"/>
      <sheetName val="PLANT"/>
      <sheetName val="BHN-ALAT"/>
      <sheetName val="RINCI"/>
      <sheetName val="tp 45x45 (6)"/>
      <sheetName val="SEX"/>
      <sheetName val="jan"/>
      <sheetName val="FEB"/>
      <sheetName val="MAR"/>
      <sheetName val="L3 An H Sat Mob"/>
      <sheetName val="DATA 2009"/>
      <sheetName val="DATA 2010"/>
      <sheetName val="Target Raker TW III"/>
      <sheetName val="KUB-01(10)"/>
      <sheetName val="MasterSheet"/>
      <sheetName val="Param"/>
      <sheetName val="Pipe"/>
      <sheetName val="SUMBER"/>
      <sheetName val="igp-popno"/>
      <sheetName val="Markup"/>
      <sheetName val="SE"/>
      <sheetName val="bialangsung"/>
      <sheetName val="PRD01-1"/>
      <sheetName val="idx-03"/>
      <sheetName val="Sheet3"/>
      <sheetName val="TONG HOP VL-NC"/>
      <sheetName val="#REF"/>
      <sheetName val="chitiet"/>
      <sheetName val="DONGIA"/>
      <sheetName val="DON GIA"/>
      <sheetName val="Div2"/>
      <sheetName val="DG"/>
      <sheetName val="VCV-BE-TONG"/>
      <sheetName val="CHITIET VL-NC"/>
      <sheetName val="DIV.9"/>
      <sheetName val="DASH"/>
      <sheetName val="EXTERNAL WORK"/>
      <sheetName val="D HARGA"/>
      <sheetName val="TL"/>
      <sheetName val="BASIC"/>
      <sheetName val="Analisa Harga Satuan"/>
      <sheetName val="ANTEK"/>
      <sheetName val="Assetdb"/>
      <sheetName val="AssetPar"/>
      <sheetName val="대비표"/>
      <sheetName val="SATDASAR"/>
      <sheetName val="MAJOR"/>
      <sheetName val="BQ-GB-1"/>
      <sheetName val="VAT out"/>
      <sheetName val="UPH,BHN,ALT"/>
      <sheetName val="ANAL.BOW"/>
      <sheetName val="HDasar"/>
      <sheetName val="Assumptions"/>
      <sheetName val="H-SAT"/>
      <sheetName val="marshall1"/>
      <sheetName val="Analis Kusen okk"/>
      <sheetName val="7.공정표"/>
      <sheetName val="AnalisaSIPIL RIIL"/>
      <sheetName val="BoQ"/>
      <sheetName val="janflash"/>
      <sheetName val="KEB-MAT"/>
      <sheetName val="MG"/>
      <sheetName val="Source"/>
      <sheetName val="ANAL_2.1"/>
      <sheetName val="VOL_1"/>
      <sheetName val="LAMP_2.2"/>
      <sheetName val="610.06"/>
      <sheetName val="rms remunerasi"/>
      <sheetName val="7.PEK-STRUKTUR"/>
      <sheetName val="Sales Rental"/>
      <sheetName val="H-Dasar"/>
      <sheetName val="7.1(3)"/>
      <sheetName val="D4"/>
      <sheetName val="D6"/>
      <sheetName val="D7"/>
      <sheetName val="D8"/>
      <sheetName val="hardas"/>
      <sheetName val="Menu"/>
      <sheetName val="Option List"/>
      <sheetName val="TEKNIS"/>
      <sheetName val="TAGIHAN"/>
      <sheetName val="1.B"/>
      <sheetName val="MATERIAL&amp;upah"/>
      <sheetName val="FE-1770-II"/>
      <sheetName val="Costing"/>
      <sheetName val="PODN"/>
      <sheetName val="Rekonsiliasi PPh 21"/>
      <sheetName val="Master Edit"/>
      <sheetName val="NOTHIT"/>
      <sheetName val="Rkp1"/>
      <sheetName val="Bahan"/>
      <sheetName val="BAG_2"/>
      <sheetName val="SUM_Steel-Strc"/>
      <sheetName val="Isolasi Luar Dalam"/>
      <sheetName val="Isolasi Luar"/>
      <sheetName val="Analisa K"/>
      <sheetName val="kepmenaker150"/>
      <sheetName val="Divisi1"/>
      <sheetName val="Analisa tambahan"/>
      <sheetName val="Analisa "/>
      <sheetName val="upah, bahan, alat"/>
      <sheetName val="An_Basic"/>
      <sheetName val="Fill this out first..."/>
      <sheetName val="Ana. PU"/>
      <sheetName val="412src2"/>
      <sheetName val="cons workpapers"/>
      <sheetName val="extern"/>
      <sheetName val="equity of abacus"/>
      <sheetName val="STAF"/>
      <sheetName val="div 7"/>
      <sheetName val="41,9&amp;36,3"/>
      <sheetName val="TOTAL UPAH"/>
      <sheetName val="An HS"/>
      <sheetName val="Analisa SNI STANDART "/>
      <sheetName val="Cash2"/>
      <sheetName val="A"/>
      <sheetName val="Mobilisasi"/>
      <sheetName val="HARGADASAR"/>
      <sheetName val="DEF"/>
      <sheetName val="fcsp-w"/>
      <sheetName val="Shares Outstanding"/>
      <sheetName val="Print Controls"/>
      <sheetName val="DCF_10"/>
      <sheetName val="Controls"/>
      <sheetName val="form-A7"/>
      <sheetName val="Tab DPA"/>
      <sheetName val="pivot"/>
      <sheetName val="RKP-BOQ"/>
      <sheetName val="trans"/>
      <sheetName val="PIPOT"/>
      <sheetName val="JP"/>
      <sheetName val="KAS $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kp pph 21 (2)"/>
      <sheetName val="rekap objek"/>
      <sheetName val="penyampaian spt masa"/>
      <sheetName val="kkp pph 21"/>
      <sheetName val="kkp pph 21 terhutang"/>
      <sheetName val="nothi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</sheetNames>
    <sheetDataSet>
      <sheetData sheetId="0"/>
      <sheetData sheetId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_RC_Code"/>
      <sheetName val="F1771-V"/>
      <sheetName val="hardware100445_B"/>
      <sheetName val="TB ALL"/>
      <sheetName val="Credit-22"/>
      <sheetName val="Exc. Rate"/>
      <sheetName val="RATE"/>
      <sheetName val="Rates"/>
      <sheetName val="TOTAL Rakor"/>
      <sheetName val="USD"/>
      <sheetName val="랙_기능별 물자"/>
      <sheetName val="BAL SHEET(2)"/>
      <sheetName val="NN"/>
      <sheetName val="BP1_23"/>
      <sheetName val="note"/>
      <sheetName val="Trial"/>
      <sheetName val="HPP_20_"/>
      <sheetName val="RATIO"/>
      <sheetName val="K.3.3"/>
      <sheetName val="G203-Rental"/>
      <sheetName val="Table Array"/>
      <sheetName val="G.2.1"/>
      <sheetName val="Parameter"/>
      <sheetName val=" P0613"/>
      <sheetName val="rugi laba-NEW"/>
      <sheetName val="Data Penjualan"/>
      <sheetName val="Logistics"/>
      <sheetName val="General"/>
      <sheetName val="Proj Summ"/>
      <sheetName val="Cover-01"/>
      <sheetName val="Sheet1"/>
      <sheetName val="S"/>
      <sheetName val="Local JV"/>
      <sheetName val="F1771-2"/>
      <sheetName val="F1771-IV"/>
      <sheetName val="PROLOSS"/>
      <sheetName val="Computer hardware ( 10.0445 )"/>
      <sheetName val="Computer_hardware_(_10_0445_)"/>
      <sheetName val="BAL_SHEET(2)"/>
      <sheetName val="Exc__Rate"/>
      <sheetName val="T.B"/>
      <sheetName val="Ex-Rate"/>
      <sheetName val="AFTER 55"/>
      <sheetName val="Q-PC1"/>
      <sheetName val="Q-PC2"/>
      <sheetName val="Premi Iuran"/>
      <sheetName val="A.4.3"/>
      <sheetName val="A.4.2"/>
      <sheetName val="COST_CAL"/>
      <sheetName val="Codestable"/>
      <sheetName val="2006 _3_"/>
      <sheetName val="daftar"/>
      <sheetName val="Sheet8"/>
      <sheetName val="Proyeksi"/>
      <sheetName val="Profit &amp; Loss Account"/>
      <sheetName val="RumusTB 1 bln"/>
      <sheetName val="GeneralInfo"/>
      <sheetName val="STOCK_AWAL"/>
      <sheetName val="BELI JULI"/>
      <sheetName val="HPP_JUNI"/>
      <sheetName val="SUPPORT"/>
      <sheetName val="A"/>
      <sheetName val="BBM-03"/>
      <sheetName val="TBM"/>
      <sheetName val="F1771-II"/>
      <sheetName val="Interdata"/>
      <sheetName val="Atlys"/>
      <sheetName val="Geneva"/>
      <sheetName val="Wizard - CSL"/>
      <sheetName val="Wizard - IMG"/>
      <sheetName val="Internet - Catalys- IP Suite"/>
      <sheetName val="ICOMS-CableMaster-Domestic"/>
      <sheetName val="ICOMS-CableMaster-International"/>
      <sheetName val="2002"/>
      <sheetName val="Nilai Stress &amp; Adj NAM"/>
      <sheetName val="12_pemb mbl12"/>
      <sheetName val="2_ LR AAS 12"/>
      <sheetName val="Penyusutan  12"/>
      <sheetName val="RINC_NRC"/>
      <sheetName val="CAPEX'00"/>
      <sheetName val="Tabel"/>
      <sheetName val="est proy"/>
      <sheetName val="F1771_V"/>
      <sheetName val="Powergen"/>
      <sheetName val="Original AYDA"/>
      <sheetName val="kkp pph 21"/>
      <sheetName val="Cover_01"/>
      <sheetName val="REVENUE_RATES"/>
      <sheetName val="analis"/>
      <sheetName val="HEADER"/>
      <sheetName val="EXP0905"/>
      <sheetName val="TB_ALL"/>
      <sheetName val="랙_기능별_물자"/>
      <sheetName val="TOTAL_Rakor"/>
      <sheetName val="tr-28202"/>
      <sheetName val="2003"/>
      <sheetName val="ABOV"/>
      <sheetName val="rekap"/>
      <sheetName val="Bangunan _Jkt_"/>
      <sheetName val="Detail"/>
      <sheetName val="Altman Z Score"/>
      <sheetName val="Menu"/>
      <sheetName val="B"/>
      <sheetName val="data_val"/>
      <sheetName val="Neraca"/>
      <sheetName val="F1771-III"/>
      <sheetName val="Marshal"/>
      <sheetName val="TB_ALL1"/>
      <sheetName val="랙_기능별_물자1"/>
      <sheetName val="TOTAL_Rakor1"/>
      <sheetName val="Exc__Rate1"/>
      <sheetName val="BAL_SHEET(2)1"/>
      <sheetName val="Input-Expected Case"/>
      <sheetName val="BL-PL-CEN"/>
      <sheetName val="PSOFT"/>
      <sheetName val="CF-Consolidated"/>
      <sheetName val="1770 S"/>
      <sheetName val="6340 configuration inputs"/>
      <sheetName val="FF-1"/>
      <sheetName val="5300.30"/>
      <sheetName val="cons_workpapers"/>
      <sheetName val="K_3_3"/>
      <sheetName val="Table_Array"/>
      <sheetName val="G_2_1"/>
      <sheetName val="rugi_laba-NEW"/>
      <sheetName val="Data_Penjualan"/>
      <sheetName val="Proj_Summ"/>
      <sheetName val="Local_JV"/>
      <sheetName val="Computer_hardware_(_10_0445_)1"/>
      <sheetName val="T_B"/>
      <sheetName val="AFTER_55"/>
      <sheetName val="Premi_Iuran"/>
      <sheetName val="A_4_3"/>
      <sheetName val="A_4_2"/>
      <sheetName val="2006__3_"/>
      <sheetName val="_P0613"/>
      <sheetName val="BELI_JULI"/>
      <sheetName val="Profit_&amp;_Loss_Account"/>
      <sheetName val="RumusTB_1_bln"/>
      <sheetName val="Wizard_-_CSL"/>
      <sheetName val="Wizard_-_IMG"/>
      <sheetName val="Internet_-_Catalys-_IP_Suite"/>
      <sheetName val="Nilai_Stress_&amp;_Adj_NAM"/>
      <sheetName val="12_pemb_mbl12"/>
      <sheetName val="2__LR_AAS_12"/>
      <sheetName val="Penyusutan__12"/>
      <sheetName val="Original_AYDA"/>
      <sheetName val="kkp_pph_21"/>
      <sheetName val="est_proy"/>
      <sheetName val="Bangunan__Jkt_"/>
      <sheetName val="Altman_Z_Score"/>
      <sheetName val="Input-Expected_Case"/>
      <sheetName val="1770_S"/>
      <sheetName val="6340_configuration_inputs"/>
      <sheetName val="5300_30"/>
      <sheetName val="SE-C"/>
      <sheetName val="Sheet2"/>
      <sheetName val="Price"/>
      <sheetName val="62404"/>
      <sheetName val="TB_ALL2"/>
      <sheetName val="랙_기능별_물자2"/>
      <sheetName val="TOTAL_Rakor2"/>
      <sheetName val="Exc__Rate2"/>
      <sheetName val="BAL_SHEET(2)2"/>
      <sheetName val="K_3_31"/>
      <sheetName val="Table_Array1"/>
      <sheetName val="G_2_11"/>
      <sheetName val="_P06131"/>
      <sheetName val="rugi_laba-NEW1"/>
      <sheetName val="Data_Penjualan1"/>
      <sheetName val="Proj_Summ1"/>
      <sheetName val="Local_JV1"/>
      <sheetName val="Computer_hardware_(_10_0445_)2"/>
      <sheetName val="T_B1"/>
      <sheetName val="AFTER_551"/>
      <sheetName val="Premi_Iuran1"/>
      <sheetName val="A_4_31"/>
      <sheetName val="A_4_21"/>
      <sheetName val="2006__3_1"/>
      <sheetName val="Profit_&amp;_Loss_Account1"/>
      <sheetName val="RumusTB_1_bln1"/>
      <sheetName val="BELI_JULI1"/>
      <sheetName val="Wizard_-_CSL1"/>
      <sheetName val="Wizard_-_IMG1"/>
      <sheetName val="Internet_-_Catalys-_IP_Suite1"/>
      <sheetName val="Nilai_Stress_&amp;_Adj_NAM1"/>
      <sheetName val="12_pemb_mbl121"/>
      <sheetName val="2__LR_AAS_121"/>
      <sheetName val="Penyusutan__121"/>
      <sheetName val="Original_AYDA1"/>
      <sheetName val="kkp_pph_211"/>
      <sheetName val="est_proy1"/>
      <sheetName val="Bangunan__Jkt_1"/>
      <sheetName val="Altman_Z_Score1"/>
      <sheetName val="Input-Expected_Case1"/>
      <sheetName val="1770_S1"/>
      <sheetName val="6340_configuration_inputs1"/>
      <sheetName val="5300_301"/>
      <sheetName val="fin pro centers"/>
      <sheetName val="KKP-II.2.2.1.2"/>
      <sheetName val="Lamp-14(Manajemen)"/>
      <sheetName val="kota"/>
      <sheetName val="data (2)"/>
      <sheetName val="CPC"/>
      <sheetName val="Cover"/>
      <sheetName val="MED"/>
      <sheetName val="pu-05"/>
      <sheetName val="pu-06"/>
      <sheetName val="Rpt13.Oth"/>
      <sheetName val="ARSUtM "/>
      <sheetName val="BQ ARS"/>
      <sheetName val="data_benefit"/>
      <sheetName val="BK-PU"/>
      <sheetName val="HARSAT"/>
      <sheetName val="KPB_Bank"/>
      <sheetName val="KPB-BUA"/>
      <sheetName val="KPB-PP"/>
      <sheetName val="H_Satuan"/>
      <sheetName val="H.Satuan"/>
      <sheetName val="RES"/>
      <sheetName val="DOC"/>
      <sheetName val="FEED"/>
      <sheetName val="Equipment"/>
      <sheetName val="Jenis"/>
      <sheetName val="Kebun"/>
      <sheetName val="INP-FARMER USE"/>
      <sheetName val="Prod"/>
      <sheetName val="Navigation"/>
      <sheetName val="TB0"/>
      <sheetName val="WBS 2005"/>
      <sheetName val="SD"/>
      <sheetName val="Form"/>
      <sheetName val="B 1107"/>
      <sheetName val="****"/>
      <sheetName val="Non Taxable Income"/>
      <sheetName val="Questions"/>
      <sheetName val="Supporting"/>
      <sheetName val="Links"/>
      <sheetName val="53 TALK"/>
      <sheetName val="KKP-II_2_2_1_2"/>
      <sheetName val="INP-FARMER_USE"/>
      <sheetName val="Worksheet_BB"/>
      <sheetName val="A-3"/>
      <sheetName val="____"/>
      <sheetName val="SEM"/>
      <sheetName val="#REF!"/>
      <sheetName val="dbf"/>
      <sheetName val="OTHER INCOME &amp; BY PERDIVISI"/>
      <sheetName val="India"/>
      <sheetName val="ControlPanel"/>
      <sheetName val="EV SJB"/>
      <sheetName val="Perintah"/>
      <sheetName val="OPNAME GOOD STOCK"/>
      <sheetName val="OPNAME SALES"/>
      <sheetName val="OPNAME BAD STOCK"/>
      <sheetName val="CMA_Calculations"/>
      <sheetName val="Permanent info"/>
      <sheetName val="IPK Sem12014"/>
      <sheetName val="Total"/>
      <sheetName val="tabel nilai"/>
      <sheetName val="I-KAMAR"/>
      <sheetName val="Rincian"/>
      <sheetName val="UNIT PRICE"/>
      <sheetName val="SUM-CHECK"/>
      <sheetName val="LKT - HL"/>
      <sheetName val="LKT - HS"/>
      <sheetName val="(Pusat TW4)"/>
      <sheetName val="CapEx"/>
      <sheetName val="PTKP"/>
      <sheetName val="IS"/>
      <sheetName val="ALAT"/>
      <sheetName val="Harga"/>
      <sheetName val="Retail Spider"/>
      <sheetName val="4.1 Placement w.o.b"/>
      <sheetName val="F1771-3"/>
      <sheetName val="pengirim"/>
      <sheetName val="STR(CANCEL)"/>
      <sheetName val="BS"/>
      <sheetName val="RAB"/>
      <sheetName val="SAA"/>
      <sheetName val="datakon-IRP"/>
      <sheetName val="datajual-IRP"/>
      <sheetName val="PREPAID"/>
      <sheetName val="W-NAD"/>
      <sheetName val="TB_ALL3"/>
      <sheetName val="Exc__Rate3"/>
      <sheetName val="TOTAL_Rakor3"/>
      <sheetName val="랙_기능별_물자3"/>
      <sheetName val="BAL_SHEET(2)3"/>
      <sheetName val="K_3_32"/>
      <sheetName val="Table_Array2"/>
      <sheetName val="G_2_12"/>
      <sheetName val="_P06132"/>
      <sheetName val="rugi_laba-NEW2"/>
      <sheetName val="Data_Penjualan2"/>
      <sheetName val="Profit_&amp;_Loss_Account2"/>
      <sheetName val="2006__3_2"/>
      <sheetName val="Proj_Summ2"/>
      <sheetName val="Local_JV2"/>
      <sheetName val="Computer_hardware_(_10_0445_)3"/>
      <sheetName val="T_B2"/>
      <sheetName val="AFTER_552"/>
      <sheetName val="Premi_Iuran2"/>
      <sheetName val="A_4_32"/>
      <sheetName val="A_4_22"/>
      <sheetName val="RumusTB_1_bln2"/>
      <sheetName val="Wizard_-_CSL2"/>
      <sheetName val="Wizard_-_IMG2"/>
      <sheetName val="Internet_-_Catalys-_IP_Suite2"/>
      <sheetName val="Nilai_Stress_&amp;_Adj_NAM2"/>
      <sheetName val="12_pemb_mbl122"/>
      <sheetName val="2__LR_AAS_122"/>
      <sheetName val="Penyusutan__122"/>
      <sheetName val="BELI_JULI2"/>
      <sheetName val="est_proy2"/>
      <sheetName val="Original_AYDA2"/>
      <sheetName val="kkp_pph_212"/>
      <sheetName val="Input-Expected_Case2"/>
      <sheetName val="1770_S2"/>
      <sheetName val="6340_configuration_inputs2"/>
      <sheetName val="5300_302"/>
      <sheetName val="Bangunan__Jkt_2"/>
      <sheetName val="Altman_Z_Score2"/>
      <sheetName val="fin_pro_centers"/>
      <sheetName val="TB_ALL4"/>
      <sheetName val="Exc__Rate4"/>
      <sheetName val="TOTAL_Rakor4"/>
      <sheetName val="랙_기능별_물자4"/>
      <sheetName val="BAL_SHEET(2)4"/>
      <sheetName val="K_3_33"/>
      <sheetName val="Table_Array3"/>
      <sheetName val="G_2_13"/>
      <sheetName val="_P06133"/>
      <sheetName val="rugi_laba-NEW3"/>
      <sheetName val="Data_Penjualan3"/>
      <sheetName val="Profit_&amp;_Loss_Account3"/>
      <sheetName val="2006__3_3"/>
      <sheetName val="Proj_Summ3"/>
      <sheetName val="Local_JV3"/>
      <sheetName val="Computer_hardware_(_10_0445_)4"/>
      <sheetName val="T_B3"/>
      <sheetName val="AFTER_553"/>
      <sheetName val="Premi_Iuran3"/>
      <sheetName val="A_4_33"/>
      <sheetName val="A_4_23"/>
      <sheetName val="RumusTB_1_bln3"/>
      <sheetName val="Wizard_-_CSL3"/>
      <sheetName val="Wizard_-_IMG3"/>
      <sheetName val="Internet_-_Catalys-_IP_Suite3"/>
      <sheetName val="Nilai_Stress_&amp;_Adj_NAM3"/>
      <sheetName val="12_pemb_mbl123"/>
      <sheetName val="2__LR_AAS_123"/>
      <sheetName val="Penyusutan__123"/>
      <sheetName val="BELI_JULI3"/>
      <sheetName val="est_proy3"/>
      <sheetName val="Original_AYDA3"/>
      <sheetName val="kkp_pph_213"/>
      <sheetName val="Input-Expected_Case3"/>
      <sheetName val="1770_S3"/>
      <sheetName val="6340_configuration_inputs3"/>
      <sheetName val="5300_303"/>
      <sheetName val="Bangunan__Jkt_3"/>
      <sheetName val="Altman_Z_Score3"/>
      <sheetName val="fin_pro_centers1"/>
      <sheetName val="KKP-II_2_2_1_21"/>
      <sheetName val="TE TS FA LAN MATV"/>
      <sheetName val="FKT_PJK"/>
      <sheetName val="CA Sheet"/>
      <sheetName val="ZENTEI2"/>
      <sheetName val="기준"/>
      <sheetName val="Notes to BS"/>
      <sheetName val="neraca okt"/>
      <sheetName val=""/>
      <sheetName val="SheetGMP"/>
      <sheetName val="SheetGMT"/>
      <sheetName val="Invoices_table"/>
      <sheetName val="Note BS"/>
      <sheetName val="CAPBUDG"/>
      <sheetName val="CAPSALE"/>
      <sheetName val="MTD_Flash_Report"/>
      <sheetName val="Power"/>
      <sheetName val="Jan 2000 Award %"/>
      <sheetName val="1195 LM"/>
      <sheetName val="ABS Structure-Local Curr."/>
      <sheetName val="WPL"/>
      <sheetName val="PM-PL"/>
      <sheetName val="Bal.Sheet"/>
      <sheetName val="Data WP"/>
      <sheetName val="Sample 1721"/>
      <sheetName val="Macro5"/>
      <sheetName val="Jan_2000_Award_%"/>
      <sheetName val="1195_LM"/>
      <sheetName val="ABS_Structure-Local_Curr_"/>
      <sheetName val="Bal_Sheet"/>
      <sheetName val="Data_WP"/>
      <sheetName val="Sample_1721"/>
      <sheetName val="neraca_okt"/>
      <sheetName val="Rpt13_Oth"/>
      <sheetName val="Jan_2000_Award_%1"/>
      <sheetName val="1195_LM1"/>
      <sheetName val="ABS_Structure-Local_Curr_1"/>
      <sheetName val="Bal_Sheet1"/>
      <sheetName val="Data_WP1"/>
      <sheetName val="Sample_17211"/>
      <sheetName val="neraca_okt1"/>
      <sheetName val="Rpt13_Oth1"/>
      <sheetName val="Jan_2000_Award_%2"/>
      <sheetName val="1195_LM2"/>
      <sheetName val="ABS_Structure-Local_Curr_2"/>
      <sheetName val="Bal_Sheet2"/>
      <sheetName val="Data_WP2"/>
      <sheetName val="Sample_17212"/>
      <sheetName val="neraca_okt2"/>
      <sheetName val="Rpt13_Oth2"/>
      <sheetName val="Parameters"/>
      <sheetName val="Indexing"/>
      <sheetName val="Laporan Kegiatan Penjaminan"/>
      <sheetName val="db_Prior"/>
      <sheetName val="Int-Scheme I"/>
      <sheetName val="LIST"/>
      <sheetName val="CC"/>
      <sheetName val="Accts"/>
      <sheetName val="JVID"/>
      <sheetName val="DATA"/>
      <sheetName val="FS"/>
      <sheetName val="PAJE"/>
      <sheetName val="Pakai 1-31 Jan 05"/>
      <sheetName val="bilangan"/>
      <sheetName val="RAB "/>
      <sheetName val="data_(2)"/>
      <sheetName val="TB_ALL7"/>
      <sheetName val="Exc__Rate7"/>
      <sheetName val="TOTAL_Rakor7"/>
      <sheetName val="랙_기능별_물자7"/>
      <sheetName val="BAL_SHEET(2)7"/>
      <sheetName val="K_3_36"/>
      <sheetName val="Table_Array6"/>
      <sheetName val="G_2_16"/>
      <sheetName val="_P06136"/>
      <sheetName val="rugi_laba-NEW6"/>
      <sheetName val="Data_Penjualan6"/>
      <sheetName val="Profit_&amp;_Loss_Account6"/>
      <sheetName val="2006__3_6"/>
      <sheetName val="Proj_Summ6"/>
      <sheetName val="Local_JV6"/>
      <sheetName val="Computer_hardware_(_10_0445_)7"/>
      <sheetName val="T_B6"/>
      <sheetName val="AFTER_556"/>
      <sheetName val="Premi_Iuran6"/>
      <sheetName val="A_4_36"/>
      <sheetName val="A_4_26"/>
      <sheetName val="RumusTB_1_bln6"/>
      <sheetName val="Wizard_-_CSL6"/>
      <sheetName val="Wizard_-_IMG6"/>
      <sheetName val="Internet_-_Catalys-_IP_Suite6"/>
      <sheetName val="Nilai_Stress_&amp;_Adj_NAM6"/>
      <sheetName val="12_pemb_mbl126"/>
      <sheetName val="2__LR_AAS_126"/>
      <sheetName val="Penyusutan__126"/>
      <sheetName val="BELI_JULI6"/>
      <sheetName val="est_proy6"/>
      <sheetName val="Original_AYDA6"/>
      <sheetName val="kkp_pph_216"/>
      <sheetName val="Input-Expected_Case6"/>
      <sheetName val="1770_S6"/>
      <sheetName val="6340_configuration_inputs6"/>
      <sheetName val="5300_306"/>
      <sheetName val="Bangunan__Jkt_6"/>
      <sheetName val="Altman_Z_Score6"/>
      <sheetName val="fin_pro_centers4"/>
      <sheetName val="KKP-II_2_2_1_24"/>
      <sheetName val="TB_ALL5"/>
      <sheetName val="Exc__Rate5"/>
      <sheetName val="TOTAL_Rakor5"/>
      <sheetName val="랙_기능별_물자5"/>
      <sheetName val="BAL_SHEET(2)5"/>
      <sheetName val="K_3_34"/>
      <sheetName val="Table_Array4"/>
      <sheetName val="G_2_14"/>
      <sheetName val="_P06134"/>
      <sheetName val="rugi_laba-NEW4"/>
      <sheetName val="Data_Penjualan4"/>
      <sheetName val="Profit_&amp;_Loss_Account4"/>
      <sheetName val="2006__3_4"/>
      <sheetName val="Proj_Summ4"/>
      <sheetName val="Local_JV4"/>
      <sheetName val="Computer_hardware_(_10_0445_)5"/>
      <sheetName val="T_B4"/>
      <sheetName val="AFTER_554"/>
      <sheetName val="Premi_Iuran4"/>
      <sheetName val="A_4_34"/>
      <sheetName val="A_4_24"/>
      <sheetName val="RumusTB_1_bln4"/>
      <sheetName val="Wizard_-_CSL4"/>
      <sheetName val="Wizard_-_IMG4"/>
      <sheetName val="Internet_-_Catalys-_IP_Suite4"/>
      <sheetName val="Nilai_Stress_&amp;_Adj_NAM4"/>
      <sheetName val="12_pemb_mbl124"/>
      <sheetName val="2__LR_AAS_124"/>
      <sheetName val="Penyusutan__124"/>
      <sheetName val="BELI_JULI4"/>
      <sheetName val="est_proy4"/>
      <sheetName val="Original_AYDA4"/>
      <sheetName val="kkp_pph_214"/>
      <sheetName val="Input-Expected_Case4"/>
      <sheetName val="1770_S4"/>
      <sheetName val="6340_configuration_inputs4"/>
      <sheetName val="5300_304"/>
      <sheetName val="Bangunan__Jkt_4"/>
      <sheetName val="Altman_Z_Score4"/>
      <sheetName val="fin_pro_centers2"/>
      <sheetName val="KKP-II_2_2_1_22"/>
      <sheetName val="TB_ALL6"/>
      <sheetName val="Exc__Rate6"/>
      <sheetName val="TOTAL_Rakor6"/>
      <sheetName val="랙_기능별_물자6"/>
      <sheetName val="BAL_SHEET(2)6"/>
      <sheetName val="K_3_35"/>
      <sheetName val="Table_Array5"/>
      <sheetName val="G_2_15"/>
      <sheetName val="_P06135"/>
      <sheetName val="rugi_laba-NEW5"/>
      <sheetName val="Data_Penjualan5"/>
      <sheetName val="Profit_&amp;_Loss_Account5"/>
      <sheetName val="2006__3_5"/>
      <sheetName val="Proj_Summ5"/>
      <sheetName val="Local_JV5"/>
      <sheetName val="Computer_hardware_(_10_0445_)6"/>
      <sheetName val="T_B5"/>
      <sheetName val="AFTER_555"/>
      <sheetName val="Premi_Iuran5"/>
      <sheetName val="A_4_35"/>
      <sheetName val="A_4_25"/>
      <sheetName val="RumusTB_1_bln5"/>
      <sheetName val="Wizard_-_CSL5"/>
      <sheetName val="Wizard_-_IMG5"/>
      <sheetName val="Internet_-_Catalys-_IP_Suite5"/>
      <sheetName val="Nilai_Stress_&amp;_Adj_NAM5"/>
      <sheetName val="12_pemb_mbl125"/>
      <sheetName val="2__LR_AAS_125"/>
      <sheetName val="Penyusutan__125"/>
      <sheetName val="BELI_JULI5"/>
      <sheetName val="est_proy5"/>
      <sheetName val="Original_AYDA5"/>
      <sheetName val="kkp_pph_215"/>
      <sheetName val="Input-Expected_Case5"/>
      <sheetName val="1770_S5"/>
      <sheetName val="6340_configuration_inputs5"/>
      <sheetName val="5300_305"/>
      <sheetName val="Bangunan__Jkt_5"/>
      <sheetName val="Altman_Z_Score5"/>
      <sheetName val="fin_pro_centers3"/>
      <sheetName val="KKP-II_2_2_1_23"/>
      <sheetName val="HD ALAT"/>
      <sheetName val="RincianQ3_Q4"/>
      <sheetName val="RAP"/>
      <sheetName val="Pac.-2"/>
      <sheetName val="prog-mgu"/>
      <sheetName val="rek det 1-3"/>
      <sheetName val="SUMMARY"/>
      <sheetName val="Sch"/>
      <sheetName val="Foundation"/>
      <sheetName val="D_Vol"/>
      <sheetName val="LPP-2"/>
      <sheetName val="U-3.1.1 telephone"/>
      <sheetName val="U-3.1.3 travel"/>
      <sheetName val="MAP"/>
      <sheetName val="RESUME"/>
      <sheetName val="VAT out"/>
      <sheetName val="RKP"/>
      <sheetName val="RekapLEP"/>
      <sheetName val="Rasio"/>
      <sheetName val="Agregat Halus &amp; Kasar"/>
      <sheetName val="H-Dasar"/>
      <sheetName val="DATAJUNI"/>
      <sheetName val="UPH"/>
      <sheetName val="MAPP"/>
      <sheetName val="DKH"/>
      <sheetName val="PERALATAN PROYEK GOL III A"/>
      <sheetName val="Base Info"/>
      <sheetName val="GP-WB"/>
      <sheetName val="HARGA MATERIAL"/>
      <sheetName val="K3LM"/>
      <sheetName val="HS"/>
      <sheetName val="july"/>
      <sheetName val="june"/>
      <sheetName val="RANGKUM"/>
      <sheetName val="pt-perso"/>
      <sheetName val="MAPP PPTR"/>
      <sheetName val="SDM"/>
      <sheetName val="Bekisting"/>
      <sheetName val="Bab10"/>
      <sheetName val="FURNITUR"/>
      <sheetName val="Breakdown"/>
      <sheetName val="MasterMksAgst07"/>
      <sheetName val="Sales"/>
      <sheetName val="Control"/>
      <sheetName val="Upah"/>
      <sheetName val="Stressing bed"/>
      <sheetName val="pol"/>
      <sheetName val="Pricing-2"/>
      <sheetName val="procure"/>
      <sheetName val="SPT TAHUNAN"/>
      <sheetName val="Rinc_Setoran Astek"/>
      <sheetName val="DPLK_PST"/>
      <sheetName val="jkk_takaful"/>
      <sheetName val="SE"/>
      <sheetName val="DB"/>
      <sheetName val="DATA2009"/>
      <sheetName val="Sales Parameter"/>
      <sheetName val="THN"/>
      <sheetName val="BS-RTI"/>
      <sheetName val="Calc. test w.holding tax 21"/>
      <sheetName val="Rep_BS"/>
      <sheetName val="MCOST1"/>
      <sheetName val="BEP"/>
      <sheetName val="1.SETUP"/>
      <sheetName val="Ranges"/>
      <sheetName val="Analisa Harsat"/>
      <sheetName val="11.FM RKP 51B (RBKA)"/>
      <sheetName val="10.FM RKP 51A (RBKI)"/>
      <sheetName val="hardware100445_B.xls"/>
      <sheetName val="hardware100445_B_xls"/>
      <sheetName val="Jan_2000_Award_%3"/>
      <sheetName val="1195_LM3"/>
      <sheetName val="ABS_Structure-Local_Curr_3"/>
      <sheetName val="Bal_Sheet3"/>
      <sheetName val="Data_WP3"/>
      <sheetName val="Sample_17213"/>
      <sheetName val="neraca_okt3"/>
      <sheetName val="Rpt13_Oth3"/>
      <sheetName val="SALESJAN'03"/>
      <sheetName val="SALESMRT'03"/>
      <sheetName val="Proses_Mesin"/>
      <sheetName val="ANALISA"/>
      <sheetName val="EVA Cap - Op"/>
      <sheetName val="Master"/>
      <sheetName val="AA.1.1 BNI"/>
      <sheetName val="trf multiple"/>
      <sheetName val="Spec"/>
      <sheetName val="Cases"/>
      <sheetName val="StdUsageRM"/>
      <sheetName val="StdUsagePM"/>
      <sheetName val="Info"/>
      <sheetName val="Cover Daf_2"/>
      <sheetName val="Identitas"/>
      <sheetName val="Penyusutan Kendaraan"/>
      <sheetName val="K.1.1.1 HGU"/>
      <sheetName val="Telusur"/>
      <sheetName val="Analisa RAB"/>
      <sheetName val="INP-FARMER_USE1"/>
      <sheetName val="Notes_to_BS"/>
      <sheetName val="53_TALK"/>
      <sheetName val="WBS_2005"/>
      <sheetName val="B_1107"/>
      <sheetName val="Non_Taxable_Income"/>
      <sheetName val="CA_Sheet"/>
      <sheetName val="OTHER_INCOME_&amp;_BY_PERDIVISI"/>
      <sheetName val="Agregat_Halus_&amp;_Kasar"/>
      <sheetName val="Cover_Daf_2"/>
      <sheetName val="Note_BS"/>
      <sheetName val="Laporan_Kegiatan_Penjaminan"/>
      <sheetName val="OPNAME_GOOD_STOCK"/>
      <sheetName val="OPNAME_SALES"/>
      <sheetName val="Int-Scheme_I"/>
      <sheetName val="ARSUtM_"/>
      <sheetName val="Retail_Spider"/>
      <sheetName val="EV_SJB"/>
      <sheetName val="OPNAME_BAD_STOCK"/>
      <sheetName val="Permanent_info"/>
      <sheetName val="IPK_Sem12014"/>
      <sheetName val="4_1_Placement_w_o_b"/>
      <sheetName val="Pakai_1-31_Jan_05"/>
      <sheetName val="INP-FARMER_USE2"/>
      <sheetName val="Notes_to_BS1"/>
      <sheetName val="Rpt13_Oth4"/>
      <sheetName val="53_TALK1"/>
      <sheetName val="WBS_20051"/>
      <sheetName val="B_11071"/>
      <sheetName val="Non_Taxable_Income1"/>
      <sheetName val="CA_Sheet1"/>
      <sheetName val="OTHER_INCOME_&amp;_BY_PERDIVISI1"/>
      <sheetName val="Agregat_Halus_&amp;_Kasar1"/>
      <sheetName val="Cover_Daf_21"/>
      <sheetName val="Note_BS1"/>
      <sheetName val="neraca_okt4"/>
      <sheetName val="Jan_2000_Award_%4"/>
      <sheetName val="1195_LM4"/>
      <sheetName val="ABS_Structure-Local_Curr_4"/>
      <sheetName val="Bal_Sheet4"/>
      <sheetName val="Data_WP4"/>
      <sheetName val="Sample_17214"/>
      <sheetName val="Laporan_Kegiatan_Penjaminan1"/>
      <sheetName val="OPNAME_GOOD_STOCK1"/>
      <sheetName val="OPNAME_SALES1"/>
      <sheetName val="Int-Scheme_I1"/>
      <sheetName val="data_(2)1"/>
      <sheetName val="ARSUtM_1"/>
      <sheetName val="Retail_Spider1"/>
      <sheetName val="EV_SJB1"/>
      <sheetName val="OPNAME_BAD_STOCK1"/>
      <sheetName val="Permanent_info1"/>
      <sheetName val="IPK_Sem120141"/>
      <sheetName val="4_1_Placement_w_o_b1"/>
      <sheetName val="Pakai_1-31_Jan_051"/>
      <sheetName val="pl"/>
      <sheetName val="Lead"/>
      <sheetName val="INP-FARMER_USE3"/>
      <sheetName val="Notes_to_BS2"/>
      <sheetName val="Rpt13_Oth5"/>
      <sheetName val="53_TALK2"/>
      <sheetName val="WBS_20052"/>
      <sheetName val="B_11072"/>
      <sheetName val="Non_Taxable_Income2"/>
      <sheetName val="CA_Sheet2"/>
      <sheetName val="OTHER_INCOME_&amp;_BY_PERDIVISI2"/>
      <sheetName val="Agregat_Halus_&amp;_Kasar2"/>
      <sheetName val="Cover_Daf_22"/>
      <sheetName val="Note_BS2"/>
      <sheetName val="neraca_okt5"/>
      <sheetName val="Jan_2000_Award_%5"/>
      <sheetName val="1195_LM5"/>
      <sheetName val="ABS_Structure-Local_Curr_5"/>
      <sheetName val="Bal_Sheet5"/>
      <sheetName val="Data_WP5"/>
      <sheetName val="Sample_17215"/>
      <sheetName val="Laporan_Kegiatan_Penjaminan2"/>
      <sheetName val="OPNAME_GOOD_STOCK2"/>
      <sheetName val="OPNAME_SALES2"/>
      <sheetName val="Int-Scheme_I2"/>
      <sheetName val="data_(2)2"/>
      <sheetName val="ARSUtM_2"/>
      <sheetName val="Retail_Spider2"/>
      <sheetName val="EV_SJB2"/>
      <sheetName val="OPNAME_BAD_STOCK2"/>
      <sheetName val="Permanent_info2"/>
      <sheetName val="IPK_Sem120142"/>
      <sheetName val="4_1_Placement_w_o_b2"/>
      <sheetName val="Pakai_1-31_Jan_052"/>
      <sheetName val="INP-FARMER_USE4"/>
      <sheetName val="Notes_to_BS3"/>
      <sheetName val="Rpt13_Oth6"/>
      <sheetName val="53_TALK3"/>
      <sheetName val="WBS_20053"/>
      <sheetName val="B_11073"/>
      <sheetName val="Non_Taxable_Income3"/>
      <sheetName val="CA_Sheet3"/>
      <sheetName val="OTHER_INCOME_&amp;_BY_PERDIVISI3"/>
      <sheetName val="Agregat_Halus_&amp;_Kasar3"/>
      <sheetName val="Cover_Daf_23"/>
      <sheetName val="Note_BS3"/>
      <sheetName val="neraca_okt6"/>
      <sheetName val="Jan_2000_Award_%6"/>
      <sheetName val="1195_LM6"/>
      <sheetName val="ABS_Structure-Local_Curr_6"/>
      <sheetName val="Bal_Sheet6"/>
      <sheetName val="Data_WP6"/>
      <sheetName val="Sample_17216"/>
      <sheetName val="Laporan_Kegiatan_Penjaminan3"/>
      <sheetName val="OPNAME_GOOD_STOCK3"/>
      <sheetName val="OPNAME_SALES3"/>
      <sheetName val="Int-Scheme_I3"/>
      <sheetName val="data_(2)3"/>
      <sheetName val="ARSUtM_3"/>
      <sheetName val="Retail_Spider3"/>
      <sheetName val="EV_SJB3"/>
      <sheetName val="OPNAME_BAD_STOCK3"/>
      <sheetName val="Permanent_info3"/>
      <sheetName val="IPK_Sem120143"/>
      <sheetName val="4_1_Placement_w_o_b3"/>
      <sheetName val="Pakai_1-31_Jan_053"/>
      <sheetName val="TB_ALL8"/>
      <sheetName val="랙_기능별_물자8"/>
      <sheetName val="TOTAL_Rakor8"/>
      <sheetName val="Exc__Rate8"/>
      <sheetName val="BAL_SHEET(2)8"/>
      <sheetName val="K_3_37"/>
      <sheetName val="Table_Array8"/>
      <sheetName val="G_2_17"/>
      <sheetName val="_P06137"/>
      <sheetName val="rugi_laba-NEW7"/>
      <sheetName val="Data_Penjualan7"/>
      <sheetName val="Proj_Summ8"/>
      <sheetName val="Local_JV7"/>
      <sheetName val="Computer_hardware_(_10_0445_)8"/>
      <sheetName val="T_B7"/>
      <sheetName val="AFTER_558"/>
      <sheetName val="Premi_Iuran8"/>
      <sheetName val="A_4_37"/>
      <sheetName val="A_4_27"/>
      <sheetName val="2006__3_7"/>
      <sheetName val="Profit_&amp;_Loss_Account7"/>
      <sheetName val="RumusTB_1_bln8"/>
      <sheetName val="BELI_JULI7"/>
      <sheetName val="Wizard_-_CSL7"/>
      <sheetName val="Wizard_-_IMG7"/>
      <sheetName val="Internet_-_Catalys-_IP_Suite7"/>
      <sheetName val="Nilai_Stress_&amp;_Adj_NAM7"/>
      <sheetName val="12_pemb_mbl127"/>
      <sheetName val="2__LR_AAS_127"/>
      <sheetName val="Penyusutan__127"/>
      <sheetName val="est_proy7"/>
      <sheetName val="Input-Expected_Case7"/>
      <sheetName val="Original_AYDA7"/>
      <sheetName val="kkp_pph_217"/>
      <sheetName val="INP-FARMER_USE6"/>
      <sheetName val="Notes_to_BS5"/>
      <sheetName val="1770_S7"/>
      <sheetName val="6340_configuration_inputs7"/>
      <sheetName val="5300_307"/>
      <sheetName val="Bangunan__Jkt_7"/>
      <sheetName val="Altman_Z_Score7"/>
      <sheetName val="fin_pro_centers5"/>
      <sheetName val="KKP-II_2_2_1_26"/>
      <sheetName val="Rpt13_Oth8"/>
      <sheetName val="53_TALK5"/>
      <sheetName val="WBS_20055"/>
      <sheetName val="B_11075"/>
      <sheetName val="Non_Taxable_Income5"/>
      <sheetName val="CA_Sheet5"/>
      <sheetName val="OTHER_INCOME_&amp;_BY_PERDIVISI5"/>
      <sheetName val="Agregat_Halus_&amp;_Kasar5"/>
      <sheetName val="Cover_Daf_25"/>
      <sheetName val="Note_BS5"/>
      <sheetName val="neraca_okt8"/>
      <sheetName val="Jan_2000_Award_%8"/>
      <sheetName val="1195_LM8"/>
      <sheetName val="ABS_Structure-Local_Curr_8"/>
      <sheetName val="Bal_Sheet8"/>
      <sheetName val="Data_WP8"/>
      <sheetName val="Sample_17218"/>
      <sheetName val="Laporan_Kegiatan_Penjaminan5"/>
      <sheetName val="OPNAME_GOOD_STOCK5"/>
      <sheetName val="OPNAME_SALES5"/>
      <sheetName val="Int-Scheme_I5"/>
      <sheetName val="data_(2)5"/>
      <sheetName val="ARSUtM_5"/>
      <sheetName val="Retail_Spider5"/>
      <sheetName val="EV_SJB5"/>
      <sheetName val="OPNAME_BAD_STOCK5"/>
      <sheetName val="Permanent_info5"/>
      <sheetName val="IPK_Sem120145"/>
      <sheetName val="4_1_Placement_w_o_b5"/>
      <sheetName val="Pakai_1-31_Jan_055"/>
      <sheetName val="Table_Array7"/>
      <sheetName val="Proj_Summ7"/>
      <sheetName val="AFTER_557"/>
      <sheetName val="Premi_Iuran7"/>
      <sheetName val="RumusTB_1_bln7"/>
      <sheetName val="INP-FARMER_USE5"/>
      <sheetName val="Notes_to_BS4"/>
      <sheetName val="KKP-II_2_2_1_25"/>
      <sheetName val="Rpt13_Oth7"/>
      <sheetName val="53_TALK4"/>
      <sheetName val="WBS_20054"/>
      <sheetName val="B_11074"/>
      <sheetName val="Non_Taxable_Income4"/>
      <sheetName val="CA_Sheet4"/>
      <sheetName val="OTHER_INCOME_&amp;_BY_PERDIVISI4"/>
      <sheetName val="Agregat_Halus_&amp;_Kasar4"/>
      <sheetName val="Cover_Daf_24"/>
      <sheetName val="Note_BS4"/>
      <sheetName val="neraca_okt7"/>
      <sheetName val="Jan_2000_Award_%7"/>
      <sheetName val="1195_LM7"/>
      <sheetName val="ABS_Structure-Local_Curr_7"/>
      <sheetName val="Bal_Sheet7"/>
      <sheetName val="Data_WP7"/>
      <sheetName val="Sample_17217"/>
      <sheetName val="Laporan_Kegiatan_Penjaminan4"/>
      <sheetName val="OPNAME_GOOD_STOCK4"/>
      <sheetName val="OPNAME_SALES4"/>
      <sheetName val="Int-Scheme_I4"/>
      <sheetName val="data_(2)4"/>
      <sheetName val="ARSUtM_4"/>
      <sheetName val="Retail_Spider4"/>
      <sheetName val="EV_SJB4"/>
      <sheetName val="OPNAME_BAD_STOCK4"/>
      <sheetName val="Permanent_info4"/>
      <sheetName val="IPK_Sem120144"/>
      <sheetName val="4_1_Placement_w_o_b4"/>
      <sheetName val="Pakai_1-31_Jan_054"/>
      <sheetName val="TB_ALL9"/>
      <sheetName val="랙_기능별_물자9"/>
      <sheetName val="TOTAL_Rakor9"/>
      <sheetName val="Exc__Rate9"/>
      <sheetName val="BAL_SHEET(2)9"/>
      <sheetName val="K_3_38"/>
      <sheetName val="Table_Array9"/>
      <sheetName val="G_2_18"/>
      <sheetName val="_P06138"/>
      <sheetName val="rugi_laba-NEW8"/>
      <sheetName val="Data_Penjualan8"/>
      <sheetName val="Proj_Summ9"/>
      <sheetName val="Local_JV8"/>
      <sheetName val="Computer_hardware_(_10_0445_)9"/>
      <sheetName val="T_B8"/>
      <sheetName val="AFTER_559"/>
      <sheetName val="Premi_Iuran9"/>
      <sheetName val="A_4_38"/>
      <sheetName val="A_4_28"/>
      <sheetName val="2006__3_8"/>
      <sheetName val="Profit_&amp;_Loss_Account8"/>
      <sheetName val="RumusTB_1_bln9"/>
      <sheetName val="BELI_JULI8"/>
      <sheetName val="Wizard_-_CSL8"/>
      <sheetName val="Wizard_-_IMG8"/>
      <sheetName val="Internet_-_Catalys-_IP_Suite8"/>
      <sheetName val="Nilai_Stress_&amp;_Adj_NAM8"/>
      <sheetName val="12_pemb_mbl128"/>
      <sheetName val="2__LR_AAS_128"/>
      <sheetName val="Penyusutan__128"/>
      <sheetName val="est_proy8"/>
      <sheetName val="Input-Expected_Case8"/>
      <sheetName val="Original_AYDA8"/>
      <sheetName val="kkp_pph_218"/>
      <sheetName val="INP-FARMER_USE7"/>
      <sheetName val="Notes_to_BS6"/>
      <sheetName val="1770_S8"/>
      <sheetName val="6340_configuration_inputs8"/>
      <sheetName val="5300_308"/>
      <sheetName val="Bangunan__Jkt_8"/>
      <sheetName val="Altman_Z_Score8"/>
      <sheetName val="fin_pro_centers6"/>
      <sheetName val="KKP-II_2_2_1_27"/>
      <sheetName val="Rpt13_Oth9"/>
      <sheetName val="53_TALK6"/>
      <sheetName val="WBS_20056"/>
      <sheetName val="B_11076"/>
      <sheetName val="Non_Taxable_Income6"/>
      <sheetName val="CA_Sheet6"/>
      <sheetName val="OTHER_INCOME_&amp;_BY_PERDIVISI6"/>
      <sheetName val="Agregat_Halus_&amp;_Kasar6"/>
      <sheetName val="Cover_Daf_26"/>
      <sheetName val="Note_BS6"/>
      <sheetName val="neraca_okt9"/>
      <sheetName val="Jan_2000_Award_%9"/>
      <sheetName val="1195_LM9"/>
      <sheetName val="ABS_Structure-Local_Curr_9"/>
      <sheetName val="Bal_Sheet9"/>
      <sheetName val="Data_WP9"/>
      <sheetName val="Sample_17219"/>
      <sheetName val="Laporan_Kegiatan_Penjaminan6"/>
      <sheetName val="OPNAME_GOOD_STOCK6"/>
      <sheetName val="OPNAME_SALES6"/>
      <sheetName val="Int-Scheme_I6"/>
      <sheetName val="data_(2)6"/>
      <sheetName val="ARSUtM_6"/>
      <sheetName val="Retail_Spider6"/>
      <sheetName val="EV_SJB6"/>
      <sheetName val="OPNAME_BAD_STOCK6"/>
      <sheetName val="Permanent_info6"/>
      <sheetName val="IPK_Sem120146"/>
      <sheetName val="4_1_Placement_w_o_b6"/>
      <sheetName val="Pakai_1-31_Jan_056"/>
      <sheetName val="TB_ALL10"/>
      <sheetName val="랙_기능별_물자10"/>
      <sheetName val="TOTAL_Rakor10"/>
      <sheetName val="Exc__Rate10"/>
      <sheetName val="BAL_SHEET(2)10"/>
      <sheetName val="K_3_39"/>
      <sheetName val="Table_Array10"/>
      <sheetName val="G_2_19"/>
      <sheetName val="_P06139"/>
      <sheetName val="rugi_laba-NEW9"/>
      <sheetName val="Data_Penjualan9"/>
      <sheetName val="Proj_Summ10"/>
      <sheetName val="Local_JV9"/>
      <sheetName val="Computer_hardware_(_10_0445_)10"/>
      <sheetName val="T_B9"/>
      <sheetName val="AFTER_5510"/>
      <sheetName val="Premi_Iuran10"/>
      <sheetName val="A_4_39"/>
      <sheetName val="A_4_29"/>
      <sheetName val="2006__3_9"/>
      <sheetName val="Profit_&amp;_Loss_Account9"/>
      <sheetName val="RumusTB_1_bln10"/>
      <sheetName val="BELI_JULI9"/>
      <sheetName val="Wizard_-_CSL9"/>
      <sheetName val="Wizard_-_IMG9"/>
      <sheetName val="Internet_-_Catalys-_IP_Suite9"/>
      <sheetName val="Nilai_Stress_&amp;_Adj_NAM9"/>
      <sheetName val="12_pemb_mbl129"/>
      <sheetName val="2__LR_AAS_129"/>
      <sheetName val="Penyusutan__129"/>
      <sheetName val="est_proy9"/>
      <sheetName val="Input-Expected_Case9"/>
      <sheetName val="Original_AYDA9"/>
      <sheetName val="kkp_pph_219"/>
      <sheetName val="INP-FARMER_USE8"/>
      <sheetName val="Notes_to_BS7"/>
      <sheetName val="1770_S9"/>
      <sheetName val="6340_configuration_inputs9"/>
      <sheetName val="5300_309"/>
      <sheetName val="Bangunan__Jkt_9"/>
      <sheetName val="Altman_Z_Score9"/>
      <sheetName val="fin_pro_centers7"/>
      <sheetName val="KKP-II_2_2_1_28"/>
      <sheetName val="Rpt13_Oth10"/>
      <sheetName val="53_TALK7"/>
      <sheetName val="WBS_20057"/>
      <sheetName val="B_11077"/>
      <sheetName val="Non_Taxable_Income7"/>
      <sheetName val="CA_Sheet7"/>
      <sheetName val="OTHER_INCOME_&amp;_BY_PERDIVISI7"/>
      <sheetName val="Agregat_Halus_&amp;_Kasar7"/>
      <sheetName val="Cover_Daf_27"/>
      <sheetName val="Note_BS7"/>
      <sheetName val="neraca_okt10"/>
      <sheetName val="Jan_2000_Award_%10"/>
      <sheetName val="1195_LM10"/>
      <sheetName val="ABS_Structure-Local_Curr_10"/>
      <sheetName val="Bal_Sheet10"/>
      <sheetName val="Data_WP10"/>
      <sheetName val="Sample_172110"/>
      <sheetName val="Laporan_Kegiatan_Penjaminan7"/>
      <sheetName val="OPNAME_GOOD_STOCK7"/>
      <sheetName val="OPNAME_SALES7"/>
      <sheetName val="Int-Scheme_I7"/>
      <sheetName val="data_(2)7"/>
      <sheetName val="ARSUtM_7"/>
      <sheetName val="Retail_Spider7"/>
      <sheetName val="EV_SJB7"/>
      <sheetName val="OPNAME_BAD_STOCK7"/>
      <sheetName val="Permanent_info7"/>
      <sheetName val="IPK_Sem120147"/>
      <sheetName val="4_1_Placement_w_o_b7"/>
      <sheetName val="Pakai_1-31_Jan_057"/>
      <sheetName val="TB_ALL12"/>
      <sheetName val="랙_기능별_물자12"/>
      <sheetName val="TOTAL_Rakor12"/>
      <sheetName val="Exc__Rate12"/>
      <sheetName val="BAL_SHEET(2)12"/>
      <sheetName val="K_3_311"/>
      <sheetName val="Table_Array12"/>
      <sheetName val="G_2_111"/>
      <sheetName val="_P061311"/>
      <sheetName val="rugi_laba-NEW11"/>
      <sheetName val="Data_Penjualan11"/>
      <sheetName val="Proj_Summ12"/>
      <sheetName val="Local_JV11"/>
      <sheetName val="Computer_hardware_(_10_0445_)12"/>
      <sheetName val="T_B11"/>
      <sheetName val="AFTER_5512"/>
      <sheetName val="Premi_Iuran12"/>
      <sheetName val="A_4_311"/>
      <sheetName val="A_4_211"/>
      <sheetName val="2006__3_11"/>
      <sheetName val="Profit_&amp;_Loss_Account11"/>
      <sheetName val="RumusTB_1_bln12"/>
      <sheetName val="BELI_JULI11"/>
      <sheetName val="Wizard_-_CSL11"/>
      <sheetName val="Wizard_-_IMG11"/>
      <sheetName val="Internet_-_Catalys-_IP_Suite11"/>
      <sheetName val="Nilai_Stress_&amp;_Adj_NAM11"/>
      <sheetName val="12_pemb_mbl1211"/>
      <sheetName val="2__LR_AAS_1211"/>
      <sheetName val="Penyusutan__1211"/>
      <sheetName val="est_proy11"/>
      <sheetName val="Input-Expected_Case11"/>
      <sheetName val="Original_AYDA11"/>
      <sheetName val="kkp_pph_2111"/>
      <sheetName val="INP-FARMER_USE10"/>
      <sheetName val="Notes_to_BS9"/>
      <sheetName val="1770_S11"/>
      <sheetName val="6340_configuration_inputs11"/>
      <sheetName val="5300_3011"/>
      <sheetName val="Bangunan__Jkt_11"/>
      <sheetName val="Altman_Z_Score11"/>
      <sheetName val="fin_pro_centers9"/>
      <sheetName val="KKP-II_2_2_1_210"/>
      <sheetName val="Rpt13_Oth12"/>
      <sheetName val="53_TALK9"/>
      <sheetName val="WBS_20059"/>
      <sheetName val="B_11079"/>
      <sheetName val="Non_Taxable_Income9"/>
      <sheetName val="CA_Sheet9"/>
      <sheetName val="OTHER_INCOME_&amp;_BY_PERDIVISI9"/>
      <sheetName val="Agregat_Halus_&amp;_Kasar9"/>
      <sheetName val="Cover_Daf_29"/>
      <sheetName val="Note_BS9"/>
      <sheetName val="neraca_okt12"/>
      <sheetName val="Jan_2000_Award_%12"/>
      <sheetName val="1195_LM12"/>
      <sheetName val="ABS_Structure-Local_Curr_12"/>
      <sheetName val="Bal_Sheet12"/>
      <sheetName val="Data_WP12"/>
      <sheetName val="Sample_172112"/>
      <sheetName val="Laporan_Kegiatan_Penjaminan9"/>
      <sheetName val="OPNAME_GOOD_STOCK9"/>
      <sheetName val="OPNAME_SALES9"/>
      <sheetName val="Int-Scheme_I9"/>
      <sheetName val="data_(2)9"/>
      <sheetName val="ARSUtM_9"/>
      <sheetName val="Retail_Spider9"/>
      <sheetName val="EV_SJB9"/>
      <sheetName val="OPNAME_BAD_STOCK9"/>
      <sheetName val="Permanent_info9"/>
      <sheetName val="IPK_Sem120149"/>
      <sheetName val="4_1_Placement_w_o_b9"/>
      <sheetName val="Pakai_1-31_Jan_059"/>
      <sheetName val="TB_ALL11"/>
      <sheetName val="랙_기능별_물자11"/>
      <sheetName val="TOTAL_Rakor11"/>
      <sheetName val="Exc__Rate11"/>
      <sheetName val="BAL_SHEET(2)11"/>
      <sheetName val="K_3_310"/>
      <sheetName val="Table_Array11"/>
      <sheetName val="G_2_110"/>
      <sheetName val="_P061310"/>
      <sheetName val="rugi_laba-NEW10"/>
      <sheetName val="Data_Penjualan10"/>
      <sheetName val="Proj_Summ11"/>
      <sheetName val="Local_JV10"/>
      <sheetName val="Computer_hardware_(_10_0445_)11"/>
      <sheetName val="T_B10"/>
      <sheetName val="AFTER_5511"/>
      <sheetName val="Premi_Iuran11"/>
      <sheetName val="A_4_310"/>
      <sheetName val="A_4_210"/>
      <sheetName val="2006__3_10"/>
      <sheetName val="Profit_&amp;_Loss_Account10"/>
      <sheetName val="RumusTB_1_bln11"/>
      <sheetName val="BELI_JULI10"/>
      <sheetName val="Wizard_-_CSL10"/>
      <sheetName val="Wizard_-_IMG10"/>
      <sheetName val="Internet_-_Catalys-_IP_Suite10"/>
      <sheetName val="Nilai_Stress_&amp;_Adj_NAM10"/>
      <sheetName val="12_pemb_mbl1210"/>
      <sheetName val="2__LR_AAS_1210"/>
      <sheetName val="Penyusutan__1210"/>
      <sheetName val="est_proy10"/>
      <sheetName val="Input-Expected_Case10"/>
      <sheetName val="Original_AYDA10"/>
      <sheetName val="kkp_pph_2110"/>
      <sheetName val="INP-FARMER_USE9"/>
      <sheetName val="Notes_to_BS8"/>
      <sheetName val="1770_S10"/>
      <sheetName val="6340_configuration_inputs10"/>
      <sheetName val="5300_3010"/>
      <sheetName val="Bangunan__Jkt_10"/>
      <sheetName val="Altman_Z_Score10"/>
      <sheetName val="fin_pro_centers8"/>
      <sheetName val="KKP-II_2_2_1_29"/>
      <sheetName val="Rpt13_Oth11"/>
      <sheetName val="53_TALK8"/>
      <sheetName val="WBS_20058"/>
      <sheetName val="B_11078"/>
      <sheetName val="Non_Taxable_Income8"/>
      <sheetName val="CA_Sheet8"/>
      <sheetName val="OTHER_INCOME_&amp;_BY_PERDIVISI8"/>
      <sheetName val="Agregat_Halus_&amp;_Kasar8"/>
      <sheetName val="Cover_Daf_28"/>
      <sheetName val="Note_BS8"/>
      <sheetName val="neraca_okt11"/>
      <sheetName val="Jan_2000_Award_%11"/>
      <sheetName val="1195_LM11"/>
      <sheetName val="ABS_Structure-Local_Curr_11"/>
      <sheetName val="Bal_Sheet11"/>
      <sheetName val="Data_WP11"/>
      <sheetName val="Sample_172111"/>
      <sheetName val="Laporan_Kegiatan_Penjaminan8"/>
      <sheetName val="OPNAME_GOOD_STOCK8"/>
      <sheetName val="OPNAME_SALES8"/>
      <sheetName val="Int-Scheme_I8"/>
      <sheetName val="data_(2)8"/>
      <sheetName val="ARSUtM_8"/>
      <sheetName val="Retail_Spider8"/>
      <sheetName val="EV_SJB8"/>
      <sheetName val="OPNAME_BAD_STOCK8"/>
      <sheetName val="Permanent_info8"/>
      <sheetName val="IPK_Sem120148"/>
      <sheetName val="4_1_Placement_w_o_b8"/>
      <sheetName val="Pakai_1-31_Jan_058"/>
      <sheetName val="TB_ALL13"/>
      <sheetName val="TOTAL_Rakor13"/>
      <sheetName val="Exc__Rate13"/>
      <sheetName val="랙_기능별_물자13"/>
      <sheetName val="BAL_SHEET(2)13"/>
      <sheetName val="K_3_312"/>
      <sheetName val="Table_Array13"/>
      <sheetName val="G_2_112"/>
      <sheetName val="_P061312"/>
      <sheetName val="rugi_laba-NEW12"/>
      <sheetName val="Data_Penjualan12"/>
      <sheetName val="Proj_Summ13"/>
      <sheetName val="Local_JV12"/>
      <sheetName val="Computer_hardware_(_10_0445_)13"/>
      <sheetName val="T_B12"/>
      <sheetName val="AFTER_5513"/>
      <sheetName val="Premi_Iuran13"/>
      <sheetName val="A_4_312"/>
      <sheetName val="A_4_212"/>
      <sheetName val="2006__3_12"/>
      <sheetName val="Profit_&amp;_Loss_Account12"/>
      <sheetName val="RumusTB_1_bln13"/>
      <sheetName val="BELI_JULI12"/>
      <sheetName val="Wizard_-_CSL12"/>
      <sheetName val="Wizard_-_IMG12"/>
      <sheetName val="Internet_-_Catalys-_IP_Suite12"/>
      <sheetName val="Nilai_Stress_&amp;_Adj_NAM12"/>
      <sheetName val="12_pemb_mbl1212"/>
      <sheetName val="2__LR_AAS_1212"/>
      <sheetName val="Penyusutan__1212"/>
      <sheetName val="est_proy12"/>
      <sheetName val="Original_AYDA12"/>
      <sheetName val="kkp_pph_2112"/>
      <sheetName val="Bangunan__Jkt_12"/>
      <sheetName val="Altman_Z_Score12"/>
      <sheetName val="Input-Expected_Case12"/>
      <sheetName val="1770_S12"/>
      <sheetName val="6340_configuration_inputs12"/>
      <sheetName val="5300_3012"/>
      <sheetName val="fin_pro_centers10"/>
      <sheetName val="KKP-II_2_2_1_211"/>
      <sheetName val="Rpt13_Oth13"/>
      <sheetName val="INP-FARMER_USE11"/>
      <sheetName val="WBS_200510"/>
      <sheetName val="B_110710"/>
      <sheetName val="Non_Taxable_Income10"/>
      <sheetName val="53_TALK10"/>
      <sheetName val="CA_Sheet10"/>
      <sheetName val="OTHER_INCOME_&amp;_BY_PERDIVISI10"/>
      <sheetName val="Note_BS10"/>
      <sheetName val="neraca_okt13"/>
      <sheetName val="Notes_to_BS10"/>
      <sheetName val="Jan_2000_Award_%13"/>
      <sheetName val="1195_LM13"/>
      <sheetName val="ABS_Structure-Local_Curr_13"/>
      <sheetName val="Bal_Sheet13"/>
      <sheetName val="Data_WP13"/>
      <sheetName val="Sample_172113"/>
      <sheetName val="Laporan_Kegiatan_Penjaminan10"/>
      <sheetName val="OPNAME_GOOD_STOCK10"/>
      <sheetName val="OPNAME_SALES10"/>
      <sheetName val="Int-Scheme_I10"/>
      <sheetName val="Agregat_Halus_&amp;_Kasar10"/>
      <sheetName val="data_(2)10"/>
      <sheetName val="ARSUtM_10"/>
      <sheetName val="Retail_Spider10"/>
      <sheetName val="EV_SJB10"/>
      <sheetName val="OPNAME_BAD_STOCK10"/>
      <sheetName val="Permanent_info10"/>
      <sheetName val="IPK_Sem1201410"/>
      <sheetName val="4_1_Placement_w_o_b10"/>
      <sheetName val="Pakai_1-31_Jan_0510"/>
      <sheetName val="Cover_Daf_210"/>
      <sheetName val="TB_ALL14"/>
      <sheetName val="랙_기능별_물자14"/>
      <sheetName val="TOTAL_Rakor14"/>
      <sheetName val="Exc__Rate14"/>
      <sheetName val="BAL_SHEET(2)14"/>
      <sheetName val="K_3_313"/>
      <sheetName val="Table_Array14"/>
      <sheetName val="G_2_113"/>
      <sheetName val="_P061313"/>
      <sheetName val="rugi_laba-NEW13"/>
      <sheetName val="Data_Penjualan13"/>
      <sheetName val="Proj_Summ14"/>
      <sheetName val="Local_JV13"/>
      <sheetName val="Computer_hardware_(_10_0445_)14"/>
      <sheetName val="T_B13"/>
      <sheetName val="AFTER_5514"/>
      <sheetName val="Premi_Iuran14"/>
      <sheetName val="A_4_313"/>
      <sheetName val="A_4_213"/>
      <sheetName val="2006__3_13"/>
      <sheetName val="Profit_&amp;_Loss_Account13"/>
      <sheetName val="RumusTB_1_bln14"/>
      <sheetName val="BELI_JULI13"/>
      <sheetName val="Wizard_-_CSL13"/>
      <sheetName val="Wizard_-_IMG13"/>
      <sheetName val="Internet_-_Catalys-_IP_Suite13"/>
      <sheetName val="Nilai_Stress_&amp;_Adj_NAM13"/>
      <sheetName val="12_pemb_mbl1213"/>
      <sheetName val="2__LR_AAS_1213"/>
      <sheetName val="Penyusutan__1213"/>
      <sheetName val="est_proy13"/>
      <sheetName val="Input-Expected_Case13"/>
      <sheetName val="Original_AYDA13"/>
      <sheetName val="kkp_pph_2113"/>
      <sheetName val="INP-FARMER_USE12"/>
      <sheetName val="Notes_to_BS11"/>
      <sheetName val="1770_S13"/>
      <sheetName val="6340_configuration_inputs13"/>
      <sheetName val="5300_3013"/>
      <sheetName val="Bangunan__Jkt_13"/>
      <sheetName val="Altman_Z_Score13"/>
      <sheetName val="fin_pro_centers11"/>
      <sheetName val="KKP-II_2_2_1_212"/>
      <sheetName val="Rpt13_Oth14"/>
      <sheetName val="53_TALK11"/>
      <sheetName val="WBS_200511"/>
      <sheetName val="B_110711"/>
      <sheetName val="Non_Taxable_Income11"/>
      <sheetName val="CA_Sheet11"/>
      <sheetName val="OTHER_INCOME_&amp;_BY_PERDIVISI11"/>
      <sheetName val="Agregat_Halus_&amp;_Kasar11"/>
      <sheetName val="Cover_Daf_211"/>
      <sheetName val="Note_BS11"/>
      <sheetName val="neraca_okt14"/>
      <sheetName val="Jan_2000_Award_%14"/>
      <sheetName val="1195_LM14"/>
      <sheetName val="ABS_Structure-Local_Curr_14"/>
      <sheetName val="Bal_Sheet14"/>
      <sheetName val="Data_WP14"/>
      <sheetName val="Sample_172114"/>
      <sheetName val="Laporan_Kegiatan_Penjaminan11"/>
      <sheetName val="OPNAME_GOOD_STOCK11"/>
      <sheetName val="OPNAME_SALES11"/>
      <sheetName val="Int-Scheme_I11"/>
      <sheetName val="data_(2)11"/>
      <sheetName val="ARSUtM_11"/>
      <sheetName val="Retail_Spider11"/>
      <sheetName val="EV_SJB11"/>
      <sheetName val="OPNAME_BAD_STOCK11"/>
      <sheetName val="Permanent_info11"/>
      <sheetName val="IPK_Sem1201411"/>
      <sheetName val="4_1_Placement_w_o_b11"/>
      <sheetName val="Pakai_1-31_Jan_0511"/>
      <sheetName val="TB_ALL15"/>
      <sheetName val="랙_기능별_물자15"/>
      <sheetName val="TOTAL_Rakor15"/>
      <sheetName val="Exc__Rate15"/>
      <sheetName val="BAL_SHEET(2)15"/>
      <sheetName val="K_3_314"/>
      <sheetName val="Table_Array15"/>
      <sheetName val="G_2_114"/>
      <sheetName val="_P061314"/>
      <sheetName val="rugi_laba-NEW14"/>
      <sheetName val="Data_Penjualan14"/>
      <sheetName val="Proj_Summ15"/>
      <sheetName val="Local_JV14"/>
      <sheetName val="Computer_hardware_(_10_0445_)15"/>
      <sheetName val="T_B14"/>
      <sheetName val="AFTER_5515"/>
      <sheetName val="Premi_Iuran15"/>
      <sheetName val="A_4_314"/>
      <sheetName val="A_4_214"/>
      <sheetName val="2006__3_14"/>
      <sheetName val="Profit_&amp;_Loss_Account14"/>
      <sheetName val="RumusTB_1_bln15"/>
      <sheetName val="BELI_JULI14"/>
      <sheetName val="Wizard_-_CSL14"/>
      <sheetName val="Wizard_-_IMG14"/>
      <sheetName val="Internet_-_Catalys-_IP_Suite14"/>
      <sheetName val="Nilai_Stress_&amp;_Adj_NAM14"/>
      <sheetName val="12_pemb_mbl1214"/>
      <sheetName val="2__LR_AAS_1214"/>
      <sheetName val="Penyusutan__1214"/>
      <sheetName val="est_proy14"/>
      <sheetName val="Input-Expected_Case14"/>
      <sheetName val="Original_AYDA14"/>
      <sheetName val="kkp_pph_2114"/>
      <sheetName val="INP-FARMER_USE13"/>
      <sheetName val="Notes_to_BS12"/>
      <sheetName val="1770_S14"/>
      <sheetName val="6340_configuration_inputs14"/>
      <sheetName val="5300_3014"/>
      <sheetName val="Bangunan__Jkt_14"/>
      <sheetName val="Altman_Z_Score14"/>
      <sheetName val="fin_pro_centers12"/>
      <sheetName val="KKP-II_2_2_1_213"/>
      <sheetName val="Rpt13_Oth15"/>
      <sheetName val="53_TALK12"/>
      <sheetName val="WBS_200512"/>
      <sheetName val="B_110712"/>
      <sheetName val="Non_Taxable_Income12"/>
      <sheetName val="CA_Sheet12"/>
      <sheetName val="OTHER_INCOME_&amp;_BY_PERDIVISI12"/>
      <sheetName val="Agregat_Halus_&amp;_Kasar12"/>
      <sheetName val="Cover_Daf_212"/>
      <sheetName val="Note_BS12"/>
      <sheetName val="neraca_okt15"/>
      <sheetName val="Jan_2000_Award_%15"/>
      <sheetName val="1195_LM15"/>
      <sheetName val="ABS_Structure-Local_Curr_15"/>
      <sheetName val="Bal_Sheet15"/>
      <sheetName val="Data_WP15"/>
      <sheetName val="Sample_172115"/>
      <sheetName val="Laporan_Kegiatan_Penjaminan12"/>
      <sheetName val="OPNAME_GOOD_STOCK12"/>
      <sheetName val="OPNAME_SALES12"/>
      <sheetName val="Int-Scheme_I12"/>
      <sheetName val="data_(2)12"/>
      <sheetName val="ARSUtM_12"/>
      <sheetName val="Retail_Spider12"/>
      <sheetName val="EV_SJB12"/>
      <sheetName val="OPNAME_BAD_STOCK12"/>
      <sheetName val="Permanent_info12"/>
      <sheetName val="IPK_Sem1201412"/>
      <sheetName val="4_1_Placement_w_o_b12"/>
      <sheetName val="Pakai_1-31_Jan_0512"/>
      <sheetName val="HPP"/>
      <sheetName val="STOCK AKHIR"/>
      <sheetName val="RateTax"/>
      <sheetName val="supporting data"/>
      <sheetName val="EVA_Cap_-_Op"/>
      <sheetName val="AA_1_1_BNI"/>
      <sheetName val="U-3_1_1_telephone"/>
      <sheetName val="U-3_1_3_travel"/>
      <sheetName val="Penyusutan_Kendaraan"/>
      <sheetName val="K_1_1_1_HGU"/>
      <sheetName val="FBL5n 14 Sep 08"/>
      <sheetName val="TB"/>
      <sheetName val="lampiran konfirmasi 94"/>
      <sheetName val="ESG local"/>
      <sheetName val="IC Exp"/>
      <sheetName val="ENG-101"/>
      <sheetName val="Assumptions"/>
      <sheetName val="421010Dec04"/>
      <sheetName val="#REF"/>
      <sheetName val="EXP-RAW (2)"/>
      <sheetName val="SELISIHKURSSOURCE"/>
      <sheetName val="akun"/>
      <sheetName val="Contractual Terms(1)"/>
      <sheetName val="DON GIA"/>
      <sheetName val="CHITIET VL-NC"/>
      <sheetName val="TDTKP"/>
      <sheetName val="VCV-BE-TONG"/>
      <sheetName val="TNHCHINH"/>
      <sheetName val="TEFLON"/>
      <sheetName val="CODE,NAME"/>
      <sheetName val="itungan CIMB NIAGA"/>
      <sheetName val="PRESENTASI"/>
      <sheetName val="SATDASAR"/>
      <sheetName val="sai"/>
      <sheetName val="MAJOR"/>
      <sheetName val="Input Data"/>
      <sheetName val="BHN"/>
      <sheetName val="Mobilisasi"/>
      <sheetName val="KAS $"/>
      <sheetName val="Harga dasar"/>
      <sheetName val="PAD-F"/>
      <sheetName val="AnalisaHarga"/>
      <sheetName val="TARIP"/>
      <sheetName val="SumIQA"/>
      <sheetName val="Mutasi Final"/>
      <sheetName val="WS 09"/>
      <sheetName val="Sub Ledger"/>
      <sheetName val="LOOKUP"/>
      <sheetName val="Risalah KOM"/>
      <sheetName val="Detail_FA"/>
      <sheetName val="boq"/>
      <sheetName val="PROD-03"/>
      <sheetName val="Source"/>
      <sheetName val="Mobdemobalat"/>
      <sheetName val="INPUT"/>
      <sheetName val="validation"/>
      <sheetName val="bialangsung"/>
      <sheetName val="PRD01-1"/>
      <sheetName val="LAMP_2.2"/>
      <sheetName val="610.05"/>
      <sheetName val="RPP01 3"/>
      <sheetName val="Rekap 1"/>
      <sheetName val="ELEMENT SUM"/>
      <sheetName val="BHN-ALAT"/>
      <sheetName val="PRIST LIST"/>
      <sheetName val="D.BOARD"/>
      <sheetName val="TOTAL UPAH"/>
      <sheetName val="RPP01 6"/>
      <sheetName val="PRY 01-3"/>
      <sheetName val="Anls"/>
      <sheetName val="Perhit.Alat"/>
      <sheetName val="bahan"/>
      <sheetName val="BasicPrice"/>
      <sheetName val="BASIC"/>
      <sheetName val="Hargamat"/>
      <sheetName val="610.03a 15-7"/>
      <sheetName val="Schedule 11a"/>
      <sheetName val="Temporary"/>
      <sheetName val="Septick tank"/>
      <sheetName val="Subkon"/>
      <sheetName val="RINCI"/>
      <sheetName val="hasat"/>
      <sheetName val="RWD-02"/>
      <sheetName val="Price Persiapan dan Penunjang"/>
      <sheetName val="anal-drainase,tanah&amp;ps batu"/>
      <sheetName val="anal-beton"/>
      <sheetName val="Material&amp;Upah"/>
      <sheetName val="BLOK-BJR"/>
      <sheetName val="rumus"/>
      <sheetName val="Rincian "/>
      <sheetName val="HRPar"/>
      <sheetName val="HS-2"/>
      <sheetName val="ListAnalisa"/>
      <sheetName val="IDX06"/>
      <sheetName val="TONG HOP VL-NC"/>
      <sheetName val="chitiet"/>
      <sheetName val="DONGIA"/>
      <sheetName val="Div2"/>
      <sheetName val="DG"/>
      <sheetName val="DEF"/>
      <sheetName val="Fill this out first..."/>
      <sheetName val="ANALISA TENDER"/>
      <sheetName val="7.PEK-STRUKTUR"/>
      <sheetName val="DATA PROYEK"/>
      <sheetName val="KEB-MAT"/>
      <sheetName val="STOK MAT"/>
      <sheetName val="Cover Sheet"/>
      <sheetName val="PRO"/>
      <sheetName val="Exchange Rates"/>
      <sheetName val="PROJ CASH"/>
      <sheetName val="FORM X COST"/>
      <sheetName val="DaftarHarga"/>
      <sheetName val="SEX"/>
      <sheetName val="tp 45x45 (6)"/>
      <sheetName val="PersList"/>
      <sheetName val="ANAL.BOW"/>
      <sheetName val="HRG"/>
      <sheetName val="REF.ONLY"/>
      <sheetName val="H-SAT"/>
      <sheetName val="Cashflow"/>
      <sheetName val="Konfirm"/>
      <sheetName val="project"/>
      <sheetName val="NOTHIT"/>
      <sheetName val="BQ-GB-1"/>
      <sheetName val="igp_alt4"/>
      <sheetName val="ANAL_2.1"/>
      <sheetName val="VOL_1"/>
      <sheetName val="610.06"/>
      <sheetName val="610.07"/>
      <sheetName val="610.08"/>
      <sheetName val="ANAL"/>
      <sheetName val="610.04"/>
      <sheetName val="basic wages"/>
      <sheetName val="Daftar Upah,Bhn,&amp; alat"/>
      <sheetName val="Material&amp;Alat"/>
      <sheetName val="EDTL"/>
      <sheetName val="Sat. Pek."/>
      <sheetName val="ANALISA-SNI"/>
      <sheetName val="Analisa &amp; Upah"/>
      <sheetName val="An HS"/>
      <sheetName val="Master Edit"/>
      <sheetName val="1.B"/>
      <sheetName val="PEGAWAI"/>
      <sheetName val="Perm. Test"/>
      <sheetName val="KKN 14"/>
      <sheetName val="Plumbing"/>
      <sheetName val="pivotscd"/>
      <sheetName val="UnitRate22"/>
      <sheetName val="uba"/>
      <sheetName val="Basic P"/>
      <sheetName val="PriceList"/>
      <sheetName val="BAG_2"/>
      <sheetName val="TRBP"/>
      <sheetName val="Tariptunda"/>
      <sheetName val="tarippasif_wanto"/>
      <sheetName val="Tunda56=1_dodo"/>
      <sheetName val="CH"/>
      <sheetName val="RBP- 2"/>
      <sheetName val="Volume"/>
      <sheetName val="pivot"/>
      <sheetName val="Monitor"/>
      <sheetName val="Basic Price"/>
      <sheetName val="bbt-1999"/>
      <sheetName val="MG"/>
      <sheetName val="div 7"/>
      <sheetName val="harga sat"/>
      <sheetName val="Master 1.0"/>
      <sheetName val="RKP-BOQ"/>
      <sheetName val="GRAND REKAP"/>
      <sheetName val="7.1(3)"/>
      <sheetName val="Analysis"/>
      <sheetName val="DAPRO"/>
      <sheetName val="New MADC"/>
      <sheetName val="HRG UPAH BAHAN"/>
      <sheetName val="sheet"/>
      <sheetName val="HargaBahan"/>
      <sheetName val="Template"/>
      <sheetName val="UnitRateA.1.II"/>
      <sheetName val="igp-popno"/>
      <sheetName val="6.CO"/>
      <sheetName val="BS final"/>
      <sheetName val="317932DEC99"/>
      <sheetName val="317932NOV99"/>
      <sheetName val="317932OCT99"/>
      <sheetName val="Grafik"/>
      <sheetName val="Dumtk"/>
      <sheetName val="(II-8)2.2.8"/>
      <sheetName val="(I-3)1.3"/>
      <sheetName val="(II-5)2.2.4 (2)"/>
      <sheetName val="12"/>
      <sheetName val="2 Executive Summary"/>
      <sheetName val="HK Traksi"/>
      <sheetName val="HS KALIJATI"/>
      <sheetName val="BUSWAY"/>
      <sheetName val="ABSEN"/>
      <sheetName val="UPAH_B_KAS"/>
      <sheetName val="UPAH_B_KAS _2_"/>
      <sheetName val="T_TANGAN"/>
      <sheetName val="extern"/>
      <sheetName val="BAG-2"/>
      <sheetName val="029Cikeas00"/>
      <sheetName val="month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/>
      <sheetData sheetId="1398"/>
      <sheetData sheetId="1399"/>
      <sheetData sheetId="1400"/>
      <sheetData sheetId="1401"/>
      <sheetData sheetId="1402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DailyAttendance"/>
      <sheetName val="DailyOvertime"/>
      <sheetName val="Monthly Recap"/>
      <sheetName val="Mo.Recap By Empl."/>
      <sheetName val="Period"/>
      <sheetName val="Table"/>
      <sheetName val="Employee"/>
      <sheetName val="AnnualLeave (2)"/>
      <sheetName val="AnnualLeave"/>
      <sheetName val="Permanent info"/>
      <sheetName val="Param"/>
      <sheetName val="F1771-2"/>
      <sheetName val="F1771-IV"/>
      <sheetName val="F1771-V"/>
      <sheetName val="SELISIHKURSSOURCE"/>
      <sheetName val="RATE"/>
      <sheetName val="A.4.3"/>
      <sheetName val="L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OGS"/>
      <sheetName val="Tax25Calc"/>
      <sheetName val="FisCor"/>
      <sheetName val="FA1997"/>
      <sheetName val="FA1998"/>
      <sheetName val="FA1999"/>
      <sheetName val="AddFA2000"/>
      <sheetName val="DepCalc1997"/>
      <sheetName val="DepCalc1998"/>
      <sheetName val="DepCalc1999"/>
      <sheetName val="DepCalc2000"/>
      <sheetName val="CommCost"/>
      <sheetName val="BI Middle Rate"/>
      <sheetName val="AVG Tax rates"/>
      <sheetName val="RevRec"/>
      <sheetName val="PreTax"/>
      <sheetName val="SKFLN"/>
      <sheetName val="Tax22"/>
      <sheetName val="Tax25"/>
      <sheetName val="Sal Reconc "/>
      <sheetName val="BI Middle Rat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Summary"/>
      <sheetName val="Revenue"/>
      <sheetName val="Base Data"/>
      <sheetName val="Management"/>
      <sheetName val="Manag-resources"/>
      <sheetName val="Inspection resources"/>
      <sheetName val="Engineering"/>
      <sheetName val="Crew C2 Pipelay"/>
      <sheetName val="Crew C10 Jetting"/>
      <sheetName val="Rates C10 pipelay"/>
      <sheetName val="Rates C10 jetting"/>
      <sheetName val="Rates C10 Check"/>
      <sheetName val="Transfer C10"/>
      <sheetName val="Preparation C10"/>
      <sheetName val="Transit C10"/>
      <sheetName val="RISERS Instal C10"/>
      <sheetName val="Laying C10"/>
      <sheetName val="Ploughing Option"/>
      <sheetName val="Jetting C10"/>
      <sheetName val="AWTI (C10 Base Case)"/>
      <sheetName val="AWTI (S1 option)"/>
      <sheetName val="Crew SEMAC"/>
      <sheetName val="Rates Semac"/>
      <sheetName val="Transfer Semac"/>
      <sheetName val="Preparation Semac"/>
      <sheetName val="Transit Semac"/>
      <sheetName val="Laying Semac AUT"/>
      <sheetName val="Laying Semac XRay"/>
      <sheetName val="Consumables BASE"/>
      <sheetName val="Line pipe tripsC2"/>
      <sheetName val="Pipe transpC2"/>
      <sheetName val="Line pipe tripssemac"/>
      <sheetName val="Pipe transpsemac"/>
      <sheetName val="Onshore laying"/>
      <sheetName val="PROCUREMENT"/>
      <sheetName val="Materials"/>
      <sheetName val="Surveys"/>
      <sheetName val="Survey backup"/>
      <sheetName val="Shore Approach"/>
      <sheetName val="Crossings"/>
      <sheetName val="Hydrotesting"/>
      <sheetName val="Duties Tax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Sheet2"/>
      <sheetName val="Sheet3"/>
      <sheetName val="Sheet4"/>
      <sheetName val="Sheet5"/>
      <sheetName val="EXP0905"/>
      <sheetName val="F1771-III"/>
      <sheetName val="BS final"/>
      <sheetName val="SCORE_RC_Code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WP"/>
      <sheetName val="MASTER"/>
      <sheetName val="data"/>
      <sheetName val="NONfinal"/>
      <sheetName val="FINAL"/>
      <sheetName val="TT"/>
      <sheetName val="SURAT (BYR)"/>
      <sheetName val="DBP"/>
      <sheetName val="SPT-23"/>
      <sheetName val="21-26"/>
      <sheetName val="BUKTI"/>
      <sheetName val="Depan"/>
      <sheetName val="Lampiran"/>
      <sheetName val="Depan(MOG)"/>
      <sheetName val="Lampiran(MOG)"/>
      <sheetName val="RUMUS"/>
      <sheetName val="FINAL (2)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'01"/>
      <sheetName val="Feb'01"/>
      <sheetName val="March'01"/>
      <sheetName val="April'01"/>
      <sheetName val="May'01"/>
      <sheetName val="JUNE'01"/>
      <sheetName val="JULY'01"/>
      <sheetName val="AUGUST'01"/>
      <sheetName val="SEPTEMBER'01"/>
      <sheetName val="October'01"/>
      <sheetName val="November'01"/>
      <sheetName val="December'01"/>
      <sheetName val="Jan'02"/>
      <sheetName val="FEB'02"/>
      <sheetName val="MARCH'02"/>
      <sheetName val="APRIL'02"/>
      <sheetName val="MAY'02"/>
      <sheetName val="JUNE'02"/>
      <sheetName val="JULY'02"/>
      <sheetName val="AUGUST'02"/>
      <sheetName val="SEPT'02 "/>
      <sheetName val="oct'02"/>
      <sheetName val="Nov'02"/>
      <sheetName val="Dec'02"/>
      <sheetName val="JAN'03"/>
      <sheetName val="Feb'03"/>
      <sheetName val="March'03"/>
      <sheetName val="April'03"/>
      <sheetName val="May'03"/>
      <sheetName val="June'03"/>
      <sheetName val="July'03"/>
      <sheetName val="Aug'03"/>
      <sheetName val="Sept '03"/>
      <sheetName val="Oct'03"/>
      <sheetName val="Nov'03"/>
      <sheetName val="spi"/>
      <sheetName val="Dec'03"/>
      <sheetName val="Jan'04"/>
      <sheetName val="Feb'04"/>
      <sheetName val="March'04"/>
      <sheetName val="April'04"/>
      <sheetName val="Diff Jvc"/>
      <sheetName val="May'04"/>
      <sheetName val="June'04"/>
      <sheetName val="July'04"/>
      <sheetName val="August'04"/>
      <sheetName val="Sept'04"/>
      <sheetName val="Oct'04"/>
      <sheetName val="Nov'04"/>
      <sheetName val="Dec'04"/>
      <sheetName val="JAN 2005"/>
      <sheetName val="Feb '05"/>
      <sheetName val="March'05"/>
      <sheetName val="April'05"/>
      <sheetName val="May'05"/>
      <sheetName val="June'05"/>
      <sheetName val="July'05"/>
      <sheetName val="August'05"/>
      <sheetName val="SEPT'05"/>
      <sheetName val="OCT'05"/>
      <sheetName val="NOV'05"/>
      <sheetName val="Dec'05"/>
      <sheetName val="Jan'06"/>
      <sheetName val="Feb'06"/>
      <sheetName val="March'06"/>
      <sheetName val="April'06"/>
      <sheetName val="May'06"/>
      <sheetName val="June'06"/>
      <sheetName val="out dn"/>
      <sheetName val="july'06"/>
      <sheetName val="August'06"/>
      <sheetName val="SEPT'06"/>
      <sheetName val="oct'06"/>
      <sheetName val="Nov'06"/>
      <sheetName val="Dec'06"/>
      <sheetName val="Jan'07"/>
      <sheetName val="Feb'07"/>
      <sheetName val="March'07"/>
      <sheetName val="INCOMING SALES JAN-FEB'05"/>
      <sheetName val="Difference JVC"/>
      <sheetName val="Sheet2"/>
      <sheetName val="DIFF PGCOM 2005 APRIL-OCT (2)"/>
      <sheetName val="DIFF PGCOM 2005 APRIL-OCT"/>
      <sheetName val="Sheet1"/>
      <sheetName val="Difference JVC (2)"/>
      <sheetName val="Difference History"/>
      <sheetName val="Difference ALL"/>
      <sheetName val="Apr'07"/>
      <sheetName val="May'07"/>
      <sheetName val="JUNE'07"/>
      <sheetName val="July'07"/>
      <sheetName val="DIFF PRICE JEIN JUNE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'02"/>
    </sheetNames>
    <sheetDataSet>
      <sheetData sheetId="0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12"/>
      <sheetName val="laroux"/>
      <sheetName val="TRANSMITTAL PAGE"/>
      <sheetName val="PL1"/>
      <sheetName val="BS1"/>
      <sheetName val="BS2"/>
      <sheetName val="PL2"/>
      <sheetName val="SCH3"/>
      <sheetName val="SCH 4"/>
      <sheetName val="SCH11 (1 OF 4)"/>
      <sheetName val="SCH11 (2 OF 4) "/>
      <sheetName val="SCH11 (3 OF 4)"/>
      <sheetName val="SCH11 (4 OF 4)"/>
      <sheetName val="SCH12SUM"/>
      <sheetName val="JAN"/>
      <sheetName val="APRIL'02"/>
      <sheetName val="5"/>
      <sheetName val="TRANSMITTAL_PAGE"/>
      <sheetName val="SCH_4"/>
      <sheetName val="SCH11_(1_OF_4)"/>
      <sheetName val="SCH11_(2_OF_4)_"/>
      <sheetName val="SCH11_(3_OF_4)"/>
      <sheetName val="SCH11_(4_OF_4)"/>
      <sheetName val="Account Code"/>
      <sheetName val="MFWP"/>
      <sheetName val="GLdownload"/>
      <sheetName val="065005s"/>
      <sheetName val="SCB 1 - Current"/>
      <sheetName val="SCB 2 - Current"/>
      <sheetName val="sapactivexlhiddensheet"/>
      <sheetName val="Juta"/>
      <sheetName val="july"/>
      <sheetName val="june"/>
      <sheetName val="TRANSMITTAL_PAGE1"/>
      <sheetName val="SCH_41"/>
      <sheetName val="SCH11_(1_OF_4)1"/>
      <sheetName val="SCH11_(2_OF_4)_1"/>
      <sheetName val="SCH11_(3_OF_4)1"/>
      <sheetName val="SCH11_(4_OF_4)1"/>
      <sheetName val="Account_Code"/>
      <sheetName val="SELISIHKURSSOURCE"/>
      <sheetName val="Ctinh 10kV"/>
      <sheetName val="inven"/>
      <sheetName val="SCFP"/>
      <sheetName val="Lead"/>
      <sheetName val="Template4444"/>
      <sheetName val="K2-FA"/>
      <sheetName val="TRANSMITTAL_PAGE7"/>
      <sheetName val="SCH_47"/>
      <sheetName val="SCH11_(1_OF_4)7"/>
      <sheetName val="SCH11_(2_OF_4)_7"/>
      <sheetName val="SCH11_(3_OF_4)7"/>
      <sheetName val="SCH11_(4_OF_4)7"/>
      <sheetName val="Account_Code6"/>
      <sheetName val="SCB_1_-_Current5"/>
      <sheetName val="SCB_2_-_Current5"/>
      <sheetName val="Ctinh_10kV5"/>
      <sheetName val="TRANSMITTAL_PAGE2"/>
      <sheetName val="SCH_42"/>
      <sheetName val="SCH11_(1_OF_4)2"/>
      <sheetName val="SCH11_(2_OF_4)_2"/>
      <sheetName val="SCH11_(3_OF_4)2"/>
      <sheetName val="SCH11_(4_OF_4)2"/>
      <sheetName val="Account_Code1"/>
      <sheetName val="SCB_1_-_Current"/>
      <sheetName val="SCB_2_-_Current"/>
      <sheetName val="Ctinh_10kV"/>
      <sheetName val="TRANSMITTAL_PAGE4"/>
      <sheetName val="SCH_44"/>
      <sheetName val="SCH11_(1_OF_4)4"/>
      <sheetName val="SCH11_(2_OF_4)_4"/>
      <sheetName val="SCH11_(3_OF_4)4"/>
      <sheetName val="SCH11_(4_OF_4)4"/>
      <sheetName val="Account_Code3"/>
      <sheetName val="SCB_1_-_Current2"/>
      <sheetName val="SCB_2_-_Current2"/>
      <sheetName val="Ctinh_10kV2"/>
      <sheetName val="TRANSMITTAL_PAGE3"/>
      <sheetName val="SCH_43"/>
      <sheetName val="SCH11_(1_OF_4)3"/>
      <sheetName val="SCH11_(2_OF_4)_3"/>
      <sheetName val="SCH11_(3_OF_4)3"/>
      <sheetName val="SCH11_(4_OF_4)3"/>
      <sheetName val="Account_Code2"/>
      <sheetName val="SCB_1_-_Current1"/>
      <sheetName val="SCB_2_-_Current1"/>
      <sheetName val="Ctinh_10kV1"/>
      <sheetName val="TRANSMITTAL_PAGE5"/>
      <sheetName val="SCH_45"/>
      <sheetName val="SCH11_(1_OF_4)5"/>
      <sheetName val="SCH11_(2_OF_4)_5"/>
      <sheetName val="SCH11_(3_OF_4)5"/>
      <sheetName val="SCH11_(4_OF_4)5"/>
      <sheetName val="Account_Code4"/>
      <sheetName val="SCB_1_-_Current3"/>
      <sheetName val="SCB_2_-_Current3"/>
      <sheetName val="Ctinh_10kV3"/>
      <sheetName val="TRANSMITTAL_PAGE6"/>
      <sheetName val="SCH_46"/>
      <sheetName val="SCH11_(1_OF_4)6"/>
      <sheetName val="SCH11_(2_OF_4)_6"/>
      <sheetName val="SCH11_(3_OF_4)6"/>
      <sheetName val="SCH11_(4_OF_4)6"/>
      <sheetName val="Account_Code5"/>
      <sheetName val="SCB_1_-_Current4"/>
      <sheetName val="SCB_2_-_Current4"/>
      <sheetName val="Ctinh_10kV4"/>
      <sheetName val="TRANSMITTAL_PAGE10"/>
      <sheetName val="SCH_410"/>
      <sheetName val="SCH11_(1_OF_4)10"/>
      <sheetName val="SCH11_(2_OF_4)_10"/>
      <sheetName val="SCH11_(3_OF_4)10"/>
      <sheetName val="SCH11_(4_OF_4)10"/>
      <sheetName val="Account_Code9"/>
      <sheetName val="SCB_1_-_Current8"/>
      <sheetName val="SCB_2_-_Current8"/>
      <sheetName val="Ctinh_10kV8"/>
      <sheetName val="TRANSMITTAL_PAGE8"/>
      <sheetName val="SCH_48"/>
      <sheetName val="SCH11_(1_OF_4)8"/>
      <sheetName val="SCH11_(2_OF_4)_8"/>
      <sheetName val="SCH11_(3_OF_4)8"/>
      <sheetName val="SCH11_(4_OF_4)8"/>
      <sheetName val="Account_Code7"/>
      <sheetName val="SCB_1_-_Current6"/>
      <sheetName val="SCB_2_-_Current6"/>
      <sheetName val="Ctinh_10kV6"/>
      <sheetName val="TRANSMITTAL_PAGE9"/>
      <sheetName val="SCH_49"/>
      <sheetName val="SCH11_(1_OF_4)9"/>
      <sheetName val="SCH11_(2_OF_4)_9"/>
      <sheetName val="SCH11_(3_OF_4)9"/>
      <sheetName val="SCH11_(4_OF_4)9"/>
      <sheetName val="Account_Code8"/>
      <sheetName val="SCB_1_-_Current7"/>
      <sheetName val="SCB_2_-_Current7"/>
      <sheetName val="Ctinh_10kV7"/>
      <sheetName val="SALESJAN'03"/>
      <sheetName val="SALESMRT'03"/>
      <sheetName val="Table"/>
      <sheetName val="TRANSMITTAL_PAGE13"/>
      <sheetName val="SCH_413"/>
      <sheetName val="SCH11_(1_OF_4)13"/>
      <sheetName val="SCH11_(2_OF_4)_13"/>
      <sheetName val="SCH11_(3_OF_4)13"/>
      <sheetName val="SCH11_(4_OF_4)13"/>
      <sheetName val="Account_Code12"/>
      <sheetName val="SCB_1_-_Current11"/>
      <sheetName val="SCB_2_-_Current11"/>
      <sheetName val="Ctinh_10kV11"/>
      <sheetName val="TRANSMITTAL_PAGE12"/>
      <sheetName val="SCH_412"/>
      <sheetName val="SCH11_(1_OF_4)12"/>
      <sheetName val="SCH11_(2_OF_4)_12"/>
      <sheetName val="SCH11_(3_OF_4)12"/>
      <sheetName val="SCH11_(4_OF_4)12"/>
      <sheetName val="Account_Code11"/>
      <sheetName val="SCB_1_-_Current10"/>
      <sheetName val="SCB_2_-_Current10"/>
      <sheetName val="Ctinh_10kV10"/>
      <sheetName val="TRANSMITTAL_PAGE11"/>
      <sheetName val="SCH_411"/>
      <sheetName val="SCH11_(1_OF_4)11"/>
      <sheetName val="SCH11_(2_OF_4)_11"/>
      <sheetName val="SCH11_(3_OF_4)11"/>
      <sheetName val="SCH11_(4_OF_4)11"/>
      <sheetName val="Account_Code10"/>
      <sheetName val="SCB_1_-_Current9"/>
      <sheetName val="SCB_2_-_Current9"/>
      <sheetName val="Ctinh_10kV9"/>
      <sheetName val="TRANSMITTAL_PAGE14"/>
      <sheetName val="SCH_414"/>
      <sheetName val="SCH11_(1_OF_4)14"/>
      <sheetName val="SCH11_(2_OF_4)_14"/>
      <sheetName val="SCH11_(3_OF_4)14"/>
      <sheetName val="SCH11_(4_OF_4)14"/>
      <sheetName val="Account_Code13"/>
      <sheetName val="SCB_1_-_Current12"/>
      <sheetName val="SCB_2_-_Current12"/>
      <sheetName val="Ctinh_10kV12"/>
      <sheetName val="Prepayment Others ( K1 )"/>
      <sheetName val="Attachement"/>
      <sheetName val="GeneralInfo"/>
      <sheetName val="PACK"/>
      <sheetName val="Admin Use Only"/>
      <sheetName val="DEPOSITS"/>
      <sheetName val="sched 13"/>
      <sheetName val="ADD-DISP-OTHER"/>
      <sheetName val="Settings"/>
      <sheetName val="Sheet1"/>
      <sheetName val="MS Product Revenue"/>
      <sheetName val="Biaya Departemen"/>
      <sheetName val="B1 Data"/>
      <sheetName val="Ex-Rate"/>
      <sheetName val="TRIWULAN 3"/>
      <sheetName val="RM"/>
      <sheetName val="A1-B ASSET"/>
      <sheetName val="TRANSMITTAL_PAGE15"/>
      <sheetName val="SCH_415"/>
      <sheetName val="SCH11_(1_OF_4)15"/>
      <sheetName val="SCH11_(2_OF_4)_15"/>
      <sheetName val="SCH11_(3_OF_4)15"/>
      <sheetName val="SCH11_(4_OF_4)15"/>
      <sheetName val="Account_Code14"/>
      <sheetName val="SCB_1_-_Current13"/>
      <sheetName val="SCB_2_-_Current13"/>
      <sheetName val="Ctinh_10kV13"/>
      <sheetName val="Prepayment_Others_(_K1_)"/>
      <sheetName val="Admin_Use_Only"/>
      <sheetName val="sched_13"/>
      <sheetName val="MS_Product_Revenue"/>
      <sheetName val="TRIWULAN_3"/>
      <sheetName val="Biaya_Departemen"/>
      <sheetName val="B1_Data"/>
      <sheetName val="Sheet2"/>
      <sheetName val="aktdit(WP)"/>
      <sheetName val="Account Coding - Revise"/>
      <sheetName val="OTHER INCOME &amp; BY PERDIVISI"/>
      <sheetName val="RIG027-PURCHASE-APR 97"/>
      <sheetName val="Account Information"/>
      <sheetName val="JUAL"/>
      <sheetName val="Sch_23A"/>
      <sheetName val="Data"/>
      <sheetName val="Scenario 1"/>
      <sheetName val="SCORE_RC_Code"/>
      <sheetName val="Kas Kecil"/>
      <sheetName val="bth"/>
      <sheetName val="MASTER SALES NAME"/>
      <sheetName val="Marshal"/>
      <sheetName val="Prepayment_Others_(_K1_)1"/>
      <sheetName val="NS"/>
      <sheetName val="SALESAGT_04"/>
      <sheetName val="SALESAPR_04"/>
      <sheetName val="SALESDES_04"/>
      <sheetName val="SALESFEB_04"/>
      <sheetName val="SALESJULI_04"/>
      <sheetName val="SALESJUNI_04"/>
      <sheetName val="SALESMEI_04"/>
      <sheetName val="SALESNOP_04"/>
      <sheetName val="SALESOKT_04"/>
      <sheetName val="SALESSEPT_04"/>
      <sheetName val="II"/>
      <sheetName val="TBM"/>
      <sheetName val="I-PPh"/>
      <sheetName val="IBASE"/>
      <sheetName val="KURS"/>
      <sheetName val="AFTER 55"/>
      <sheetName val="OFF"/>
      <sheetName val="Summary"/>
      <sheetName val="validation"/>
      <sheetName val="Rate"/>
      <sheetName val="FA1999"/>
      <sheetName val="karylengkap"/>
      <sheetName val="UKCSTG02"/>
      <sheetName val="Journal Template"/>
      <sheetName val="PM"/>
      <sheetName val="Factors"/>
      <sheetName val="Sales"/>
      <sheetName val="RIG027-PURCHASE-APR_97"/>
      <sheetName val="Account_Information"/>
      <sheetName val="mfwp_q_statistik_lkp_wjb_sptthn"/>
      <sheetName val="MgtReport"/>
      <sheetName val="WPL"/>
      <sheetName val="TRANSMITTAL_PAGE16"/>
      <sheetName val="SCH_416"/>
      <sheetName val="SCH11_(1_OF_4)16"/>
      <sheetName val="SCH11_(2_OF_4)_16"/>
      <sheetName val="SCH11_(3_OF_4)16"/>
      <sheetName val="SCH11_(4_OF_4)16"/>
      <sheetName val="Account_Code15"/>
      <sheetName val="SCB_1_-_Current14"/>
      <sheetName val="SCB_2_-_Current14"/>
      <sheetName val="Ctinh_10kV14"/>
      <sheetName val="MS_Product_Revenue1"/>
      <sheetName val="Admin_Use_Only1"/>
      <sheetName val="sched_131"/>
      <sheetName val="SCB-HK"/>
      <sheetName val="INFO"/>
      <sheetName val="BUDGET"/>
      <sheetName val="TRIWULAN_31"/>
      <sheetName val="Biaya_Departemen1"/>
      <sheetName val="B1_Data1"/>
      <sheetName val="A1-B_ASSET"/>
      <sheetName val="OTHER_INCOME_&amp;_BY_PERDIVISI"/>
      <sheetName val="Account_Coding_-_Revise"/>
      <sheetName val="Sampling Table"/>
      <sheetName val="3800-Interim"/>
      <sheetName val="SPI GMBH"/>
      <sheetName val="DATABASE"/>
      <sheetName val="SC6VA"/>
      <sheetName val="FX RATES FRM T-REX"/>
      <sheetName val="MacPro"/>
      <sheetName val="&gt;&gt;&gt;Estimasi Sales"/>
      <sheetName val="Monthly RecapLO"/>
      <sheetName val="std"/>
      <sheetName val="G4"/>
      <sheetName val="data_val"/>
      <sheetName val="Monthly_RecapLO"/>
      <sheetName val="시산표"/>
      <sheetName val="B28"/>
      <sheetName val="salar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-1(Stktur_Orgn)"/>
      <sheetName val="Lamp-3(Rkp_CAMEL)"/>
      <sheetName val="Lamp-4(Perk_Nrc)"/>
      <sheetName val="Lamp-5(Perk_LR)"/>
      <sheetName val="Lamp-6(Perk_Adm)"/>
      <sheetName val="Lamp-7 (JurnalKoreksi)"/>
      <sheetName val="Lamp-8(KPMM)"/>
      <sheetName val="Lamp9_(KAP_2posisi) )"/>
      <sheetName val="Lamp10_(KAP_Bank&amp;pmrks) "/>
      <sheetName val="Lamp11(PPAP) "/>
      <sheetName val="Lampiran 12(Bedkol)"/>
      <sheetName val="Lamp_13(Dftr_Dbtr_Inti) "/>
      <sheetName val="Lamp-14(Manajemen)"/>
      <sheetName val="Lamp-15(Rentabilitas)"/>
      <sheetName val="Lamp-16(Likuiditas)"/>
      <sheetName val="Lamp-17(Dftr_Nsbh_Inti))"/>
      <sheetName val="Lamp-18(BMPK)"/>
      <sheetName val="Lamp-19(PDN) "/>
      <sheetName val="Lamp-20(Lemah_Lnggar)"/>
      <sheetName val="Lamp-21(Pnylwengan)"/>
      <sheetName val="Lamp_14_Manajemen_"/>
      <sheetName val="3800-Interim"/>
      <sheetName val="SE"/>
      <sheetName val="by service"/>
      <sheetName val="Cover-01"/>
      <sheetName val="_x0000_Lamp_"/>
      <sheetName val="SCORE_RC_Code"/>
      <sheetName val="FA Movement"/>
      <sheetName val="Rekap Budget"/>
      <sheetName val="TBM"/>
      <sheetName val="DATA"/>
      <sheetName val="Balance Sheet"/>
      <sheetName val="Control"/>
      <sheetName val="?Lamp_"/>
      <sheetName val="KKP-II.2.2.1.2"/>
      <sheetName val=""/>
      <sheetName val="_x005f_x0000_Lamp_"/>
      <sheetName val="SMU"/>
      <sheetName val="IS"/>
      <sheetName val="sepdua"/>
      <sheetName val="4.1 Placement w.o.b"/>
      <sheetName val="F1771-V"/>
      <sheetName val="analis"/>
      <sheetName val="PS data"/>
      <sheetName val="Note"/>
      <sheetName val="TAS Fleet Adj Ratio"/>
      <sheetName val="OTHER INCOME &amp; BY PERDIVISI"/>
      <sheetName val="Lead"/>
      <sheetName val="Credit-22"/>
      <sheetName val="tabel nilai"/>
      <sheetName val="RANKING BROKER"/>
      <sheetName val="GL"/>
      <sheetName val="Sheet1"/>
      <sheetName val="Ex_Rate"/>
      <sheetName val="GeneralInfo"/>
      <sheetName val="Interdata"/>
      <sheetName val="FCastOptg"/>
      <sheetName val="Balance Sheet  "/>
      <sheetName val="KODE"/>
      <sheetName val="Ex Rate"/>
      <sheetName val="SAA"/>
      <sheetName val="Adj&amp;Tr"/>
      <sheetName val="Trial"/>
      <sheetName val="Retail Spider"/>
      <sheetName val="Neraca"/>
      <sheetName val="Input Log. Set-up"/>
      <sheetName val="AR"/>
      <sheetName val="2004 AAL"/>
      <sheetName val="_Lamp_"/>
      <sheetName val="db_Prior"/>
      <sheetName val="_x005f_x005f_x005f_x0000_Lamp_"/>
      <sheetName val="Reference"/>
      <sheetName val="Questions"/>
      <sheetName val="PL (MONTHLY)"/>
      <sheetName val="pu-05"/>
      <sheetName val="pu-06"/>
      <sheetName val="Rates"/>
      <sheetName val="Option premium amort"/>
      <sheetName val="RATE"/>
      <sheetName val="Table Array"/>
      <sheetName val="KAS $"/>
      <sheetName val="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Data"/>
      <sheetName val="1(pandl)"/>
      <sheetName val="2(Interco Sales)"/>
      <sheetName val="3(bsheet)"/>
      <sheetName val="4(cash)"/>
      <sheetName val="5(indcos)"/>
      <sheetName val="6(prodn)"/>
      <sheetName val="7(Eng)"/>
      <sheetName val="8(Opad)"/>
      <sheetName val="9(s&amp;m)"/>
      <sheetName val="10(admin)"/>
      <sheetName val="11(Total OHeads)"/>
      <sheetName val="12-13(int&amp;nonop)"/>
      <sheetName val="14(capex)"/>
      <sheetName val="15(interco loans)"/>
      <sheetName val="16(interco trading)"/>
      <sheetName val="17-18(odebtsocreds)"/>
      <sheetName val="19(oinfo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"/>
    </sheetNames>
    <sheetDataSet>
      <sheetData sheetId="0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"/>
      <sheetName val="A2"/>
      <sheetName val="B1"/>
      <sheetName val="B4"/>
      <sheetName val="Pivot_A1"/>
      <sheetName val="Pivot_B1"/>
      <sheetName val="Pivot_B4"/>
      <sheetName val="Rekap"/>
      <sheetName val="Prepaid23"/>
      <sheetName val="Base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data"/>
      <sheetName val="WTB"/>
      <sheetName val="AJE"/>
      <sheetName val="Cash flow"/>
      <sheetName val="SCORE_RC_Code"/>
      <sheetName val="Synergies"/>
      <sheetName val="Lamp-14(Manajemen)"/>
      <sheetName val="BS"/>
      <sheetName val="NH-Badan"/>
      <sheetName val="SubAcc"/>
      <sheetName val="3800-Interim"/>
      <sheetName val="Note"/>
      <sheetName val="Ex_Rate"/>
      <sheetName val="Sheet1"/>
      <sheetName val="Marshal-SPT"/>
      <sheetName val="Publication"/>
      <sheetName val="FORMULA"/>
      <sheetName val="WBS 2005"/>
      <sheetName val="SE"/>
      <sheetName val="by service"/>
      <sheetName val="Summer"/>
      <sheetName val="Winter"/>
      <sheetName val="Ref"/>
      <sheetName val="TBM"/>
      <sheetName val="Price"/>
      <sheetName val="CM Tgl"/>
      <sheetName val="NMN"/>
      <sheetName val="SBM"/>
      <sheetName val="GBSM"/>
      <sheetName val="Meka"/>
      <sheetName val="NTM"/>
      <sheetName val="3800"/>
      <sheetName val="Reference"/>
      <sheetName val="Inventories"/>
      <sheetName val="Name (Dont Delete!!)"/>
      <sheetName val="Saldo"/>
      <sheetName val="F1771-V"/>
      <sheetName val="RL-JL-08 Rev"/>
      <sheetName val="#REF"/>
      <sheetName val="data"/>
      <sheetName val="Vessel"/>
      <sheetName val="FF-50"/>
      <sheetName val="Sheet2"/>
      <sheetName val="NPV"/>
      <sheetName val="WS"/>
      <sheetName val="BS-00"/>
      <sheetName val="AA.1.1 BNI"/>
      <sheetName val="Cash_flow"/>
      <sheetName val="rugi laba-NEW"/>
      <sheetName val="analis"/>
      <sheetName val="Assmp Hyper"/>
      <sheetName val="Balance Sheet"/>
      <sheetName val="Logistics"/>
      <sheetName val="Rekap"/>
      <sheetName val="Rekap Budget"/>
      <sheetName val="Tabel"/>
      <sheetName val="Plc Staff Recharges"/>
      <sheetName val="GeneralInfo"/>
      <sheetName val="KKP"/>
      <sheetName val="sepdua"/>
      <sheetName val="6-23CAT"/>
      <sheetName val="KAS $"/>
      <sheetName val="WBS_2005"/>
      <sheetName val="by_service"/>
      <sheetName val="Cash_flow1"/>
      <sheetName val="ekuitanak"/>
      <sheetName val="BQ"/>
      <sheetName val="F1771-II"/>
      <sheetName val="GSMTOWER"/>
      <sheetName val="by_service1"/>
      <sheetName val="WBS_20051"/>
      <sheetName val="CM_Tgl"/>
      <sheetName val="Name_(Dont_Delete!!)"/>
      <sheetName val="RL-JL-08_Rev"/>
      <sheetName val="AA_1_1_BNI"/>
      <sheetName val="rugi_laba-NEW"/>
      <sheetName val="Assmp_Hyper"/>
      <sheetName val="Balance_Sheet"/>
      <sheetName val="Rekap_Budget"/>
      <sheetName val="Plc_Staff_Recharges"/>
      <sheetName val="KAS_$"/>
      <sheetName val="Location_Details"/>
      <sheetName val="Marshal"/>
      <sheetName val="Permanent info"/>
      <sheetName val="FA Movement"/>
      <sheetName val="Cash_flow2"/>
      <sheetName val="by_service2"/>
      <sheetName val="WBS_20052"/>
      <sheetName val="CM_Tgl1"/>
      <sheetName val="Name_(Dont_Delete!!)1"/>
      <sheetName val="RL-JL-08_Rev1"/>
      <sheetName val="AA_1_1_BNI1"/>
      <sheetName val="rugi_laba-NEW1"/>
      <sheetName val="Assmp_Hyper1"/>
      <sheetName val="Balance_Sheet1"/>
      <sheetName val="Rekap_Budget1"/>
      <sheetName val="Plc_Staff_Recharges1"/>
      <sheetName val="KAS_$1"/>
      <sheetName val="BP 06"/>
      <sheetName val="Parameter"/>
      <sheetName val="Suplier"/>
      <sheetName val="5610.1.B Building"/>
      <sheetName val="COA"/>
      <sheetName val="#REF!"/>
      <sheetName val="_REF_"/>
      <sheetName val="tabel nilai"/>
      <sheetName val="SPMS Price Cal"/>
      <sheetName val="pl"/>
      <sheetName val="variable"/>
      <sheetName val="Pag_hal"/>
      <sheetName val="Sum IQA"/>
      <sheetName val="Analisa ARS"/>
      <sheetName val="RES"/>
      <sheetName val="Rate"/>
      <sheetName val="Profit &amp; Loss Account"/>
      <sheetName val="LVMAY"/>
      <sheetName val="TBCons KMB04"/>
      <sheetName val="TB"/>
      <sheetName val="Entry  HTM"/>
      <sheetName val="Sheet5"/>
      <sheetName val="SAP"/>
      <sheetName val="Stds"/>
      <sheetName val="A3-Dec_2003"/>
      <sheetName val="Sensitivitas"/>
      <sheetName val="JADI"/>
      <sheetName val="FE-1770.P1"/>
      <sheetName val="60.102"/>
      <sheetName val="As"/>
      <sheetName val="bayar_04_fak"/>
      <sheetName val="Summary"/>
      <sheetName val="Macro5"/>
      <sheetName val="H.Satuan"/>
      <sheetName val="40B.300.SSD"/>
      <sheetName val="A12A.300.SSD"/>
      <sheetName val="A6.300"/>
      <sheetName val="A6.Sum"/>
      <sheetName val="AR"/>
      <sheetName val="17"/>
      <sheetName val="subkon"/>
      <sheetName val="Bank"/>
      <sheetName val="std"/>
      <sheetName val="I-5"/>
      <sheetName val="ASSUMPTIONS"/>
      <sheetName val="DWP"/>
      <sheetName val="OTHER INCOME &amp; BY PERDIVISI"/>
      <sheetName val="BoQ PML"/>
      <sheetName val="input-cost"/>
      <sheetName val="As@Mar-14"/>
      <sheetName val="A1A.300.SSD"/>
      <sheetName val="SAP + LS"/>
      <sheetName val="Detail PL"/>
      <sheetName val="jvr"/>
      <sheetName val="조립"/>
      <sheetName val="PS data"/>
      <sheetName val="Neraca"/>
      <sheetName val="A-GL-SUMMARY"/>
      <sheetName val="A u g"/>
      <sheetName val="Detail_PL"/>
      <sheetName val="Sum_IQA"/>
      <sheetName val="PS_data"/>
      <sheetName val="A_u_g"/>
      <sheetName val="Start_Proj_98-00"/>
      <sheetName val="SCFP"/>
      <sheetName val="Difference Cons"/>
      <sheetName val="20A.300.SSD"/>
      <sheetName val="FC switches"/>
      <sheetName val="kriteria"/>
      <sheetName val="SUMBER"/>
      <sheetName val="Cash_flow3"/>
      <sheetName val="WBS_20053"/>
      <sheetName val="by_service3"/>
      <sheetName val="CM_Tgl2"/>
      <sheetName val="Name_(Dont_Delete!!)2"/>
      <sheetName val="RL-JL-08_Rev2"/>
      <sheetName val="AA_1_1_BNI2"/>
      <sheetName val="Rekap_Budget2"/>
      <sheetName val="Plc_Staff_Recharges2"/>
      <sheetName val="Balance_Sheet2"/>
      <sheetName val="rugi_laba-NEW2"/>
      <sheetName val="Assmp_Hyper2"/>
      <sheetName val="KAS_$2"/>
      <sheetName val="Permanent_info"/>
      <sheetName val="FA_Movement"/>
      <sheetName val="BP_06"/>
      <sheetName val="5610_1_B_Building"/>
      <sheetName val="Cash_flow4"/>
      <sheetName val="WBS_20054"/>
      <sheetName val="by_service4"/>
      <sheetName val="CM_Tgl3"/>
      <sheetName val="Name_(Dont_Delete!!)3"/>
      <sheetName val="RL-JL-08_Rev3"/>
      <sheetName val="AA_1_1_BNI3"/>
      <sheetName val="Rekap_Budget3"/>
      <sheetName val="Plc_Staff_Recharges3"/>
      <sheetName val="Balance_Sheet3"/>
      <sheetName val="rugi_laba-NEW3"/>
      <sheetName val="Assmp_Hyper3"/>
      <sheetName val="KAS_$3"/>
      <sheetName val="Permanent_info1"/>
      <sheetName val="FA_Movement1"/>
      <sheetName val="BP_061"/>
      <sheetName val="5610_1_B_Building1"/>
      <sheetName val="Analisa HSP"/>
      <sheetName val="vendor"/>
      <sheetName val="Galian batu"/>
      <sheetName val="PAD-F"/>
      <sheetName val="tabel_nilai"/>
      <sheetName val="PROD 02"/>
      <sheetName val="Sheet4"/>
      <sheetName val="5.1-5.4(1)-5.4(2)"/>
      <sheetName val="D HARGA"/>
      <sheetName val="Cash_flow7"/>
      <sheetName val="WBS_20057"/>
      <sheetName val="by_service7"/>
      <sheetName val="CM_Tgl6"/>
      <sheetName val="Name_(Dont_Delete!!)6"/>
      <sheetName val="RL-JL-08_Rev6"/>
      <sheetName val="AA_1_1_BNI6"/>
      <sheetName val="Rekap_Budget6"/>
      <sheetName val="Plc_Staff_Recharges6"/>
      <sheetName val="Balance_Sheet6"/>
      <sheetName val="rugi_laba-NEW6"/>
      <sheetName val="Assmp_Hyper6"/>
      <sheetName val="KAS_$6"/>
      <sheetName val="Permanent_info4"/>
      <sheetName val="FA_Movement4"/>
      <sheetName val="BP_064"/>
      <sheetName val="5610_1_B_Building4"/>
      <sheetName val="Cash_flow5"/>
      <sheetName val="WBS_20055"/>
      <sheetName val="by_service5"/>
      <sheetName val="CM_Tgl4"/>
      <sheetName val="Name_(Dont_Delete!!)4"/>
      <sheetName val="RL-JL-08_Rev4"/>
      <sheetName val="AA_1_1_BNI4"/>
      <sheetName val="Rekap_Budget4"/>
      <sheetName val="Plc_Staff_Recharges4"/>
      <sheetName val="Balance_Sheet4"/>
      <sheetName val="rugi_laba-NEW4"/>
      <sheetName val="Assmp_Hyper4"/>
      <sheetName val="KAS_$4"/>
      <sheetName val="Permanent_info2"/>
      <sheetName val="FA_Movement2"/>
      <sheetName val="BP_062"/>
      <sheetName val="5610_1_B_Building2"/>
      <sheetName val="Cash_flow6"/>
      <sheetName val="WBS_20056"/>
      <sheetName val="by_service6"/>
      <sheetName val="CM_Tgl5"/>
      <sheetName val="Name_(Dont_Delete!!)5"/>
      <sheetName val="RL-JL-08_Rev5"/>
      <sheetName val="AA_1_1_BNI5"/>
      <sheetName val="Rekap_Budget5"/>
      <sheetName val="Plc_Staff_Recharges5"/>
      <sheetName val="Balance_Sheet5"/>
      <sheetName val="rugi_laba-NEW5"/>
      <sheetName val="Assmp_Hyper5"/>
      <sheetName val="KAS_$5"/>
      <sheetName val="Permanent_info3"/>
      <sheetName val="FA_Movement3"/>
      <sheetName val="BP_063"/>
      <sheetName val="5610_1_B_Building3"/>
      <sheetName val="bilangan"/>
      <sheetName val="MAP"/>
      <sheetName val="RAB"/>
      <sheetName val="HD ALAT"/>
      <sheetName val="DATA2009"/>
      <sheetName val="Harga"/>
      <sheetName val="Source"/>
      <sheetName val="DATA 2"/>
      <sheetName val="H-SAT"/>
      <sheetName val="KEB-MAT"/>
      <sheetName val="KPB_Bank"/>
      <sheetName val="KPB-BUA"/>
      <sheetName val="KPB-PP"/>
      <sheetName val="A"/>
      <sheetName val="SPI"/>
      <sheetName val="DAF-2"/>
      <sheetName val="PERALATAN PROYEK GOL III A"/>
      <sheetName val="SCH12"/>
      <sheetName val="Analisa"/>
      <sheetName val="work shop"/>
      <sheetName val="sdm"/>
      <sheetName val="TOWN"/>
      <sheetName val="HITUNG-HPP,25"/>
      <sheetName val="IS"/>
      <sheetName val="1200.20"/>
      <sheetName val="JobDesc"/>
      <sheetName val="SPMS_Price_Cal"/>
      <sheetName val="Profit_&amp;_Loss_Account"/>
      <sheetName val="TBCons_KMB04"/>
      <sheetName val="Entry__HTM"/>
      <sheetName val="FE-1770_P1"/>
      <sheetName val="60_102"/>
      <sheetName val="H_Satuan"/>
      <sheetName val="40B_300_SSD"/>
      <sheetName val="A12A_300_SSD"/>
      <sheetName val="A6_300"/>
      <sheetName val="A6_Sum"/>
      <sheetName val="A1A_300_SSD"/>
      <sheetName val="SAP_+_LS"/>
      <sheetName val="OTHER_INCOME_&amp;_BY_PERDIVISI"/>
      <sheetName val="Galian_batu"/>
      <sheetName val="Detail_PL1"/>
      <sheetName val="Sum_IQA1"/>
      <sheetName val="PS_data1"/>
      <sheetName val="A_u_g1"/>
      <sheetName val="Difference_Cons"/>
      <sheetName val="20A_300_SSD"/>
      <sheetName val="FC_switches"/>
      <sheetName val="1200_20"/>
      <sheetName val="Jabar"/>
      <sheetName val="Jateng"/>
      <sheetName val="Jatim"/>
      <sheetName val="Pusat"/>
      <sheetName val="Sulawesi"/>
      <sheetName val="Sumbagsel"/>
      <sheetName val="April"/>
      <sheetName val="Commercial"/>
      <sheetName val="RANKING PELAPORAN"/>
      <sheetName val="Table"/>
      <sheetName val="Syarat"/>
      <sheetName val="Detail_FA"/>
      <sheetName val="Rep_BS"/>
      <sheetName val="FKT_PJK"/>
      <sheetName val="Utlz03"/>
      <sheetName val="star basic"/>
      <sheetName val="star riders"/>
      <sheetName val="sure basic"/>
      <sheetName val="sure riders"/>
      <sheetName val="Proyeksi"/>
      <sheetName val="data_val"/>
      <sheetName val="fr BS"/>
      <sheetName val="Penyusutan Kendaraan"/>
      <sheetName val="SUPPEXT"/>
      <sheetName val="SALES 09-10  PIVOT"/>
      <sheetName val="TBLABCD"/>
      <sheetName val="R"/>
      <sheetName val="4.1 Placement w.o.b"/>
      <sheetName val="Sum Salary"/>
      <sheetName val="Kinerja Proyek"/>
      <sheetName val="PRY 01-8"/>
      <sheetName val="RKP-1"/>
      <sheetName val="PRY 01-3"/>
      <sheetName val="Kuantitas &amp; Harga"/>
      <sheetName val="an-satuan"/>
      <sheetName val="Div2"/>
      <sheetName val="Credit-22"/>
      <sheetName val="SUB &amp; mandor"/>
      <sheetName val="Rekap Analisa"/>
      <sheetName val="BUSWAY"/>
      <sheetName val="input"/>
      <sheetName val="Uraian Upah"/>
      <sheetName val="ESCON"/>
      <sheetName val="VAT out"/>
      <sheetName val="DB"/>
      <sheetName val="Upah"/>
      <sheetName val="h90-160 (penebalan)"/>
      <sheetName val="PROD"/>
      <sheetName val="LUMPSUM"/>
      <sheetName val="Z"/>
      <sheetName val="RANGKUM"/>
      <sheetName val="TAGIHAN"/>
      <sheetName val="div 7"/>
      <sheetName val="Konfirm"/>
      <sheetName val="resume rkap"/>
      <sheetName val="resume"/>
      <sheetName val="Agregat Halus &amp; Kasar"/>
      <sheetName val="Agg Halus &amp; Kasar"/>
      <sheetName val="Break Down"/>
      <sheetName val="TOTAL UPAH"/>
      <sheetName val="harsat"/>
      <sheetName val="Rincian"/>
      <sheetName val="BAU"/>
      <sheetName val="Cover"/>
      <sheetName val="Template"/>
      <sheetName val="APRIL'02"/>
      <sheetName val="Monitor"/>
      <sheetName val="sai"/>
      <sheetName val="BP1_23"/>
      <sheetName val="dbf"/>
      <sheetName val="BASIC"/>
      <sheetName val="DB-PU"/>
      <sheetName val="Rasio"/>
      <sheetName val="UnitRateA.1.II"/>
      <sheetName val="UnitRate22"/>
      <sheetName val="RWD-02"/>
      <sheetName val="daf-3(OK)"/>
      <sheetName val="daf-7(OK)"/>
      <sheetName val="TARIP"/>
      <sheetName val="SATDASAR"/>
      <sheetName val="MAJOR"/>
      <sheetName val="pivot"/>
      <sheetName val="Fill this out first..."/>
      <sheetName val="ADD-DISP-OTHER"/>
      <sheetName val="PriceList"/>
      <sheetName val="Pipe"/>
      <sheetName val="BHN"/>
      <sheetName val="pivotscd"/>
      <sheetName val="PRODUKSI"/>
      <sheetName val="Harga Dasar"/>
      <sheetName val="jan"/>
      <sheetName val="FEB"/>
      <sheetName val="MAR"/>
      <sheetName val="Equipment"/>
      <sheetName val="PRD01-1"/>
      <sheetName val="Sat. Pek."/>
      <sheetName val="PRD 01-7 alat"/>
      <sheetName val="610.07A"/>
      <sheetName val="DKH"/>
      <sheetName val="Fill this out first___"/>
      <sheetName val="DATA PROYEK"/>
      <sheetName val="BQ ARS"/>
      <sheetName val="GP-WB"/>
      <sheetName val="7.1(3)"/>
      <sheetName val="HARGA SATUAN"/>
      <sheetName val="Unit Rate"/>
      <sheetName val="Audit Adjustments - PLN Pusat"/>
      <sheetName val="UPDATE"/>
      <sheetName val="ANAL"/>
      <sheetName val="Cashflow"/>
      <sheetName val="HS-1"/>
      <sheetName val="pt-perso"/>
      <sheetName val="SUM-IF"/>
      <sheetName val="EVALUASI MAY - JUN  (2)"/>
      <sheetName val="F1771_V"/>
      <sheetName val="est proy"/>
      <sheetName val="Master"/>
      <sheetName val="Prices"/>
      <sheetName val="DATA_2016"/>
      <sheetName val="Depr_Ex_Output"/>
      <sheetName val="H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BS"/>
      <sheetName val="PL"/>
      <sheetName val="AJE&amp;RJE"/>
      <sheetName val="INPUT"/>
      <sheetName val="TB"/>
      <sheetName val="GT_Custom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Attendance"/>
      <sheetName val="DailyOvertime"/>
      <sheetName val="SPL"/>
      <sheetName val="Monthly RecapLO"/>
      <sheetName val="Mo.Recap By Empl."/>
      <sheetName val="Schedule"/>
      <sheetName val="01.Period"/>
      <sheetName val="Table"/>
      <sheetName val="Sheet1"/>
      <sheetName val="Sheet2"/>
      <sheetName val="TB"/>
      <sheetName val="std"/>
      <sheetName val="JAN"/>
      <sheetName val="JobDesc"/>
      <sheetName val="GeneralInfo"/>
      <sheetName val="M Plan"/>
      <sheetName val="inven"/>
      <sheetName val="C S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efit uuk"/>
      <sheetName val="PVDBO (8%)"/>
      <sheetName val="Salary List 2016"/>
      <sheetName val="Increasing Rate 2016"/>
      <sheetName val="Salary List 2017"/>
      <sheetName val="Increasing Rate 2017"/>
      <sheetName val="PVDBO 11% (2017)"/>
      <sheetName val="Salary list 2018"/>
      <sheetName val="Increasing Rate 2018"/>
      <sheetName val="PVDBO 10 % 2018"/>
      <sheetName val="Salary List 2019"/>
      <sheetName val="Increasing Rate 2019"/>
      <sheetName val="PVDBO 10 % 2019"/>
      <sheetName val="Increasing Rate 2020"/>
      <sheetName val="Salary List 2020"/>
      <sheetName val="PVDBO 10 % 2020"/>
      <sheetName val="Sheet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195"/>
      <sheetName val="SSP"/>
      <sheetName val="A"/>
      <sheetName val="SUMM A"/>
      <sheetName val="B"/>
      <sheetName val="SUMM B"/>
      <sheetName val="C_List"/>
      <sheetName val="V_List"/>
      <sheetName val="MFWP"/>
      <sheetName val="SUMM_A"/>
      <sheetName val="SUMM_B"/>
      <sheetName val="SCH12"/>
      <sheetName val="Accrued EXPENSE"/>
      <sheetName val="Table Array"/>
      <sheetName val="SUMM_A1"/>
      <sheetName val="SUMM_B1"/>
      <sheetName val="Tra_bang"/>
      <sheetName val="Notes to BS"/>
      <sheetName val="Mort-08"/>
      <sheetName val="P3_5"/>
      <sheetName val="Significant Processes"/>
      <sheetName val="EBITRECS"/>
      <sheetName val="5X3"/>
      <sheetName val="BS-PL Komersil and Fiskal"/>
      <sheetName val="DPPPh PASAL 21"/>
      <sheetName val="SUMM_A7"/>
      <sheetName val="SUMM_B7"/>
      <sheetName val="Accrued_EXPENSE5"/>
      <sheetName val="Table_Array5"/>
      <sheetName val="Notes_to_BS5"/>
      <sheetName val="Significant_Processes5"/>
      <sheetName val="BS-PL_Komersil_and_Fiskal5"/>
      <sheetName val="DPPPh_PASAL_215"/>
      <sheetName val="SUMM_A2"/>
      <sheetName val="SUMM_B2"/>
      <sheetName val="Accrued_EXPENSE"/>
      <sheetName val="Table_Array"/>
      <sheetName val="Notes_to_BS"/>
      <sheetName val="Significant_Processes"/>
      <sheetName val="BS-PL_Komersil_and_Fiskal"/>
      <sheetName val="DPPPh_PASAL_21"/>
      <sheetName val="SUMM_A4"/>
      <sheetName val="SUMM_B4"/>
      <sheetName val="Accrued_EXPENSE2"/>
      <sheetName val="Table_Array2"/>
      <sheetName val="Notes_to_BS2"/>
      <sheetName val="Significant_Processes2"/>
      <sheetName val="BS-PL_Komersil_and_Fiskal2"/>
      <sheetName val="DPPPh_PASAL_212"/>
      <sheetName val="SUMM_A3"/>
      <sheetName val="SUMM_B3"/>
      <sheetName val="Accrued_EXPENSE1"/>
      <sheetName val="Table_Array1"/>
      <sheetName val="Notes_to_BS1"/>
      <sheetName val="Significant_Processes1"/>
      <sheetName val="BS-PL_Komersil_and_Fiskal1"/>
      <sheetName val="DPPPh_PASAL_211"/>
      <sheetName val="SUMM_A5"/>
      <sheetName val="SUMM_B5"/>
      <sheetName val="Accrued_EXPENSE3"/>
      <sheetName val="Table_Array3"/>
      <sheetName val="Notes_to_BS3"/>
      <sheetName val="Significant_Processes3"/>
      <sheetName val="BS-PL_Komersil_and_Fiskal3"/>
      <sheetName val="DPPPh_PASAL_213"/>
      <sheetName val="SUMM_A6"/>
      <sheetName val="SUMM_B6"/>
      <sheetName val="Accrued_EXPENSE4"/>
      <sheetName val="Table_Array4"/>
      <sheetName val="Notes_to_BS4"/>
      <sheetName val="Significant_Processes4"/>
      <sheetName val="BS-PL_Komersil_and_Fiskal4"/>
      <sheetName val="DPPPh_PASAL_214"/>
      <sheetName val="SUMM_A10"/>
      <sheetName val="SUMM_B10"/>
      <sheetName val="Accrued_EXPENSE8"/>
      <sheetName val="Table_Array8"/>
      <sheetName val="Notes_to_BS8"/>
      <sheetName val="Significant_Processes8"/>
      <sheetName val="BS-PL_Komersil_and_Fiskal8"/>
      <sheetName val="DPPPh_PASAL_218"/>
      <sheetName val="SUMM_A8"/>
      <sheetName val="SUMM_B8"/>
      <sheetName val="Accrued_EXPENSE6"/>
      <sheetName val="Table_Array6"/>
      <sheetName val="Notes_to_BS6"/>
      <sheetName val="Significant_Processes6"/>
      <sheetName val="BS-PL_Komersil_and_Fiskal6"/>
      <sheetName val="DPPPh_PASAL_216"/>
      <sheetName val="SUMM_A9"/>
      <sheetName val="SUMM_B9"/>
      <sheetName val="Accrued_EXPENSE7"/>
      <sheetName val="Table_Array7"/>
      <sheetName val="Notes_to_BS7"/>
      <sheetName val="Significant_Processes7"/>
      <sheetName val="BS-PL_Komersil_and_Fiskal7"/>
      <sheetName val="DPPPh_PASAL_217"/>
      <sheetName val="Sheet2"/>
      <sheetName val="FISIK RAB 2000"/>
      <sheetName val="Slip 2"/>
      <sheetName val="SUMM_A13"/>
      <sheetName val="SUMM_B13"/>
      <sheetName val="Accrued_EXPENSE11"/>
      <sheetName val="Table_Array11"/>
      <sheetName val="Notes_to_BS11"/>
      <sheetName val="Significant_Processes11"/>
      <sheetName val="BS-PL_Komersil_and_Fiskal11"/>
      <sheetName val="DPPPh_PASAL_2111"/>
      <sheetName val="SUMM_A12"/>
      <sheetName val="SUMM_B12"/>
      <sheetName val="Accrued_EXPENSE10"/>
      <sheetName val="Table_Array10"/>
      <sheetName val="Notes_to_BS10"/>
      <sheetName val="Significant_Processes10"/>
      <sheetName val="BS-PL_Komersil_and_Fiskal10"/>
      <sheetName val="DPPPh_PASAL_2110"/>
      <sheetName val="SUMM_A11"/>
      <sheetName val="SUMM_B11"/>
      <sheetName val="Accrued_EXPENSE9"/>
      <sheetName val="Table_Array9"/>
      <sheetName val="Notes_to_BS9"/>
      <sheetName val="Significant_Processes9"/>
      <sheetName val="BS-PL_Komersil_and_Fiskal9"/>
      <sheetName val="DPPPh_PASAL_219"/>
      <sheetName val="A1-B ASSET"/>
      <sheetName val="K.6DEPOSIT"/>
      <sheetName val="Act"/>
      <sheetName val="Pain data"/>
      <sheetName val="SUMM_A14"/>
      <sheetName val="SUMM_B14"/>
      <sheetName val="Accrued_EXPENSE12"/>
      <sheetName val="Table_Array12"/>
      <sheetName val="Notes_to_BS12"/>
      <sheetName val="Significant_Processes12"/>
      <sheetName val="BS-PL_Komersil_and_Fiskal12"/>
      <sheetName val="DPPPh_PASAL_2112"/>
      <sheetName val="Labor"/>
      <sheetName val="00-1"/>
      <sheetName val="data_val"/>
      <sheetName val="Asumsi"/>
      <sheetName val="Data PSL"/>
      <sheetName val="Rate"/>
      <sheetName val="t"/>
      <sheetName val="Table"/>
      <sheetName val="Monthly RecapLO"/>
      <sheetName val="General Info"/>
      <sheetName val="412src2"/>
      <sheetName val="NOTHIT"/>
      <sheetName val="Notes"/>
      <sheetName val="uu13"/>
      <sheetName val="Macro5"/>
      <sheetName val="Input Sheet"/>
      <sheetName val="Permanent info"/>
      <sheetName val="SUMM_A15"/>
      <sheetName val="SUMM_B15"/>
      <sheetName val="Accrued_EXPENSE13"/>
      <sheetName val="Table_Array13"/>
      <sheetName val="Notes_to_BS13"/>
      <sheetName val="Significant_Processes13"/>
      <sheetName val="BS-PL_Komersil_and_Fiskal13"/>
      <sheetName val="DPPPh_PASAL_2113"/>
      <sheetName val="Slip_2"/>
      <sheetName val="FISIK_RAB_2000"/>
      <sheetName val="A1-B_ASSET"/>
      <sheetName val="K_6DEPOSIT"/>
      <sheetName val="Pain_data"/>
      <sheetName val="Data_PSL"/>
      <sheetName val="Monthly_RecapLO"/>
      <sheetName val="General_Info"/>
      <sheetName val="DATA"/>
      <sheetName val="Tickmarks"/>
      <sheetName val="ACCOUNT NO"/>
      <sheetName val="ts"/>
      <sheetName val="tc"/>
      <sheetName val="TB"/>
      <sheetName val="J1"/>
      <sheetName val="SUMMARY"/>
      <sheetName val="LegalPath"/>
      <sheetName val="Depresiasi"/>
      <sheetName val="Additional"/>
      <sheetName val="Mutasi Final"/>
      <sheetName val="Component cost"/>
      <sheetName val="DAF.INVEN U.O"/>
      <sheetName val="SELISIHKURSSOURCE"/>
      <sheetName val="ADD-DISP-OTHER"/>
      <sheetName val="Menu Utama"/>
      <sheetName val="DATA2"/>
      <sheetName val="General_Info1"/>
      <sheetName val="Ref"/>
      <sheetName val="Mort-06"/>
      <sheetName val="inf BS"/>
      <sheetName val="Trial Bal"/>
      <sheetName val="Marshal"/>
      <sheetName val="Sheet5"/>
      <sheetName val="unpaid"/>
      <sheetName val="SUMM_A16"/>
      <sheetName val="SUMM_B16"/>
      <sheetName val="Accrued_EXPENSE14"/>
      <sheetName val="Table_Array14"/>
      <sheetName val="Notes_to_BS14"/>
      <sheetName val="Significant_Processes14"/>
      <sheetName val="BS-PL_Komersil_and_Fiskal14"/>
      <sheetName val="DPPPh_PASAL_2114"/>
      <sheetName val="Slip_21"/>
      <sheetName val="FISIK_RAB_20001"/>
      <sheetName val="A1-B_ASSET1"/>
      <sheetName val="K_6DEPOSIT1"/>
      <sheetName val="Pain_data1"/>
      <sheetName val="Data_PSL1"/>
      <sheetName val="Monthly_RecapLO1"/>
      <sheetName val="2. 2002 balance"/>
      <sheetName val="Input_Sheet"/>
      <sheetName val="Permanent_info"/>
      <sheetName val="ACCOUNT_NO"/>
      <sheetName val="SUMM_A17"/>
      <sheetName val="SUMM_B17"/>
      <sheetName val="Accrued_EXPENSE15"/>
      <sheetName val="Table_Array15"/>
      <sheetName val="Notes_to_BS15"/>
      <sheetName val="Significant_Processes15"/>
      <sheetName val="BS-PL_Komersil_and_Fiskal15"/>
      <sheetName val="DPPPh_PASAL_2115"/>
      <sheetName val="Slip_22"/>
      <sheetName val="FISIK_RAB_20002"/>
      <sheetName val="A1-B_ASSET2"/>
      <sheetName val="K_6DEPOSIT2"/>
      <sheetName val="Pain_data2"/>
      <sheetName val="Data_PSL2"/>
      <sheetName val="Monthly_RecapLO2"/>
      <sheetName val="General_Info2"/>
      <sheetName val="Input_Sheet1"/>
      <sheetName val="Permanent_info1"/>
      <sheetName val="ACCOUNT_NO1"/>
      <sheetName val="SUMM_A18"/>
      <sheetName val="SUMM_B18"/>
      <sheetName val="Accrued_EXPENSE16"/>
      <sheetName val="Table_Array16"/>
      <sheetName val="Notes_to_BS16"/>
      <sheetName val="Significant_Processes16"/>
      <sheetName val="BS-PL_Komersil_and_Fiskal16"/>
      <sheetName val="DPPPh_PASAL_2116"/>
      <sheetName val="Slip_23"/>
      <sheetName val="FISIK_RAB_20003"/>
      <sheetName val="A1-B_ASSET3"/>
      <sheetName val="K_6DEPOSIT3"/>
      <sheetName val="Pain_data3"/>
      <sheetName val="Data_PSL3"/>
      <sheetName val="Monthly_RecapLO3"/>
      <sheetName val="General_Info3"/>
      <sheetName val="Input_Sheet2"/>
      <sheetName val="Permanent_info2"/>
      <sheetName val="ACCOUNT_NO2"/>
      <sheetName val="SUMM_A19"/>
      <sheetName val="SUMM_B19"/>
      <sheetName val="Accrued_EXPENSE17"/>
      <sheetName val="Table_Array17"/>
      <sheetName val="Notes_to_BS17"/>
      <sheetName val="Significant_Processes17"/>
      <sheetName val="BS-PL_Komersil_and_Fiskal17"/>
      <sheetName val="DPPPh_PASAL_2117"/>
      <sheetName val="Slip_24"/>
      <sheetName val="FISIK_RAB_20004"/>
      <sheetName val="A1-B_ASSET4"/>
      <sheetName val="K_6DEPOSIT4"/>
      <sheetName val="Pain_data4"/>
      <sheetName val="Data_PSL4"/>
      <sheetName val="Monthly_RecapLO4"/>
      <sheetName val="General_Info4"/>
      <sheetName val="Input_Sheet3"/>
      <sheetName val="Permanent_info3"/>
      <sheetName val="ACCOUNT_NO3"/>
      <sheetName val="SUMM_A23"/>
      <sheetName val="SUMM_B23"/>
      <sheetName val="Accrued_EXPENSE21"/>
      <sheetName val="Table_Array21"/>
      <sheetName val="Notes_to_BS21"/>
      <sheetName val="Significant_Processes21"/>
      <sheetName val="BS-PL_Komersil_and_Fiskal21"/>
      <sheetName val="DPPPh_PASAL_2121"/>
      <sheetName val="Slip_28"/>
      <sheetName val="FISIK_RAB_20008"/>
      <sheetName val="A1-B_ASSET8"/>
      <sheetName val="K_6DEPOSIT8"/>
      <sheetName val="Pain_data8"/>
      <sheetName val="Data_PSL8"/>
      <sheetName val="Monthly_RecapLO8"/>
      <sheetName val="General_Info8"/>
      <sheetName val="Input_Sheet7"/>
      <sheetName val="Permanent_info7"/>
      <sheetName val="ACCOUNT_NO7"/>
      <sheetName val="SUMM_A20"/>
      <sheetName val="SUMM_B20"/>
      <sheetName val="Accrued_EXPENSE18"/>
      <sheetName val="Table_Array18"/>
      <sheetName val="Notes_to_BS18"/>
      <sheetName val="Significant_Processes18"/>
      <sheetName val="BS-PL_Komersil_and_Fiskal18"/>
      <sheetName val="DPPPh_PASAL_2118"/>
      <sheetName val="Slip_25"/>
      <sheetName val="FISIK_RAB_20005"/>
      <sheetName val="A1-B_ASSET5"/>
      <sheetName val="K_6DEPOSIT5"/>
      <sheetName val="Pain_data5"/>
      <sheetName val="Data_PSL5"/>
      <sheetName val="Monthly_RecapLO5"/>
      <sheetName val="General_Info5"/>
      <sheetName val="Input_Sheet4"/>
      <sheetName val="Permanent_info4"/>
      <sheetName val="ACCOUNT_NO4"/>
      <sheetName val="SUMM_A21"/>
      <sheetName val="SUMM_B21"/>
      <sheetName val="Accrued_EXPENSE19"/>
      <sheetName val="Table_Array19"/>
      <sheetName val="Notes_to_BS19"/>
      <sheetName val="Significant_Processes19"/>
      <sheetName val="BS-PL_Komersil_and_Fiskal19"/>
      <sheetName val="DPPPh_PASAL_2119"/>
      <sheetName val="Slip_26"/>
      <sheetName val="FISIK_RAB_20006"/>
      <sheetName val="A1-B_ASSET6"/>
      <sheetName val="K_6DEPOSIT6"/>
      <sheetName val="Pain_data6"/>
      <sheetName val="Data_PSL6"/>
      <sheetName val="Monthly_RecapLO6"/>
      <sheetName val="General_Info6"/>
      <sheetName val="Input_Sheet5"/>
      <sheetName val="Permanent_info5"/>
      <sheetName val="ACCOUNT_NO5"/>
      <sheetName val="SUMM_A22"/>
      <sheetName val="SUMM_B22"/>
      <sheetName val="Accrued_EXPENSE20"/>
      <sheetName val="Table_Array20"/>
      <sheetName val="Notes_to_BS20"/>
      <sheetName val="Significant_Processes20"/>
      <sheetName val="BS-PL_Komersil_and_Fiskal20"/>
      <sheetName val="DPPPh_PASAL_2120"/>
      <sheetName val="Slip_27"/>
      <sheetName val="FISIK_RAB_20007"/>
      <sheetName val="A1-B_ASSET7"/>
      <sheetName val="K_6DEPOSIT7"/>
      <sheetName val="Pain_data7"/>
      <sheetName val="Data_PSL7"/>
      <sheetName val="Monthly_RecapLO7"/>
      <sheetName val="General_Info7"/>
      <sheetName val="Input_Sheet6"/>
      <sheetName val="Permanent_info6"/>
      <sheetName val="ACCOUNT_NO6"/>
      <sheetName val="SUMM_A24"/>
      <sheetName val="SUMM_B24"/>
      <sheetName val="Accrued_EXPENSE22"/>
      <sheetName val="Table_Array22"/>
      <sheetName val="Notes_to_BS22"/>
      <sheetName val="Significant_Processes22"/>
      <sheetName val="BS-PL_Komersil_and_Fiskal22"/>
      <sheetName val="DPPPh_PASAL_2122"/>
      <sheetName val="Slip_29"/>
      <sheetName val="FISIK_RAB_20009"/>
      <sheetName val="A1-B_ASSET9"/>
      <sheetName val="K_6DEPOSIT9"/>
      <sheetName val="Pain_data9"/>
      <sheetName val="Data_PSL9"/>
      <sheetName val="Monthly_RecapLO9"/>
      <sheetName val="General_Info9"/>
      <sheetName val="Input_Sheet8"/>
      <sheetName val="Permanent_info8"/>
      <sheetName val="ACCOUNT_NO8"/>
      <sheetName val="SUMM_A25"/>
      <sheetName val="SUMM_B25"/>
      <sheetName val="Accrued_EXPENSE23"/>
      <sheetName val="Table_Array23"/>
      <sheetName val="Notes_to_BS23"/>
      <sheetName val="Significant_Processes23"/>
      <sheetName val="BS-PL_Komersil_and_Fiskal23"/>
      <sheetName val="DPPPh_PASAL_2123"/>
      <sheetName val="Slip_210"/>
      <sheetName val="FISIK_RAB_200010"/>
      <sheetName val="A1-B_ASSET10"/>
      <sheetName val="K_6DEPOSIT10"/>
      <sheetName val="Pain_data10"/>
      <sheetName val="Data_PSL10"/>
      <sheetName val="Monthly_RecapLO10"/>
      <sheetName val="General_Info10"/>
      <sheetName val="Input_Sheet9"/>
      <sheetName val="Permanent_info9"/>
      <sheetName val="ACCOUNT_NO9"/>
      <sheetName val="Sheet1"/>
      <sheetName val="HO"/>
      <sheetName val="JobDesc"/>
      <sheetName val="Table 5"/>
      <sheetName val="p&amp;l98"/>
      <sheetName val="Customize Your Purchase Order"/>
      <sheetName val="Tarif"/>
      <sheetName val="GeneralInfo"/>
      <sheetName val="GL40"/>
      <sheetName val="Account Code"/>
      <sheetName val="F1771-2"/>
      <sheetName val="2934"/>
      <sheetName val="Account_Code"/>
      <sheetName val="EXCH97 (1101)"/>
      <sheetName val="3800-Interim"/>
      <sheetName val="U1"/>
      <sheetName val="U1.7"/>
      <sheetName val="TBCons KMB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"/>
      <sheetName val="MFWP"/>
      <sheetName val="V_List"/>
      <sheetName val="GL40"/>
      <sheetName val="data_val"/>
      <sheetName val="REV_1702"/>
      <sheetName val="GeneralInfo"/>
      <sheetName val="Input"/>
      <sheetName val="LOOKUP"/>
      <sheetName val="NRC"/>
      <sheetName val="Assumptions"/>
      <sheetName val="Sheet2"/>
      <sheetName val="TB"/>
      <sheetName val="2001GeneralInfo"/>
      <sheetName val="WK Local"/>
      <sheetName val="Kode EX &amp; DTD"/>
      <sheetName val="WP"/>
      <sheetName val="data"/>
      <sheetName val="WK_Local5"/>
      <sheetName val="Kode_EX_&amp;_DTD5"/>
      <sheetName val="WK_Local"/>
      <sheetName val="Kode_EX_&amp;_DTD"/>
      <sheetName val="WK_Local2"/>
      <sheetName val="Kode_EX_&amp;_DTD2"/>
      <sheetName val="WK_Local1"/>
      <sheetName val="Kode_EX_&amp;_DTD1"/>
      <sheetName val="WK_Local3"/>
      <sheetName val="Kode_EX_&amp;_DTD3"/>
      <sheetName val="WK_Local4"/>
      <sheetName val="Kode_EX_&amp;_DTD4"/>
      <sheetName val="WK_Local8"/>
      <sheetName val="Kode_EX_&amp;_DTD8"/>
      <sheetName val="WK_Local6"/>
      <sheetName val="Kode_EX_&amp;_DTD6"/>
      <sheetName val="WK_Local7"/>
      <sheetName val="Kode_EX_&amp;_DTD7"/>
      <sheetName val="WK_Local11"/>
      <sheetName val="Kode_EX_&amp;_DTD11"/>
      <sheetName val="WK_Local10"/>
      <sheetName val="Kode_EX_&amp;_DTD10"/>
      <sheetName val="WK_Local9"/>
      <sheetName val="Kode_EX_&amp;_DTD9"/>
      <sheetName val="WK_Local12"/>
      <sheetName val="Kode_EX_&amp;_DTD12"/>
      <sheetName val="List"/>
      <sheetName val="wpl"/>
      <sheetName val="Daftar AR"/>
      <sheetName val="Cal"/>
      <sheetName val="WK_Local13"/>
      <sheetName val="Kode_EX_&amp;_DTD13"/>
      <sheetName val="Daftar_AR"/>
      <sheetName val="Penelitian formal keberatan"/>
      <sheetName val="data isian"/>
      <sheetName val="UHP"/>
      <sheetName val="SK"/>
      <sheetName val="Penelitian formal peng.sanksi"/>
      <sheetName val="Matriks"/>
      <sheetName val="kertas kerja penelitian"/>
      <sheetName val="per.bukti Wakil"/>
      <sheetName val="CHECKLIST"/>
      <sheetName val="alamat_kpp "/>
      <sheetName val="kode skp"/>
      <sheetName val="Sheet3"/>
      <sheetName val="Data Si DJP"/>
      <sheetName val="MASTER"/>
      <sheetName val="LHP cabut TA"/>
      <sheetName val="S-Cabut"/>
      <sheetName val="Formal"/>
      <sheetName val="Sheet1"/>
      <sheetName val="DB KPP"/>
      <sheetName val="Identitas"/>
      <sheetName val="KKP"/>
      <sheetName val="Wakil"/>
      <sheetName val="Matrik"/>
      <sheetName val="S KPP 2"/>
      <sheetName val="S KPP"/>
      <sheetName val="S WP"/>
      <sheetName val="Panggil"/>
      <sheetName val="S Balik WP"/>
      <sheetName val="LPNK"/>
      <sheetName val="pengembalian berkas"/>
      <sheetName val="SPUH"/>
      <sheetName val="Lamp SPUH"/>
      <sheetName val="26 A"/>
      <sheetName val="LHP (2)"/>
      <sheetName val="Penelitian formal"/>
      <sheetName val="LHP"/>
      <sheetName val="LPP Pembahasan"/>
      <sheetName val="LSPUH "/>
      <sheetName val="SIDJP"/>
      <sheetName val="BA Bahas"/>
      <sheetName val="Pakta integritas"/>
      <sheetName val="wp2"/>
      <sheetName val="wp1"/>
      <sheetName val="Minta Data KPP"/>
      <sheetName val="verbal"/>
      <sheetName val="Cover"/>
      <sheetName val="BA DATA"/>
      <sheetName val="Formal-36 a"/>
      <sheetName val="2 Matrik"/>
      <sheetName val="S-KPP-data"/>
      <sheetName val="4 S-WP-Data"/>
      <sheetName val="Fakt-I"/>
      <sheetName val="cov-kkp"/>
      <sheetName val="Print Screen"/>
      <sheetName val="Lbr teliti sanksi SKPKB"/>
      <sheetName val="Ambil Berkas"/>
      <sheetName val="Data WP 1"/>
      <sheetName val="Data WP 2"/>
      <sheetName val="Data WP Tamb"/>
      <sheetName val="UnPemb WP"/>
      <sheetName val="BA Pemb WP"/>
      <sheetName val="Data KPP"/>
      <sheetName val="Und Fungs 1"/>
      <sheetName val="Und Fungs 2"/>
      <sheetName val="BA Fungs"/>
      <sheetName val="Resume Penelitian TP"/>
      <sheetName val="SPUH &amp; Tangg"/>
      <sheetName val="BA SPUH"/>
      <sheetName val="BA SPUH 2"/>
      <sheetName val="TT"/>
      <sheetName val="BA.WP"/>
      <sheetName val="BA.KPP"/>
      <sheetName val="UND.KPP"/>
      <sheetName val="UND.WP"/>
      <sheetName val="kpp"/>
      <sheetName val="SIK"/>
      <sheetName val="kkp dpp pph pasal 26"/>
      <sheetName val="LPK blum net"/>
      <sheetName val="KEP (2)"/>
      <sheetName val="BA.hadir"/>
      <sheetName val="undkpp"/>
      <sheetName val="bapkpp"/>
      <sheetName val="bapwp"/>
      <sheetName val="undwp"/>
      <sheetName val="kpp1"/>
      <sheetName val="MF DATA"/>
      <sheetName val="LPK"/>
      <sheetName val="KKPresume"/>
      <sheetName val="KKPhasil"/>
      <sheetName val="KKP dokumen"/>
      <sheetName val="analisa"/>
      <sheetName val="KKPhitung"/>
      <sheetName val="KKPtunggakan"/>
      <sheetName val="datawp"/>
      <sheetName val="SK (2)"/>
      <sheetName val="Table"/>
      <sheetName val="Monthly RecapLO"/>
      <sheetName val="CHT EBIT BUD WKLY"/>
      <sheetName val="B1"/>
      <sheetName val="Control"/>
      <sheetName val="Mutasi Final"/>
      <sheetName val="Notes to BS"/>
      <sheetName val="SELISIHKURSSOURCE"/>
      <sheetName val="NAME"/>
      <sheetName val="NOTHIT"/>
      <sheetName val="S WP2"/>
      <sheetName val="1 Formal"/>
      <sheetName val="S. Doc ke 2"/>
      <sheetName val="Und KPP"/>
      <sheetName val="BA FP"/>
      <sheetName val="Und KPP1"/>
      <sheetName val="Und WP"/>
      <sheetName val="BA SPUH (2)"/>
      <sheetName val="KKP (1)"/>
      <sheetName val="KKP (2)"/>
      <sheetName val="KKP (2.1)"/>
      <sheetName val="KKP (3)"/>
      <sheetName val="KKP (3.1)"/>
      <sheetName val="Data WP"/>
      <sheetName val="LHP ok"/>
      <sheetName val="Lbr Depan"/>
      <sheetName val="Profile"/>
      <sheetName val="K.6DEPOSIT"/>
      <sheetName val="WP masukan"/>
      <sheetName val="Wages"/>
      <sheetName val="JOURNAL"/>
      <sheetName val="Tickmarks"/>
      <sheetName val="Asumsi"/>
      <sheetName val="Permanent info"/>
      <sheetName val="Search for Unrecorded Liabilty"/>
      <sheetName val="PRODUKSI"/>
      <sheetName val="BBM-03"/>
      <sheetName val="WK_Local14"/>
      <sheetName val="Kode_EX_&amp;_DTD14"/>
      <sheetName val="Daftar_AR1"/>
      <sheetName val="Monthly_RecapLO"/>
      <sheetName val="Penelitian_formal_keberatan"/>
      <sheetName val="data_isian"/>
      <sheetName val="Penelitian_formal_peng_sanksi"/>
      <sheetName val="kertas_kerja_penelitian"/>
      <sheetName val="per_bukti_Wakil"/>
      <sheetName val="alamat_kpp_"/>
      <sheetName val="kode_skp"/>
      <sheetName val="Data_Si_DJP"/>
      <sheetName val="LHP_cabut_TA"/>
      <sheetName val="DB_KPP"/>
      <sheetName val="S_KPP_2"/>
      <sheetName val="S_KPP"/>
      <sheetName val="S_WP"/>
      <sheetName val="S_Balik_WP"/>
      <sheetName val="pengembalian_berkas"/>
      <sheetName val="Lamp_SPUH"/>
      <sheetName val="26_A"/>
      <sheetName val="LHP_(2)"/>
      <sheetName val="Penelitian_formal"/>
      <sheetName val="LPP_Pembahasan"/>
      <sheetName val="LSPUH_"/>
      <sheetName val="BA_Bahas"/>
      <sheetName val="Pakta_integritas"/>
      <sheetName val="Minta_Data_KPP"/>
      <sheetName val="BA_DATA"/>
      <sheetName val="Formal-36_a"/>
      <sheetName val="2_Matrik"/>
      <sheetName val="4_S-WP-Data"/>
      <sheetName val="Print_Screen"/>
      <sheetName val="Lbr_teliti_sanksi_SKPKB"/>
      <sheetName val="Ambil_Berkas"/>
      <sheetName val="Data_WP_1"/>
      <sheetName val="Data_WP_2"/>
      <sheetName val="Data_WP_Tamb"/>
      <sheetName val="UnPemb_WP"/>
      <sheetName val="BA_Pemb_WP"/>
      <sheetName val="Data_KPP"/>
      <sheetName val="Und_Fungs_1"/>
      <sheetName val="Und_Fungs_2"/>
      <sheetName val="BA_Fungs"/>
      <sheetName val="Resume_Penelitian_TP"/>
      <sheetName val="SPUH_&amp;_Tangg"/>
      <sheetName val="BA_SPUH"/>
      <sheetName val="BA_SPUH_2"/>
      <sheetName val="BA_WP"/>
      <sheetName val="BA_KPP"/>
      <sheetName val="UND_KPP"/>
      <sheetName val="UND_WP"/>
      <sheetName val="kkp_dpp_pph_pasal_26"/>
      <sheetName val="LPK_blum_net"/>
      <sheetName val="KEP_(2)"/>
      <sheetName val="BA_hadir"/>
      <sheetName val="MF_DATA"/>
      <sheetName val="KKP_dokumen"/>
      <sheetName val="SK_(2)"/>
      <sheetName val="CHT_EBIT_BUD_WKLY"/>
      <sheetName val="WK_Local15"/>
      <sheetName val="Kode_EX_&amp;_DTD15"/>
      <sheetName val="Daftar_AR2"/>
      <sheetName val="Monthly_RecapLO1"/>
      <sheetName val="Penelitian_formal_keberatan1"/>
      <sheetName val="data_isian1"/>
      <sheetName val="Penelitian_formal_peng_sanksi1"/>
      <sheetName val="kertas_kerja_penelitian1"/>
      <sheetName val="per_bukti_Wakil1"/>
      <sheetName val="alamat_kpp_1"/>
      <sheetName val="kode_skp1"/>
      <sheetName val="Data_Si_DJP1"/>
      <sheetName val="LHP_cabut_TA1"/>
      <sheetName val="DB_KPP1"/>
      <sheetName val="S_KPP_21"/>
      <sheetName val="S_KPP1"/>
      <sheetName val="S_WP1"/>
      <sheetName val="S_Balik_WP1"/>
      <sheetName val="pengembalian_berkas1"/>
      <sheetName val="Lamp_SPUH1"/>
      <sheetName val="26_A1"/>
      <sheetName val="LHP_(2)1"/>
      <sheetName val="Penelitian_formal1"/>
      <sheetName val="LPP_Pembahasan1"/>
      <sheetName val="LSPUH_1"/>
      <sheetName val="BA_Bahas1"/>
      <sheetName val="Pakta_integritas1"/>
      <sheetName val="Minta_Data_KPP1"/>
      <sheetName val="BA_DATA1"/>
      <sheetName val="Formal-36_a1"/>
      <sheetName val="2_Matrik1"/>
      <sheetName val="4_S-WP-Data1"/>
      <sheetName val="Print_Screen1"/>
      <sheetName val="Lbr_teliti_sanksi_SKPKB1"/>
      <sheetName val="Ambil_Berkas1"/>
      <sheetName val="Data_WP_11"/>
      <sheetName val="Data_WP_21"/>
      <sheetName val="Data_WP_Tamb1"/>
      <sheetName val="UnPemb_WP1"/>
      <sheetName val="BA_Pemb_WP1"/>
      <sheetName val="Data_KPP1"/>
      <sheetName val="Und_Fungs_11"/>
      <sheetName val="Und_Fungs_21"/>
      <sheetName val="BA_Fungs1"/>
      <sheetName val="Resume_Penelitian_TP1"/>
      <sheetName val="SPUH_&amp;_Tangg1"/>
      <sheetName val="BA_SPUH1"/>
      <sheetName val="BA_SPUH_21"/>
      <sheetName val="BA_WP1"/>
      <sheetName val="BA_KPP1"/>
      <sheetName val="UND_KPP1"/>
      <sheetName val="UND_WP1"/>
      <sheetName val="kkp_dpp_pph_pasal_261"/>
      <sheetName val="LPK_blum_net1"/>
      <sheetName val="KEP_(2)1"/>
      <sheetName val="BA_hadir1"/>
      <sheetName val="MF_DATA1"/>
      <sheetName val="KKP_dokumen1"/>
      <sheetName val="SK_(2)1"/>
      <sheetName val="CHT_EBIT_BUD_WKLY1"/>
      <sheetName val="WK_Local16"/>
      <sheetName val="Kode_EX_&amp;_DTD16"/>
      <sheetName val="Daftar_AR3"/>
      <sheetName val="Monthly_RecapLO2"/>
      <sheetName val="Penelitian_formal_keberatan2"/>
      <sheetName val="data_isian2"/>
      <sheetName val="Penelitian_formal_peng_sanksi2"/>
      <sheetName val="kertas_kerja_penelitian2"/>
      <sheetName val="per_bukti_Wakil2"/>
      <sheetName val="alamat_kpp_2"/>
      <sheetName val="kode_skp2"/>
      <sheetName val="Data_Si_DJP2"/>
      <sheetName val="LHP_cabut_TA2"/>
      <sheetName val="DB_KPP2"/>
      <sheetName val="S_KPP_22"/>
      <sheetName val="S_KPP2"/>
      <sheetName val="S_WP2"/>
      <sheetName val="S_Balik_WP2"/>
      <sheetName val="pengembalian_berkas2"/>
      <sheetName val="Lamp_SPUH2"/>
      <sheetName val="26_A2"/>
      <sheetName val="LHP_(2)2"/>
      <sheetName val="Penelitian_formal2"/>
      <sheetName val="LPP_Pembahasan2"/>
      <sheetName val="LSPUH_2"/>
      <sheetName val="BA_Bahas2"/>
      <sheetName val="Pakta_integritas2"/>
      <sheetName val="Minta_Data_KPP2"/>
      <sheetName val="BA_DATA2"/>
      <sheetName val="Formal-36_a2"/>
      <sheetName val="2_Matrik2"/>
      <sheetName val="4_S-WP-Data2"/>
      <sheetName val="Print_Screen2"/>
      <sheetName val="Lbr_teliti_sanksi_SKPKB2"/>
      <sheetName val="Ambil_Berkas2"/>
      <sheetName val="Data_WP_12"/>
      <sheetName val="Data_WP_22"/>
      <sheetName val="Data_WP_Tamb2"/>
      <sheetName val="UnPemb_WP2"/>
      <sheetName val="BA_Pemb_WP2"/>
      <sheetName val="Data_KPP2"/>
      <sheetName val="Und_Fungs_12"/>
      <sheetName val="Und_Fungs_22"/>
      <sheetName val="BA_Fungs2"/>
      <sheetName val="Resume_Penelitian_TP2"/>
      <sheetName val="SPUH_&amp;_Tangg2"/>
      <sheetName val="BA_SPUH2"/>
      <sheetName val="BA_SPUH_22"/>
      <sheetName val="BA_WP2"/>
      <sheetName val="BA_KPP2"/>
      <sheetName val="UND_KPP2"/>
      <sheetName val="UND_WP2"/>
      <sheetName val="kkp_dpp_pph_pasal_262"/>
      <sheetName val="LPK_blum_net2"/>
      <sheetName val="KEP_(2)2"/>
      <sheetName val="BA_hadir2"/>
      <sheetName val="MF_DATA2"/>
      <sheetName val="KKP_dokumen2"/>
      <sheetName val="SK_(2)2"/>
      <sheetName val="CHT_EBIT_BUD_WKLY2"/>
      <sheetName val="WK_Local17"/>
      <sheetName val="Kode_EX_&amp;_DTD17"/>
      <sheetName val="Daftar_AR4"/>
      <sheetName val="Monthly_RecapLO3"/>
      <sheetName val="Penelitian_formal_keberatan3"/>
      <sheetName val="data_isian3"/>
      <sheetName val="Penelitian_formal_peng_sanksi3"/>
      <sheetName val="kertas_kerja_penelitian3"/>
      <sheetName val="per_bukti_Wakil3"/>
      <sheetName val="alamat_kpp_3"/>
      <sheetName val="kode_skp3"/>
      <sheetName val="Data_Si_DJP3"/>
      <sheetName val="LHP_cabut_TA3"/>
      <sheetName val="DB_KPP3"/>
      <sheetName val="S_KPP_23"/>
      <sheetName val="S_KPP3"/>
      <sheetName val="S_WP3"/>
      <sheetName val="S_Balik_WP3"/>
      <sheetName val="pengembalian_berkas3"/>
      <sheetName val="Lamp_SPUH3"/>
      <sheetName val="26_A3"/>
      <sheetName val="LHP_(2)3"/>
      <sheetName val="Penelitian_formal3"/>
      <sheetName val="LPP_Pembahasan3"/>
      <sheetName val="LSPUH_3"/>
      <sheetName val="BA_Bahas3"/>
      <sheetName val="Pakta_integritas3"/>
      <sheetName val="Minta_Data_KPP3"/>
      <sheetName val="BA_DATA3"/>
      <sheetName val="Formal-36_a3"/>
      <sheetName val="2_Matrik3"/>
      <sheetName val="4_S-WP-Data3"/>
      <sheetName val="Print_Screen3"/>
      <sheetName val="Lbr_teliti_sanksi_SKPKB3"/>
      <sheetName val="Ambil_Berkas3"/>
      <sheetName val="Data_WP_13"/>
      <sheetName val="Data_WP_23"/>
      <sheetName val="Data_WP_Tamb3"/>
      <sheetName val="UnPemb_WP3"/>
      <sheetName val="BA_Pemb_WP3"/>
      <sheetName val="Data_KPP3"/>
      <sheetName val="Und_Fungs_13"/>
      <sheetName val="Und_Fungs_23"/>
      <sheetName val="BA_Fungs3"/>
      <sheetName val="Resume_Penelitian_TP3"/>
      <sheetName val="SPUH_&amp;_Tangg3"/>
      <sheetName val="BA_SPUH3"/>
      <sheetName val="BA_SPUH_23"/>
      <sheetName val="BA_WP3"/>
      <sheetName val="BA_KPP3"/>
      <sheetName val="UND_KPP3"/>
      <sheetName val="UND_WP3"/>
      <sheetName val="kkp_dpp_pph_pasal_263"/>
      <sheetName val="LPK_blum_net3"/>
      <sheetName val="KEP_(2)3"/>
      <sheetName val="BA_hadir3"/>
      <sheetName val="MF_DATA3"/>
      <sheetName val="KKP_dokumen3"/>
      <sheetName val="SK_(2)3"/>
      <sheetName val="CHT_EBIT_BUD_WKLY3"/>
      <sheetName val="WK_Local21"/>
      <sheetName val="Kode_EX_&amp;_DTD21"/>
      <sheetName val="Daftar_AR8"/>
      <sheetName val="Monthly_RecapLO7"/>
      <sheetName val="Penelitian_formal_keberatan7"/>
      <sheetName val="data_isian7"/>
      <sheetName val="Penelitian_formal_peng_sanksi7"/>
      <sheetName val="kertas_kerja_penelitian7"/>
      <sheetName val="per_bukti_Wakil7"/>
      <sheetName val="alamat_kpp_7"/>
      <sheetName val="kode_skp7"/>
      <sheetName val="Data_Si_DJP7"/>
      <sheetName val="LHP_cabut_TA7"/>
      <sheetName val="DB_KPP7"/>
      <sheetName val="S_KPP_27"/>
      <sheetName val="S_KPP7"/>
      <sheetName val="S_WP7"/>
      <sheetName val="S_Balik_WP7"/>
      <sheetName val="pengembalian_berkas7"/>
      <sheetName val="Lamp_SPUH7"/>
      <sheetName val="26_A7"/>
      <sheetName val="LHP_(2)7"/>
      <sheetName val="Penelitian_formal7"/>
      <sheetName val="LPP_Pembahasan7"/>
      <sheetName val="LSPUH_7"/>
      <sheetName val="BA_Bahas7"/>
      <sheetName val="Pakta_integritas7"/>
      <sheetName val="Minta_Data_KPP7"/>
      <sheetName val="BA_DATA7"/>
      <sheetName val="Formal-36_a7"/>
      <sheetName val="2_Matrik7"/>
      <sheetName val="4_S-WP-Data7"/>
      <sheetName val="Print_Screen7"/>
      <sheetName val="Lbr_teliti_sanksi_SKPKB7"/>
      <sheetName val="Ambil_Berkas7"/>
      <sheetName val="Data_WP_17"/>
      <sheetName val="Data_WP_27"/>
      <sheetName val="Data_WP_Tamb7"/>
      <sheetName val="UnPemb_WP7"/>
      <sheetName val="BA_Pemb_WP7"/>
      <sheetName val="Data_KPP7"/>
      <sheetName val="Und_Fungs_17"/>
      <sheetName val="Und_Fungs_27"/>
      <sheetName val="BA_Fungs7"/>
      <sheetName val="Resume_Penelitian_TP7"/>
      <sheetName val="SPUH_&amp;_Tangg7"/>
      <sheetName val="BA_SPUH7"/>
      <sheetName val="BA_SPUH_27"/>
      <sheetName val="BA_WP7"/>
      <sheetName val="BA_KPP7"/>
      <sheetName val="UND_KPP7"/>
      <sheetName val="UND_WP7"/>
      <sheetName val="kkp_dpp_pph_pasal_267"/>
      <sheetName val="LPK_blum_net7"/>
      <sheetName val="KEP_(2)7"/>
      <sheetName val="BA_hadir7"/>
      <sheetName val="MF_DATA7"/>
      <sheetName val="KKP_dokumen7"/>
      <sheetName val="SK_(2)7"/>
      <sheetName val="CHT_EBIT_BUD_WKLY7"/>
      <sheetName val="WK_Local18"/>
      <sheetName val="Kode_EX_&amp;_DTD18"/>
      <sheetName val="Daftar_AR5"/>
      <sheetName val="Monthly_RecapLO4"/>
      <sheetName val="Penelitian_formal_keberatan4"/>
      <sheetName val="data_isian4"/>
      <sheetName val="Penelitian_formal_peng_sanksi4"/>
      <sheetName val="kertas_kerja_penelitian4"/>
      <sheetName val="per_bukti_Wakil4"/>
      <sheetName val="alamat_kpp_4"/>
      <sheetName val="kode_skp4"/>
      <sheetName val="Data_Si_DJP4"/>
      <sheetName val="LHP_cabut_TA4"/>
      <sheetName val="DB_KPP4"/>
      <sheetName val="S_KPP_24"/>
      <sheetName val="S_KPP4"/>
      <sheetName val="S_WP4"/>
      <sheetName val="S_Balik_WP4"/>
      <sheetName val="pengembalian_berkas4"/>
      <sheetName val="Lamp_SPUH4"/>
      <sheetName val="26_A4"/>
      <sheetName val="LHP_(2)4"/>
      <sheetName val="Penelitian_formal4"/>
      <sheetName val="LPP_Pembahasan4"/>
      <sheetName val="LSPUH_4"/>
      <sheetName val="BA_Bahas4"/>
      <sheetName val="Pakta_integritas4"/>
      <sheetName val="Minta_Data_KPP4"/>
      <sheetName val="BA_DATA4"/>
      <sheetName val="Formal-36_a4"/>
      <sheetName val="2_Matrik4"/>
      <sheetName val="4_S-WP-Data4"/>
      <sheetName val="Print_Screen4"/>
      <sheetName val="Lbr_teliti_sanksi_SKPKB4"/>
      <sheetName val="Ambil_Berkas4"/>
      <sheetName val="Data_WP_14"/>
      <sheetName val="Data_WP_24"/>
      <sheetName val="Data_WP_Tamb4"/>
      <sheetName val="UnPemb_WP4"/>
      <sheetName val="BA_Pemb_WP4"/>
      <sheetName val="Data_KPP4"/>
      <sheetName val="Und_Fungs_14"/>
      <sheetName val="Und_Fungs_24"/>
      <sheetName val="BA_Fungs4"/>
      <sheetName val="Resume_Penelitian_TP4"/>
      <sheetName val="SPUH_&amp;_Tangg4"/>
      <sheetName val="BA_SPUH4"/>
      <sheetName val="BA_SPUH_24"/>
      <sheetName val="BA_WP4"/>
      <sheetName val="BA_KPP4"/>
      <sheetName val="UND_KPP4"/>
      <sheetName val="UND_WP4"/>
      <sheetName val="kkp_dpp_pph_pasal_264"/>
      <sheetName val="LPK_blum_net4"/>
      <sheetName val="KEP_(2)4"/>
      <sheetName val="BA_hadir4"/>
      <sheetName val="MF_DATA4"/>
      <sheetName val="KKP_dokumen4"/>
      <sheetName val="SK_(2)4"/>
      <sheetName val="CHT_EBIT_BUD_WKLY4"/>
      <sheetName val="WK_Local19"/>
      <sheetName val="Kode_EX_&amp;_DTD19"/>
      <sheetName val="Daftar_AR6"/>
      <sheetName val="Monthly_RecapLO5"/>
      <sheetName val="Penelitian_formal_keberatan5"/>
      <sheetName val="data_isian5"/>
      <sheetName val="Penelitian_formal_peng_sanksi5"/>
      <sheetName val="kertas_kerja_penelitian5"/>
      <sheetName val="per_bukti_Wakil5"/>
      <sheetName val="alamat_kpp_5"/>
      <sheetName val="kode_skp5"/>
      <sheetName val="Data_Si_DJP5"/>
      <sheetName val="LHP_cabut_TA5"/>
      <sheetName val="DB_KPP5"/>
      <sheetName val="S_KPP_25"/>
      <sheetName val="S_KPP5"/>
      <sheetName val="S_WP5"/>
      <sheetName val="S_Balik_WP5"/>
      <sheetName val="pengembalian_berkas5"/>
      <sheetName val="Lamp_SPUH5"/>
      <sheetName val="26_A5"/>
      <sheetName val="LHP_(2)5"/>
      <sheetName val="Penelitian_formal5"/>
      <sheetName val="LPP_Pembahasan5"/>
      <sheetName val="LSPUH_5"/>
      <sheetName val="BA_Bahas5"/>
      <sheetName val="Pakta_integritas5"/>
      <sheetName val="Minta_Data_KPP5"/>
      <sheetName val="BA_DATA5"/>
      <sheetName val="Formal-36_a5"/>
      <sheetName val="2_Matrik5"/>
      <sheetName val="4_S-WP-Data5"/>
      <sheetName val="Print_Screen5"/>
      <sheetName val="Lbr_teliti_sanksi_SKPKB5"/>
      <sheetName val="Ambil_Berkas5"/>
      <sheetName val="Data_WP_15"/>
      <sheetName val="Data_WP_25"/>
      <sheetName val="Data_WP_Tamb5"/>
      <sheetName val="UnPemb_WP5"/>
      <sheetName val="BA_Pemb_WP5"/>
      <sheetName val="Data_KPP5"/>
      <sheetName val="Und_Fungs_15"/>
      <sheetName val="Und_Fungs_25"/>
      <sheetName val="BA_Fungs5"/>
      <sheetName val="Resume_Penelitian_TP5"/>
      <sheetName val="SPUH_&amp;_Tangg5"/>
      <sheetName val="BA_SPUH5"/>
      <sheetName val="BA_SPUH_25"/>
      <sheetName val="BA_WP5"/>
      <sheetName val="BA_KPP5"/>
      <sheetName val="UND_KPP5"/>
      <sheetName val="UND_WP5"/>
      <sheetName val="kkp_dpp_pph_pasal_265"/>
      <sheetName val="LPK_blum_net5"/>
      <sheetName val="KEP_(2)5"/>
      <sheetName val="BA_hadir5"/>
      <sheetName val="MF_DATA5"/>
      <sheetName val="KKP_dokumen5"/>
      <sheetName val="SK_(2)5"/>
      <sheetName val="CHT_EBIT_BUD_WKLY5"/>
      <sheetName val="WK_Local20"/>
      <sheetName val="Kode_EX_&amp;_DTD20"/>
      <sheetName val="Daftar_AR7"/>
      <sheetName val="Monthly_RecapLO6"/>
      <sheetName val="Penelitian_formal_keberatan6"/>
      <sheetName val="data_isian6"/>
      <sheetName val="Penelitian_formal_peng_sanksi6"/>
      <sheetName val="kertas_kerja_penelitian6"/>
      <sheetName val="per_bukti_Wakil6"/>
      <sheetName val="alamat_kpp_6"/>
      <sheetName val="kode_skp6"/>
      <sheetName val="Data_Si_DJP6"/>
      <sheetName val="LHP_cabut_TA6"/>
      <sheetName val="DB_KPP6"/>
      <sheetName val="S_KPP_26"/>
      <sheetName val="S_KPP6"/>
      <sheetName val="S_WP6"/>
      <sheetName val="S_Balik_WP6"/>
      <sheetName val="pengembalian_berkas6"/>
      <sheetName val="Lamp_SPUH6"/>
      <sheetName val="26_A6"/>
      <sheetName val="LHP_(2)6"/>
      <sheetName val="Penelitian_formal6"/>
      <sheetName val="LPP_Pembahasan6"/>
      <sheetName val="LSPUH_6"/>
      <sheetName val="BA_Bahas6"/>
      <sheetName val="Pakta_integritas6"/>
      <sheetName val="Minta_Data_KPP6"/>
      <sheetName val="BA_DATA6"/>
      <sheetName val="Formal-36_a6"/>
      <sheetName val="2_Matrik6"/>
      <sheetName val="4_S-WP-Data6"/>
      <sheetName val="Print_Screen6"/>
      <sheetName val="Lbr_teliti_sanksi_SKPKB6"/>
      <sheetName val="Ambil_Berkas6"/>
      <sheetName val="Data_WP_16"/>
      <sheetName val="Data_WP_26"/>
      <sheetName val="Data_WP_Tamb6"/>
      <sheetName val="UnPemb_WP6"/>
      <sheetName val="BA_Pemb_WP6"/>
      <sheetName val="Data_KPP6"/>
      <sheetName val="Und_Fungs_16"/>
      <sheetName val="Und_Fungs_26"/>
      <sheetName val="BA_Fungs6"/>
      <sheetName val="Resume_Penelitian_TP6"/>
      <sheetName val="SPUH_&amp;_Tangg6"/>
      <sheetName val="BA_SPUH6"/>
      <sheetName val="BA_SPUH_26"/>
      <sheetName val="BA_WP6"/>
      <sheetName val="BA_KPP6"/>
      <sheetName val="UND_KPP6"/>
      <sheetName val="UND_WP6"/>
      <sheetName val="kkp_dpp_pph_pasal_266"/>
      <sheetName val="LPK_blum_net6"/>
      <sheetName val="KEP_(2)6"/>
      <sheetName val="BA_hadir6"/>
      <sheetName val="MF_DATA6"/>
      <sheetName val="KKP_dokumen6"/>
      <sheetName val="SK_(2)6"/>
      <sheetName val="CHT_EBIT_BUD_WKLY6"/>
      <sheetName val="WK_Local22"/>
      <sheetName val="Kode_EX_&amp;_DTD22"/>
      <sheetName val="Daftar_AR9"/>
      <sheetName val="Monthly_RecapLO8"/>
      <sheetName val="Penelitian_formal_keberatan8"/>
      <sheetName val="data_isian8"/>
      <sheetName val="Penelitian_formal_peng_sanksi8"/>
      <sheetName val="kertas_kerja_penelitian8"/>
      <sheetName val="per_bukti_Wakil8"/>
      <sheetName val="alamat_kpp_8"/>
      <sheetName val="kode_skp8"/>
      <sheetName val="Data_Si_DJP8"/>
      <sheetName val="LHP_cabut_TA8"/>
      <sheetName val="DB_KPP8"/>
      <sheetName val="S_KPP_28"/>
      <sheetName val="S_KPP8"/>
      <sheetName val="S_WP8"/>
      <sheetName val="S_Balik_WP8"/>
      <sheetName val="pengembalian_berkas8"/>
      <sheetName val="Lamp_SPUH8"/>
      <sheetName val="26_A8"/>
      <sheetName val="LHP_(2)8"/>
      <sheetName val="Penelitian_formal8"/>
      <sheetName val="LPP_Pembahasan8"/>
      <sheetName val="LSPUH_8"/>
      <sheetName val="BA_Bahas8"/>
      <sheetName val="Pakta_integritas8"/>
      <sheetName val="Minta_Data_KPP8"/>
      <sheetName val="BA_DATA8"/>
      <sheetName val="Formal-36_a8"/>
      <sheetName val="2_Matrik8"/>
      <sheetName val="4_S-WP-Data8"/>
      <sheetName val="Print_Screen8"/>
      <sheetName val="Lbr_teliti_sanksi_SKPKB8"/>
      <sheetName val="Ambil_Berkas8"/>
      <sheetName val="Data_WP_18"/>
      <sheetName val="Data_WP_28"/>
      <sheetName val="Data_WP_Tamb8"/>
      <sheetName val="UnPemb_WP8"/>
      <sheetName val="BA_Pemb_WP8"/>
      <sheetName val="Data_KPP8"/>
      <sheetName val="Und_Fungs_18"/>
      <sheetName val="Und_Fungs_28"/>
      <sheetName val="BA_Fungs8"/>
      <sheetName val="Resume_Penelitian_TP8"/>
      <sheetName val="SPUH_&amp;_Tangg8"/>
      <sheetName val="BA_SPUH8"/>
      <sheetName val="BA_SPUH_28"/>
      <sheetName val="BA_WP8"/>
      <sheetName val="BA_KPP8"/>
      <sheetName val="UND_KPP8"/>
      <sheetName val="UND_WP8"/>
      <sheetName val="kkp_dpp_pph_pasal_268"/>
      <sheetName val="LPK_blum_net8"/>
      <sheetName val="KEP_(2)8"/>
      <sheetName val="BA_hadir8"/>
      <sheetName val="MF_DATA8"/>
      <sheetName val="KKP_dokumen8"/>
      <sheetName val="SK_(2)8"/>
      <sheetName val="CHT_EBIT_BUD_WKLY8"/>
      <sheetName val="WK_Local23"/>
      <sheetName val="Kode_EX_&amp;_DTD23"/>
      <sheetName val="Daftar_AR10"/>
      <sheetName val="Monthly_RecapLO9"/>
      <sheetName val="Penelitian_formal_keberatan9"/>
      <sheetName val="data_isian9"/>
      <sheetName val="Penelitian_formal_peng_sanksi9"/>
      <sheetName val="kertas_kerja_penelitian9"/>
      <sheetName val="per_bukti_Wakil9"/>
      <sheetName val="alamat_kpp_9"/>
      <sheetName val="kode_skp9"/>
      <sheetName val="Data_Si_DJP9"/>
      <sheetName val="LHP_cabut_TA9"/>
      <sheetName val="DB_KPP9"/>
      <sheetName val="S_KPP_29"/>
      <sheetName val="S_KPP9"/>
      <sheetName val="S_WP9"/>
      <sheetName val="S_Balik_WP9"/>
      <sheetName val="pengembalian_berkas9"/>
      <sheetName val="Lamp_SPUH9"/>
      <sheetName val="26_A9"/>
      <sheetName val="LHP_(2)9"/>
      <sheetName val="Penelitian_formal9"/>
      <sheetName val="LPP_Pembahasan9"/>
      <sheetName val="LSPUH_9"/>
      <sheetName val="BA_Bahas9"/>
      <sheetName val="Pakta_integritas9"/>
      <sheetName val="Minta_Data_KPP9"/>
      <sheetName val="BA_DATA9"/>
      <sheetName val="Formal-36_a9"/>
      <sheetName val="2_Matrik9"/>
      <sheetName val="4_S-WP-Data9"/>
      <sheetName val="Print_Screen9"/>
      <sheetName val="Lbr_teliti_sanksi_SKPKB9"/>
      <sheetName val="Ambil_Berkas9"/>
      <sheetName val="Data_WP_19"/>
      <sheetName val="Data_WP_29"/>
      <sheetName val="Data_WP_Tamb9"/>
      <sheetName val="UnPemb_WP9"/>
      <sheetName val="BA_Pemb_WP9"/>
      <sheetName val="Data_KPP9"/>
      <sheetName val="Und_Fungs_19"/>
      <sheetName val="Und_Fungs_29"/>
      <sheetName val="BA_Fungs9"/>
      <sheetName val="Resume_Penelitian_TP9"/>
      <sheetName val="SPUH_&amp;_Tangg9"/>
      <sheetName val="BA_SPUH9"/>
      <sheetName val="BA_SPUH_29"/>
      <sheetName val="BA_WP9"/>
      <sheetName val="BA_KPP9"/>
      <sheetName val="UND_KPP9"/>
      <sheetName val="UND_WP9"/>
      <sheetName val="kkp_dpp_pph_pasal_269"/>
      <sheetName val="LPK_blum_net9"/>
      <sheetName val="KEP_(2)9"/>
      <sheetName val="BA_hadir9"/>
      <sheetName val="MF_DATA9"/>
      <sheetName val="KKP_dokumen9"/>
      <sheetName val="SK_(2)9"/>
      <sheetName val="CHT_EBIT_BUD_WKLY9"/>
      <sheetName val="CIVIC 1.7L(7ｶ国MA輸出)GKN同一"/>
      <sheetName val="EQ"/>
      <sheetName val="SCH12"/>
      <sheetName val="data (2)"/>
      <sheetName val="EXC-R2005"/>
      <sheetName val="C2"/>
      <sheetName val="inp-farmer use"/>
      <sheetName val="Rates"/>
      <sheetName val="Links"/>
      <sheetName val="DEPK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REPORT-PR12"/>
      <sheetName val="Account Code"/>
      <sheetName val="JVC COMMISSION"/>
      <sheetName val="Permanent info"/>
      <sheetName val="std"/>
      <sheetName val="Sep"/>
      <sheetName val="General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C 1.7L(7ｶ国MA自国)GKN同一 "/>
      <sheetName val="CIVIC 1.7L(7ｶ国MA輸出)GKN同一"/>
      <sheetName val="Account Code"/>
      <sheetName val="TB"/>
      <sheetName val="GeneralInfo"/>
      <sheetName val="CIVIC_1_7L(7ｶ国MA自国)GKN同一_2"/>
      <sheetName val="CIVIC_1_7L(7ｶ国MA輸出)GKN同一2"/>
      <sheetName val="Account_Code2"/>
      <sheetName val="CIVIC_1_7L(7ｶ国MA自国)GKN同一_"/>
      <sheetName val="CIVIC_1_7L(7ｶ国MA輸出)GKN同一"/>
      <sheetName val="Account_Code"/>
      <sheetName val="CIVIC_1_7L(7ｶ国MA自国)GKN同一_1"/>
      <sheetName val="CIVIC_1_7L(7ｶ国MA輸出)GKN同一1"/>
      <sheetName val="Account_Code1"/>
      <sheetName val="CIVIC_1_7L(7ｶ国MA自国)GKN同一_3"/>
      <sheetName val="CIVIC_1_7L(7ｶ国MA輸出)GKN同一3"/>
      <sheetName val="Account_Code3"/>
      <sheetName val="CIVIC_1_7L(7ｶ国MA自国)GKN同一_6"/>
      <sheetName val="CIVIC_1_7L(7ｶ国MA輸出)GKN同一6"/>
      <sheetName val="Account_Code6"/>
      <sheetName val="CIVIC_1_7L(7ｶ国MA自国)GKN同一_5"/>
      <sheetName val="CIVIC_1_7L(7ｶ国MA輸出)GKN同一5"/>
      <sheetName val="Account_Code5"/>
      <sheetName val="CIVIC_1_7L(7ｶ国MA自国)GKN同一_4"/>
      <sheetName val="CIVIC_1_7L(7ｶ国MA輸出)GKN同一4"/>
      <sheetName val="Account_Code4"/>
      <sheetName val="CIVIC_1_7L(7ｶ国MA自国)GKN同一_7"/>
      <sheetName val="CIVIC_1_7L(7ｶ国MA輸出)GKN同一7"/>
      <sheetName val="Account_Code7"/>
      <sheetName val="CIVIC_1_7L(7ｶ国MA自国)GKN同一_8"/>
      <sheetName val="CIVIC_1_7L(7ｶ国MA輸出)GKN同一8"/>
      <sheetName val="Account_Code8"/>
      <sheetName val="CIVIC_1_7L(7ｶ国MA自国)GKN同一_9"/>
      <sheetName val="CIVIC_1_7L(7ｶ国MA輸出)GKN同一9"/>
      <sheetName val="Account_Code9"/>
      <sheetName val="CIVIC_1_7L(7ｶ国MA自国)GKN同一_11"/>
      <sheetName val="CIVIC_1_7L(7ｶ国MA輸出)GKN同一11"/>
      <sheetName val="Account_Code11"/>
      <sheetName val="CIVIC_1_7L(7ｶ国MA自国)GKN同一_10"/>
      <sheetName val="CIVIC_1_7L(7ｶ国MA輸出)GKN同一10"/>
      <sheetName val="Account_Code10"/>
      <sheetName val="std"/>
      <sheetName val="CIVIC_1_7L(7ｶ国MA自国)GKN同一_13"/>
      <sheetName val="CIVIC_1_7L(7ｶ国MA輸出)GKN同一13"/>
      <sheetName val="Account_Code13"/>
      <sheetName val="CIVIC_1_7L(7ｶ国MA自国)GKN同一_12"/>
      <sheetName val="CIVIC_1_7L(7ｶ国MA輸出)GKN同一12"/>
      <sheetName val="Account_Code12"/>
      <sheetName val="CIVIC_1_7L(7ｶ国MA自国)GKN同一_17"/>
      <sheetName val="CIVIC_1_7L(7ｶ国MA輸出)GKN同一17"/>
      <sheetName val="Account_Code17"/>
      <sheetName val="CIVIC_1_7L(7ｶ国MA自国)GKN同一_15"/>
      <sheetName val="CIVIC_1_7L(7ｶ国MA輸出)GKN同一15"/>
      <sheetName val="Account_Code15"/>
      <sheetName val="CIVIC_1_7L(7ｶ国MA自国)GKN同一_14"/>
      <sheetName val="CIVIC_1_7L(7ｶ国MA輸出)GKN同一14"/>
      <sheetName val="Account_Code14"/>
      <sheetName val="CIVIC_1_7L(7ｶ国MA自国)GKN同一_16"/>
      <sheetName val="CIVIC_1_7L(7ｶ国MA輸出)GKN同一16"/>
      <sheetName val="Account_Code16"/>
      <sheetName val="CIVIC_1_7L(7ｶ国MA自国)GKN同一_18"/>
      <sheetName val="CIVIC_1_7L(7ｶ国MA輸出)GKN同一18"/>
      <sheetName val="Account_Code18"/>
      <sheetName val="CIVIC_1_7L(7ｶ国MA自国)GKN同一_19"/>
      <sheetName val="CIVIC_1_7L(7ｶ国MA輸出)GKN同一19"/>
      <sheetName val="Account_Code19"/>
      <sheetName val="Table"/>
      <sheetName val="Monthly RecapLO"/>
      <sheetName val="MK(7ｶ国+5,7,12万台)"/>
      <sheetName val="CIVIC_1_7L(7ｶ国MA自国)GKN同一_21"/>
      <sheetName val="CIVIC_1_7L(7ｶ国MA輸出)GKN同一21"/>
      <sheetName val="Account_Code21"/>
      <sheetName val="CIVIC_1_7L(7ｶ国MA自国)GKN同一_20"/>
      <sheetName val="CIVIC_1_7L(7ｶ国MA輸出)GKN同一20"/>
      <sheetName val="Account_Code20"/>
      <sheetName val="CIVIC_1_7L(7ｶ国MA自国)GKN同一_25"/>
      <sheetName val="CIVIC_1_7L(7ｶ国MA輸出)GKN同一25"/>
      <sheetName val="Account_Code25"/>
      <sheetName val="CIVIC_1_7L(7ｶ国MA自国)GKN同一_22"/>
      <sheetName val="CIVIC_1_7L(7ｶ国MA輸出)GKN同一22"/>
      <sheetName val="Account_Code22"/>
      <sheetName val="CIVIC_1_7L(7ｶ国MA自国)GKN同一_24"/>
      <sheetName val="CIVIC_1_7L(7ｶ国MA輸出)GKN同一24"/>
      <sheetName val="Account_Code24"/>
      <sheetName val="CIVIC_1_7L(7ｶ国MA自国)GKN同一_23"/>
      <sheetName val="CIVIC_1_7L(7ｶ国MA輸出)GKN同一23"/>
      <sheetName val="Account_Code23"/>
      <sheetName val="CIVIC_1_7L(7ｶ国MA自国)GKN同一_32"/>
      <sheetName val="CIVIC_1_7L(7ｶ国MA輸出)GKN同一32"/>
      <sheetName val="Account_Code32"/>
      <sheetName val="CIVIC_1_7L(7ｶ国MA自国)GKN同一_31"/>
      <sheetName val="CIVIC_1_7L(7ｶ国MA輸出)GKN同一31"/>
      <sheetName val="Account_Code31"/>
      <sheetName val="CIVIC_1_7L(7ｶ国MA自国)GKN同一_30"/>
      <sheetName val="CIVIC_1_7L(7ｶ国MA輸出)GKN同一30"/>
      <sheetName val="Account_Code30"/>
      <sheetName val="CIVIC_1_7L(7ｶ国MA自国)GKN同一_27"/>
      <sheetName val="CIVIC_1_7L(7ｶ国MA輸出)GKN同一27"/>
      <sheetName val="Account_Code27"/>
      <sheetName val="CIVIC_1_7L(7ｶ国MA自国)GKN同一_26"/>
      <sheetName val="CIVIC_1_7L(7ｶ国MA輸出)GKN同一26"/>
      <sheetName val="Account_Code26"/>
      <sheetName val="CIVIC_1_7L(7ｶ国MA自国)GKN同一_28"/>
      <sheetName val="CIVIC_1_7L(7ｶ国MA輸出)GKN同一28"/>
      <sheetName val="Account_Code28"/>
      <sheetName val="CIVIC_1_7L(7ｶ国MA自国)GKN同一_29"/>
      <sheetName val="CIVIC_1_7L(7ｶ国MA輸出)GKN同一29"/>
      <sheetName val="Account_Code29"/>
      <sheetName val="CIVIC_1_7L(7ｶ国MA自国)GKN同一_33"/>
      <sheetName val="CIVIC_1_7L(7ｶ国MA輸出)GKN同一33"/>
      <sheetName val="Account_Code33"/>
      <sheetName val="CIVIC_1_7L(7ｶ国MA自国)GKN同一_34"/>
      <sheetName val="CIVIC_1_7L(7ｶ国MA輸出)GKN同一34"/>
      <sheetName val="Account_Code34"/>
      <sheetName val="CIVIC_1_7L(7ｶ国MA自国)GKN同一_38"/>
      <sheetName val="CIVIC_1_7L(7ｶ国MA輸出)GKN同一38"/>
      <sheetName val="Account_Code38"/>
      <sheetName val="CIVIC_1_7L(7ｶ国MA自国)GKN同一_35"/>
      <sheetName val="CIVIC_1_7L(7ｶ国MA輸出)GKN同一35"/>
      <sheetName val="Account_Code35"/>
      <sheetName val="CIVIC_1_7L(7ｶ国MA自国)GKN同一_36"/>
      <sheetName val="CIVIC_1_7L(7ｶ国MA輸出)GKN同一36"/>
      <sheetName val="Account_Code36"/>
      <sheetName val="CIVIC_1_7L(7ｶ国MA自国)GKN同一_37"/>
      <sheetName val="CIVIC_1_7L(7ｶ国MA輸出)GKN同一37"/>
      <sheetName val="Account_Code37"/>
      <sheetName val="CIVIC_1_7L(7ｶ国MA自国)GKN同一_39"/>
      <sheetName val="CIVIC_1_7L(7ｶ国MA輸出)GKN同一39"/>
      <sheetName val="Account_Code39"/>
      <sheetName val="CIVIC_1_7L(7ｶ国MA自国)GKN同一_40"/>
      <sheetName val="CIVIC_1_7L(7ｶ国MA輸出)GKN同一40"/>
      <sheetName val="Account_Code40"/>
      <sheetName val="CIVIC_1_7L(7ｶ国MA自国)GKN同一_41"/>
      <sheetName val="CIVIC_1_7L(7ｶ国MA輸出)GKN同一41"/>
      <sheetName val="Account_Code41"/>
      <sheetName val="CIVIC_1_7L(7ｶ国MA自国)GKN同一_42"/>
      <sheetName val="CIVIC_1_7L(7ｶ国MA輸出)GKN同一42"/>
      <sheetName val="Account_Code42"/>
      <sheetName val="CIVIC_1_7L(7ｶ国MA自国)GKN同一_43"/>
      <sheetName val="CIVIC_1_7L(7ｶ国MA輸出)GKN同一43"/>
      <sheetName val="Account_Code43"/>
      <sheetName val="MFWP"/>
      <sheetName val="CIVIC_1_7L(7ｶ国MA自国)GKN同一_45"/>
      <sheetName val="CIVIC_1_7L(7ｶ国MA輸出)GKN同一45"/>
      <sheetName val="Account_Code45"/>
      <sheetName val="CIVIC_1_7L(7ｶ国MA自国)GKN同一_44"/>
      <sheetName val="CIVIC_1_7L(7ｶ国MA輸出)GKN同一44"/>
      <sheetName val="Account_Code44"/>
      <sheetName val="CIVIC_1_7L(7ｶ国MA自国)GKN同一_46"/>
      <sheetName val="CIVIC_1_7L(7ｶ国MA輸出)GKN同一46"/>
      <sheetName val="Account_Code46"/>
      <sheetName val="CIVIC_1_7L(7ｶ国MA自国)GKN同一_48"/>
      <sheetName val="CIVIC_1_7L(7ｶ国MA輸出)GKN同一48"/>
      <sheetName val="Account_Code48"/>
      <sheetName val="CIVIC_1_7L(7ｶ国MA自国)GKN同一_47"/>
      <sheetName val="CIVIC_1_7L(7ｶ国MA輸出)GKN同一47"/>
      <sheetName val="Account_Code47"/>
      <sheetName val="CIVIC_1_7L(7ｶ国MA自国)GKN同一_49"/>
      <sheetName val="CIVIC_1_7L(7ｶ国MA輸出)GKN同一49"/>
      <sheetName val="Account_Code49"/>
      <sheetName val="XLR_NoRangeSheet"/>
      <sheetName val="CIVIC_1_7L(7ｶ国MA自国)GKN同一_51"/>
      <sheetName val="CIVIC_1_7L(7ｶ国MA輸出)GKN同一51"/>
      <sheetName val="Account_Code51"/>
      <sheetName val="CIVIC_1_7L(7ｶ国MA自国)GKN同一_50"/>
      <sheetName val="CIVIC_1_7L(7ｶ国MA輸出)GKN同一50"/>
      <sheetName val="Account_Code50"/>
      <sheetName val="CIVIC_1_7L(7ｶ国MA自国)GKN同一_52"/>
      <sheetName val="CIVIC_1_7L(7ｶ国MA輸出)GKN同一52"/>
      <sheetName val="Account_Code52"/>
      <sheetName val="CIVIC_1_7L(7ｶ国MA自国)GKN同一_54"/>
      <sheetName val="CIVIC_1_7L(7ｶ国MA輸出)GKN同一54"/>
      <sheetName val="Account_Code54"/>
      <sheetName val="CIVIC_1_7L(7ｶ国MA自国)GKN同一_53"/>
      <sheetName val="CIVIC_1_7L(7ｶ国MA輸出)GKN同一53"/>
      <sheetName val="Account_Code53"/>
      <sheetName val="CIVIC_1_7L(7ｶ国MA自国)GKN同一_55"/>
      <sheetName val="CIVIC_1_7L(7ｶ国MA輸出)GKN同一55"/>
      <sheetName val="Account_Code55"/>
      <sheetName val="CIVIC_1_7L(7ｶ国MA自国)GKN同一_57"/>
      <sheetName val="CIVIC_1_7L(7ｶ国MA輸出)GKN同一57"/>
      <sheetName val="Account_Code57"/>
      <sheetName val="CIVIC_1_7L(7ｶ国MA自国)GKN同一_56"/>
      <sheetName val="CIVIC_1_7L(7ｶ国MA輸出)GKN同一56"/>
      <sheetName val="Account_Code56"/>
      <sheetName val="SUMMARY"/>
      <sheetName val="CIVIC_1_7L(7ｶ国MA自国)GKN同一_58"/>
      <sheetName val="CIVIC_1_7L(7ｶ国MA輸出)GKN同一58"/>
      <sheetName val="Account_Code58"/>
      <sheetName val="Penyusutan Kendaraan"/>
      <sheetName val="CIVIC_1_7L(7ｶ国MA自国)GKN同一_59"/>
      <sheetName val="CIVIC_1_7L(7ｶ国MA輸出)GKN同一59"/>
      <sheetName val="Account_Code59"/>
      <sheetName val="CIVIC_1_7L(7ｶ国MA自国)GKN同一_61"/>
      <sheetName val="CIVIC_1_7L(7ｶ国MA輸出)GKN同一61"/>
      <sheetName val="Account_Code61"/>
      <sheetName val="WCrestated"/>
      <sheetName val="Sheet1"/>
      <sheetName val="A1-B ASSET"/>
      <sheetName val="General Info"/>
      <sheetName val="CAST DAYLY"/>
      <sheetName val="Mort-08"/>
      <sheetName val="CRITIQUE USD"/>
      <sheetName val="CIVIC_1_7L(7ｶ国MA自国)GKN同一_60"/>
      <sheetName val="CIVIC_1_7L(7ｶ国MA輸出)GKN同一60"/>
      <sheetName val="Account_Code60"/>
      <sheetName val="Pile径1m･27"/>
      <sheetName val="DTCT"/>
      <sheetName val="02-Ikhtisar Keuangan-1&amp;2-i"/>
      <sheetName val="CIVIC_1_7L(7ｶ国MA自国)GKN同一_62"/>
      <sheetName val="CIVIC_1_7L(7ｶ国MA輸出)GKN同一62"/>
      <sheetName val="Account_Code62"/>
      <sheetName val="XREF"/>
      <sheetName val="MK(W L,D)ｺｽﾄ"/>
      <sheetName val="FE-1770.P1"/>
      <sheetName val="R2"/>
      <sheetName val="REV_1702"/>
      <sheetName val="Permanent info"/>
      <sheetName val="Input"/>
      <sheetName val="Altman Z Score"/>
      <sheetName val="Submission Form"/>
      <sheetName val="A1-B ASSETS"/>
      <sheetName val="Monthly_RecapLO"/>
      <sheetName val="Monthly_RecapLO1"/>
      <sheetName val="Rate"/>
      <sheetName val="5"/>
      <sheetName val="FA '00"/>
      <sheetName val="ZFOB0001"/>
      <sheetName val="型費"/>
      <sheetName val="PC &amp; BANK MAY 2019"/>
      <sheetName val="PC &amp; BANK JUNE 2019"/>
      <sheetName val="PC &amp; BANK JULY 2019"/>
      <sheetName val="PC &amp; BANK AGUSTUS 2019"/>
      <sheetName val="选择报表"/>
      <sheetName val="2001 Employee roster"/>
      <sheetName val="TB-WP"/>
      <sheetName val="Scoresheet"/>
      <sheetName val="CIVIC_1_7L(7ｶ国MA自国)GKN同一_63"/>
      <sheetName val="CIVIC_1_7L(7ｶ国MA輸出)GKN同一63"/>
      <sheetName val="Account_Code63"/>
      <sheetName val="Monthly_RecapLO2"/>
      <sheetName val="Penyusutan_Kendaraan"/>
      <sheetName val="A1-B_ASSET"/>
      <sheetName val="General_Info"/>
      <sheetName val="CAST_DAYLY"/>
      <sheetName val="CRITIQUE_USD"/>
      <sheetName val="02-Ikhtisar_Keuangan-1&amp;2-i"/>
      <sheetName val="MK(W_L,D)ｺｽﾄ"/>
      <sheetName val="FE-1770_P1"/>
      <sheetName val="Permanent_info"/>
      <sheetName val="Altman_Z_Score"/>
      <sheetName val="Submission_Form"/>
      <sheetName val="A1-B_ASSETS"/>
      <sheetName val="Index"/>
      <sheetName val="wpl"/>
      <sheetName val="DATA"/>
      <sheetName val="経営指標"/>
      <sheetName val="V_List"/>
      <sheetName val="CIVIC 1.7Ｌ"/>
      <sheetName val="West"/>
      <sheetName val="Opening"/>
      <sheetName val="TB2"/>
      <sheetName val="Monthly Recap"/>
      <sheetName val="110"/>
      <sheetName val="2007"/>
      <sheetName val="Summary '08"/>
      <sheetName val="BBRI-N"/>
      <sheetName val="UNVR-J"/>
      <sheetName val="PEB list 2006"/>
      <sheetName val="CSD"/>
      <sheetName val="2001_Employee_roster"/>
      <sheetName val="FA_'00"/>
      <sheetName val="YTD_02"/>
      <sheetName val="Journal Template"/>
      <sheetName val="FORM"/>
      <sheetName val="AR"/>
      <sheetName val="ABSEN"/>
      <sheetName val="KAR"/>
      <sheetName val="BARS"/>
      <sheetName val="CIVIC_1_7L(7ｶ国MA自国)GKN同一_65"/>
      <sheetName val="CIVIC_1_7L(7ｶ国MA輸出)GKN同一65"/>
      <sheetName val="Account_Code65"/>
      <sheetName val="Monthly_RecapLO4"/>
      <sheetName val="Penyusutan_Kendaraan2"/>
      <sheetName val="A1-B_ASSET2"/>
      <sheetName val="General_Info2"/>
      <sheetName val="CAST_DAYLY2"/>
      <sheetName val="CRITIQUE_USD2"/>
      <sheetName val="02-Ikhtisar_Keuangan-1&amp;2-i2"/>
      <sheetName val="MK(W_L,D)ｺｽﾄ2"/>
      <sheetName val="FE-1770_P12"/>
      <sheetName val="Permanent_info2"/>
      <sheetName val="Altman_Z_Score2"/>
      <sheetName val="Submission_Form2"/>
      <sheetName val="A1-B_ASSETS2"/>
      <sheetName val="FA_'001"/>
      <sheetName val="PC_&amp;_BANK_MAY_20191"/>
      <sheetName val="PC_&amp;_BANK_JUNE_20191"/>
      <sheetName val="PC_&amp;_BANK_JULY_20191"/>
      <sheetName val="PC_&amp;_BANK_AGUSTUS_20191"/>
      <sheetName val="2001_Employee_roster1"/>
      <sheetName val="CIVIC_1_7Ｌ1"/>
      <sheetName val="Summary_'081"/>
      <sheetName val="Monthly_Recap1"/>
      <sheetName val="CIVIC_1_7L(7ｶ国MA自国)GKN同一_64"/>
      <sheetName val="CIVIC_1_7L(7ｶ国MA輸出)GKN同一64"/>
      <sheetName val="Account_Code64"/>
      <sheetName val="Monthly_RecapLO3"/>
      <sheetName val="Penyusutan_Kendaraan1"/>
      <sheetName val="A1-B_ASSET1"/>
      <sheetName val="General_Info1"/>
      <sheetName val="CAST_DAYLY1"/>
      <sheetName val="CRITIQUE_USD1"/>
      <sheetName val="02-Ikhtisar_Keuangan-1&amp;2-i1"/>
      <sheetName val="MK(W_L,D)ｺｽﾄ1"/>
      <sheetName val="FE-1770_P11"/>
      <sheetName val="Permanent_info1"/>
      <sheetName val="Altman_Z_Score1"/>
      <sheetName val="Submission_Form1"/>
      <sheetName val="A1-B_ASSETS1"/>
      <sheetName val="PC_&amp;_BANK_MAY_2019"/>
      <sheetName val="PC_&amp;_BANK_JUNE_2019"/>
      <sheetName val="PC_&amp;_BANK_JULY_2019"/>
      <sheetName val="PC_&amp;_BANK_AGUSTUS_2019"/>
      <sheetName val="CIVIC_1_7Ｌ"/>
      <sheetName val="Summary_'08"/>
      <sheetName val="Monthly_Recap"/>
      <sheetName val="CIVIC_1_7L(7ｶ国MA自国)GKN同一_71"/>
      <sheetName val="CIVIC_1_7L(7ｶ国MA輸出)GKN同一71"/>
      <sheetName val="Account_Code71"/>
      <sheetName val="JobDesc"/>
      <sheetName val="FF-6"/>
      <sheetName val="Equity"/>
      <sheetName val="Macro1"/>
      <sheetName val="Combined FA"/>
      <sheetName val="January"/>
      <sheetName val="総合表"/>
      <sheetName val="SLS-TGT-FEED (FDM)"/>
      <sheetName val="RBSB"/>
      <sheetName val="DailyOvertime"/>
      <sheetName val="SCH_2"/>
      <sheetName val="Australia"/>
      <sheetName val="Pain data"/>
      <sheetName val="1106-M&amp;E"/>
      <sheetName val="Notes to BS"/>
      <sheetName val="Format Report-for analysis only"/>
      <sheetName val="CMA FA Opname"/>
      <sheetName val="claim"/>
      <sheetName val="資産種類ﾏｽﾀ"/>
      <sheetName val="instalasi disp Mei"/>
      <sheetName val="PEB_list_2006"/>
      <sheetName val="Journal_Template"/>
      <sheetName val="PEB_list_20061"/>
      <sheetName val="Journal_Template1"/>
      <sheetName val="CIVIC_1_7L(7ｶ国MA自国)GKN同一_66"/>
      <sheetName val="CIVIC_1_7L(7ｶ国MA輸出)GKN同一66"/>
      <sheetName val="Account_Code66"/>
      <sheetName val="Monthly_RecapLO5"/>
      <sheetName val="Penyusutan_Kendaraan3"/>
      <sheetName val="A1-B_ASSET3"/>
      <sheetName val="General_Info3"/>
      <sheetName val="CAST_DAYLY3"/>
      <sheetName val="CRITIQUE_USD3"/>
      <sheetName val="02-Ikhtisar_Keuangan-1&amp;2-i3"/>
      <sheetName val="MK(W_L,D)ｺｽﾄ3"/>
      <sheetName val="FE-1770_P13"/>
      <sheetName val="Permanent_info3"/>
      <sheetName val="Altman_Z_Score3"/>
      <sheetName val="Submission_Form3"/>
      <sheetName val="A1-B_ASSETS3"/>
      <sheetName val="FA_'002"/>
      <sheetName val="PC_&amp;_BANK_MAY_20192"/>
      <sheetName val="PC_&amp;_BANK_JUNE_20192"/>
      <sheetName val="PC_&amp;_BANK_JULY_20192"/>
      <sheetName val="PC_&amp;_BANK_AGUSTUS_20192"/>
      <sheetName val="2001_Employee_roster2"/>
      <sheetName val="CIVIC_1_7Ｌ2"/>
      <sheetName val="Monthly_Recap2"/>
      <sheetName val="Summary_'082"/>
      <sheetName val="PEB_list_20062"/>
      <sheetName val="Journal_Template2"/>
      <sheetName val="CIVIC_1_7L(7ｶ国MA自国)GKN同一_67"/>
      <sheetName val="CIVIC_1_7L(7ｶ国MA輸出)GKN同一67"/>
      <sheetName val="Account_Code67"/>
      <sheetName val="Monthly_RecapLO6"/>
      <sheetName val="Penyusutan_Kendaraan4"/>
      <sheetName val="A1-B_ASSET4"/>
      <sheetName val="General_Info4"/>
      <sheetName val="CAST_DAYLY4"/>
      <sheetName val="CRITIQUE_USD4"/>
      <sheetName val="02-Ikhtisar_Keuangan-1&amp;2-i4"/>
      <sheetName val="MK(W_L,D)ｺｽﾄ4"/>
      <sheetName val="FE-1770_P14"/>
      <sheetName val="Permanent_info4"/>
      <sheetName val="Altman_Z_Score4"/>
      <sheetName val="Submission_Form4"/>
      <sheetName val="A1-B_ASSETS4"/>
      <sheetName val="FA_'003"/>
      <sheetName val="PC_&amp;_BANK_MAY_20193"/>
      <sheetName val="PC_&amp;_BANK_JUNE_20193"/>
      <sheetName val="PC_&amp;_BANK_JULY_20193"/>
      <sheetName val="PC_&amp;_BANK_AGUSTUS_20193"/>
      <sheetName val="2001_Employee_roster3"/>
      <sheetName val="CIVIC_1_7Ｌ3"/>
      <sheetName val="Monthly_Recap3"/>
      <sheetName val="Summary_'083"/>
      <sheetName val="PEB_list_20063"/>
      <sheetName val="Journal_Template3"/>
      <sheetName val="Monthly_RecapLO10"/>
      <sheetName val="Penyusutan_Kendaraan8"/>
      <sheetName val="A1-B_ASSET8"/>
      <sheetName val="General_Info8"/>
      <sheetName val="CAST_DAYLY8"/>
      <sheetName val="CRITIQUE_USD8"/>
      <sheetName val="02-Ikhtisar_Keuangan-1&amp;2-i8"/>
      <sheetName val="MK(W_L,D)ｺｽﾄ8"/>
      <sheetName val="FE-1770_P18"/>
      <sheetName val="Permanent_info8"/>
      <sheetName val="Altman_Z_Score8"/>
      <sheetName val="Submission_Form8"/>
      <sheetName val="A1-B_ASSETS8"/>
      <sheetName val="FA_'007"/>
      <sheetName val="PC_&amp;_BANK_MAY_20197"/>
      <sheetName val="PC_&amp;_BANK_JUNE_20197"/>
      <sheetName val="PC_&amp;_BANK_JULY_20197"/>
      <sheetName val="PC_&amp;_BANK_AGUSTUS_20197"/>
      <sheetName val="2001_Employee_roster7"/>
      <sheetName val="CIVIC_1_7Ｌ7"/>
      <sheetName val="Monthly_Recap7"/>
      <sheetName val="Summary_'087"/>
      <sheetName val="PEB_list_20067"/>
      <sheetName val="Journal_Template7"/>
      <sheetName val="CIVIC_1_7L(7ｶ国MA自国)GKN同一_68"/>
      <sheetName val="CIVIC_1_7L(7ｶ国MA輸出)GKN同一68"/>
      <sheetName val="Account_Code68"/>
      <sheetName val="Monthly_RecapLO7"/>
      <sheetName val="Penyusutan_Kendaraan5"/>
      <sheetName val="A1-B_ASSET5"/>
      <sheetName val="General_Info5"/>
      <sheetName val="CAST_DAYLY5"/>
      <sheetName val="CRITIQUE_USD5"/>
      <sheetName val="02-Ikhtisar_Keuangan-1&amp;2-i5"/>
      <sheetName val="MK(W_L,D)ｺｽﾄ5"/>
      <sheetName val="FE-1770_P15"/>
      <sheetName val="Permanent_info5"/>
      <sheetName val="Altman_Z_Score5"/>
      <sheetName val="Submission_Form5"/>
      <sheetName val="A1-B_ASSETS5"/>
      <sheetName val="FA_'004"/>
      <sheetName val="PC_&amp;_BANK_MAY_20194"/>
      <sheetName val="PC_&amp;_BANK_JUNE_20194"/>
      <sheetName val="PC_&amp;_BANK_JULY_20194"/>
      <sheetName val="PC_&amp;_BANK_AGUSTUS_20194"/>
      <sheetName val="2001_Employee_roster4"/>
      <sheetName val="CIVIC_1_7Ｌ4"/>
      <sheetName val="Monthly_Recap4"/>
      <sheetName val="Summary_'084"/>
      <sheetName val="PEB_list_20064"/>
      <sheetName val="Journal_Template4"/>
      <sheetName val="CIVIC_1_7L(7ｶ国MA自国)GKN同一_69"/>
      <sheetName val="CIVIC_1_7L(7ｶ国MA輸出)GKN同一69"/>
      <sheetName val="Account_Code69"/>
      <sheetName val="Monthly_RecapLO8"/>
      <sheetName val="Penyusutan_Kendaraan6"/>
      <sheetName val="A1-B_ASSET6"/>
      <sheetName val="General_Info6"/>
      <sheetName val="CAST_DAYLY6"/>
      <sheetName val="CRITIQUE_USD6"/>
      <sheetName val="02-Ikhtisar_Keuangan-1&amp;2-i6"/>
      <sheetName val="MK(W_L,D)ｺｽﾄ6"/>
      <sheetName val="FE-1770_P16"/>
      <sheetName val="Permanent_info6"/>
      <sheetName val="Altman_Z_Score6"/>
      <sheetName val="Submission_Form6"/>
      <sheetName val="A1-B_ASSETS6"/>
      <sheetName val="FA_'005"/>
      <sheetName val="PC_&amp;_BANK_MAY_20195"/>
      <sheetName val="PC_&amp;_BANK_JUNE_20195"/>
      <sheetName val="PC_&amp;_BANK_JULY_20195"/>
      <sheetName val="PC_&amp;_BANK_AGUSTUS_20195"/>
      <sheetName val="2001_Employee_roster5"/>
      <sheetName val="CIVIC_1_7Ｌ5"/>
      <sheetName val="Monthly_Recap5"/>
      <sheetName val="Summary_'085"/>
      <sheetName val="PEB_list_20065"/>
      <sheetName val="Journal_Template5"/>
      <sheetName val="CIVIC_1_7L(7ｶ国MA自国)GKN同一_70"/>
      <sheetName val="CIVIC_1_7L(7ｶ国MA輸出)GKN同一70"/>
      <sheetName val="Account_Code70"/>
      <sheetName val="Monthly_RecapLO9"/>
      <sheetName val="Penyusutan_Kendaraan7"/>
      <sheetName val="A1-B_ASSET7"/>
      <sheetName val="General_Info7"/>
      <sheetName val="CAST_DAYLY7"/>
      <sheetName val="CRITIQUE_USD7"/>
      <sheetName val="02-Ikhtisar_Keuangan-1&amp;2-i7"/>
      <sheetName val="MK(W_L,D)ｺｽﾄ7"/>
      <sheetName val="FE-1770_P17"/>
      <sheetName val="Permanent_info7"/>
      <sheetName val="Altman_Z_Score7"/>
      <sheetName val="Submission_Form7"/>
      <sheetName val="A1-B_ASSETS7"/>
      <sheetName val="FA_'006"/>
      <sheetName val="PC_&amp;_BANK_MAY_20196"/>
      <sheetName val="PC_&amp;_BANK_JUNE_20196"/>
      <sheetName val="PC_&amp;_BANK_JULY_20196"/>
      <sheetName val="PC_&amp;_BANK_AGUSTUS_20196"/>
      <sheetName val="2001_Employee_roster6"/>
      <sheetName val="CIVIC_1_7Ｌ6"/>
      <sheetName val="Monthly_Recap6"/>
      <sheetName val="Summary_'086"/>
      <sheetName val="PEB_list_20066"/>
      <sheetName val="Journal_Template6"/>
      <sheetName val="CIVIC_1_7L(7ｶ国MA自国)GKN同一_72"/>
      <sheetName val="CIVIC_1_7L(7ｶ国MA輸出)GKN同一72"/>
      <sheetName val="Account_Code72"/>
      <sheetName val="Monthly_RecapLO11"/>
      <sheetName val="Penyusutan_Kendaraan9"/>
      <sheetName val="A1-B_ASSET9"/>
      <sheetName val="General_Info9"/>
      <sheetName val="CAST_DAYLY9"/>
      <sheetName val="CRITIQUE_USD9"/>
      <sheetName val="02-Ikhtisar_Keuangan-1&amp;2-i9"/>
      <sheetName val="MK(W_L,D)ｺｽﾄ9"/>
      <sheetName val="FE-1770_P19"/>
      <sheetName val="Permanent_info9"/>
      <sheetName val="Altman_Z_Score9"/>
      <sheetName val="Submission_Form9"/>
      <sheetName val="A1-B_ASSETS9"/>
      <sheetName val="FA_'008"/>
      <sheetName val="PC_&amp;_BANK_MAY_20198"/>
      <sheetName val="PC_&amp;_BANK_JUNE_20198"/>
      <sheetName val="PC_&amp;_BANK_JULY_20198"/>
      <sheetName val="PC_&amp;_BANK_AGUSTUS_20198"/>
      <sheetName val="2001_Employee_roster8"/>
      <sheetName val="CIVIC_1_7Ｌ8"/>
      <sheetName val="Monthly_Recap8"/>
      <sheetName val="Summary_'088"/>
      <sheetName val="PEB_list_20068"/>
      <sheetName val="Journal_Template8"/>
      <sheetName val="CIVIC_1_7L(7ｶ国MA自国)GKN同一_73"/>
      <sheetName val="CIVIC_1_7L(7ｶ国MA輸出)GKN同一73"/>
      <sheetName val="Account_Code73"/>
      <sheetName val="Monthly_RecapLO12"/>
      <sheetName val="Penyusutan_Kendaraan10"/>
      <sheetName val="A1-B_ASSET10"/>
      <sheetName val="General_Info10"/>
      <sheetName val="CAST_DAYLY10"/>
      <sheetName val="CRITIQUE_USD10"/>
      <sheetName val="02-Ikhtisar_Keuangan-1&amp;2-i10"/>
      <sheetName val="MK(W_L,D)ｺｽﾄ10"/>
      <sheetName val="FE-1770_P110"/>
      <sheetName val="Permanent_info10"/>
      <sheetName val="Altman_Z_Score10"/>
      <sheetName val="Submission_Form10"/>
      <sheetName val="A1-B_ASSETS10"/>
      <sheetName val="FA_'009"/>
      <sheetName val="PC_&amp;_BANK_MAY_20199"/>
      <sheetName val="PC_&amp;_BANK_JUNE_20199"/>
      <sheetName val="PC_&amp;_BANK_JULY_20199"/>
      <sheetName val="PC_&amp;_BANK_AGUSTUS_20199"/>
      <sheetName val="2001_Employee_roster9"/>
      <sheetName val="CIVIC_1_7Ｌ9"/>
      <sheetName val="Monthly_Recap9"/>
      <sheetName val="Summary_'089"/>
      <sheetName val="PEB_list_20069"/>
      <sheetName val="Journal_Template9"/>
      <sheetName val="1"/>
      <sheetName val="Foreign Details"/>
      <sheetName val="vi a dios"/>
      <sheetName val="T"/>
      <sheetName val="A"/>
      <sheetName val="CIVIC_1_7L(7ｶ国MA自国)GKN同一_74"/>
      <sheetName val="CIVIC_1_7L(7ｶ国MA輸出)GKN同一74"/>
      <sheetName val="Account_Code74"/>
      <sheetName val="Monthly_RecapLO13"/>
      <sheetName val="Penyusutan_Kendaraan11"/>
      <sheetName val="A1-B_ASSET11"/>
      <sheetName val="General_Info11"/>
      <sheetName val="CAST_DAYLY11"/>
      <sheetName val="CRITIQUE_USD11"/>
      <sheetName val="02-Ikhtisar_Keuangan-1&amp;2-i11"/>
      <sheetName val="MK(W_L,D)ｺｽﾄ11"/>
      <sheetName val="FE-1770_P111"/>
      <sheetName val="Permanent_info11"/>
      <sheetName val="Altman_Z_Score11"/>
      <sheetName val="Submission_Form11"/>
      <sheetName val="A1-B_ASSETS11"/>
      <sheetName val="FA_'0010"/>
      <sheetName val="PC_&amp;_BANK_MAY_201910"/>
      <sheetName val="PC_&amp;_BANK_JUNE_201910"/>
      <sheetName val="PC_&amp;_BANK_JULY_201910"/>
      <sheetName val="PC_&amp;_BANK_AGUSTUS_201910"/>
      <sheetName val="2001_Employee_roster10"/>
      <sheetName val="CIVIC_1_7Ｌ10"/>
      <sheetName val="Monthly_Recap10"/>
      <sheetName val="Summary_'0810"/>
      <sheetName val="PEB_list_200610"/>
      <sheetName val="Journal_Template10"/>
      <sheetName val="Combined_FA"/>
      <sheetName val="SLS-TGT-FEED_(FDM)"/>
      <sheetName val="Pain_data"/>
      <sheetName val="Notes_to_BS"/>
      <sheetName val="Format_Report-for_analysis_only"/>
      <sheetName val="CMA_FA_Opname"/>
      <sheetName val="CIVIC_1_7L(7ｶ国MA自国)GKN同一_75"/>
      <sheetName val="CIVIC_1_7L(7ｶ国MA輸出)GKN同一75"/>
      <sheetName val="Account_Code75"/>
      <sheetName val="Monthly_RecapLO14"/>
      <sheetName val="Penyusutan_Kendaraan12"/>
      <sheetName val="A1-B_ASSET12"/>
      <sheetName val="General_Info12"/>
      <sheetName val="CAST_DAYLY12"/>
      <sheetName val="CRITIQUE_USD12"/>
      <sheetName val="02-Ikhtisar_Keuangan-1&amp;2-i12"/>
      <sheetName val="MK(W_L,D)ｺｽﾄ12"/>
      <sheetName val="FE-1770_P112"/>
      <sheetName val="Permanent_info12"/>
      <sheetName val="Altman_Z_Score12"/>
      <sheetName val="Submission_Form12"/>
      <sheetName val="A1-B_ASSETS12"/>
      <sheetName val="FA_'0011"/>
      <sheetName val="PC_&amp;_BANK_MAY_201911"/>
      <sheetName val="PC_&amp;_BANK_JUNE_201911"/>
      <sheetName val="PC_&amp;_BANK_JULY_201911"/>
      <sheetName val="PC_&amp;_BANK_AGUSTUS_201911"/>
      <sheetName val="2001_Employee_roster11"/>
      <sheetName val="CIVIC_1_7Ｌ11"/>
      <sheetName val="Monthly_Recap11"/>
      <sheetName val="Summary_'0811"/>
      <sheetName val="PEB_list_200611"/>
      <sheetName val="Journal_Template11"/>
      <sheetName val="Combined_FA1"/>
      <sheetName val="SLS-TGT-FEED_(FDM)1"/>
      <sheetName val="Pain_data1"/>
      <sheetName val="Notes_to_BS1"/>
      <sheetName val="Format_Report-for_analysis_onl1"/>
      <sheetName val="CMA_FA_Opname1"/>
      <sheetName val="CIVIC_1_7L(7ｶ国MA自国)GKN同一_77"/>
      <sheetName val="CIVIC_1_7L(7ｶ国MA輸出)GKN同一77"/>
      <sheetName val="Account_Code77"/>
      <sheetName val="Monthly_RecapLO16"/>
      <sheetName val="Penyusutan_Kendaraan14"/>
      <sheetName val="A1-B_ASSET14"/>
      <sheetName val="General_Info14"/>
      <sheetName val="CAST_DAYLY14"/>
      <sheetName val="CRITIQUE_USD14"/>
      <sheetName val="02-Ikhtisar_Keuangan-1&amp;2-i14"/>
      <sheetName val="MK(W_L,D)ｺｽﾄ14"/>
      <sheetName val="FE-1770_P114"/>
      <sheetName val="Permanent_info14"/>
      <sheetName val="Altman_Z_Score14"/>
      <sheetName val="Submission_Form14"/>
      <sheetName val="A1-B_ASSETS14"/>
      <sheetName val="FA_'0013"/>
      <sheetName val="PC_&amp;_BANK_MAY_201913"/>
      <sheetName val="PC_&amp;_BANK_JUNE_201913"/>
      <sheetName val="PC_&amp;_BANK_JULY_201913"/>
      <sheetName val="PC_&amp;_BANK_AGUSTUS_201913"/>
      <sheetName val="2001_Employee_roster13"/>
      <sheetName val="CIVIC_1_7Ｌ13"/>
      <sheetName val="Monthly_Recap13"/>
      <sheetName val="Summary_'0813"/>
      <sheetName val="PEB_list_200613"/>
      <sheetName val="Journal_Template13"/>
      <sheetName val="Combined_FA3"/>
      <sheetName val="SLS-TGT-FEED_(FDM)3"/>
      <sheetName val="Pain_data3"/>
      <sheetName val="Notes_to_BS3"/>
      <sheetName val="Format_Report-for_analysis_onl3"/>
      <sheetName val="CMA_FA_Opname3"/>
      <sheetName val="CIVIC_1_7L(7ｶ国MA自国)GKN同一_76"/>
      <sheetName val="CIVIC_1_7L(7ｶ国MA輸出)GKN同一76"/>
      <sheetName val="Account_Code76"/>
      <sheetName val="Monthly_RecapLO15"/>
      <sheetName val="Penyusutan_Kendaraan13"/>
      <sheetName val="A1-B_ASSET13"/>
      <sheetName val="General_Info13"/>
      <sheetName val="CAST_DAYLY13"/>
      <sheetName val="CRITIQUE_USD13"/>
      <sheetName val="02-Ikhtisar_Keuangan-1&amp;2-i13"/>
      <sheetName val="MK(W_L,D)ｺｽﾄ13"/>
      <sheetName val="FE-1770_P113"/>
      <sheetName val="Permanent_info13"/>
      <sheetName val="Altman_Z_Score13"/>
      <sheetName val="Submission_Form13"/>
      <sheetName val="A1-B_ASSETS13"/>
      <sheetName val="FA_'0012"/>
      <sheetName val="PC_&amp;_BANK_MAY_201912"/>
      <sheetName val="PC_&amp;_BANK_JUNE_201912"/>
      <sheetName val="PC_&amp;_BANK_JULY_201912"/>
      <sheetName val="PC_&amp;_BANK_AGUSTUS_201912"/>
      <sheetName val="2001_Employee_roster12"/>
      <sheetName val="CIVIC_1_7Ｌ12"/>
      <sheetName val="Monthly_Recap12"/>
      <sheetName val="Summary_'0812"/>
      <sheetName val="PEB_list_200612"/>
      <sheetName val="Journal_Template12"/>
      <sheetName val="Combined_FA2"/>
      <sheetName val="SLS-TGT-FEED_(FDM)2"/>
      <sheetName val="Pain_data2"/>
      <sheetName val="Notes_to_BS2"/>
      <sheetName val="Format_Report-for_analysis_onl2"/>
      <sheetName val="CMA_FA_Opname2"/>
      <sheetName val="Interim --&gt; Top"/>
      <sheetName val="Scenarios"/>
      <sheetName val="APRIL'02"/>
      <sheetName val="instalasi_disp_Mei"/>
      <sheetName val="Foreign_Details"/>
      <sheetName val="DAF.INVEN U.O"/>
      <sheetName val="Tickmarks"/>
      <sheetName val="Dropdown Values"/>
      <sheetName val="Ex_Rate"/>
      <sheetName val="marshal"/>
      <sheetName val="nh-badan"/>
      <sheetName val="C2"/>
      <sheetName val="Invoice"/>
      <sheetName val="sept2006"/>
      <sheetName val="WS"/>
      <sheetName val="5620 Off Furn"/>
      <sheetName val="Plant&amp; Machinery5810.40"/>
      <sheetName val="Vouching AddFA5810.81"/>
      <sheetName val="data_v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 (4)"/>
      <sheetName val="14 (3)"/>
      <sheetName val="14 (2)"/>
      <sheetName val="14"/>
      <sheetName val="date nama"/>
      <sheetName val="date warn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(MA単)GKN同一"/>
      <sheetName val="MK(鍛造時経)GKN同一 (2)"/>
      <sheetName val="MK(鍛造無し)GKN同一 "/>
      <sheetName val="MK(MA単)ｺｽﾄ "/>
      <sheetName val="MK(W L,D)GKN同一"/>
      <sheetName val="MK(W L,D)ｺｽﾄ"/>
      <sheetName val="CIVIC 1.7L(7ｶ国MA輸出)GKN同一"/>
      <sheetName val="tb"/>
      <sheetName val="MK(鍛造時経)GKN同一_(2)2"/>
      <sheetName val="MK(鍛造無し)GKN同一_2"/>
      <sheetName val="MK(MA単)ｺｽﾄ_2"/>
      <sheetName val="MK(W_L,D)GKN同一2"/>
      <sheetName val="MK(W_L,D)ｺｽﾄ2"/>
      <sheetName val="CIVIC_1_7L(7ｶ国MA輸出)GKN同一2"/>
      <sheetName val="MK(鍛造時経)GKN同一_(2)"/>
      <sheetName val="MK(鍛造無し)GKN同一_"/>
      <sheetName val="MK(MA単)ｺｽﾄ_"/>
      <sheetName val="MK(W_L,D)GKN同一"/>
      <sheetName val="MK(W_L,D)ｺｽﾄ"/>
      <sheetName val="CIVIC_1_7L(7ｶ国MA輸出)GKN同一"/>
      <sheetName val="MK(鍛造時経)GKN同一_(2)1"/>
      <sheetName val="MK(鍛造無し)GKN同一_1"/>
      <sheetName val="MK(MA単)ｺｽﾄ_1"/>
      <sheetName val="MK(W_L,D)GKN同一1"/>
      <sheetName val="MK(W_L,D)ｺｽﾄ1"/>
      <sheetName val="CIVIC_1_7L(7ｶ国MA輸出)GKN同一1"/>
      <sheetName val="MK(鍛造時経)GKN同一_(2)3"/>
      <sheetName val="MK(鍛造無し)GKN同一_3"/>
      <sheetName val="MK(MA単)ｺｽﾄ_3"/>
      <sheetName val="MK(W_L,D)GKN同一3"/>
      <sheetName val="MK(W_L,D)ｺｽﾄ3"/>
      <sheetName val="CIVIC_1_7L(7ｶ国MA輸出)GKN同一3"/>
      <sheetName val="MK(鍛造時経)GKN同一_(2)6"/>
      <sheetName val="MK(鍛造無し)GKN同一_6"/>
      <sheetName val="MK(MA単)ｺｽﾄ_6"/>
      <sheetName val="MK(W_L,D)GKN同一6"/>
      <sheetName val="MK(W_L,D)ｺｽﾄ6"/>
      <sheetName val="CIVIC_1_7L(7ｶ国MA輸出)GKN同一6"/>
      <sheetName val="MK(鍛造時経)GKN同一_(2)5"/>
      <sheetName val="MK(鍛造無し)GKN同一_5"/>
      <sheetName val="MK(MA単)ｺｽﾄ_5"/>
      <sheetName val="MK(W_L,D)GKN同一5"/>
      <sheetName val="MK(W_L,D)ｺｽﾄ5"/>
      <sheetName val="CIVIC_1_7L(7ｶ国MA輸出)GKN同一5"/>
      <sheetName val="MK(鍛造時経)GKN同一_(2)4"/>
      <sheetName val="MK(鍛造無し)GKN同一_4"/>
      <sheetName val="MK(MA単)ｺｽﾄ_4"/>
      <sheetName val="MK(W_L,D)GKN同一4"/>
      <sheetName val="MK(W_L,D)ｺｽﾄ4"/>
      <sheetName val="CIVIC_1_7L(7ｶ国MA輸出)GKN同一4"/>
      <sheetName val="MK(鍛造時経)GKN同一_(2)7"/>
      <sheetName val="MK(鍛造無し)GKN同一_7"/>
      <sheetName val="MK(MA単)ｺｽﾄ_7"/>
      <sheetName val="MK(W_L,D)GKN同一7"/>
      <sheetName val="MK(W_L,D)ｺｽﾄ7"/>
      <sheetName val="CIVIC_1_7L(7ｶ国MA輸出)GKN同一7"/>
      <sheetName val="MK(鍛造時経)GKN同一_(2)8"/>
      <sheetName val="MK(鍛造無し)GKN同一_8"/>
      <sheetName val="MK(MA単)ｺｽﾄ_8"/>
      <sheetName val="MK(W_L,D)GKN同一8"/>
      <sheetName val="MK(W_L,D)ｺｽﾄ8"/>
      <sheetName val="CIVIC_1_7L(7ｶ国MA輸出)GKN同一8"/>
      <sheetName val="MK(鍛造時経)GKN同一_(2)9"/>
      <sheetName val="MK(鍛造無し)GKN同一_9"/>
      <sheetName val="MK(MA単)ｺｽﾄ_9"/>
      <sheetName val="MK(W_L,D)GKN同一9"/>
      <sheetName val="MK(W_L,D)ｺｽﾄ9"/>
      <sheetName val="CIVIC_1_7L(7ｶ国MA輸出)GKN同一9"/>
      <sheetName val="MK(鍛造時経)GKN同一_(2)11"/>
      <sheetName val="MK(鍛造無し)GKN同一_11"/>
      <sheetName val="MK(MA単)ｺｽﾄ_11"/>
      <sheetName val="MK(W_L,D)GKN同一11"/>
      <sheetName val="MK(W_L,D)ｺｽﾄ11"/>
      <sheetName val="CIVIC_1_7L(7ｶ国MA輸出)GKN同一11"/>
      <sheetName val="MK(鍛造時経)GKN同一_(2)10"/>
      <sheetName val="MK(鍛造無し)GKN同一_10"/>
      <sheetName val="MK(MA単)ｺｽﾄ_10"/>
      <sheetName val="MK(W_L,D)GKN同一10"/>
      <sheetName val="MK(W_L,D)ｺｽﾄ10"/>
      <sheetName val="CIVIC_1_7L(7ｶ国MA輸出)GKN同一10"/>
      <sheetName val="MK(鍛造時経)GKN同一_(2)13"/>
      <sheetName val="MK(鍛造無し)GKN同一_13"/>
      <sheetName val="MK(MA単)ｺｽﾄ_13"/>
      <sheetName val="MK(W_L,D)GKN同一13"/>
      <sheetName val="MK(W_L,D)ｺｽﾄ13"/>
      <sheetName val="CIVIC_1_7L(7ｶ国MA輸出)GKN同一13"/>
      <sheetName val="MK(鍛造時経)GKN同一_(2)12"/>
      <sheetName val="MK(鍛造無し)GKN同一_12"/>
      <sheetName val="MK(MA単)ｺｽﾄ_12"/>
      <sheetName val="MK(W_L,D)GKN同一12"/>
      <sheetName val="MK(W_L,D)ｺｽﾄ12"/>
      <sheetName val="CIVIC_1_7L(7ｶ国MA輸出)GKN同一12"/>
      <sheetName val="MK(鍛造時経)GKN同一_(2)17"/>
      <sheetName val="MK(鍛造無し)GKN同一_17"/>
      <sheetName val="MK(MA単)ｺｽﾄ_17"/>
      <sheetName val="MK(W_L,D)GKN同一17"/>
      <sheetName val="MK(W_L,D)ｺｽﾄ17"/>
      <sheetName val="CIVIC_1_7L(7ｶ国MA輸出)GKN同一17"/>
      <sheetName val="MK(鍛造時経)GKN同一_(2)15"/>
      <sheetName val="MK(鍛造無し)GKN同一_15"/>
      <sheetName val="MK(MA単)ｺｽﾄ_15"/>
      <sheetName val="MK(W_L,D)GKN同一15"/>
      <sheetName val="MK(W_L,D)ｺｽﾄ15"/>
      <sheetName val="CIVIC_1_7L(7ｶ国MA輸出)GKN同一15"/>
      <sheetName val="MK(鍛造時経)GKN同一_(2)14"/>
      <sheetName val="MK(鍛造無し)GKN同一_14"/>
      <sheetName val="MK(MA単)ｺｽﾄ_14"/>
      <sheetName val="MK(W_L,D)GKN同一14"/>
      <sheetName val="MK(W_L,D)ｺｽﾄ14"/>
      <sheetName val="CIVIC_1_7L(7ｶ国MA輸出)GKN同一14"/>
      <sheetName val="MK(鍛造時経)GKN同一_(2)16"/>
      <sheetName val="MK(鍛造無し)GKN同一_16"/>
      <sheetName val="MK(MA単)ｺｽﾄ_16"/>
      <sheetName val="MK(W_L,D)GKN同一16"/>
      <sheetName val="MK(W_L,D)ｺｽﾄ16"/>
      <sheetName val="CIVIC_1_7L(7ｶ国MA輸出)GKN同一16"/>
      <sheetName val="MK(鍛造時経)GKN同一_(2)18"/>
      <sheetName val="MK(鍛造無し)GKN同一_18"/>
      <sheetName val="MK(MA単)ｺｽﾄ_18"/>
      <sheetName val="MK(W_L,D)GKN同一18"/>
      <sheetName val="MK(W_L,D)ｺｽﾄ18"/>
      <sheetName val="CIVIC_1_7L(7ｶ国MA輸出)GKN同一18"/>
      <sheetName val="MK(鍛造時経)GKN同一_(2)19"/>
      <sheetName val="MK(鍛造無し)GKN同一_19"/>
      <sheetName val="MK(MA単)ｺｽﾄ_19"/>
      <sheetName val="MK(W_L,D)GKN同一19"/>
      <sheetName val="MK(W_L,D)ｺｽﾄ19"/>
      <sheetName val="CIVIC_1_7L(7ｶ国MA輸出)GKN同一19"/>
      <sheetName val="MK(鍛造時経)GKN同一_(2)21"/>
      <sheetName val="MK(鍛造無し)GKN同一_21"/>
      <sheetName val="MK(MA単)ｺｽﾄ_21"/>
      <sheetName val="MK(W_L,D)GKN同一21"/>
      <sheetName val="MK(W_L,D)ｺｽﾄ21"/>
      <sheetName val="CIVIC_1_7L(7ｶ国MA輸出)GKN同一21"/>
      <sheetName val="MK(鍛造時経)GKN同一_(2)20"/>
      <sheetName val="MK(鍛造無し)GKN同一_20"/>
      <sheetName val="MK(MA単)ｺｽﾄ_20"/>
      <sheetName val="MK(W_L,D)GKN同一20"/>
      <sheetName val="MK(W_L,D)ｺｽﾄ20"/>
      <sheetName val="CIVIC_1_7L(7ｶ国MA輸出)GKN同一20"/>
      <sheetName val="MK(鍛造時経)GKN同一_(2)25"/>
      <sheetName val="MK(鍛造無し)GKN同一_25"/>
      <sheetName val="MK(MA単)ｺｽﾄ_25"/>
      <sheetName val="MK(W_L,D)GKN同一25"/>
      <sheetName val="MK(W_L,D)ｺｽﾄ25"/>
      <sheetName val="CIVIC_1_7L(7ｶ国MA輸出)GKN同一25"/>
      <sheetName val="MK(鍛造時経)GKN同一_(2)22"/>
      <sheetName val="MK(鍛造無し)GKN同一_22"/>
      <sheetName val="MK(MA単)ｺｽﾄ_22"/>
      <sheetName val="MK(W_L,D)GKN同一22"/>
      <sheetName val="MK(W_L,D)ｺｽﾄ22"/>
      <sheetName val="CIVIC_1_7L(7ｶ国MA輸出)GKN同一22"/>
      <sheetName val="MK(鍛造時経)GKN同一_(2)24"/>
      <sheetName val="MK(鍛造無し)GKN同一_24"/>
      <sheetName val="MK(MA単)ｺｽﾄ_24"/>
      <sheetName val="MK(W_L,D)GKN同一24"/>
      <sheetName val="MK(W_L,D)ｺｽﾄ24"/>
      <sheetName val="CIVIC_1_7L(7ｶ国MA輸出)GKN同一24"/>
      <sheetName val="MK(鍛造時経)GKN同一_(2)23"/>
      <sheetName val="MK(鍛造無し)GKN同一_23"/>
      <sheetName val="MK(MA単)ｺｽﾄ_23"/>
      <sheetName val="MK(W_L,D)GKN同一23"/>
      <sheetName val="MK(W_L,D)ｺｽﾄ23"/>
      <sheetName val="CIVIC_1_7L(7ｶ国MA輸出)GKN同一23"/>
      <sheetName val="MK(鍛造時経)GKN同一_(2)32"/>
      <sheetName val="MK(鍛造無し)GKN同一_32"/>
      <sheetName val="MK(MA単)ｺｽﾄ_32"/>
      <sheetName val="MK(W_L,D)GKN同一32"/>
      <sheetName val="MK(W_L,D)ｺｽﾄ32"/>
      <sheetName val="CIVIC_1_7L(7ｶ国MA輸出)GKN同一32"/>
      <sheetName val="MK(鍛造時経)GKN同一_(2)31"/>
      <sheetName val="MK(鍛造無し)GKN同一_31"/>
      <sheetName val="MK(MA単)ｺｽﾄ_31"/>
      <sheetName val="MK(W_L,D)GKN同一31"/>
      <sheetName val="MK(W_L,D)ｺｽﾄ31"/>
      <sheetName val="CIVIC_1_7L(7ｶ国MA輸出)GKN同一31"/>
      <sheetName val="MK(鍛造時経)GKN同一_(2)30"/>
      <sheetName val="MK(鍛造無し)GKN同一_30"/>
      <sheetName val="MK(MA単)ｺｽﾄ_30"/>
      <sheetName val="MK(W_L,D)GKN同一30"/>
      <sheetName val="MK(W_L,D)ｺｽﾄ30"/>
      <sheetName val="CIVIC_1_7L(7ｶ国MA輸出)GKN同一30"/>
      <sheetName val="MK(鍛造時経)GKN同一_(2)27"/>
      <sheetName val="MK(鍛造無し)GKN同一_27"/>
      <sheetName val="MK(MA単)ｺｽﾄ_27"/>
      <sheetName val="MK(W_L,D)GKN同一27"/>
      <sheetName val="MK(W_L,D)ｺｽﾄ27"/>
      <sheetName val="CIVIC_1_7L(7ｶ国MA輸出)GKN同一27"/>
      <sheetName val="MK(鍛造時経)GKN同一_(2)26"/>
      <sheetName val="MK(鍛造無し)GKN同一_26"/>
      <sheetName val="MK(MA単)ｺｽﾄ_26"/>
      <sheetName val="MK(W_L,D)GKN同一26"/>
      <sheetName val="MK(W_L,D)ｺｽﾄ26"/>
      <sheetName val="CIVIC_1_7L(7ｶ国MA輸出)GKN同一26"/>
      <sheetName val="MK(鍛造時経)GKN同一_(2)28"/>
      <sheetName val="MK(鍛造無し)GKN同一_28"/>
      <sheetName val="MK(MA単)ｺｽﾄ_28"/>
      <sheetName val="MK(W_L,D)GKN同一28"/>
      <sheetName val="MK(W_L,D)ｺｽﾄ28"/>
      <sheetName val="CIVIC_1_7L(7ｶ国MA輸出)GKN同一28"/>
      <sheetName val="MK(鍛造時経)GKN同一_(2)29"/>
      <sheetName val="MK(鍛造無し)GKN同一_29"/>
      <sheetName val="MK(MA単)ｺｽﾄ_29"/>
      <sheetName val="MK(W_L,D)GKN同一29"/>
      <sheetName val="MK(W_L,D)ｺｽﾄ29"/>
      <sheetName val="CIVIC_1_7L(7ｶ国MA輸出)GKN同一29"/>
      <sheetName val="MK(鍛造時経)GKN同一_(2)33"/>
      <sheetName val="MK(鍛造無し)GKN同一_33"/>
      <sheetName val="MK(MA単)ｺｽﾄ_33"/>
      <sheetName val="MK(W_L,D)GKN同一33"/>
      <sheetName val="MK(W_L,D)ｺｽﾄ33"/>
      <sheetName val="CIVIC_1_7L(7ｶ国MA輸出)GKN同一33"/>
      <sheetName val="MK(鍛造時経)GKN同一_(2)34"/>
      <sheetName val="MK(鍛造無し)GKN同一_34"/>
      <sheetName val="MK(MA単)ｺｽﾄ_34"/>
      <sheetName val="MK(W_L,D)GKN同一34"/>
      <sheetName val="MK(W_L,D)ｺｽﾄ34"/>
      <sheetName val="CIVIC_1_7L(7ｶ国MA輸出)GKN同一34"/>
      <sheetName val="MK(鍛造時経)GKN同一_(2)36"/>
      <sheetName val="#REF"/>
      <sheetName val="Disposals"/>
      <sheetName val="MK(鍛造無し)GKN同一_35"/>
      <sheetName val="MK(MA単)ｺｽﾄ_35"/>
      <sheetName val="MK(W_L,D)GKN同一35"/>
      <sheetName val="MK(W_L,D)ｺｽﾄ35"/>
      <sheetName val="CIVIC_1_7L(7ｶ国MA輸出)GKN同一35"/>
      <sheetName val="MK(鍛造時経)GKN同一_(2)35"/>
      <sheetName val="Mort-08"/>
      <sheetName val="GeneralInfo"/>
      <sheetName val="p.mgmt"/>
      <sheetName val="TBM"/>
      <sheetName val="A"/>
      <sheetName val="MK(鍛造時経)GKN同一_(2)39"/>
      <sheetName val="MK(鍛造無し)GKN同一_39"/>
      <sheetName val="MK(MA単)ｺｽﾄ_39"/>
      <sheetName val="MK(W_L,D)GKN同一39"/>
      <sheetName val="MK(W_L,D)ｺｽﾄ39"/>
      <sheetName val="CIVIC_1_7L(7ｶ国MA輸出)GKN同一39"/>
      <sheetName val="Sheet1"/>
      <sheetName val="Format 90 Local"/>
      <sheetName val="Menu"/>
      <sheetName val="asia"/>
      <sheetName val="Penyusutan Kendaraan"/>
      <sheetName val="MFWP"/>
      <sheetName val="Account Code"/>
      <sheetName val="Ex-Rate"/>
      <sheetName val="WCrestated"/>
      <sheetName val="CIVIC 1.6L(7ｶ国MA輸出)ｺｽﾄ"/>
      <sheetName val="Family"/>
      <sheetName val="MK(鍛造時経)GKN同一_(2)37"/>
      <sheetName val="MK(鍛造無し)GKN同一_36"/>
      <sheetName val="MK(MA単)ｺｽﾄ_36"/>
      <sheetName val="MK(W_L,D)GKN同一36"/>
      <sheetName val="MK(W_L,D)ｺｽﾄ36"/>
      <sheetName val="CIVIC_1_7L(7ｶ国MA輸出)GKN同一36"/>
      <sheetName val="Table"/>
      <sheetName val="NHM5407"/>
      <sheetName val="년간업무"/>
      <sheetName val="02-Ikhtisar Keuangan-1&amp;2-i"/>
      <sheetName val="ｱ･太州計画MKｺｽﾄ"/>
      <sheetName val="コ－ポ月末 "/>
      <sheetName val="A1-B ASSETS"/>
      <sheetName val="ｬｰｴﾀｫeｴ｣"/>
      <sheetName val="Submission Form"/>
      <sheetName val="Monthly RecapLO"/>
      <sheetName val="Data"/>
      <sheetName val="ﾗｲﾝ一覧"/>
      <sheetName val="ﾗｲﾝ別工程一覧"/>
      <sheetName val="補助１"/>
      <sheetName val="設備一覧"/>
      <sheetName val="MK(鍛造時経)GKN同一_(2)38"/>
      <sheetName val="MK(鍛造無し)GKN同一_37"/>
      <sheetName val="MK(MA単)ｺｽﾄ_37"/>
      <sheetName val="MK(W_L,D)GKN同一37"/>
      <sheetName val="MK(W_L,D)ｺｽﾄ37"/>
      <sheetName val="CIVIC_1_7L(7ｶ国MA輸出)GKN同一37"/>
      <sheetName val="p_mgmt"/>
      <sheetName val="Format_90_Local"/>
      <sheetName val="Penyusutan_Kendaraan"/>
      <sheetName val="Account_Code"/>
      <sheetName val="CIVIC_1_6L(7ｶ国MA輸出)ｺｽﾄ"/>
      <sheetName val="WS"/>
      <sheetName val="XLR_NoRangeSheet"/>
      <sheetName val="経営指標"/>
      <sheetName val="レポートレイアウト"/>
      <sheetName val="Sheet3"/>
      <sheetName val="주주명부&lt;끝&gt;"/>
      <sheetName val="Monthly_RecapLO"/>
      <sheetName val="budget per type"/>
      <sheetName val="Permanent info"/>
      <sheetName val="FF-6"/>
      <sheetName val="02-Ikhtisar_Keuangan-1&amp;2-i"/>
      <sheetName val="LOOKUP"/>
      <sheetName val="基本情報ｄｂ"/>
      <sheetName val="財務諸表"/>
      <sheetName val="A1-B ASSET"/>
      <sheetName val="SCORE_RC_Code"/>
      <sheetName val="매출현황(월별)  (2)"/>
      <sheetName val="월간인력"/>
      <sheetName val="MK(鍛造時経)GKN同一_(2)41"/>
      <sheetName val="MK(鍛造無し)GKN同一_40"/>
      <sheetName val="MK(MA単)ｺｽﾄ_40"/>
      <sheetName val="MK(W_L,D)GKN同一40"/>
      <sheetName val="MK(W_L,D)ｺｽﾄ40"/>
      <sheetName val="CIVIC_1_7L(7ｶ国MA輸出)GKN同一40"/>
      <sheetName val="p_mgmt2"/>
      <sheetName val="Format_90_Local2"/>
      <sheetName val="Penyusutan_Kendaraan2"/>
      <sheetName val="Account_Code2"/>
      <sheetName val="CIVIC_1_6L(7ｶ国MA輸出)ｺｽﾄ2"/>
      <sheetName val="02-Ikhtisar_Keuangan-1&amp;2-i1"/>
      <sheetName val="A1-B_ASSETS1"/>
      <sheetName val="コ－ポ月末_1"/>
      <sheetName val="Submission_Form1"/>
      <sheetName val="Monthly_RecapLO2"/>
      <sheetName val="budget_per_type1"/>
      <sheetName val="Permanent_info1"/>
      <sheetName val="MK(鍛造時経)GKN同一_(2)40"/>
      <sheetName val="MK(鍛造無し)GKN同一_38"/>
      <sheetName val="MK(MA単)ｺｽﾄ_38"/>
      <sheetName val="MK(W_L,D)GKN同一38"/>
      <sheetName val="MK(W_L,D)ｺｽﾄ38"/>
      <sheetName val="CIVIC_1_7L(7ｶ国MA輸出)GKN同一38"/>
      <sheetName val="p_mgmt1"/>
      <sheetName val="Format_90_Local1"/>
      <sheetName val="Penyusutan_Kendaraan1"/>
      <sheetName val="Account_Code1"/>
      <sheetName val="CIVIC_1_6L(7ｶ国MA輸出)ｺｽﾄ1"/>
      <sheetName val="A1-B_ASSETS"/>
      <sheetName val="コ－ポ月末_"/>
      <sheetName val="Submission_Form"/>
      <sheetName val="Monthly_RecapLO1"/>
      <sheetName val="budget_per_type"/>
      <sheetName val="Permanent_info"/>
      <sheetName val="hs pipa"/>
      <sheetName val="WHT-21"/>
      <sheetName val="計算"/>
      <sheetName val="休日"/>
      <sheetName val="対象外品番"/>
      <sheetName val="納所受付"/>
      <sheetName val="マスタ"/>
      <sheetName val="按分マスタ"/>
      <sheetName val="入力フォーム"/>
      <sheetName val="COA"/>
      <sheetName val="TS"/>
      <sheetName val="지급어음"/>
      <sheetName val="Pain data"/>
      <sheetName val="Links"/>
      <sheetName val="CSD"/>
      <sheetName val="Raw data"/>
      <sheetName val="T.B"/>
      <sheetName val="MASTER STOK"/>
      <sheetName val="XREF"/>
      <sheetName val="산출근거1"/>
      <sheetName val="コストセンターテーブル"/>
      <sheetName val="A1-B_ASSET"/>
      <sheetName val="A1-B_ASSET1"/>
      <sheetName val="MK(鍛造時経)GKN同一_(2)42"/>
      <sheetName val="MK(鍛造無し)GKN同一_41"/>
      <sheetName val="MK(MA単)ｺｽﾄ_41"/>
      <sheetName val="MK(W_L,D)GKN同一41"/>
      <sheetName val="MK(W_L,D)ｺｽﾄ41"/>
      <sheetName val="CIVIC_1_7L(7ｶ国MA輸出)GKN同一41"/>
      <sheetName val="p_mgmt3"/>
      <sheetName val="Format_90_Local3"/>
      <sheetName val="Penyusutan_Kendaraan3"/>
      <sheetName val="Account_Code3"/>
      <sheetName val="CIVIC_1_6L(7ｶ国MA輸出)ｺｽﾄ3"/>
      <sheetName val="02-Ikhtisar_Keuangan-1&amp;2-i2"/>
      <sheetName val="コ－ポ月末_2"/>
      <sheetName val="A1-B_ASSETS2"/>
      <sheetName val="Submission_Form2"/>
      <sheetName val="Monthly_RecapLO3"/>
      <sheetName val="budget_per_type2"/>
      <sheetName val="Permanent_info2"/>
      <sheetName val="A1-B_ASSET2"/>
      <sheetName val="MK(鍛造時経)GKN同一_(2)43"/>
      <sheetName val="MK(鍛造無し)GKN同一_42"/>
      <sheetName val="MK(MA単)ｺｽﾄ_42"/>
      <sheetName val="MK(W_L,D)GKN同一42"/>
      <sheetName val="MK(W_L,D)ｺｽﾄ42"/>
      <sheetName val="CIVIC_1_7L(7ｶ国MA輸出)GKN同一42"/>
      <sheetName val="p_mgmt4"/>
      <sheetName val="Format_90_Local4"/>
      <sheetName val="Penyusutan_Kendaraan4"/>
      <sheetName val="Account_Code4"/>
      <sheetName val="CIVIC_1_6L(7ｶ国MA輸出)ｺｽﾄ4"/>
      <sheetName val="02-Ikhtisar_Keuangan-1&amp;2-i3"/>
      <sheetName val="コ－ポ月末_3"/>
      <sheetName val="A1-B_ASSETS3"/>
      <sheetName val="Submission_Form3"/>
      <sheetName val="Monthly_RecapLO4"/>
      <sheetName val="budget_per_type3"/>
      <sheetName val="Permanent_info3"/>
      <sheetName val="A1-B_ASSET3"/>
      <sheetName val="MK(鍛造時経)GKN同一_(2)47"/>
      <sheetName val="MK(鍛造無し)GKN同一_46"/>
      <sheetName val="MK(MA単)ｺｽﾄ_46"/>
      <sheetName val="MK(W_L,D)GKN同一46"/>
      <sheetName val="MK(W_L,D)ｺｽﾄ46"/>
      <sheetName val="CIVIC_1_7L(7ｶ国MA輸出)GKN同一46"/>
      <sheetName val="p_mgmt8"/>
      <sheetName val="Format_90_Local8"/>
      <sheetName val="Penyusutan_Kendaraan8"/>
      <sheetName val="Account_Code8"/>
      <sheetName val="CIVIC_1_6L(7ｶ国MA輸出)ｺｽﾄ8"/>
      <sheetName val="02-Ikhtisar_Keuangan-1&amp;2-i7"/>
      <sheetName val="コ－ポ月末_7"/>
      <sheetName val="A1-B_ASSETS7"/>
      <sheetName val="Submission_Form7"/>
      <sheetName val="Monthly_RecapLO8"/>
      <sheetName val="budget_per_type7"/>
      <sheetName val="Permanent_info7"/>
      <sheetName val="A1-B_ASSET7"/>
      <sheetName val="MK(鍛造時経)GKN同一_(2)44"/>
      <sheetName val="MK(鍛造無し)GKN同一_43"/>
      <sheetName val="MK(MA単)ｺｽﾄ_43"/>
      <sheetName val="MK(W_L,D)GKN同一43"/>
      <sheetName val="MK(W_L,D)ｺｽﾄ43"/>
      <sheetName val="CIVIC_1_7L(7ｶ国MA輸出)GKN同一43"/>
      <sheetName val="p_mgmt5"/>
      <sheetName val="Format_90_Local5"/>
      <sheetName val="Penyusutan_Kendaraan5"/>
      <sheetName val="Account_Code5"/>
      <sheetName val="CIVIC_1_6L(7ｶ国MA輸出)ｺｽﾄ5"/>
      <sheetName val="02-Ikhtisar_Keuangan-1&amp;2-i4"/>
      <sheetName val="コ－ポ月末_4"/>
      <sheetName val="A1-B_ASSETS4"/>
      <sheetName val="Submission_Form4"/>
      <sheetName val="Monthly_RecapLO5"/>
      <sheetName val="budget_per_type4"/>
      <sheetName val="Permanent_info4"/>
      <sheetName val="A1-B_ASSET4"/>
      <sheetName val="MK(鍛造時経)GKN同一_(2)45"/>
      <sheetName val="MK(鍛造無し)GKN同一_44"/>
      <sheetName val="MK(MA単)ｺｽﾄ_44"/>
      <sheetName val="MK(W_L,D)GKN同一44"/>
      <sheetName val="MK(W_L,D)ｺｽﾄ44"/>
      <sheetName val="CIVIC_1_7L(7ｶ国MA輸出)GKN同一44"/>
      <sheetName val="p_mgmt6"/>
      <sheetName val="Format_90_Local6"/>
      <sheetName val="Penyusutan_Kendaraan6"/>
      <sheetName val="Account_Code6"/>
      <sheetName val="CIVIC_1_6L(7ｶ国MA輸出)ｺｽﾄ6"/>
      <sheetName val="02-Ikhtisar_Keuangan-1&amp;2-i5"/>
      <sheetName val="コ－ポ月末_5"/>
      <sheetName val="A1-B_ASSETS5"/>
      <sheetName val="Submission_Form5"/>
      <sheetName val="Monthly_RecapLO6"/>
      <sheetName val="budget_per_type5"/>
      <sheetName val="Permanent_info5"/>
      <sheetName val="A1-B_ASSET5"/>
      <sheetName val="MK(鍛造時経)GKN同一_(2)46"/>
      <sheetName val="MK(鍛造無し)GKN同一_45"/>
      <sheetName val="MK(MA単)ｺｽﾄ_45"/>
      <sheetName val="MK(W_L,D)GKN同一45"/>
      <sheetName val="MK(W_L,D)ｺｽﾄ45"/>
      <sheetName val="CIVIC_1_7L(7ｶ国MA輸出)GKN同一45"/>
      <sheetName val="p_mgmt7"/>
      <sheetName val="Format_90_Local7"/>
      <sheetName val="Penyusutan_Kendaraan7"/>
      <sheetName val="Account_Code7"/>
      <sheetName val="CIVIC_1_6L(7ｶ国MA輸出)ｺｽﾄ7"/>
      <sheetName val="02-Ikhtisar_Keuangan-1&amp;2-i6"/>
      <sheetName val="コ－ポ月末_6"/>
      <sheetName val="A1-B_ASSETS6"/>
      <sheetName val="Submission_Form6"/>
      <sheetName val="Monthly_RecapLO7"/>
      <sheetName val="budget_per_type6"/>
      <sheetName val="Permanent_info6"/>
      <sheetName val="A1-B_ASSET6"/>
      <sheetName val="MK(鍛造時経)GKN同一_(2)48"/>
      <sheetName val="MK(鍛造無し)GKN同一_47"/>
      <sheetName val="MK(MA単)ｺｽﾄ_47"/>
      <sheetName val="MK(W_L,D)GKN同一47"/>
      <sheetName val="MK(W_L,D)ｺｽﾄ47"/>
      <sheetName val="CIVIC_1_7L(7ｶ国MA輸出)GKN同一47"/>
      <sheetName val="p_mgmt9"/>
      <sheetName val="Format_90_Local9"/>
      <sheetName val="Penyusutan_Kendaraan9"/>
      <sheetName val="Account_Code9"/>
      <sheetName val="CIVIC_1_6L(7ｶ国MA輸出)ｺｽﾄ9"/>
      <sheetName val="02-Ikhtisar_Keuangan-1&amp;2-i8"/>
      <sheetName val="コ－ポ月末_8"/>
      <sheetName val="A1-B_ASSETS8"/>
      <sheetName val="Submission_Form8"/>
      <sheetName val="Monthly_RecapLO9"/>
      <sheetName val="budget_per_type8"/>
      <sheetName val="Permanent_info8"/>
      <sheetName val="A1-B_ASSET8"/>
      <sheetName val="MK(鍛造時経)GKN同一_(2)49"/>
      <sheetName val="MK(鍛造無し)GKN同一_48"/>
      <sheetName val="MK(MA単)ｺｽﾄ_48"/>
      <sheetName val="MK(W_L,D)GKN同一48"/>
      <sheetName val="MK(W_L,D)ｺｽﾄ48"/>
      <sheetName val="CIVIC_1_7L(7ｶ国MA輸出)GKN同一48"/>
      <sheetName val="p_mgmt10"/>
      <sheetName val="Format_90_Local10"/>
      <sheetName val="Penyusutan_Kendaraan10"/>
      <sheetName val="Account_Code10"/>
      <sheetName val="CIVIC_1_6L(7ｶ国MA輸出)ｺｽﾄ10"/>
      <sheetName val="02-Ikhtisar_Keuangan-1&amp;2-i9"/>
      <sheetName val="コ－ポ月末_9"/>
      <sheetName val="A1-B_ASSETS9"/>
      <sheetName val="Submission_Form9"/>
      <sheetName val="Monthly_RecapLO10"/>
      <sheetName val="budget_per_type9"/>
      <sheetName val="Permanent_info9"/>
      <sheetName val="A1-B_ASSET9"/>
      <sheetName val="FKT_PJK"/>
      <sheetName val="hs_pipa"/>
      <sheetName val="매출현황(월별)__(2)"/>
      <sheetName val="K.6DEPOSIT"/>
      <sheetName val="TB-WP"/>
      <sheetName val="B28(old version)"/>
      <sheetName val="ロケーションコード一覧"/>
      <sheetName val="本部店番テーブル"/>
      <sheetName val="J"/>
      <sheetName val="Variables"/>
      <sheetName val="SCH12"/>
      <sheetName val="412src2"/>
      <sheetName val="APRIL'02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sept"/>
      <sheetName val="K2-FA"/>
      <sheetName val="현금"/>
      <sheetName val="MK(鍛造時経)GKN同一_(2)50"/>
      <sheetName val="MK(鍛造無し)GKN同一_49"/>
      <sheetName val="MK(MA単)ｺｽﾄ_49"/>
      <sheetName val="MK(W_L,D)GKN同一49"/>
      <sheetName val="MK(W_L,D)ｺｽﾄ49"/>
      <sheetName val="CIVIC_1_7L(7ｶ国MA輸出)GKN同一49"/>
      <sheetName val="p_mgmt11"/>
      <sheetName val="Format_90_Local11"/>
      <sheetName val="Penyusutan_Kendaraan11"/>
      <sheetName val="Account_Code11"/>
      <sheetName val="CIVIC_1_6L(7ｶ国MA輸出)ｺｽﾄ11"/>
      <sheetName val="02-Ikhtisar_Keuangan-1&amp;2-i10"/>
      <sheetName val="A1-B_ASSETS10"/>
      <sheetName val="コ－ポ月末_10"/>
      <sheetName val="Submission_Form10"/>
      <sheetName val="Monthly_RecapLO11"/>
      <sheetName val="Permanent_info10"/>
      <sheetName val="budget_per_type10"/>
      <sheetName val="A1-B_ASSET10"/>
      <sheetName val="Pain_data"/>
      <sheetName val="T_B"/>
      <sheetName val="MASTER_STOK"/>
      <sheetName val="Raw_data"/>
      <sheetName val="MK(鍛造時経)GKN同一_(2)51"/>
      <sheetName val="MK(鍛造無し)GKN同一_50"/>
      <sheetName val="MK(MA単)ｺｽﾄ_50"/>
      <sheetName val="MK(W_L,D)GKN同一50"/>
      <sheetName val="MK(W_L,D)ｺｽﾄ50"/>
      <sheetName val="CIVIC_1_7L(7ｶ国MA輸出)GKN同一50"/>
      <sheetName val="p_mgmt12"/>
      <sheetName val="Format_90_Local12"/>
      <sheetName val="Penyusutan_Kendaraan12"/>
      <sheetName val="Account_Code12"/>
      <sheetName val="CIVIC_1_6L(7ｶ国MA輸出)ｺｽﾄ12"/>
      <sheetName val="02-Ikhtisar_Keuangan-1&amp;2-i11"/>
      <sheetName val="A1-B_ASSETS11"/>
      <sheetName val="コ－ポ月末_11"/>
      <sheetName val="Submission_Form11"/>
      <sheetName val="Monthly_RecapLO12"/>
      <sheetName val="매출현황(월별)__(2)1"/>
      <sheetName val="Permanent_info11"/>
      <sheetName val="budget_per_type11"/>
      <sheetName val="A1-B_ASSET11"/>
      <sheetName val="hs_pipa1"/>
      <sheetName val="Pain_data1"/>
      <sheetName val="T_B1"/>
      <sheetName val="MASTER_STOK1"/>
      <sheetName val="Raw_data1"/>
      <sheetName val="MK(鍛造時経)GKN同一_(2)53"/>
      <sheetName val="MK(鍛造無し)GKN同一_52"/>
      <sheetName val="MK(MA単)ｺｽﾄ_52"/>
      <sheetName val="MK(W_L,D)GKN同一52"/>
      <sheetName val="MK(W_L,D)ｺｽﾄ52"/>
      <sheetName val="CIVIC_1_7L(7ｶ国MA輸出)GKN同一52"/>
      <sheetName val="p_mgmt14"/>
      <sheetName val="Format_90_Local14"/>
      <sheetName val="Penyusutan_Kendaraan14"/>
      <sheetName val="Account_Code14"/>
      <sheetName val="CIVIC_1_6L(7ｶ国MA輸出)ｺｽﾄ14"/>
      <sheetName val="02-Ikhtisar_Keuangan-1&amp;2-i13"/>
      <sheetName val="コ－ポ月末_13"/>
      <sheetName val="A1-B_ASSETS13"/>
      <sheetName val="Submission_Form13"/>
      <sheetName val="Monthly_RecapLO14"/>
      <sheetName val="budget_per_type13"/>
      <sheetName val="Permanent_info13"/>
      <sheetName val="A1-B_ASSET13"/>
      <sheetName val="매출현황(월별)__(2)3"/>
      <sheetName val="hs_pipa3"/>
      <sheetName val="Pain_data3"/>
      <sheetName val="T_B3"/>
      <sheetName val="MASTER_STOK3"/>
      <sheetName val="Raw_data3"/>
      <sheetName val="MK(鍛造時経)GKN同一_(2)52"/>
      <sheetName val="MK(鍛造無し)GKN同一_51"/>
      <sheetName val="MK(MA単)ｺｽﾄ_51"/>
      <sheetName val="MK(W_L,D)GKN同一51"/>
      <sheetName val="MK(W_L,D)ｺｽﾄ51"/>
      <sheetName val="CIVIC_1_7L(7ｶ国MA輸出)GKN同一51"/>
      <sheetName val="p_mgmt13"/>
      <sheetName val="Format_90_Local13"/>
      <sheetName val="Penyusutan_Kendaraan13"/>
      <sheetName val="Account_Code13"/>
      <sheetName val="CIVIC_1_6L(7ｶ国MA輸出)ｺｽﾄ13"/>
      <sheetName val="02-Ikhtisar_Keuangan-1&amp;2-i12"/>
      <sheetName val="コ－ポ月末_12"/>
      <sheetName val="A1-B_ASSETS12"/>
      <sheetName val="Submission_Form12"/>
      <sheetName val="Monthly_RecapLO13"/>
      <sheetName val="budget_per_type12"/>
      <sheetName val="Permanent_info12"/>
      <sheetName val="A1-B_ASSET12"/>
      <sheetName val="매출현황(월별)__(2)2"/>
      <sheetName val="hs_pipa2"/>
      <sheetName val="Pain_data2"/>
      <sheetName val="T_B2"/>
      <sheetName val="MASTER_STOK2"/>
      <sheetName val="Raw_data2"/>
      <sheetName val="1.Rollfwd"/>
      <sheetName val="Lead"/>
      <sheetName val="K_6DEPOSIT"/>
      <sheetName val="損益計算書(PL)"/>
      <sheetName val="DataSheet"/>
      <sheetName val="Acccounts"/>
      <sheetName val="master"/>
      <sheetName val="January"/>
      <sheetName val="C2"/>
      <sheetName val="Sheet2"/>
      <sheetName val="Sheet13"/>
      <sheetName val="GL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unan&amp;Instalasi"/>
      <sheetName val="Mesin"/>
      <sheetName val="Peralatan Pabrik"/>
      <sheetName val="Inv.kantor"/>
      <sheetName val="Pra Ops Pindah Mesin"/>
      <sheetName val="By. dibyr dimuka"/>
      <sheetName val="Kendaraan"/>
      <sheetName val="BS-Indo"/>
      <sheetName val="BS-Mand"/>
      <sheetName val="CTTN LK Indo"/>
      <sheetName val="CTTN LK MAND"/>
      <sheetName val="RL-Indo"/>
      <sheetName val="RL-Mand"/>
      <sheetName val="RL-Mand (Mr.Tsai)"/>
      <sheetName val="HPP Indo"/>
      <sheetName val="HPP MAND"/>
      <sheetName val="TB"/>
      <sheetName val="Sheet1 (2)"/>
      <sheetName val="Sheet1"/>
      <sheetName val="MK(W L,D)ｺｽﾄ"/>
      <sheetName val="Monthly Rec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Elim 23"/>
      <sheetName val="Elim 2020"/>
      <sheetName val="Elim 2021"/>
      <sheetName val="Elim 2022"/>
      <sheetName val="15. Utang Bank Jk. Pendek"/>
      <sheetName val="AJE CAJE 2023"/>
      <sheetName val="Sheet2"/>
      <sheetName val="Sheet4"/>
      <sheetName val="PL Konsol"/>
      <sheetName val="LPE Konsol"/>
      <sheetName val="BS Konsol"/>
      <sheetName val="Kombinasi Bisnis"/>
      <sheetName val="WS Des Konsol Update"/>
      <sheetName val="CF Konsol Direct"/>
      <sheetName val="KK CF Konsol  21"/>
      <sheetName val="KK Des Konsol 2022"/>
      <sheetName val="KK CF Konsol Dec 23"/>
      <sheetName val="27. Pendapatan (Beban) Lainnya"/>
      <sheetName val="PL Induk"/>
      <sheetName val="WS Induk"/>
      <sheetName val="BS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heet1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4">
          <cell r="M14">
            <v>4972845584</v>
          </cell>
        </row>
        <row r="37">
          <cell r="I37">
            <v>74113104582</v>
          </cell>
          <cell r="K37">
            <v>84248284795</v>
          </cell>
        </row>
        <row r="46">
          <cell r="I46">
            <v>7871477182</v>
          </cell>
          <cell r="K46">
            <v>8186336269</v>
          </cell>
        </row>
        <row r="48">
          <cell r="I48">
            <v>1790182139</v>
          </cell>
          <cell r="K48">
            <v>1508277305</v>
          </cell>
        </row>
        <row r="75">
          <cell r="M75">
            <v>0</v>
          </cell>
        </row>
        <row r="108">
          <cell r="I108">
            <v>40000000000</v>
          </cell>
          <cell r="K108">
            <v>40000000000</v>
          </cell>
          <cell r="M108">
            <v>40000000000</v>
          </cell>
        </row>
        <row r="109">
          <cell r="I109">
            <v>49739416785</v>
          </cell>
          <cell r="K109">
            <v>25871690669</v>
          </cell>
          <cell r="M109">
            <v>25871690669</v>
          </cell>
        </row>
        <row r="110">
          <cell r="K110">
            <v>23406501672.86277</v>
          </cell>
          <cell r="M110">
            <v>22389615460.398544</v>
          </cell>
        </row>
        <row r="111">
          <cell r="I111">
            <v>-377072852</v>
          </cell>
          <cell r="K111">
            <v>-368797440</v>
          </cell>
          <cell r="M111">
            <v>-611495277</v>
          </cell>
        </row>
        <row r="113">
          <cell r="I113">
            <v>410000000</v>
          </cell>
          <cell r="K113">
            <v>410000000</v>
          </cell>
          <cell r="M113">
            <v>0</v>
          </cell>
        </row>
        <row r="114">
          <cell r="I114">
            <v>19521729836.5</v>
          </cell>
          <cell r="K114">
            <v>18237502879.13723</v>
          </cell>
          <cell r="M114">
            <v>13426333849.601454</v>
          </cell>
        </row>
      </sheetData>
      <sheetData sheetId="39"/>
      <sheetData sheetId="40">
        <row r="57">
          <cell r="AR57">
            <v>22532809247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2">
          <cell r="B12">
            <v>231199635068.4707</v>
          </cell>
        </row>
        <row r="13">
          <cell r="B13">
            <v>-213310665764.46292</v>
          </cell>
        </row>
        <row r="14">
          <cell r="AU14">
            <v>-5470819837</v>
          </cell>
        </row>
        <row r="15">
          <cell r="B15">
            <v>-21446181850.551315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20">
          <cell r="B20">
            <v>-3024695925</v>
          </cell>
        </row>
        <row r="21">
          <cell r="B21">
            <v>-1901899520.4564457</v>
          </cell>
        </row>
        <row r="28">
          <cell r="B28">
            <v>-862722001</v>
          </cell>
        </row>
        <row r="29">
          <cell r="B29">
            <v>-4598783202</v>
          </cell>
        </row>
        <row r="38">
          <cell r="B38">
            <v>6138558333</v>
          </cell>
        </row>
        <row r="39">
          <cell r="B39">
            <v>-3075000000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JE CAJE Juni 23"/>
      <sheetName val="AJE CAJE Juni 24"/>
      <sheetName val="AJE CAJE Sept 23"/>
      <sheetName val="AJE CAJE Sept 24"/>
      <sheetName val="AJE CAJE Des 24"/>
      <sheetName val="AJE-CAJE-Des Audit"/>
      <sheetName val="WS"/>
      <sheetName val="BS"/>
      <sheetName val="DTA 24"/>
      <sheetName val="PL"/>
      <sheetName val="LPE"/>
      <sheetName val="BIAYA IPO"/>
      <sheetName val="Sheet1"/>
      <sheetName val="CF"/>
      <sheetName val="CF 2024"/>
      <sheetName val="CF 2023"/>
      <sheetName val="Korfis IAS Des 24"/>
      <sheetName val="SPT Badan"/>
      <sheetName val="Kas dan Bank"/>
      <sheetName val="Piutang Usaha"/>
      <sheetName val="Piutang Lain-lain"/>
      <sheetName val="Persediaan"/>
      <sheetName val="Investasi Pada Entitas Asosiasi"/>
      <sheetName val="Utang Usaha"/>
      <sheetName val="Liabilitas Imbalan PascaKerja"/>
      <sheetName val="Utang Lain-lain"/>
      <sheetName val="Beban Akrual"/>
      <sheetName val="Pajak"/>
      <sheetName val="Utang Bank"/>
      <sheetName val="Pajak Tangguhan"/>
      <sheetName val="COGS"/>
      <sheetName val="Penjualan"/>
      <sheetName val="Beban Umum &amp; Administrasi"/>
      <sheetName val="Beban Bunga dan Keuangan"/>
      <sheetName val="Pendapatan (Beban) Lain-lain "/>
      <sheetName val="Penghasilan Komprehensif L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7">
          <cell r="G17">
            <v>63840197.960000001</v>
          </cell>
        </row>
        <row r="21">
          <cell r="J21">
            <v>11358886.880000001</v>
          </cell>
        </row>
      </sheetData>
      <sheetData sheetId="6">
        <row r="134">
          <cell r="R134">
            <v>2279080723.9760413</v>
          </cell>
        </row>
        <row r="381">
          <cell r="Q381">
            <v>202933926</v>
          </cell>
        </row>
        <row r="382">
          <cell r="Q382">
            <v>20534000</v>
          </cell>
        </row>
        <row r="384">
          <cell r="Q384">
            <v>44726209</v>
          </cell>
        </row>
        <row r="387">
          <cell r="Q387">
            <v>295770</v>
          </cell>
        </row>
        <row r="388">
          <cell r="Q388">
            <v>8493757952</v>
          </cell>
        </row>
        <row r="391">
          <cell r="Q391">
            <v>2268968473.9760413</v>
          </cell>
        </row>
        <row r="420">
          <cell r="Q420">
            <v>313949059</v>
          </cell>
        </row>
        <row r="421">
          <cell r="Q421">
            <v>3962378187</v>
          </cell>
        </row>
        <row r="422">
          <cell r="Q422">
            <v>332597853</v>
          </cell>
        </row>
        <row r="423">
          <cell r="Q423">
            <v>432045000</v>
          </cell>
        </row>
        <row r="446">
          <cell r="Q446">
            <v>290182718</v>
          </cell>
          <cell r="AB446">
            <v>279583328</v>
          </cell>
        </row>
        <row r="457">
          <cell r="Q457">
            <v>10112250</v>
          </cell>
          <cell r="AB457">
            <v>19295242</v>
          </cell>
        </row>
        <row r="458">
          <cell r="Q458">
            <v>0</v>
          </cell>
        </row>
        <row r="459">
          <cell r="Q459">
            <v>0</v>
          </cell>
        </row>
        <row r="460">
          <cell r="Q460">
            <v>0</v>
          </cell>
        </row>
        <row r="461">
          <cell r="Q461">
            <v>0</v>
          </cell>
        </row>
        <row r="462">
          <cell r="Q462">
            <v>0</v>
          </cell>
        </row>
        <row r="463">
          <cell r="Q463">
            <v>0</v>
          </cell>
        </row>
        <row r="464">
          <cell r="Q464">
            <v>0</v>
          </cell>
        </row>
        <row r="465">
          <cell r="Q465">
            <v>0</v>
          </cell>
        </row>
        <row r="484">
          <cell r="Q484">
            <v>-824280152.66947699</v>
          </cell>
          <cell r="AB484">
            <v>0</v>
          </cell>
        </row>
        <row r="499">
          <cell r="Q499">
            <v>51631304</v>
          </cell>
          <cell r="AB499">
            <v>-5379083</v>
          </cell>
        </row>
      </sheetData>
      <sheetData sheetId="7">
        <row r="30">
          <cell r="H30">
            <v>136427236.28474811</v>
          </cell>
        </row>
        <row r="65">
          <cell r="H65">
            <v>2886297350</v>
          </cell>
          <cell r="L65">
            <v>2647745936</v>
          </cell>
        </row>
      </sheetData>
      <sheetData sheetId="8" refreshError="1"/>
      <sheetData sheetId="9">
        <row r="24">
          <cell r="F24">
            <v>-117501435.627285</v>
          </cell>
        </row>
      </sheetData>
      <sheetData sheetId="10">
        <row r="65">
          <cell r="F65">
            <v>14500000000</v>
          </cell>
        </row>
        <row r="67">
          <cell r="I67">
            <v>58000000000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JE CAJE Juni 23"/>
      <sheetName val="AJE CAJE Juni 24"/>
      <sheetName val="AJE CAJE Sept 23"/>
      <sheetName val="AJE CAJE Sept 24"/>
      <sheetName val="AJE CAJE Des 24"/>
      <sheetName val="CKPN PT IAS Trade Receivable"/>
      <sheetName val="AJE-CAJE-Des Audit"/>
      <sheetName val="WS"/>
      <sheetName val="BS"/>
      <sheetName val="DTA 24"/>
      <sheetName val="DTA 1"/>
      <sheetName val="PL"/>
      <sheetName val="LPE"/>
      <sheetName val="BIAYA IPO"/>
      <sheetName val="Sheet1"/>
      <sheetName val="CF"/>
      <sheetName val="CF 2024"/>
      <sheetName val="CF 2023"/>
      <sheetName val="Korfis IAS Des 24"/>
      <sheetName val="SPT Badan"/>
      <sheetName val="Kas dan Bank"/>
      <sheetName val="Piutang Usaha"/>
      <sheetName val="Piutang Lain-lain"/>
      <sheetName val="Persediaan"/>
      <sheetName val="Investasi Pada Entitas Asosiasi"/>
      <sheetName val="Utang Usaha"/>
      <sheetName val="Liabilitas Imbalan PascaKerja"/>
      <sheetName val="Utang Lain-lain"/>
      <sheetName val="Beban Akrual"/>
      <sheetName val="Pajak"/>
      <sheetName val="Utang Bank"/>
      <sheetName val="Pajak Tangguhan"/>
      <sheetName val="COGS"/>
      <sheetName val="Penjualan"/>
      <sheetName val="Beban Umum &amp; Administrasi"/>
      <sheetName val="Beban Bunga dan Keuangan"/>
      <sheetName val="Pendapatan (Beban) Lain-lain "/>
      <sheetName val="Penghasilan Komprehensif L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1">
          <cell r="H31">
            <v>357177376.15203309</v>
          </cell>
        </row>
      </sheetData>
      <sheetData sheetId="9"/>
      <sheetData sheetId="10"/>
      <sheetData sheetId="11">
        <row r="24">
          <cell r="F24">
            <v>103248704.24000001</v>
          </cell>
        </row>
        <row r="28">
          <cell r="F28">
            <v>11358886.880000001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15. Perpajakan 2022 - 2021"/>
      <sheetName val="TAX 23"/>
      <sheetName val="RJE CAJE AJE_Desember 2020"/>
      <sheetName val="RJE CAJE AJE_Desember 2019"/>
      <sheetName val="Korfis ISP 23- 20"/>
      <sheetName val="RJE CAJE AJE_Desember 2023"/>
      <sheetName val="Korfis Jan 23-24"/>
      <sheetName val="RJE CAJE AJE_Januari 2023"/>
      <sheetName val="RJE CAJE AJE_Januari 2024"/>
      <sheetName val="RJE CAJE AJE_Desember 2022"/>
      <sheetName val="RJE CAJE AJE_Desember 2021"/>
      <sheetName val="Korfis JUNI 23-24"/>
      <sheetName val="RJE CAJE AJE_JUNI 2024"/>
      <sheetName val="RJE CAJE AJE_JUNI 2023"/>
      <sheetName val="WBS "/>
      <sheetName val="BS 2023-Juni 24"/>
      <sheetName val="PL 2023-Juni24"/>
      <sheetName val="CF MAR 24"/>
      <sheetName val="CF Des 2023"/>
      <sheetName val="LPE 2023"/>
      <sheetName val="CF 2023"/>
      <sheetName val="BS 2022"/>
      <sheetName val="PL 2022"/>
      <sheetName val="LPE 2022"/>
      <sheetName val="CF 2022"/>
      <sheetName val="CF Des 2022"/>
      <sheetName val="CF Des 2021"/>
      <sheetName val="PPh 4(2)"/>
      <sheetName val="UM PPh 22"/>
      <sheetName val="PPh 23 &amp; 26"/>
      <sheetName val="PPh 22"/>
      <sheetName val="PPN"/>
      <sheetName val="PPh 21"/>
      <sheetName val="CF Des 2020"/>
      <sheetName val="11. Aset Tetap"/>
      <sheetName val="4. Kas dan Bank"/>
      <sheetName val="5. Piutang Usaha"/>
      <sheetName val="6. Piutang Lain - Lain"/>
      <sheetName val="7. Persediaan"/>
      <sheetName val="8. Biaya dibayar dimuka"/>
      <sheetName val="9. Uang Muka Pembelian"/>
      <sheetName val="10. Aset Biologis"/>
      <sheetName val="12. Utang Usaha"/>
      <sheetName val="13. Utang Lain - Lain "/>
      <sheetName val="14. Biaya YMH dibayar"/>
      <sheetName val="15. Perpajakan"/>
      <sheetName val="16. Liabilitas IPK "/>
      <sheetName val="17. Utang Bank Jk. Pendek"/>
      <sheetName val="18. Utang Bank Jk. Panjang"/>
      <sheetName val="19. Utang Lain2 Pihak ke 3"/>
      <sheetName val="20. Modal Saham"/>
      <sheetName val="21. Tambahan Modal Disetor"/>
      <sheetName val="22. Penjualan"/>
      <sheetName val="23. H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3">
          <cell r="AF143">
            <v>94699458944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AJE CAJE 2023"/>
      <sheetName val="Elim 23"/>
      <sheetName val="Elim 2020"/>
      <sheetName val="Elim 2021"/>
      <sheetName val="Elim 2022"/>
      <sheetName val="15. Utang Bank Jk. Pendek"/>
      <sheetName val="BS Konsol"/>
      <sheetName val="PL Konsol"/>
      <sheetName val="Sheet2"/>
      <sheetName val="Sheet4"/>
      <sheetName val="WS Des Konsol Update"/>
      <sheetName val="LPE Konsol"/>
      <sheetName val="Kombinasi Bisnis"/>
      <sheetName val="CF Konsol Direct"/>
      <sheetName val="KK CF Konsol  21"/>
      <sheetName val="KK Des Konsol 2022"/>
      <sheetName val="KK CF Konsol Dec 23"/>
      <sheetName val="27. Pendapatan (Beban) Lainnya"/>
      <sheetName val="PL Induk"/>
      <sheetName val="WS Induk"/>
      <sheetName val="BS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5">
          <cell r="B15">
            <v>29220772912.000164</v>
          </cell>
          <cell r="D15">
            <v>23653006157.601456</v>
          </cell>
        </row>
      </sheetData>
      <sheetData sheetId="29"/>
      <sheetData sheetId="30"/>
      <sheetData sheetId="31"/>
      <sheetData sheetId="32"/>
      <sheetData sheetId="33"/>
      <sheetData sheetId="34"/>
      <sheetData sheetId="35">
        <row r="55">
          <cell r="I55">
            <v>345325322995</v>
          </cell>
          <cell r="K55">
            <v>307658424230</v>
          </cell>
          <cell r="M55">
            <v>262715700578</v>
          </cell>
        </row>
        <row r="122">
          <cell r="I122">
            <v>109294073769.5</v>
          </cell>
          <cell r="K122">
            <v>107556897781</v>
          </cell>
          <cell r="M122">
            <v>101076144702</v>
          </cell>
        </row>
      </sheetData>
      <sheetData sheetId="36">
        <row r="11">
          <cell r="J11">
            <v>199286842851</v>
          </cell>
          <cell r="L11">
            <v>382404162237</v>
          </cell>
          <cell r="N11">
            <v>303977805680</v>
          </cell>
        </row>
        <row r="36">
          <cell r="J36">
            <v>2090962505.0001652</v>
          </cell>
          <cell r="L36">
            <v>5211169029.5357742</v>
          </cell>
          <cell r="N36">
            <v>3335251971.6014543</v>
          </cell>
        </row>
      </sheetData>
      <sheetData sheetId="37"/>
      <sheetData sheetId="38"/>
      <sheetData sheetId="39">
        <row r="7">
          <cell r="U7">
            <v>307658424230</v>
          </cell>
        </row>
        <row r="245">
          <cell r="K245">
            <v>345325322995</v>
          </cell>
        </row>
        <row r="486">
          <cell r="Y486">
            <v>2344585403.3985457</v>
          </cell>
        </row>
        <row r="494">
          <cell r="Q494"/>
        </row>
        <row r="716">
          <cell r="O716">
            <v>154448541.83947754</v>
          </cell>
          <cell r="Y716">
            <v>-6224145.2053832998</v>
          </cell>
        </row>
        <row r="719">
          <cell r="O719">
            <v>33978679.204685099</v>
          </cell>
          <cell r="Y719">
            <v>-1369311.9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">
          <cell r="B1" t="str">
            <v xml:space="preserve">PT INDO AMERICAN SEAFOODS 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30">
          <cell r="G30">
            <v>6.5139612869197174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AJE CAJE 2023"/>
      <sheetName val="Elim 23"/>
      <sheetName val="Elim 2020"/>
      <sheetName val="Elim 2021"/>
      <sheetName val="Elim 2022"/>
      <sheetName val="15. Utang Bank Jk. Pendek"/>
      <sheetName val="BS Konsol"/>
      <sheetName val="PL Konsol"/>
      <sheetName val="Sheet2"/>
      <sheetName val="Sheet4"/>
      <sheetName val="WS Des Konsol Update"/>
      <sheetName val="LPE Konsol"/>
      <sheetName val="Kombinasi Bisnis"/>
      <sheetName val="CF Konsol Direct"/>
      <sheetName val="KK CF Konsol  21"/>
      <sheetName val="KK Des Konsol 2022"/>
      <sheetName val="KK CF Konsol Dec 23"/>
      <sheetName val="27. Pendapatan (Beban) Lainnya"/>
      <sheetName val="PL Induk"/>
      <sheetName val="WS Induk"/>
      <sheetName val="BS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heet1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101">
          <cell r="K101" t="str">
            <v>2022</v>
          </cell>
        </row>
        <row r="119">
          <cell r="O119">
            <v>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AJE CAJE 2023"/>
      <sheetName val="Elim 23"/>
      <sheetName val="Elim 2020"/>
      <sheetName val="Elim 2021"/>
      <sheetName val="Elim 2022"/>
      <sheetName val="15. Utang Bank Jk. Pendek"/>
      <sheetName val="Elim Maret 24"/>
      <sheetName val="Elim Maret 23"/>
      <sheetName val="WS Des Konsol Update"/>
      <sheetName val="BS Konsol"/>
      <sheetName val="PL Konsol"/>
      <sheetName val="Sheet2"/>
      <sheetName val="Sheet4"/>
      <sheetName val="LPE Konsol"/>
      <sheetName val="Kombinasi Bisnis"/>
      <sheetName val="CF Konsol Direct"/>
      <sheetName val="KK CF Konsol Maret 23"/>
      <sheetName val="KK CF Konsol Maret 24"/>
      <sheetName val="KK CF Konsol  21"/>
      <sheetName val="KK Des Konsol 2022"/>
      <sheetName val="KK CF Konsol Dec 23"/>
      <sheetName val="27. Pendapatan (Beban) Lainnya"/>
      <sheetName val="WS Induk"/>
      <sheetName val="BS Induk"/>
      <sheetName val="PL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heet1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3">
          <cell r="K23"/>
          <cell r="Q23"/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B049-764D-494C-9166-DB69EE172515}">
  <sheetPr>
    <tabColor theme="7" tint="0.39997558519241921"/>
  </sheetPr>
  <dimension ref="A1:J239"/>
  <sheetViews>
    <sheetView showGridLines="0" zoomScale="93" workbookViewId="0">
      <pane xSplit="4" ySplit="5" topLeftCell="I70" activePane="bottomRight" state="frozen"/>
      <selection pane="bottomRight" activeCell="K12" sqref="K12:N82"/>
      <selection pane="bottomLeft" activeCell="A6" sqref="A6"/>
      <selection pane="topRight" activeCell="E1" sqref="E1"/>
    </sheetView>
  </sheetViews>
  <sheetFormatPr defaultRowHeight="14.45"/>
  <cols>
    <col min="1" max="1" width="9.5703125" customWidth="1"/>
    <col min="2" max="2" width="6.42578125" bestFit="1" customWidth="1"/>
    <col min="3" max="3" width="4.42578125" customWidth="1"/>
    <col min="4" max="4" width="35.42578125" customWidth="1"/>
    <col min="5" max="5" width="8" bestFit="1" customWidth="1"/>
    <col min="6" max="9" width="19.5703125" customWidth="1"/>
    <col min="10" max="10" width="38.5703125" customWidth="1"/>
    <col min="11" max="11" width="10.5703125" customWidth="1"/>
  </cols>
  <sheetData>
    <row r="1" spans="1:10">
      <c r="A1" s="342" t="s">
        <v>0</v>
      </c>
      <c r="F1" s="121"/>
      <c r="G1" s="121"/>
      <c r="H1" s="121"/>
      <c r="I1" s="121"/>
    </row>
    <row r="2" spans="1:10">
      <c r="F2" s="121"/>
      <c r="G2" s="121"/>
      <c r="H2" s="121"/>
      <c r="I2" s="121"/>
    </row>
    <row r="3" spans="1:10">
      <c r="F3" s="121"/>
      <c r="G3" s="121"/>
      <c r="H3" s="121"/>
      <c r="I3" s="121"/>
    </row>
    <row r="4" spans="1:10">
      <c r="A4" s="2331" t="s">
        <v>1</v>
      </c>
      <c r="B4" s="2331" t="s">
        <v>2</v>
      </c>
      <c r="C4" s="2334" t="s">
        <v>3</v>
      </c>
      <c r="D4" s="2335"/>
      <c r="E4" s="2338" t="s">
        <v>4</v>
      </c>
      <c r="F4" s="2340" t="s">
        <v>5</v>
      </c>
      <c r="G4" s="2341"/>
      <c r="H4" s="2342" t="s">
        <v>6</v>
      </c>
      <c r="I4" s="2342"/>
      <c r="J4" s="2331" t="s">
        <v>7</v>
      </c>
    </row>
    <row r="5" spans="1:10">
      <c r="A5" s="2333"/>
      <c r="B5" s="2333"/>
      <c r="C5" s="2336"/>
      <c r="D5" s="2337"/>
      <c r="E5" s="2339"/>
      <c r="F5" s="594" t="s">
        <v>8</v>
      </c>
      <c r="G5" s="594" t="s">
        <v>9</v>
      </c>
      <c r="H5" s="595" t="s">
        <v>8</v>
      </c>
      <c r="I5" s="595" t="s">
        <v>9</v>
      </c>
      <c r="J5" s="2332"/>
    </row>
    <row r="6" spans="1:10">
      <c r="A6" s="597"/>
      <c r="B6" s="597"/>
      <c r="C6" s="598"/>
      <c r="D6" s="599"/>
      <c r="E6" s="597"/>
      <c r="F6" s="597"/>
      <c r="G6" s="597"/>
      <c r="H6" s="597"/>
      <c r="I6" s="597"/>
      <c r="J6" s="597"/>
    </row>
    <row r="7" spans="1:10">
      <c r="A7" s="597" t="s">
        <v>10</v>
      </c>
      <c r="B7" s="597"/>
      <c r="C7" s="599" t="s">
        <v>11</v>
      </c>
      <c r="D7" s="599"/>
      <c r="E7" s="597"/>
      <c r="F7" s="600">
        <v>97221191334</v>
      </c>
      <c r="G7" s="600"/>
      <c r="H7" s="600"/>
      <c r="I7" s="600"/>
      <c r="J7" s="597" t="s">
        <v>12</v>
      </c>
    </row>
    <row r="8" spans="1:10">
      <c r="A8" s="597" t="str">
        <f>A7</f>
        <v>ELIM 1</v>
      </c>
      <c r="B8" s="597"/>
      <c r="C8" s="598"/>
      <c r="D8" s="599" t="s">
        <v>13</v>
      </c>
      <c r="E8" s="597"/>
      <c r="F8" s="600"/>
      <c r="G8" s="600">
        <f>F7</f>
        <v>97221191334</v>
      </c>
      <c r="H8" s="600"/>
      <c r="I8" s="600"/>
      <c r="J8" s="597" t="str">
        <f>J7</f>
        <v xml:space="preserve">Eleminasi Utang Piutang Keuangan </v>
      </c>
    </row>
    <row r="9" spans="1:10">
      <c r="A9" s="597"/>
      <c r="B9" s="597"/>
      <c r="C9" s="598"/>
      <c r="D9" s="599"/>
      <c r="E9" s="597"/>
      <c r="F9" s="597"/>
      <c r="G9" s="597"/>
      <c r="H9" s="597"/>
      <c r="I9" s="597"/>
      <c r="J9" s="597"/>
    </row>
    <row r="10" spans="1:10">
      <c r="A10" s="597" t="s">
        <v>14</v>
      </c>
      <c r="B10" s="597"/>
      <c r="C10" s="598" t="s">
        <v>15</v>
      </c>
      <c r="D10" s="599"/>
      <c r="E10" s="597"/>
      <c r="F10" s="600">
        <v>39815441380</v>
      </c>
      <c r="G10" s="600"/>
      <c r="H10" s="600"/>
      <c r="I10" s="600"/>
      <c r="J10" s="597" t="s">
        <v>16</v>
      </c>
    </row>
    <row r="11" spans="1:10">
      <c r="A11" s="597" t="str">
        <f>A10</f>
        <v>ELIM 2</v>
      </c>
      <c r="B11" s="597"/>
      <c r="C11" s="598"/>
      <c r="D11" s="599" t="s">
        <v>17</v>
      </c>
      <c r="E11" s="597"/>
      <c r="F11" s="600"/>
      <c r="G11" s="600">
        <f>F10</f>
        <v>39815441380</v>
      </c>
      <c r="H11" s="600"/>
      <c r="I11" s="600"/>
      <c r="J11" s="597" t="str">
        <f>J10</f>
        <v xml:space="preserve">Eleminasi Utang Piutang </v>
      </c>
    </row>
    <row r="12" spans="1:10">
      <c r="A12" s="597"/>
      <c r="B12" s="597"/>
      <c r="C12" s="598"/>
      <c r="D12" s="599"/>
      <c r="E12" s="597"/>
      <c r="F12" s="597"/>
      <c r="G12" s="597"/>
      <c r="H12" s="597"/>
      <c r="I12" s="597"/>
      <c r="J12" s="597"/>
    </row>
    <row r="13" spans="1:10">
      <c r="A13" s="597" t="s">
        <v>18</v>
      </c>
      <c r="B13" s="597"/>
      <c r="C13" s="598" t="s">
        <v>17</v>
      </c>
      <c r="D13" s="599"/>
      <c r="E13" s="597"/>
      <c r="F13" s="600">
        <v>7507763245</v>
      </c>
      <c r="G13" s="600"/>
      <c r="H13" s="600"/>
      <c r="I13" s="600"/>
      <c r="J13" s="597" t="s">
        <v>16</v>
      </c>
    </row>
    <row r="14" spans="1:10">
      <c r="A14" s="597" t="str">
        <f>A13</f>
        <v>ELIM 3</v>
      </c>
      <c r="B14" s="597"/>
      <c r="C14" s="598"/>
      <c r="D14" s="599" t="s">
        <v>15</v>
      </c>
      <c r="E14" s="597"/>
      <c r="F14" s="600"/>
      <c r="G14" s="600">
        <f>F13</f>
        <v>7507763245</v>
      </c>
      <c r="H14" s="600"/>
      <c r="I14" s="600"/>
      <c r="J14" s="597" t="str">
        <f>J13</f>
        <v xml:space="preserve">Eleminasi Utang Piutang </v>
      </c>
    </row>
    <row r="15" spans="1:10">
      <c r="A15" s="597"/>
      <c r="B15" s="597"/>
      <c r="C15" s="598"/>
      <c r="D15" s="599"/>
      <c r="E15" s="597"/>
      <c r="F15" s="597"/>
      <c r="G15" s="597"/>
      <c r="H15" s="597"/>
      <c r="I15" s="597"/>
      <c r="J15" s="597"/>
    </row>
    <row r="16" spans="1:10">
      <c r="A16" s="597" t="s">
        <v>19</v>
      </c>
      <c r="B16" s="597"/>
      <c r="C16" s="598" t="s">
        <v>20</v>
      </c>
      <c r="D16" s="599"/>
      <c r="E16" s="597"/>
      <c r="F16" s="600"/>
      <c r="G16" s="600"/>
      <c r="H16" s="600">
        <v>52200380108</v>
      </c>
      <c r="I16" s="600"/>
      <c r="J16" s="597" t="s">
        <v>21</v>
      </c>
    </row>
    <row r="17" spans="1:10">
      <c r="A17" s="597" t="str">
        <f>A16</f>
        <v>ELIM 4</v>
      </c>
      <c r="B17" s="597"/>
      <c r="C17" s="598" t="s">
        <v>22</v>
      </c>
      <c r="D17" s="599"/>
      <c r="E17" s="597"/>
      <c r="F17" s="600"/>
      <c r="G17" s="600"/>
      <c r="H17" s="600">
        <v>311335980</v>
      </c>
      <c r="I17" s="600"/>
      <c r="J17" s="597" t="str">
        <f>J16</f>
        <v>Eleminasi Penjualan ISP to IAS</v>
      </c>
    </row>
    <row r="18" spans="1:10">
      <c r="A18" s="597" t="str">
        <f t="shared" ref="A18:A20" si="0">A17</f>
        <v>ELIM 4</v>
      </c>
      <c r="B18" s="597"/>
      <c r="C18" s="598" t="s">
        <v>23</v>
      </c>
      <c r="D18" s="599"/>
      <c r="E18" s="597"/>
      <c r="F18" s="600"/>
      <c r="G18" s="600"/>
      <c r="H18" s="600">
        <v>919030200</v>
      </c>
      <c r="I18" s="600"/>
      <c r="J18" s="597" t="str">
        <f t="shared" ref="J18:J20" si="1">J17</f>
        <v>Eleminasi Penjualan ISP to IAS</v>
      </c>
    </row>
    <row r="19" spans="1:10">
      <c r="A19" s="597" t="str">
        <f t="shared" si="0"/>
        <v>ELIM 4</v>
      </c>
      <c r="B19" s="597"/>
      <c r="C19" s="598"/>
      <c r="D19" s="599" t="s">
        <v>24</v>
      </c>
      <c r="E19" s="597"/>
      <c r="F19" s="600"/>
      <c r="G19" s="600"/>
      <c r="H19" s="600"/>
      <c r="I19" s="600">
        <v>52200380108</v>
      </c>
      <c r="J19" s="597" t="str">
        <f>J18</f>
        <v>Eleminasi Penjualan ISP to IAS</v>
      </c>
    </row>
    <row r="20" spans="1:10">
      <c r="A20" s="597" t="str">
        <f t="shared" si="0"/>
        <v>ELIM 4</v>
      </c>
      <c r="B20" s="597"/>
      <c r="C20" s="598"/>
      <c r="D20" s="599" t="s">
        <v>25</v>
      </c>
      <c r="E20" s="597"/>
      <c r="F20" s="600"/>
      <c r="G20" s="600"/>
      <c r="H20" s="600"/>
      <c r="I20" s="600">
        <v>1230366180</v>
      </c>
      <c r="J20" s="597" t="str">
        <f t="shared" si="1"/>
        <v>Eleminasi Penjualan ISP to IAS</v>
      </c>
    </row>
    <row r="21" spans="1:10">
      <c r="A21" s="597"/>
      <c r="B21" s="597"/>
      <c r="C21" s="598"/>
      <c r="D21" s="599"/>
      <c r="E21" s="597"/>
      <c r="F21" s="600"/>
      <c r="G21" s="600"/>
      <c r="H21" s="600"/>
      <c r="I21" s="600"/>
      <c r="J21" s="597"/>
    </row>
    <row r="22" spans="1:10">
      <c r="A22" s="597" t="s">
        <v>26</v>
      </c>
      <c r="B22" s="597"/>
      <c r="C22" s="598" t="s">
        <v>27</v>
      </c>
      <c r="D22" s="599"/>
      <c r="E22" s="597"/>
      <c r="F22" s="600"/>
      <c r="G22" s="600"/>
      <c r="H22" s="600">
        <v>7575726102</v>
      </c>
      <c r="I22" s="600"/>
      <c r="J22" s="597" t="s">
        <v>28</v>
      </c>
    </row>
    <row r="23" spans="1:10">
      <c r="A23" s="597" t="str">
        <f>A22</f>
        <v>ELIM 5</v>
      </c>
      <c r="B23" s="597"/>
      <c r="C23" s="598"/>
      <c r="D23" s="599" t="s">
        <v>29</v>
      </c>
      <c r="E23" s="597"/>
      <c r="F23" s="600"/>
      <c r="G23" s="600"/>
      <c r="H23" s="600"/>
      <c r="I23" s="600">
        <v>7526189302</v>
      </c>
      <c r="J23" s="597" t="str">
        <f>J22</f>
        <v>Eleminasi Penjualan IAS to ISP</v>
      </c>
    </row>
    <row r="24" spans="1:10">
      <c r="A24" s="597"/>
      <c r="B24" s="597"/>
      <c r="C24" s="598"/>
      <c r="D24" s="599" t="s">
        <v>30</v>
      </c>
      <c r="E24" s="597"/>
      <c r="F24" s="597"/>
      <c r="G24" s="597"/>
      <c r="H24" s="597"/>
      <c r="I24" s="600">
        <v>49536800</v>
      </c>
      <c r="J24" s="597"/>
    </row>
    <row r="25" spans="1:10">
      <c r="A25" s="597"/>
      <c r="B25" s="597"/>
      <c r="C25" s="598"/>
      <c r="D25" s="599"/>
      <c r="E25" s="597"/>
      <c r="F25" s="597"/>
      <c r="G25" s="597"/>
      <c r="H25" s="597"/>
      <c r="I25" s="597"/>
      <c r="J25" s="597"/>
    </row>
    <row r="26" spans="1:10">
      <c r="A26" s="597" t="s">
        <v>31</v>
      </c>
      <c r="B26" s="597"/>
      <c r="C26" s="598" t="s">
        <v>32</v>
      </c>
      <c r="D26" s="599"/>
      <c r="E26" s="597"/>
      <c r="F26" s="600"/>
      <c r="G26" s="600"/>
      <c r="H26" s="600">
        <v>5868638298</v>
      </c>
      <c r="I26" s="600"/>
      <c r="J26" s="597"/>
    </row>
    <row r="27" spans="1:10">
      <c r="A27" s="597" t="str">
        <f>A26</f>
        <v>ELIM 7</v>
      </c>
      <c r="B27" s="597"/>
      <c r="C27" s="598"/>
      <c r="D27" s="599" t="s">
        <v>33</v>
      </c>
      <c r="E27" s="597"/>
      <c r="F27" s="600"/>
      <c r="G27" s="600"/>
      <c r="H27" s="600"/>
      <c r="I27" s="600">
        <f>H26</f>
        <v>5868638298</v>
      </c>
      <c r="J27" s="597"/>
    </row>
    <row r="28" spans="1:10">
      <c r="A28" s="597"/>
      <c r="B28" s="597"/>
      <c r="C28" s="598"/>
      <c r="D28" s="599"/>
      <c r="E28" s="597"/>
      <c r="F28" s="600"/>
      <c r="G28" s="600"/>
      <c r="H28" s="600"/>
      <c r="I28" s="600"/>
      <c r="J28" s="597"/>
    </row>
    <row r="29" spans="1:10">
      <c r="A29" s="597"/>
      <c r="B29" s="597"/>
      <c r="C29" s="598"/>
      <c r="D29" s="599"/>
      <c r="E29" s="597"/>
      <c r="F29" s="600"/>
      <c r="G29" s="600"/>
      <c r="H29" s="600"/>
      <c r="I29" s="600"/>
      <c r="J29" s="597"/>
    </row>
    <row r="30" spans="1:10">
      <c r="A30" s="597"/>
      <c r="B30" s="597"/>
      <c r="C30" s="598"/>
      <c r="D30" s="599"/>
      <c r="E30" s="597"/>
      <c r="F30" s="600"/>
      <c r="G30" s="600"/>
      <c r="H30" s="600"/>
      <c r="I30" s="600"/>
      <c r="J30" s="597"/>
    </row>
    <row r="31" spans="1:10">
      <c r="A31" s="597"/>
      <c r="B31" s="597"/>
      <c r="C31" s="1059"/>
      <c r="D31" s="599"/>
      <c r="E31" s="597"/>
      <c r="F31" s="600"/>
      <c r="G31" s="600"/>
      <c r="H31" s="600"/>
      <c r="I31" s="600"/>
      <c r="J31" s="597"/>
    </row>
    <row r="32" spans="1:10">
      <c r="A32" s="597"/>
      <c r="B32" s="597"/>
      <c r="C32" s="598"/>
      <c r="D32" s="599"/>
      <c r="E32" s="597"/>
      <c r="F32" s="597"/>
      <c r="G32" s="597"/>
      <c r="H32" s="597"/>
      <c r="I32" s="597"/>
      <c r="J32" s="597"/>
    </row>
    <row r="33" spans="1:10">
      <c r="A33" s="597"/>
      <c r="B33" s="597"/>
      <c r="C33" s="598"/>
      <c r="D33" s="599"/>
      <c r="E33" s="597"/>
      <c r="F33" s="597"/>
      <c r="G33" s="597"/>
      <c r="H33" s="597"/>
      <c r="I33" s="597"/>
      <c r="J33" s="597"/>
    </row>
    <row r="34" spans="1:10">
      <c r="A34" s="597"/>
      <c r="B34" s="597"/>
      <c r="C34" s="598"/>
      <c r="D34" s="599"/>
      <c r="E34" s="597"/>
      <c r="F34" s="597"/>
      <c r="G34" s="597"/>
      <c r="H34" s="597"/>
      <c r="I34" s="597"/>
      <c r="J34" s="597"/>
    </row>
    <row r="35" spans="1:10">
      <c r="A35" s="597"/>
      <c r="B35" s="597"/>
      <c r="C35" s="598"/>
      <c r="D35" s="599"/>
      <c r="E35" s="597"/>
      <c r="F35" s="597"/>
      <c r="G35" s="597"/>
      <c r="H35" s="597"/>
      <c r="I35" s="597"/>
      <c r="J35" s="597"/>
    </row>
    <row r="36" spans="1:10">
      <c r="A36" s="597"/>
      <c r="B36" s="597"/>
      <c r="C36" s="598"/>
      <c r="D36" s="599"/>
      <c r="E36" s="597"/>
      <c r="F36" s="597"/>
      <c r="G36" s="597"/>
      <c r="H36" s="597"/>
      <c r="I36" s="597"/>
      <c r="J36" s="597"/>
    </row>
    <row r="37" spans="1:10">
      <c r="A37" s="597"/>
      <c r="B37" s="597"/>
      <c r="C37" s="598"/>
      <c r="D37" s="599"/>
      <c r="E37" s="597"/>
      <c r="F37" s="597"/>
      <c r="G37" s="597"/>
      <c r="H37" s="597"/>
      <c r="I37" s="597"/>
      <c r="J37" s="597"/>
    </row>
    <row r="38" spans="1:10">
      <c r="A38" s="597"/>
      <c r="B38" s="597"/>
      <c r="C38" s="598"/>
      <c r="D38" s="599"/>
      <c r="E38" s="597"/>
      <c r="F38" s="597"/>
      <c r="G38" s="597"/>
      <c r="H38" s="597"/>
      <c r="I38" s="597"/>
      <c r="J38" s="597"/>
    </row>
    <row r="39" spans="1:10">
      <c r="A39" s="597"/>
      <c r="B39" s="597"/>
      <c r="C39" s="598"/>
      <c r="D39" s="599"/>
      <c r="E39" s="597"/>
      <c r="F39" s="597"/>
      <c r="G39" s="597"/>
      <c r="H39" s="597"/>
      <c r="I39" s="597"/>
      <c r="J39" s="597"/>
    </row>
    <row r="40" spans="1:10">
      <c r="A40" s="597"/>
      <c r="B40" s="597"/>
      <c r="C40" s="598"/>
      <c r="D40" s="599"/>
      <c r="E40" s="597"/>
      <c r="F40" s="597"/>
      <c r="G40" s="597"/>
      <c r="H40" s="597"/>
      <c r="I40" s="597"/>
      <c r="J40" s="597"/>
    </row>
    <row r="41" spans="1:10">
      <c r="A41" s="597"/>
      <c r="B41" s="597"/>
      <c r="C41" s="598"/>
      <c r="D41" s="599"/>
      <c r="E41" s="597"/>
      <c r="F41" s="597"/>
      <c r="G41" s="597"/>
      <c r="H41" s="597"/>
      <c r="I41" s="597"/>
      <c r="J41" s="597"/>
    </row>
    <row r="42" spans="1:10">
      <c r="A42" s="597"/>
      <c r="B42" s="597"/>
      <c r="C42" s="598"/>
      <c r="D42" s="599"/>
      <c r="E42" s="597"/>
      <c r="F42" s="597"/>
      <c r="G42" s="597"/>
      <c r="H42" s="597"/>
      <c r="I42" s="597"/>
      <c r="J42" s="597"/>
    </row>
    <row r="43" spans="1:10">
      <c r="A43" s="597"/>
      <c r="B43" s="597"/>
      <c r="C43" s="598"/>
      <c r="D43" s="599"/>
      <c r="E43" s="597"/>
      <c r="F43" s="597"/>
      <c r="G43" s="597"/>
      <c r="H43" s="597"/>
      <c r="I43" s="597"/>
      <c r="J43" s="597"/>
    </row>
    <row r="44" spans="1:10">
      <c r="A44" s="597"/>
      <c r="B44" s="597"/>
      <c r="C44" s="598"/>
      <c r="D44" s="599"/>
      <c r="E44" s="597"/>
      <c r="F44" s="597"/>
      <c r="G44" s="597"/>
      <c r="H44" s="597"/>
      <c r="I44" s="597"/>
      <c r="J44" s="597"/>
    </row>
    <row r="45" spans="1:10">
      <c r="A45" s="597"/>
      <c r="B45" s="597"/>
      <c r="C45" s="598"/>
      <c r="D45" s="599"/>
      <c r="E45" s="597"/>
      <c r="F45" s="597"/>
      <c r="G45" s="597"/>
      <c r="H45" s="597"/>
      <c r="I45" s="597"/>
      <c r="J45" s="597"/>
    </row>
    <row r="46" spans="1:10">
      <c r="A46" s="597"/>
      <c r="B46" s="597"/>
      <c r="C46" s="598"/>
      <c r="D46" s="599"/>
      <c r="E46" s="597"/>
      <c r="F46" s="597"/>
      <c r="G46" s="597"/>
      <c r="H46" s="597"/>
      <c r="I46" s="597"/>
      <c r="J46" s="597"/>
    </row>
    <row r="47" spans="1:10">
      <c r="A47" s="597"/>
      <c r="B47" s="597"/>
      <c r="C47" s="598"/>
      <c r="D47" s="599"/>
      <c r="E47" s="597"/>
      <c r="F47" s="597"/>
      <c r="G47" s="597"/>
      <c r="H47" s="597"/>
      <c r="I47" s="597"/>
      <c r="J47" s="597"/>
    </row>
    <row r="48" spans="1:10">
      <c r="A48" s="597"/>
      <c r="B48" s="597"/>
      <c r="C48" s="598"/>
      <c r="D48" s="599"/>
      <c r="E48" s="597"/>
      <c r="F48" s="597"/>
      <c r="G48" s="597"/>
      <c r="H48" s="597"/>
      <c r="I48" s="597"/>
      <c r="J48" s="597"/>
    </row>
    <row r="49" spans="1:10">
      <c r="A49" s="597"/>
      <c r="B49" s="597"/>
      <c r="C49" s="598"/>
      <c r="D49" s="599"/>
      <c r="E49" s="597"/>
      <c r="F49" s="597"/>
      <c r="G49" s="597"/>
      <c r="H49" s="597"/>
      <c r="I49" s="597"/>
      <c r="J49" s="597"/>
    </row>
    <row r="50" spans="1:10">
      <c r="A50" s="597"/>
      <c r="B50" s="597"/>
      <c r="C50" s="598"/>
      <c r="D50" s="599"/>
      <c r="E50" s="597"/>
      <c r="F50" s="597"/>
      <c r="G50" s="597"/>
      <c r="H50" s="597"/>
      <c r="I50" s="597"/>
      <c r="J50" s="597"/>
    </row>
    <row r="51" spans="1:10">
      <c r="A51" s="597"/>
      <c r="B51" s="597"/>
      <c r="C51" s="598"/>
      <c r="D51" s="599"/>
      <c r="E51" s="597"/>
      <c r="F51" s="597"/>
      <c r="G51" s="597"/>
      <c r="H51" s="597"/>
      <c r="I51" s="597"/>
      <c r="J51" s="597"/>
    </row>
    <row r="52" spans="1:10">
      <c r="A52" s="597"/>
      <c r="B52" s="597"/>
      <c r="C52" s="598"/>
      <c r="D52" s="599"/>
      <c r="E52" s="597"/>
      <c r="F52" s="597"/>
      <c r="G52" s="597"/>
      <c r="H52" s="597"/>
      <c r="I52" s="597"/>
      <c r="J52" s="597"/>
    </row>
    <row r="53" spans="1:10">
      <c r="A53" s="597"/>
      <c r="B53" s="597"/>
      <c r="C53" s="598"/>
      <c r="D53" s="599"/>
      <c r="E53" s="597"/>
      <c r="F53" s="597"/>
      <c r="G53" s="597"/>
      <c r="H53" s="597"/>
      <c r="I53" s="597"/>
      <c r="J53" s="597"/>
    </row>
    <row r="54" spans="1:10">
      <c r="A54" s="597"/>
      <c r="B54" s="597"/>
      <c r="C54" s="598"/>
      <c r="D54" s="599"/>
      <c r="E54" s="597"/>
      <c r="F54" s="597"/>
      <c r="G54" s="597"/>
      <c r="H54" s="597"/>
      <c r="I54" s="597"/>
      <c r="J54" s="597"/>
    </row>
    <row r="55" spans="1:10">
      <c r="A55" s="597"/>
      <c r="B55" s="597"/>
      <c r="C55" s="598"/>
      <c r="D55" s="599"/>
      <c r="E55" s="597"/>
      <c r="F55" s="597"/>
      <c r="G55" s="597"/>
      <c r="H55" s="597"/>
      <c r="I55" s="597"/>
      <c r="J55" s="597"/>
    </row>
    <row r="56" spans="1:10">
      <c r="A56" s="597"/>
      <c r="B56" s="597"/>
      <c r="C56" s="598"/>
      <c r="D56" s="599"/>
      <c r="E56" s="597"/>
      <c r="F56" s="597"/>
      <c r="G56" s="597"/>
      <c r="H56" s="597"/>
      <c r="I56" s="597"/>
      <c r="J56" s="597"/>
    </row>
    <row r="57" spans="1:10">
      <c r="A57" s="597"/>
      <c r="B57" s="597"/>
      <c r="C57" s="598"/>
      <c r="D57" s="599"/>
      <c r="E57" s="597"/>
      <c r="F57" s="597"/>
      <c r="G57" s="597"/>
      <c r="H57" s="597"/>
      <c r="I57" s="597"/>
      <c r="J57" s="597"/>
    </row>
    <row r="58" spans="1:10">
      <c r="A58" s="597"/>
      <c r="B58" s="597"/>
      <c r="C58" s="598"/>
      <c r="D58" s="599"/>
      <c r="E58" s="597"/>
      <c r="F58" s="597"/>
      <c r="G58" s="597"/>
      <c r="H58" s="597"/>
      <c r="I58" s="597"/>
      <c r="J58" s="597"/>
    </row>
    <row r="59" spans="1:10">
      <c r="A59" s="597"/>
      <c r="B59" s="597"/>
      <c r="C59" s="598"/>
      <c r="D59" s="599"/>
      <c r="E59" s="597"/>
      <c r="F59" s="597"/>
      <c r="G59" s="597"/>
      <c r="H59" s="597"/>
      <c r="I59" s="597"/>
      <c r="J59" s="597"/>
    </row>
    <row r="60" spans="1:10">
      <c r="A60" s="597"/>
      <c r="B60" s="597"/>
      <c r="C60" s="598"/>
      <c r="D60" s="599"/>
      <c r="E60" s="597"/>
      <c r="F60" s="597"/>
      <c r="G60" s="597"/>
      <c r="H60" s="597"/>
      <c r="I60" s="597"/>
      <c r="J60" s="597"/>
    </row>
    <row r="61" spans="1:10">
      <c r="A61" s="597"/>
      <c r="B61" s="597"/>
      <c r="C61" s="598"/>
      <c r="D61" s="599"/>
      <c r="E61" s="597"/>
      <c r="F61" s="597"/>
      <c r="G61" s="597"/>
      <c r="H61" s="597"/>
      <c r="I61" s="597"/>
      <c r="J61" s="597"/>
    </row>
    <row r="62" spans="1:10">
      <c r="A62" s="597"/>
      <c r="B62" s="597"/>
      <c r="C62" s="598"/>
      <c r="D62" s="599"/>
      <c r="E62" s="597"/>
      <c r="F62" s="597"/>
      <c r="G62" s="597"/>
      <c r="H62" s="597"/>
      <c r="I62" s="597"/>
      <c r="J62" s="597"/>
    </row>
    <row r="63" spans="1:10">
      <c r="A63" s="597"/>
      <c r="B63" s="597"/>
      <c r="C63" s="598"/>
      <c r="D63" s="599"/>
      <c r="E63" s="597"/>
      <c r="F63" s="597"/>
      <c r="G63" s="597"/>
      <c r="H63" s="597"/>
      <c r="I63" s="597"/>
      <c r="J63" s="597"/>
    </row>
    <row r="64" spans="1:10">
      <c r="A64" s="597"/>
      <c r="B64" s="597"/>
      <c r="C64" s="598"/>
      <c r="D64" s="599"/>
      <c r="E64" s="597"/>
      <c r="F64" s="597"/>
      <c r="G64" s="597"/>
      <c r="H64" s="597"/>
      <c r="I64" s="597"/>
      <c r="J64" s="597"/>
    </row>
    <row r="65" spans="1:10">
      <c r="A65" s="597"/>
      <c r="B65" s="597"/>
      <c r="C65" s="598"/>
      <c r="D65" s="599"/>
      <c r="E65" s="597"/>
      <c r="F65" s="597"/>
      <c r="G65" s="597"/>
      <c r="H65" s="597"/>
      <c r="I65" s="597"/>
      <c r="J65" s="597"/>
    </row>
    <row r="66" spans="1:10">
      <c r="A66" s="597"/>
      <c r="B66" s="597"/>
      <c r="C66" s="598"/>
      <c r="D66" s="599"/>
      <c r="E66" s="597"/>
      <c r="F66" s="597"/>
      <c r="G66" s="597"/>
      <c r="H66" s="597"/>
      <c r="I66" s="597"/>
      <c r="J66" s="597"/>
    </row>
    <row r="67" spans="1:10">
      <c r="A67" s="597"/>
      <c r="B67" s="597"/>
      <c r="C67" s="598"/>
      <c r="D67" s="599"/>
      <c r="E67" s="597"/>
      <c r="F67" s="597"/>
      <c r="G67" s="597"/>
      <c r="H67" s="597"/>
      <c r="I67" s="597"/>
      <c r="J67" s="597"/>
    </row>
    <row r="68" spans="1:10">
      <c r="A68" s="597"/>
      <c r="B68" s="597"/>
      <c r="C68" s="598"/>
      <c r="D68" s="599"/>
      <c r="E68" s="597"/>
      <c r="F68" s="597"/>
      <c r="G68" s="597"/>
      <c r="H68" s="597"/>
      <c r="I68" s="597"/>
      <c r="J68" s="597"/>
    </row>
    <row r="69" spans="1:10">
      <c r="A69" s="597"/>
      <c r="B69" s="597"/>
      <c r="C69" s="598"/>
      <c r="D69" s="599"/>
      <c r="E69" s="597"/>
      <c r="F69" s="597"/>
      <c r="G69" s="597"/>
      <c r="H69" s="597"/>
      <c r="I69" s="597"/>
      <c r="J69" s="597"/>
    </row>
    <row r="70" spans="1:10">
      <c r="A70" s="597"/>
      <c r="B70" s="597"/>
      <c r="C70" s="598"/>
      <c r="D70" s="599"/>
      <c r="E70" s="597"/>
      <c r="F70" s="597"/>
      <c r="G70" s="597"/>
      <c r="H70" s="597"/>
      <c r="I70" s="597"/>
      <c r="J70" s="597"/>
    </row>
    <row r="71" spans="1:10">
      <c r="A71" s="597"/>
      <c r="B71" s="597"/>
      <c r="C71" s="598"/>
      <c r="D71" s="599"/>
      <c r="E71" s="597"/>
      <c r="F71" s="597"/>
      <c r="G71" s="597"/>
      <c r="H71" s="597"/>
      <c r="I71" s="597"/>
      <c r="J71" s="597"/>
    </row>
    <row r="72" spans="1:10">
      <c r="A72" s="597"/>
      <c r="B72" s="597"/>
      <c r="C72" s="598"/>
      <c r="D72" s="599"/>
      <c r="E72" s="597"/>
      <c r="F72" s="597"/>
      <c r="G72" s="597"/>
      <c r="H72" s="597"/>
      <c r="I72" s="597"/>
      <c r="J72" s="597"/>
    </row>
    <row r="73" spans="1:10">
      <c r="A73" s="597"/>
      <c r="B73" s="597"/>
      <c r="C73" s="598"/>
      <c r="D73" s="599"/>
      <c r="E73" s="597"/>
      <c r="F73" s="597"/>
      <c r="G73" s="597"/>
      <c r="H73" s="597"/>
      <c r="I73" s="597"/>
      <c r="J73" s="597"/>
    </row>
    <row r="74" spans="1:10">
      <c r="A74" s="597"/>
      <c r="B74" s="597"/>
      <c r="C74" s="598"/>
      <c r="D74" s="599"/>
      <c r="E74" s="597"/>
      <c r="F74" s="597"/>
      <c r="G74" s="597"/>
      <c r="H74" s="597"/>
      <c r="I74" s="597"/>
      <c r="J74" s="597"/>
    </row>
    <row r="75" spans="1:10">
      <c r="A75" s="597"/>
      <c r="B75" s="597"/>
      <c r="C75" s="598"/>
      <c r="D75" s="599"/>
      <c r="E75" s="597"/>
      <c r="F75" s="597"/>
      <c r="G75" s="597"/>
      <c r="H75" s="597"/>
      <c r="I75" s="597"/>
      <c r="J75" s="597"/>
    </row>
    <row r="76" spans="1:10">
      <c r="A76" s="597"/>
      <c r="B76" s="597"/>
      <c r="C76" s="598"/>
      <c r="D76" s="599"/>
      <c r="E76" s="597"/>
      <c r="F76" s="597"/>
      <c r="G76" s="597"/>
      <c r="H76" s="597"/>
      <c r="I76" s="597"/>
      <c r="J76" s="597"/>
    </row>
    <row r="77" spans="1:10">
      <c r="A77" s="597"/>
      <c r="B77" s="597"/>
      <c r="C77" s="598"/>
      <c r="D77" s="599"/>
      <c r="E77" s="597"/>
      <c r="F77" s="597"/>
      <c r="G77" s="597"/>
      <c r="H77" s="597"/>
      <c r="I77" s="597"/>
      <c r="J77" s="597"/>
    </row>
    <row r="78" spans="1:10">
      <c r="A78" s="597"/>
      <c r="B78" s="597"/>
      <c r="C78" s="598"/>
      <c r="D78" s="599"/>
      <c r="E78" s="597"/>
      <c r="F78" s="597"/>
      <c r="G78" s="597"/>
      <c r="H78" s="597"/>
      <c r="I78" s="597"/>
      <c r="J78" s="597"/>
    </row>
    <row r="79" spans="1:10">
      <c r="A79" s="597"/>
      <c r="B79" s="597"/>
      <c r="C79" s="598"/>
      <c r="D79" s="599"/>
      <c r="E79" s="597"/>
      <c r="F79" s="597"/>
      <c r="G79" s="597"/>
      <c r="H79" s="597"/>
      <c r="I79" s="597"/>
      <c r="J79" s="597"/>
    </row>
    <row r="80" spans="1:10">
      <c r="A80" s="597"/>
      <c r="B80" s="597"/>
      <c r="C80" s="598"/>
      <c r="D80" s="599"/>
      <c r="E80" s="597"/>
      <c r="F80" s="597"/>
      <c r="G80" s="597"/>
      <c r="H80" s="597"/>
      <c r="I80" s="597"/>
      <c r="J80" s="597"/>
    </row>
    <row r="81" spans="1:10">
      <c r="A81" s="597"/>
      <c r="B81" s="597"/>
      <c r="C81" s="598"/>
      <c r="D81" s="599"/>
      <c r="E81" s="597"/>
      <c r="F81" s="597"/>
      <c r="G81" s="597"/>
      <c r="H81" s="597"/>
      <c r="I81" s="597"/>
      <c r="J81" s="597"/>
    </row>
    <row r="82" spans="1:10">
      <c r="A82" s="597"/>
      <c r="B82" s="597"/>
      <c r="C82" s="598"/>
      <c r="D82" s="599"/>
      <c r="E82" s="597"/>
      <c r="F82" s="597"/>
      <c r="G82" s="597"/>
      <c r="H82" s="597"/>
      <c r="I82" s="597"/>
      <c r="J82" s="597"/>
    </row>
    <row r="83" spans="1:10">
      <c r="A83" s="597"/>
      <c r="B83" s="597"/>
      <c r="C83" s="598"/>
      <c r="D83" s="599"/>
      <c r="E83" s="597"/>
      <c r="F83" s="597"/>
      <c r="G83" s="597"/>
      <c r="H83" s="597"/>
      <c r="I83" s="597"/>
      <c r="J83" s="597"/>
    </row>
    <row r="84" spans="1:10">
      <c r="A84" s="597"/>
      <c r="B84" s="597"/>
      <c r="C84" s="598"/>
      <c r="D84" s="599"/>
      <c r="E84" s="597"/>
      <c r="F84" s="597"/>
      <c r="G84" s="597"/>
      <c r="H84" s="597"/>
      <c r="I84" s="597"/>
      <c r="J84" s="597"/>
    </row>
    <row r="85" spans="1:10">
      <c r="A85" s="597"/>
      <c r="B85" s="597"/>
      <c r="C85" s="598"/>
      <c r="D85" s="599"/>
      <c r="E85" s="597"/>
      <c r="F85" s="597"/>
      <c r="G85" s="597"/>
      <c r="H85" s="597"/>
      <c r="I85" s="597"/>
      <c r="J85" s="597"/>
    </row>
    <row r="86" spans="1:10">
      <c r="A86" s="597"/>
      <c r="B86" s="597"/>
      <c r="C86" s="598"/>
      <c r="D86" s="599"/>
      <c r="E86" s="597"/>
      <c r="F86" s="597"/>
      <c r="G86" s="597"/>
      <c r="H86" s="597"/>
      <c r="I86" s="597"/>
      <c r="J86" s="597"/>
    </row>
    <row r="87" spans="1:10">
      <c r="A87" s="597"/>
      <c r="B87" s="597"/>
      <c r="C87" s="598"/>
      <c r="D87" s="599"/>
      <c r="E87" s="597"/>
      <c r="F87" s="597"/>
      <c r="G87" s="597"/>
      <c r="H87" s="597"/>
      <c r="I87" s="597"/>
      <c r="J87" s="597"/>
    </row>
    <row r="88" spans="1:10">
      <c r="A88" s="597"/>
      <c r="B88" s="597"/>
      <c r="C88" s="598"/>
      <c r="D88" s="599"/>
      <c r="E88" s="597"/>
      <c r="F88" s="597"/>
      <c r="G88" s="597"/>
      <c r="H88" s="597"/>
      <c r="I88" s="597"/>
      <c r="J88" s="597"/>
    </row>
    <row r="89" spans="1:10">
      <c r="A89" s="597"/>
      <c r="B89" s="597"/>
      <c r="C89" s="598"/>
      <c r="D89" s="599"/>
      <c r="E89" s="597"/>
      <c r="F89" s="597"/>
      <c r="G89" s="597"/>
      <c r="H89" s="597"/>
      <c r="I89" s="597"/>
      <c r="J89" s="597"/>
    </row>
    <row r="90" spans="1:10">
      <c r="A90" s="597"/>
      <c r="B90" s="597"/>
      <c r="C90" s="598"/>
      <c r="D90" s="599"/>
      <c r="E90" s="597"/>
      <c r="F90" s="597"/>
      <c r="G90" s="597"/>
      <c r="H90" s="597"/>
      <c r="I90" s="597"/>
      <c r="J90" s="597"/>
    </row>
    <row r="91" spans="1:10">
      <c r="A91" s="597"/>
      <c r="B91" s="597"/>
      <c r="C91" s="598"/>
      <c r="D91" s="599"/>
      <c r="E91" s="597"/>
      <c r="F91" s="597"/>
      <c r="G91" s="597"/>
      <c r="H91" s="597"/>
      <c r="I91" s="597"/>
      <c r="J91" s="597"/>
    </row>
    <row r="92" spans="1:10">
      <c r="A92" s="597"/>
      <c r="B92" s="597"/>
      <c r="C92" s="598"/>
      <c r="D92" s="599"/>
      <c r="E92" s="597"/>
      <c r="F92" s="597"/>
      <c r="G92" s="597"/>
      <c r="H92" s="597"/>
      <c r="I92" s="597"/>
      <c r="J92" s="597"/>
    </row>
    <row r="93" spans="1:10">
      <c r="A93" s="597"/>
      <c r="B93" s="597"/>
      <c r="C93" s="598"/>
      <c r="D93" s="599"/>
      <c r="E93" s="597"/>
      <c r="F93" s="597"/>
      <c r="G93" s="597"/>
      <c r="H93" s="597"/>
      <c r="I93" s="597"/>
      <c r="J93" s="597"/>
    </row>
    <row r="94" spans="1:10">
      <c r="A94" s="597"/>
      <c r="B94" s="597"/>
      <c r="C94" s="598"/>
      <c r="D94" s="599"/>
      <c r="E94" s="597"/>
      <c r="F94" s="597"/>
      <c r="G94" s="597"/>
      <c r="H94" s="597"/>
      <c r="I94" s="597"/>
      <c r="J94" s="597"/>
    </row>
    <row r="95" spans="1:10">
      <c r="A95" s="597"/>
      <c r="B95" s="597"/>
      <c r="C95" s="598"/>
      <c r="D95" s="599"/>
      <c r="E95" s="597"/>
      <c r="F95" s="597"/>
      <c r="G95" s="597"/>
      <c r="H95" s="597"/>
      <c r="I95" s="597"/>
      <c r="J95" s="597"/>
    </row>
    <row r="96" spans="1:10">
      <c r="A96" s="597"/>
      <c r="B96" s="597"/>
      <c r="C96" s="598"/>
      <c r="D96" s="599"/>
      <c r="E96" s="597"/>
      <c r="F96" s="597"/>
      <c r="G96" s="597"/>
      <c r="H96" s="597"/>
      <c r="I96" s="597"/>
      <c r="J96" s="597"/>
    </row>
    <row r="97" spans="1:10">
      <c r="A97" s="597"/>
      <c r="B97" s="597"/>
      <c r="C97" s="598"/>
      <c r="D97" s="599"/>
      <c r="E97" s="597"/>
      <c r="F97" s="597"/>
      <c r="G97" s="597"/>
      <c r="H97" s="597"/>
      <c r="I97" s="597"/>
      <c r="J97" s="597"/>
    </row>
    <row r="98" spans="1:10">
      <c r="A98" s="597"/>
      <c r="B98" s="597"/>
      <c r="C98" s="598"/>
      <c r="D98" s="599"/>
      <c r="E98" s="597"/>
      <c r="F98" s="597"/>
      <c r="G98" s="597"/>
      <c r="H98" s="597"/>
      <c r="I98" s="597"/>
      <c r="J98" s="597"/>
    </row>
    <row r="99" spans="1:10">
      <c r="A99" s="597"/>
      <c r="B99" s="597"/>
      <c r="C99" s="598"/>
      <c r="D99" s="599"/>
      <c r="E99" s="597"/>
      <c r="F99" s="597"/>
      <c r="G99" s="597"/>
      <c r="H99" s="597"/>
      <c r="I99" s="597"/>
      <c r="J99" s="597"/>
    </row>
    <row r="100" spans="1:10">
      <c r="A100" s="597"/>
      <c r="B100" s="597"/>
      <c r="C100" s="598"/>
      <c r="D100" s="599"/>
      <c r="E100" s="597"/>
      <c r="F100" s="597"/>
      <c r="G100" s="597"/>
      <c r="H100" s="597"/>
      <c r="I100" s="597"/>
      <c r="J100" s="597"/>
    </row>
    <row r="101" spans="1:10">
      <c r="A101" s="597"/>
      <c r="B101" s="597"/>
      <c r="C101" s="598"/>
      <c r="D101" s="599"/>
      <c r="E101" s="597"/>
      <c r="F101" s="597"/>
      <c r="G101" s="597"/>
      <c r="H101" s="597"/>
      <c r="I101" s="597"/>
      <c r="J101" s="597"/>
    </row>
    <row r="102" spans="1:10">
      <c r="A102" s="597"/>
      <c r="B102" s="597"/>
      <c r="C102" s="598"/>
      <c r="D102" s="599"/>
      <c r="E102" s="597"/>
      <c r="F102" s="597"/>
      <c r="G102" s="597"/>
      <c r="H102" s="597"/>
      <c r="I102" s="597"/>
      <c r="J102" s="597"/>
    </row>
    <row r="103" spans="1:10">
      <c r="A103" s="597"/>
      <c r="B103" s="597"/>
      <c r="C103" s="598"/>
      <c r="D103" s="599"/>
      <c r="E103" s="597"/>
      <c r="F103" s="597"/>
      <c r="G103" s="597"/>
      <c r="H103" s="597"/>
      <c r="I103" s="597"/>
      <c r="J103" s="597"/>
    </row>
    <row r="104" spans="1:10">
      <c r="A104" s="597"/>
      <c r="B104" s="597"/>
      <c r="C104" s="598"/>
      <c r="D104" s="599"/>
      <c r="E104" s="597"/>
      <c r="F104" s="597"/>
      <c r="G104" s="597"/>
      <c r="H104" s="597"/>
      <c r="I104" s="597"/>
      <c r="J104" s="597"/>
    </row>
    <row r="105" spans="1:10">
      <c r="A105" s="597"/>
      <c r="B105" s="597"/>
      <c r="C105" s="598"/>
      <c r="D105" s="599"/>
      <c r="E105" s="597"/>
      <c r="F105" s="597"/>
      <c r="G105" s="597"/>
      <c r="H105" s="597"/>
      <c r="I105" s="597"/>
      <c r="J105" s="597"/>
    </row>
    <row r="106" spans="1:10">
      <c r="A106" s="597"/>
      <c r="B106" s="597"/>
      <c r="C106" s="598"/>
      <c r="D106" s="599"/>
      <c r="E106" s="597"/>
      <c r="F106" s="597"/>
      <c r="G106" s="597"/>
      <c r="H106" s="597"/>
      <c r="I106" s="597"/>
      <c r="J106" s="597"/>
    </row>
    <row r="107" spans="1:10">
      <c r="A107" s="597"/>
      <c r="B107" s="597"/>
      <c r="C107" s="598"/>
      <c r="D107" s="599"/>
      <c r="E107" s="597"/>
      <c r="F107" s="597"/>
      <c r="G107" s="597"/>
      <c r="H107" s="597"/>
      <c r="I107" s="597"/>
      <c r="J107" s="597"/>
    </row>
    <row r="108" spans="1:10">
      <c r="A108" s="597"/>
      <c r="B108" s="597"/>
      <c r="C108" s="598"/>
      <c r="D108" s="599"/>
      <c r="E108" s="597"/>
      <c r="F108" s="597"/>
      <c r="G108" s="597"/>
      <c r="H108" s="597"/>
      <c r="I108" s="597"/>
      <c r="J108" s="597"/>
    </row>
    <row r="109" spans="1:10">
      <c r="A109" s="597"/>
      <c r="B109" s="597"/>
      <c r="C109" s="598"/>
      <c r="D109" s="599"/>
      <c r="E109" s="597"/>
      <c r="F109" s="597"/>
      <c r="G109" s="597"/>
      <c r="H109" s="597"/>
      <c r="I109" s="597"/>
      <c r="J109" s="597"/>
    </row>
    <row r="110" spans="1:10">
      <c r="A110" s="597"/>
      <c r="B110" s="597"/>
      <c r="C110" s="598"/>
      <c r="D110" s="599"/>
      <c r="E110" s="597"/>
      <c r="F110" s="597"/>
      <c r="G110" s="597"/>
      <c r="H110" s="597"/>
      <c r="I110" s="597"/>
      <c r="J110" s="597"/>
    </row>
    <row r="111" spans="1:10">
      <c r="A111" s="597"/>
      <c r="B111" s="597"/>
      <c r="C111" s="598"/>
      <c r="D111" s="599"/>
      <c r="E111" s="597"/>
      <c r="F111" s="597"/>
      <c r="G111" s="597"/>
      <c r="H111" s="597"/>
      <c r="I111" s="597"/>
      <c r="J111" s="597"/>
    </row>
    <row r="112" spans="1:10">
      <c r="A112" s="597"/>
      <c r="B112" s="597"/>
      <c r="C112" s="598"/>
      <c r="D112" s="599"/>
      <c r="E112" s="597"/>
      <c r="F112" s="597"/>
      <c r="G112" s="597"/>
      <c r="H112" s="597"/>
      <c r="I112" s="597"/>
      <c r="J112" s="597"/>
    </row>
    <row r="113" spans="1:10">
      <c r="A113" s="597"/>
      <c r="B113" s="597"/>
      <c r="C113" s="598"/>
      <c r="D113" s="599"/>
      <c r="E113" s="597"/>
      <c r="F113" s="597"/>
      <c r="G113" s="597"/>
      <c r="H113" s="597"/>
      <c r="I113" s="597"/>
      <c r="J113" s="597"/>
    </row>
    <row r="114" spans="1:10">
      <c r="A114" s="597"/>
      <c r="B114" s="597"/>
      <c r="C114" s="598"/>
      <c r="D114" s="599"/>
      <c r="E114" s="597"/>
      <c r="F114" s="597"/>
      <c r="G114" s="597"/>
      <c r="H114" s="597"/>
      <c r="I114" s="597"/>
      <c r="J114" s="597"/>
    </row>
    <row r="115" spans="1:10">
      <c r="A115" s="597"/>
      <c r="B115" s="597"/>
      <c r="C115" s="598"/>
      <c r="D115" s="599"/>
      <c r="E115" s="597"/>
      <c r="F115" s="597"/>
      <c r="G115" s="597"/>
      <c r="H115" s="597"/>
      <c r="I115" s="597"/>
      <c r="J115" s="597"/>
    </row>
    <row r="116" spans="1:10">
      <c r="A116" s="597"/>
      <c r="B116" s="597"/>
      <c r="C116" s="598"/>
      <c r="D116" s="599"/>
      <c r="E116" s="597"/>
      <c r="F116" s="597"/>
      <c r="G116" s="597"/>
      <c r="H116" s="597"/>
      <c r="I116" s="597"/>
      <c r="J116" s="597"/>
    </row>
    <row r="117" spans="1:10">
      <c r="A117" s="597"/>
      <c r="B117" s="597"/>
      <c r="C117" s="598"/>
      <c r="D117" s="599"/>
      <c r="E117" s="597"/>
      <c r="F117" s="597"/>
      <c r="G117" s="597"/>
      <c r="H117" s="597"/>
      <c r="I117" s="597"/>
      <c r="J117" s="597"/>
    </row>
    <row r="118" spans="1:10">
      <c r="A118" s="597"/>
      <c r="B118" s="597"/>
      <c r="C118" s="598"/>
      <c r="D118" s="599"/>
      <c r="E118" s="597"/>
      <c r="F118" s="597"/>
      <c r="G118" s="597"/>
      <c r="H118" s="597"/>
      <c r="I118" s="597"/>
      <c r="J118" s="597"/>
    </row>
    <row r="119" spans="1:10">
      <c r="A119" s="597"/>
      <c r="B119" s="597"/>
      <c r="C119" s="598"/>
      <c r="D119" s="599"/>
      <c r="E119" s="597"/>
      <c r="F119" s="597"/>
      <c r="G119" s="597"/>
      <c r="H119" s="597"/>
      <c r="I119" s="597"/>
      <c r="J119" s="597"/>
    </row>
    <row r="120" spans="1:10">
      <c r="A120" s="597"/>
      <c r="B120" s="597"/>
      <c r="C120" s="598"/>
      <c r="D120" s="599"/>
      <c r="E120" s="597"/>
      <c r="F120" s="597"/>
      <c r="G120" s="597"/>
      <c r="H120" s="597"/>
      <c r="I120" s="597"/>
      <c r="J120" s="597"/>
    </row>
    <row r="121" spans="1:10">
      <c r="A121" s="597"/>
      <c r="B121" s="597"/>
      <c r="C121" s="598"/>
      <c r="D121" s="599"/>
      <c r="E121" s="597"/>
      <c r="F121" s="597"/>
      <c r="G121" s="597"/>
      <c r="H121" s="597"/>
      <c r="I121" s="597"/>
      <c r="J121" s="597"/>
    </row>
    <row r="122" spans="1:10">
      <c r="A122" s="597"/>
      <c r="B122" s="597"/>
      <c r="C122" s="598"/>
      <c r="D122" s="599"/>
      <c r="E122" s="597"/>
      <c r="F122" s="597"/>
      <c r="G122" s="597"/>
      <c r="H122" s="597"/>
      <c r="I122" s="597"/>
      <c r="J122" s="597"/>
    </row>
    <row r="123" spans="1:10">
      <c r="A123" s="597"/>
      <c r="B123" s="597"/>
      <c r="C123" s="598"/>
      <c r="D123" s="599"/>
      <c r="E123" s="597"/>
      <c r="F123" s="597"/>
      <c r="G123" s="597"/>
      <c r="H123" s="597"/>
      <c r="I123" s="597"/>
      <c r="J123" s="597"/>
    </row>
    <row r="124" spans="1:10">
      <c r="A124" s="597"/>
      <c r="B124" s="597"/>
      <c r="C124" s="598"/>
      <c r="D124" s="599"/>
      <c r="E124" s="597"/>
      <c r="F124" s="597"/>
      <c r="G124" s="597"/>
      <c r="H124" s="597"/>
      <c r="I124" s="597"/>
      <c r="J124" s="597"/>
    </row>
    <row r="125" spans="1:10">
      <c r="A125" s="597"/>
      <c r="B125" s="597"/>
      <c r="C125" s="598"/>
      <c r="D125" s="599"/>
      <c r="E125" s="597"/>
      <c r="F125" s="597"/>
      <c r="G125" s="597"/>
      <c r="H125" s="597"/>
      <c r="I125" s="597"/>
      <c r="J125" s="597"/>
    </row>
    <row r="126" spans="1:10">
      <c r="A126" s="597"/>
      <c r="B126" s="597"/>
      <c r="C126" s="598"/>
      <c r="D126" s="599"/>
      <c r="E126" s="597"/>
      <c r="F126" s="597"/>
      <c r="G126" s="597"/>
      <c r="H126" s="597"/>
      <c r="I126" s="597"/>
      <c r="J126" s="597"/>
    </row>
    <row r="127" spans="1:10">
      <c r="A127" s="597"/>
      <c r="B127" s="597"/>
      <c r="C127" s="598"/>
      <c r="D127" s="599"/>
      <c r="E127" s="597"/>
      <c r="F127" s="597"/>
      <c r="G127" s="597"/>
      <c r="H127" s="597"/>
      <c r="I127" s="597"/>
      <c r="J127" s="597"/>
    </row>
    <row r="128" spans="1:10">
      <c r="A128" s="597"/>
      <c r="B128" s="597"/>
      <c r="C128" s="598"/>
      <c r="D128" s="599"/>
      <c r="E128" s="597"/>
      <c r="F128" s="597"/>
      <c r="G128" s="597"/>
      <c r="H128" s="597"/>
      <c r="I128" s="597"/>
      <c r="J128" s="597"/>
    </row>
    <row r="129" spans="1:10">
      <c r="A129" s="597"/>
      <c r="B129" s="597"/>
      <c r="C129" s="598"/>
      <c r="D129" s="599"/>
      <c r="E129" s="597"/>
      <c r="F129" s="597"/>
      <c r="G129" s="597"/>
      <c r="H129" s="597"/>
      <c r="I129" s="597"/>
      <c r="J129" s="597"/>
    </row>
    <row r="130" spans="1:10">
      <c r="A130" s="597"/>
      <c r="B130" s="597"/>
      <c r="C130" s="598"/>
      <c r="D130" s="599"/>
      <c r="E130" s="597"/>
      <c r="F130" s="597"/>
      <c r="G130" s="597"/>
      <c r="H130" s="597"/>
      <c r="I130" s="597"/>
      <c r="J130" s="597"/>
    </row>
    <row r="131" spans="1:10">
      <c r="A131" s="597"/>
      <c r="B131" s="597"/>
      <c r="C131" s="598"/>
      <c r="D131" s="599"/>
      <c r="E131" s="597"/>
      <c r="F131" s="597"/>
      <c r="G131" s="597"/>
      <c r="H131" s="597"/>
      <c r="I131" s="597"/>
      <c r="J131" s="597"/>
    </row>
    <row r="132" spans="1:10">
      <c r="A132" s="597"/>
      <c r="B132" s="597"/>
      <c r="C132" s="598"/>
      <c r="D132" s="599"/>
      <c r="E132" s="597"/>
      <c r="F132" s="597"/>
      <c r="G132" s="597"/>
      <c r="H132" s="597"/>
      <c r="I132" s="597"/>
      <c r="J132" s="597"/>
    </row>
    <row r="133" spans="1:10">
      <c r="A133" s="597"/>
      <c r="B133" s="597"/>
      <c r="C133" s="598"/>
      <c r="D133" s="599"/>
      <c r="E133" s="597"/>
      <c r="F133" s="597"/>
      <c r="G133" s="597"/>
      <c r="H133" s="597"/>
      <c r="I133" s="597"/>
      <c r="J133" s="597"/>
    </row>
    <row r="134" spans="1:10">
      <c r="A134" s="597"/>
      <c r="B134" s="597"/>
      <c r="C134" s="598"/>
      <c r="D134" s="599"/>
      <c r="E134" s="597"/>
      <c r="F134" s="597"/>
      <c r="G134" s="597"/>
      <c r="H134" s="597"/>
      <c r="I134" s="597"/>
      <c r="J134" s="597"/>
    </row>
    <row r="135" spans="1:10">
      <c r="A135" s="597"/>
      <c r="B135" s="597"/>
      <c r="C135" s="598"/>
      <c r="D135" s="599"/>
      <c r="E135" s="597"/>
      <c r="F135" s="597"/>
      <c r="G135" s="597"/>
      <c r="H135" s="597"/>
      <c r="I135" s="597"/>
      <c r="J135" s="597"/>
    </row>
    <row r="136" spans="1:10">
      <c r="A136" s="597"/>
      <c r="B136" s="597"/>
      <c r="C136" s="598"/>
      <c r="D136" s="599"/>
      <c r="E136" s="597"/>
      <c r="F136" s="597"/>
      <c r="G136" s="597"/>
      <c r="H136" s="597"/>
      <c r="I136" s="597"/>
      <c r="J136" s="597"/>
    </row>
    <row r="137" spans="1:10">
      <c r="A137" s="597"/>
      <c r="B137" s="597"/>
      <c r="C137" s="598"/>
      <c r="D137" s="599"/>
      <c r="E137" s="597"/>
      <c r="F137" s="597"/>
      <c r="G137" s="597"/>
      <c r="H137" s="597"/>
      <c r="I137" s="597"/>
      <c r="J137" s="597"/>
    </row>
    <row r="138" spans="1:10">
      <c r="A138" s="597"/>
      <c r="B138" s="597"/>
      <c r="C138" s="598"/>
      <c r="D138" s="599"/>
      <c r="E138" s="597"/>
      <c r="F138" s="597"/>
      <c r="G138" s="597"/>
      <c r="H138" s="597"/>
      <c r="I138" s="597"/>
      <c r="J138" s="597"/>
    </row>
    <row r="139" spans="1:10">
      <c r="A139" s="597"/>
      <c r="B139" s="597"/>
      <c r="C139" s="598"/>
      <c r="D139" s="599"/>
      <c r="E139" s="597"/>
      <c r="F139" s="597"/>
      <c r="G139" s="597"/>
      <c r="H139" s="597"/>
      <c r="I139" s="597"/>
      <c r="J139" s="597"/>
    </row>
    <row r="140" spans="1:10">
      <c r="A140" s="597"/>
      <c r="B140" s="597"/>
      <c r="C140" s="598"/>
      <c r="D140" s="599"/>
      <c r="E140" s="597"/>
      <c r="F140" s="597"/>
      <c r="G140" s="597"/>
      <c r="H140" s="597"/>
      <c r="I140" s="597"/>
      <c r="J140" s="597"/>
    </row>
    <row r="141" spans="1:10">
      <c r="A141" s="597"/>
      <c r="B141" s="597"/>
      <c r="C141" s="598"/>
      <c r="D141" s="599"/>
      <c r="E141" s="597"/>
      <c r="F141" s="597"/>
      <c r="G141" s="597"/>
      <c r="H141" s="597"/>
      <c r="I141" s="597"/>
      <c r="J141" s="597"/>
    </row>
    <row r="142" spans="1:10">
      <c r="A142" s="597"/>
      <c r="B142" s="597"/>
      <c r="C142" s="598"/>
      <c r="D142" s="599"/>
      <c r="E142" s="597"/>
      <c r="F142" s="597"/>
      <c r="G142" s="597"/>
      <c r="H142" s="597"/>
      <c r="I142" s="597"/>
      <c r="J142" s="597"/>
    </row>
    <row r="143" spans="1:10">
      <c r="A143" s="597"/>
      <c r="B143" s="597"/>
      <c r="C143" s="598"/>
      <c r="D143" s="599"/>
      <c r="E143" s="597"/>
      <c r="F143" s="597"/>
      <c r="G143" s="597"/>
      <c r="H143" s="597"/>
      <c r="I143" s="597"/>
      <c r="J143" s="597"/>
    </row>
    <row r="144" spans="1:10">
      <c r="A144" s="597"/>
      <c r="B144" s="597"/>
      <c r="C144" s="598"/>
      <c r="D144" s="599"/>
      <c r="E144" s="597"/>
      <c r="F144" s="597"/>
      <c r="G144" s="597"/>
      <c r="H144" s="597"/>
      <c r="I144" s="597"/>
      <c r="J144" s="597"/>
    </row>
    <row r="145" spans="1:10">
      <c r="A145" s="597"/>
      <c r="B145" s="597"/>
      <c r="C145" s="598"/>
      <c r="D145" s="599"/>
      <c r="E145" s="597"/>
      <c r="F145" s="597"/>
      <c r="G145" s="597"/>
      <c r="H145" s="597"/>
      <c r="I145" s="597"/>
      <c r="J145" s="597"/>
    </row>
    <row r="146" spans="1:10">
      <c r="A146" s="597"/>
      <c r="B146" s="597"/>
      <c r="C146" s="598"/>
      <c r="D146" s="599"/>
      <c r="E146" s="597"/>
      <c r="F146" s="597"/>
      <c r="G146" s="597"/>
      <c r="H146" s="597"/>
      <c r="I146" s="597"/>
      <c r="J146" s="597"/>
    </row>
    <row r="147" spans="1:10">
      <c r="A147" s="597"/>
      <c r="B147" s="597"/>
      <c r="C147" s="598"/>
      <c r="D147" s="599"/>
      <c r="E147" s="597"/>
      <c r="F147" s="597"/>
      <c r="G147" s="597"/>
      <c r="H147" s="597"/>
      <c r="I147" s="597"/>
      <c r="J147" s="597"/>
    </row>
    <row r="148" spans="1:10">
      <c r="A148" s="597"/>
      <c r="B148" s="597"/>
      <c r="C148" s="598"/>
      <c r="D148" s="599"/>
      <c r="E148" s="597"/>
      <c r="F148" s="597"/>
      <c r="G148" s="597"/>
      <c r="H148" s="597"/>
      <c r="I148" s="597"/>
      <c r="J148" s="597"/>
    </row>
    <row r="149" spans="1:10">
      <c r="A149" s="597"/>
      <c r="B149" s="597"/>
      <c r="C149" s="598"/>
      <c r="D149" s="599"/>
      <c r="E149" s="597"/>
      <c r="F149" s="597"/>
      <c r="G149" s="597"/>
      <c r="H149" s="597"/>
      <c r="I149" s="597"/>
      <c r="J149" s="597"/>
    </row>
    <row r="150" spans="1:10">
      <c r="A150" s="597"/>
      <c r="B150" s="597"/>
      <c r="C150" s="598"/>
      <c r="D150" s="599"/>
      <c r="E150" s="597"/>
      <c r="F150" s="597"/>
      <c r="G150" s="597"/>
      <c r="H150" s="597"/>
      <c r="I150" s="597"/>
      <c r="J150" s="597"/>
    </row>
    <row r="151" spans="1:10">
      <c r="A151" s="597"/>
      <c r="B151" s="597"/>
      <c r="C151" s="598"/>
      <c r="D151" s="599"/>
      <c r="E151" s="597"/>
      <c r="F151" s="597"/>
      <c r="G151" s="597"/>
      <c r="H151" s="597"/>
      <c r="I151" s="597"/>
      <c r="J151" s="597"/>
    </row>
    <row r="152" spans="1:10">
      <c r="A152" s="597"/>
      <c r="B152" s="597"/>
      <c r="C152" s="598"/>
      <c r="D152" s="599"/>
      <c r="E152" s="597"/>
      <c r="F152" s="597"/>
      <c r="G152" s="597"/>
      <c r="H152" s="597"/>
      <c r="I152" s="597"/>
      <c r="J152" s="597"/>
    </row>
    <row r="153" spans="1:10">
      <c r="A153" s="597"/>
      <c r="B153" s="597"/>
      <c r="C153" s="598"/>
      <c r="D153" s="599"/>
      <c r="E153" s="597"/>
      <c r="F153" s="597"/>
      <c r="G153" s="597"/>
      <c r="H153" s="597"/>
      <c r="I153" s="597"/>
      <c r="J153" s="597"/>
    </row>
    <row r="154" spans="1:10">
      <c r="A154" s="597"/>
      <c r="B154" s="597"/>
      <c r="C154" s="598"/>
      <c r="D154" s="599"/>
      <c r="E154" s="597"/>
      <c r="F154" s="597"/>
      <c r="G154" s="597"/>
      <c r="H154" s="597"/>
      <c r="I154" s="597"/>
      <c r="J154" s="597"/>
    </row>
    <row r="155" spans="1:10">
      <c r="A155" s="597"/>
      <c r="B155" s="597"/>
      <c r="C155" s="598"/>
      <c r="D155" s="599"/>
      <c r="E155" s="597"/>
      <c r="F155" s="597"/>
      <c r="G155" s="597"/>
      <c r="H155" s="597"/>
      <c r="I155" s="597"/>
      <c r="J155" s="597"/>
    </row>
    <row r="156" spans="1:10">
      <c r="A156" s="597"/>
      <c r="B156" s="597"/>
      <c r="C156" s="598"/>
      <c r="D156" s="599"/>
      <c r="E156" s="597"/>
      <c r="F156" s="597"/>
      <c r="G156" s="597"/>
      <c r="H156" s="597"/>
      <c r="I156" s="597"/>
      <c r="J156" s="597"/>
    </row>
    <row r="157" spans="1:10">
      <c r="A157" s="597"/>
      <c r="B157" s="597"/>
      <c r="C157" s="598"/>
      <c r="D157" s="599"/>
      <c r="E157" s="597"/>
      <c r="F157" s="597"/>
      <c r="G157" s="597"/>
      <c r="H157" s="597"/>
      <c r="I157" s="597"/>
      <c r="J157" s="597"/>
    </row>
    <row r="158" spans="1:10">
      <c r="A158" s="597"/>
      <c r="B158" s="597"/>
      <c r="C158" s="598"/>
      <c r="D158" s="599"/>
      <c r="E158" s="597"/>
      <c r="F158" s="597"/>
      <c r="G158" s="597"/>
      <c r="H158" s="597"/>
      <c r="I158" s="597"/>
      <c r="J158" s="597"/>
    </row>
    <row r="159" spans="1:10">
      <c r="A159" s="597"/>
      <c r="B159" s="597"/>
      <c r="C159" s="598"/>
      <c r="D159" s="599"/>
      <c r="E159" s="597"/>
      <c r="F159" s="597"/>
      <c r="G159" s="597"/>
      <c r="H159" s="597"/>
      <c r="I159" s="597"/>
      <c r="J159" s="597"/>
    </row>
    <row r="160" spans="1:10">
      <c r="A160" s="597"/>
      <c r="B160" s="597"/>
      <c r="C160" s="598"/>
      <c r="D160" s="599"/>
      <c r="E160" s="597"/>
      <c r="F160" s="597"/>
      <c r="G160" s="597"/>
      <c r="H160" s="597"/>
      <c r="I160" s="597"/>
      <c r="J160" s="597"/>
    </row>
    <row r="161" spans="1:10">
      <c r="A161" s="597"/>
      <c r="B161" s="597"/>
      <c r="C161" s="598"/>
      <c r="D161" s="599"/>
      <c r="E161" s="597"/>
      <c r="F161" s="597"/>
      <c r="G161" s="597"/>
      <c r="H161" s="597"/>
      <c r="I161" s="597"/>
      <c r="J161" s="597"/>
    </row>
    <row r="162" spans="1:10">
      <c r="A162" s="597"/>
      <c r="B162" s="597"/>
      <c r="C162" s="598"/>
      <c r="D162" s="599"/>
      <c r="E162" s="597"/>
      <c r="F162" s="597"/>
      <c r="G162" s="597"/>
      <c r="H162" s="597"/>
      <c r="I162" s="597"/>
      <c r="J162" s="597"/>
    </row>
    <row r="163" spans="1:10">
      <c r="A163" s="597"/>
      <c r="B163" s="597"/>
      <c r="C163" s="598"/>
      <c r="D163" s="599"/>
      <c r="E163" s="597"/>
      <c r="F163" s="597"/>
      <c r="G163" s="597"/>
      <c r="H163" s="597"/>
      <c r="I163" s="597"/>
      <c r="J163" s="597"/>
    </row>
    <row r="164" spans="1:10">
      <c r="A164" s="597"/>
      <c r="B164" s="597"/>
      <c r="C164" s="598"/>
      <c r="D164" s="599"/>
      <c r="E164" s="597"/>
      <c r="F164" s="597"/>
      <c r="G164" s="597"/>
      <c r="H164" s="597"/>
      <c r="I164" s="597"/>
      <c r="J164" s="597"/>
    </row>
    <row r="165" spans="1:10">
      <c r="A165" s="597"/>
      <c r="B165" s="597"/>
      <c r="C165" s="598"/>
      <c r="D165" s="599"/>
      <c r="E165" s="597"/>
      <c r="F165" s="597"/>
      <c r="G165" s="597"/>
      <c r="H165" s="597"/>
      <c r="I165" s="597"/>
      <c r="J165" s="597"/>
    </row>
    <row r="166" spans="1:10">
      <c r="A166" s="597"/>
      <c r="B166" s="597"/>
      <c r="C166" s="598"/>
      <c r="D166" s="599"/>
      <c r="E166" s="597"/>
      <c r="F166" s="597"/>
      <c r="G166" s="597"/>
      <c r="H166" s="597"/>
      <c r="I166" s="597"/>
      <c r="J166" s="597"/>
    </row>
    <row r="167" spans="1:10">
      <c r="A167" s="597"/>
      <c r="B167" s="597"/>
      <c r="C167" s="598"/>
      <c r="D167" s="599"/>
      <c r="E167" s="597"/>
      <c r="F167" s="597"/>
      <c r="G167" s="597"/>
      <c r="H167" s="597"/>
      <c r="I167" s="597"/>
      <c r="J167" s="597"/>
    </row>
    <row r="168" spans="1:10">
      <c r="A168" s="597"/>
      <c r="B168" s="597"/>
      <c r="C168" s="598"/>
      <c r="D168" s="599"/>
      <c r="E168" s="597"/>
      <c r="F168" s="597"/>
      <c r="G168" s="597"/>
      <c r="H168" s="597"/>
      <c r="I168" s="597"/>
      <c r="J168" s="597"/>
    </row>
    <row r="169" spans="1:10">
      <c r="A169" s="597"/>
      <c r="B169" s="597"/>
      <c r="C169" s="598"/>
      <c r="D169" s="599"/>
      <c r="E169" s="597"/>
      <c r="F169" s="597"/>
      <c r="G169" s="597"/>
      <c r="H169" s="597"/>
      <c r="I169" s="597"/>
      <c r="J169" s="597"/>
    </row>
    <row r="170" spans="1:10">
      <c r="A170" s="597"/>
      <c r="B170" s="597"/>
      <c r="C170" s="598"/>
      <c r="D170" s="599"/>
      <c r="E170" s="597"/>
      <c r="F170" s="597"/>
      <c r="G170" s="597"/>
      <c r="H170" s="597"/>
      <c r="I170" s="597"/>
      <c r="J170" s="597"/>
    </row>
    <row r="171" spans="1:10">
      <c r="A171" s="597"/>
      <c r="B171" s="597"/>
      <c r="C171" s="598"/>
      <c r="D171" s="599"/>
      <c r="E171" s="597"/>
      <c r="F171" s="597"/>
      <c r="G171" s="597"/>
      <c r="H171" s="597"/>
      <c r="I171" s="597"/>
      <c r="J171" s="597"/>
    </row>
    <row r="172" spans="1:10">
      <c r="A172" s="597"/>
      <c r="B172" s="597"/>
      <c r="C172" s="598"/>
      <c r="D172" s="599"/>
      <c r="E172" s="597"/>
      <c r="F172" s="597"/>
      <c r="G172" s="597"/>
      <c r="H172" s="597"/>
      <c r="I172" s="597"/>
      <c r="J172" s="597"/>
    </row>
    <row r="173" spans="1:10">
      <c r="A173" s="597"/>
      <c r="B173" s="597"/>
      <c r="C173" s="598"/>
      <c r="D173" s="599"/>
      <c r="E173" s="597"/>
      <c r="F173" s="597"/>
      <c r="G173" s="597"/>
      <c r="H173" s="597"/>
      <c r="I173" s="597"/>
      <c r="J173" s="597"/>
    </row>
    <row r="174" spans="1:10">
      <c r="A174" s="597"/>
      <c r="B174" s="597"/>
      <c r="C174" s="598"/>
      <c r="D174" s="599"/>
      <c r="E174" s="597"/>
      <c r="F174" s="597"/>
      <c r="G174" s="597"/>
      <c r="H174" s="597"/>
      <c r="I174" s="597"/>
      <c r="J174" s="597"/>
    </row>
    <row r="175" spans="1:10">
      <c r="A175" s="597"/>
      <c r="B175" s="597"/>
      <c r="C175" s="598"/>
      <c r="D175" s="599"/>
      <c r="E175" s="597"/>
      <c r="F175" s="597"/>
      <c r="G175" s="597"/>
      <c r="H175" s="597"/>
      <c r="I175" s="597"/>
      <c r="J175" s="597"/>
    </row>
    <row r="176" spans="1:10">
      <c r="A176" s="597"/>
      <c r="B176" s="597"/>
      <c r="C176" s="598"/>
      <c r="D176" s="599"/>
      <c r="E176" s="597"/>
      <c r="F176" s="597"/>
      <c r="G176" s="597"/>
      <c r="H176" s="597"/>
      <c r="I176" s="597"/>
      <c r="J176" s="597"/>
    </row>
    <row r="177" spans="1:10">
      <c r="A177" s="597"/>
      <c r="B177" s="597"/>
      <c r="C177" s="598"/>
      <c r="D177" s="599"/>
      <c r="E177" s="597"/>
      <c r="F177" s="597"/>
      <c r="G177" s="597"/>
      <c r="H177" s="597"/>
      <c r="I177" s="597"/>
      <c r="J177" s="597"/>
    </row>
    <row r="178" spans="1:10">
      <c r="A178" s="597"/>
      <c r="B178" s="597"/>
      <c r="C178" s="598"/>
      <c r="D178" s="599"/>
      <c r="E178" s="597"/>
      <c r="F178" s="597"/>
      <c r="G178" s="597"/>
      <c r="H178" s="597"/>
      <c r="I178" s="597"/>
      <c r="J178" s="597"/>
    </row>
    <row r="179" spans="1:10">
      <c r="A179" s="597"/>
      <c r="B179" s="597"/>
      <c r="C179" s="598"/>
      <c r="D179" s="599"/>
      <c r="E179" s="597"/>
      <c r="F179" s="597"/>
      <c r="G179" s="597"/>
      <c r="H179" s="597"/>
      <c r="I179" s="597"/>
      <c r="J179" s="597"/>
    </row>
    <row r="180" spans="1:10">
      <c r="A180" s="597"/>
      <c r="B180" s="597"/>
      <c r="C180" s="598"/>
      <c r="D180" s="599"/>
      <c r="E180" s="597"/>
      <c r="F180" s="597"/>
      <c r="G180" s="597"/>
      <c r="H180" s="597"/>
      <c r="I180" s="597"/>
      <c r="J180" s="597"/>
    </row>
    <row r="181" spans="1:10">
      <c r="A181" s="597"/>
      <c r="B181" s="597"/>
      <c r="C181" s="598"/>
      <c r="D181" s="599"/>
      <c r="E181" s="597"/>
      <c r="F181" s="597"/>
      <c r="G181" s="597"/>
      <c r="H181" s="597"/>
      <c r="I181" s="597"/>
      <c r="J181" s="597"/>
    </row>
    <row r="182" spans="1:10">
      <c r="A182" s="597"/>
      <c r="B182" s="597"/>
      <c r="C182" s="598"/>
      <c r="D182" s="599"/>
      <c r="E182" s="597"/>
      <c r="F182" s="597"/>
      <c r="G182" s="597"/>
      <c r="H182" s="597"/>
      <c r="I182" s="597"/>
      <c r="J182" s="597"/>
    </row>
    <row r="183" spans="1:10">
      <c r="A183" s="597"/>
      <c r="B183" s="597"/>
      <c r="C183" s="598"/>
      <c r="D183" s="599"/>
      <c r="E183" s="597"/>
      <c r="F183" s="597"/>
      <c r="G183" s="597"/>
      <c r="H183" s="597"/>
      <c r="I183" s="597"/>
      <c r="J183" s="597"/>
    </row>
    <row r="184" spans="1:10">
      <c r="A184" s="597"/>
      <c r="B184" s="597"/>
      <c r="C184" s="598"/>
      <c r="D184" s="599"/>
      <c r="E184" s="597"/>
      <c r="F184" s="597"/>
      <c r="G184" s="597"/>
      <c r="H184" s="597"/>
      <c r="I184" s="597"/>
      <c r="J184" s="597"/>
    </row>
    <row r="185" spans="1:10">
      <c r="A185" s="597"/>
      <c r="B185" s="597"/>
      <c r="C185" s="598"/>
      <c r="D185" s="599"/>
      <c r="E185" s="597"/>
      <c r="F185" s="597"/>
      <c r="G185" s="597"/>
      <c r="H185" s="597"/>
      <c r="I185" s="597"/>
      <c r="J185" s="597"/>
    </row>
    <row r="186" spans="1:10">
      <c r="A186" s="597"/>
      <c r="B186" s="597"/>
      <c r="C186" s="598"/>
      <c r="D186" s="599"/>
      <c r="E186" s="597"/>
      <c r="F186" s="597"/>
      <c r="G186" s="597"/>
      <c r="H186" s="597"/>
      <c r="I186" s="597"/>
      <c r="J186" s="597"/>
    </row>
    <row r="187" spans="1:10">
      <c r="A187" s="597"/>
      <c r="B187" s="597"/>
      <c r="C187" s="598"/>
      <c r="D187" s="599"/>
      <c r="E187" s="597"/>
      <c r="F187" s="597"/>
      <c r="G187" s="597"/>
      <c r="H187" s="597"/>
      <c r="I187" s="597"/>
      <c r="J187" s="597"/>
    </row>
    <row r="188" spans="1:10">
      <c r="A188" s="597"/>
      <c r="B188" s="597"/>
      <c r="C188" s="598"/>
      <c r="D188" s="599"/>
      <c r="E188" s="597"/>
      <c r="F188" s="597"/>
      <c r="G188" s="597"/>
      <c r="H188" s="597"/>
      <c r="I188" s="597"/>
      <c r="J188" s="597"/>
    </row>
    <row r="189" spans="1:10">
      <c r="A189" s="597"/>
      <c r="B189" s="597"/>
      <c r="C189" s="598"/>
      <c r="D189" s="599"/>
      <c r="E189" s="597"/>
      <c r="F189" s="597"/>
      <c r="G189" s="597"/>
      <c r="H189" s="597"/>
      <c r="I189" s="597"/>
      <c r="J189" s="597"/>
    </row>
    <row r="190" spans="1:10">
      <c r="A190" s="597"/>
      <c r="B190" s="597"/>
      <c r="C190" s="598"/>
      <c r="D190" s="599"/>
      <c r="E190" s="597"/>
      <c r="F190" s="597"/>
      <c r="G190" s="597"/>
      <c r="H190" s="597"/>
      <c r="I190" s="597"/>
      <c r="J190" s="597"/>
    </row>
    <row r="191" spans="1:10">
      <c r="A191" s="597"/>
      <c r="B191" s="597"/>
      <c r="C191" s="598"/>
      <c r="D191" s="599"/>
      <c r="E191" s="597"/>
      <c r="F191" s="597"/>
      <c r="G191" s="597"/>
      <c r="H191" s="597"/>
      <c r="I191" s="597"/>
      <c r="J191" s="597"/>
    </row>
    <row r="192" spans="1:10">
      <c r="A192" s="597"/>
      <c r="B192" s="597"/>
      <c r="C192" s="598"/>
      <c r="D192" s="599"/>
      <c r="E192" s="597"/>
      <c r="F192" s="597"/>
      <c r="G192" s="597"/>
      <c r="H192" s="597"/>
      <c r="I192" s="597"/>
      <c r="J192" s="597"/>
    </row>
    <row r="193" spans="1:10">
      <c r="A193" s="597"/>
      <c r="B193" s="597"/>
      <c r="C193" s="598"/>
      <c r="D193" s="599"/>
      <c r="E193" s="597"/>
      <c r="F193" s="597"/>
      <c r="G193" s="597"/>
      <c r="H193" s="597"/>
      <c r="I193" s="597"/>
      <c r="J193" s="597"/>
    </row>
    <row r="194" spans="1:10">
      <c r="A194" s="597"/>
      <c r="B194" s="597"/>
      <c r="C194" s="598"/>
      <c r="D194" s="599"/>
      <c r="E194" s="597"/>
      <c r="F194" s="597"/>
      <c r="G194" s="597"/>
      <c r="H194" s="597"/>
      <c r="I194" s="597"/>
      <c r="J194" s="597"/>
    </row>
    <row r="195" spans="1:10">
      <c r="A195" s="597"/>
      <c r="B195" s="597"/>
      <c r="C195" s="598"/>
      <c r="D195" s="599"/>
      <c r="E195" s="597"/>
      <c r="F195" s="597"/>
      <c r="G195" s="597"/>
      <c r="H195" s="597"/>
      <c r="I195" s="597"/>
      <c r="J195" s="597"/>
    </row>
    <row r="196" spans="1:10">
      <c r="A196" s="597"/>
      <c r="B196" s="597"/>
      <c r="C196" s="598"/>
      <c r="D196" s="599"/>
      <c r="E196" s="597"/>
      <c r="F196" s="597"/>
      <c r="G196" s="597"/>
      <c r="H196" s="597"/>
      <c r="I196" s="597"/>
      <c r="J196" s="597"/>
    </row>
    <row r="197" spans="1:10">
      <c r="A197" s="597"/>
      <c r="B197" s="597"/>
      <c r="C197" s="598"/>
      <c r="D197" s="599"/>
      <c r="E197" s="597"/>
      <c r="F197" s="597"/>
      <c r="G197" s="597"/>
      <c r="H197" s="597"/>
      <c r="I197" s="597"/>
      <c r="J197" s="597"/>
    </row>
    <row r="198" spans="1:10">
      <c r="A198" s="597"/>
      <c r="B198" s="597"/>
      <c r="C198" s="598"/>
      <c r="D198" s="599"/>
      <c r="E198" s="597"/>
      <c r="F198" s="597"/>
      <c r="G198" s="597"/>
      <c r="H198" s="597"/>
      <c r="I198" s="597"/>
      <c r="J198" s="597"/>
    </row>
    <row r="199" spans="1:10">
      <c r="A199" s="597"/>
      <c r="B199" s="597"/>
      <c r="C199" s="598"/>
      <c r="D199" s="599"/>
      <c r="E199" s="597"/>
      <c r="F199" s="597"/>
      <c r="G199" s="597"/>
      <c r="H199" s="597"/>
      <c r="I199" s="597"/>
      <c r="J199" s="597"/>
    </row>
    <row r="200" spans="1:10">
      <c r="A200" s="597"/>
      <c r="B200" s="597"/>
      <c r="C200" s="598"/>
      <c r="D200" s="599"/>
      <c r="E200" s="597"/>
      <c r="F200" s="597"/>
      <c r="G200" s="597"/>
      <c r="H200" s="597"/>
      <c r="I200" s="597"/>
      <c r="J200" s="597"/>
    </row>
    <row r="201" spans="1:10">
      <c r="A201" s="597"/>
      <c r="B201" s="597"/>
      <c r="C201" s="598"/>
      <c r="D201" s="599"/>
      <c r="E201" s="597"/>
      <c r="F201" s="597"/>
      <c r="G201" s="597"/>
      <c r="H201" s="597"/>
      <c r="I201" s="597"/>
      <c r="J201" s="597"/>
    </row>
    <row r="202" spans="1:10">
      <c r="A202" s="597"/>
      <c r="B202" s="597"/>
      <c r="C202" s="598"/>
      <c r="D202" s="599"/>
      <c r="E202" s="597"/>
      <c r="F202" s="597"/>
      <c r="G202" s="597"/>
      <c r="H202" s="597"/>
      <c r="I202" s="597"/>
      <c r="J202" s="597"/>
    </row>
    <row r="203" spans="1:10">
      <c r="A203" s="597"/>
      <c r="B203" s="597"/>
      <c r="C203" s="598"/>
      <c r="D203" s="599"/>
      <c r="E203" s="597"/>
      <c r="F203" s="597"/>
      <c r="G203" s="597"/>
      <c r="H203" s="597"/>
      <c r="I203" s="597"/>
      <c r="J203" s="597"/>
    </row>
    <row r="204" spans="1:10">
      <c r="A204" s="597"/>
      <c r="B204" s="597"/>
      <c r="C204" s="598"/>
      <c r="D204" s="599"/>
      <c r="E204" s="597"/>
      <c r="F204" s="597"/>
      <c r="G204" s="597"/>
      <c r="H204" s="597"/>
      <c r="I204" s="597"/>
      <c r="J204" s="597"/>
    </row>
    <row r="205" spans="1:10">
      <c r="A205" s="597"/>
      <c r="B205" s="597"/>
      <c r="C205" s="598"/>
      <c r="D205" s="599"/>
      <c r="E205" s="597"/>
      <c r="F205" s="597"/>
      <c r="G205" s="597"/>
      <c r="H205" s="597"/>
      <c r="I205" s="597"/>
      <c r="J205" s="597"/>
    </row>
    <row r="206" spans="1:10">
      <c r="A206" s="597"/>
      <c r="B206" s="597"/>
      <c r="C206" s="598"/>
      <c r="D206" s="599"/>
      <c r="E206" s="597"/>
      <c r="F206" s="597"/>
      <c r="G206" s="597"/>
      <c r="H206" s="597"/>
      <c r="I206" s="597"/>
      <c r="J206" s="597"/>
    </row>
    <row r="207" spans="1:10">
      <c r="A207" s="597"/>
      <c r="B207" s="597"/>
      <c r="C207" s="598"/>
      <c r="D207" s="599"/>
      <c r="E207" s="597"/>
      <c r="F207" s="597"/>
      <c r="G207" s="597"/>
      <c r="H207" s="597"/>
      <c r="I207" s="597"/>
      <c r="J207" s="597"/>
    </row>
    <row r="208" spans="1:10">
      <c r="A208" s="597"/>
      <c r="B208" s="597"/>
      <c r="C208" s="598"/>
      <c r="D208" s="599"/>
      <c r="E208" s="597"/>
      <c r="F208" s="597"/>
      <c r="G208" s="597"/>
      <c r="H208" s="597"/>
      <c r="I208" s="597"/>
      <c r="J208" s="597"/>
    </row>
    <row r="209" spans="1:10">
      <c r="A209" s="597"/>
      <c r="B209" s="597"/>
      <c r="C209" s="598"/>
      <c r="D209" s="599"/>
      <c r="E209" s="597"/>
      <c r="F209" s="597"/>
      <c r="G209" s="597"/>
      <c r="H209" s="597"/>
      <c r="I209" s="597"/>
      <c r="J209" s="597"/>
    </row>
    <row r="210" spans="1:10">
      <c r="A210" s="597"/>
      <c r="B210" s="597"/>
      <c r="C210" s="598"/>
      <c r="D210" s="599"/>
      <c r="E210" s="597"/>
      <c r="F210" s="597"/>
      <c r="G210" s="597"/>
      <c r="H210" s="597"/>
      <c r="I210" s="597"/>
      <c r="J210" s="597"/>
    </row>
    <row r="211" spans="1:10">
      <c r="A211" s="597"/>
      <c r="B211" s="597"/>
      <c r="C211" s="598"/>
      <c r="D211" s="599"/>
      <c r="E211" s="597"/>
      <c r="F211" s="597"/>
      <c r="G211" s="597"/>
      <c r="H211" s="597"/>
      <c r="I211" s="597"/>
      <c r="J211" s="597"/>
    </row>
    <row r="212" spans="1:10">
      <c r="A212" s="597"/>
      <c r="B212" s="597"/>
      <c r="C212" s="598"/>
      <c r="D212" s="599"/>
      <c r="E212" s="597"/>
      <c r="F212" s="597"/>
      <c r="G212" s="597"/>
      <c r="H212" s="597"/>
      <c r="I212" s="597"/>
      <c r="J212" s="597"/>
    </row>
    <row r="213" spans="1:10">
      <c r="A213" s="597"/>
      <c r="B213" s="597"/>
      <c r="C213" s="598"/>
      <c r="D213" s="599"/>
      <c r="E213" s="597"/>
      <c r="F213" s="597"/>
      <c r="G213" s="597"/>
      <c r="H213" s="597"/>
      <c r="I213" s="597"/>
      <c r="J213" s="597"/>
    </row>
    <row r="214" spans="1:10">
      <c r="A214" s="597"/>
      <c r="B214" s="597"/>
      <c r="C214" s="598"/>
      <c r="D214" s="599"/>
      <c r="E214" s="597"/>
      <c r="F214" s="597"/>
      <c r="G214" s="597"/>
      <c r="H214" s="597"/>
      <c r="I214" s="597"/>
      <c r="J214" s="597"/>
    </row>
    <row r="215" spans="1:10">
      <c r="A215" s="597"/>
      <c r="B215" s="597"/>
      <c r="C215" s="598"/>
      <c r="D215" s="599"/>
      <c r="E215" s="597"/>
      <c r="F215" s="597"/>
      <c r="G215" s="597"/>
      <c r="H215" s="597"/>
      <c r="I215" s="597"/>
      <c r="J215" s="597"/>
    </row>
    <row r="216" spans="1:10">
      <c r="A216" s="597"/>
      <c r="B216" s="597"/>
      <c r="C216" s="598"/>
      <c r="D216" s="599"/>
      <c r="E216" s="597"/>
      <c r="F216" s="597"/>
      <c r="G216" s="597"/>
      <c r="H216" s="597"/>
      <c r="I216" s="597"/>
      <c r="J216" s="597"/>
    </row>
    <row r="217" spans="1:10">
      <c r="A217" s="597"/>
      <c r="B217" s="597"/>
      <c r="C217" s="598"/>
      <c r="D217" s="599"/>
      <c r="E217" s="597"/>
      <c r="F217" s="597"/>
      <c r="G217" s="597"/>
      <c r="H217" s="597"/>
      <c r="I217" s="597"/>
      <c r="J217" s="597"/>
    </row>
    <row r="218" spans="1:10">
      <c r="A218" s="597"/>
      <c r="B218" s="597"/>
      <c r="C218" s="598"/>
      <c r="D218" s="599"/>
      <c r="E218" s="597"/>
      <c r="F218" s="597"/>
      <c r="G218" s="597"/>
      <c r="H218" s="597"/>
      <c r="I218" s="597"/>
      <c r="J218" s="597"/>
    </row>
    <row r="219" spans="1:10">
      <c r="A219" s="597"/>
      <c r="B219" s="597"/>
      <c r="C219" s="598"/>
      <c r="D219" s="599"/>
      <c r="E219" s="597"/>
      <c r="F219" s="597"/>
      <c r="G219" s="597"/>
      <c r="H219" s="597"/>
      <c r="I219" s="597"/>
      <c r="J219" s="597"/>
    </row>
    <row r="220" spans="1:10">
      <c r="A220" s="597"/>
      <c r="B220" s="597"/>
      <c r="C220" s="598"/>
      <c r="D220" s="599"/>
      <c r="E220" s="597"/>
      <c r="F220" s="597"/>
      <c r="G220" s="597"/>
      <c r="H220" s="597"/>
      <c r="I220" s="597"/>
      <c r="J220" s="597"/>
    </row>
    <row r="221" spans="1:10">
      <c r="A221" s="597"/>
      <c r="B221" s="597"/>
      <c r="C221" s="598"/>
      <c r="D221" s="599"/>
      <c r="E221" s="597"/>
      <c r="F221" s="597"/>
      <c r="G221" s="597"/>
      <c r="H221" s="597"/>
      <c r="I221" s="597"/>
      <c r="J221" s="597"/>
    </row>
    <row r="222" spans="1:10">
      <c r="A222" s="597"/>
      <c r="B222" s="597"/>
      <c r="C222" s="598"/>
      <c r="D222" s="599"/>
      <c r="E222" s="597"/>
      <c r="F222" s="597"/>
      <c r="G222" s="597"/>
      <c r="H222" s="597"/>
      <c r="I222" s="597"/>
      <c r="J222" s="597"/>
    </row>
    <row r="223" spans="1:10">
      <c r="A223" s="597"/>
      <c r="B223" s="597"/>
      <c r="C223" s="598"/>
      <c r="D223" s="599"/>
      <c r="E223" s="597"/>
      <c r="F223" s="597"/>
      <c r="G223" s="597"/>
      <c r="H223" s="597"/>
      <c r="I223" s="597"/>
      <c r="J223" s="597"/>
    </row>
    <row r="224" spans="1:10">
      <c r="A224" s="597"/>
      <c r="B224" s="597"/>
      <c r="C224" s="598"/>
      <c r="D224" s="599"/>
      <c r="E224" s="597"/>
      <c r="F224" s="597"/>
      <c r="G224" s="597"/>
      <c r="H224" s="597"/>
      <c r="I224" s="597"/>
      <c r="J224" s="597"/>
    </row>
    <row r="225" spans="1:10">
      <c r="A225" s="597"/>
      <c r="B225" s="597"/>
      <c r="C225" s="598"/>
      <c r="D225" s="599"/>
      <c r="E225" s="597"/>
      <c r="F225" s="597"/>
      <c r="G225" s="597"/>
      <c r="H225" s="597"/>
      <c r="I225" s="597"/>
      <c r="J225" s="597"/>
    </row>
    <row r="226" spans="1:10">
      <c r="A226" s="597"/>
      <c r="B226" s="597"/>
      <c r="C226" s="598"/>
      <c r="D226" s="599"/>
      <c r="E226" s="597"/>
      <c r="F226" s="597"/>
      <c r="G226" s="597"/>
      <c r="H226" s="597"/>
      <c r="I226" s="597"/>
      <c r="J226" s="597"/>
    </row>
    <row r="227" spans="1:10">
      <c r="A227" s="597"/>
      <c r="B227" s="597"/>
      <c r="C227" s="598"/>
      <c r="D227" s="599"/>
      <c r="E227" s="597"/>
      <c r="F227" s="597"/>
      <c r="G227" s="597"/>
      <c r="H227" s="597"/>
      <c r="I227" s="597"/>
      <c r="J227" s="597"/>
    </row>
    <row r="228" spans="1:10">
      <c r="A228" s="597"/>
      <c r="B228" s="597"/>
      <c r="C228" s="598"/>
      <c r="D228" s="599"/>
      <c r="E228" s="597"/>
      <c r="F228" s="597"/>
      <c r="G228" s="597"/>
      <c r="H228" s="597"/>
      <c r="I228" s="597"/>
      <c r="J228" s="597"/>
    </row>
    <row r="229" spans="1:10">
      <c r="A229" s="597"/>
      <c r="B229" s="597"/>
      <c r="C229" s="598"/>
      <c r="D229" s="599"/>
      <c r="E229" s="597"/>
      <c r="F229" s="597"/>
      <c r="G229" s="597"/>
      <c r="H229" s="597"/>
      <c r="I229" s="597"/>
      <c r="J229" s="597"/>
    </row>
    <row r="230" spans="1:10">
      <c r="A230" s="597"/>
      <c r="B230" s="597"/>
      <c r="C230" s="598"/>
      <c r="D230" s="599"/>
      <c r="E230" s="597"/>
      <c r="F230" s="597"/>
      <c r="G230" s="597"/>
      <c r="H230" s="597"/>
      <c r="I230" s="597"/>
      <c r="J230" s="597"/>
    </row>
    <row r="231" spans="1:10">
      <c r="A231" s="597"/>
      <c r="B231" s="597"/>
      <c r="C231" s="598"/>
      <c r="D231" s="599"/>
      <c r="E231" s="597"/>
      <c r="F231" s="597"/>
      <c r="G231" s="597"/>
      <c r="H231" s="597"/>
      <c r="I231" s="597"/>
      <c r="J231" s="597"/>
    </row>
    <row r="232" spans="1:10">
      <c r="A232" s="597"/>
      <c r="B232" s="597"/>
      <c r="C232" s="598"/>
      <c r="D232" s="599"/>
      <c r="E232" s="597"/>
      <c r="F232" s="597"/>
      <c r="G232" s="597"/>
      <c r="H232" s="597"/>
      <c r="I232" s="597"/>
      <c r="J232" s="597"/>
    </row>
    <row r="233" spans="1:10">
      <c r="A233" s="597"/>
      <c r="B233" s="597"/>
      <c r="C233" s="598"/>
      <c r="D233" s="599"/>
      <c r="E233" s="597"/>
      <c r="F233" s="597"/>
      <c r="G233" s="597"/>
      <c r="H233" s="597"/>
      <c r="I233" s="597"/>
      <c r="J233" s="597"/>
    </row>
    <row r="234" spans="1:10">
      <c r="A234" s="597"/>
      <c r="B234" s="597"/>
      <c r="C234" s="598"/>
      <c r="D234" s="599"/>
      <c r="E234" s="597"/>
      <c r="F234" s="597"/>
      <c r="G234" s="597"/>
      <c r="H234" s="597"/>
      <c r="I234" s="597"/>
      <c r="J234" s="597"/>
    </row>
    <row r="235" spans="1:10">
      <c r="A235" s="597"/>
      <c r="B235" s="597"/>
      <c r="C235" s="598"/>
      <c r="D235" s="599"/>
      <c r="E235" s="597"/>
      <c r="F235" s="597"/>
      <c r="G235" s="597"/>
      <c r="H235" s="597"/>
      <c r="I235" s="597"/>
      <c r="J235" s="597"/>
    </row>
    <row r="236" spans="1:10">
      <c r="A236" s="597"/>
      <c r="B236" s="597"/>
      <c r="C236" s="598"/>
      <c r="D236" s="599"/>
      <c r="E236" s="597"/>
      <c r="F236" s="597"/>
      <c r="G236" s="597"/>
      <c r="H236" s="597"/>
      <c r="I236" s="597"/>
      <c r="J236" s="597"/>
    </row>
    <row r="237" spans="1:10">
      <c r="A237" s="597"/>
      <c r="B237" s="597"/>
      <c r="C237" s="598"/>
      <c r="D237" s="599"/>
      <c r="E237" s="597"/>
      <c r="F237" s="597"/>
      <c r="G237" s="597"/>
      <c r="H237" s="597"/>
      <c r="I237" s="597"/>
      <c r="J237" s="597"/>
    </row>
    <row r="238" spans="1:10">
      <c r="A238" s="597"/>
      <c r="B238" s="597"/>
      <c r="C238" s="598"/>
      <c r="D238" s="599"/>
      <c r="E238" s="597"/>
      <c r="F238" s="597"/>
      <c r="G238" s="597"/>
      <c r="H238" s="597"/>
      <c r="I238" s="597"/>
      <c r="J238" s="597"/>
    </row>
    <row r="239" spans="1:10">
      <c r="A239" s="597"/>
      <c r="B239" s="597"/>
      <c r="C239" s="598"/>
      <c r="D239" s="599"/>
      <c r="E239" s="597"/>
      <c r="F239" s="597"/>
      <c r="G239" s="597"/>
      <c r="H239" s="597"/>
      <c r="I239" s="597"/>
      <c r="J239" s="597"/>
    </row>
  </sheetData>
  <mergeCells count="7">
    <mergeCell ref="J4:J5"/>
    <mergeCell ref="A4:A5"/>
    <mergeCell ref="B4:B5"/>
    <mergeCell ref="C4:D5"/>
    <mergeCell ref="E4:E5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BFB5-8FF9-45DE-A5DA-E946B7E2EEAF}">
  <sheetPr>
    <tabColor theme="7" tint="0.39997558519241921"/>
  </sheetPr>
  <dimension ref="A1:K65"/>
  <sheetViews>
    <sheetView showGridLines="0" topLeftCell="B2" workbookViewId="0">
      <pane xSplit="5" ySplit="5" topLeftCell="G22" activePane="bottomRight" state="frozen"/>
      <selection pane="bottomRight" activeCell="F34" sqref="F34"/>
      <selection pane="bottomLeft" activeCell="B7" sqref="B7"/>
      <selection pane="topRight" activeCell="G2" sqref="G2"/>
    </sheetView>
  </sheetViews>
  <sheetFormatPr defaultRowHeight="14.45"/>
  <cols>
    <col min="1" max="1" width="2.5703125" customWidth="1"/>
    <col min="2" max="2" width="12.42578125" bestFit="1" customWidth="1"/>
    <col min="3" max="3" width="6.42578125" bestFit="1" customWidth="1"/>
    <col min="4" max="4" width="3" customWidth="1"/>
    <col min="5" max="5" width="39.42578125" customWidth="1"/>
    <col min="6" max="6" width="8" bestFit="1" customWidth="1"/>
    <col min="7" max="10" width="16.5703125" style="121" customWidth="1"/>
    <col min="11" max="11" width="30.42578125" bestFit="1" customWidth="1"/>
  </cols>
  <sheetData>
    <row r="1" spans="1:11">
      <c r="B1" s="342" t="s">
        <v>34</v>
      </c>
      <c r="C1" s="596"/>
    </row>
    <row r="2" spans="1:11">
      <c r="B2" s="342" t="s">
        <v>35</v>
      </c>
    </row>
    <row r="3" spans="1:11">
      <c r="A3" s="342"/>
    </row>
    <row r="4" spans="1:11">
      <c r="A4" s="342"/>
    </row>
    <row r="5" spans="1:11">
      <c r="B5" s="2331" t="s">
        <v>1</v>
      </c>
      <c r="C5" s="2331" t="s">
        <v>2</v>
      </c>
      <c r="D5" s="2334" t="s">
        <v>3</v>
      </c>
      <c r="E5" s="2335"/>
      <c r="F5" s="2338" t="s">
        <v>4</v>
      </c>
      <c r="G5" s="2340" t="s">
        <v>5</v>
      </c>
      <c r="H5" s="2341"/>
      <c r="I5" s="2342" t="s">
        <v>6</v>
      </c>
      <c r="J5" s="2342"/>
      <c r="K5" s="2331" t="s">
        <v>7</v>
      </c>
    </row>
    <row r="6" spans="1:11">
      <c r="B6" s="2333"/>
      <c r="C6" s="2333"/>
      <c r="D6" s="2336"/>
      <c r="E6" s="2337"/>
      <c r="F6" s="2339"/>
      <c r="G6" s="594" t="s">
        <v>8</v>
      </c>
      <c r="H6" s="594" t="s">
        <v>9</v>
      </c>
      <c r="I6" s="595" t="s">
        <v>8</v>
      </c>
      <c r="J6" s="595" t="s">
        <v>9</v>
      </c>
      <c r="K6" s="2332"/>
    </row>
    <row r="7" spans="1:11">
      <c r="B7" s="597"/>
      <c r="C7" s="597"/>
      <c r="D7" s="598"/>
      <c r="E7" s="599"/>
      <c r="F7" s="597"/>
      <c r="G7" s="600"/>
      <c r="H7" s="600"/>
      <c r="I7" s="600"/>
      <c r="J7" s="600"/>
      <c r="K7" s="597"/>
    </row>
    <row r="8" spans="1:11">
      <c r="B8" s="597" t="s">
        <v>10</v>
      </c>
      <c r="C8" s="597"/>
      <c r="D8" s="599" t="s">
        <v>11</v>
      </c>
      <c r="E8" s="599"/>
      <c r="F8" s="597"/>
      <c r="G8" s="600">
        <f>H9</f>
        <v>101208651861</v>
      </c>
      <c r="H8" s="600"/>
      <c r="I8" s="600"/>
      <c r="J8" s="600"/>
      <c r="K8" s="597" t="s">
        <v>12</v>
      </c>
    </row>
    <row r="9" spans="1:11">
      <c r="B9" s="597" t="str">
        <f>B8</f>
        <v>ELIM 1</v>
      </c>
      <c r="C9" s="597"/>
      <c r="D9" s="598"/>
      <c r="E9" s="599" t="s">
        <v>13</v>
      </c>
      <c r="F9" s="597"/>
      <c r="G9" s="600"/>
      <c r="H9" s="600">
        <v>101208651861</v>
      </c>
      <c r="I9" s="600"/>
      <c r="J9" s="600"/>
      <c r="K9" s="597" t="str">
        <f>K8</f>
        <v xml:space="preserve">Eleminasi Utang Piutang Keuangan </v>
      </c>
    </row>
    <row r="10" spans="1:11">
      <c r="B10" s="597"/>
      <c r="C10" s="597"/>
      <c r="D10" s="598"/>
      <c r="E10" s="599"/>
      <c r="F10" s="597"/>
      <c r="G10" s="600"/>
      <c r="H10" s="600"/>
      <c r="I10" s="600"/>
      <c r="J10" s="600"/>
      <c r="K10" s="597"/>
    </row>
    <row r="11" spans="1:11">
      <c r="B11" s="597" t="s">
        <v>14</v>
      </c>
      <c r="C11" s="597"/>
      <c r="D11" s="598" t="s">
        <v>15</v>
      </c>
      <c r="E11" s="599"/>
      <c r="F11" s="597"/>
      <c r="G11" s="600">
        <v>58472629508</v>
      </c>
      <c r="H11" s="600"/>
      <c r="I11" s="600"/>
      <c r="J11" s="600"/>
      <c r="K11" s="597" t="s">
        <v>16</v>
      </c>
    </row>
    <row r="12" spans="1:11">
      <c r="B12" s="597" t="str">
        <f>B11</f>
        <v>ELIM 2</v>
      </c>
      <c r="C12" s="597"/>
      <c r="D12" s="598"/>
      <c r="E12" s="599" t="s">
        <v>17</v>
      </c>
      <c r="F12" s="597"/>
      <c r="G12" s="600"/>
      <c r="H12" s="600">
        <f>G11</f>
        <v>58472629508</v>
      </c>
      <c r="I12" s="600"/>
      <c r="J12" s="600"/>
      <c r="K12" s="597" t="str">
        <f>K11</f>
        <v xml:space="preserve">Eleminasi Utang Piutang </v>
      </c>
    </row>
    <row r="13" spans="1:11">
      <c r="B13" s="597"/>
      <c r="C13" s="597"/>
      <c r="D13" s="598"/>
      <c r="E13" s="599"/>
      <c r="F13" s="597"/>
      <c r="G13" s="600"/>
      <c r="H13" s="600"/>
      <c r="I13" s="600"/>
      <c r="J13" s="600"/>
      <c r="K13" s="597"/>
    </row>
    <row r="14" spans="1:11">
      <c r="B14" s="597" t="s">
        <v>18</v>
      </c>
      <c r="C14" s="597"/>
      <c r="D14" s="598" t="s">
        <v>17</v>
      </c>
      <c r="E14" s="599"/>
      <c r="F14" s="597"/>
      <c r="G14" s="600">
        <f>H15</f>
        <v>2563261534</v>
      </c>
      <c r="H14" s="600"/>
      <c r="I14" s="600"/>
      <c r="J14" s="600"/>
      <c r="K14" s="597" t="s">
        <v>16</v>
      </c>
    </row>
    <row r="15" spans="1:11">
      <c r="B15" s="597" t="str">
        <f>B14</f>
        <v>ELIM 3</v>
      </c>
      <c r="C15" s="597"/>
      <c r="D15" s="598"/>
      <c r="E15" s="599" t="s">
        <v>15</v>
      </c>
      <c r="F15" s="597"/>
      <c r="G15" s="600"/>
      <c r="H15" s="600">
        <v>2563261534</v>
      </c>
      <c r="I15" s="600"/>
      <c r="J15" s="600"/>
      <c r="K15" s="597" t="str">
        <f>K14</f>
        <v xml:space="preserve">Eleminasi Utang Piutang </v>
      </c>
    </row>
    <row r="16" spans="1:11">
      <c r="B16" s="597"/>
      <c r="C16" s="597"/>
      <c r="D16" s="598"/>
      <c r="E16" s="599"/>
      <c r="F16" s="597"/>
      <c r="G16" s="600"/>
      <c r="H16" s="600"/>
      <c r="I16" s="600"/>
      <c r="J16" s="600"/>
      <c r="K16" s="597"/>
    </row>
    <row r="17" spans="2:11">
      <c r="B17" s="597" t="s">
        <v>19</v>
      </c>
      <c r="C17" s="597"/>
      <c r="D17" s="598" t="s">
        <v>36</v>
      </c>
      <c r="E17" s="599"/>
      <c r="F17" s="597"/>
      <c r="G17" s="600">
        <v>1050000000</v>
      </c>
      <c r="H17" s="600"/>
      <c r="I17" s="600"/>
      <c r="J17" s="600"/>
      <c r="K17" s="597" t="s">
        <v>37</v>
      </c>
    </row>
    <row r="18" spans="2:11">
      <c r="B18" s="597" t="str">
        <f>B17</f>
        <v>ELIM 4</v>
      </c>
      <c r="C18" s="597"/>
      <c r="D18" s="598"/>
      <c r="E18" s="599" t="s">
        <v>38</v>
      </c>
      <c r="F18" s="597"/>
      <c r="G18" s="600"/>
      <c r="H18" s="600">
        <f>G17</f>
        <v>1050000000</v>
      </c>
      <c r="I18" s="600"/>
      <c r="J18" s="600"/>
      <c r="K18" s="597" t="str">
        <f>K17</f>
        <v>Eleminasi IAS Investasi pada Anak</v>
      </c>
    </row>
    <row r="19" spans="2:11">
      <c r="B19" s="597"/>
      <c r="C19" s="597"/>
      <c r="D19" s="598"/>
      <c r="E19" s="599"/>
      <c r="F19" s="597"/>
      <c r="G19" s="600"/>
      <c r="H19" s="600"/>
      <c r="I19" s="600"/>
      <c r="J19" s="600"/>
      <c r="K19" s="597"/>
    </row>
    <row r="20" spans="2:11">
      <c r="B20" s="597"/>
      <c r="C20" s="597"/>
      <c r="D20" s="598"/>
      <c r="E20" s="599"/>
      <c r="F20" s="597"/>
      <c r="G20" s="600"/>
      <c r="H20" s="600"/>
      <c r="I20" s="600"/>
      <c r="J20" s="600"/>
      <c r="K20" s="597"/>
    </row>
    <row r="21" spans="2:11">
      <c r="B21" s="597" t="s">
        <v>26</v>
      </c>
      <c r="C21" s="597"/>
      <c r="D21" s="650" t="s">
        <v>20</v>
      </c>
      <c r="E21" s="651"/>
      <c r="F21" s="652"/>
      <c r="G21" s="600"/>
      <c r="H21" s="600"/>
      <c r="I21" s="600">
        <v>12316866928</v>
      </c>
      <c r="J21" s="600"/>
      <c r="K21" s="597" t="s">
        <v>21</v>
      </c>
    </row>
    <row r="22" spans="2:11">
      <c r="B22" s="597" t="s">
        <v>26</v>
      </c>
      <c r="C22" s="597"/>
      <c r="D22" s="650" t="s">
        <v>22</v>
      </c>
      <c r="E22" s="651"/>
      <c r="F22" s="652"/>
      <c r="G22" s="600"/>
      <c r="H22" s="600"/>
      <c r="I22" s="600">
        <v>194016790</v>
      </c>
      <c r="J22" s="600"/>
      <c r="K22" s="597" t="str">
        <f>K21</f>
        <v>Eleminasi Penjualan ISP to IAS</v>
      </c>
    </row>
    <row r="23" spans="2:11">
      <c r="B23" s="597" t="s">
        <v>26</v>
      </c>
      <c r="C23" s="597"/>
      <c r="D23" s="650" t="s">
        <v>23</v>
      </c>
      <c r="E23" s="651"/>
      <c r="F23" s="652"/>
      <c r="G23" s="600"/>
      <c r="H23" s="600"/>
      <c r="I23" s="600">
        <v>1056351000</v>
      </c>
      <c r="J23" s="600"/>
      <c r="K23" s="597" t="str">
        <f t="shared" ref="K23:K25" si="0">K22</f>
        <v>Eleminasi Penjualan ISP to IAS</v>
      </c>
    </row>
    <row r="24" spans="2:11">
      <c r="B24" s="597" t="s">
        <v>26</v>
      </c>
      <c r="C24" s="597"/>
      <c r="D24" s="650"/>
      <c r="E24" s="651" t="s">
        <v>24</v>
      </c>
      <c r="F24" s="652"/>
      <c r="G24" s="600"/>
      <c r="H24" s="600"/>
      <c r="I24" s="600"/>
      <c r="J24" s="600">
        <v>12316866928</v>
      </c>
      <c r="K24" s="597" t="str">
        <f>K23</f>
        <v>Eleminasi Penjualan ISP to IAS</v>
      </c>
    </row>
    <row r="25" spans="2:11">
      <c r="B25" s="597" t="s">
        <v>26</v>
      </c>
      <c r="C25" s="597"/>
      <c r="D25" s="650"/>
      <c r="E25" s="651" t="s">
        <v>25</v>
      </c>
      <c r="F25" s="652"/>
      <c r="G25" s="600"/>
      <c r="H25" s="600"/>
      <c r="I25" s="600"/>
      <c r="J25" s="600">
        <v>1250367790</v>
      </c>
      <c r="K25" s="597" t="str">
        <f t="shared" si="0"/>
        <v>Eleminasi Penjualan ISP to IAS</v>
      </c>
    </row>
    <row r="26" spans="2:11">
      <c r="B26" s="597"/>
      <c r="C26" s="597"/>
      <c r="D26" s="650"/>
      <c r="E26" s="651"/>
      <c r="F26" s="652"/>
      <c r="G26" s="600"/>
      <c r="H26" s="600"/>
      <c r="I26" s="600"/>
      <c r="J26" s="600"/>
      <c r="K26" s="597"/>
    </row>
    <row r="27" spans="2:11">
      <c r="B27" s="597" t="s">
        <v>39</v>
      </c>
      <c r="C27" s="597"/>
      <c r="D27" s="650" t="s">
        <v>27</v>
      </c>
      <c r="E27" s="651"/>
      <c r="F27" s="652"/>
      <c r="G27" s="600"/>
      <c r="H27" s="600"/>
      <c r="I27" s="600">
        <v>6225265015</v>
      </c>
      <c r="J27" s="600"/>
      <c r="K27" s="597" t="s">
        <v>28</v>
      </c>
    </row>
    <row r="28" spans="2:11">
      <c r="B28" s="597" t="s">
        <v>39</v>
      </c>
      <c r="C28" s="597"/>
      <c r="D28" s="650"/>
      <c r="E28" s="651" t="s">
        <v>40</v>
      </c>
      <c r="F28" s="652"/>
      <c r="G28" s="600"/>
      <c r="H28" s="600"/>
      <c r="I28" s="600"/>
      <c r="J28" s="600">
        <f>I27</f>
        <v>6225265015</v>
      </c>
      <c r="K28" s="597" t="str">
        <f>K27</f>
        <v>Eleminasi Penjualan IAS to ISP</v>
      </c>
    </row>
    <row r="29" spans="2:11">
      <c r="B29" s="597"/>
      <c r="C29" s="597"/>
      <c r="D29" s="598"/>
      <c r="E29" s="599"/>
      <c r="F29" s="597"/>
      <c r="G29" s="600"/>
      <c r="H29" s="600"/>
      <c r="I29" s="600"/>
      <c r="J29" s="600"/>
      <c r="K29" s="597"/>
    </row>
    <row r="30" spans="2:11">
      <c r="B30" s="597" t="s">
        <v>31</v>
      </c>
      <c r="C30" s="597"/>
      <c r="D30" s="598" t="s">
        <v>32</v>
      </c>
      <c r="E30" s="599"/>
      <c r="F30" s="597"/>
      <c r="G30" s="600"/>
      <c r="H30" s="600"/>
      <c r="I30" s="600">
        <v>5868638298</v>
      </c>
      <c r="J30" s="600"/>
      <c r="K30" s="597"/>
    </row>
    <row r="31" spans="2:11">
      <c r="B31" s="597" t="str">
        <f>B30</f>
        <v>ELIM 7</v>
      </c>
      <c r="C31" s="597"/>
      <c r="D31" s="598"/>
      <c r="E31" s="599" t="s">
        <v>33</v>
      </c>
      <c r="F31" s="597"/>
      <c r="G31" s="600"/>
      <c r="H31" s="600"/>
      <c r="I31" s="600"/>
      <c r="J31" s="600">
        <f>I30</f>
        <v>5868638298</v>
      </c>
      <c r="K31" s="597"/>
    </row>
    <row r="32" spans="2:11">
      <c r="B32" s="597"/>
      <c r="C32" s="597"/>
      <c r="D32" s="598"/>
      <c r="E32" s="599"/>
      <c r="F32" s="597"/>
      <c r="G32" s="600"/>
      <c r="H32" s="600"/>
      <c r="I32" s="600"/>
      <c r="J32" s="600"/>
      <c r="K32" s="597"/>
    </row>
    <row r="33" spans="2:11">
      <c r="B33" s="597"/>
      <c r="C33" s="597"/>
      <c r="D33" s="598"/>
      <c r="E33" s="599"/>
      <c r="F33" s="597"/>
      <c r="G33" s="600"/>
      <c r="H33" s="600"/>
      <c r="I33" s="600"/>
      <c r="J33" s="600"/>
      <c r="K33" s="597"/>
    </row>
    <row r="34" spans="2:11">
      <c r="B34" s="597" t="s">
        <v>41</v>
      </c>
      <c r="C34" s="597"/>
      <c r="D34" s="598"/>
      <c r="E34" s="599" t="s">
        <v>32</v>
      </c>
      <c r="F34" s="597"/>
      <c r="G34" s="600"/>
      <c r="H34" s="600">
        <v>2</v>
      </c>
      <c r="I34" s="600"/>
      <c r="J34" s="600"/>
      <c r="K34" s="597"/>
    </row>
    <row r="35" spans="2:11">
      <c r="B35" s="597" t="str">
        <f>B34</f>
        <v>CAJE 1</v>
      </c>
      <c r="C35" s="597"/>
      <c r="D35" s="598" t="s">
        <v>42</v>
      </c>
      <c r="E35" s="599"/>
      <c r="F35" s="597"/>
      <c r="G35" s="600">
        <v>2</v>
      </c>
      <c r="H35" s="600"/>
      <c r="I35" s="600"/>
      <c r="J35" s="600"/>
      <c r="K35" s="597"/>
    </row>
    <row r="36" spans="2:11">
      <c r="B36" s="597"/>
      <c r="C36" s="597"/>
      <c r="D36" s="1059" t="s">
        <v>43</v>
      </c>
      <c r="E36" s="599"/>
      <c r="F36" s="597"/>
      <c r="G36" s="600"/>
      <c r="H36" s="600"/>
      <c r="I36" s="600"/>
      <c r="J36" s="600"/>
      <c r="K36" s="597"/>
    </row>
    <row r="37" spans="2:11">
      <c r="B37" s="597"/>
      <c r="C37" s="597"/>
      <c r="D37" s="598"/>
      <c r="E37" s="599"/>
      <c r="F37" s="597"/>
      <c r="G37" s="600"/>
      <c r="H37" s="600"/>
      <c r="I37" s="600"/>
      <c r="J37" s="600"/>
      <c r="K37" s="597"/>
    </row>
    <row r="38" spans="2:11">
      <c r="B38" s="597"/>
      <c r="C38" s="597"/>
      <c r="D38" s="598"/>
      <c r="E38" s="599"/>
      <c r="F38" s="597"/>
      <c r="G38" s="600"/>
      <c r="H38" s="600"/>
      <c r="I38" s="600"/>
      <c r="J38" s="600"/>
      <c r="K38" s="597"/>
    </row>
    <row r="39" spans="2:11">
      <c r="B39" s="597"/>
      <c r="C39" s="597"/>
      <c r="D39" s="598"/>
      <c r="E39" s="599"/>
      <c r="F39" s="597"/>
      <c r="G39" s="600"/>
      <c r="H39" s="600"/>
      <c r="I39" s="600"/>
      <c r="J39" s="600"/>
      <c r="K39" s="597"/>
    </row>
    <row r="40" spans="2:11">
      <c r="B40" s="597"/>
      <c r="C40" s="597"/>
      <c r="D40" s="1059"/>
      <c r="E40" s="599"/>
      <c r="F40" s="597"/>
      <c r="G40" s="600"/>
      <c r="H40" s="600"/>
      <c r="I40" s="600"/>
      <c r="J40" s="600"/>
      <c r="K40" s="597"/>
    </row>
    <row r="41" spans="2:11">
      <c r="B41" s="597"/>
      <c r="C41" s="597"/>
      <c r="D41" s="598"/>
      <c r="E41" s="599"/>
      <c r="F41" s="597"/>
      <c r="G41" s="600"/>
      <c r="H41" s="600"/>
      <c r="I41" s="600"/>
      <c r="J41" s="600"/>
      <c r="K41" s="597"/>
    </row>
    <row r="42" spans="2:11">
      <c r="B42" s="597"/>
      <c r="C42" s="597"/>
      <c r="D42" s="598"/>
      <c r="E42" s="599"/>
      <c r="F42" s="597"/>
      <c r="G42" s="600"/>
      <c r="H42" s="600"/>
      <c r="I42" s="600"/>
      <c r="J42" s="600"/>
      <c r="K42" s="597"/>
    </row>
    <row r="43" spans="2:11">
      <c r="B43" s="597"/>
      <c r="C43" s="597"/>
      <c r="D43" s="598"/>
      <c r="E43" s="599"/>
      <c r="F43" s="597"/>
      <c r="G43" s="600"/>
      <c r="H43" s="600"/>
      <c r="I43" s="600"/>
      <c r="J43" s="600"/>
      <c r="K43" s="597"/>
    </row>
    <row r="44" spans="2:11">
      <c r="B44" s="597"/>
      <c r="C44" s="597"/>
      <c r="D44" s="598"/>
      <c r="E44" s="599"/>
      <c r="F44" s="597"/>
      <c r="G44" s="600"/>
      <c r="H44" s="600"/>
      <c r="I44" s="600"/>
      <c r="J44" s="600"/>
      <c r="K44" s="597"/>
    </row>
    <row r="45" spans="2:11">
      <c r="B45" s="597"/>
      <c r="C45" s="597"/>
      <c r="D45" s="598"/>
      <c r="E45" s="599"/>
      <c r="F45" s="597"/>
      <c r="G45" s="600"/>
      <c r="H45" s="600"/>
      <c r="I45" s="600"/>
      <c r="J45" s="600"/>
      <c r="K45" s="597"/>
    </row>
    <row r="46" spans="2:11">
      <c r="B46" s="597"/>
      <c r="C46" s="597"/>
      <c r="D46" s="598"/>
      <c r="E46" s="599"/>
      <c r="F46" s="597"/>
      <c r="G46" s="600"/>
      <c r="H46" s="600"/>
      <c r="I46" s="600"/>
      <c r="J46" s="600"/>
      <c r="K46" s="597"/>
    </row>
    <row r="47" spans="2:11">
      <c r="B47" s="597"/>
      <c r="C47" s="597"/>
      <c r="D47" s="598"/>
      <c r="E47" s="599"/>
      <c r="F47" s="597"/>
      <c r="G47" s="600"/>
      <c r="H47" s="600"/>
      <c r="I47" s="600"/>
      <c r="J47" s="600"/>
      <c r="K47" s="597"/>
    </row>
    <row r="48" spans="2:11">
      <c r="B48" s="597"/>
      <c r="C48" s="597"/>
      <c r="D48" s="598"/>
      <c r="E48" s="599"/>
      <c r="F48" s="597"/>
      <c r="G48" s="600"/>
      <c r="H48" s="600"/>
      <c r="I48" s="600"/>
      <c r="J48" s="600"/>
      <c r="K48" s="597"/>
    </row>
    <row r="49" spans="2:11">
      <c r="B49" s="597"/>
      <c r="C49" s="597"/>
      <c r="D49" s="598"/>
      <c r="E49" s="599"/>
      <c r="F49" s="597"/>
      <c r="G49" s="600"/>
      <c r="H49" s="600"/>
      <c r="I49" s="600"/>
      <c r="J49" s="600"/>
      <c r="K49" s="597"/>
    </row>
    <row r="50" spans="2:11">
      <c r="B50" s="597"/>
      <c r="C50" s="597"/>
      <c r="D50" s="598"/>
      <c r="E50" s="599"/>
      <c r="F50" s="597"/>
      <c r="G50" s="600"/>
      <c r="H50" s="600"/>
      <c r="I50" s="600"/>
      <c r="J50" s="600"/>
      <c r="K50" s="597"/>
    </row>
    <row r="51" spans="2:11">
      <c r="B51" s="597"/>
      <c r="C51" s="597"/>
      <c r="D51" s="598"/>
      <c r="E51" s="599"/>
      <c r="F51" s="597"/>
      <c r="G51" s="600"/>
      <c r="H51" s="600"/>
      <c r="I51" s="600"/>
      <c r="J51" s="600"/>
      <c r="K51" s="597"/>
    </row>
    <row r="52" spans="2:11">
      <c r="B52" s="597"/>
      <c r="C52" s="597"/>
      <c r="D52" s="598"/>
      <c r="E52" s="599"/>
      <c r="F52" s="597"/>
      <c r="G52" s="600"/>
      <c r="H52" s="600"/>
      <c r="I52" s="600"/>
      <c r="J52" s="600"/>
      <c r="K52" s="597"/>
    </row>
    <row r="53" spans="2:11">
      <c r="B53" s="597"/>
      <c r="C53" s="597"/>
      <c r="D53" s="598"/>
      <c r="E53" s="599"/>
      <c r="F53" s="597"/>
      <c r="G53" s="600"/>
      <c r="H53" s="600"/>
      <c r="I53" s="600"/>
      <c r="J53" s="600"/>
      <c r="K53" s="597"/>
    </row>
    <row r="54" spans="2:11">
      <c r="B54" s="597"/>
      <c r="C54" s="597"/>
      <c r="D54" s="598"/>
      <c r="E54" s="599"/>
      <c r="F54" s="597"/>
      <c r="G54" s="600"/>
      <c r="H54" s="600"/>
      <c r="I54" s="600"/>
      <c r="J54" s="600"/>
      <c r="K54" s="597"/>
    </row>
    <row r="55" spans="2:11">
      <c r="B55" s="597"/>
      <c r="C55" s="597"/>
      <c r="D55" s="598"/>
      <c r="E55" s="599"/>
      <c r="F55" s="597"/>
      <c r="G55" s="600"/>
      <c r="H55" s="600"/>
      <c r="I55" s="600"/>
      <c r="J55" s="600"/>
      <c r="K55" s="597"/>
    </row>
    <row r="56" spans="2:11">
      <c r="B56" s="597"/>
      <c r="C56" s="597"/>
      <c r="D56" s="598"/>
      <c r="E56" s="599"/>
      <c r="F56" s="597"/>
      <c r="G56" s="600"/>
      <c r="H56" s="600"/>
      <c r="I56" s="600"/>
      <c r="J56" s="600"/>
      <c r="K56" s="597"/>
    </row>
    <row r="57" spans="2:11">
      <c r="B57" s="597"/>
      <c r="C57" s="597"/>
      <c r="D57" s="598"/>
      <c r="E57" s="599"/>
      <c r="F57" s="597"/>
      <c r="G57" s="600"/>
      <c r="H57" s="600"/>
      <c r="I57" s="600"/>
      <c r="J57" s="600"/>
      <c r="K57" s="597"/>
    </row>
    <row r="58" spans="2:11">
      <c r="B58" s="597"/>
      <c r="C58" s="597"/>
      <c r="D58" s="598"/>
      <c r="E58" s="599"/>
      <c r="F58" s="597"/>
      <c r="G58" s="600"/>
      <c r="H58" s="600"/>
      <c r="I58" s="600"/>
      <c r="J58" s="600"/>
      <c r="K58" s="597"/>
    </row>
    <row r="59" spans="2:11">
      <c r="B59" s="597"/>
      <c r="C59" s="597"/>
      <c r="D59" s="598"/>
      <c r="E59" s="599"/>
      <c r="F59" s="597"/>
      <c r="G59" s="600"/>
      <c r="H59" s="600"/>
      <c r="I59" s="600"/>
      <c r="J59" s="600"/>
      <c r="K59" s="597"/>
    </row>
    <row r="60" spans="2:11">
      <c r="B60" s="597"/>
      <c r="C60" s="597"/>
      <c r="D60" s="598"/>
      <c r="E60" s="599"/>
      <c r="F60" s="597"/>
      <c r="G60" s="600"/>
      <c r="H60" s="600"/>
      <c r="I60" s="600"/>
      <c r="J60" s="600"/>
      <c r="K60" s="597"/>
    </row>
    <row r="61" spans="2:11">
      <c r="B61" s="597"/>
      <c r="C61" s="597"/>
      <c r="D61" s="598"/>
      <c r="E61" s="599"/>
      <c r="F61" s="597"/>
      <c r="G61" s="600"/>
      <c r="H61" s="600"/>
      <c r="I61" s="600"/>
      <c r="J61" s="600"/>
      <c r="K61" s="597"/>
    </row>
    <row r="62" spans="2:11">
      <c r="B62" s="597"/>
      <c r="C62" s="597"/>
      <c r="D62" s="598"/>
      <c r="E62" s="599"/>
      <c r="F62" s="597"/>
      <c r="G62" s="600"/>
      <c r="H62" s="600"/>
      <c r="I62" s="600"/>
      <c r="J62" s="600"/>
      <c r="K62" s="597"/>
    </row>
    <row r="63" spans="2:11">
      <c r="B63" s="597"/>
      <c r="C63" s="597"/>
      <c r="D63" s="598"/>
      <c r="E63" s="599"/>
      <c r="F63" s="597"/>
      <c r="G63" s="600"/>
      <c r="H63" s="600"/>
      <c r="I63" s="600"/>
      <c r="J63" s="600"/>
      <c r="K63" s="597"/>
    </row>
    <row r="64" spans="2:11">
      <c r="B64" s="597"/>
      <c r="C64" s="597"/>
      <c r="D64" s="598"/>
      <c r="E64" s="599"/>
      <c r="F64" s="597"/>
      <c r="G64" s="600"/>
      <c r="H64" s="600"/>
      <c r="I64" s="600"/>
      <c r="J64" s="600"/>
      <c r="K64" s="597"/>
    </row>
    <row r="65" spans="2:11">
      <c r="B65" s="597"/>
      <c r="C65" s="597"/>
      <c r="D65" s="598"/>
      <c r="E65" s="599"/>
      <c r="F65" s="597"/>
      <c r="G65" s="600"/>
      <c r="H65" s="600"/>
      <c r="I65" s="600"/>
      <c r="J65" s="600"/>
      <c r="K65" s="597"/>
    </row>
  </sheetData>
  <mergeCells count="7">
    <mergeCell ref="K5:K6"/>
    <mergeCell ref="B5:B6"/>
    <mergeCell ref="C5:C6"/>
    <mergeCell ref="D5:E6"/>
    <mergeCell ref="F5:F6"/>
    <mergeCell ref="G5:H5"/>
    <mergeCell ref="I5:J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F56E-6B3E-4DE2-9415-5566B6D1C582}">
  <sheetPr>
    <tabColor rgb="FFCCFFFF"/>
  </sheetPr>
  <dimension ref="A1:J239"/>
  <sheetViews>
    <sheetView showGridLines="0" workbookViewId="0">
      <pane xSplit="4" ySplit="5" topLeftCell="E20" activePane="bottomRight" state="frozen"/>
      <selection pane="bottomRight" activeCell="G14" sqref="G14"/>
      <selection pane="bottomLeft" activeCell="A6" sqref="A6"/>
      <selection pane="topRight" activeCell="E1" sqref="E1"/>
    </sheetView>
  </sheetViews>
  <sheetFormatPr defaultRowHeight="14.45"/>
  <cols>
    <col min="1" max="1" width="9.5703125" customWidth="1"/>
    <col min="2" max="2" width="6.42578125" bestFit="1" customWidth="1"/>
    <col min="3" max="3" width="4.42578125" customWidth="1"/>
    <col min="4" max="4" width="35.42578125" customWidth="1"/>
    <col min="5" max="5" width="8" bestFit="1" customWidth="1"/>
    <col min="6" max="9" width="19.5703125" customWidth="1"/>
    <col min="10" max="10" width="38.5703125" customWidth="1"/>
    <col min="11" max="11" width="10.5703125" customWidth="1"/>
  </cols>
  <sheetData>
    <row r="1" spans="1:10">
      <c r="A1" s="342" t="s">
        <v>44</v>
      </c>
      <c r="F1" s="121"/>
      <c r="G1" s="121"/>
      <c r="H1" s="121"/>
      <c r="I1" s="121"/>
    </row>
    <row r="2" spans="1:10">
      <c r="F2" s="121"/>
      <c r="G2" s="121"/>
      <c r="H2" s="121"/>
      <c r="I2" s="121"/>
    </row>
    <row r="3" spans="1:10">
      <c r="F3" s="121"/>
      <c r="G3" s="121"/>
      <c r="H3" s="121"/>
      <c r="I3" s="121"/>
    </row>
    <row r="4" spans="1:10">
      <c r="A4" s="2331" t="s">
        <v>1</v>
      </c>
      <c r="B4" s="2331" t="s">
        <v>2</v>
      </c>
      <c r="C4" s="2334" t="s">
        <v>3</v>
      </c>
      <c r="D4" s="2335"/>
      <c r="E4" s="2338" t="s">
        <v>4</v>
      </c>
      <c r="F4" s="2340" t="s">
        <v>5</v>
      </c>
      <c r="G4" s="2341"/>
      <c r="H4" s="2342" t="s">
        <v>6</v>
      </c>
      <c r="I4" s="2342"/>
      <c r="J4" s="2331" t="s">
        <v>7</v>
      </c>
    </row>
    <row r="5" spans="1:10">
      <c r="A5" s="2333"/>
      <c r="B5" s="2333"/>
      <c r="C5" s="2336"/>
      <c r="D5" s="2337"/>
      <c r="E5" s="2339"/>
      <c r="F5" s="594" t="s">
        <v>8</v>
      </c>
      <c r="G5" s="594" t="s">
        <v>9</v>
      </c>
      <c r="H5" s="595" t="s">
        <v>8</v>
      </c>
      <c r="I5" s="595" t="s">
        <v>9</v>
      </c>
      <c r="J5" s="2332"/>
    </row>
    <row r="6" spans="1:10">
      <c r="A6" s="597"/>
      <c r="B6" s="597"/>
      <c r="C6" s="598"/>
      <c r="D6" s="599"/>
      <c r="E6" s="597"/>
      <c r="F6" s="597"/>
      <c r="G6" s="597"/>
      <c r="H6" s="597"/>
      <c r="I6" s="597"/>
      <c r="J6" s="597"/>
    </row>
    <row r="7" spans="1:10">
      <c r="A7" s="597" t="s">
        <v>10</v>
      </c>
      <c r="B7" s="597"/>
      <c r="C7" s="599" t="s">
        <v>11</v>
      </c>
      <c r="D7" s="599"/>
      <c r="E7" s="597"/>
      <c r="F7" s="600">
        <v>123411723048</v>
      </c>
      <c r="G7" s="600"/>
      <c r="H7" s="600"/>
      <c r="I7" s="600"/>
      <c r="J7" s="597" t="s">
        <v>12</v>
      </c>
    </row>
    <row r="8" spans="1:10">
      <c r="A8" s="597" t="str">
        <f>A7</f>
        <v>ELIM 1</v>
      </c>
      <c r="B8" s="597"/>
      <c r="C8" s="598"/>
      <c r="D8" s="599" t="s">
        <v>13</v>
      </c>
      <c r="E8" s="597"/>
      <c r="F8" s="600"/>
      <c r="G8" s="600">
        <f>F7</f>
        <v>123411723048</v>
      </c>
      <c r="H8" s="600"/>
      <c r="I8" s="600"/>
      <c r="J8" s="597" t="str">
        <f>J7</f>
        <v xml:space="preserve">Eleminasi Utang Piutang Keuangan </v>
      </c>
    </row>
    <row r="9" spans="1:10">
      <c r="A9" s="597"/>
      <c r="B9" s="597"/>
      <c r="C9" s="598"/>
      <c r="D9" s="599"/>
      <c r="E9" s="597"/>
      <c r="F9" s="600"/>
      <c r="G9" s="600"/>
      <c r="H9" s="600"/>
      <c r="I9" s="600"/>
      <c r="J9" s="597"/>
    </row>
    <row r="10" spans="1:10">
      <c r="A10" s="597" t="s">
        <v>14</v>
      </c>
      <c r="B10" s="597"/>
      <c r="C10" s="598" t="s">
        <v>15</v>
      </c>
      <c r="D10" s="599"/>
      <c r="E10" s="597"/>
      <c r="F10" s="600">
        <v>6441405695</v>
      </c>
      <c r="G10" s="600"/>
      <c r="H10" s="600"/>
      <c r="I10" s="600"/>
      <c r="J10" s="597" t="s">
        <v>16</v>
      </c>
    </row>
    <row r="11" spans="1:10">
      <c r="A11" s="597" t="str">
        <f>A10</f>
        <v>ELIM 2</v>
      </c>
      <c r="B11" s="597"/>
      <c r="C11" s="598"/>
      <c r="D11" s="599" t="s">
        <v>17</v>
      </c>
      <c r="E11" s="597"/>
      <c r="F11" s="600"/>
      <c r="G11" s="600">
        <f>F10</f>
        <v>6441405695</v>
      </c>
      <c r="H11" s="600"/>
      <c r="I11" s="600"/>
      <c r="J11" s="597" t="str">
        <f>J10</f>
        <v xml:space="preserve">Eleminasi Utang Piutang </v>
      </c>
    </row>
    <row r="12" spans="1:10">
      <c r="A12" s="597"/>
      <c r="B12" s="597"/>
      <c r="C12" s="598"/>
      <c r="D12" s="599"/>
      <c r="E12" s="597"/>
      <c r="F12" s="597"/>
      <c r="G12" s="597"/>
      <c r="H12" s="597"/>
      <c r="I12" s="597"/>
      <c r="J12" s="597"/>
    </row>
    <row r="13" spans="1:10">
      <c r="A13" s="597" t="s">
        <v>18</v>
      </c>
      <c r="B13" s="597"/>
      <c r="C13" s="598" t="s">
        <v>17</v>
      </c>
      <c r="D13" s="599"/>
      <c r="E13" s="597"/>
      <c r="F13" s="600">
        <v>55459611170</v>
      </c>
      <c r="G13" s="600"/>
      <c r="H13" s="600"/>
      <c r="I13" s="600"/>
      <c r="J13" s="597" t="s">
        <v>16</v>
      </c>
    </row>
    <row r="14" spans="1:10">
      <c r="A14" s="597" t="str">
        <f>A13</f>
        <v>ELIM 3</v>
      </c>
      <c r="B14" s="597"/>
      <c r="C14" s="598"/>
      <c r="D14" s="599" t="s">
        <v>15</v>
      </c>
      <c r="E14" s="597"/>
      <c r="F14" s="600"/>
      <c r="G14" s="600">
        <f>F13</f>
        <v>55459611170</v>
      </c>
      <c r="H14" s="600"/>
      <c r="I14" s="600"/>
      <c r="J14" s="597" t="str">
        <f>J13</f>
        <v xml:space="preserve">Eleminasi Utang Piutang </v>
      </c>
    </row>
    <row r="15" spans="1:10">
      <c r="A15" s="597"/>
      <c r="B15" s="597"/>
      <c r="C15" s="598"/>
      <c r="D15" s="599"/>
      <c r="E15" s="597"/>
      <c r="F15" s="597"/>
      <c r="G15" s="597"/>
      <c r="H15" s="597"/>
      <c r="I15" s="597"/>
      <c r="J15" s="597"/>
    </row>
    <row r="16" spans="1:10">
      <c r="A16" s="597" t="s">
        <v>19</v>
      </c>
      <c r="B16" s="597"/>
      <c r="C16" s="598" t="s">
        <v>20</v>
      </c>
      <c r="D16" s="599"/>
      <c r="E16" s="597"/>
      <c r="F16" s="600"/>
      <c r="G16" s="600"/>
      <c r="H16" s="600">
        <v>71326250958</v>
      </c>
      <c r="I16" s="600"/>
      <c r="J16" s="597" t="s">
        <v>21</v>
      </c>
    </row>
    <row r="17" spans="1:10">
      <c r="A17" s="597" t="str">
        <f>A16</f>
        <v>ELIM 4</v>
      </c>
      <c r="B17" s="597"/>
      <c r="C17" s="598" t="s">
        <v>22</v>
      </c>
      <c r="D17" s="599"/>
      <c r="E17" s="597"/>
      <c r="F17" s="600"/>
      <c r="G17" s="600"/>
      <c r="H17" s="600">
        <v>497965132</v>
      </c>
      <c r="I17" s="600"/>
      <c r="J17" s="597" t="str">
        <f>J16</f>
        <v>Eleminasi Penjualan ISP to IAS</v>
      </c>
    </row>
    <row r="18" spans="1:10">
      <c r="A18" s="597" t="str">
        <f t="shared" ref="A18:A20" si="0">A17</f>
        <v>ELIM 4</v>
      </c>
      <c r="B18" s="597"/>
      <c r="C18" s="598" t="s">
        <v>23</v>
      </c>
      <c r="D18" s="599"/>
      <c r="E18" s="597"/>
      <c r="F18" s="600"/>
      <c r="G18" s="600"/>
      <c r="H18" s="600">
        <v>1148410200</v>
      </c>
      <c r="I18" s="600"/>
      <c r="J18" s="597" t="str">
        <f t="shared" ref="J18:J20" si="1">J17</f>
        <v>Eleminasi Penjualan ISP to IAS</v>
      </c>
    </row>
    <row r="19" spans="1:10">
      <c r="A19" s="597" t="str">
        <f t="shared" si="0"/>
        <v>ELIM 4</v>
      </c>
      <c r="B19" s="597"/>
      <c r="C19" s="598"/>
      <c r="D19" s="599" t="s">
        <v>24</v>
      </c>
      <c r="E19" s="597"/>
      <c r="F19" s="600"/>
      <c r="G19" s="600"/>
      <c r="H19" s="600"/>
      <c r="I19" s="600">
        <v>10264188776</v>
      </c>
      <c r="J19" s="597" t="str">
        <f>J18</f>
        <v>Eleminasi Penjualan ISP to IAS</v>
      </c>
    </row>
    <row r="20" spans="1:10">
      <c r="A20" s="597" t="str">
        <f t="shared" si="0"/>
        <v>ELIM 4</v>
      </c>
      <c r="B20" s="597"/>
      <c r="C20" s="598"/>
      <c r="D20" s="599" t="s">
        <v>25</v>
      </c>
      <c r="E20" s="597"/>
      <c r="F20" s="600"/>
      <c r="G20" s="600"/>
      <c r="H20" s="600"/>
      <c r="I20" s="600">
        <v>65549600</v>
      </c>
      <c r="J20" s="597" t="str">
        <f t="shared" si="1"/>
        <v>Eleminasi Penjualan ISP to IAS</v>
      </c>
    </row>
    <row r="21" spans="1:10">
      <c r="A21" s="597"/>
      <c r="B21" s="597"/>
      <c r="C21" s="598"/>
      <c r="D21" s="599"/>
      <c r="E21" s="597"/>
      <c r="F21" s="600"/>
      <c r="G21" s="600"/>
      <c r="H21" s="600"/>
      <c r="I21" s="600"/>
      <c r="J21" s="597"/>
    </row>
    <row r="22" spans="1:10">
      <c r="A22" s="597" t="s">
        <v>26</v>
      </c>
      <c r="B22" s="597"/>
      <c r="C22" s="598" t="s">
        <v>27</v>
      </c>
      <c r="D22" s="599"/>
      <c r="E22" s="597"/>
      <c r="F22" s="600"/>
      <c r="G22" s="600"/>
      <c r="H22" s="600">
        <v>10329738376</v>
      </c>
      <c r="I22" s="600"/>
      <c r="J22" s="597" t="s">
        <v>28</v>
      </c>
    </row>
    <row r="23" spans="1:10">
      <c r="A23" s="597" t="str">
        <f>A22</f>
        <v>ELIM 5</v>
      </c>
      <c r="B23" s="597"/>
      <c r="C23" s="598"/>
      <c r="D23" s="599" t="s">
        <v>29</v>
      </c>
      <c r="E23" s="597"/>
      <c r="F23" s="600"/>
      <c r="G23" s="600"/>
      <c r="H23" s="600"/>
      <c r="I23" s="600">
        <v>71326250958</v>
      </c>
      <c r="J23" s="597" t="str">
        <f>J22</f>
        <v>Eleminasi Penjualan IAS to ISP</v>
      </c>
    </row>
    <row r="24" spans="1:10">
      <c r="A24" s="597" t="str">
        <f>A23</f>
        <v>ELIM 5</v>
      </c>
      <c r="B24" s="597"/>
      <c r="C24" s="598"/>
      <c r="D24" s="599" t="s">
        <v>30</v>
      </c>
      <c r="E24" s="597"/>
      <c r="F24" s="597"/>
      <c r="G24" s="597"/>
      <c r="H24" s="597"/>
      <c r="I24" s="600">
        <v>1646375332</v>
      </c>
      <c r="J24" s="597" t="str">
        <f>J23</f>
        <v>Eleminasi Penjualan IAS to ISP</v>
      </c>
    </row>
    <row r="25" spans="1:10">
      <c r="A25" s="597"/>
      <c r="B25" s="597"/>
      <c r="C25" s="598"/>
      <c r="D25" s="599"/>
      <c r="E25" s="597"/>
      <c r="F25" s="597"/>
      <c r="G25" s="597"/>
      <c r="H25" s="597"/>
      <c r="I25" s="597"/>
      <c r="J25" s="597"/>
    </row>
    <row r="26" spans="1:10">
      <c r="A26" s="597" t="s">
        <v>31</v>
      </c>
      <c r="B26" s="597"/>
      <c r="C26" s="598" t="s">
        <v>32</v>
      </c>
      <c r="D26" s="599"/>
      <c r="E26" s="597"/>
      <c r="F26" s="600"/>
      <c r="G26" s="600"/>
      <c r="H26" s="600">
        <v>5868638298</v>
      </c>
      <c r="I26" s="600"/>
      <c r="J26" s="597"/>
    </row>
    <row r="27" spans="1:10">
      <c r="A27" s="597" t="str">
        <f>A26</f>
        <v>ELIM 7</v>
      </c>
      <c r="B27" s="597"/>
      <c r="C27" s="598"/>
      <c r="D27" s="599" t="s">
        <v>33</v>
      </c>
      <c r="E27" s="597"/>
      <c r="F27" s="600"/>
      <c r="G27" s="600"/>
      <c r="H27" s="600"/>
      <c r="I27" s="600">
        <f>H26</f>
        <v>5868638298</v>
      </c>
      <c r="J27" s="597"/>
    </row>
    <row r="28" spans="1:10">
      <c r="A28" s="597"/>
      <c r="B28" s="597"/>
      <c r="C28" s="598"/>
      <c r="D28" s="599"/>
      <c r="E28" s="597"/>
      <c r="F28" s="600"/>
      <c r="G28" s="600"/>
      <c r="H28" s="600"/>
      <c r="I28" s="600"/>
      <c r="J28" s="597"/>
    </row>
    <row r="29" spans="1:10">
      <c r="A29" s="597"/>
      <c r="B29" s="597"/>
      <c r="C29" s="598"/>
      <c r="D29" s="599"/>
      <c r="E29" s="597"/>
      <c r="F29" s="600"/>
      <c r="G29" s="600"/>
      <c r="H29" s="600"/>
      <c r="I29" s="600"/>
      <c r="J29" s="597"/>
    </row>
    <row r="30" spans="1:10">
      <c r="A30" s="597"/>
      <c r="B30" s="597"/>
      <c r="C30" s="598"/>
      <c r="D30" s="599"/>
      <c r="E30" s="597"/>
      <c r="F30" s="600"/>
      <c r="G30" s="600"/>
      <c r="H30" s="600"/>
      <c r="I30" s="600"/>
      <c r="J30" s="597"/>
    </row>
    <row r="31" spans="1:10">
      <c r="A31" s="597"/>
      <c r="B31" s="597"/>
      <c r="C31" s="1059"/>
      <c r="D31" s="599"/>
      <c r="E31" s="597"/>
      <c r="F31" s="600"/>
      <c r="G31" s="600"/>
      <c r="H31" s="600"/>
      <c r="I31" s="600"/>
      <c r="J31" s="597"/>
    </row>
    <row r="32" spans="1:10">
      <c r="A32" s="597"/>
      <c r="B32" s="597"/>
      <c r="C32" s="598"/>
      <c r="D32" s="599"/>
      <c r="E32" s="597"/>
      <c r="F32" s="597"/>
      <c r="G32" s="597"/>
      <c r="H32" s="597"/>
      <c r="I32" s="597"/>
      <c r="J32" s="597"/>
    </row>
    <row r="33" spans="1:10">
      <c r="A33" s="597"/>
      <c r="B33" s="597"/>
      <c r="C33" s="598"/>
      <c r="D33" s="599"/>
      <c r="E33" s="597"/>
      <c r="F33" s="597"/>
      <c r="G33" s="597"/>
      <c r="H33" s="597"/>
      <c r="I33" s="597"/>
      <c r="J33" s="597"/>
    </row>
    <row r="34" spans="1:10">
      <c r="A34" s="597"/>
      <c r="B34" s="597"/>
      <c r="C34" s="598"/>
      <c r="D34" s="599"/>
      <c r="E34" s="597"/>
      <c r="F34" s="597"/>
      <c r="G34" s="597"/>
      <c r="H34" s="597"/>
      <c r="I34" s="597"/>
      <c r="J34" s="597"/>
    </row>
    <row r="35" spans="1:10">
      <c r="A35" s="597"/>
      <c r="B35" s="597"/>
      <c r="C35" s="598"/>
      <c r="D35" s="599"/>
      <c r="E35" s="597"/>
      <c r="F35" s="597"/>
      <c r="G35" s="597"/>
      <c r="H35" s="597"/>
      <c r="I35" s="597"/>
      <c r="J35" s="597"/>
    </row>
    <row r="36" spans="1:10">
      <c r="A36" s="597"/>
      <c r="B36" s="597"/>
      <c r="C36" s="598"/>
      <c r="D36" s="599"/>
      <c r="E36" s="597"/>
      <c r="F36" s="597"/>
      <c r="G36" s="597"/>
      <c r="H36" s="597"/>
      <c r="I36" s="597"/>
      <c r="J36" s="597"/>
    </row>
    <row r="37" spans="1:10">
      <c r="A37" s="597"/>
      <c r="B37" s="597"/>
      <c r="C37" s="598"/>
      <c r="D37" s="599"/>
      <c r="E37" s="597"/>
      <c r="F37" s="597"/>
      <c r="G37" s="597"/>
      <c r="H37" s="597"/>
      <c r="I37" s="597"/>
      <c r="J37" s="597"/>
    </row>
    <row r="38" spans="1:10">
      <c r="A38" s="597"/>
      <c r="B38" s="597"/>
      <c r="C38" s="598"/>
      <c r="D38" s="599"/>
      <c r="E38" s="597"/>
      <c r="F38" s="597"/>
      <c r="G38" s="597"/>
      <c r="H38" s="597"/>
      <c r="I38" s="597"/>
      <c r="J38" s="597"/>
    </row>
    <row r="39" spans="1:10">
      <c r="A39" s="597"/>
      <c r="B39" s="597"/>
      <c r="C39" s="598"/>
      <c r="D39" s="599"/>
      <c r="E39" s="597"/>
      <c r="F39" s="597"/>
      <c r="G39" s="597"/>
      <c r="H39" s="597"/>
      <c r="I39" s="597"/>
      <c r="J39" s="597"/>
    </row>
    <row r="40" spans="1:10">
      <c r="A40" s="597"/>
      <c r="B40" s="597"/>
      <c r="C40" s="598"/>
      <c r="D40" s="599"/>
      <c r="E40" s="597"/>
      <c r="F40" s="597"/>
      <c r="G40" s="597"/>
      <c r="H40" s="597"/>
      <c r="I40" s="597"/>
      <c r="J40" s="597"/>
    </row>
    <row r="41" spans="1:10">
      <c r="A41" s="597"/>
      <c r="B41" s="597"/>
      <c r="C41" s="598"/>
      <c r="D41" s="599"/>
      <c r="E41" s="597"/>
      <c r="F41" s="597"/>
      <c r="G41" s="597"/>
      <c r="H41" s="597"/>
      <c r="I41" s="597"/>
      <c r="J41" s="597"/>
    </row>
    <row r="42" spans="1:10">
      <c r="A42" s="597"/>
      <c r="B42" s="597"/>
      <c r="C42" s="598"/>
      <c r="D42" s="599"/>
      <c r="E42" s="597"/>
      <c r="F42" s="597"/>
      <c r="G42" s="597"/>
      <c r="H42" s="597"/>
      <c r="I42" s="597"/>
      <c r="J42" s="597"/>
    </row>
    <row r="43" spans="1:10">
      <c r="A43" s="597"/>
      <c r="B43" s="597"/>
      <c r="C43" s="598"/>
      <c r="D43" s="599"/>
      <c r="E43" s="597"/>
      <c r="F43" s="597"/>
      <c r="G43" s="597"/>
      <c r="H43" s="597"/>
      <c r="I43" s="597"/>
      <c r="J43" s="597"/>
    </row>
    <row r="44" spans="1:10">
      <c r="A44" s="597"/>
      <c r="B44" s="597"/>
      <c r="C44" s="598"/>
      <c r="D44" s="599"/>
      <c r="E44" s="597"/>
      <c r="F44" s="597"/>
      <c r="G44" s="597"/>
      <c r="H44" s="597"/>
      <c r="I44" s="597"/>
      <c r="J44" s="597"/>
    </row>
    <row r="45" spans="1:10">
      <c r="A45" s="597"/>
      <c r="B45" s="597"/>
      <c r="C45" s="598"/>
      <c r="D45" s="599"/>
      <c r="E45" s="597"/>
      <c r="F45" s="597"/>
      <c r="G45" s="597"/>
      <c r="H45" s="597"/>
      <c r="I45" s="597"/>
      <c r="J45" s="597"/>
    </row>
    <row r="46" spans="1:10">
      <c r="A46" s="597"/>
      <c r="B46" s="597"/>
      <c r="C46" s="598"/>
      <c r="D46" s="599"/>
      <c r="E46" s="597"/>
      <c r="F46" s="597"/>
      <c r="G46" s="597"/>
      <c r="H46" s="597"/>
      <c r="I46" s="597"/>
      <c r="J46" s="597"/>
    </row>
    <row r="47" spans="1:10">
      <c r="A47" s="597"/>
      <c r="B47" s="597"/>
      <c r="C47" s="598"/>
      <c r="D47" s="599"/>
      <c r="E47" s="597"/>
      <c r="F47" s="597"/>
      <c r="G47" s="597"/>
      <c r="H47" s="597"/>
      <c r="I47" s="597"/>
      <c r="J47" s="597"/>
    </row>
    <row r="48" spans="1:10">
      <c r="A48" s="597"/>
      <c r="B48" s="597"/>
      <c r="C48" s="598"/>
      <c r="D48" s="599"/>
      <c r="E48" s="597"/>
      <c r="F48" s="597"/>
      <c r="G48" s="597"/>
      <c r="H48" s="597"/>
      <c r="I48" s="597"/>
      <c r="J48" s="597"/>
    </row>
    <row r="49" spans="1:10">
      <c r="A49" s="597"/>
      <c r="B49" s="597"/>
      <c r="C49" s="598"/>
      <c r="D49" s="599"/>
      <c r="E49" s="597"/>
      <c r="F49" s="597"/>
      <c r="G49" s="597"/>
      <c r="H49" s="597"/>
      <c r="I49" s="597"/>
      <c r="J49" s="597"/>
    </row>
    <row r="50" spans="1:10">
      <c r="A50" s="597"/>
      <c r="B50" s="597"/>
      <c r="C50" s="598"/>
      <c r="D50" s="599"/>
      <c r="E50" s="597"/>
      <c r="F50" s="597"/>
      <c r="G50" s="597"/>
      <c r="H50" s="597"/>
      <c r="I50" s="597"/>
      <c r="J50" s="597"/>
    </row>
    <row r="51" spans="1:10">
      <c r="A51" s="597"/>
      <c r="B51" s="597"/>
      <c r="C51" s="598"/>
      <c r="D51" s="599"/>
      <c r="E51" s="597"/>
      <c r="F51" s="597"/>
      <c r="G51" s="597"/>
      <c r="H51" s="597"/>
      <c r="I51" s="597"/>
      <c r="J51" s="597"/>
    </row>
    <row r="52" spans="1:10">
      <c r="A52" s="597"/>
      <c r="B52" s="597"/>
      <c r="C52" s="598"/>
      <c r="D52" s="599"/>
      <c r="E52" s="597"/>
      <c r="F52" s="597"/>
      <c r="G52" s="597"/>
      <c r="H52" s="597"/>
      <c r="I52" s="597"/>
      <c r="J52" s="597"/>
    </row>
    <row r="53" spans="1:10">
      <c r="A53" s="597"/>
      <c r="B53" s="597"/>
      <c r="C53" s="598"/>
      <c r="D53" s="599"/>
      <c r="E53" s="597"/>
      <c r="F53" s="597"/>
      <c r="G53" s="597"/>
      <c r="H53" s="597"/>
      <c r="I53" s="597"/>
      <c r="J53" s="597"/>
    </row>
    <row r="54" spans="1:10">
      <c r="A54" s="597"/>
      <c r="B54" s="597"/>
      <c r="C54" s="598"/>
      <c r="D54" s="599"/>
      <c r="E54" s="597"/>
      <c r="F54" s="597"/>
      <c r="G54" s="597"/>
      <c r="H54" s="597"/>
      <c r="I54" s="597"/>
      <c r="J54" s="597"/>
    </row>
    <row r="55" spans="1:10">
      <c r="A55" s="597"/>
      <c r="B55" s="597"/>
      <c r="C55" s="598"/>
      <c r="D55" s="599"/>
      <c r="E55" s="597"/>
      <c r="F55" s="597"/>
      <c r="G55" s="597"/>
      <c r="H55" s="597"/>
      <c r="I55" s="597"/>
      <c r="J55" s="597"/>
    </row>
    <row r="56" spans="1:10">
      <c r="A56" s="597"/>
      <c r="B56" s="597"/>
      <c r="C56" s="598"/>
      <c r="D56" s="599"/>
      <c r="E56" s="597"/>
      <c r="F56" s="597"/>
      <c r="G56" s="597"/>
      <c r="H56" s="597"/>
      <c r="I56" s="597"/>
      <c r="J56" s="597"/>
    </row>
    <row r="57" spans="1:10">
      <c r="A57" s="597"/>
      <c r="B57" s="597"/>
      <c r="C57" s="598"/>
      <c r="D57" s="599"/>
      <c r="E57" s="597"/>
      <c r="F57" s="597"/>
      <c r="G57" s="597"/>
      <c r="H57" s="597"/>
      <c r="I57" s="597"/>
      <c r="J57" s="597"/>
    </row>
    <row r="58" spans="1:10">
      <c r="A58" s="597"/>
      <c r="B58" s="597"/>
      <c r="C58" s="598"/>
      <c r="D58" s="599"/>
      <c r="E58" s="597"/>
      <c r="F58" s="597"/>
      <c r="G58" s="597"/>
      <c r="H58" s="597"/>
      <c r="I58" s="597"/>
      <c r="J58" s="597"/>
    </row>
    <row r="59" spans="1:10">
      <c r="A59" s="597"/>
      <c r="B59" s="597"/>
      <c r="C59" s="598"/>
      <c r="D59" s="599"/>
      <c r="E59" s="597"/>
      <c r="F59" s="597"/>
      <c r="G59" s="597"/>
      <c r="H59" s="597"/>
      <c r="I59" s="597"/>
      <c r="J59" s="597"/>
    </row>
    <row r="60" spans="1:10">
      <c r="A60" s="597"/>
      <c r="B60" s="597"/>
      <c r="C60" s="598"/>
      <c r="D60" s="599"/>
      <c r="E60" s="597"/>
      <c r="F60" s="597"/>
      <c r="G60" s="597"/>
      <c r="H60" s="597"/>
      <c r="I60" s="597"/>
      <c r="J60" s="597"/>
    </row>
    <row r="61" spans="1:10">
      <c r="A61" s="597"/>
      <c r="B61" s="597"/>
      <c r="C61" s="598"/>
      <c r="D61" s="599"/>
      <c r="E61" s="597"/>
      <c r="F61" s="597"/>
      <c r="G61" s="597"/>
      <c r="H61" s="597"/>
      <c r="I61" s="597"/>
      <c r="J61" s="597"/>
    </row>
    <row r="62" spans="1:10">
      <c r="A62" s="597"/>
      <c r="B62" s="597"/>
      <c r="C62" s="598"/>
      <c r="D62" s="599"/>
      <c r="E62" s="597"/>
      <c r="F62" s="597"/>
      <c r="G62" s="597"/>
      <c r="H62" s="597"/>
      <c r="I62" s="597"/>
      <c r="J62" s="597"/>
    </row>
    <row r="63" spans="1:10">
      <c r="A63" s="597"/>
      <c r="B63" s="597"/>
      <c r="C63" s="598"/>
      <c r="D63" s="599"/>
      <c r="E63" s="597"/>
      <c r="F63" s="597"/>
      <c r="G63" s="597"/>
      <c r="H63" s="597"/>
      <c r="I63" s="597"/>
      <c r="J63" s="597"/>
    </row>
    <row r="64" spans="1:10">
      <c r="A64" s="597"/>
      <c r="B64" s="597"/>
      <c r="C64" s="598"/>
      <c r="D64" s="599"/>
      <c r="E64" s="597"/>
      <c r="F64" s="597"/>
      <c r="G64" s="597"/>
      <c r="H64" s="597"/>
      <c r="I64" s="597"/>
      <c r="J64" s="597"/>
    </row>
    <row r="65" spans="1:10">
      <c r="A65" s="597"/>
      <c r="B65" s="597"/>
      <c r="C65" s="598"/>
      <c r="D65" s="599"/>
      <c r="E65" s="597"/>
      <c r="F65" s="597"/>
      <c r="G65" s="597"/>
      <c r="H65" s="597"/>
      <c r="I65" s="597"/>
      <c r="J65" s="597"/>
    </row>
    <row r="66" spans="1:10">
      <c r="A66" s="597"/>
      <c r="B66" s="597"/>
      <c r="C66" s="598"/>
      <c r="D66" s="599"/>
      <c r="E66" s="597"/>
      <c r="F66" s="597"/>
      <c r="G66" s="597"/>
      <c r="H66" s="597"/>
      <c r="I66" s="597"/>
      <c r="J66" s="597"/>
    </row>
    <row r="67" spans="1:10">
      <c r="A67" s="597"/>
      <c r="B67" s="597"/>
      <c r="C67" s="598"/>
      <c r="D67" s="599"/>
      <c r="E67" s="597"/>
      <c r="F67" s="597"/>
      <c r="G67" s="597"/>
      <c r="H67" s="597"/>
      <c r="I67" s="597"/>
      <c r="J67" s="597"/>
    </row>
    <row r="68" spans="1:10">
      <c r="A68" s="597"/>
      <c r="B68" s="597"/>
      <c r="C68" s="598"/>
      <c r="D68" s="599"/>
      <c r="E68" s="597"/>
      <c r="F68" s="597"/>
      <c r="G68" s="597"/>
      <c r="H68" s="597"/>
      <c r="I68" s="597"/>
      <c r="J68" s="597"/>
    </row>
    <row r="69" spans="1:10">
      <c r="A69" s="597"/>
      <c r="B69" s="597"/>
      <c r="C69" s="598"/>
      <c r="D69" s="599"/>
      <c r="E69" s="597"/>
      <c r="F69" s="597"/>
      <c r="G69" s="597"/>
      <c r="H69" s="597"/>
      <c r="I69" s="597"/>
      <c r="J69" s="597"/>
    </row>
    <row r="70" spans="1:10">
      <c r="A70" s="597"/>
      <c r="B70" s="597"/>
      <c r="C70" s="598"/>
      <c r="D70" s="599"/>
      <c r="E70" s="597"/>
      <c r="F70" s="597"/>
      <c r="G70" s="597"/>
      <c r="H70" s="597"/>
      <c r="I70" s="597"/>
      <c r="J70" s="597"/>
    </row>
    <row r="71" spans="1:10">
      <c r="A71" s="597"/>
      <c r="B71" s="597"/>
      <c r="C71" s="598"/>
      <c r="D71" s="599"/>
      <c r="E71" s="597"/>
      <c r="F71" s="597"/>
      <c r="G71" s="597"/>
      <c r="H71" s="597"/>
      <c r="I71" s="597"/>
      <c r="J71" s="597"/>
    </row>
    <row r="72" spans="1:10">
      <c r="A72" s="597"/>
      <c r="B72" s="597"/>
      <c r="C72" s="598"/>
      <c r="D72" s="599"/>
      <c r="E72" s="597"/>
      <c r="F72" s="597"/>
      <c r="G72" s="597"/>
      <c r="H72" s="597"/>
      <c r="I72" s="597"/>
      <c r="J72" s="597"/>
    </row>
    <row r="73" spans="1:10">
      <c r="A73" s="597"/>
      <c r="B73" s="597"/>
      <c r="C73" s="598"/>
      <c r="D73" s="599"/>
      <c r="E73" s="597"/>
      <c r="F73" s="597"/>
      <c r="G73" s="597"/>
      <c r="H73" s="597"/>
      <c r="I73" s="597"/>
      <c r="J73" s="597"/>
    </row>
    <row r="74" spans="1:10">
      <c r="A74" s="597"/>
      <c r="B74" s="597"/>
      <c r="C74" s="598"/>
      <c r="D74" s="599"/>
      <c r="E74" s="597"/>
      <c r="F74" s="597"/>
      <c r="G74" s="597"/>
      <c r="H74" s="597"/>
      <c r="I74" s="597"/>
      <c r="J74" s="597"/>
    </row>
    <row r="75" spans="1:10">
      <c r="A75" s="597"/>
      <c r="B75" s="597"/>
      <c r="C75" s="598"/>
      <c r="D75" s="599"/>
      <c r="E75" s="597"/>
      <c r="F75" s="597"/>
      <c r="G75" s="597"/>
      <c r="H75" s="597"/>
      <c r="I75" s="597"/>
      <c r="J75" s="597"/>
    </row>
    <row r="76" spans="1:10">
      <c r="A76" s="597"/>
      <c r="B76" s="597"/>
      <c r="C76" s="598"/>
      <c r="D76" s="599"/>
      <c r="E76" s="597"/>
      <c r="F76" s="597"/>
      <c r="G76" s="597"/>
      <c r="H76" s="597"/>
      <c r="I76" s="597"/>
      <c r="J76" s="597"/>
    </row>
    <row r="77" spans="1:10">
      <c r="A77" s="597"/>
      <c r="B77" s="597"/>
      <c r="C77" s="598"/>
      <c r="D77" s="599"/>
      <c r="E77" s="597"/>
      <c r="F77" s="597"/>
      <c r="G77" s="597"/>
      <c r="H77" s="597"/>
      <c r="I77" s="597"/>
      <c r="J77" s="597"/>
    </row>
    <row r="78" spans="1:10">
      <c r="A78" s="597"/>
      <c r="B78" s="597"/>
      <c r="C78" s="598"/>
      <c r="D78" s="599"/>
      <c r="E78" s="597"/>
      <c r="F78" s="597"/>
      <c r="G78" s="597"/>
      <c r="H78" s="597"/>
      <c r="I78" s="597"/>
      <c r="J78" s="597"/>
    </row>
    <row r="79" spans="1:10">
      <c r="A79" s="597"/>
      <c r="B79" s="597"/>
      <c r="C79" s="598"/>
      <c r="D79" s="599"/>
      <c r="E79" s="597"/>
      <c r="F79" s="597"/>
      <c r="G79" s="597"/>
      <c r="H79" s="597"/>
      <c r="I79" s="597"/>
      <c r="J79" s="597"/>
    </row>
    <row r="80" spans="1:10">
      <c r="A80" s="597"/>
      <c r="B80" s="597"/>
      <c r="C80" s="598"/>
      <c r="D80" s="599"/>
      <c r="E80" s="597"/>
      <c r="F80" s="597"/>
      <c r="G80" s="597"/>
      <c r="H80" s="597"/>
      <c r="I80" s="597"/>
      <c r="J80" s="597"/>
    </row>
    <row r="81" spans="1:10">
      <c r="A81" s="597"/>
      <c r="B81" s="597"/>
      <c r="C81" s="598"/>
      <c r="D81" s="599"/>
      <c r="E81" s="597"/>
      <c r="F81" s="597"/>
      <c r="G81" s="597"/>
      <c r="H81" s="597"/>
      <c r="I81" s="597"/>
      <c r="J81" s="597"/>
    </row>
    <row r="82" spans="1:10">
      <c r="A82" s="597"/>
      <c r="B82" s="597"/>
      <c r="C82" s="598"/>
      <c r="D82" s="599"/>
      <c r="E82" s="597"/>
      <c r="F82" s="597"/>
      <c r="G82" s="597"/>
      <c r="H82" s="597"/>
      <c r="I82" s="597"/>
      <c r="J82" s="597"/>
    </row>
    <row r="83" spans="1:10">
      <c r="A83" s="597"/>
      <c r="B83" s="597"/>
      <c r="C83" s="598"/>
      <c r="D83" s="599"/>
      <c r="E83" s="597"/>
      <c r="F83" s="597"/>
      <c r="G83" s="597"/>
      <c r="H83" s="597"/>
      <c r="I83" s="597"/>
      <c r="J83" s="597"/>
    </row>
    <row r="84" spans="1:10">
      <c r="A84" s="597"/>
      <c r="B84" s="597"/>
      <c r="C84" s="598"/>
      <c r="D84" s="599"/>
      <c r="E84" s="597"/>
      <c r="F84" s="597"/>
      <c r="G84" s="597"/>
      <c r="H84" s="597"/>
      <c r="I84" s="597"/>
      <c r="J84" s="597"/>
    </row>
    <row r="85" spans="1:10">
      <c r="A85" s="597"/>
      <c r="B85" s="597"/>
      <c r="C85" s="598"/>
      <c r="D85" s="599"/>
      <c r="E85" s="597"/>
      <c r="F85" s="597"/>
      <c r="G85" s="597"/>
      <c r="H85" s="597"/>
      <c r="I85" s="597"/>
      <c r="J85" s="597"/>
    </row>
    <row r="86" spans="1:10">
      <c r="A86" s="597"/>
      <c r="B86" s="597"/>
      <c r="C86" s="598"/>
      <c r="D86" s="599"/>
      <c r="E86" s="597"/>
      <c r="F86" s="597"/>
      <c r="G86" s="597"/>
      <c r="H86" s="597"/>
      <c r="I86" s="597"/>
      <c r="J86" s="597"/>
    </row>
    <row r="87" spans="1:10">
      <c r="A87" s="597"/>
      <c r="B87" s="597"/>
      <c r="C87" s="598"/>
      <c r="D87" s="599"/>
      <c r="E87" s="597"/>
      <c r="F87" s="597"/>
      <c r="G87" s="597"/>
      <c r="H87" s="597"/>
      <c r="I87" s="597"/>
      <c r="J87" s="597"/>
    </row>
    <row r="88" spans="1:10">
      <c r="A88" s="597"/>
      <c r="B88" s="597"/>
      <c r="C88" s="598"/>
      <c r="D88" s="599"/>
      <c r="E88" s="597"/>
      <c r="F88" s="597"/>
      <c r="G88" s="597"/>
      <c r="H88" s="597"/>
      <c r="I88" s="597"/>
      <c r="J88" s="597"/>
    </row>
    <row r="89" spans="1:10">
      <c r="A89" s="597"/>
      <c r="B89" s="597"/>
      <c r="C89" s="598"/>
      <c r="D89" s="599"/>
      <c r="E89" s="597"/>
      <c r="F89" s="597"/>
      <c r="G89" s="597"/>
      <c r="H89" s="597"/>
      <c r="I89" s="597"/>
      <c r="J89" s="597"/>
    </row>
    <row r="90" spans="1:10">
      <c r="A90" s="597"/>
      <c r="B90" s="597"/>
      <c r="C90" s="598"/>
      <c r="D90" s="599"/>
      <c r="E90" s="597"/>
      <c r="F90" s="597"/>
      <c r="G90" s="597"/>
      <c r="H90" s="597"/>
      <c r="I90" s="597"/>
      <c r="J90" s="597"/>
    </row>
    <row r="91" spans="1:10">
      <c r="A91" s="597"/>
      <c r="B91" s="597"/>
      <c r="C91" s="598"/>
      <c r="D91" s="599"/>
      <c r="E91" s="597"/>
      <c r="F91" s="597"/>
      <c r="G91" s="597"/>
      <c r="H91" s="597"/>
      <c r="I91" s="597"/>
      <c r="J91" s="597"/>
    </row>
    <row r="92" spans="1:10">
      <c r="A92" s="597"/>
      <c r="B92" s="597"/>
      <c r="C92" s="598"/>
      <c r="D92" s="599"/>
      <c r="E92" s="597"/>
      <c r="F92" s="597"/>
      <c r="G92" s="597"/>
      <c r="H92" s="597"/>
      <c r="I92" s="597"/>
      <c r="J92" s="597"/>
    </row>
    <row r="93" spans="1:10">
      <c r="A93" s="597"/>
      <c r="B93" s="597"/>
      <c r="C93" s="598"/>
      <c r="D93" s="599"/>
      <c r="E93" s="597"/>
      <c r="F93" s="597"/>
      <c r="G93" s="597"/>
      <c r="H93" s="597"/>
      <c r="I93" s="597"/>
      <c r="J93" s="597"/>
    </row>
    <row r="94" spans="1:10">
      <c r="A94" s="597"/>
      <c r="B94" s="597"/>
      <c r="C94" s="598"/>
      <c r="D94" s="599"/>
      <c r="E94" s="597"/>
      <c r="F94" s="597"/>
      <c r="G94" s="597"/>
      <c r="H94" s="597"/>
      <c r="I94" s="597"/>
      <c r="J94" s="597"/>
    </row>
    <row r="95" spans="1:10">
      <c r="A95" s="597"/>
      <c r="B95" s="597"/>
      <c r="C95" s="598"/>
      <c r="D95" s="599"/>
      <c r="E95" s="597"/>
      <c r="F95" s="597"/>
      <c r="G95" s="597"/>
      <c r="H95" s="597"/>
      <c r="I95" s="597"/>
      <c r="J95" s="597"/>
    </row>
    <row r="96" spans="1:10">
      <c r="A96" s="597"/>
      <c r="B96" s="597"/>
      <c r="C96" s="598"/>
      <c r="D96" s="599"/>
      <c r="E96" s="597"/>
      <c r="F96" s="597"/>
      <c r="G96" s="597"/>
      <c r="H96" s="597"/>
      <c r="I96" s="597"/>
      <c r="J96" s="597"/>
    </row>
    <row r="97" spans="1:10">
      <c r="A97" s="597"/>
      <c r="B97" s="597"/>
      <c r="C97" s="598"/>
      <c r="D97" s="599"/>
      <c r="E97" s="597"/>
      <c r="F97" s="597"/>
      <c r="G97" s="597"/>
      <c r="H97" s="597"/>
      <c r="I97" s="597"/>
      <c r="J97" s="597"/>
    </row>
    <row r="98" spans="1:10">
      <c r="A98" s="597"/>
      <c r="B98" s="597"/>
      <c r="C98" s="598"/>
      <c r="D98" s="599"/>
      <c r="E98" s="597"/>
      <c r="F98" s="597"/>
      <c r="G98" s="597"/>
      <c r="H98" s="597"/>
      <c r="I98" s="597"/>
      <c r="J98" s="597"/>
    </row>
    <row r="99" spans="1:10">
      <c r="A99" s="597"/>
      <c r="B99" s="597"/>
      <c r="C99" s="598"/>
      <c r="D99" s="599"/>
      <c r="E99" s="597"/>
      <c r="F99" s="597"/>
      <c r="G99" s="597"/>
      <c r="H99" s="597"/>
      <c r="I99" s="597"/>
      <c r="J99" s="597"/>
    </row>
    <row r="100" spans="1:10">
      <c r="A100" s="597"/>
      <c r="B100" s="597"/>
      <c r="C100" s="598"/>
      <c r="D100" s="599"/>
      <c r="E100" s="597"/>
      <c r="F100" s="597"/>
      <c r="G100" s="597"/>
      <c r="H100" s="597"/>
      <c r="I100" s="597"/>
      <c r="J100" s="597"/>
    </row>
    <row r="101" spans="1:10">
      <c r="A101" s="597"/>
      <c r="B101" s="597"/>
      <c r="C101" s="598"/>
      <c r="D101" s="599"/>
      <c r="E101" s="597"/>
      <c r="F101" s="597"/>
      <c r="G101" s="597"/>
      <c r="H101" s="597"/>
      <c r="I101" s="597"/>
      <c r="J101" s="597"/>
    </row>
    <row r="102" spans="1:10">
      <c r="A102" s="597"/>
      <c r="B102" s="597"/>
      <c r="C102" s="598"/>
      <c r="D102" s="599"/>
      <c r="E102" s="597"/>
      <c r="F102" s="597"/>
      <c r="G102" s="597"/>
      <c r="H102" s="597"/>
      <c r="I102" s="597"/>
      <c r="J102" s="597"/>
    </row>
    <row r="103" spans="1:10">
      <c r="A103" s="597"/>
      <c r="B103" s="597"/>
      <c r="C103" s="598"/>
      <c r="D103" s="599"/>
      <c r="E103" s="597"/>
      <c r="F103" s="597"/>
      <c r="G103" s="597"/>
      <c r="H103" s="597"/>
      <c r="I103" s="597"/>
      <c r="J103" s="597"/>
    </row>
    <row r="104" spans="1:10">
      <c r="A104" s="597"/>
      <c r="B104" s="597"/>
      <c r="C104" s="598"/>
      <c r="D104" s="599"/>
      <c r="E104" s="597"/>
      <c r="F104" s="597"/>
      <c r="G104" s="597"/>
      <c r="H104" s="597"/>
      <c r="I104" s="597"/>
      <c r="J104" s="597"/>
    </row>
    <row r="105" spans="1:10">
      <c r="A105" s="597"/>
      <c r="B105" s="597"/>
      <c r="C105" s="598"/>
      <c r="D105" s="599"/>
      <c r="E105" s="597"/>
      <c r="F105" s="597"/>
      <c r="G105" s="597"/>
      <c r="H105" s="597"/>
      <c r="I105" s="597"/>
      <c r="J105" s="597"/>
    </row>
    <row r="106" spans="1:10">
      <c r="A106" s="597"/>
      <c r="B106" s="597"/>
      <c r="C106" s="598"/>
      <c r="D106" s="599"/>
      <c r="E106" s="597"/>
      <c r="F106" s="597"/>
      <c r="G106" s="597"/>
      <c r="H106" s="597"/>
      <c r="I106" s="597"/>
      <c r="J106" s="597"/>
    </row>
    <row r="107" spans="1:10">
      <c r="A107" s="597"/>
      <c r="B107" s="597"/>
      <c r="C107" s="598"/>
      <c r="D107" s="599"/>
      <c r="E107" s="597"/>
      <c r="F107" s="597"/>
      <c r="G107" s="597"/>
      <c r="H107" s="597"/>
      <c r="I107" s="597"/>
      <c r="J107" s="597"/>
    </row>
    <row r="108" spans="1:10">
      <c r="A108" s="597"/>
      <c r="B108" s="597"/>
      <c r="C108" s="598"/>
      <c r="D108" s="599"/>
      <c r="E108" s="597"/>
      <c r="F108" s="597"/>
      <c r="G108" s="597"/>
      <c r="H108" s="597"/>
      <c r="I108" s="597"/>
      <c r="J108" s="597"/>
    </row>
    <row r="109" spans="1:10">
      <c r="A109" s="597"/>
      <c r="B109" s="597"/>
      <c r="C109" s="598"/>
      <c r="D109" s="599"/>
      <c r="E109" s="597"/>
      <c r="F109" s="597"/>
      <c r="G109" s="597"/>
      <c r="H109" s="597"/>
      <c r="I109" s="597"/>
      <c r="J109" s="597"/>
    </row>
    <row r="110" spans="1:10">
      <c r="A110" s="597"/>
      <c r="B110" s="597"/>
      <c r="C110" s="598"/>
      <c r="D110" s="599"/>
      <c r="E110" s="597"/>
      <c r="F110" s="597"/>
      <c r="G110" s="597"/>
      <c r="H110" s="597"/>
      <c r="I110" s="597"/>
      <c r="J110" s="597"/>
    </row>
    <row r="111" spans="1:10">
      <c r="A111" s="597"/>
      <c r="B111" s="597"/>
      <c r="C111" s="598"/>
      <c r="D111" s="599"/>
      <c r="E111" s="597"/>
      <c r="F111" s="597"/>
      <c r="G111" s="597"/>
      <c r="H111" s="597"/>
      <c r="I111" s="597"/>
      <c r="J111" s="597"/>
    </row>
    <row r="112" spans="1:10">
      <c r="A112" s="597"/>
      <c r="B112" s="597"/>
      <c r="C112" s="598"/>
      <c r="D112" s="599"/>
      <c r="E112" s="597"/>
      <c r="F112" s="597"/>
      <c r="G112" s="597"/>
      <c r="H112" s="597"/>
      <c r="I112" s="597"/>
      <c r="J112" s="597"/>
    </row>
    <row r="113" spans="1:10">
      <c r="A113" s="597"/>
      <c r="B113" s="597"/>
      <c r="C113" s="598"/>
      <c r="D113" s="599"/>
      <c r="E113" s="597"/>
      <c r="F113" s="597"/>
      <c r="G113" s="597"/>
      <c r="H113" s="597"/>
      <c r="I113" s="597"/>
      <c r="J113" s="597"/>
    </row>
    <row r="114" spans="1:10">
      <c r="A114" s="597"/>
      <c r="B114" s="597"/>
      <c r="C114" s="598"/>
      <c r="D114" s="599"/>
      <c r="E114" s="597"/>
      <c r="F114" s="597"/>
      <c r="G114" s="597"/>
      <c r="H114" s="597"/>
      <c r="I114" s="597"/>
      <c r="J114" s="597"/>
    </row>
    <row r="115" spans="1:10">
      <c r="A115" s="597"/>
      <c r="B115" s="597"/>
      <c r="C115" s="598"/>
      <c r="D115" s="599"/>
      <c r="E115" s="597"/>
      <c r="F115" s="597"/>
      <c r="G115" s="597"/>
      <c r="H115" s="597"/>
      <c r="I115" s="597"/>
      <c r="J115" s="597"/>
    </row>
    <row r="116" spans="1:10">
      <c r="A116" s="597"/>
      <c r="B116" s="597"/>
      <c r="C116" s="598"/>
      <c r="D116" s="599"/>
      <c r="E116" s="597"/>
      <c r="F116" s="597"/>
      <c r="G116" s="597"/>
      <c r="H116" s="597"/>
      <c r="I116" s="597"/>
      <c r="J116" s="597"/>
    </row>
    <row r="117" spans="1:10">
      <c r="A117" s="597"/>
      <c r="B117" s="597"/>
      <c r="C117" s="598"/>
      <c r="D117" s="599"/>
      <c r="E117" s="597"/>
      <c r="F117" s="597"/>
      <c r="G117" s="597"/>
      <c r="H117" s="597"/>
      <c r="I117" s="597"/>
      <c r="J117" s="597"/>
    </row>
    <row r="118" spans="1:10">
      <c r="A118" s="597"/>
      <c r="B118" s="597"/>
      <c r="C118" s="598"/>
      <c r="D118" s="599"/>
      <c r="E118" s="597"/>
      <c r="F118" s="597"/>
      <c r="G118" s="597"/>
      <c r="H118" s="597"/>
      <c r="I118" s="597"/>
      <c r="J118" s="597"/>
    </row>
    <row r="119" spans="1:10">
      <c r="A119" s="597"/>
      <c r="B119" s="597"/>
      <c r="C119" s="598"/>
      <c r="D119" s="599"/>
      <c r="E119" s="597"/>
      <c r="F119" s="597"/>
      <c r="G119" s="597"/>
      <c r="H119" s="597"/>
      <c r="I119" s="597"/>
      <c r="J119" s="597"/>
    </row>
    <row r="120" spans="1:10">
      <c r="A120" s="597"/>
      <c r="B120" s="597"/>
      <c r="C120" s="598"/>
      <c r="D120" s="599"/>
      <c r="E120" s="597"/>
      <c r="F120" s="597"/>
      <c r="G120" s="597"/>
      <c r="H120" s="597"/>
      <c r="I120" s="597"/>
      <c r="J120" s="597"/>
    </row>
    <row r="121" spans="1:10">
      <c r="A121" s="597"/>
      <c r="B121" s="597"/>
      <c r="C121" s="598"/>
      <c r="D121" s="599"/>
      <c r="E121" s="597"/>
      <c r="F121" s="597"/>
      <c r="G121" s="597"/>
      <c r="H121" s="597"/>
      <c r="I121" s="597"/>
      <c r="J121" s="597"/>
    </row>
    <row r="122" spans="1:10">
      <c r="A122" s="597"/>
      <c r="B122" s="597"/>
      <c r="C122" s="598"/>
      <c r="D122" s="599"/>
      <c r="E122" s="597"/>
      <c r="F122" s="597"/>
      <c r="G122" s="597"/>
      <c r="H122" s="597"/>
      <c r="I122" s="597"/>
      <c r="J122" s="597"/>
    </row>
    <row r="123" spans="1:10">
      <c r="A123" s="597"/>
      <c r="B123" s="597"/>
      <c r="C123" s="598"/>
      <c r="D123" s="599"/>
      <c r="E123" s="597"/>
      <c r="F123" s="597"/>
      <c r="G123" s="597"/>
      <c r="H123" s="597"/>
      <c r="I123" s="597"/>
      <c r="J123" s="597"/>
    </row>
    <row r="124" spans="1:10">
      <c r="A124" s="597"/>
      <c r="B124" s="597"/>
      <c r="C124" s="598"/>
      <c r="D124" s="599"/>
      <c r="E124" s="597"/>
      <c r="F124" s="597"/>
      <c r="G124" s="597"/>
      <c r="H124" s="597"/>
      <c r="I124" s="597"/>
      <c r="J124" s="597"/>
    </row>
    <row r="125" spans="1:10">
      <c r="A125" s="597"/>
      <c r="B125" s="597"/>
      <c r="C125" s="598"/>
      <c r="D125" s="599"/>
      <c r="E125" s="597"/>
      <c r="F125" s="597"/>
      <c r="G125" s="597"/>
      <c r="H125" s="597"/>
      <c r="I125" s="597"/>
      <c r="J125" s="597"/>
    </row>
    <row r="126" spans="1:10">
      <c r="A126" s="597"/>
      <c r="B126" s="597"/>
      <c r="C126" s="598"/>
      <c r="D126" s="599"/>
      <c r="E126" s="597"/>
      <c r="F126" s="597"/>
      <c r="G126" s="597"/>
      <c r="H126" s="597"/>
      <c r="I126" s="597"/>
      <c r="J126" s="597"/>
    </row>
    <row r="127" spans="1:10">
      <c r="A127" s="597"/>
      <c r="B127" s="597"/>
      <c r="C127" s="598"/>
      <c r="D127" s="599"/>
      <c r="E127" s="597"/>
      <c r="F127" s="597"/>
      <c r="G127" s="597"/>
      <c r="H127" s="597"/>
      <c r="I127" s="597"/>
      <c r="J127" s="597"/>
    </row>
    <row r="128" spans="1:10">
      <c r="A128" s="597"/>
      <c r="B128" s="597"/>
      <c r="C128" s="598"/>
      <c r="D128" s="599"/>
      <c r="E128" s="597"/>
      <c r="F128" s="597"/>
      <c r="G128" s="597"/>
      <c r="H128" s="597"/>
      <c r="I128" s="597"/>
      <c r="J128" s="597"/>
    </row>
    <row r="129" spans="1:10">
      <c r="A129" s="597"/>
      <c r="B129" s="597"/>
      <c r="C129" s="598"/>
      <c r="D129" s="599"/>
      <c r="E129" s="597"/>
      <c r="F129" s="597"/>
      <c r="G129" s="597"/>
      <c r="H129" s="597"/>
      <c r="I129" s="597"/>
      <c r="J129" s="597"/>
    </row>
    <row r="130" spans="1:10">
      <c r="A130" s="597"/>
      <c r="B130" s="597"/>
      <c r="C130" s="598"/>
      <c r="D130" s="599"/>
      <c r="E130" s="597"/>
      <c r="F130" s="597"/>
      <c r="G130" s="597"/>
      <c r="H130" s="597"/>
      <c r="I130" s="597"/>
      <c r="J130" s="597"/>
    </row>
    <row r="131" spans="1:10">
      <c r="A131" s="597"/>
      <c r="B131" s="597"/>
      <c r="C131" s="598"/>
      <c r="D131" s="599"/>
      <c r="E131" s="597"/>
      <c r="F131" s="597"/>
      <c r="G131" s="597"/>
      <c r="H131" s="597"/>
      <c r="I131" s="597"/>
      <c r="J131" s="597"/>
    </row>
    <row r="132" spans="1:10">
      <c r="A132" s="597"/>
      <c r="B132" s="597"/>
      <c r="C132" s="598"/>
      <c r="D132" s="599"/>
      <c r="E132" s="597"/>
      <c r="F132" s="597"/>
      <c r="G132" s="597"/>
      <c r="H132" s="597"/>
      <c r="I132" s="597"/>
      <c r="J132" s="597"/>
    </row>
    <row r="133" spans="1:10">
      <c r="A133" s="597"/>
      <c r="B133" s="597"/>
      <c r="C133" s="598"/>
      <c r="D133" s="599"/>
      <c r="E133" s="597"/>
      <c r="F133" s="597"/>
      <c r="G133" s="597"/>
      <c r="H133" s="597"/>
      <c r="I133" s="597"/>
      <c r="J133" s="597"/>
    </row>
    <row r="134" spans="1:10">
      <c r="A134" s="597"/>
      <c r="B134" s="597"/>
      <c r="C134" s="598"/>
      <c r="D134" s="599"/>
      <c r="E134" s="597"/>
      <c r="F134" s="597"/>
      <c r="G134" s="597"/>
      <c r="H134" s="597"/>
      <c r="I134" s="597"/>
      <c r="J134" s="597"/>
    </row>
    <row r="135" spans="1:10">
      <c r="A135" s="597"/>
      <c r="B135" s="597"/>
      <c r="C135" s="598"/>
      <c r="D135" s="599"/>
      <c r="E135" s="597"/>
      <c r="F135" s="597"/>
      <c r="G135" s="597"/>
      <c r="H135" s="597"/>
      <c r="I135" s="597"/>
      <c r="J135" s="597"/>
    </row>
    <row r="136" spans="1:10">
      <c r="A136" s="597"/>
      <c r="B136" s="597"/>
      <c r="C136" s="598"/>
      <c r="D136" s="599"/>
      <c r="E136" s="597"/>
      <c r="F136" s="597"/>
      <c r="G136" s="597"/>
      <c r="H136" s="597"/>
      <c r="I136" s="597"/>
      <c r="J136" s="597"/>
    </row>
    <row r="137" spans="1:10">
      <c r="A137" s="597"/>
      <c r="B137" s="597"/>
      <c r="C137" s="598"/>
      <c r="D137" s="599"/>
      <c r="E137" s="597"/>
      <c r="F137" s="597"/>
      <c r="G137" s="597"/>
      <c r="H137" s="597"/>
      <c r="I137" s="597"/>
      <c r="J137" s="597"/>
    </row>
    <row r="138" spans="1:10">
      <c r="A138" s="597"/>
      <c r="B138" s="597"/>
      <c r="C138" s="598"/>
      <c r="D138" s="599"/>
      <c r="E138" s="597"/>
      <c r="F138" s="597"/>
      <c r="G138" s="597"/>
      <c r="H138" s="597"/>
      <c r="I138" s="597"/>
      <c r="J138" s="597"/>
    </row>
    <row r="139" spans="1:10">
      <c r="A139" s="597"/>
      <c r="B139" s="597"/>
      <c r="C139" s="598"/>
      <c r="D139" s="599"/>
      <c r="E139" s="597"/>
      <c r="F139" s="597"/>
      <c r="G139" s="597"/>
      <c r="H139" s="597"/>
      <c r="I139" s="597"/>
      <c r="J139" s="597"/>
    </row>
    <row r="140" spans="1:10">
      <c r="A140" s="597"/>
      <c r="B140" s="597"/>
      <c r="C140" s="598"/>
      <c r="D140" s="599"/>
      <c r="E140" s="597"/>
      <c r="F140" s="597"/>
      <c r="G140" s="597"/>
      <c r="H140" s="597"/>
      <c r="I140" s="597"/>
      <c r="J140" s="597"/>
    </row>
    <row r="141" spans="1:10">
      <c r="A141" s="597"/>
      <c r="B141" s="597"/>
      <c r="C141" s="598"/>
      <c r="D141" s="599"/>
      <c r="E141" s="597"/>
      <c r="F141" s="597"/>
      <c r="G141" s="597"/>
      <c r="H141" s="597"/>
      <c r="I141" s="597"/>
      <c r="J141" s="597"/>
    </row>
    <row r="142" spans="1:10">
      <c r="A142" s="597"/>
      <c r="B142" s="597"/>
      <c r="C142" s="598"/>
      <c r="D142" s="599"/>
      <c r="E142" s="597"/>
      <c r="F142" s="597"/>
      <c r="G142" s="597"/>
      <c r="H142" s="597"/>
      <c r="I142" s="597"/>
      <c r="J142" s="597"/>
    </row>
    <row r="143" spans="1:10">
      <c r="A143" s="597"/>
      <c r="B143" s="597"/>
      <c r="C143" s="598"/>
      <c r="D143" s="599"/>
      <c r="E143" s="597"/>
      <c r="F143" s="597"/>
      <c r="G143" s="597"/>
      <c r="H143" s="597"/>
      <c r="I143" s="597"/>
      <c r="J143" s="597"/>
    </row>
    <row r="144" spans="1:10">
      <c r="A144" s="597"/>
      <c r="B144" s="597"/>
      <c r="C144" s="598"/>
      <c r="D144" s="599"/>
      <c r="E144" s="597"/>
      <c r="F144" s="597"/>
      <c r="G144" s="597"/>
      <c r="H144" s="597"/>
      <c r="I144" s="597"/>
      <c r="J144" s="597"/>
    </row>
    <row r="145" spans="1:10">
      <c r="A145" s="597"/>
      <c r="B145" s="597"/>
      <c r="C145" s="598"/>
      <c r="D145" s="599"/>
      <c r="E145" s="597"/>
      <c r="F145" s="597"/>
      <c r="G145" s="597"/>
      <c r="H145" s="597"/>
      <c r="I145" s="597"/>
      <c r="J145" s="597"/>
    </row>
    <row r="146" spans="1:10">
      <c r="A146" s="597"/>
      <c r="B146" s="597"/>
      <c r="C146" s="598"/>
      <c r="D146" s="599"/>
      <c r="E146" s="597"/>
      <c r="F146" s="597"/>
      <c r="G146" s="597"/>
      <c r="H146" s="597"/>
      <c r="I146" s="597"/>
      <c r="J146" s="597"/>
    </row>
    <row r="147" spans="1:10">
      <c r="A147" s="597"/>
      <c r="B147" s="597"/>
      <c r="C147" s="598"/>
      <c r="D147" s="599"/>
      <c r="E147" s="597"/>
      <c r="F147" s="597"/>
      <c r="G147" s="597"/>
      <c r="H147" s="597"/>
      <c r="I147" s="597"/>
      <c r="J147" s="597"/>
    </row>
    <row r="148" spans="1:10">
      <c r="A148" s="597"/>
      <c r="B148" s="597"/>
      <c r="C148" s="598"/>
      <c r="D148" s="599"/>
      <c r="E148" s="597"/>
      <c r="F148" s="597"/>
      <c r="G148" s="597"/>
      <c r="H148" s="597"/>
      <c r="I148" s="597"/>
      <c r="J148" s="597"/>
    </row>
    <row r="149" spans="1:10">
      <c r="A149" s="597"/>
      <c r="B149" s="597"/>
      <c r="C149" s="598"/>
      <c r="D149" s="599"/>
      <c r="E149" s="597"/>
      <c r="F149" s="597"/>
      <c r="G149" s="597"/>
      <c r="H149" s="597"/>
      <c r="I149" s="597"/>
      <c r="J149" s="597"/>
    </row>
    <row r="150" spans="1:10">
      <c r="A150" s="597"/>
      <c r="B150" s="597"/>
      <c r="C150" s="598"/>
      <c r="D150" s="599"/>
      <c r="E150" s="597"/>
      <c r="F150" s="597"/>
      <c r="G150" s="597"/>
      <c r="H150" s="597"/>
      <c r="I150" s="597"/>
      <c r="J150" s="597"/>
    </row>
    <row r="151" spans="1:10">
      <c r="A151" s="597"/>
      <c r="B151" s="597"/>
      <c r="C151" s="598"/>
      <c r="D151" s="599"/>
      <c r="E151" s="597"/>
      <c r="F151" s="597"/>
      <c r="G151" s="597"/>
      <c r="H151" s="597"/>
      <c r="I151" s="597"/>
      <c r="J151" s="597"/>
    </row>
    <row r="152" spans="1:10">
      <c r="A152" s="597"/>
      <c r="B152" s="597"/>
      <c r="C152" s="598"/>
      <c r="D152" s="599"/>
      <c r="E152" s="597"/>
      <c r="F152" s="597"/>
      <c r="G152" s="597"/>
      <c r="H152" s="597"/>
      <c r="I152" s="597"/>
      <c r="J152" s="597"/>
    </row>
    <row r="153" spans="1:10">
      <c r="A153" s="597"/>
      <c r="B153" s="597"/>
      <c r="C153" s="598"/>
      <c r="D153" s="599"/>
      <c r="E153" s="597"/>
      <c r="F153" s="597"/>
      <c r="G153" s="597"/>
      <c r="H153" s="597"/>
      <c r="I153" s="597"/>
      <c r="J153" s="597"/>
    </row>
    <row r="154" spans="1:10">
      <c r="A154" s="597"/>
      <c r="B154" s="597"/>
      <c r="C154" s="598"/>
      <c r="D154" s="599"/>
      <c r="E154" s="597"/>
      <c r="F154" s="597"/>
      <c r="G154" s="597"/>
      <c r="H154" s="597"/>
      <c r="I154" s="597"/>
      <c r="J154" s="597"/>
    </row>
    <row r="155" spans="1:10">
      <c r="A155" s="597"/>
      <c r="B155" s="597"/>
      <c r="C155" s="598"/>
      <c r="D155" s="599"/>
      <c r="E155" s="597"/>
      <c r="F155" s="597"/>
      <c r="G155" s="597"/>
      <c r="H155" s="597"/>
      <c r="I155" s="597"/>
      <c r="J155" s="597"/>
    </row>
    <row r="156" spans="1:10">
      <c r="A156" s="597"/>
      <c r="B156" s="597"/>
      <c r="C156" s="598"/>
      <c r="D156" s="599"/>
      <c r="E156" s="597"/>
      <c r="F156" s="597"/>
      <c r="G156" s="597"/>
      <c r="H156" s="597"/>
      <c r="I156" s="597"/>
      <c r="J156" s="597"/>
    </row>
    <row r="157" spans="1:10">
      <c r="A157" s="597"/>
      <c r="B157" s="597"/>
      <c r="C157" s="598"/>
      <c r="D157" s="599"/>
      <c r="E157" s="597"/>
      <c r="F157" s="597"/>
      <c r="G157" s="597"/>
      <c r="H157" s="597"/>
      <c r="I157" s="597"/>
      <c r="J157" s="597"/>
    </row>
    <row r="158" spans="1:10">
      <c r="A158" s="597"/>
      <c r="B158" s="597"/>
      <c r="C158" s="598"/>
      <c r="D158" s="599"/>
      <c r="E158" s="597"/>
      <c r="F158" s="597"/>
      <c r="G158" s="597"/>
      <c r="H158" s="597"/>
      <c r="I158" s="597"/>
      <c r="J158" s="597"/>
    </row>
    <row r="159" spans="1:10">
      <c r="A159" s="597"/>
      <c r="B159" s="597"/>
      <c r="C159" s="598"/>
      <c r="D159" s="599"/>
      <c r="E159" s="597"/>
      <c r="F159" s="597"/>
      <c r="G159" s="597"/>
      <c r="H159" s="597"/>
      <c r="I159" s="597"/>
      <c r="J159" s="597"/>
    </row>
    <row r="160" spans="1:10">
      <c r="A160" s="597"/>
      <c r="B160" s="597"/>
      <c r="C160" s="598"/>
      <c r="D160" s="599"/>
      <c r="E160" s="597"/>
      <c r="F160" s="597"/>
      <c r="G160" s="597"/>
      <c r="H160" s="597"/>
      <c r="I160" s="597"/>
      <c r="J160" s="597"/>
    </row>
    <row r="161" spans="1:10">
      <c r="A161" s="597"/>
      <c r="B161" s="597"/>
      <c r="C161" s="598"/>
      <c r="D161" s="599"/>
      <c r="E161" s="597"/>
      <c r="F161" s="597"/>
      <c r="G161" s="597"/>
      <c r="H161" s="597"/>
      <c r="I161" s="597"/>
      <c r="J161" s="597"/>
    </row>
    <row r="162" spans="1:10">
      <c r="A162" s="597"/>
      <c r="B162" s="597"/>
      <c r="C162" s="598"/>
      <c r="D162" s="599"/>
      <c r="E162" s="597"/>
      <c r="F162" s="597"/>
      <c r="G162" s="597"/>
      <c r="H162" s="597"/>
      <c r="I162" s="597"/>
      <c r="J162" s="597"/>
    </row>
    <row r="163" spans="1:10">
      <c r="A163" s="597"/>
      <c r="B163" s="597"/>
      <c r="C163" s="598"/>
      <c r="D163" s="599"/>
      <c r="E163" s="597"/>
      <c r="F163" s="597"/>
      <c r="G163" s="597"/>
      <c r="H163" s="597"/>
      <c r="I163" s="597"/>
      <c r="J163" s="597"/>
    </row>
    <row r="164" spans="1:10">
      <c r="A164" s="597"/>
      <c r="B164" s="597"/>
      <c r="C164" s="598"/>
      <c r="D164" s="599"/>
      <c r="E164" s="597"/>
      <c r="F164" s="597"/>
      <c r="G164" s="597"/>
      <c r="H164" s="597"/>
      <c r="I164" s="597"/>
      <c r="J164" s="597"/>
    </row>
    <row r="165" spans="1:10">
      <c r="A165" s="597"/>
      <c r="B165" s="597"/>
      <c r="C165" s="598"/>
      <c r="D165" s="599"/>
      <c r="E165" s="597"/>
      <c r="F165" s="597"/>
      <c r="G165" s="597"/>
      <c r="H165" s="597"/>
      <c r="I165" s="597"/>
      <c r="J165" s="597"/>
    </row>
    <row r="166" spans="1:10">
      <c r="A166" s="597"/>
      <c r="B166" s="597"/>
      <c r="C166" s="598"/>
      <c r="D166" s="599"/>
      <c r="E166" s="597"/>
      <c r="F166" s="597"/>
      <c r="G166" s="597"/>
      <c r="H166" s="597"/>
      <c r="I166" s="597"/>
      <c r="J166" s="597"/>
    </row>
    <row r="167" spans="1:10">
      <c r="A167" s="597"/>
      <c r="B167" s="597"/>
      <c r="C167" s="598"/>
      <c r="D167" s="599"/>
      <c r="E167" s="597"/>
      <c r="F167" s="597"/>
      <c r="G167" s="597"/>
      <c r="H167" s="597"/>
      <c r="I167" s="597"/>
      <c r="J167" s="597"/>
    </row>
    <row r="168" spans="1:10">
      <c r="A168" s="597"/>
      <c r="B168" s="597"/>
      <c r="C168" s="598"/>
      <c r="D168" s="599"/>
      <c r="E168" s="597"/>
      <c r="F168" s="597"/>
      <c r="G168" s="597"/>
      <c r="H168" s="597"/>
      <c r="I168" s="597"/>
      <c r="J168" s="597"/>
    </row>
    <row r="169" spans="1:10">
      <c r="A169" s="597"/>
      <c r="B169" s="597"/>
      <c r="C169" s="598"/>
      <c r="D169" s="599"/>
      <c r="E169" s="597"/>
      <c r="F169" s="597"/>
      <c r="G169" s="597"/>
      <c r="H169" s="597"/>
      <c r="I169" s="597"/>
      <c r="J169" s="597"/>
    </row>
    <row r="170" spans="1:10">
      <c r="A170" s="597"/>
      <c r="B170" s="597"/>
      <c r="C170" s="598"/>
      <c r="D170" s="599"/>
      <c r="E170" s="597"/>
      <c r="F170" s="597"/>
      <c r="G170" s="597"/>
      <c r="H170" s="597"/>
      <c r="I170" s="597"/>
      <c r="J170" s="597"/>
    </row>
    <row r="171" spans="1:10">
      <c r="A171" s="597"/>
      <c r="B171" s="597"/>
      <c r="C171" s="598"/>
      <c r="D171" s="599"/>
      <c r="E171" s="597"/>
      <c r="F171" s="597"/>
      <c r="G171" s="597"/>
      <c r="H171" s="597"/>
      <c r="I171" s="597"/>
      <c r="J171" s="597"/>
    </row>
    <row r="172" spans="1:10">
      <c r="A172" s="597"/>
      <c r="B172" s="597"/>
      <c r="C172" s="598"/>
      <c r="D172" s="599"/>
      <c r="E172" s="597"/>
      <c r="F172" s="597"/>
      <c r="G172" s="597"/>
      <c r="H172" s="597"/>
      <c r="I172" s="597"/>
      <c r="J172" s="597"/>
    </row>
    <row r="173" spans="1:10">
      <c r="A173" s="597"/>
      <c r="B173" s="597"/>
      <c r="C173" s="598"/>
      <c r="D173" s="599"/>
      <c r="E173" s="597"/>
      <c r="F173" s="597"/>
      <c r="G173" s="597"/>
      <c r="H173" s="597"/>
      <c r="I173" s="597"/>
      <c r="J173" s="597"/>
    </row>
    <row r="174" spans="1:10">
      <c r="A174" s="597"/>
      <c r="B174" s="597"/>
      <c r="C174" s="598"/>
      <c r="D174" s="599"/>
      <c r="E174" s="597"/>
      <c r="F174" s="597"/>
      <c r="G174" s="597"/>
      <c r="H174" s="597"/>
      <c r="I174" s="597"/>
      <c r="J174" s="597"/>
    </row>
    <row r="175" spans="1:10">
      <c r="A175" s="597"/>
      <c r="B175" s="597"/>
      <c r="C175" s="598"/>
      <c r="D175" s="599"/>
      <c r="E175" s="597"/>
      <c r="F175" s="597"/>
      <c r="G175" s="597"/>
      <c r="H175" s="597"/>
      <c r="I175" s="597"/>
      <c r="J175" s="597"/>
    </row>
    <row r="176" spans="1:10">
      <c r="A176" s="597"/>
      <c r="B176" s="597"/>
      <c r="C176" s="598"/>
      <c r="D176" s="599"/>
      <c r="E176" s="597"/>
      <c r="F176" s="597"/>
      <c r="G176" s="597"/>
      <c r="H176" s="597"/>
      <c r="I176" s="597"/>
      <c r="J176" s="597"/>
    </row>
    <row r="177" spans="1:10">
      <c r="A177" s="597"/>
      <c r="B177" s="597"/>
      <c r="C177" s="598"/>
      <c r="D177" s="599"/>
      <c r="E177" s="597"/>
      <c r="F177" s="597"/>
      <c r="G177" s="597"/>
      <c r="H177" s="597"/>
      <c r="I177" s="597"/>
      <c r="J177" s="597"/>
    </row>
    <row r="178" spans="1:10">
      <c r="A178" s="597"/>
      <c r="B178" s="597"/>
      <c r="C178" s="598"/>
      <c r="D178" s="599"/>
      <c r="E178" s="597"/>
      <c r="F178" s="597"/>
      <c r="G178" s="597"/>
      <c r="H178" s="597"/>
      <c r="I178" s="597"/>
      <c r="J178" s="597"/>
    </row>
    <row r="179" spans="1:10">
      <c r="A179" s="597"/>
      <c r="B179" s="597"/>
      <c r="C179" s="598"/>
      <c r="D179" s="599"/>
      <c r="E179" s="597"/>
      <c r="F179" s="597"/>
      <c r="G179" s="597"/>
      <c r="H179" s="597"/>
      <c r="I179" s="597"/>
      <c r="J179" s="597"/>
    </row>
    <row r="180" spans="1:10">
      <c r="A180" s="597"/>
      <c r="B180" s="597"/>
      <c r="C180" s="598"/>
      <c r="D180" s="599"/>
      <c r="E180" s="597"/>
      <c r="F180" s="597"/>
      <c r="G180" s="597"/>
      <c r="H180" s="597"/>
      <c r="I180" s="597"/>
      <c r="J180" s="597"/>
    </row>
    <row r="181" spans="1:10">
      <c r="A181" s="597"/>
      <c r="B181" s="597"/>
      <c r="C181" s="598"/>
      <c r="D181" s="599"/>
      <c r="E181" s="597"/>
      <c r="F181" s="597"/>
      <c r="G181" s="597"/>
      <c r="H181" s="597"/>
      <c r="I181" s="597"/>
      <c r="J181" s="597"/>
    </row>
    <row r="182" spans="1:10">
      <c r="A182" s="597"/>
      <c r="B182" s="597"/>
      <c r="C182" s="598"/>
      <c r="D182" s="599"/>
      <c r="E182" s="597"/>
      <c r="F182" s="597"/>
      <c r="G182" s="597"/>
      <c r="H182" s="597"/>
      <c r="I182" s="597"/>
      <c r="J182" s="597"/>
    </row>
    <row r="183" spans="1:10">
      <c r="A183" s="597"/>
      <c r="B183" s="597"/>
      <c r="C183" s="598"/>
      <c r="D183" s="599"/>
      <c r="E183" s="597"/>
      <c r="F183" s="597"/>
      <c r="G183" s="597"/>
      <c r="H183" s="597"/>
      <c r="I183" s="597"/>
      <c r="J183" s="597"/>
    </row>
    <row r="184" spans="1:10">
      <c r="A184" s="597"/>
      <c r="B184" s="597"/>
      <c r="C184" s="598"/>
      <c r="D184" s="599"/>
      <c r="E184" s="597"/>
      <c r="F184" s="597"/>
      <c r="G184" s="597"/>
      <c r="H184" s="597"/>
      <c r="I184" s="597"/>
      <c r="J184" s="597"/>
    </row>
    <row r="185" spans="1:10">
      <c r="A185" s="597"/>
      <c r="B185" s="597"/>
      <c r="C185" s="598"/>
      <c r="D185" s="599"/>
      <c r="E185" s="597"/>
      <c r="F185" s="597"/>
      <c r="G185" s="597"/>
      <c r="H185" s="597"/>
      <c r="I185" s="597"/>
      <c r="J185" s="597"/>
    </row>
    <row r="186" spans="1:10">
      <c r="A186" s="597"/>
      <c r="B186" s="597"/>
      <c r="C186" s="598"/>
      <c r="D186" s="599"/>
      <c r="E186" s="597"/>
      <c r="F186" s="597"/>
      <c r="G186" s="597"/>
      <c r="H186" s="597"/>
      <c r="I186" s="597"/>
      <c r="J186" s="597"/>
    </row>
    <row r="187" spans="1:10">
      <c r="A187" s="597"/>
      <c r="B187" s="597"/>
      <c r="C187" s="598"/>
      <c r="D187" s="599"/>
      <c r="E187" s="597"/>
      <c r="F187" s="597"/>
      <c r="G187" s="597"/>
      <c r="H187" s="597"/>
      <c r="I187" s="597"/>
      <c r="J187" s="597"/>
    </row>
    <row r="188" spans="1:10">
      <c r="A188" s="597"/>
      <c r="B188" s="597"/>
      <c r="C188" s="598"/>
      <c r="D188" s="599"/>
      <c r="E188" s="597"/>
      <c r="F188" s="597"/>
      <c r="G188" s="597"/>
      <c r="H188" s="597"/>
      <c r="I188" s="597"/>
      <c r="J188" s="597"/>
    </row>
    <row r="189" spans="1:10">
      <c r="A189" s="597"/>
      <c r="B189" s="597"/>
      <c r="C189" s="598"/>
      <c r="D189" s="599"/>
      <c r="E189" s="597"/>
      <c r="F189" s="597"/>
      <c r="G189" s="597"/>
      <c r="H189" s="597"/>
      <c r="I189" s="597"/>
      <c r="J189" s="597"/>
    </row>
    <row r="190" spans="1:10">
      <c r="A190" s="597"/>
      <c r="B190" s="597"/>
      <c r="C190" s="598"/>
      <c r="D190" s="599"/>
      <c r="E190" s="597"/>
      <c r="F190" s="597"/>
      <c r="G190" s="597"/>
      <c r="H190" s="597"/>
      <c r="I190" s="597"/>
      <c r="J190" s="597"/>
    </row>
    <row r="191" spans="1:10">
      <c r="A191" s="597"/>
      <c r="B191" s="597"/>
      <c r="C191" s="598"/>
      <c r="D191" s="599"/>
      <c r="E191" s="597"/>
      <c r="F191" s="597"/>
      <c r="G191" s="597"/>
      <c r="H191" s="597"/>
      <c r="I191" s="597"/>
      <c r="J191" s="597"/>
    </row>
    <row r="192" spans="1:10">
      <c r="A192" s="597"/>
      <c r="B192" s="597"/>
      <c r="C192" s="598"/>
      <c r="D192" s="599"/>
      <c r="E192" s="597"/>
      <c r="F192" s="597"/>
      <c r="G192" s="597"/>
      <c r="H192" s="597"/>
      <c r="I192" s="597"/>
      <c r="J192" s="597"/>
    </row>
    <row r="193" spans="1:10">
      <c r="A193" s="597"/>
      <c r="B193" s="597"/>
      <c r="C193" s="598"/>
      <c r="D193" s="599"/>
      <c r="E193" s="597"/>
      <c r="F193" s="597"/>
      <c r="G193" s="597"/>
      <c r="H193" s="597"/>
      <c r="I193" s="597"/>
      <c r="J193" s="597"/>
    </row>
    <row r="194" spans="1:10">
      <c r="A194" s="597"/>
      <c r="B194" s="597"/>
      <c r="C194" s="598"/>
      <c r="D194" s="599"/>
      <c r="E194" s="597"/>
      <c r="F194" s="597"/>
      <c r="G194" s="597"/>
      <c r="H194" s="597"/>
      <c r="I194" s="597"/>
      <c r="J194" s="597"/>
    </row>
    <row r="195" spans="1:10">
      <c r="A195" s="597"/>
      <c r="B195" s="597"/>
      <c r="C195" s="598"/>
      <c r="D195" s="599"/>
      <c r="E195" s="597"/>
      <c r="F195" s="597"/>
      <c r="G195" s="597"/>
      <c r="H195" s="597"/>
      <c r="I195" s="597"/>
      <c r="J195" s="597"/>
    </row>
    <row r="196" spans="1:10">
      <c r="A196" s="597"/>
      <c r="B196" s="597"/>
      <c r="C196" s="598"/>
      <c r="D196" s="599"/>
      <c r="E196" s="597"/>
      <c r="F196" s="597"/>
      <c r="G196" s="597"/>
      <c r="H196" s="597"/>
      <c r="I196" s="597"/>
      <c r="J196" s="597"/>
    </row>
    <row r="197" spans="1:10">
      <c r="A197" s="597"/>
      <c r="B197" s="597"/>
      <c r="C197" s="598"/>
      <c r="D197" s="599"/>
      <c r="E197" s="597"/>
      <c r="F197" s="597"/>
      <c r="G197" s="597"/>
      <c r="H197" s="597"/>
      <c r="I197" s="597"/>
      <c r="J197" s="597"/>
    </row>
    <row r="198" spans="1:10">
      <c r="A198" s="597"/>
      <c r="B198" s="597"/>
      <c r="C198" s="598"/>
      <c r="D198" s="599"/>
      <c r="E198" s="597"/>
      <c r="F198" s="597"/>
      <c r="G198" s="597"/>
      <c r="H198" s="597"/>
      <c r="I198" s="597"/>
      <c r="J198" s="597"/>
    </row>
    <row r="199" spans="1:10">
      <c r="A199" s="597"/>
      <c r="B199" s="597"/>
      <c r="C199" s="598"/>
      <c r="D199" s="599"/>
      <c r="E199" s="597"/>
      <c r="F199" s="597"/>
      <c r="G199" s="597"/>
      <c r="H199" s="597"/>
      <c r="I199" s="597"/>
      <c r="J199" s="597"/>
    </row>
    <row r="200" spans="1:10">
      <c r="A200" s="597"/>
      <c r="B200" s="597"/>
      <c r="C200" s="598"/>
      <c r="D200" s="599"/>
      <c r="E200" s="597"/>
      <c r="F200" s="597"/>
      <c r="G200" s="597"/>
      <c r="H200" s="597"/>
      <c r="I200" s="597"/>
      <c r="J200" s="597"/>
    </row>
    <row r="201" spans="1:10">
      <c r="A201" s="597"/>
      <c r="B201" s="597"/>
      <c r="C201" s="598"/>
      <c r="D201" s="599"/>
      <c r="E201" s="597"/>
      <c r="F201" s="597"/>
      <c r="G201" s="597"/>
      <c r="H201" s="597"/>
      <c r="I201" s="597"/>
      <c r="J201" s="597"/>
    </row>
    <row r="202" spans="1:10">
      <c r="A202" s="597"/>
      <c r="B202" s="597"/>
      <c r="C202" s="598"/>
      <c r="D202" s="599"/>
      <c r="E202" s="597"/>
      <c r="F202" s="597"/>
      <c r="G202" s="597"/>
      <c r="H202" s="597"/>
      <c r="I202" s="597"/>
      <c r="J202" s="597"/>
    </row>
    <row r="203" spans="1:10">
      <c r="A203" s="597"/>
      <c r="B203" s="597"/>
      <c r="C203" s="598"/>
      <c r="D203" s="599"/>
      <c r="E203" s="597"/>
      <c r="F203" s="597"/>
      <c r="G203" s="597"/>
      <c r="H203" s="597"/>
      <c r="I203" s="597"/>
      <c r="J203" s="597"/>
    </row>
    <row r="204" spans="1:10">
      <c r="A204" s="597"/>
      <c r="B204" s="597"/>
      <c r="C204" s="598"/>
      <c r="D204" s="599"/>
      <c r="E204" s="597"/>
      <c r="F204" s="597"/>
      <c r="G204" s="597"/>
      <c r="H204" s="597"/>
      <c r="I204" s="597"/>
      <c r="J204" s="597"/>
    </row>
    <row r="205" spans="1:10">
      <c r="A205" s="597"/>
      <c r="B205" s="597"/>
      <c r="C205" s="598"/>
      <c r="D205" s="599"/>
      <c r="E205" s="597"/>
      <c r="F205" s="597"/>
      <c r="G205" s="597"/>
      <c r="H205" s="597"/>
      <c r="I205" s="597"/>
      <c r="J205" s="597"/>
    </row>
    <row r="206" spans="1:10">
      <c r="A206" s="597"/>
      <c r="B206" s="597"/>
      <c r="C206" s="598"/>
      <c r="D206" s="599"/>
      <c r="E206" s="597"/>
      <c r="F206" s="597"/>
      <c r="G206" s="597"/>
      <c r="H206" s="597"/>
      <c r="I206" s="597"/>
      <c r="J206" s="597"/>
    </row>
    <row r="207" spans="1:10">
      <c r="A207" s="597"/>
      <c r="B207" s="597"/>
      <c r="C207" s="598"/>
      <c r="D207" s="599"/>
      <c r="E207" s="597"/>
      <c r="F207" s="597"/>
      <c r="G207" s="597"/>
      <c r="H207" s="597"/>
      <c r="I207" s="597"/>
      <c r="J207" s="597"/>
    </row>
    <row r="208" spans="1:10">
      <c r="A208" s="597"/>
      <c r="B208" s="597"/>
      <c r="C208" s="598"/>
      <c r="D208" s="599"/>
      <c r="E208" s="597"/>
      <c r="F208" s="597"/>
      <c r="G208" s="597"/>
      <c r="H208" s="597"/>
      <c r="I208" s="597"/>
      <c r="J208" s="597"/>
    </row>
    <row r="209" spans="1:10">
      <c r="A209" s="597"/>
      <c r="B209" s="597"/>
      <c r="C209" s="598"/>
      <c r="D209" s="599"/>
      <c r="E209" s="597"/>
      <c r="F209" s="597"/>
      <c r="G209" s="597"/>
      <c r="H209" s="597"/>
      <c r="I209" s="597"/>
      <c r="J209" s="597"/>
    </row>
    <row r="210" spans="1:10">
      <c r="A210" s="597"/>
      <c r="B210" s="597"/>
      <c r="C210" s="598"/>
      <c r="D210" s="599"/>
      <c r="E210" s="597"/>
      <c r="F210" s="597"/>
      <c r="G210" s="597"/>
      <c r="H210" s="597"/>
      <c r="I210" s="597"/>
      <c r="J210" s="597"/>
    </row>
    <row r="211" spans="1:10">
      <c r="A211" s="597"/>
      <c r="B211" s="597"/>
      <c r="C211" s="598"/>
      <c r="D211" s="599"/>
      <c r="E211" s="597"/>
      <c r="F211" s="597"/>
      <c r="G211" s="597"/>
      <c r="H211" s="597"/>
      <c r="I211" s="597"/>
      <c r="J211" s="597"/>
    </row>
    <row r="212" spans="1:10">
      <c r="A212" s="597"/>
      <c r="B212" s="597"/>
      <c r="C212" s="598"/>
      <c r="D212" s="599"/>
      <c r="E212" s="597"/>
      <c r="F212" s="597"/>
      <c r="G212" s="597"/>
      <c r="H212" s="597"/>
      <c r="I212" s="597"/>
      <c r="J212" s="597"/>
    </row>
    <row r="213" spans="1:10">
      <c r="A213" s="597"/>
      <c r="B213" s="597"/>
      <c r="C213" s="598"/>
      <c r="D213" s="599"/>
      <c r="E213" s="597"/>
      <c r="F213" s="597"/>
      <c r="G213" s="597"/>
      <c r="H213" s="597"/>
      <c r="I213" s="597"/>
      <c r="J213" s="597"/>
    </row>
    <row r="214" spans="1:10">
      <c r="A214" s="597"/>
      <c r="B214" s="597"/>
      <c r="C214" s="598"/>
      <c r="D214" s="599"/>
      <c r="E214" s="597"/>
      <c r="F214" s="597"/>
      <c r="G214" s="597"/>
      <c r="H214" s="597"/>
      <c r="I214" s="597"/>
      <c r="J214" s="597"/>
    </row>
    <row r="215" spans="1:10">
      <c r="A215" s="597"/>
      <c r="B215" s="597"/>
      <c r="C215" s="598"/>
      <c r="D215" s="599"/>
      <c r="E215" s="597"/>
      <c r="F215" s="597"/>
      <c r="G215" s="597"/>
      <c r="H215" s="597"/>
      <c r="I215" s="597"/>
      <c r="J215" s="597"/>
    </row>
    <row r="216" spans="1:10">
      <c r="A216" s="597"/>
      <c r="B216" s="597"/>
      <c r="C216" s="598"/>
      <c r="D216" s="599"/>
      <c r="E216" s="597"/>
      <c r="F216" s="597"/>
      <c r="G216" s="597"/>
      <c r="H216" s="597"/>
      <c r="I216" s="597"/>
      <c r="J216" s="597"/>
    </row>
    <row r="217" spans="1:10">
      <c r="A217" s="597"/>
      <c r="B217" s="597"/>
      <c r="C217" s="598"/>
      <c r="D217" s="599"/>
      <c r="E217" s="597"/>
      <c r="F217" s="597"/>
      <c r="G217" s="597"/>
      <c r="H217" s="597"/>
      <c r="I217" s="597"/>
      <c r="J217" s="597"/>
    </row>
    <row r="218" spans="1:10">
      <c r="A218" s="597"/>
      <c r="B218" s="597"/>
      <c r="C218" s="598"/>
      <c r="D218" s="599"/>
      <c r="E218" s="597"/>
      <c r="F218" s="597"/>
      <c r="G218" s="597"/>
      <c r="H218" s="597"/>
      <c r="I218" s="597"/>
      <c r="J218" s="597"/>
    </row>
    <row r="219" spans="1:10">
      <c r="A219" s="597"/>
      <c r="B219" s="597"/>
      <c r="C219" s="598"/>
      <c r="D219" s="599"/>
      <c r="E219" s="597"/>
      <c r="F219" s="597"/>
      <c r="G219" s="597"/>
      <c r="H219" s="597"/>
      <c r="I219" s="597"/>
      <c r="J219" s="597"/>
    </row>
    <row r="220" spans="1:10">
      <c r="A220" s="597"/>
      <c r="B220" s="597"/>
      <c r="C220" s="598"/>
      <c r="D220" s="599"/>
      <c r="E220" s="597"/>
      <c r="F220" s="597"/>
      <c r="G220" s="597"/>
      <c r="H220" s="597"/>
      <c r="I220" s="597"/>
      <c r="J220" s="597"/>
    </row>
    <row r="221" spans="1:10">
      <c r="A221" s="597"/>
      <c r="B221" s="597"/>
      <c r="C221" s="598"/>
      <c r="D221" s="599"/>
      <c r="E221" s="597"/>
      <c r="F221" s="597"/>
      <c r="G221" s="597"/>
      <c r="H221" s="597"/>
      <c r="I221" s="597"/>
      <c r="J221" s="597"/>
    </row>
    <row r="222" spans="1:10">
      <c r="A222" s="597"/>
      <c r="B222" s="597"/>
      <c r="C222" s="598"/>
      <c r="D222" s="599"/>
      <c r="E222" s="597"/>
      <c r="F222" s="597"/>
      <c r="G222" s="597"/>
      <c r="H222" s="597"/>
      <c r="I222" s="597"/>
      <c r="J222" s="597"/>
    </row>
    <row r="223" spans="1:10">
      <c r="A223" s="597"/>
      <c r="B223" s="597"/>
      <c r="C223" s="598"/>
      <c r="D223" s="599"/>
      <c r="E223" s="597"/>
      <c r="F223" s="597"/>
      <c r="G223" s="597"/>
      <c r="H223" s="597"/>
      <c r="I223" s="597"/>
      <c r="J223" s="597"/>
    </row>
    <row r="224" spans="1:10">
      <c r="A224" s="597"/>
      <c r="B224" s="597"/>
      <c r="C224" s="598"/>
      <c r="D224" s="599"/>
      <c r="E224" s="597"/>
      <c r="F224" s="597"/>
      <c r="G224" s="597"/>
      <c r="H224" s="597"/>
      <c r="I224" s="597"/>
      <c r="J224" s="597"/>
    </row>
    <row r="225" spans="1:10">
      <c r="A225" s="597"/>
      <c r="B225" s="597"/>
      <c r="C225" s="598"/>
      <c r="D225" s="599"/>
      <c r="E225" s="597"/>
      <c r="F225" s="597"/>
      <c r="G225" s="597"/>
      <c r="H225" s="597"/>
      <c r="I225" s="597"/>
      <c r="J225" s="597"/>
    </row>
    <row r="226" spans="1:10">
      <c r="A226" s="597"/>
      <c r="B226" s="597"/>
      <c r="C226" s="598"/>
      <c r="D226" s="599"/>
      <c r="E226" s="597"/>
      <c r="F226" s="597"/>
      <c r="G226" s="597"/>
      <c r="H226" s="597"/>
      <c r="I226" s="597"/>
      <c r="J226" s="597"/>
    </row>
    <row r="227" spans="1:10">
      <c r="A227" s="597"/>
      <c r="B227" s="597"/>
      <c r="C227" s="598"/>
      <c r="D227" s="599"/>
      <c r="E227" s="597"/>
      <c r="F227" s="597"/>
      <c r="G227" s="597"/>
      <c r="H227" s="597"/>
      <c r="I227" s="597"/>
      <c r="J227" s="597"/>
    </row>
    <row r="228" spans="1:10">
      <c r="A228" s="597"/>
      <c r="B228" s="597"/>
      <c r="C228" s="598"/>
      <c r="D228" s="599"/>
      <c r="E228" s="597"/>
      <c r="F228" s="597"/>
      <c r="G228" s="597"/>
      <c r="H228" s="597"/>
      <c r="I228" s="597"/>
      <c r="J228" s="597"/>
    </row>
    <row r="229" spans="1:10">
      <c r="A229" s="597"/>
      <c r="B229" s="597"/>
      <c r="C229" s="598"/>
      <c r="D229" s="599"/>
      <c r="E229" s="597"/>
      <c r="F229" s="597"/>
      <c r="G229" s="597"/>
      <c r="H229" s="597"/>
      <c r="I229" s="597"/>
      <c r="J229" s="597"/>
    </row>
    <row r="230" spans="1:10">
      <c r="A230" s="597"/>
      <c r="B230" s="597"/>
      <c r="C230" s="598"/>
      <c r="D230" s="599"/>
      <c r="E230" s="597"/>
      <c r="F230" s="597"/>
      <c r="G230" s="597"/>
      <c r="H230" s="597"/>
      <c r="I230" s="597"/>
      <c r="J230" s="597"/>
    </row>
    <row r="231" spans="1:10">
      <c r="A231" s="597"/>
      <c r="B231" s="597"/>
      <c r="C231" s="598"/>
      <c r="D231" s="599"/>
      <c r="E231" s="597"/>
      <c r="F231" s="597"/>
      <c r="G231" s="597"/>
      <c r="H231" s="597"/>
      <c r="I231" s="597"/>
      <c r="J231" s="597"/>
    </row>
    <row r="232" spans="1:10">
      <c r="A232" s="597"/>
      <c r="B232" s="597"/>
      <c r="C232" s="598"/>
      <c r="D232" s="599"/>
      <c r="E232" s="597"/>
      <c r="F232" s="597"/>
      <c r="G232" s="597"/>
      <c r="H232" s="597"/>
      <c r="I232" s="597"/>
      <c r="J232" s="597"/>
    </row>
    <row r="233" spans="1:10">
      <c r="A233" s="597"/>
      <c r="B233" s="597"/>
      <c r="C233" s="598"/>
      <c r="D233" s="599"/>
      <c r="E233" s="597"/>
      <c r="F233" s="597"/>
      <c r="G233" s="597"/>
      <c r="H233" s="597"/>
      <c r="I233" s="597"/>
      <c r="J233" s="597"/>
    </row>
    <row r="234" spans="1:10">
      <c r="A234" s="597"/>
      <c r="B234" s="597"/>
      <c r="C234" s="598"/>
      <c r="D234" s="599"/>
      <c r="E234" s="597"/>
      <c r="F234" s="597"/>
      <c r="G234" s="597"/>
      <c r="H234" s="597"/>
      <c r="I234" s="597"/>
      <c r="J234" s="597"/>
    </row>
    <row r="235" spans="1:10">
      <c r="A235" s="597"/>
      <c r="B235" s="597"/>
      <c r="C235" s="598"/>
      <c r="D235" s="599"/>
      <c r="E235" s="597"/>
      <c r="F235" s="597"/>
      <c r="G235" s="597"/>
      <c r="H235" s="597"/>
      <c r="I235" s="597"/>
      <c r="J235" s="597"/>
    </row>
    <row r="236" spans="1:10">
      <c r="A236" s="597"/>
      <c r="B236" s="597"/>
      <c r="C236" s="598"/>
      <c r="D236" s="599"/>
      <c r="E236" s="597"/>
      <c r="F236" s="597"/>
      <c r="G236" s="597"/>
      <c r="H236" s="597"/>
      <c r="I236" s="597"/>
      <c r="J236" s="597"/>
    </row>
    <row r="237" spans="1:10">
      <c r="A237" s="597"/>
      <c r="B237" s="597"/>
      <c r="C237" s="598"/>
      <c r="D237" s="599"/>
      <c r="E237" s="597"/>
      <c r="F237" s="597"/>
      <c r="G237" s="597"/>
      <c r="H237" s="597"/>
      <c r="I237" s="597"/>
      <c r="J237" s="597"/>
    </row>
    <row r="238" spans="1:10">
      <c r="A238" s="597"/>
      <c r="B238" s="597"/>
      <c r="C238" s="598"/>
      <c r="D238" s="599"/>
      <c r="E238" s="597"/>
      <c r="F238" s="597"/>
      <c r="G238" s="597"/>
      <c r="H238" s="597"/>
      <c r="I238" s="597"/>
      <c r="J238" s="597"/>
    </row>
    <row r="239" spans="1:10">
      <c r="A239" s="597"/>
      <c r="B239" s="597"/>
      <c r="C239" s="598"/>
      <c r="D239" s="599"/>
      <c r="E239" s="597"/>
      <c r="F239" s="597"/>
      <c r="G239" s="597"/>
      <c r="H239" s="597"/>
      <c r="I239" s="597"/>
      <c r="J239" s="597"/>
    </row>
  </sheetData>
  <mergeCells count="7">
    <mergeCell ref="J4:J5"/>
    <mergeCell ref="A4:A5"/>
    <mergeCell ref="B4:B5"/>
    <mergeCell ref="C4:D5"/>
    <mergeCell ref="E4:E5"/>
    <mergeCell ref="F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6D3B-1F14-45D3-BF3D-3E2E352875F9}">
  <sheetPr>
    <tabColor theme="1" tint="4.9989318521683403E-2"/>
  </sheetPr>
  <dimension ref="A1:U71"/>
  <sheetViews>
    <sheetView showGridLines="0" zoomScaleNormal="100" workbookViewId="0">
      <pane xSplit="3" ySplit="7" topLeftCell="D68" activePane="bottomRight" state="frozen"/>
      <selection pane="bottomRight" activeCell="C59" sqref="C59"/>
      <selection pane="bottomLeft" activeCell="A8" sqref="A8"/>
      <selection pane="topRight" activeCell="D1" sqref="D1"/>
    </sheetView>
  </sheetViews>
  <sheetFormatPr defaultColWidth="9.42578125" defaultRowHeight="11.45"/>
  <cols>
    <col min="1" max="1" width="40.5703125" style="1672" customWidth="1"/>
    <col min="2" max="2" width="12.42578125" style="1685" hidden="1" customWidth="1"/>
    <col min="3" max="3" width="18" style="1685" customWidth="1"/>
    <col min="4" max="6" width="18.42578125" style="1672" customWidth="1"/>
    <col min="7" max="7" width="15.42578125" style="1672" customWidth="1"/>
    <col min="8" max="8" width="11" style="1672" hidden="1" customWidth="1"/>
    <col min="9" max="9" width="13.42578125" style="1683" hidden="1" customWidth="1"/>
    <col min="10" max="12" width="16.5703125" style="1683" customWidth="1"/>
    <col min="13" max="13" width="9.42578125" style="1672"/>
    <col min="14" max="14" width="0" style="1672" hidden="1" customWidth="1"/>
    <col min="15" max="17" width="9.42578125" style="1672" bestFit="1" customWidth="1"/>
    <col min="18" max="20" width="9.42578125" style="1672"/>
    <col min="21" max="21" width="10.42578125" style="1672" bestFit="1" customWidth="1"/>
    <col min="22" max="16384" width="9.42578125" style="1672"/>
  </cols>
  <sheetData>
    <row r="1" spans="1:21" ht="15" customHeight="1">
      <c r="A1" s="1671" t="s">
        <v>45</v>
      </c>
      <c r="B1" s="1682"/>
      <c r="C1" s="1682"/>
    </row>
    <row r="2" spans="1:21" ht="15" customHeight="1">
      <c r="A2" s="1671" t="s">
        <v>46</v>
      </c>
      <c r="B2" s="1682"/>
      <c r="C2" s="1682"/>
    </row>
    <row r="3" spans="1:21" ht="15" customHeight="1">
      <c r="A3" s="1673" t="s">
        <v>47</v>
      </c>
      <c r="B3" s="1684"/>
      <c r="C3" s="1684"/>
    </row>
    <row r="4" spans="1:21" ht="15" customHeight="1">
      <c r="A4" s="1671"/>
      <c r="B4" s="1682"/>
      <c r="C4" s="1682"/>
    </row>
    <row r="5" spans="1:21" ht="15" customHeight="1" thickBot="1"/>
    <row r="6" spans="1:21" ht="15" customHeight="1" thickBot="1">
      <c r="A6" s="2348" t="s">
        <v>48</v>
      </c>
      <c r="B6" s="1686">
        <v>45565</v>
      </c>
      <c r="C6" s="2350" t="s">
        <v>49</v>
      </c>
      <c r="D6" s="2351"/>
      <c r="E6" s="2351"/>
      <c r="F6" s="2352"/>
      <c r="I6" s="2346" t="s">
        <v>50</v>
      </c>
      <c r="J6" s="2346"/>
      <c r="K6" s="2346"/>
      <c r="L6" s="2346"/>
      <c r="N6" s="2347" t="s">
        <v>51</v>
      </c>
      <c r="O6" s="2347"/>
      <c r="P6" s="2347"/>
      <c r="Q6" s="2347"/>
    </row>
    <row r="7" spans="1:21" ht="15" customHeight="1" thickBot="1">
      <c r="A7" s="2349"/>
      <c r="B7" s="1687">
        <v>2024</v>
      </c>
      <c r="C7" s="1688">
        <v>2024</v>
      </c>
      <c r="D7" s="1688">
        <v>2023</v>
      </c>
      <c r="E7" s="1688">
        <v>2022</v>
      </c>
      <c r="F7" s="1689">
        <v>2021</v>
      </c>
      <c r="I7" s="1690">
        <v>45536</v>
      </c>
      <c r="J7" s="1785">
        <v>45627</v>
      </c>
      <c r="K7" s="1785">
        <v>45261</v>
      </c>
      <c r="L7" s="1785">
        <v>44896</v>
      </c>
      <c r="N7" s="1691">
        <v>45536</v>
      </c>
      <c r="O7" s="1786">
        <v>45627</v>
      </c>
      <c r="P7" s="1786">
        <v>45261</v>
      </c>
      <c r="Q7" s="1786">
        <v>44896</v>
      </c>
    </row>
    <row r="8" spans="1:21" ht="15" customHeight="1">
      <c r="A8" s="1692" t="s">
        <v>52</v>
      </c>
      <c r="B8" s="1693"/>
      <c r="C8" s="1693"/>
      <c r="D8" s="1694"/>
      <c r="E8" s="1695"/>
      <c r="F8" s="1696"/>
      <c r="G8" s="1697"/>
      <c r="I8" s="1698"/>
      <c r="J8" s="1779"/>
      <c r="K8" s="1779"/>
      <c r="L8" s="1779"/>
      <c r="N8" s="1780"/>
      <c r="O8" s="1780"/>
      <c r="P8" s="1780"/>
      <c r="Q8" s="1780"/>
    </row>
    <row r="9" spans="1:21" ht="15" customHeight="1">
      <c r="A9" s="1699" t="s">
        <v>53</v>
      </c>
      <c r="B9" s="1700"/>
      <c r="C9" s="1700"/>
      <c r="D9" s="1694"/>
      <c r="E9" s="1695"/>
      <c r="F9" s="1701"/>
      <c r="G9" s="1702"/>
      <c r="I9" s="1703"/>
      <c r="J9" s="1779"/>
      <c r="K9" s="1779"/>
      <c r="L9" s="1779"/>
      <c r="N9" s="1780"/>
      <c r="O9" s="1780"/>
      <c r="P9" s="1780"/>
      <c r="Q9" s="1780"/>
    </row>
    <row r="10" spans="1:21" ht="15" customHeight="1">
      <c r="A10" s="1704" t="s">
        <v>54</v>
      </c>
      <c r="B10" s="1705">
        <f>'BS Konsol-Des 24'!I11</f>
        <v>13187388399</v>
      </c>
      <c r="C10" s="1705">
        <f>'BS Konsol-Des 24'!G11</f>
        <v>918209485</v>
      </c>
      <c r="D10" s="1706">
        <v>2570121355</v>
      </c>
      <c r="E10" s="1707">
        <v>4920468963</v>
      </c>
      <c r="F10" s="1708">
        <v>4972845584</v>
      </c>
      <c r="G10" s="1709"/>
      <c r="H10" s="1674">
        <f>D10-E10</f>
        <v>-2350347608</v>
      </c>
      <c r="I10" s="1675">
        <f>B10-D10</f>
        <v>10617267044</v>
      </c>
      <c r="J10" s="1781">
        <f>C10-D10</f>
        <v>-1651911870</v>
      </c>
      <c r="K10" s="1781">
        <f>D10-E10</f>
        <v>-2350347608</v>
      </c>
      <c r="L10" s="1781">
        <f t="shared" ref="L10:L20" si="0">E10-F10</f>
        <v>-52376621</v>
      </c>
      <c r="N10" s="1782">
        <f t="shared" ref="N10:N20" si="1">I10/D10</f>
        <v>4.131037245904678</v>
      </c>
      <c r="O10" s="1782">
        <f>J10/D10</f>
        <v>-0.64273691465436655</v>
      </c>
      <c r="P10" s="1782">
        <f>K10/E10</f>
        <v>-0.47766739830566834</v>
      </c>
      <c r="Q10" s="1782">
        <f t="shared" ref="Q10:Q20" si="2">L10/F10</f>
        <v>-1.0532525113693536E-2</v>
      </c>
    </row>
    <row r="11" spans="1:21" ht="15" customHeight="1">
      <c r="A11" s="1704" t="s">
        <v>55</v>
      </c>
      <c r="B11" s="1705">
        <f>'BS Konsol-Des 24'!I14</f>
        <v>37856978018</v>
      </c>
      <c r="C11" s="1705">
        <f>'BS Konsol-Des 24'!G14</f>
        <v>94399254849</v>
      </c>
      <c r="D11" s="1706">
        <v>19981020112</v>
      </c>
      <c r="E11" s="1707">
        <v>53102808880</v>
      </c>
      <c r="F11" s="1708">
        <v>38673285818</v>
      </c>
      <c r="G11" s="1709"/>
      <c r="H11" s="1674"/>
      <c r="I11" s="1675">
        <f t="shared" ref="I11:I20" si="3">B11-D11</f>
        <v>17875957906</v>
      </c>
      <c r="J11" s="1781">
        <f t="shared" ref="J11:J19" si="4">C11-D11</f>
        <v>74418234737</v>
      </c>
      <c r="K11" s="1781">
        <f t="shared" ref="J11:K20" si="5">D11-E11</f>
        <v>-33121788768</v>
      </c>
      <c r="L11" s="1781">
        <f t="shared" si="0"/>
        <v>14429523062</v>
      </c>
      <c r="N11" s="1782">
        <f t="shared" si="1"/>
        <v>0.89464691020776443</v>
      </c>
      <c r="O11" s="1782">
        <f t="shared" ref="O11:O19" si="6">J11/D11</f>
        <v>3.7244462154515645</v>
      </c>
      <c r="P11" s="1782">
        <f t="shared" ref="O11:P20" si="7">K11/E11</f>
        <v>-0.62372950634019264</v>
      </c>
      <c r="Q11" s="1782">
        <f t="shared" si="2"/>
        <v>0.37311344916246963</v>
      </c>
    </row>
    <row r="12" spans="1:21" ht="15" customHeight="1">
      <c r="A12" s="1704" t="s">
        <v>56</v>
      </c>
      <c r="B12" s="1705">
        <f>'BS Konsol-Des 24'!I13</f>
        <v>339894481</v>
      </c>
      <c r="C12" s="1705">
        <f>'BS Konsol-Des 24'!G13</f>
        <v>393935430</v>
      </c>
      <c r="D12" s="1706">
        <v>211054410</v>
      </c>
      <c r="E12" s="1707">
        <v>1729176327</v>
      </c>
      <c r="F12" s="1708">
        <v>1565918952</v>
      </c>
      <c r="G12" s="1709"/>
      <c r="H12" s="1674"/>
      <c r="I12" s="1675">
        <f t="shared" si="3"/>
        <v>128840071</v>
      </c>
      <c r="J12" s="1781">
        <f t="shared" si="4"/>
        <v>182881020</v>
      </c>
      <c r="K12" s="1781">
        <f t="shared" si="5"/>
        <v>-1518121917</v>
      </c>
      <c r="L12" s="1781">
        <f t="shared" si="0"/>
        <v>163257375</v>
      </c>
      <c r="N12" s="1782">
        <f t="shared" si="1"/>
        <v>0.61045903281528213</v>
      </c>
      <c r="O12" s="1782">
        <f t="shared" si="6"/>
        <v>0.86651124702866911</v>
      </c>
      <c r="P12" s="1782">
        <f t="shared" si="7"/>
        <v>-0.87794511947421539</v>
      </c>
      <c r="Q12" s="1782">
        <f t="shared" si="2"/>
        <v>0.10425659309601357</v>
      </c>
    </row>
    <row r="13" spans="1:21" ht="15" customHeight="1">
      <c r="A13" s="1704" t="s">
        <v>57</v>
      </c>
      <c r="B13" s="1705">
        <f>'BS Konsol-Des 24'!I15</f>
        <v>510634104</v>
      </c>
      <c r="C13" s="1705">
        <f>'BS Konsol-Des 24'!G15</f>
        <v>697232257</v>
      </c>
      <c r="D13" s="1710">
        <v>510634104</v>
      </c>
      <c r="E13" s="1707">
        <v>549732399</v>
      </c>
      <c r="F13" s="1708">
        <v>466154019</v>
      </c>
      <c r="G13" s="1709"/>
      <c r="H13" s="1674"/>
      <c r="I13" s="1675">
        <f t="shared" si="3"/>
        <v>0</v>
      </c>
      <c r="J13" s="1781">
        <f t="shared" si="4"/>
        <v>186598153</v>
      </c>
      <c r="K13" s="1781">
        <f t="shared" si="5"/>
        <v>-39098295</v>
      </c>
      <c r="L13" s="1781">
        <f t="shared" si="0"/>
        <v>83578380</v>
      </c>
      <c r="N13" s="1782">
        <f t="shared" si="1"/>
        <v>0</v>
      </c>
      <c r="O13" s="1782">
        <f t="shared" si="6"/>
        <v>0.36542438418880069</v>
      </c>
      <c r="P13" s="1782">
        <f t="shared" si="7"/>
        <v>-7.1122413507230822E-2</v>
      </c>
      <c r="Q13" s="1782">
        <f t="shared" si="2"/>
        <v>0.17929348797484035</v>
      </c>
    </row>
    <row r="14" spans="1:21" ht="15" customHeight="1">
      <c r="A14" s="1704" t="s">
        <v>58</v>
      </c>
      <c r="B14" s="1705">
        <f>0</f>
        <v>0</v>
      </c>
      <c r="C14" s="1705">
        <f>0</f>
        <v>0</v>
      </c>
      <c r="D14" s="1710">
        <v>7022707423</v>
      </c>
      <c r="E14" s="1707">
        <v>7197443207</v>
      </c>
      <c r="F14" s="1708">
        <v>6836690211</v>
      </c>
      <c r="G14" s="1709"/>
      <c r="H14" s="1674"/>
      <c r="I14" s="1675">
        <f t="shared" si="3"/>
        <v>-7022707423</v>
      </c>
      <c r="J14" s="1781">
        <f t="shared" si="4"/>
        <v>-7022707423</v>
      </c>
      <c r="K14" s="1781">
        <f t="shared" si="5"/>
        <v>-174735784</v>
      </c>
      <c r="L14" s="1781">
        <f t="shared" si="0"/>
        <v>360752996</v>
      </c>
      <c r="N14" s="1782">
        <f t="shared" si="1"/>
        <v>-1</v>
      </c>
      <c r="O14" s="1782">
        <f t="shared" si="6"/>
        <v>-1</v>
      </c>
      <c r="P14" s="1782">
        <f t="shared" si="7"/>
        <v>-2.4277480068207784E-2</v>
      </c>
      <c r="Q14" s="1782">
        <f t="shared" si="2"/>
        <v>5.2767199458527578E-2</v>
      </c>
    </row>
    <row r="15" spans="1:21" ht="15" customHeight="1">
      <c r="A15" s="1704" t="s">
        <v>59</v>
      </c>
      <c r="B15" s="1705">
        <f>'BS Konsol-Des 24'!I16</f>
        <v>262102659717</v>
      </c>
      <c r="C15" s="1705">
        <f>'BS Konsol-Des 24'!G16</f>
        <v>217742151701</v>
      </c>
      <c r="D15" s="1706">
        <v>218071396362</v>
      </c>
      <c r="E15" s="1707">
        <v>137179893500</v>
      </c>
      <c r="F15" s="1708">
        <v>95865646086</v>
      </c>
      <c r="G15" s="1709"/>
      <c r="H15" s="1674"/>
      <c r="I15" s="1675">
        <f t="shared" si="3"/>
        <v>44031263355</v>
      </c>
      <c r="J15" s="1781">
        <f t="shared" si="4"/>
        <v>-329244661</v>
      </c>
      <c r="K15" s="1781">
        <f t="shared" si="5"/>
        <v>80891502862</v>
      </c>
      <c r="L15" s="1781">
        <f t="shared" si="0"/>
        <v>41314247414</v>
      </c>
      <c r="N15" s="1782">
        <f t="shared" si="1"/>
        <v>0.20191214478173838</v>
      </c>
      <c r="O15" s="1782">
        <f t="shared" si="6"/>
        <v>-1.5098021404579426E-3</v>
      </c>
      <c r="P15" s="1782">
        <f t="shared" si="7"/>
        <v>0.58967462940915605</v>
      </c>
      <c r="Q15" s="1782">
        <f t="shared" si="2"/>
        <v>0.43095988084133341</v>
      </c>
      <c r="U15" s="1677"/>
    </row>
    <row r="16" spans="1:21" ht="15" customHeight="1">
      <c r="A16" s="1704" t="s">
        <v>60</v>
      </c>
      <c r="B16" s="1705">
        <f>'BS Konsol-Des 24'!I17</f>
        <v>3489807904</v>
      </c>
      <c r="C16" s="1705">
        <f>'BS Konsol-Des 24'!G17</f>
        <v>913803984</v>
      </c>
      <c r="D16" s="1706">
        <v>2415719386</v>
      </c>
      <c r="E16" s="1707">
        <v>651253829</v>
      </c>
      <c r="F16" s="1708">
        <v>871760289</v>
      </c>
      <c r="G16" s="1709"/>
      <c r="H16" s="1674">
        <f>E16-D16</f>
        <v>-1764465557</v>
      </c>
      <c r="I16" s="1675">
        <f t="shared" si="3"/>
        <v>1074088518</v>
      </c>
      <c r="J16" s="1781">
        <f t="shared" si="4"/>
        <v>-1501915402</v>
      </c>
      <c r="K16" s="1781">
        <f t="shared" si="5"/>
        <v>1764465557</v>
      </c>
      <c r="L16" s="1781">
        <f t="shared" si="0"/>
        <v>-220506460</v>
      </c>
      <c r="N16" s="1782">
        <f t="shared" si="1"/>
        <v>0.44462470443576596</v>
      </c>
      <c r="O16" s="1782">
        <f t="shared" si="6"/>
        <v>-0.62172593832883205</v>
      </c>
      <c r="P16" s="1782">
        <f t="shared" si="7"/>
        <v>2.709336173438452</v>
      </c>
      <c r="Q16" s="1782">
        <f t="shared" si="2"/>
        <v>-0.25294391449390741</v>
      </c>
      <c r="U16" s="1677"/>
    </row>
    <row r="17" spans="1:21" ht="15" customHeight="1">
      <c r="A17" s="1704" t="s">
        <v>61</v>
      </c>
      <c r="B17" s="1705">
        <f>'BS Konsol-Des 24'!I18</f>
        <v>11345112342</v>
      </c>
      <c r="C17" s="1705">
        <f>'BS Konsol-Des 24'!G18</f>
        <v>9035601705</v>
      </c>
      <c r="D17" s="1706">
        <v>9663458887</v>
      </c>
      <c r="E17" s="1707">
        <v>8035438770</v>
      </c>
      <c r="F17" s="1708">
        <v>8635897222</v>
      </c>
      <c r="G17" s="1709"/>
      <c r="H17" s="1674">
        <f>E17-D17</f>
        <v>-1628020117</v>
      </c>
      <c r="I17" s="1675">
        <f t="shared" si="3"/>
        <v>1681653455</v>
      </c>
      <c r="J17" s="1781">
        <f t="shared" si="4"/>
        <v>-627857182</v>
      </c>
      <c r="K17" s="1781">
        <f t="shared" si="5"/>
        <v>1628020117</v>
      </c>
      <c r="L17" s="1781">
        <f t="shared" si="0"/>
        <v>-600458452</v>
      </c>
      <c r="N17" s="1782">
        <f t="shared" si="1"/>
        <v>0.17402189781779737</v>
      </c>
      <c r="O17" s="1782">
        <f t="shared" si="6"/>
        <v>-6.4972303327604564E-2</v>
      </c>
      <c r="P17" s="1782">
        <f t="shared" si="7"/>
        <v>0.20260500560070846</v>
      </c>
      <c r="Q17" s="1782">
        <f t="shared" si="2"/>
        <v>-6.9530523182968013E-2</v>
      </c>
      <c r="U17" s="1677"/>
    </row>
    <row r="18" spans="1:21" ht="15" hidden="1" customHeight="1">
      <c r="A18" s="1704" t="s">
        <v>62</v>
      </c>
      <c r="B18" s="1705">
        <v>0</v>
      </c>
      <c r="C18" s="1705">
        <v>0</v>
      </c>
      <c r="D18" s="1706">
        <v>0</v>
      </c>
      <c r="E18" s="1707">
        <v>0</v>
      </c>
      <c r="F18" s="1708">
        <v>0</v>
      </c>
      <c r="G18" s="1709"/>
      <c r="H18" s="1674"/>
      <c r="I18" s="1675">
        <f t="shared" si="3"/>
        <v>0</v>
      </c>
      <c r="J18" s="1781">
        <f t="shared" si="4"/>
        <v>0</v>
      </c>
      <c r="K18" s="1781">
        <f t="shared" si="5"/>
        <v>0</v>
      </c>
      <c r="L18" s="1781">
        <f t="shared" si="0"/>
        <v>0</v>
      </c>
      <c r="N18" s="1782" t="e">
        <f t="shared" si="1"/>
        <v>#DIV/0!</v>
      </c>
      <c r="O18" s="1782" t="e">
        <f t="shared" si="6"/>
        <v>#DIV/0!</v>
      </c>
      <c r="P18" s="1782" t="e">
        <f t="shared" si="7"/>
        <v>#DIV/0!</v>
      </c>
      <c r="Q18" s="1782" t="e">
        <f t="shared" si="2"/>
        <v>#DIV/0!</v>
      </c>
      <c r="U18" s="1677"/>
    </row>
    <row r="19" spans="1:21" ht="15" customHeight="1" thickBot="1">
      <c r="A19" s="1711" t="s">
        <v>63</v>
      </c>
      <c r="B19" s="1712">
        <f>'BS Konsol-Des 24'!I20</f>
        <v>1488682854</v>
      </c>
      <c r="C19" s="1712">
        <f>'BS Konsol-Des 24'!G20</f>
        <v>33893674735</v>
      </c>
      <c r="D19" s="1713">
        <v>1104447053</v>
      </c>
      <c r="E19" s="1714">
        <v>349309986</v>
      </c>
      <c r="F19" s="1714">
        <v>227462120</v>
      </c>
      <c r="G19" s="1709"/>
      <c r="H19" s="1674"/>
      <c r="I19" s="1715">
        <f t="shared" si="3"/>
        <v>384235801</v>
      </c>
      <c r="J19" s="1783">
        <f t="shared" si="4"/>
        <v>32789227682</v>
      </c>
      <c r="K19" s="1783">
        <f t="shared" si="5"/>
        <v>755137067</v>
      </c>
      <c r="L19" s="1781">
        <f t="shared" si="0"/>
        <v>121847866</v>
      </c>
      <c r="N19" s="1784">
        <f t="shared" si="1"/>
        <v>0.34789879691951153</v>
      </c>
      <c r="O19" s="1784">
        <f t="shared" si="6"/>
        <v>29.688365406865728</v>
      </c>
      <c r="P19" s="1784">
        <f t="shared" si="7"/>
        <v>2.1617963907851179</v>
      </c>
      <c r="Q19" s="1784">
        <f t="shared" si="2"/>
        <v>0.53568420974885844</v>
      </c>
      <c r="U19" s="1677"/>
    </row>
    <row r="20" spans="1:21" s="1671" customFormat="1" ht="12" thickBot="1">
      <c r="A20" s="1716" t="s">
        <v>64</v>
      </c>
      <c r="B20" s="1717">
        <f>SUM(B10:B19)</f>
        <v>330321157819</v>
      </c>
      <c r="C20" s="1717">
        <f>SUM(C10:C19)</f>
        <v>357993864146</v>
      </c>
      <c r="D20" s="1717">
        <f>SUM(D10:D19)</f>
        <v>261550559092</v>
      </c>
      <c r="E20" s="1717">
        <f>SUM(E10:E19)</f>
        <v>213715525861</v>
      </c>
      <c r="F20" s="1717">
        <f>SUM(F10:F19)</f>
        <v>158115660301</v>
      </c>
      <c r="G20" s="1718"/>
      <c r="H20" s="1676">
        <f>D20-E20</f>
        <v>47835033231</v>
      </c>
      <c r="I20" s="1719">
        <f t="shared" si="3"/>
        <v>68770598727</v>
      </c>
      <c r="J20" s="1719">
        <f t="shared" si="5"/>
        <v>96443305054</v>
      </c>
      <c r="K20" s="1719">
        <f t="shared" si="5"/>
        <v>47835033231</v>
      </c>
      <c r="L20" s="1720">
        <f t="shared" si="0"/>
        <v>55599865560</v>
      </c>
      <c r="N20" s="1721">
        <f t="shared" si="1"/>
        <v>0.26293424478136962</v>
      </c>
      <c r="O20" s="1721">
        <f t="shared" si="7"/>
        <v>0.36873675739334288</v>
      </c>
      <c r="P20" s="1721">
        <f t="shared" si="7"/>
        <v>0.22382572832874939</v>
      </c>
      <c r="Q20" s="1722">
        <f t="shared" si="2"/>
        <v>0.35164047289279393</v>
      </c>
      <c r="R20" s="1672"/>
      <c r="S20" s="1672"/>
    </row>
    <row r="21" spans="1:21" ht="15" customHeight="1">
      <c r="A21" s="1699" t="s">
        <v>65</v>
      </c>
      <c r="B21" s="1700"/>
      <c r="C21" s="1700"/>
      <c r="D21" s="1723"/>
      <c r="E21" s="1723"/>
      <c r="F21" s="1724"/>
      <c r="G21" s="1709"/>
      <c r="H21" s="1674"/>
      <c r="I21" s="1725"/>
      <c r="J21" s="1781"/>
      <c r="K21" s="1781"/>
      <c r="L21" s="1781"/>
      <c r="N21" s="1782"/>
      <c r="O21" s="1782"/>
      <c r="P21" s="1782"/>
      <c r="Q21" s="1780"/>
    </row>
    <row r="22" spans="1:21" ht="15" customHeight="1">
      <c r="A22" s="1704" t="s">
        <v>66</v>
      </c>
      <c r="B22" s="1705">
        <f>'BS Konsol-Des 24'!I29</f>
        <v>68366993855</v>
      </c>
      <c r="C22" s="1705">
        <f>'BS Konsol-Des 24'!G29</f>
        <v>66637513685</v>
      </c>
      <c r="D22" s="1706">
        <f>'[188]BS Konsol'!I37</f>
        <v>74113104582</v>
      </c>
      <c r="E22" s="1706">
        <f>'[188]BS Konsol'!K37</f>
        <v>84248284795</v>
      </c>
      <c r="F22" s="1706">
        <f>'BS Konsol-Des 24'!U29</f>
        <v>94612283276</v>
      </c>
      <c r="G22" s="1709"/>
      <c r="H22" s="1674"/>
      <c r="I22" s="1675">
        <f>B22-D22</f>
        <v>-5746110727</v>
      </c>
      <c r="J22" s="1781">
        <f t="shared" ref="J22:J24" si="8">C22-D22</f>
        <v>-7475590897</v>
      </c>
      <c r="K22" s="1781">
        <f t="shared" ref="K22:L26" si="9">D22-E22</f>
        <v>-10135180213</v>
      </c>
      <c r="L22" s="1781">
        <f t="shared" si="9"/>
        <v>-10363998481</v>
      </c>
      <c r="N22" s="1782">
        <f>I22/D22</f>
        <v>-7.7531642472788403E-2</v>
      </c>
      <c r="O22" s="1782">
        <f t="shared" ref="O22:O24" si="10">J22/D22</f>
        <v>-0.10086732891790924</v>
      </c>
      <c r="P22" s="1782">
        <f t="shared" ref="P22:Q26" si="11">K22/E22</f>
        <v>-0.12030132408822057</v>
      </c>
      <c r="Q22" s="1782">
        <f t="shared" si="11"/>
        <v>-0.10954178593033705</v>
      </c>
    </row>
    <row r="23" spans="1:21" ht="15" customHeight="1">
      <c r="A23" s="1704" t="s">
        <v>67</v>
      </c>
      <c r="B23" s="1705">
        <f>'BS Konsol-Des 24'!I33</f>
        <v>7635332866</v>
      </c>
      <c r="C23" s="1705">
        <f>'BS Konsol-Des 24'!G33</f>
        <v>7556618094</v>
      </c>
      <c r="D23" s="1706">
        <f>'[188]BS Konsol'!I46</f>
        <v>7871477182</v>
      </c>
      <c r="E23" s="1706">
        <f>'[188]BS Konsol'!K46</f>
        <v>8186336269</v>
      </c>
      <c r="F23" s="1706">
        <f>'BS Konsol-Des 24'!U33</f>
        <v>8501195356</v>
      </c>
      <c r="G23" s="1709"/>
      <c r="H23" s="1674"/>
      <c r="I23" s="1675">
        <f>B23-D23</f>
        <v>-236144316</v>
      </c>
      <c r="J23" s="1781">
        <f t="shared" si="8"/>
        <v>-314859088</v>
      </c>
      <c r="K23" s="1781">
        <f t="shared" si="9"/>
        <v>-314859087</v>
      </c>
      <c r="L23" s="1781">
        <f t="shared" si="9"/>
        <v>-314859087</v>
      </c>
      <c r="N23" s="1782">
        <f>I23/D23</f>
        <v>-3.0000000068602116E-2</v>
      </c>
      <c r="O23" s="1782">
        <f t="shared" si="10"/>
        <v>-4.0000000091469493E-2</v>
      </c>
      <c r="P23" s="1782">
        <f t="shared" si="11"/>
        <v>-3.8461538428650639E-2</v>
      </c>
      <c r="Q23" s="1782">
        <f t="shared" si="11"/>
        <v>-3.7037037006540235E-2</v>
      </c>
    </row>
    <row r="24" spans="1:21" ht="15" customHeight="1" thickBot="1">
      <c r="A24" s="1711" t="s">
        <v>68</v>
      </c>
      <c r="B24" s="1727">
        <f>'BS Konsol'!H45</f>
        <v>1790182139</v>
      </c>
      <c r="C24" s="1727">
        <f>'BS Konsol-Des 24'!G37</f>
        <v>1848977778</v>
      </c>
      <c r="D24" s="1728">
        <f>'[188]BS Konsol'!I48</f>
        <v>1790182139</v>
      </c>
      <c r="E24" s="1728">
        <f>'[188]BS Konsol'!K48</f>
        <v>1508277305</v>
      </c>
      <c r="F24" s="1728">
        <f>'BS Konsol-Des 24'!U37</f>
        <v>1486561645</v>
      </c>
      <c r="G24" s="1709"/>
      <c r="H24" s="1674"/>
      <c r="I24" s="1715">
        <f>B24-D24</f>
        <v>0</v>
      </c>
      <c r="J24" s="1725">
        <f t="shared" si="8"/>
        <v>58795639</v>
      </c>
      <c r="K24" s="1783">
        <f t="shared" si="9"/>
        <v>281904834</v>
      </c>
      <c r="L24" s="1783">
        <f t="shared" si="9"/>
        <v>21715660</v>
      </c>
      <c r="N24" s="1784">
        <f>I24/D24</f>
        <v>0</v>
      </c>
      <c r="O24" s="1726">
        <f t="shared" si="10"/>
        <v>3.2843383764762271E-2</v>
      </c>
      <c r="P24" s="1784">
        <f t="shared" si="11"/>
        <v>0.18690517523897901</v>
      </c>
      <c r="Q24" s="1784">
        <f t="shared" si="11"/>
        <v>1.4607978130634467E-2</v>
      </c>
    </row>
    <row r="25" spans="1:21" s="1671" customFormat="1" ht="15" customHeight="1" thickBot="1">
      <c r="A25" s="1729" t="s">
        <v>69</v>
      </c>
      <c r="B25" s="1730">
        <f>SUM(B22:B24)</f>
        <v>77792508860</v>
      </c>
      <c r="C25" s="1730">
        <f>SUM(C22:C24)</f>
        <v>76043109557</v>
      </c>
      <c r="D25" s="1731">
        <f>SUM(D22:D24)</f>
        <v>83774763903</v>
      </c>
      <c r="E25" s="1731">
        <f>SUM(E22:E24)</f>
        <v>93942898369</v>
      </c>
      <c r="F25" s="1731">
        <f>SUM(F22:F24)</f>
        <v>104600040277</v>
      </c>
      <c r="G25" s="1718"/>
      <c r="H25" s="1676"/>
      <c r="I25" s="1732">
        <f>B25-D25</f>
        <v>-5982255043</v>
      </c>
      <c r="J25" s="1732">
        <f>C25-D25</f>
        <v>-7731654346</v>
      </c>
      <c r="K25" s="1732">
        <f t="shared" si="9"/>
        <v>-10168134466</v>
      </c>
      <c r="L25" s="1732">
        <f t="shared" si="9"/>
        <v>-10657141908</v>
      </c>
      <c r="N25" s="1721">
        <f>I25/D25</f>
        <v>-7.1408796208923403E-2</v>
      </c>
      <c r="O25" s="1721">
        <f>J25/D25</f>
        <v>-9.2290971478621225E-2</v>
      </c>
      <c r="P25" s="1721">
        <f t="shared" si="11"/>
        <v>-0.10823739359265244</v>
      </c>
      <c r="Q25" s="1721">
        <f t="shared" si="11"/>
        <v>-0.10188468264235791</v>
      </c>
      <c r="R25" s="1672"/>
      <c r="S25" s="1672"/>
    </row>
    <row r="26" spans="1:21" s="1671" customFormat="1" ht="15" customHeight="1" thickBot="1">
      <c r="A26" s="1733" t="s">
        <v>70</v>
      </c>
      <c r="B26" s="1734">
        <f>B20+B25</f>
        <v>408113666679</v>
      </c>
      <c r="C26" s="1734">
        <f>C20+C25</f>
        <v>434036973703</v>
      </c>
      <c r="D26" s="1735">
        <f>D20+D25</f>
        <v>345325322995</v>
      </c>
      <c r="E26" s="1735">
        <f>E20+E25</f>
        <v>307658424230</v>
      </c>
      <c r="F26" s="1735">
        <f>F20+F25</f>
        <v>262715700578</v>
      </c>
      <c r="G26" s="1736"/>
      <c r="H26" s="1737"/>
      <c r="I26" s="1738">
        <f>B26-D26</f>
        <v>62788343684</v>
      </c>
      <c r="J26" s="1738">
        <f>C26-D26</f>
        <v>88711650708</v>
      </c>
      <c r="K26" s="1738">
        <f t="shared" si="9"/>
        <v>37666898765</v>
      </c>
      <c r="L26" s="1738">
        <f t="shared" si="9"/>
        <v>44942723652</v>
      </c>
      <c r="M26" s="1739"/>
      <c r="N26" s="1740">
        <f>I26/D26</f>
        <v>0.18182374561887868</v>
      </c>
      <c r="O26" s="1740">
        <f>J26/D26</f>
        <v>0.25689297830406854</v>
      </c>
      <c r="P26" s="1740">
        <f t="shared" si="11"/>
        <v>0.12243090323065847</v>
      </c>
      <c r="Q26" s="1740">
        <f t="shared" si="11"/>
        <v>0.17106980493789162</v>
      </c>
      <c r="R26" s="1672"/>
      <c r="S26" s="1672"/>
    </row>
    <row r="27" spans="1:21" ht="15" customHeight="1">
      <c r="A27" s="1741"/>
      <c r="B27" s="1742"/>
      <c r="C27" s="1742"/>
      <c r="D27" s="1743"/>
      <c r="E27" s="1743"/>
      <c r="F27" s="1724"/>
      <c r="G27" s="1709"/>
      <c r="H27" s="1674"/>
      <c r="I27" s="1725"/>
      <c r="J27" s="1781"/>
      <c r="K27" s="1781"/>
      <c r="L27" s="1781"/>
      <c r="N27" s="1782"/>
      <c r="O27" s="1782"/>
      <c r="P27" s="1782"/>
      <c r="Q27" s="1782"/>
    </row>
    <row r="28" spans="1:21" ht="15" customHeight="1">
      <c r="A28" s="1692" t="s">
        <v>71</v>
      </c>
      <c r="B28" s="1693"/>
      <c r="C28" s="1693"/>
      <c r="D28" s="1743"/>
      <c r="E28" s="1743"/>
      <c r="F28" s="1744"/>
      <c r="G28" s="1745"/>
      <c r="H28" s="1674"/>
      <c r="I28" s="1675"/>
      <c r="J28" s="1781"/>
      <c r="K28" s="1781"/>
      <c r="L28" s="1781"/>
      <c r="N28" s="1782"/>
      <c r="O28" s="1782"/>
      <c r="P28" s="1782"/>
      <c r="Q28" s="1782"/>
    </row>
    <row r="29" spans="1:21" ht="15" customHeight="1">
      <c r="A29" s="1746" t="s">
        <v>72</v>
      </c>
      <c r="B29" s="1747"/>
      <c r="C29" s="1747"/>
      <c r="D29" s="1743"/>
      <c r="E29" s="1743"/>
      <c r="F29" s="1748"/>
      <c r="G29" s="1749"/>
      <c r="H29" s="1674"/>
      <c r="I29" s="1675"/>
      <c r="J29" s="1781"/>
      <c r="K29" s="1781"/>
      <c r="L29" s="1781"/>
      <c r="N29" s="1782"/>
      <c r="O29" s="1782"/>
      <c r="P29" s="1782"/>
      <c r="Q29" s="1782"/>
    </row>
    <row r="30" spans="1:21" ht="15" customHeight="1">
      <c r="A30" s="1750" t="s">
        <v>73</v>
      </c>
      <c r="B30" s="1751">
        <f>'BS Konsol-Des 24'!I52</f>
        <v>10645094570</v>
      </c>
      <c r="C30" s="1751">
        <f>'BS Konsol-Des 24'!G52</f>
        <v>10364486466</v>
      </c>
      <c r="D30" s="1710">
        <v>20407901137</v>
      </c>
      <c r="E30" s="1710">
        <v>12347357380</v>
      </c>
      <c r="F30" s="1710">
        <v>14116621585</v>
      </c>
      <c r="G30" s="1709"/>
      <c r="H30" s="1674"/>
      <c r="I30" s="1675">
        <f t="shared" ref="I30:I35" si="12">B30-D30</f>
        <v>-9762806567</v>
      </c>
      <c r="J30" s="1781">
        <f>C30-D30</f>
        <v>-10043414671</v>
      </c>
      <c r="K30" s="1781">
        <f>D30-E30</f>
        <v>8060543757</v>
      </c>
      <c r="L30" s="1781">
        <f>E30-F30</f>
        <v>-1769264205</v>
      </c>
      <c r="N30" s="1782">
        <f>I30/D30</f>
        <v>-0.47838366628010581</v>
      </c>
      <c r="O30" s="1782">
        <f t="shared" ref="O30:O35" si="13">J30/D30</f>
        <v>-0.49213363998471432</v>
      </c>
      <c r="P30" s="1782">
        <f>K30/E30</f>
        <v>0.65281529552682305</v>
      </c>
      <c r="Q30" s="1782">
        <f>L30/F30</f>
        <v>-0.12533198501828369</v>
      </c>
    </row>
    <row r="31" spans="1:21" ht="15" hidden="1" customHeight="1">
      <c r="A31" s="1752" t="s">
        <v>74</v>
      </c>
      <c r="B31" s="1753"/>
      <c r="C31" s="1753"/>
      <c r="D31" s="1706">
        <v>0</v>
      </c>
      <c r="E31" s="1706">
        <v>0</v>
      </c>
      <c r="F31" s="1706">
        <v>0</v>
      </c>
      <c r="G31" s="1709"/>
      <c r="H31" s="1674"/>
      <c r="I31" s="1675">
        <f t="shared" si="12"/>
        <v>0</v>
      </c>
      <c r="J31" s="1781"/>
      <c r="K31" s="1781">
        <f t="shared" ref="K31:L35" si="14">D31-E31</f>
        <v>0</v>
      </c>
      <c r="L31" s="1781">
        <f t="shared" si="14"/>
        <v>0</v>
      </c>
      <c r="N31" s="1782" t="e">
        <f>I31/D31</f>
        <v>#DIV/0!</v>
      </c>
      <c r="O31" s="1782" t="e">
        <f t="shared" si="13"/>
        <v>#DIV/0!</v>
      </c>
      <c r="P31" s="1782" t="e">
        <f>K31/E31</f>
        <v>#DIV/0!</v>
      </c>
      <c r="Q31" s="1782" t="e">
        <f>L31/F31</f>
        <v>#DIV/0!</v>
      </c>
    </row>
    <row r="32" spans="1:21" ht="15" hidden="1" customHeight="1">
      <c r="A32" s="1752" t="s">
        <v>75</v>
      </c>
      <c r="B32" s="1753"/>
      <c r="C32" s="1753"/>
      <c r="D32" s="1710">
        <v>0</v>
      </c>
      <c r="E32" s="1710">
        <v>0</v>
      </c>
      <c r="F32" s="1710">
        <v>0</v>
      </c>
      <c r="G32" s="1709"/>
      <c r="H32" s="1674"/>
      <c r="I32" s="1675">
        <f t="shared" si="12"/>
        <v>0</v>
      </c>
      <c r="J32" s="1781"/>
      <c r="K32" s="1781">
        <f t="shared" si="14"/>
        <v>0</v>
      </c>
      <c r="L32" s="1781">
        <f t="shared" si="14"/>
        <v>0</v>
      </c>
      <c r="N32" s="1782">
        <f>IFERROR(I32/D32,0)</f>
        <v>0</v>
      </c>
      <c r="O32" s="1782" t="e">
        <f t="shared" si="13"/>
        <v>#DIV/0!</v>
      </c>
      <c r="P32" s="1782">
        <f>IFERROR(K32/E32,0)</f>
        <v>0</v>
      </c>
      <c r="Q32" s="1782">
        <f>IFERROR(L32/F32,0)</f>
        <v>0</v>
      </c>
    </row>
    <row r="33" spans="1:19" ht="15" customHeight="1">
      <c r="A33" s="1752" t="s">
        <v>76</v>
      </c>
      <c r="B33" s="1753">
        <f>'BS Konsol-Des 24'!I55</f>
        <v>196870184183</v>
      </c>
      <c r="C33" s="1753">
        <f>'BS Konsol-Des 24'!G55</f>
        <v>231271837921</v>
      </c>
      <c r="D33" s="1710">
        <v>195441714689</v>
      </c>
      <c r="E33" s="1710">
        <v>155339616431</v>
      </c>
      <c r="F33" s="1710">
        <v>110815447741</v>
      </c>
      <c r="G33" s="1709"/>
      <c r="H33" s="1674"/>
      <c r="I33" s="1675">
        <f t="shared" si="12"/>
        <v>1428469494</v>
      </c>
      <c r="J33" s="1781">
        <f t="shared" ref="J33:J35" si="15">C33-D33</f>
        <v>35830123232</v>
      </c>
      <c r="K33" s="1781">
        <f t="shared" si="14"/>
        <v>40102098258</v>
      </c>
      <c r="L33" s="1781">
        <f t="shared" si="14"/>
        <v>44524168690</v>
      </c>
      <c r="N33" s="1782">
        <f>IFERROR(I33/D33,0)</f>
        <v>7.3089283742371822E-3</v>
      </c>
      <c r="O33" s="1782">
        <f t="shared" si="13"/>
        <v>0.18332894433010527</v>
      </c>
      <c r="P33" s="1782">
        <f>IFERROR(K33/E33,0)</f>
        <v>0.258157572288154</v>
      </c>
      <c r="Q33" s="1782">
        <f>IFERROR(L33/F33,0)</f>
        <v>0.40178666059323015</v>
      </c>
    </row>
    <row r="34" spans="1:19" ht="15" customHeight="1">
      <c r="A34" s="1752" t="s">
        <v>77</v>
      </c>
      <c r="B34" s="1753">
        <f>'BS Konsol-Des 24'!I56</f>
        <v>4949487657</v>
      </c>
      <c r="C34" s="1753">
        <f>'BS Konsol-Des 24'!G56</f>
        <v>4970839301</v>
      </c>
      <c r="D34" s="1706">
        <v>2870843988</v>
      </c>
      <c r="E34" s="1710">
        <v>5031429971</v>
      </c>
      <c r="F34" s="1710">
        <v>5655591014</v>
      </c>
      <c r="G34" s="1709"/>
      <c r="H34" s="1674"/>
      <c r="I34" s="1675">
        <f t="shared" si="12"/>
        <v>2078643669</v>
      </c>
      <c r="J34" s="1781">
        <f t="shared" si="15"/>
        <v>2099995313</v>
      </c>
      <c r="K34" s="1781">
        <f t="shared" si="14"/>
        <v>-2160585983</v>
      </c>
      <c r="L34" s="1781">
        <f t="shared" si="14"/>
        <v>-624161043</v>
      </c>
      <c r="N34" s="1782">
        <f>I34/D34</f>
        <v>0.72405316265482833</v>
      </c>
      <c r="O34" s="1782">
        <f t="shared" si="13"/>
        <v>0.73149057272979201</v>
      </c>
      <c r="P34" s="1782">
        <f>K34/E34</f>
        <v>-0.42941787830758221</v>
      </c>
      <c r="Q34" s="1782">
        <f>L34/F34</f>
        <v>-0.11036177146737365</v>
      </c>
    </row>
    <row r="35" spans="1:19" ht="15" customHeight="1">
      <c r="A35" s="1752" t="s">
        <v>78</v>
      </c>
      <c r="B35" s="1753">
        <f>'BS Konsol-Des 24'!I57</f>
        <v>4409068751</v>
      </c>
      <c r="C35" s="1753">
        <f>'BS Konsol-Des 24'!G57</f>
        <v>1467515499</v>
      </c>
      <c r="D35" s="1706">
        <v>2863697915</v>
      </c>
      <c r="E35" s="1710">
        <v>2152621331</v>
      </c>
      <c r="F35" s="1710">
        <v>712242589</v>
      </c>
      <c r="G35" s="1709"/>
      <c r="H35" s="1674"/>
      <c r="I35" s="1675">
        <f t="shared" si="12"/>
        <v>1545370836</v>
      </c>
      <c r="J35" s="1781">
        <f t="shared" si="15"/>
        <v>-1396182416</v>
      </c>
      <c r="K35" s="1781">
        <f t="shared" si="14"/>
        <v>711076584</v>
      </c>
      <c r="L35" s="1781">
        <f t="shared" si="14"/>
        <v>1440378742</v>
      </c>
      <c r="N35" s="1782">
        <f>I35/D35</f>
        <v>0.53964170868211148</v>
      </c>
      <c r="O35" s="1782">
        <f t="shared" si="13"/>
        <v>-0.48754528495719496</v>
      </c>
      <c r="P35" s="1782">
        <f>K35/E35</f>
        <v>0.33033054804379802</v>
      </c>
      <c r="Q35" s="1782">
        <f>L35/F35</f>
        <v>2.0223148183574851</v>
      </c>
    </row>
    <row r="36" spans="1:19" ht="15" customHeight="1">
      <c r="A36" s="1750" t="s">
        <v>79</v>
      </c>
      <c r="B36" s="1751"/>
      <c r="C36" s="1751"/>
      <c r="D36" s="1706"/>
      <c r="E36" s="1706"/>
      <c r="F36" s="1706"/>
      <c r="G36" s="1709"/>
      <c r="H36" s="1674"/>
      <c r="I36" s="1675"/>
      <c r="J36" s="1781"/>
      <c r="K36" s="1781"/>
      <c r="L36" s="1781"/>
      <c r="N36" s="1782"/>
      <c r="O36" s="1782"/>
      <c r="P36" s="1782"/>
      <c r="Q36" s="1782"/>
    </row>
    <row r="37" spans="1:19" ht="15" customHeight="1">
      <c r="A37" s="1750" t="s">
        <v>80</v>
      </c>
      <c r="B37" s="1751"/>
      <c r="C37" s="1751"/>
      <c r="D37" s="1706"/>
      <c r="E37" s="1706"/>
      <c r="F37" s="1706"/>
      <c r="G37" s="1709"/>
      <c r="H37" s="1674"/>
      <c r="I37" s="1675"/>
      <c r="J37" s="1781"/>
      <c r="K37" s="1781"/>
      <c r="L37" s="1781"/>
      <c r="N37" s="1782"/>
      <c r="O37" s="1782"/>
      <c r="P37" s="1782"/>
      <c r="Q37" s="1782"/>
    </row>
    <row r="38" spans="1:19" ht="15" customHeight="1">
      <c r="A38" s="1750" t="s">
        <v>81</v>
      </c>
      <c r="B38" s="1751"/>
      <c r="C38" s="1751"/>
      <c r="D38" s="1706"/>
      <c r="E38" s="1706"/>
      <c r="F38" s="1706"/>
      <c r="G38" s="1709"/>
      <c r="H38" s="1674"/>
      <c r="I38" s="1675"/>
      <c r="J38" s="1781"/>
      <c r="K38" s="1781"/>
      <c r="L38" s="1781"/>
      <c r="N38" s="1782"/>
      <c r="O38" s="1782"/>
      <c r="P38" s="1782"/>
      <c r="Q38" s="1782"/>
    </row>
    <row r="39" spans="1:19" ht="15" customHeight="1">
      <c r="A39" s="1754" t="s">
        <v>82</v>
      </c>
      <c r="B39" s="1755">
        <f>'BS Konsol-Des 24'!I61</f>
        <v>19446177</v>
      </c>
      <c r="C39" s="1755">
        <f>'BS Konsol-Des 24'!G61</f>
        <v>0</v>
      </c>
      <c r="D39" s="1706">
        <v>76360023</v>
      </c>
      <c r="E39" s="1706">
        <v>67475296</v>
      </c>
      <c r="F39" s="1706">
        <f>'[188]BS Konsol'!M75</f>
        <v>0</v>
      </c>
      <c r="G39" s="1756"/>
      <c r="H39" s="1674"/>
      <c r="I39" s="1675">
        <f>B39-D39</f>
        <v>-56913846</v>
      </c>
      <c r="J39" s="1781">
        <f t="shared" ref="J39:J41" si="16">C39-D39</f>
        <v>-76360023</v>
      </c>
      <c r="K39" s="1781">
        <f t="shared" ref="K39:L42" si="17">D39-E39</f>
        <v>8884727</v>
      </c>
      <c r="L39" s="1781">
        <f t="shared" si="17"/>
        <v>67475296</v>
      </c>
      <c r="N39" s="1782">
        <f>I39/D39</f>
        <v>-0.74533563197067132</v>
      </c>
      <c r="O39" s="1782">
        <f t="shared" ref="O39:O41" si="18">J39/D39</f>
        <v>-1</v>
      </c>
      <c r="P39" s="1782">
        <f>K39/E39</f>
        <v>0.1316737758364187</v>
      </c>
      <c r="Q39" s="1782" t="e">
        <f>L39/F39</f>
        <v>#DIV/0!</v>
      </c>
    </row>
    <row r="40" spans="1:19" ht="15" customHeight="1">
      <c r="A40" s="1754" t="s">
        <v>83</v>
      </c>
      <c r="B40" s="1755">
        <f>'BS Konsol'!H68</f>
        <v>0</v>
      </c>
      <c r="C40" s="1755">
        <f>'BS Konsol-Des 24'!G63</f>
        <v>0</v>
      </c>
      <c r="D40" s="1706">
        <v>624277457</v>
      </c>
      <c r="E40" s="1706">
        <v>3539216266</v>
      </c>
      <c r="F40" s="1706">
        <v>0</v>
      </c>
      <c r="G40" s="1756"/>
      <c r="H40" s="1674"/>
      <c r="I40" s="1675">
        <f>B40-D40</f>
        <v>-624277457</v>
      </c>
      <c r="J40" s="1781">
        <f t="shared" si="16"/>
        <v>-624277457</v>
      </c>
      <c r="K40" s="1781">
        <f t="shared" si="17"/>
        <v>-2914938809</v>
      </c>
      <c r="L40" s="1781">
        <f t="shared" si="17"/>
        <v>3539216266</v>
      </c>
      <c r="N40" s="1782">
        <f>I40/D40</f>
        <v>-1</v>
      </c>
      <c r="O40" s="1782">
        <f t="shared" si="18"/>
        <v>-1</v>
      </c>
      <c r="P40" s="1782">
        <f>K40/E40</f>
        <v>-0.82361138453244209</v>
      </c>
      <c r="Q40" s="1782" t="e">
        <f>L40/F40</f>
        <v>#DIV/0!</v>
      </c>
    </row>
    <row r="41" spans="1:19" ht="15" customHeight="1" thickBot="1">
      <c r="A41" s="1757" t="s">
        <v>76</v>
      </c>
      <c r="B41" s="1758">
        <f>'BS Konsol-Des 24'!I64</f>
        <v>900894064</v>
      </c>
      <c r="C41" s="1758">
        <f>'BS Konsol-Des 24'!G64</f>
        <v>0</v>
      </c>
      <c r="D41" s="1728">
        <v>3807894064</v>
      </c>
      <c r="E41" s="1728">
        <v>3403633332</v>
      </c>
      <c r="F41" s="1728">
        <v>3403633332</v>
      </c>
      <c r="G41" s="1709"/>
      <c r="H41" s="1674"/>
      <c r="I41" s="1715">
        <f>B41-D41</f>
        <v>-2907000000</v>
      </c>
      <c r="J41" s="1725">
        <f t="shared" si="16"/>
        <v>-3807894064</v>
      </c>
      <c r="K41" s="1783">
        <f t="shared" si="17"/>
        <v>404260732</v>
      </c>
      <c r="L41" s="1783">
        <f t="shared" si="17"/>
        <v>0</v>
      </c>
      <c r="N41" s="1784">
        <f>IFERROR(I41/D41,0)</f>
        <v>-0.76341409480975519</v>
      </c>
      <c r="O41" s="1784">
        <f t="shared" si="18"/>
        <v>-1</v>
      </c>
      <c r="P41" s="1784">
        <f>IFERROR(K41/E41,0)</f>
        <v>0.11877329094155198</v>
      </c>
      <c r="Q41" s="1784">
        <f>IFERROR(L41/F41,0)</f>
        <v>0</v>
      </c>
    </row>
    <row r="42" spans="1:19" s="1671" customFormat="1" ht="15" customHeight="1" thickBot="1">
      <c r="A42" s="1759" t="s">
        <v>84</v>
      </c>
      <c r="B42" s="1760">
        <f>SUM(B29:B41)</f>
        <v>217794175402</v>
      </c>
      <c r="C42" s="1760">
        <f>SUM(C29:C41)</f>
        <v>248074679187</v>
      </c>
      <c r="D42" s="1717">
        <f>SUM(D29:D41)</f>
        <v>226092689273</v>
      </c>
      <c r="E42" s="1717">
        <f>SUM(E29:E41)</f>
        <v>181881350007</v>
      </c>
      <c r="F42" s="1717">
        <f>SUM(F29:F41)</f>
        <v>134703536261</v>
      </c>
      <c r="G42" s="1718"/>
      <c r="H42" s="1676"/>
      <c r="I42" s="1732">
        <f>B42-D42</f>
        <v>-8298513871</v>
      </c>
      <c r="J42" s="1732">
        <f>C42-D42</f>
        <v>21981989914</v>
      </c>
      <c r="K42" s="1732">
        <f t="shared" si="17"/>
        <v>44211339266</v>
      </c>
      <c r="L42" s="1732">
        <f t="shared" si="17"/>
        <v>47177813746</v>
      </c>
      <c r="N42" s="1721">
        <f>I42/D42</f>
        <v>-3.6704034516480091E-2</v>
      </c>
      <c r="O42" s="1721">
        <f>J42/D42</f>
        <v>9.7225567021574144E-2</v>
      </c>
      <c r="P42" s="1721">
        <f>K42/E42</f>
        <v>0.24307791460915842</v>
      </c>
      <c r="Q42" s="1721">
        <f>L42/F42</f>
        <v>0.35023441147520301</v>
      </c>
      <c r="R42" s="1672"/>
      <c r="S42" s="1672"/>
    </row>
    <row r="43" spans="1:19" ht="15" customHeight="1">
      <c r="A43" s="1746" t="s">
        <v>85</v>
      </c>
      <c r="B43" s="1747"/>
      <c r="C43" s="1747"/>
      <c r="D43" s="1743"/>
      <c r="E43" s="1743"/>
      <c r="F43" s="1748"/>
      <c r="G43" s="1749"/>
      <c r="H43" s="1674"/>
      <c r="I43" s="1725"/>
      <c r="J43" s="1781"/>
      <c r="K43" s="1781"/>
      <c r="L43" s="1781"/>
      <c r="N43" s="1782"/>
      <c r="O43" s="1782"/>
      <c r="P43" s="1782"/>
      <c r="Q43" s="1782"/>
    </row>
    <row r="44" spans="1:19" ht="15" customHeight="1">
      <c r="A44" s="1761" t="s">
        <v>86</v>
      </c>
      <c r="B44" s="1762"/>
      <c r="C44" s="1762"/>
      <c r="D44" s="1724"/>
      <c r="E44" s="1724"/>
      <c r="F44" s="1724"/>
      <c r="G44" s="1709"/>
      <c r="H44" s="1674"/>
      <c r="I44" s="1675"/>
      <c r="J44" s="1781"/>
      <c r="K44" s="1781"/>
      <c r="L44" s="1781"/>
      <c r="N44" s="1782"/>
      <c r="O44" s="1782"/>
      <c r="P44" s="1782"/>
      <c r="Q44" s="1782"/>
    </row>
    <row r="45" spans="1:19" ht="15" customHeight="1">
      <c r="A45" s="1761" t="s">
        <v>87</v>
      </c>
      <c r="B45" s="1762">
        <f>'BS Konsol-Des 24'!M71</f>
        <v>0</v>
      </c>
      <c r="C45" s="1762">
        <f>'BS Konsol-Des 24'!G71</f>
        <v>0</v>
      </c>
      <c r="D45" s="1724">
        <v>595676695</v>
      </c>
      <c r="E45" s="1724">
        <v>533174595</v>
      </c>
      <c r="F45" s="1724">
        <v>137349400</v>
      </c>
      <c r="G45" s="1709"/>
      <c r="H45" s="1674"/>
      <c r="I45" s="1675">
        <f>B45-D45</f>
        <v>-595676695</v>
      </c>
      <c r="J45" s="1781">
        <f t="shared" ref="J45:J51" si="19">C45-D45</f>
        <v>-595676695</v>
      </c>
      <c r="K45" s="1781">
        <f t="shared" ref="K45:K46" si="20">D45-E45</f>
        <v>62502100</v>
      </c>
      <c r="L45" s="1781">
        <f t="shared" ref="L45:L46" si="21">E45-F45</f>
        <v>395825195</v>
      </c>
      <c r="N45" s="1782">
        <f>I45/D45</f>
        <v>-1</v>
      </c>
      <c r="O45" s="1782">
        <f t="shared" ref="O45:O50" si="22">J45/D45</f>
        <v>-1</v>
      </c>
      <c r="P45" s="1782">
        <f>K45/E45</f>
        <v>0.1172263280848931</v>
      </c>
      <c r="Q45" s="1782">
        <f t="shared" ref="Q45:Q46" si="23">L45/F45</f>
        <v>2.8818851411072783</v>
      </c>
    </row>
    <row r="46" spans="1:19" ht="15" customHeight="1">
      <c r="A46" s="1761" t="s">
        <v>88</v>
      </c>
      <c r="B46" s="1762">
        <f>'BS Konsol-Des 24'!M72</f>
        <v>0</v>
      </c>
      <c r="C46" s="1762">
        <f>'BS Konsol-Des 24'!G72</f>
        <v>0</v>
      </c>
      <c r="D46" s="1724">
        <v>41000000</v>
      </c>
      <c r="E46" s="1724">
        <v>41000000</v>
      </c>
      <c r="F46" s="1724">
        <v>41000000</v>
      </c>
      <c r="G46" s="1709"/>
      <c r="H46" s="1674"/>
      <c r="I46" s="1675">
        <f t="shared" ref="I46" si="24">B46-D46</f>
        <v>-41000000</v>
      </c>
      <c r="J46" s="1781">
        <f t="shared" si="19"/>
        <v>-41000000</v>
      </c>
      <c r="K46" s="1781">
        <f t="shared" si="20"/>
        <v>0</v>
      </c>
      <c r="L46" s="1781">
        <f t="shared" si="21"/>
        <v>0</v>
      </c>
      <c r="N46" s="1782">
        <f t="shared" ref="N46" si="25">I46/D46</f>
        <v>-1</v>
      </c>
      <c r="O46" s="1782">
        <f t="shared" si="22"/>
        <v>-1</v>
      </c>
      <c r="P46" s="1782">
        <f t="shared" ref="P46" si="26">K46/E46</f>
        <v>0</v>
      </c>
      <c r="Q46" s="1782">
        <f t="shared" si="23"/>
        <v>0</v>
      </c>
    </row>
    <row r="47" spans="1:19" ht="15" customHeight="1">
      <c r="A47" s="1761" t="s">
        <v>89</v>
      </c>
      <c r="B47" s="1762"/>
      <c r="C47" s="1762"/>
      <c r="D47" s="1724"/>
      <c r="E47" s="1724"/>
      <c r="F47" s="1724"/>
      <c r="G47" s="1709"/>
      <c r="H47" s="1674"/>
      <c r="I47" s="1675">
        <f t="shared" ref="I47" si="27">B47-D47</f>
        <v>0</v>
      </c>
      <c r="J47" s="1781">
        <f t="shared" si="19"/>
        <v>0</v>
      </c>
      <c r="K47" s="1781">
        <f t="shared" ref="K47" si="28">D47-E47</f>
        <v>0</v>
      </c>
      <c r="L47" s="1781">
        <f t="shared" ref="L47" si="29">E47-F47</f>
        <v>0</v>
      </c>
      <c r="N47" s="1782"/>
      <c r="O47" s="1782"/>
      <c r="P47" s="1782"/>
      <c r="Q47" s="1782"/>
    </row>
    <row r="48" spans="1:19" ht="15" customHeight="1">
      <c r="A48" s="1763" t="s">
        <v>76</v>
      </c>
      <c r="B48" s="1764">
        <v>0</v>
      </c>
      <c r="C48" s="1764">
        <v>0</v>
      </c>
      <c r="D48" s="1706">
        <v>0</v>
      </c>
      <c r="E48" s="1706">
        <v>8526229378</v>
      </c>
      <c r="F48" s="1706">
        <v>14285076353</v>
      </c>
      <c r="G48" s="1756"/>
      <c r="H48" s="1674"/>
      <c r="I48" s="1675">
        <f t="shared" ref="I48:I53" si="30">B48-D48</f>
        <v>0</v>
      </c>
      <c r="J48" s="1781">
        <f t="shared" si="19"/>
        <v>0</v>
      </c>
      <c r="K48" s="1781">
        <f t="shared" ref="K48:L53" si="31">D48-E48</f>
        <v>-8526229378</v>
      </c>
      <c r="L48" s="1781">
        <f t="shared" si="31"/>
        <v>-5758846975</v>
      </c>
      <c r="N48" s="1782" t="e">
        <f>I48/D48</f>
        <v>#DIV/0!</v>
      </c>
      <c r="O48" s="1782" t="e">
        <f>J48/D48</f>
        <v>#DIV/0!</v>
      </c>
      <c r="P48" s="1782">
        <f>K48/E48</f>
        <v>-1</v>
      </c>
      <c r="Q48" s="1782">
        <f>L48/F48</f>
        <v>-0.40313729046261543</v>
      </c>
    </row>
    <row r="49" spans="1:19" ht="15" customHeight="1">
      <c r="A49" s="1763" t="s">
        <v>82</v>
      </c>
      <c r="B49" s="1764">
        <v>0</v>
      </c>
      <c r="C49" s="1764">
        <v>0</v>
      </c>
      <c r="D49" s="1710">
        <v>0</v>
      </c>
      <c r="E49" s="1706">
        <v>76360023</v>
      </c>
      <c r="F49" s="1706">
        <v>0</v>
      </c>
      <c r="G49" s="1756"/>
      <c r="H49" s="1674"/>
      <c r="I49" s="1675">
        <f t="shared" si="30"/>
        <v>0</v>
      </c>
      <c r="J49" s="1781">
        <f t="shared" si="19"/>
        <v>0</v>
      </c>
      <c r="K49" s="1781">
        <f t="shared" si="31"/>
        <v>-76360023</v>
      </c>
      <c r="L49" s="1781">
        <f t="shared" si="31"/>
        <v>76360023</v>
      </c>
      <c r="N49" s="1782" t="e">
        <f>I49/D49</f>
        <v>#DIV/0!</v>
      </c>
      <c r="O49" s="1782" t="e">
        <f t="shared" si="22"/>
        <v>#DIV/0!</v>
      </c>
      <c r="P49" s="1782">
        <f>K49/E49</f>
        <v>-1</v>
      </c>
      <c r="Q49" s="1782" t="e">
        <f>L49/F49</f>
        <v>#DIV/0!</v>
      </c>
    </row>
    <row r="50" spans="1:19" ht="15" customHeight="1">
      <c r="A50" s="1761" t="s">
        <v>83</v>
      </c>
      <c r="B50" s="1762">
        <v>0</v>
      </c>
      <c r="C50" s="1762">
        <v>0</v>
      </c>
      <c r="D50" s="1710">
        <v>0</v>
      </c>
      <c r="E50" s="1706">
        <v>624277457</v>
      </c>
      <c r="F50" s="1706">
        <f>'BS Konsol-Des 24'!U75</f>
        <v>4125675035</v>
      </c>
      <c r="G50" s="1756"/>
      <c r="H50" s="1674"/>
      <c r="I50" s="1675">
        <f t="shared" si="30"/>
        <v>0</v>
      </c>
      <c r="J50" s="1781">
        <f t="shared" si="19"/>
        <v>0</v>
      </c>
      <c r="K50" s="1781">
        <f t="shared" si="31"/>
        <v>-624277457</v>
      </c>
      <c r="L50" s="1781">
        <f t="shared" si="31"/>
        <v>-3501397578</v>
      </c>
      <c r="N50" s="1782">
        <f>IFERROR(I50/D50,0)</f>
        <v>0</v>
      </c>
      <c r="O50" s="1782" t="e">
        <f t="shared" si="22"/>
        <v>#DIV/0!</v>
      </c>
      <c r="P50" s="1782">
        <f>IFERROR(K50/E50,0)</f>
        <v>-1</v>
      </c>
      <c r="Q50" s="1782">
        <f>IFERROR(L50/F50,0)</f>
        <v>-0.84868477238173945</v>
      </c>
    </row>
    <row r="51" spans="1:19" ht="15" customHeight="1" thickBot="1">
      <c r="A51" s="1711" t="s">
        <v>90</v>
      </c>
      <c r="B51" s="1727">
        <f>'BS Konsol-Des 24'!I76</f>
        <v>9955987332</v>
      </c>
      <c r="C51" s="1727">
        <f>'BS Konsol-Des 24'!G76</f>
        <v>10104541472</v>
      </c>
      <c r="D51" s="1728">
        <v>9301883257</v>
      </c>
      <c r="E51" s="1728">
        <v>8419134989</v>
      </c>
      <c r="F51" s="1728">
        <v>8346918827</v>
      </c>
      <c r="G51" s="1756"/>
      <c r="H51" s="1674"/>
      <c r="I51" s="1715">
        <f t="shared" si="30"/>
        <v>654104075</v>
      </c>
      <c r="J51" s="1783">
        <f t="shared" si="19"/>
        <v>802658215</v>
      </c>
      <c r="K51" s="1783">
        <f t="shared" si="31"/>
        <v>882748268</v>
      </c>
      <c r="L51" s="1783">
        <f t="shared" si="31"/>
        <v>72216162</v>
      </c>
      <c r="N51" s="1784">
        <f>I51/D51</f>
        <v>7.0319531747268849E-2</v>
      </c>
      <c r="O51" s="1784">
        <f t="shared" ref="O51:Q53" si="32">J51/D51</f>
        <v>8.6289861184397354E-2</v>
      </c>
      <c r="P51" s="1784">
        <f t="shared" si="32"/>
        <v>0.10485023332603083</v>
      </c>
      <c r="Q51" s="1784">
        <f t="shared" si="32"/>
        <v>8.6518347065267318E-3</v>
      </c>
    </row>
    <row r="52" spans="1:19" s="1671" customFormat="1" ht="15" customHeight="1" thickBot="1">
      <c r="A52" s="1759" t="s">
        <v>91</v>
      </c>
      <c r="B52" s="1760">
        <f>SUM(B45:B51)</f>
        <v>9955987332</v>
      </c>
      <c r="C52" s="1760">
        <f>SUM(C45:C51)</f>
        <v>10104541472</v>
      </c>
      <c r="D52" s="1717">
        <f>SUM(D45:D51)</f>
        <v>9938559952</v>
      </c>
      <c r="E52" s="1717">
        <f>SUM(E45:E51)</f>
        <v>18220176442</v>
      </c>
      <c r="F52" s="1717">
        <f>SUM(F45:F51)</f>
        <v>26936019615</v>
      </c>
      <c r="G52" s="1718"/>
      <c r="H52" s="1676"/>
      <c r="I52" s="1765">
        <f t="shared" si="30"/>
        <v>17427380</v>
      </c>
      <c r="J52" s="1765">
        <f>C52-D52</f>
        <v>165981520</v>
      </c>
      <c r="K52" s="1765">
        <f t="shared" si="31"/>
        <v>-8281616490</v>
      </c>
      <c r="L52" s="1765">
        <f t="shared" si="31"/>
        <v>-8715843173</v>
      </c>
      <c r="N52" s="1721">
        <f>I52/D52</f>
        <v>1.7535115835864104E-3</v>
      </c>
      <c r="O52" s="1721">
        <f t="shared" si="32"/>
        <v>1.6700761559183278E-2</v>
      </c>
      <c r="P52" s="1721">
        <f t="shared" si="32"/>
        <v>-0.45452998308565995</v>
      </c>
      <c r="Q52" s="1721">
        <f t="shared" si="32"/>
        <v>-0.32357576574329355</v>
      </c>
      <c r="R52" s="1672"/>
      <c r="S52" s="1672"/>
    </row>
    <row r="53" spans="1:19" s="1671" customFormat="1" ht="15" customHeight="1" thickBot="1">
      <c r="A53" s="1766" t="s">
        <v>92</v>
      </c>
      <c r="B53" s="1767">
        <f>B42+B52</f>
        <v>227750162734</v>
      </c>
      <c r="C53" s="1767">
        <f>C42+C52</f>
        <v>258179220659</v>
      </c>
      <c r="D53" s="1768">
        <f>D42+D52</f>
        <v>236031249225</v>
      </c>
      <c r="E53" s="1768">
        <f>E42+E52</f>
        <v>200101526449</v>
      </c>
      <c r="F53" s="1768">
        <f>F42+F52</f>
        <v>161639555876</v>
      </c>
      <c r="G53" s="1736"/>
      <c r="H53" s="1737"/>
      <c r="I53" s="1769">
        <f t="shared" si="30"/>
        <v>-8281086491</v>
      </c>
      <c r="J53" s="1769">
        <f>C53-D53</f>
        <v>22147971434</v>
      </c>
      <c r="K53" s="1769">
        <f t="shared" si="31"/>
        <v>35929722776</v>
      </c>
      <c r="L53" s="1769">
        <f t="shared" si="31"/>
        <v>38461970573</v>
      </c>
      <c r="M53" s="1739"/>
      <c r="N53" s="1770">
        <f>I53/D53</f>
        <v>-3.508470390336299E-2</v>
      </c>
      <c r="O53" s="1770">
        <f t="shared" si="32"/>
        <v>9.3834911719198444E-2</v>
      </c>
      <c r="P53" s="1770">
        <f t="shared" si="32"/>
        <v>0.17955746472107714</v>
      </c>
      <c r="Q53" s="1770">
        <f t="shared" si="32"/>
        <v>0.23794899933099095</v>
      </c>
      <c r="R53" s="1672"/>
    </row>
    <row r="54" spans="1:19" ht="15" customHeight="1">
      <c r="A54" s="1771"/>
      <c r="B54" s="1772"/>
      <c r="C54" s="1772"/>
      <c r="D54" s="1743"/>
      <c r="E54" s="1743"/>
      <c r="F54" s="1724"/>
      <c r="G54" s="1709"/>
      <c r="H54" s="1674"/>
      <c r="I54" s="1725"/>
      <c r="J54" s="1781"/>
      <c r="K54" s="1781"/>
      <c r="L54" s="1781"/>
      <c r="N54" s="1782"/>
      <c r="O54" s="1782"/>
      <c r="P54" s="1782"/>
      <c r="Q54" s="1782"/>
    </row>
    <row r="55" spans="1:19" ht="15" customHeight="1">
      <c r="A55" s="1699" t="s">
        <v>93</v>
      </c>
      <c r="B55" s="1700"/>
      <c r="C55" s="1700"/>
      <c r="D55" s="1743"/>
      <c r="E55" s="1743"/>
      <c r="F55" s="1724"/>
      <c r="G55" s="1709"/>
      <c r="H55" s="1674"/>
      <c r="I55" s="1675"/>
      <c r="J55" s="1781"/>
      <c r="K55" s="1781"/>
      <c r="L55" s="1781"/>
      <c r="N55" s="1782"/>
      <c r="O55" s="1782"/>
      <c r="P55" s="1782"/>
      <c r="Q55" s="1782"/>
    </row>
    <row r="56" spans="1:19" ht="15" customHeight="1">
      <c r="A56" s="1704" t="s">
        <v>94</v>
      </c>
      <c r="B56" s="1705">
        <f>'BS Konsol-Des 24'!I98</f>
        <v>69500000000</v>
      </c>
      <c r="C56" s="1705">
        <f>'BS Konsol-Des 24'!G98</f>
        <v>69500000000</v>
      </c>
      <c r="D56" s="1710">
        <f>'[188]BS Konsol'!I108</f>
        <v>40000000000</v>
      </c>
      <c r="E56" s="1710">
        <f>'[188]BS Konsol'!K108</f>
        <v>40000000000</v>
      </c>
      <c r="F56" s="1710">
        <f>'[188]BS Konsol'!M108</f>
        <v>40000000000</v>
      </c>
      <c r="G56" s="1709"/>
      <c r="H56" s="1674"/>
      <c r="I56" s="1675">
        <f>B56-D56</f>
        <v>29500000000</v>
      </c>
      <c r="J56" s="1781">
        <f>C56-D56</f>
        <v>29500000000</v>
      </c>
      <c r="K56" s="1781">
        <f>D56-E56</f>
        <v>0</v>
      </c>
      <c r="L56" s="1781">
        <f>E56-F56</f>
        <v>0</v>
      </c>
      <c r="N56" s="1782">
        <f>I56/D56</f>
        <v>0.73750000000000004</v>
      </c>
      <c r="O56" s="1782">
        <f>J56/D56</f>
        <v>0.73750000000000004</v>
      </c>
      <c r="P56" s="1782">
        <f>K56/E56</f>
        <v>0</v>
      </c>
      <c r="Q56" s="1782">
        <f>L56/F56</f>
        <v>0</v>
      </c>
    </row>
    <row r="57" spans="1:19" ht="15" customHeight="1">
      <c r="A57" s="1704" t="s">
        <v>95</v>
      </c>
      <c r="B57" s="1705">
        <f>'BS Konsol-Des 24'!I99</f>
        <v>104623471870</v>
      </c>
      <c r="C57" s="1705">
        <f>'BS Konsol-Des 24'!G99</f>
        <v>104623471870</v>
      </c>
      <c r="D57" s="1710">
        <f>'[188]BS Konsol'!I109</f>
        <v>49739416785</v>
      </c>
      <c r="E57" s="1710">
        <f>'[188]BS Konsol'!K109</f>
        <v>25871690669</v>
      </c>
      <c r="F57" s="1710">
        <f>'[188]BS Konsol'!M109</f>
        <v>25871690669</v>
      </c>
      <c r="G57" s="1709"/>
      <c r="H57" s="1674"/>
      <c r="I57" s="1675">
        <f>B57-D57</f>
        <v>54884055085</v>
      </c>
      <c r="J57" s="1781">
        <f t="shared" ref="J57:J62" si="33">C57-D57</f>
        <v>54884055085</v>
      </c>
      <c r="K57" s="1781">
        <f t="shared" ref="K57:L59" si="34">D57-E57</f>
        <v>23867726116</v>
      </c>
      <c r="L57" s="1781">
        <f t="shared" si="34"/>
        <v>0</v>
      </c>
      <c r="N57" s="1782">
        <f>I57/D57</f>
        <v>1.1034318179129008</v>
      </c>
      <c r="O57" s="1782">
        <f t="shared" ref="O57:O59" si="35">J57/D57</f>
        <v>1.1034318179129008</v>
      </c>
      <c r="P57" s="1782">
        <f t="shared" ref="P57:Q59" si="36">K57/E57</f>
        <v>0.92254218795986176</v>
      </c>
      <c r="Q57" s="1782">
        <f t="shared" si="36"/>
        <v>0</v>
      </c>
    </row>
    <row r="58" spans="1:19" ht="15" customHeight="1">
      <c r="A58" s="1704" t="s">
        <v>96</v>
      </c>
      <c r="B58" s="1705">
        <v>0</v>
      </c>
      <c r="C58" s="1705">
        <v>0</v>
      </c>
      <c r="D58" s="1710">
        <v>0</v>
      </c>
      <c r="E58" s="1710">
        <f>'[188]BS Konsol'!K110</f>
        <v>23406501672.86277</v>
      </c>
      <c r="F58" s="1710">
        <f>'[188]BS Konsol'!M110</f>
        <v>22389615460.398544</v>
      </c>
      <c r="G58" s="1709"/>
      <c r="H58" s="1674"/>
      <c r="I58" s="1675">
        <f>B58-D58</f>
        <v>0</v>
      </c>
      <c r="J58" s="1781">
        <f t="shared" si="33"/>
        <v>0</v>
      </c>
      <c r="K58" s="1781">
        <f t="shared" si="34"/>
        <v>-23406501672.86277</v>
      </c>
      <c r="L58" s="1781">
        <f t="shared" si="34"/>
        <v>1016886212.4642258</v>
      </c>
      <c r="N58" s="1782" t="e">
        <f>I58/D58</f>
        <v>#DIV/0!</v>
      </c>
      <c r="O58" s="1782" t="e">
        <f t="shared" si="35"/>
        <v>#DIV/0!</v>
      </c>
      <c r="P58" s="1782">
        <f t="shared" si="36"/>
        <v>-1</v>
      </c>
      <c r="Q58" s="1782">
        <f t="shared" si="36"/>
        <v>4.5417761384193275E-2</v>
      </c>
    </row>
    <row r="59" spans="1:19" ht="15" customHeight="1">
      <c r="A59" s="1704" t="s">
        <v>97</v>
      </c>
      <c r="B59" s="1705">
        <f>'BS Konsol-Des 24'!I102</f>
        <v>-377072852</v>
      </c>
      <c r="C59" s="1705">
        <f>'BS Konsol-Des 24'!G102</f>
        <v>-313784867</v>
      </c>
      <c r="D59" s="1710">
        <f>'[188]BS Konsol'!I111</f>
        <v>-377072852</v>
      </c>
      <c r="E59" s="1710">
        <f>'[188]BS Konsol'!K111</f>
        <v>-368797440</v>
      </c>
      <c r="F59" s="1710">
        <f>'[188]BS Konsol'!M111</f>
        <v>-611495277</v>
      </c>
      <c r="G59" s="1709"/>
      <c r="H59" s="1674"/>
      <c r="I59" s="1675">
        <f>B59-D59</f>
        <v>0</v>
      </c>
      <c r="J59" s="1781">
        <f t="shared" si="33"/>
        <v>63287985</v>
      </c>
      <c r="K59" s="1781">
        <f t="shared" si="34"/>
        <v>-8275412</v>
      </c>
      <c r="L59" s="1781">
        <f t="shared" si="34"/>
        <v>242697837</v>
      </c>
      <c r="N59" s="1782">
        <f>I59/D59</f>
        <v>0</v>
      </c>
      <c r="O59" s="1782">
        <f t="shared" si="35"/>
        <v>-0.16784020558446355</v>
      </c>
      <c r="P59" s="1782">
        <f t="shared" si="36"/>
        <v>2.2438908469646645E-2</v>
      </c>
      <c r="Q59" s="1782">
        <f t="shared" si="36"/>
        <v>-0.39689241459178104</v>
      </c>
    </row>
    <row r="60" spans="1:19" ht="15" customHeight="1">
      <c r="A60" s="1704" t="s">
        <v>98</v>
      </c>
      <c r="B60" s="1705"/>
      <c r="C60" s="1705"/>
      <c r="D60" s="1773"/>
      <c r="E60" s="1773"/>
      <c r="F60" s="1773"/>
      <c r="G60" s="1774"/>
      <c r="H60" s="1674"/>
      <c r="I60" s="1675"/>
      <c r="J60" s="1781"/>
      <c r="K60" s="1781"/>
      <c r="L60" s="1781"/>
      <c r="N60" s="1782"/>
      <c r="O60" s="1782"/>
      <c r="P60" s="1782"/>
      <c r="Q60" s="1782"/>
    </row>
    <row r="61" spans="1:19" ht="15" customHeight="1">
      <c r="A61" s="1704" t="s">
        <v>99</v>
      </c>
      <c r="B61" s="1705">
        <f>'BS Konsol-Des 24'!I104</f>
        <v>410000000</v>
      </c>
      <c r="C61" s="1705">
        <f>'BS Konsol-Des 24'!G104</f>
        <v>410000000</v>
      </c>
      <c r="D61" s="1710">
        <f>'[188]BS Konsol'!I113</f>
        <v>410000000</v>
      </c>
      <c r="E61" s="1710">
        <f>'[188]BS Konsol'!K113</f>
        <v>410000000</v>
      </c>
      <c r="F61" s="1710">
        <f>'[188]BS Konsol'!M113</f>
        <v>0</v>
      </c>
      <c r="G61" s="1775"/>
      <c r="H61" s="1674"/>
      <c r="I61" s="1675">
        <f>B61-D61</f>
        <v>0</v>
      </c>
      <c r="J61" s="1781">
        <f t="shared" si="33"/>
        <v>0</v>
      </c>
      <c r="K61" s="1781">
        <f>D61-E61</f>
        <v>0</v>
      </c>
      <c r="L61" s="1781">
        <f>E61-F61</f>
        <v>410000000</v>
      </c>
      <c r="N61" s="1782">
        <f>IFERROR(I61/D61,0)</f>
        <v>0</v>
      </c>
      <c r="O61" s="1782">
        <f t="shared" ref="O61:O62" si="37">J61/D61</f>
        <v>0</v>
      </c>
      <c r="P61" s="1782">
        <f>IFERROR(K61/E61,0)</f>
        <v>0</v>
      </c>
      <c r="Q61" s="1782">
        <f>IFERROR(L61/F61,0)</f>
        <v>0</v>
      </c>
    </row>
    <row r="62" spans="1:19" ht="15" customHeight="1">
      <c r="A62" s="1704" t="s">
        <v>100</v>
      </c>
      <c r="B62" s="1705">
        <f>'BS Konsol-Des 24'!I105</f>
        <v>6207104927</v>
      </c>
      <c r="C62" s="1705">
        <f>'BS Konsol-Des 24'!G105</f>
        <v>4870466041</v>
      </c>
      <c r="D62" s="1710">
        <f>'[188]BS Konsol'!I114</f>
        <v>19521729836.5</v>
      </c>
      <c r="E62" s="1710">
        <f>'[188]BS Konsol'!K114</f>
        <v>18237502879.13723</v>
      </c>
      <c r="F62" s="1710">
        <f>'[188]BS Konsol'!M114</f>
        <v>13426333849.601454</v>
      </c>
      <c r="G62" s="1709"/>
      <c r="H62" s="1674"/>
      <c r="I62" s="1675">
        <f>B62-D62</f>
        <v>-13314624909.5</v>
      </c>
      <c r="J62" s="1781">
        <f t="shared" si="33"/>
        <v>-14651263795.5</v>
      </c>
      <c r="K62" s="1781">
        <f>D62-E62</f>
        <v>1284226957.3627701</v>
      </c>
      <c r="L62" s="1781">
        <f>E62-F62</f>
        <v>4811169029.5357761</v>
      </c>
      <c r="N62" s="1782">
        <f>I62/D62</f>
        <v>-0.68204124434738844</v>
      </c>
      <c r="O62" s="1782">
        <f t="shared" si="37"/>
        <v>-0.75051052945658359</v>
      </c>
      <c r="P62" s="1782">
        <f>K62/E62</f>
        <v>7.0416819993040822E-2</v>
      </c>
      <c r="Q62" s="1782">
        <f>L62/F62</f>
        <v>0.35833825401850783</v>
      </c>
    </row>
    <row r="63" spans="1:19" ht="15" hidden="1" customHeight="1">
      <c r="A63" s="1704"/>
      <c r="B63" s="1705"/>
      <c r="C63" s="1705"/>
      <c r="D63" s="1773"/>
      <c r="E63" s="1773"/>
      <c r="F63" s="1776"/>
      <c r="G63" s="1774"/>
      <c r="H63" s="1674"/>
      <c r="I63" s="1675"/>
      <c r="J63" s="1781"/>
      <c r="K63" s="1781"/>
      <c r="L63" s="1781"/>
      <c r="N63" s="1782"/>
      <c r="O63" s="1782"/>
      <c r="P63" s="1782"/>
      <c r="Q63" s="1782"/>
    </row>
    <row r="64" spans="1:19" ht="15" customHeight="1" thickBot="1">
      <c r="A64" s="1711"/>
      <c r="B64" s="1727"/>
      <c r="C64" s="1727"/>
      <c r="D64" s="1777"/>
      <c r="E64" s="1777"/>
      <c r="F64" s="1728"/>
      <c r="G64" s="1709"/>
      <c r="H64" s="1674"/>
      <c r="I64" s="1715"/>
      <c r="J64" s="1783"/>
      <c r="K64" s="1783"/>
      <c r="L64" s="1783"/>
      <c r="N64" s="1784"/>
      <c r="O64" s="1784"/>
      <c r="P64" s="1784"/>
      <c r="Q64" s="1784"/>
    </row>
    <row r="65" spans="1:17" s="1671" customFormat="1" ht="15" customHeight="1" thickBot="1">
      <c r="A65" s="1716" t="s">
        <v>101</v>
      </c>
      <c r="B65" s="1760">
        <f>SUM(B55:B64)</f>
        <v>180363503945</v>
      </c>
      <c r="C65" s="1760">
        <f>SUM(C55:C64)</f>
        <v>179090153044</v>
      </c>
      <c r="D65" s="1717">
        <f>SUM(D55:D64)</f>
        <v>109294073769.5</v>
      </c>
      <c r="E65" s="1717">
        <f>SUM(E55:E64)</f>
        <v>107556897781</v>
      </c>
      <c r="F65" s="1717">
        <f>SUM(F55:F64)</f>
        <v>101076144702</v>
      </c>
      <c r="G65" s="1718"/>
      <c r="H65" s="1676"/>
      <c r="I65" s="1765">
        <f>B65-D65</f>
        <v>71069430175.5</v>
      </c>
      <c r="J65" s="1765">
        <f t="shared" ref="J65:L66" si="38">C65-D65</f>
        <v>69796079274.5</v>
      </c>
      <c r="K65" s="1765">
        <f t="shared" si="38"/>
        <v>1737175988.5</v>
      </c>
      <c r="L65" s="1765">
        <f t="shared" si="38"/>
        <v>6480753079</v>
      </c>
      <c r="N65" s="1721">
        <f>I65/D65</f>
        <v>0.65025877181030556</v>
      </c>
      <c r="O65" s="1721">
        <f t="shared" ref="O65:Q66" si="39">J65/D65</f>
        <v>0.63860808612275877</v>
      </c>
      <c r="P65" s="1721">
        <f t="shared" si="39"/>
        <v>1.6151228088012719E-2</v>
      </c>
      <c r="Q65" s="1721">
        <f t="shared" si="39"/>
        <v>6.4117533351781719E-2</v>
      </c>
    </row>
    <row r="66" spans="1:17" s="1671" customFormat="1" ht="15" customHeight="1" thickBot="1">
      <c r="A66" s="1716" t="s">
        <v>102</v>
      </c>
      <c r="B66" s="1760">
        <f>B53+B65</f>
        <v>408113666679</v>
      </c>
      <c r="C66" s="1760">
        <f>C53+C65</f>
        <v>437269373703</v>
      </c>
      <c r="D66" s="1717">
        <f>D53+D65</f>
        <v>345325322994.5</v>
      </c>
      <c r="E66" s="1717">
        <f>E53+E65</f>
        <v>307658424230</v>
      </c>
      <c r="F66" s="1717">
        <f>F53+F65</f>
        <v>262715700578</v>
      </c>
      <c r="G66" s="1718"/>
      <c r="H66" s="1676"/>
      <c r="I66" s="1732">
        <f>B66-D66</f>
        <v>62788343684.5</v>
      </c>
      <c r="J66" s="1732">
        <f t="shared" si="38"/>
        <v>91944050708.5</v>
      </c>
      <c r="K66" s="1732">
        <f t="shared" si="38"/>
        <v>37666898764.5</v>
      </c>
      <c r="L66" s="1732">
        <f t="shared" si="38"/>
        <v>44942723652</v>
      </c>
      <c r="N66" s="1721">
        <f>I66/D66</f>
        <v>0.18182374562058987</v>
      </c>
      <c r="O66" s="1721">
        <f t="shared" si="39"/>
        <v>0.26625342709073319</v>
      </c>
      <c r="P66" s="1721">
        <f t="shared" si="39"/>
        <v>0.12243090322903329</v>
      </c>
      <c r="Q66" s="1721">
        <f t="shared" si="39"/>
        <v>0.17106980493789162</v>
      </c>
    </row>
    <row r="67" spans="1:17" ht="15" customHeight="1" thickBot="1">
      <c r="A67" s="2343" t="s">
        <v>103</v>
      </c>
      <c r="B67" s="2344"/>
      <c r="C67" s="2344"/>
      <c r="D67" s="2344"/>
      <c r="E67" s="2344"/>
      <c r="F67" s="2345"/>
      <c r="G67" s="1778"/>
    </row>
    <row r="71" spans="1:17">
      <c r="B71" s="1685">
        <f>B26-B66</f>
        <v>0</v>
      </c>
      <c r="C71" s="1674">
        <f>C26-C66</f>
        <v>-3232400000</v>
      </c>
      <c r="D71" s="1674">
        <f>D26-D66</f>
        <v>0.5</v>
      </c>
      <c r="E71" s="1674">
        <f>E26-E66</f>
        <v>0</v>
      </c>
      <c r="F71" s="1674">
        <f>F26-F66</f>
        <v>0</v>
      </c>
    </row>
  </sheetData>
  <mergeCells count="5">
    <mergeCell ref="A67:F67"/>
    <mergeCell ref="I6:L6"/>
    <mergeCell ref="N6:Q6"/>
    <mergeCell ref="A6:A7"/>
    <mergeCell ref="C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A37A-88BE-4B1C-9017-39B24B22B130}">
  <sheetPr>
    <tabColor theme="1"/>
  </sheetPr>
  <dimension ref="A1:R36"/>
  <sheetViews>
    <sheetView showGridLines="0" zoomScaleNormal="100" workbookViewId="0">
      <pane xSplit="2" ySplit="9" topLeftCell="D29" activePane="bottomRight" state="frozen"/>
      <selection pane="bottomRight" activeCell="D31" sqref="D31"/>
      <selection pane="bottomLeft" activeCell="A10" sqref="A10"/>
      <selection pane="topRight" activeCell="C1" sqref="C1"/>
    </sheetView>
  </sheetViews>
  <sheetFormatPr defaultColWidth="9.42578125" defaultRowHeight="11.45"/>
  <cols>
    <col min="1" max="1" width="45" style="1672" customWidth="1"/>
    <col min="2" max="3" width="14.5703125" style="1672" hidden="1" customWidth="1"/>
    <col min="4" max="7" width="18.5703125" style="1672" customWidth="1"/>
    <col min="8" max="8" width="9.5703125" style="1672" bestFit="1" customWidth="1"/>
    <col min="9" max="9" width="9.42578125" style="1672"/>
    <col min="10" max="10" width="14.5703125" style="1672" hidden="1" customWidth="1"/>
    <col min="11" max="13" width="16.42578125" style="1672" customWidth="1"/>
    <col min="14" max="14" width="11.42578125" style="1672" customWidth="1"/>
    <col min="15" max="15" width="11.42578125" style="1672" hidden="1" customWidth="1"/>
    <col min="16" max="18" width="11.42578125" style="1672" customWidth="1"/>
    <col min="19" max="16384" width="9.42578125" style="1672"/>
  </cols>
  <sheetData>
    <row r="1" spans="1:18">
      <c r="A1" s="1671" t="s">
        <v>45</v>
      </c>
      <c r="B1" s="1671"/>
      <c r="C1" s="1671"/>
      <c r="D1" s="1671"/>
    </row>
    <row r="2" spans="1:18">
      <c r="A2" s="1671" t="s">
        <v>104</v>
      </c>
      <c r="B2" s="1671"/>
      <c r="C2" s="1671"/>
      <c r="D2" s="1671"/>
    </row>
    <row r="3" spans="1:18">
      <c r="A3" s="1673" t="s">
        <v>105</v>
      </c>
      <c r="B3" s="1673"/>
      <c r="C3" s="1673"/>
      <c r="D3" s="1673"/>
    </row>
    <row r="4" spans="1:18" hidden="1">
      <c r="A4" s="1673"/>
      <c r="B4" s="1673"/>
      <c r="C4" s="1673"/>
      <c r="D4" s="1673"/>
    </row>
    <row r="5" spans="1:18" hidden="1"/>
    <row r="6" spans="1:18" ht="12" thickBot="1"/>
    <row r="7" spans="1:18" ht="15.75" customHeight="1" thickBot="1">
      <c r="A7" s="2361" t="s">
        <v>48</v>
      </c>
      <c r="B7" s="1678"/>
      <c r="C7" s="1678"/>
      <c r="D7" s="2364" t="s">
        <v>49</v>
      </c>
      <c r="E7" s="2365"/>
      <c r="F7" s="2365"/>
      <c r="G7" s="2366"/>
    </row>
    <row r="8" spans="1:18" ht="14.85" customHeight="1" thickBot="1">
      <c r="A8" s="2362"/>
      <c r="B8" s="1679">
        <v>45565</v>
      </c>
      <c r="C8" s="1679">
        <v>45565</v>
      </c>
      <c r="D8" s="1680" t="s">
        <v>106</v>
      </c>
      <c r="E8" s="1680" t="s">
        <v>107</v>
      </c>
      <c r="F8" s="1680" t="s">
        <v>108</v>
      </c>
      <c r="G8" s="1680" t="s">
        <v>109</v>
      </c>
      <c r="J8" s="2359" t="s">
        <v>50</v>
      </c>
      <c r="K8" s="2359"/>
      <c r="L8" s="2359"/>
      <c r="M8" s="2359"/>
      <c r="O8" s="2360" t="s">
        <v>51</v>
      </c>
      <c r="P8" s="2360"/>
      <c r="Q8" s="2360"/>
      <c r="R8" s="2360"/>
    </row>
    <row r="9" spans="1:18" ht="15.75" customHeight="1" thickBot="1">
      <c r="A9" s="2363"/>
      <c r="B9" s="1681">
        <v>2024</v>
      </c>
      <c r="C9" s="1681">
        <v>2024</v>
      </c>
      <c r="D9" s="1681" t="s">
        <v>110</v>
      </c>
      <c r="E9" s="1681" t="s">
        <v>110</v>
      </c>
      <c r="F9" s="1681" t="s">
        <v>110</v>
      </c>
      <c r="G9" s="1681" t="s">
        <v>110</v>
      </c>
      <c r="J9" s="1828" t="s">
        <v>111</v>
      </c>
      <c r="K9" s="1785">
        <v>45627</v>
      </c>
      <c r="L9" s="1785">
        <v>45261</v>
      </c>
      <c r="M9" s="1785">
        <v>44896</v>
      </c>
      <c r="O9" s="1830" t="s">
        <v>111</v>
      </c>
      <c r="P9" s="1786">
        <v>45627</v>
      </c>
      <c r="Q9" s="1786">
        <v>45261</v>
      </c>
      <c r="R9" s="1786">
        <v>44896</v>
      </c>
    </row>
    <row r="10" spans="1:18" ht="14.85" customHeight="1">
      <c r="A10" s="1805" t="s">
        <v>112</v>
      </c>
      <c r="B10" s="1806">
        <f>'PL Konsol'!F11</f>
        <v>160540499628</v>
      </c>
      <c r="C10" s="1806">
        <f>'PL Konsol'!H11</f>
        <v>149774869471</v>
      </c>
      <c r="D10" s="1806">
        <f>'PL Konsol'!M11</f>
        <v>322560213288.07001</v>
      </c>
      <c r="E10" s="1803">
        <v>199222794205</v>
      </c>
      <c r="F10" s="1803">
        <v>382316276945</v>
      </c>
      <c r="G10" s="1803">
        <v>303872116071</v>
      </c>
      <c r="H10" s="1674"/>
      <c r="I10" s="1674"/>
      <c r="J10" s="1781">
        <f>B10-C10</f>
        <v>10765630157</v>
      </c>
      <c r="K10" s="1781">
        <f t="shared" ref="K10:M12" si="0">D10-E10</f>
        <v>123337419083.07001</v>
      </c>
      <c r="L10" s="1781">
        <f t="shared" si="0"/>
        <v>-183093482740</v>
      </c>
      <c r="M10" s="1781">
        <f t="shared" si="0"/>
        <v>78444160874</v>
      </c>
      <c r="O10" s="1782">
        <f>J10/C10</f>
        <v>7.1878748384317459E-2</v>
      </c>
      <c r="P10" s="1782">
        <f t="shared" ref="P10:R12" si="1">K10/E10</f>
        <v>0.61909290839559228</v>
      </c>
      <c r="Q10" s="1782">
        <f t="shared" si="1"/>
        <v>-0.47890580072357164</v>
      </c>
      <c r="R10" s="1782">
        <f t="shared" si="1"/>
        <v>0.25814859845735716</v>
      </c>
    </row>
    <row r="11" spans="1:18" ht="20.100000000000001" customHeight="1" thickBot="1">
      <c r="A11" s="1752" t="s">
        <v>113</v>
      </c>
      <c r="B11" s="1807">
        <f>'PL Konsol'!F12</f>
        <v>-107535872927</v>
      </c>
      <c r="C11" s="1807">
        <f>'PL Konsol'!H12</f>
        <v>-97141890286</v>
      </c>
      <c r="D11" s="1812">
        <f>'PL Konsol'!M12</f>
        <v>-246934738866.31</v>
      </c>
      <c r="E11" s="1827">
        <v>-134214335812</v>
      </c>
      <c r="F11" s="1814">
        <v>-298009655959</v>
      </c>
      <c r="G11" s="1814">
        <v>-235513908676</v>
      </c>
      <c r="H11" s="1674"/>
      <c r="I11" s="1674"/>
      <c r="J11" s="1781">
        <f t="shared" ref="J11:J20" si="2">B11-C11</f>
        <v>-10393982641</v>
      </c>
      <c r="K11" s="1781">
        <f t="shared" si="0"/>
        <v>-112720403054.31</v>
      </c>
      <c r="L11" s="1781">
        <f t="shared" si="0"/>
        <v>163795320147</v>
      </c>
      <c r="M11" s="1781">
        <f t="shared" si="0"/>
        <v>-62495747283</v>
      </c>
      <c r="O11" s="1782">
        <f t="shared" ref="O11:O17" si="3">J11/C11</f>
        <v>0.10699794507187978</v>
      </c>
      <c r="P11" s="1782">
        <f t="shared" si="1"/>
        <v>0.8398536741425483</v>
      </c>
      <c r="Q11" s="1782">
        <f t="shared" si="1"/>
        <v>-0.54963091588392987</v>
      </c>
      <c r="R11" s="1782">
        <f t="shared" si="1"/>
        <v>0.26535905091268447</v>
      </c>
    </row>
    <row r="12" spans="1:18" s="1671" customFormat="1" ht="14.85" customHeight="1" thickBot="1">
      <c r="A12" s="1796" t="s">
        <v>114</v>
      </c>
      <c r="B12" s="1797">
        <f t="shared" ref="B12:G12" si="4">B10+B11</f>
        <v>53004626701</v>
      </c>
      <c r="C12" s="1797">
        <f t="shared" ref="C12" si="5">C10+C11</f>
        <v>52632979185</v>
      </c>
      <c r="D12" s="1815">
        <f>D10+D11</f>
        <v>75625474421.76001</v>
      </c>
      <c r="E12" s="1815">
        <f>E10+E11</f>
        <v>65008458393</v>
      </c>
      <c r="F12" s="1815">
        <f t="shared" si="4"/>
        <v>84306620986</v>
      </c>
      <c r="G12" s="1815">
        <f t="shared" si="4"/>
        <v>68358207395</v>
      </c>
      <c r="H12" s="1676"/>
      <c r="I12" s="1676"/>
      <c r="J12" s="1790">
        <f t="shared" si="2"/>
        <v>371647516</v>
      </c>
      <c r="K12" s="1790">
        <f t="shared" si="0"/>
        <v>10617016028.76001</v>
      </c>
      <c r="L12" s="1790">
        <f t="shared" si="0"/>
        <v>-19298162593</v>
      </c>
      <c r="M12" s="1790">
        <f t="shared" si="0"/>
        <v>15948413591</v>
      </c>
      <c r="O12" s="1782">
        <f t="shared" si="3"/>
        <v>7.0611149464614902E-3</v>
      </c>
      <c r="P12" s="1791">
        <f t="shared" si="1"/>
        <v>0.1633174557774659</v>
      </c>
      <c r="Q12" s="1791">
        <f t="shared" si="1"/>
        <v>-0.22890447235697731</v>
      </c>
      <c r="R12" s="1791">
        <f t="shared" si="1"/>
        <v>0.23330649235495507</v>
      </c>
    </row>
    <row r="13" spans="1:18" ht="14.85" customHeight="1">
      <c r="A13" s="1752" t="s">
        <v>115</v>
      </c>
      <c r="B13" s="1807">
        <f>'PL Konsol'!F16</f>
        <v>-13450215380</v>
      </c>
      <c r="C13" s="1807">
        <f>'PL Konsol'!H16</f>
        <v>-18108262146</v>
      </c>
      <c r="D13" s="1812">
        <f>'PL Konsol'!M16</f>
        <v>-16258997299</v>
      </c>
      <c r="E13" s="1813">
        <v>-17958725423</v>
      </c>
      <c r="F13" s="1813">
        <v>-33826918356</v>
      </c>
      <c r="G13" s="1813">
        <v>-26521142401</v>
      </c>
      <c r="H13" s="1674"/>
      <c r="I13" s="1674"/>
      <c r="J13" s="1781">
        <f t="shared" si="2"/>
        <v>4658046766</v>
      </c>
      <c r="K13" s="1781">
        <f t="shared" ref="K13:K16" si="6">D13-E13</f>
        <v>1699728124</v>
      </c>
      <c r="L13" s="1781">
        <f t="shared" ref="L13:M17" si="7">E13-F13</f>
        <v>15868192933</v>
      </c>
      <c r="M13" s="1781">
        <f t="shared" si="7"/>
        <v>-7305775955</v>
      </c>
      <c r="O13" s="1782">
        <f t="shared" si="3"/>
        <v>-0.25723323024837769</v>
      </c>
      <c r="P13" s="1782">
        <f t="shared" ref="P13:P16" si="8">K13/E13</f>
        <v>-9.4646367376558557E-2</v>
      </c>
      <c r="Q13" s="1782">
        <f t="shared" ref="Q13:R16" si="9">L13/F13</f>
        <v>-0.46909957229921306</v>
      </c>
      <c r="R13" s="1782">
        <f t="shared" si="9"/>
        <v>0.27546988152080998</v>
      </c>
    </row>
    <row r="14" spans="1:18" ht="14.85" customHeight="1">
      <c r="A14" s="1752" t="s">
        <v>116</v>
      </c>
      <c r="B14" s="1807">
        <f>'PL Konsol'!F17</f>
        <v>-26167728635</v>
      </c>
      <c r="C14" s="1807">
        <f>'PL Konsol'!H17</f>
        <v>-20819164640</v>
      </c>
      <c r="D14" s="1812">
        <f>'PL Konsol'!M17</f>
        <v>-36246687170</v>
      </c>
      <c r="E14" s="1813">
        <v>-27733745691</v>
      </c>
      <c r="F14" s="1813">
        <v>-28248056723</v>
      </c>
      <c r="G14" s="1813">
        <v>-26942834062</v>
      </c>
      <c r="H14" s="1674"/>
      <c r="I14" s="1674"/>
      <c r="J14" s="1781">
        <f t="shared" si="2"/>
        <v>-5348563995</v>
      </c>
      <c r="K14" s="1781">
        <f t="shared" si="6"/>
        <v>-8512941479</v>
      </c>
      <c r="L14" s="1781">
        <f t="shared" si="7"/>
        <v>514311032</v>
      </c>
      <c r="M14" s="1781">
        <f t="shared" si="7"/>
        <v>-1305222661</v>
      </c>
      <c r="O14" s="1782">
        <f t="shared" si="3"/>
        <v>0.25690579269082525</v>
      </c>
      <c r="P14" s="1782">
        <f t="shared" si="8"/>
        <v>0.30695246050960118</v>
      </c>
      <c r="Q14" s="1782">
        <f t="shared" si="9"/>
        <v>-1.8206952677960325E-2</v>
      </c>
      <c r="R14" s="1782">
        <f t="shared" si="9"/>
        <v>4.8444148748289166E-2</v>
      </c>
    </row>
    <row r="15" spans="1:18" ht="14.85" customHeight="1">
      <c r="A15" s="1752" t="s">
        <v>117</v>
      </c>
      <c r="B15" s="1807">
        <f>'PL Konsol'!F18</f>
        <v>2273092655</v>
      </c>
      <c r="C15" s="1807">
        <f>'PL Konsol'!H18</f>
        <v>-906733107</v>
      </c>
      <c r="D15" s="1812">
        <f>'PL Konsol'!M18</f>
        <v>-2610994654</v>
      </c>
      <c r="E15" s="1813">
        <v>-1084534135</v>
      </c>
      <c r="F15" s="1813">
        <v>-602810576</v>
      </c>
      <c r="G15" s="1813">
        <v>112244184</v>
      </c>
      <c r="H15" s="1674"/>
      <c r="I15" s="1674"/>
      <c r="J15" s="1781">
        <f t="shared" si="2"/>
        <v>3179825762</v>
      </c>
      <c r="K15" s="1781">
        <f t="shared" si="6"/>
        <v>-1526460519</v>
      </c>
      <c r="L15" s="1781">
        <f t="shared" si="7"/>
        <v>-481723559</v>
      </c>
      <c r="M15" s="1781">
        <f t="shared" si="7"/>
        <v>-715054760</v>
      </c>
      <c r="O15" s="1782">
        <f t="shared" si="3"/>
        <v>-3.5069037817762179</v>
      </c>
      <c r="P15" s="1782">
        <f t="shared" si="8"/>
        <v>1.4074803823486848</v>
      </c>
      <c r="Q15" s="1782">
        <f t="shared" si="9"/>
        <v>0.79912924254998474</v>
      </c>
      <c r="R15" s="1782">
        <f t="shared" si="9"/>
        <v>-6.3705283830118091</v>
      </c>
    </row>
    <row r="16" spans="1:18" ht="14.85" customHeight="1" thickBot="1">
      <c r="A16" s="1752" t="s">
        <v>118</v>
      </c>
      <c r="B16" s="1807">
        <f>'PL Konsol'!F19</f>
        <v>-12487102791</v>
      </c>
      <c r="C16" s="1807">
        <f>'PL Konsol'!H19</f>
        <v>-11466799581</v>
      </c>
      <c r="D16" s="1812">
        <f>'PL Konsol'!M19</f>
        <v>-18184572249</v>
      </c>
      <c r="E16" s="1813">
        <v>-15677499788</v>
      </c>
      <c r="F16" s="1813">
        <v>-13403963086</v>
      </c>
      <c r="G16" s="1813">
        <v>-9352093192</v>
      </c>
      <c r="H16" s="1674"/>
      <c r="I16" s="1674"/>
      <c r="J16" s="1781">
        <f t="shared" si="2"/>
        <v>-1020303210</v>
      </c>
      <c r="K16" s="1781">
        <f t="shared" si="6"/>
        <v>-2507072461</v>
      </c>
      <c r="L16" s="1781">
        <f t="shared" si="7"/>
        <v>-2273536702</v>
      </c>
      <c r="M16" s="1781">
        <f t="shared" si="7"/>
        <v>-4051869894</v>
      </c>
      <c r="O16" s="1782">
        <f t="shared" si="3"/>
        <v>8.8978899717633425E-2</v>
      </c>
      <c r="P16" s="1782">
        <f t="shared" si="8"/>
        <v>0.1599153241844713</v>
      </c>
      <c r="Q16" s="1782">
        <f t="shared" si="9"/>
        <v>0.16961675344918209</v>
      </c>
      <c r="R16" s="1782">
        <f t="shared" si="9"/>
        <v>0.43325807504421199</v>
      </c>
    </row>
    <row r="17" spans="1:18" s="1671" customFormat="1" ht="14.85" customHeight="1" thickBot="1">
      <c r="A17" s="1796" t="s">
        <v>119</v>
      </c>
      <c r="B17" s="1797">
        <f t="shared" ref="B17:G17" si="10">SUM(B12:B16)</f>
        <v>3172672550</v>
      </c>
      <c r="C17" s="1797">
        <f t="shared" si="10"/>
        <v>1332019711</v>
      </c>
      <c r="D17" s="1816">
        <f t="shared" si="10"/>
        <v>2324223049.7600098</v>
      </c>
      <c r="E17" s="1816">
        <f t="shared" si="10"/>
        <v>2553953356</v>
      </c>
      <c r="F17" s="1816">
        <f t="shared" si="10"/>
        <v>8224872245</v>
      </c>
      <c r="G17" s="1816">
        <f t="shared" si="10"/>
        <v>5654381924</v>
      </c>
      <c r="H17" s="1676"/>
      <c r="I17" s="1676"/>
      <c r="J17" s="1790">
        <f t="shared" si="2"/>
        <v>1840652839</v>
      </c>
      <c r="K17" s="1790">
        <f>D17-E17</f>
        <v>-229730306.23999023</v>
      </c>
      <c r="L17" s="1790">
        <f t="shared" si="7"/>
        <v>-5670918889</v>
      </c>
      <c r="M17" s="1790">
        <f t="shared" si="7"/>
        <v>2570490321</v>
      </c>
      <c r="O17" s="1782">
        <f t="shared" si="3"/>
        <v>1.3818510520524871</v>
      </c>
      <c r="P17" s="1791">
        <f>K17/E17</f>
        <v>-8.9950862140956905E-2</v>
      </c>
      <c r="Q17" s="1791">
        <f>L17/E17</f>
        <v>-2.2204473216698792</v>
      </c>
      <c r="R17" s="1791">
        <f>M17/G17</f>
        <v>0.45460146759623093</v>
      </c>
    </row>
    <row r="18" spans="1:18" ht="14.85" customHeight="1">
      <c r="A18" s="1752" t="s">
        <v>120</v>
      </c>
      <c r="B18" s="1808"/>
      <c r="C18" s="1808"/>
      <c r="D18" s="1817"/>
      <c r="E18" s="1818"/>
      <c r="F18" s="1818"/>
      <c r="G18" s="1818"/>
      <c r="H18" s="1674"/>
      <c r="I18" s="1674"/>
      <c r="J18" s="1781"/>
      <c r="K18" s="1781"/>
      <c r="L18" s="1781"/>
      <c r="M18" s="1781"/>
      <c r="O18" s="1782"/>
      <c r="P18" s="1782"/>
      <c r="Q18" s="1782"/>
      <c r="R18" s="1782"/>
    </row>
    <row r="19" spans="1:18" ht="14.85" customHeight="1">
      <c r="A19" s="1752" t="s">
        <v>121</v>
      </c>
      <c r="B19" s="1807">
        <f>'PL Konsol'!F25</f>
        <v>-1487297460</v>
      </c>
      <c r="C19" s="1807">
        <f>'PL Konsol'!H25</f>
        <v>-518727440</v>
      </c>
      <c r="D19" s="1812">
        <f>'PL Konsol'!M25</f>
        <v>-2052132941</v>
      </c>
      <c r="E19" s="1813">
        <v>-1088072700</v>
      </c>
      <c r="F19" s="1813">
        <v>-2076985900</v>
      </c>
      <c r="G19" s="1813">
        <v>-1421390520</v>
      </c>
      <c r="H19" s="1674"/>
      <c r="I19" s="1674"/>
      <c r="J19" s="1781">
        <f t="shared" si="2"/>
        <v>-968570020</v>
      </c>
      <c r="K19" s="1781">
        <f t="shared" ref="K19:M20" si="11">D19-E19</f>
        <v>-964060241</v>
      </c>
      <c r="L19" s="1781">
        <f t="shared" si="11"/>
        <v>988913200</v>
      </c>
      <c r="M19" s="1781">
        <f t="shared" si="11"/>
        <v>-655595380</v>
      </c>
      <c r="O19" s="1782">
        <f t="shared" ref="O19" si="12">J19/C19</f>
        <v>1.8672041332534866</v>
      </c>
      <c r="P19" s="1782">
        <f t="shared" ref="P19:P20" si="13">K19/E19</f>
        <v>0.88602557623217637</v>
      </c>
      <c r="Q19" s="1782">
        <f>L19/E19</f>
        <v>-0.90886684318060729</v>
      </c>
      <c r="R19" s="1782">
        <f>M19/G19</f>
        <v>0.46123522759951996</v>
      </c>
    </row>
    <row r="20" spans="1:18" ht="14.85" customHeight="1" thickBot="1">
      <c r="A20" s="1752" t="s">
        <v>122</v>
      </c>
      <c r="B20" s="1807">
        <v>0</v>
      </c>
      <c r="C20" s="1807">
        <v>0</v>
      </c>
      <c r="D20" s="1812">
        <f>'PL Konsol'!M26</f>
        <v>76646095</v>
      </c>
      <c r="E20" s="1813">
        <v>279570745</v>
      </c>
      <c r="F20" s="1813">
        <v>90168897</v>
      </c>
      <c r="G20" s="1813">
        <v>1446845971</v>
      </c>
      <c r="H20" s="1674"/>
      <c r="I20" s="1674"/>
      <c r="J20" s="1781">
        <f t="shared" si="2"/>
        <v>0</v>
      </c>
      <c r="K20" s="1781">
        <f t="shared" si="11"/>
        <v>-202924650</v>
      </c>
      <c r="L20" s="1781">
        <f t="shared" si="11"/>
        <v>189401848</v>
      </c>
      <c r="M20" s="1781">
        <f t="shared" si="11"/>
        <v>-1356677074</v>
      </c>
      <c r="O20" s="1782">
        <v>0</v>
      </c>
      <c r="P20" s="1782">
        <f t="shared" si="13"/>
        <v>-0.72584365005716178</v>
      </c>
      <c r="Q20" s="1782">
        <f>L20/E20</f>
        <v>0.67747377501891337</v>
      </c>
      <c r="R20" s="1782">
        <f>M20/G20</f>
        <v>-0.93767899361279006</v>
      </c>
    </row>
    <row r="21" spans="1:18" s="1671" customFormat="1" ht="17.850000000000001" customHeight="1">
      <c r="A21" s="1799" t="s">
        <v>123</v>
      </c>
      <c r="B21" s="1800">
        <f t="shared" ref="B21:C21" si="14">SUM(B17:B20)</f>
        <v>1685375090</v>
      </c>
      <c r="C21" s="1800">
        <f t="shared" si="14"/>
        <v>813292271</v>
      </c>
      <c r="D21" s="1819"/>
      <c r="E21" s="1820"/>
      <c r="F21" s="1820"/>
      <c r="G21" s="1820"/>
      <c r="H21" s="1676"/>
      <c r="I21" s="1676"/>
      <c r="J21" s="1790"/>
      <c r="K21" s="1790"/>
      <c r="L21" s="1790"/>
      <c r="M21" s="1790"/>
      <c r="O21" s="1791"/>
      <c r="P21" s="1791"/>
      <c r="Q21" s="1791"/>
      <c r="R21" s="1791"/>
    </row>
    <row r="22" spans="1:18" s="1671" customFormat="1" ht="12" thickBot="1">
      <c r="A22" s="1759" t="s">
        <v>124</v>
      </c>
      <c r="B22" s="1801">
        <v>0</v>
      </c>
      <c r="C22" s="1801">
        <v>0</v>
      </c>
      <c r="D22" s="1821">
        <f>SUM(D17:D20)</f>
        <v>348736203.76000977</v>
      </c>
      <c r="E22" s="1821">
        <f>SUM(E17:E20)</f>
        <v>1745451401</v>
      </c>
      <c r="F22" s="1821">
        <f>SUM(F17:F20)</f>
        <v>6238055242</v>
      </c>
      <c r="G22" s="1821">
        <f>SUM(G17:G20)</f>
        <v>5679837375</v>
      </c>
      <c r="H22" s="1676"/>
      <c r="I22" s="1676"/>
      <c r="J22" s="1781">
        <f>B22-C22</f>
        <v>0</v>
      </c>
      <c r="K22" s="1790">
        <f>D22-E22</f>
        <v>-1396715197.2399902</v>
      </c>
      <c r="L22" s="1790">
        <f>E22-F22</f>
        <v>-4492603841</v>
      </c>
      <c r="M22" s="1790">
        <f>F22-G22</f>
        <v>558217867</v>
      </c>
      <c r="O22" s="1782">
        <v>0</v>
      </c>
      <c r="P22" s="1791">
        <f>K22/E22</f>
        <v>-0.80020285665919277</v>
      </c>
      <c r="Q22" s="1791" t="e">
        <f>L22/E23</f>
        <v>#DIV/0!</v>
      </c>
      <c r="R22" s="1791">
        <f>M22/G23</f>
        <v>-0.23808809275654738</v>
      </c>
    </row>
    <row r="23" spans="1:18" ht="19.5" customHeight="1" thickBot="1">
      <c r="A23" s="1752" t="s">
        <v>125</v>
      </c>
      <c r="B23" s="1807"/>
      <c r="C23" s="1807"/>
      <c r="D23" s="1812">
        <v>0</v>
      </c>
      <c r="E23" s="1814">
        <v>0</v>
      </c>
      <c r="F23" s="1813">
        <v>-1026886212.4642254</v>
      </c>
      <c r="G23" s="1813">
        <v>-2344585403.3985457</v>
      </c>
      <c r="H23" s="1674"/>
      <c r="I23" s="1674"/>
      <c r="J23" s="1781">
        <f>B23+E23</f>
        <v>0</v>
      </c>
      <c r="K23" s="1781">
        <f>D23+E23</f>
        <v>0</v>
      </c>
      <c r="L23" s="1781">
        <f>E23+F23</f>
        <v>-1026886212.4642254</v>
      </c>
      <c r="M23" s="1781">
        <f>F23-G23</f>
        <v>1317699190.9343204</v>
      </c>
      <c r="N23" s="1793"/>
      <c r="O23" s="1782">
        <v>0</v>
      </c>
      <c r="P23" s="1782" t="e">
        <f>K23/E23</f>
        <v>#DIV/0!</v>
      </c>
      <c r="Q23" s="1782" t="e">
        <f>L23/E23</f>
        <v>#DIV/0!</v>
      </c>
      <c r="R23" s="1782">
        <f>M23/G23</f>
        <v>-0.56201799645441641</v>
      </c>
    </row>
    <row r="24" spans="1:18" ht="18" customHeight="1">
      <c r="A24" s="1799" t="s">
        <v>123</v>
      </c>
      <c r="B24" s="1802"/>
      <c r="C24" s="1802"/>
      <c r="D24" s="1822"/>
      <c r="E24" s="1823"/>
      <c r="F24" s="1824"/>
      <c r="G24" s="1824"/>
      <c r="H24" s="1674"/>
      <c r="I24" s="1674"/>
      <c r="J24" s="1781"/>
      <c r="K24" s="1781"/>
      <c r="L24" s="1781"/>
      <c r="M24" s="1781"/>
      <c r="O24" s="1782"/>
      <c r="P24" s="1782"/>
      <c r="Q24" s="1782"/>
      <c r="R24" s="1782"/>
    </row>
    <row r="25" spans="1:18" ht="12" thickBot="1">
      <c r="A25" s="1759" t="s">
        <v>126</v>
      </c>
      <c r="B25" s="1804">
        <f>B22+B23</f>
        <v>0</v>
      </c>
      <c r="C25" s="1804">
        <f>C22+C23</f>
        <v>0</v>
      </c>
      <c r="D25" s="1825">
        <f>D22+D23</f>
        <v>348736203.76000977</v>
      </c>
      <c r="E25" s="1825">
        <f>E22+E23</f>
        <v>1745451401</v>
      </c>
      <c r="F25" s="1825">
        <f t="shared" ref="F25:G25" si="15">F22+F23</f>
        <v>5211169029.5357742</v>
      </c>
      <c r="G25" s="1825">
        <f t="shared" si="15"/>
        <v>3335251971.6014543</v>
      </c>
      <c r="H25" s="1674"/>
      <c r="I25" s="1674"/>
      <c r="J25" s="1781">
        <f t="shared" ref="J25:J30" si="16">B25-C25</f>
        <v>0</v>
      </c>
      <c r="K25" s="1781">
        <f t="shared" ref="K25:K26" si="17">D25-E25</f>
        <v>-1396715197.2399902</v>
      </c>
      <c r="L25" s="1781">
        <f>E25+F25</f>
        <v>6956620430.5357742</v>
      </c>
      <c r="M25" s="1781">
        <f t="shared" ref="M25:M31" si="18">F25-G25</f>
        <v>1875917057.93432</v>
      </c>
      <c r="O25" s="1782">
        <v>0</v>
      </c>
      <c r="P25" s="1782">
        <f t="shared" ref="P25:P28" si="19">K25/E25</f>
        <v>-0.80020285665919277</v>
      </c>
      <c r="Q25" s="1782">
        <f t="shared" ref="Q25:Q31" si="20">L25/E25</f>
        <v>3.985570968375403</v>
      </c>
      <c r="R25" s="1782">
        <f t="shared" ref="R25:R31" si="21">M25/G25</f>
        <v>0.56245137516059385</v>
      </c>
    </row>
    <row r="26" spans="1:18" ht="19.350000000000001" customHeight="1">
      <c r="A26" s="1752" t="s">
        <v>127</v>
      </c>
      <c r="B26" s="1809">
        <f>0</f>
        <v>0</v>
      </c>
      <c r="C26" s="1809">
        <f>0</f>
        <v>0</v>
      </c>
      <c r="D26" s="1813">
        <f>'PL Konsol'!M41</f>
        <v>81138444</v>
      </c>
      <c r="E26" s="1813">
        <v>-10609502</v>
      </c>
      <c r="F26" s="1813">
        <v>311151073</v>
      </c>
      <c r="G26" s="1813">
        <v>21039938</v>
      </c>
      <c r="H26" s="1674"/>
      <c r="I26" s="1674"/>
      <c r="J26" s="1781">
        <f t="shared" si="16"/>
        <v>0</v>
      </c>
      <c r="K26" s="1781">
        <f t="shared" si="17"/>
        <v>91747946</v>
      </c>
      <c r="L26" s="1781">
        <f>E26+F26</f>
        <v>300541571</v>
      </c>
      <c r="M26" s="1781">
        <f t="shared" si="18"/>
        <v>290111135</v>
      </c>
      <c r="O26" s="1782">
        <v>0</v>
      </c>
      <c r="P26" s="1782">
        <f t="shared" si="19"/>
        <v>-8.6477146618191885</v>
      </c>
      <c r="Q26" s="1782">
        <f t="shared" si="20"/>
        <v>-28.327585121337457</v>
      </c>
      <c r="R26" s="1782">
        <f t="shared" si="21"/>
        <v>13.788592675510737</v>
      </c>
    </row>
    <row r="27" spans="1:18" ht="19.350000000000001" customHeight="1" thickBot="1">
      <c r="A27" s="1752" t="s">
        <v>128</v>
      </c>
      <c r="B27" s="1809">
        <v>0</v>
      </c>
      <c r="C27" s="1809">
        <v>0</v>
      </c>
      <c r="D27" s="1813">
        <f>'PL Konsol'!M42</f>
        <v>-17850458</v>
      </c>
      <c r="E27" s="1813">
        <v>2334090</v>
      </c>
      <c r="F27" s="1813">
        <v>-68453236</v>
      </c>
      <c r="G27" s="1813">
        <v>-4628786</v>
      </c>
      <c r="H27" s="1674"/>
      <c r="I27" s="1674"/>
      <c r="J27" s="1781">
        <f t="shared" si="16"/>
        <v>0</v>
      </c>
      <c r="K27" s="1781">
        <f>D27-E27</f>
        <v>-20184548</v>
      </c>
      <c r="L27" s="1781">
        <f>E27+F27</f>
        <v>-66119146</v>
      </c>
      <c r="M27" s="1781">
        <f t="shared" si="18"/>
        <v>-63824450</v>
      </c>
      <c r="O27" s="1782">
        <v>0</v>
      </c>
      <c r="P27" s="1782">
        <f t="shared" si="19"/>
        <v>-8.647716240590551</v>
      </c>
      <c r="Q27" s="1782">
        <f t="shared" si="20"/>
        <v>-28.327590624183301</v>
      </c>
      <c r="R27" s="1782">
        <f t="shared" si="21"/>
        <v>13.788593812718929</v>
      </c>
    </row>
    <row r="28" spans="1:18" s="1671" customFormat="1" ht="12" thickBot="1">
      <c r="A28" s="1796" t="s">
        <v>129</v>
      </c>
      <c r="B28" s="1798">
        <f>B26+B27+'WS Konsol'!W759+'WS Konsol'!W762</f>
        <v>0</v>
      </c>
      <c r="C28" s="1798">
        <f>C26+C27+'WS Konsol'!AT759+'WS Konsol'!AT762</f>
        <v>0</v>
      </c>
      <c r="D28" s="1815">
        <f>SUM(D26:D27)</f>
        <v>63287986</v>
      </c>
      <c r="E28" s="1815">
        <f>SUM(E26:E27)</f>
        <v>-8275412</v>
      </c>
      <c r="F28" s="1815">
        <f>SUM(F26:F27)</f>
        <v>242697837</v>
      </c>
      <c r="G28" s="1815">
        <f>SUM(G26:G27)</f>
        <v>16411152</v>
      </c>
      <c r="H28" s="1676"/>
      <c r="I28" s="1676"/>
      <c r="J28" s="1781">
        <f t="shared" si="16"/>
        <v>0</v>
      </c>
      <c r="K28" s="1790">
        <f>D28-E28</f>
        <v>71563398</v>
      </c>
      <c r="L28" s="1790">
        <f>E28-F28</f>
        <v>-250973249</v>
      </c>
      <c r="M28" s="1790">
        <f t="shared" si="18"/>
        <v>226286685</v>
      </c>
      <c r="O28" s="1782">
        <v>0</v>
      </c>
      <c r="P28" s="1782">
        <f t="shared" si="19"/>
        <v>-8.6477142165248093</v>
      </c>
      <c r="Q28" s="1791">
        <f t="shared" si="20"/>
        <v>30.327583569253107</v>
      </c>
      <c r="R28" s="1791">
        <f t="shared" si="21"/>
        <v>13.788592354759739</v>
      </c>
    </row>
    <row r="29" spans="1:18" s="1671" customFormat="1" ht="12" thickBot="1">
      <c r="A29" s="1796" t="s">
        <v>125</v>
      </c>
      <c r="B29" s="1797"/>
      <c r="C29" s="1797"/>
      <c r="D29" s="1816">
        <v>0</v>
      </c>
      <c r="E29" s="1815">
        <v>0</v>
      </c>
      <c r="F29" s="1815">
        <v>188427221.04416263</v>
      </c>
      <c r="G29" s="1815">
        <v>-7593457.1053832993</v>
      </c>
      <c r="H29" s="1676"/>
      <c r="I29" s="1676"/>
      <c r="J29" s="1781">
        <f t="shared" si="16"/>
        <v>0</v>
      </c>
      <c r="K29" s="1790">
        <f>D29-E29</f>
        <v>0</v>
      </c>
      <c r="L29" s="1790">
        <f>E29-F29</f>
        <v>-188427221.04416263</v>
      </c>
      <c r="M29" s="1790">
        <f t="shared" si="18"/>
        <v>196020678.14954594</v>
      </c>
      <c r="O29" s="1782">
        <v>0</v>
      </c>
      <c r="P29" s="1791" t="e">
        <f>K29/E29</f>
        <v>#DIV/0!</v>
      </c>
      <c r="Q29" s="1791" t="e">
        <f t="shared" si="20"/>
        <v>#DIV/0!</v>
      </c>
      <c r="R29" s="1791">
        <f t="shared" si="21"/>
        <v>-25.814418311598704</v>
      </c>
    </row>
    <row r="30" spans="1:18" s="1671" customFormat="1" ht="12" thickBot="1">
      <c r="A30" s="1796" t="s">
        <v>130</v>
      </c>
      <c r="B30" s="1798">
        <f>B25+B28+B29</f>
        <v>0</v>
      </c>
      <c r="C30" s="1798">
        <f>C25+C28+C29</f>
        <v>0</v>
      </c>
      <c r="D30" s="1815">
        <f>D25+D28+D29</f>
        <v>412024189.76000977</v>
      </c>
      <c r="E30" s="1815">
        <f>E25+E28+E29+309</f>
        <v>1737176298</v>
      </c>
      <c r="F30" s="1815">
        <f>F25+F28+F29+1262</f>
        <v>5642295349.579937</v>
      </c>
      <c r="G30" s="1815">
        <f>G25+G28+G29+1140</f>
        <v>3344070806.4960709</v>
      </c>
      <c r="H30" s="1676"/>
      <c r="I30" s="1676"/>
      <c r="J30" s="1781">
        <f t="shared" si="16"/>
        <v>0</v>
      </c>
      <c r="K30" s="1790">
        <f>D30-E30</f>
        <v>-1325152108.2399902</v>
      </c>
      <c r="L30" s="1790">
        <f>E30-F30</f>
        <v>-3905119051.579937</v>
      </c>
      <c r="M30" s="1790">
        <f t="shared" si="18"/>
        <v>2298224543.0838661</v>
      </c>
      <c r="O30" s="1782">
        <v>0</v>
      </c>
      <c r="P30" s="1791">
        <f>K30/E30</f>
        <v>-0.76281958818205697</v>
      </c>
      <c r="Q30" s="1791">
        <f t="shared" si="20"/>
        <v>-2.2479693374102996</v>
      </c>
      <c r="R30" s="1791">
        <f t="shared" si="21"/>
        <v>0.68725355295091783</v>
      </c>
    </row>
    <row r="31" spans="1:18" ht="23.85" customHeight="1" thickBot="1">
      <c r="A31" s="1810" t="s">
        <v>131</v>
      </c>
      <c r="B31" s="1811"/>
      <c r="C31" s="1811"/>
      <c r="D31" s="1826"/>
      <c r="E31" s="1826">
        <v>2.1818142512500001</v>
      </c>
      <c r="F31" s="1826">
        <v>6.5139612869197174</v>
      </c>
      <c r="G31" s="1826">
        <v>4.1690649645018176</v>
      </c>
      <c r="H31" s="1674"/>
      <c r="I31" s="1674"/>
      <c r="J31" s="1794">
        <f>B31-E31</f>
        <v>-2.1818142512500001</v>
      </c>
      <c r="K31" s="1794">
        <f>D31-E31</f>
        <v>-2.1818142512500001</v>
      </c>
      <c r="L31" s="1794">
        <f>E31-F31</f>
        <v>-4.3321470356697169</v>
      </c>
      <c r="M31" s="1794">
        <f t="shared" si="18"/>
        <v>2.3448963224178998</v>
      </c>
      <c r="O31" s="1726">
        <v>0</v>
      </c>
      <c r="P31" s="1795">
        <f>K31/E31</f>
        <v>-1</v>
      </c>
      <c r="Q31" s="1795">
        <f t="shared" si="20"/>
        <v>-1.9855709683754028</v>
      </c>
      <c r="R31" s="1795">
        <f t="shared" si="21"/>
        <v>0.56245137516059385</v>
      </c>
    </row>
    <row r="32" spans="1:18" ht="12">
      <c r="A32" s="2353" t="s">
        <v>132</v>
      </c>
      <c r="B32" s="2354"/>
      <c r="C32" s="2354"/>
      <c r="D32" s="2354"/>
      <c r="E32" s="2354"/>
      <c r="F32" s="2354"/>
      <c r="G32" s="2355"/>
    </row>
    <row r="33" spans="1:7" ht="12.6" thickBot="1">
      <c r="A33" s="2356"/>
      <c r="B33" s="2357"/>
      <c r="C33" s="2357"/>
      <c r="D33" s="2357"/>
      <c r="E33" s="2357"/>
      <c r="F33" s="2357"/>
      <c r="G33" s="2358"/>
    </row>
    <row r="34" spans="1:7">
      <c r="B34" s="1677"/>
      <c r="C34" s="1677"/>
      <c r="D34" s="1677"/>
      <c r="E34" s="1677"/>
      <c r="F34" s="1677"/>
      <c r="G34" s="1677"/>
    </row>
    <row r="36" spans="1:7">
      <c r="E36" s="1674"/>
      <c r="F36" s="1674"/>
      <c r="G36" s="1674"/>
    </row>
  </sheetData>
  <mergeCells count="6">
    <mergeCell ref="A32:G32"/>
    <mergeCell ref="A33:G33"/>
    <mergeCell ref="J8:M8"/>
    <mergeCell ref="O8:R8"/>
    <mergeCell ref="A7:A9"/>
    <mergeCell ref="D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2B23-FC3E-44D3-8A93-5D56889FE49D}">
  <sheetPr>
    <tabColor theme="1"/>
  </sheetPr>
  <dimension ref="A1:W34"/>
  <sheetViews>
    <sheetView showGridLines="0" zoomScale="105" workbookViewId="0">
      <pane xSplit="3" ySplit="9" topLeftCell="L10" activePane="bottomRight" state="frozen"/>
      <selection pane="bottomRight" activeCell="L18" sqref="L18"/>
      <selection pane="bottomLeft" activeCell="A10" sqref="A10"/>
      <selection pane="topRight" activeCell="D1" sqref="D1"/>
    </sheetView>
  </sheetViews>
  <sheetFormatPr defaultColWidth="9.42578125" defaultRowHeight="11.45"/>
  <cols>
    <col min="1" max="1" width="53.5703125" style="1672" customWidth="1"/>
    <col min="2" max="3" width="18.42578125" style="1672" hidden="1" customWidth="1"/>
    <col min="4" max="4" width="18.42578125" style="1672" customWidth="1"/>
    <col min="5" max="5" width="14.42578125" style="1672" bestFit="1" customWidth="1"/>
    <col min="6" max="7" width="18.5703125" style="1672" bestFit="1" customWidth="1"/>
    <col min="8" max="9" width="9.42578125" style="1672"/>
    <col min="10" max="10" width="12.42578125" style="1672" hidden="1" customWidth="1"/>
    <col min="11" max="11" width="16.5703125" style="1672" customWidth="1"/>
    <col min="12" max="12" width="15.5703125" style="1672" customWidth="1"/>
    <col min="13" max="13" width="16" style="1672" customWidth="1"/>
    <col min="14" max="14" width="9.42578125" style="1672"/>
    <col min="15" max="15" width="10.42578125" style="1672" hidden="1" customWidth="1"/>
    <col min="16" max="16" width="10.42578125" style="1672" customWidth="1"/>
    <col min="17" max="18" width="9.42578125" style="1672" bestFit="1" customWidth="1"/>
    <col min="19" max="21" width="9.42578125" style="1672"/>
    <col min="22" max="22" width="10.5703125" style="1672" bestFit="1" customWidth="1"/>
    <col min="23" max="16384" width="9.42578125" style="1672"/>
  </cols>
  <sheetData>
    <row r="1" spans="1:20">
      <c r="A1" s="1671" t="s">
        <v>45</v>
      </c>
      <c r="B1" s="1671"/>
      <c r="C1" s="1671"/>
      <c r="D1" s="1671"/>
    </row>
    <row r="2" spans="1:20">
      <c r="A2" s="1673" t="s">
        <v>133</v>
      </c>
      <c r="B2" s="1673"/>
      <c r="C2" s="1673"/>
      <c r="D2" s="1673"/>
    </row>
    <row r="3" spans="1:20">
      <c r="A3" s="1673" t="s">
        <v>105</v>
      </c>
      <c r="B3" s="1673"/>
      <c r="C3" s="1673"/>
      <c r="D3" s="1673"/>
    </row>
    <row r="4" spans="1:20">
      <c r="A4" s="1673"/>
      <c r="B4" s="1673"/>
      <c r="C4" s="1673"/>
      <c r="D4" s="1673"/>
    </row>
    <row r="5" spans="1:20">
      <c r="A5" s="1671"/>
      <c r="B5" s="1671"/>
      <c r="C5" s="1671"/>
      <c r="D5" s="1671"/>
    </row>
    <row r="6" spans="1:20" ht="12" thickBot="1"/>
    <row r="7" spans="1:20" ht="15.75" customHeight="1" thickBot="1">
      <c r="A7" s="2361" t="s">
        <v>48</v>
      </c>
      <c r="B7" s="1890"/>
      <c r="C7" s="1890"/>
      <c r="D7" s="2364" t="s">
        <v>49</v>
      </c>
      <c r="E7" s="2365"/>
      <c r="F7" s="2365"/>
      <c r="G7" s="2366"/>
    </row>
    <row r="8" spans="1:20" ht="12" thickBot="1">
      <c r="A8" s="2362"/>
      <c r="B8" s="1679">
        <v>45565</v>
      </c>
      <c r="C8" s="1679">
        <v>45565</v>
      </c>
      <c r="D8" s="1680" t="s">
        <v>106</v>
      </c>
      <c r="E8" s="1680" t="s">
        <v>107</v>
      </c>
      <c r="F8" s="1680" t="s">
        <v>134</v>
      </c>
      <c r="G8" s="1680" t="s">
        <v>135</v>
      </c>
      <c r="J8" s="2367" t="s">
        <v>50</v>
      </c>
      <c r="K8" s="2367"/>
      <c r="L8" s="2367"/>
      <c r="M8" s="2367"/>
      <c r="O8" s="2360" t="s">
        <v>51</v>
      </c>
      <c r="P8" s="2360"/>
      <c r="Q8" s="2360"/>
      <c r="R8" s="2360"/>
    </row>
    <row r="9" spans="1:20" ht="12" thickBot="1">
      <c r="A9" s="2362"/>
      <c r="B9" s="1681">
        <v>2024</v>
      </c>
      <c r="C9" s="1681">
        <v>2023</v>
      </c>
      <c r="D9" s="1680" t="s">
        <v>110</v>
      </c>
      <c r="E9" s="1680" t="s">
        <v>110</v>
      </c>
      <c r="F9" s="1680" t="s">
        <v>110</v>
      </c>
      <c r="G9" s="1680" t="s">
        <v>110</v>
      </c>
      <c r="J9" s="1891" t="s">
        <v>111</v>
      </c>
      <c r="K9" s="1785">
        <v>45627</v>
      </c>
      <c r="L9" s="1785">
        <v>45261</v>
      </c>
      <c r="M9" s="1785">
        <v>44896</v>
      </c>
      <c r="O9" s="1829" t="s">
        <v>111</v>
      </c>
      <c r="P9" s="1786">
        <v>45627</v>
      </c>
      <c r="Q9" s="1786">
        <v>45261</v>
      </c>
      <c r="R9" s="1786">
        <v>44896</v>
      </c>
    </row>
    <row r="10" spans="1:20">
      <c r="A10" s="1892"/>
      <c r="B10" s="1893"/>
      <c r="C10" s="1893"/>
      <c r="D10" s="1894"/>
      <c r="E10" s="1895"/>
      <c r="F10" s="1895"/>
      <c r="G10" s="1896"/>
      <c r="J10" s="1779"/>
      <c r="K10" s="1779"/>
      <c r="L10" s="1779"/>
      <c r="M10" s="1779"/>
      <c r="O10" s="1782"/>
      <c r="P10" s="1782"/>
      <c r="Q10" s="1782"/>
      <c r="R10" s="1782"/>
    </row>
    <row r="11" spans="1:20">
      <c r="A11" s="1897" t="s">
        <v>136</v>
      </c>
      <c r="B11" s="1898"/>
      <c r="C11" s="1898"/>
      <c r="D11" s="1899"/>
      <c r="E11" s="1900"/>
      <c r="F11" s="1901"/>
      <c r="G11" s="1902"/>
      <c r="H11" s="1903"/>
      <c r="I11" s="1903"/>
      <c r="J11" s="1779"/>
      <c r="K11" s="1779"/>
      <c r="L11" s="1779"/>
      <c r="M11" s="1779"/>
      <c r="N11" s="1903"/>
      <c r="O11" s="1782"/>
      <c r="P11" s="1782"/>
      <c r="Q11" s="1782"/>
      <c r="R11" s="1782"/>
      <c r="S11" s="1903"/>
      <c r="T11" s="1904"/>
    </row>
    <row r="12" spans="1:20" ht="12">
      <c r="A12" s="1787" t="s">
        <v>137</v>
      </c>
      <c r="B12" s="1905">
        <f>'CF Konsol'!H22</f>
        <v>-60184010806</v>
      </c>
      <c r="C12" s="1906">
        <f>'CF Konsol'!J22</f>
        <v>-7132381970.8627701</v>
      </c>
      <c r="D12" s="1907">
        <f>'CF Konsol'!F22</f>
        <v>-108614589371.23999</v>
      </c>
      <c r="E12" s="1908">
        <v>-30698922511.099304</v>
      </c>
      <c r="F12" s="1781">
        <v>-38731871094</v>
      </c>
      <c r="G12" s="1909">
        <v>-2204680311.8399811</v>
      </c>
      <c r="H12" s="1910"/>
      <c r="I12" s="1910"/>
      <c r="J12" s="1781">
        <f>B12-C12</f>
        <v>-53051628835.13723</v>
      </c>
      <c r="K12" s="1781">
        <f>D12-E12</f>
        <v>-77915666860.140686</v>
      </c>
      <c r="L12" s="1781">
        <f>E12-F12</f>
        <v>8032948582.9006958</v>
      </c>
      <c r="M12" s="1781">
        <f>F12-G12</f>
        <v>-36527190782.160019</v>
      </c>
      <c r="N12" s="1911"/>
      <c r="O12" s="1782">
        <f>C12/J12</f>
        <v>0.13444228061361316</v>
      </c>
      <c r="P12" s="1782">
        <f>K12/E12</f>
        <v>2.5380586837199255</v>
      </c>
      <c r="Q12" s="1782">
        <f>L12/F12</f>
        <v>-0.2073989289958442</v>
      </c>
      <c r="R12" s="1782">
        <f>M12/G12</f>
        <v>16.568021488646202</v>
      </c>
      <c r="S12" s="1912"/>
      <c r="T12" s="1904"/>
    </row>
    <row r="13" spans="1:20">
      <c r="A13" s="1787"/>
      <c r="B13" s="1906"/>
      <c r="C13" s="1906"/>
      <c r="D13" s="1913"/>
      <c r="E13" s="1914"/>
      <c r="F13" s="1915"/>
      <c r="G13" s="1916"/>
      <c r="H13" s="1917"/>
      <c r="I13" s="1917"/>
      <c r="J13" s="1781"/>
      <c r="K13" s="1781"/>
      <c r="L13" s="1781"/>
      <c r="M13" s="1781"/>
      <c r="N13" s="1918"/>
      <c r="O13" s="1782"/>
      <c r="P13" s="1782"/>
      <c r="Q13" s="1782"/>
      <c r="R13" s="1782"/>
      <c r="S13" s="1903"/>
      <c r="T13" s="1904"/>
    </row>
    <row r="14" spans="1:20">
      <c r="A14" s="1897" t="s">
        <v>138</v>
      </c>
      <c r="B14" s="1919"/>
      <c r="C14" s="1919"/>
      <c r="D14" s="1899"/>
      <c r="E14" s="1920"/>
      <c r="F14" s="1921"/>
      <c r="G14" s="1792"/>
      <c r="H14" s="1917"/>
      <c r="I14" s="1917"/>
      <c r="J14" s="1781"/>
      <c r="K14" s="1781"/>
      <c r="L14" s="1781"/>
      <c r="M14" s="1781"/>
      <c r="N14" s="1918"/>
      <c r="O14" s="1782"/>
      <c r="P14" s="1782"/>
      <c r="Q14" s="1782"/>
      <c r="R14" s="1782"/>
      <c r="S14" s="1903"/>
      <c r="T14" s="1904"/>
    </row>
    <row r="15" spans="1:20" ht="12">
      <c r="A15" s="1787" t="s">
        <v>139</v>
      </c>
      <c r="B15" s="1906">
        <f>'CF Konsol'!H37</f>
        <v>7022707423</v>
      </c>
      <c r="C15" s="1906">
        <f>'CF Konsol'!J37</f>
        <v>-149115000</v>
      </c>
      <c r="D15" s="1913">
        <f>'CF Konsol'!F37</f>
        <v>6852707423</v>
      </c>
      <c r="E15" s="1920">
        <v>-149115000</v>
      </c>
      <c r="F15" s="1921">
        <v>-337817118</v>
      </c>
      <c r="G15" s="1792">
        <v>-17752124084.160019</v>
      </c>
      <c r="H15" s="1910"/>
      <c r="I15" s="1910"/>
      <c r="J15" s="1781">
        <f>B15-C15</f>
        <v>7171822423</v>
      </c>
      <c r="K15" s="1781">
        <f>D15-E15</f>
        <v>7001822423</v>
      </c>
      <c r="L15" s="1781">
        <f>E15-F15</f>
        <v>188702118</v>
      </c>
      <c r="M15" s="1781">
        <f>F15-G15</f>
        <v>17414306966.160019</v>
      </c>
      <c r="N15" s="1911"/>
      <c r="O15" s="1782">
        <f>C15/J15</f>
        <v>-2.079178641146899E-2</v>
      </c>
      <c r="P15" s="1782">
        <f>K15/E15</f>
        <v>-46.955855701974983</v>
      </c>
      <c r="Q15" s="1782">
        <f>L15/F15</f>
        <v>-0.55859252816193883</v>
      </c>
      <c r="R15" s="1782">
        <f>M15/G15</f>
        <v>-0.98097032690857378</v>
      </c>
      <c r="S15" s="1912"/>
      <c r="T15" s="1904"/>
    </row>
    <row r="16" spans="1:20" ht="12">
      <c r="A16" s="1787"/>
      <c r="B16" s="1906"/>
      <c r="C16" s="1906"/>
      <c r="D16" s="1913"/>
      <c r="E16" s="1921"/>
      <c r="F16" s="1921"/>
      <c r="G16" s="1922"/>
      <c r="H16" s="1910"/>
      <c r="I16" s="1923"/>
      <c r="J16" s="1781"/>
      <c r="K16" s="1781"/>
      <c r="L16" s="1781"/>
      <c r="M16" s="1781"/>
      <c r="N16" s="1695"/>
      <c r="O16" s="1782"/>
      <c r="P16" s="1782"/>
      <c r="Q16" s="1782"/>
      <c r="R16" s="1782"/>
      <c r="S16" s="1695"/>
      <c r="T16" s="1912"/>
    </row>
    <row r="17" spans="1:23">
      <c r="A17" s="1897" t="s">
        <v>140</v>
      </c>
      <c r="B17" s="1919"/>
      <c r="C17" s="1919"/>
      <c r="D17" s="1899"/>
      <c r="E17" s="1915"/>
      <c r="F17" s="1915"/>
      <c r="G17" s="1916"/>
      <c r="H17" s="1917"/>
      <c r="I17" s="1924"/>
      <c r="J17" s="1781"/>
      <c r="K17" s="1781"/>
      <c r="L17" s="1781"/>
      <c r="M17" s="1781"/>
      <c r="N17" s="1925"/>
      <c r="O17" s="1782"/>
      <c r="P17" s="1782"/>
      <c r="Q17" s="1782"/>
      <c r="R17" s="1782"/>
      <c r="S17" s="1925"/>
      <c r="T17" s="1903"/>
    </row>
    <row r="18" spans="1:23" ht="12">
      <c r="A18" s="1787" t="s">
        <v>141</v>
      </c>
      <c r="B18" s="1906">
        <f>'CF Konsol'!H61</f>
        <v>63778570427</v>
      </c>
      <c r="C18" s="1906">
        <f>'CF Konsol'!J61</f>
        <v>5175401254</v>
      </c>
      <c r="D18" s="1913">
        <f>'CF Konsol'!F61</f>
        <v>100109970078</v>
      </c>
      <c r="E18" s="1920">
        <v>28497689903</v>
      </c>
      <c r="F18" s="1788">
        <v>39017311591</v>
      </c>
      <c r="G18" s="1792">
        <v>19415033454</v>
      </c>
      <c r="H18" s="1910"/>
      <c r="I18" s="1910"/>
      <c r="J18" s="1781">
        <f>B18-C18</f>
        <v>58603169173</v>
      </c>
      <c r="K18" s="1781">
        <f>D18-E18</f>
        <v>71612280175</v>
      </c>
      <c r="L18" s="1781">
        <f>E18-F18</f>
        <v>-10519621688</v>
      </c>
      <c r="M18" s="1781">
        <f>F18-G18</f>
        <v>19602278137</v>
      </c>
      <c r="N18" s="1911"/>
      <c r="O18" s="1782">
        <f>C18/J18</f>
        <v>8.8312651466372252E-2</v>
      </c>
      <c r="P18" s="1782">
        <f>K18/E18</f>
        <v>2.512915272036182</v>
      </c>
      <c r="Q18" s="1782">
        <f>L18/F18</f>
        <v>-0.26961421120635404</v>
      </c>
      <c r="R18" s="1782">
        <f>M18/G18</f>
        <v>1.0096443142085558</v>
      </c>
      <c r="S18" s="1912"/>
      <c r="T18" s="1904"/>
    </row>
    <row r="19" spans="1:23">
      <c r="A19" s="1789"/>
      <c r="B19" s="1926"/>
      <c r="C19" s="1926"/>
      <c r="D19" s="1927"/>
      <c r="E19" s="1914"/>
      <c r="F19" s="1915"/>
      <c r="G19" s="1916"/>
      <c r="H19" s="1917"/>
      <c r="I19" s="1917"/>
      <c r="J19" s="1781"/>
      <c r="K19" s="1781"/>
      <c r="L19" s="1781"/>
      <c r="M19" s="1781"/>
      <c r="N19" s="1918"/>
      <c r="O19" s="1782"/>
      <c r="P19" s="1782"/>
      <c r="Q19" s="1782"/>
      <c r="R19" s="1782"/>
      <c r="S19" s="1903"/>
      <c r="T19" s="1904"/>
    </row>
    <row r="20" spans="1:23">
      <c r="A20" s="1897" t="s">
        <v>142</v>
      </c>
      <c r="B20" s="1919">
        <f>'CF Konsol'!H65</f>
        <v>10617267044</v>
      </c>
      <c r="C20" s="1919">
        <f>'CF Konsol'!J65</f>
        <v>-2106095716.8627701</v>
      </c>
      <c r="D20" s="1899">
        <f>'CF Konsol'!F65</f>
        <v>-1651911870.2399902</v>
      </c>
      <c r="E20" s="1914">
        <v>-2350347608.0993042</v>
      </c>
      <c r="F20" s="1914">
        <v>-52376621</v>
      </c>
      <c r="G20" s="1928">
        <v>-541770942</v>
      </c>
      <c r="H20" s="1910"/>
      <c r="I20" s="1910"/>
      <c r="J20" s="1781">
        <f>B20-C20</f>
        <v>12723362760.86277</v>
      </c>
      <c r="K20" s="1790">
        <f>D20-E20</f>
        <v>698435737.85931396</v>
      </c>
      <c r="L20" s="1790">
        <f>E20-F20</f>
        <v>-2297970987.0993042</v>
      </c>
      <c r="M20" s="1790">
        <f>F20-G20</f>
        <v>489394321</v>
      </c>
      <c r="N20" s="1918"/>
      <c r="O20" s="1782">
        <f>C20/J20</f>
        <v>-0.16552980186505001</v>
      </c>
      <c r="P20" s="1791">
        <f>K20/E20</f>
        <v>-0.29716274114199215</v>
      </c>
      <c r="Q20" s="1791">
        <f>L20/F20</f>
        <v>43.873983147925948</v>
      </c>
      <c r="R20" s="1791">
        <f>M20/G20</f>
        <v>-0.90332331075814698</v>
      </c>
      <c r="S20" s="1903"/>
      <c r="T20" s="1904"/>
    </row>
    <row r="21" spans="1:23">
      <c r="A21" s="1897"/>
      <c r="B21" s="1919"/>
      <c r="C21" s="1919"/>
      <c r="D21" s="1899"/>
      <c r="E21" s="1914"/>
      <c r="F21" s="1915"/>
      <c r="G21" s="1916"/>
      <c r="H21" s="1917"/>
      <c r="I21" s="1917"/>
      <c r="J21" s="1781"/>
      <c r="K21" s="1790"/>
      <c r="L21" s="1790"/>
      <c r="M21" s="1790"/>
      <c r="N21" s="1918"/>
      <c r="O21" s="1791"/>
      <c r="P21" s="1791"/>
      <c r="Q21" s="1791"/>
      <c r="R21" s="1791"/>
      <c r="S21" s="1903"/>
      <c r="T21" s="1904"/>
    </row>
    <row r="22" spans="1:23">
      <c r="A22" s="1897" t="s">
        <v>143</v>
      </c>
      <c r="B22" s="1919">
        <f>'CF Konsol'!H69</f>
        <v>2570121355</v>
      </c>
      <c r="C22" s="1919">
        <f>'CF Konsol'!J69</f>
        <v>4920468963</v>
      </c>
      <c r="D22" s="1899">
        <f>'CF Konsol'!F69</f>
        <v>2570121355</v>
      </c>
      <c r="E22" s="1914">
        <v>4920468962.9999981</v>
      </c>
      <c r="F22" s="1915">
        <v>4972845583.9999981</v>
      </c>
      <c r="G22" s="1916">
        <v>5514616525.9999981</v>
      </c>
      <c r="H22" s="1910"/>
      <c r="I22" s="1910"/>
      <c r="J22" s="1781">
        <f>B22-C22</f>
        <v>-2350347608</v>
      </c>
      <c r="K22" s="1790">
        <f>D22-E22</f>
        <v>-2350347607.9999981</v>
      </c>
      <c r="L22" s="1790">
        <f>E22-F22</f>
        <v>-52376621</v>
      </c>
      <c r="M22" s="1790">
        <f>F22-G22</f>
        <v>-541770942</v>
      </c>
      <c r="N22" s="1918"/>
      <c r="O22" s="1782">
        <f>C22/J22</f>
        <v>-2.0935069120209899</v>
      </c>
      <c r="P22" s="1791">
        <f>K22/E22</f>
        <v>-0.47766739830566818</v>
      </c>
      <c r="Q22" s="1791">
        <f>L22/F22</f>
        <v>-1.053252511369354E-2</v>
      </c>
      <c r="R22" s="1791">
        <f>M22/G22</f>
        <v>-9.8242722670867394E-2</v>
      </c>
      <c r="S22" s="1903"/>
      <c r="T22" s="1904"/>
      <c r="V22" s="1683"/>
      <c r="W22" s="1929"/>
    </row>
    <row r="23" spans="1:23">
      <c r="A23" s="1789"/>
      <c r="B23" s="1926"/>
      <c r="C23" s="1926"/>
      <c r="D23" s="1927"/>
      <c r="E23" s="1914"/>
      <c r="F23" s="1915"/>
      <c r="G23" s="1916"/>
      <c r="H23" s="1917"/>
      <c r="I23" s="1917"/>
      <c r="J23" s="1781"/>
      <c r="K23" s="1790"/>
      <c r="L23" s="1790"/>
      <c r="M23" s="1790"/>
      <c r="N23" s="1918"/>
      <c r="O23" s="1791"/>
      <c r="P23" s="1791"/>
      <c r="Q23" s="1791"/>
      <c r="R23" s="1791"/>
      <c r="S23" s="1903"/>
      <c r="T23" s="1904"/>
    </row>
    <row r="24" spans="1:23" ht="12" thickBot="1">
      <c r="A24" s="1930" t="s">
        <v>144</v>
      </c>
      <c r="B24" s="1931">
        <f>'CF Konsol'!H73</f>
        <v>13187388399</v>
      </c>
      <c r="C24" s="1931">
        <f>'CF Konsol'!J73</f>
        <v>2814373246.1372299</v>
      </c>
      <c r="D24" s="1932">
        <f>'CF Konsol'!F73</f>
        <v>918209485</v>
      </c>
      <c r="E24" s="1933">
        <v>2570121354.9006939</v>
      </c>
      <c r="F24" s="1933">
        <v>4920468962.9999981</v>
      </c>
      <c r="G24" s="1934">
        <v>4972845583.9999981</v>
      </c>
      <c r="H24" s="1910"/>
      <c r="I24" s="1910"/>
      <c r="J24" s="1725">
        <f>B24-C24</f>
        <v>10373015152.86277</v>
      </c>
      <c r="K24" s="1794">
        <f>D24-E24</f>
        <v>-1651911869.9006939</v>
      </c>
      <c r="L24" s="1794">
        <f>E24-F24</f>
        <v>-2350347608.0993042</v>
      </c>
      <c r="M24" s="1794">
        <f>F24-G24</f>
        <v>-52376621</v>
      </c>
      <c r="N24" s="1918"/>
      <c r="O24" s="1726">
        <f>C24/J24</f>
        <v>0.27131679696433414</v>
      </c>
      <c r="P24" s="1795">
        <f>K24/E24</f>
        <v>-0.64273691464056237</v>
      </c>
      <c r="Q24" s="1795">
        <f>L24/F24</f>
        <v>-0.47766739832585042</v>
      </c>
      <c r="R24" s="1795">
        <f>M24/G24</f>
        <v>-1.053252511369354E-2</v>
      </c>
      <c r="S24" s="1903"/>
      <c r="T24" s="1904"/>
    </row>
    <row r="25" spans="1:23" ht="12">
      <c r="A25" s="2353"/>
      <c r="B25" s="2354"/>
      <c r="C25" s="2354"/>
      <c r="D25" s="2354"/>
      <c r="E25" s="2354"/>
      <c r="F25" s="2354"/>
      <c r="G25" s="2355"/>
    </row>
    <row r="26" spans="1:23" ht="12.6" thickBot="1">
      <c r="A26" s="2356" t="s">
        <v>132</v>
      </c>
      <c r="B26" s="2357"/>
      <c r="C26" s="2357"/>
      <c r="D26" s="2357"/>
      <c r="E26" s="2357"/>
      <c r="F26" s="2357"/>
      <c r="G26" s="2358"/>
    </row>
    <row r="34" spans="1:7">
      <c r="A34" s="1674"/>
      <c r="B34" s="1674"/>
      <c r="C34" s="1674"/>
      <c r="D34" s="1674"/>
      <c r="E34" s="1674"/>
      <c r="F34" s="1674"/>
      <c r="G34" s="1674"/>
    </row>
  </sheetData>
  <mergeCells count="6">
    <mergeCell ref="O8:R8"/>
    <mergeCell ref="A25:G25"/>
    <mergeCell ref="A26:G26"/>
    <mergeCell ref="A7:A9"/>
    <mergeCell ref="J8:M8"/>
    <mergeCell ref="D7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4CEF-4C1E-4322-BA5D-6A543FBA9AC2}">
  <sheetPr>
    <tabColor theme="1"/>
  </sheetPr>
  <dimension ref="B1:G31"/>
  <sheetViews>
    <sheetView showGridLines="0" workbookViewId="0">
      <pane xSplit="2" ySplit="5" topLeftCell="C18" activePane="bottomRight" state="frozen"/>
      <selection pane="bottomRight" activeCell="C29" sqref="C29"/>
      <selection pane="bottomLeft" activeCell="A8" sqref="A8"/>
      <selection pane="topRight" activeCell="C1" sqref="C1"/>
    </sheetView>
  </sheetViews>
  <sheetFormatPr defaultColWidth="9.42578125" defaultRowHeight="11.45"/>
  <cols>
    <col min="1" max="1" width="2.5703125" style="1672" customWidth="1"/>
    <col min="2" max="2" width="62.5703125" style="1672" customWidth="1"/>
    <col min="3" max="3" width="9.5703125" style="1672" customWidth="1"/>
    <col min="4" max="4" width="10.42578125" style="1672" bestFit="1" customWidth="1"/>
    <col min="5" max="6" width="9.42578125" style="1672"/>
    <col min="7" max="7" width="16.42578125" style="1672" customWidth="1"/>
    <col min="8" max="8" width="9.42578125" style="1672"/>
    <col min="9" max="9" width="29" style="1672" customWidth="1"/>
    <col min="10" max="16384" width="9.42578125" style="1672"/>
  </cols>
  <sheetData>
    <row r="1" spans="2:7">
      <c r="B1" s="1671" t="s">
        <v>45</v>
      </c>
      <c r="C1" s="1671"/>
    </row>
    <row r="2" spans="2:7">
      <c r="B2" s="1671" t="s">
        <v>145</v>
      </c>
      <c r="C2" s="1671"/>
    </row>
    <row r="3" spans="2:7" ht="12" thickBot="1"/>
    <row r="4" spans="2:7" ht="15.75" customHeight="1" thickBot="1">
      <c r="B4" s="2368" t="s">
        <v>48</v>
      </c>
      <c r="C4" s="2370" t="s">
        <v>49</v>
      </c>
      <c r="D4" s="2371"/>
      <c r="E4" s="2371"/>
      <c r="F4" s="2372"/>
    </row>
    <row r="5" spans="2:7" ht="12" thickBot="1">
      <c r="B5" s="2369"/>
      <c r="C5" s="1833">
        <v>2024</v>
      </c>
      <c r="D5" s="1834">
        <v>2023</v>
      </c>
      <c r="E5" s="1834">
        <v>2022</v>
      </c>
      <c r="F5" s="1834">
        <v>2021</v>
      </c>
    </row>
    <row r="6" spans="2:7">
      <c r="B6" s="1835" t="s">
        <v>146</v>
      </c>
      <c r="C6" s="1836"/>
      <c r="D6" s="1837"/>
      <c r="E6" s="1837"/>
      <c r="F6" s="1838"/>
    </row>
    <row r="7" spans="2:7">
      <c r="B7" s="1839" t="s">
        <v>147</v>
      </c>
      <c r="C7" s="1840">
        <f>'PL-Analysis'!D25/'LPK Analysis'!C26</f>
        <v>8.0347118998816153E-4</v>
      </c>
      <c r="D7" s="1840">
        <f>'PL-Analysis'!E25/'LPK Analysis'!D26</f>
        <v>5.0545131931296929E-3</v>
      </c>
      <c r="E7" s="1840">
        <f>'PL-Analysis'!F25/'LPK Analysis'!E26</f>
        <v>1.6938164597891839E-2</v>
      </c>
      <c r="F7" s="1841">
        <f>'PL-Analysis'!G25/'LPK Analysis'!F26</f>
        <v>1.2695289867577677E-2</v>
      </c>
      <c r="G7" s="1842"/>
    </row>
    <row r="8" spans="2:7">
      <c r="B8" s="1839" t="s">
        <v>148</v>
      </c>
      <c r="C8" s="1840">
        <f>'PL-Analysis'!D25/'LPK Analysis'!C65</f>
        <v>1.9472662110815778E-3</v>
      </c>
      <c r="D8" s="1840">
        <f>'PL-Analysis'!E25/'LPK Analysis'!D65</f>
        <v>1.5970229133202025E-2</v>
      </c>
      <c r="E8" s="1840">
        <f>'PL-Analysis'!F25/'LPK Analysis'!E65</f>
        <v>4.8450347091140544E-2</v>
      </c>
      <c r="F8" s="1841">
        <f>'PL-Analysis'!G25/'LPK Analysis'!F65</f>
        <v>3.299741973177435E-2</v>
      </c>
      <c r="G8" s="1842"/>
    </row>
    <row r="9" spans="2:7">
      <c r="B9" s="1839" t="s">
        <v>149</v>
      </c>
      <c r="C9" s="1843">
        <f>'PL-Analysis'!D25/'PL-Analysis'!D10</f>
        <v>1.0811507104521991E-3</v>
      </c>
      <c r="D9" s="1840">
        <f>'PL-Analysis'!E25/'PL-Analysis'!E10</f>
        <v>8.7613036849786014E-3</v>
      </c>
      <c r="E9" s="1840">
        <f>'PL-Analysis'!F25/'PL-Analysis'!F10</f>
        <v>1.363051835296422E-2</v>
      </c>
      <c r="F9" s="1841">
        <f>'PL-Analysis'!G25/'PL-Analysis'!G10</f>
        <v>1.0975840806736508E-2</v>
      </c>
      <c r="G9" s="1842"/>
    </row>
    <row r="10" spans="2:7">
      <c r="B10" s="1839" t="s">
        <v>150</v>
      </c>
      <c r="C10" s="1843">
        <f>'PL-Analysis'!D12/'PL-Analysis'!D10</f>
        <v>0.23445382073275384</v>
      </c>
      <c r="D10" s="1840">
        <f>'PL-Analysis'!E12/'PL-Analysis'!E10</f>
        <v>0.32631034341435039</v>
      </c>
      <c r="E10" s="1840">
        <f>'PL-Analysis'!F12/'PL-Analysis'!F10</f>
        <v>0.22051538495738268</v>
      </c>
      <c r="F10" s="1841">
        <f>'PL-Analysis'!G12/'PL-Analysis'!G10</f>
        <v>0.22495715723725057</v>
      </c>
    </row>
    <row r="11" spans="2:7">
      <c r="B11" s="1839" t="s">
        <v>151</v>
      </c>
      <c r="C11" s="1840">
        <f>'PL-Analysis'!D25/'PL-Analysis'!D10</f>
        <v>1.0811507104521991E-3</v>
      </c>
      <c r="D11" s="1840">
        <f>'PL-Analysis'!E25/'PL-Analysis'!E10</f>
        <v>8.7613036849786014E-3</v>
      </c>
      <c r="E11" s="1840">
        <f>'PL-Analysis'!F25/'PL-Analysis'!F10</f>
        <v>1.363051835296422E-2</v>
      </c>
      <c r="F11" s="1841">
        <f>'PL-Analysis'!G25/'PL-Analysis'!G10</f>
        <v>1.0975840806736508E-2</v>
      </c>
      <c r="G11" s="1844"/>
    </row>
    <row r="12" spans="2:7">
      <c r="B12" s="1845" t="s">
        <v>152</v>
      </c>
      <c r="C12" s="1843">
        <f>'Rasio DSCR'!B23</f>
        <v>8.8497868623575185E-2</v>
      </c>
      <c r="D12" s="1843">
        <f>'Rasio DSCR'!C23</f>
        <v>0.14611871249052788</v>
      </c>
      <c r="E12" s="1843">
        <f>'Rasio DSCR'!D23</f>
        <v>8.2938641678856381E-2</v>
      </c>
      <c r="F12" s="1846">
        <f>'Rasio DSCR'!E23</f>
        <v>7.7944211676425804E-2</v>
      </c>
    </row>
    <row r="13" spans="2:7">
      <c r="B13" s="1847"/>
      <c r="C13" s="1848"/>
      <c r="D13" s="1849"/>
      <c r="E13" s="1849"/>
      <c r="F13" s="1850"/>
    </row>
    <row r="14" spans="2:7">
      <c r="B14" s="1851" t="s">
        <v>153</v>
      </c>
      <c r="C14" s="1852"/>
      <c r="D14" s="1853"/>
      <c r="E14" s="1853"/>
      <c r="F14" s="1854"/>
    </row>
    <row r="15" spans="2:7">
      <c r="B15" s="1855" t="s">
        <v>154</v>
      </c>
      <c r="C15" s="1856">
        <f>'LPK Analysis'!C53/'LPK Analysis'!C26</f>
        <v>0.59483232144104203</v>
      </c>
      <c r="D15" s="1857">
        <f>'LPK Analysis'!D53/'LPK Analysis'!D26</f>
        <v>0.68350402796385001</v>
      </c>
      <c r="E15" s="1857">
        <f>'LPK Analysis'!E53/'LPK Analysis'!E26</f>
        <v>0.65040158399630765</v>
      </c>
      <c r="F15" s="1858">
        <f>'LPK Analysis'!F53/'LPK Analysis'!F26</f>
        <v>0.61526416396270689</v>
      </c>
    </row>
    <row r="16" spans="2:7">
      <c r="B16" s="1855" t="s">
        <v>155</v>
      </c>
      <c r="C16" s="1856">
        <f>'LPK Analysis'!C53/'LPK Analysis'!C65</f>
        <v>1.4416159474472552</v>
      </c>
      <c r="D16" s="1853">
        <f>'LPK Analysis'!D53/'LPK Analysis'!D65</f>
        <v>2.159597872825084</v>
      </c>
      <c r="E16" s="1853">
        <f>'LPK Analysis'!E53/'LPK Analysis'!E65</f>
        <v>1.860424859560686</v>
      </c>
      <c r="F16" s="1854">
        <f>'LPK Analysis'!F53/'LPK Analysis'!F65</f>
        <v>1.5991860033102512</v>
      </c>
    </row>
    <row r="17" spans="2:7">
      <c r="B17" s="1859" t="s">
        <v>156</v>
      </c>
      <c r="C17" s="1860">
        <f>'Rasio DSCR'!B10</f>
        <v>2.5346307126608306E-2</v>
      </c>
      <c r="D17" s="1857">
        <f>'Rasio DSCR'!C10</f>
        <v>3.6221535973813848E-2</v>
      </c>
      <c r="E17" s="1857">
        <f>'Rasio DSCR'!D10</f>
        <v>5.2715428725730741E-2</v>
      </c>
      <c r="F17" s="1858">
        <f>'Rasio DSCR'!E10</f>
        <v>4.0564102975313175E-2</v>
      </c>
    </row>
    <row r="18" spans="2:7">
      <c r="B18" s="1859" t="s">
        <v>157</v>
      </c>
      <c r="C18" s="1860">
        <f>'Rasio DSCR'!B11</f>
        <v>1.1320278042224523</v>
      </c>
      <c r="D18" s="1857">
        <f>'Rasio DSCR'!C11</f>
        <v>1.1807382643480473</v>
      </c>
      <c r="E18" s="1857">
        <f>'Rasio DSCR'!D11</f>
        <v>1.5437313489133682</v>
      </c>
      <c r="F18" s="1858">
        <f>'Rasio DSCR'!E11</f>
        <v>1.5086179525745527</v>
      </c>
    </row>
    <row r="19" spans="2:7">
      <c r="B19" s="1855"/>
      <c r="C19" s="1860"/>
      <c r="D19" s="1857"/>
      <c r="E19" s="1857"/>
      <c r="F19" s="1858"/>
    </row>
    <row r="20" spans="2:7">
      <c r="B20" s="1861"/>
      <c r="C20" s="1862"/>
      <c r="D20" s="1853"/>
      <c r="E20" s="1853"/>
      <c r="F20" s="1854"/>
    </row>
    <row r="21" spans="2:7">
      <c r="B21" s="1863" t="s">
        <v>158</v>
      </c>
      <c r="C21" s="1864"/>
      <c r="D21" s="1865"/>
      <c r="E21" s="1865"/>
      <c r="F21" s="1866"/>
    </row>
    <row r="22" spans="2:7">
      <c r="B22" s="1839" t="s">
        <v>159</v>
      </c>
      <c r="C22" s="1856">
        <f>'LPK Analysis'!C20/'LPK Analysis'!C42</f>
        <v>1.4430890944582955</v>
      </c>
      <c r="D22" s="1867">
        <f>'LPK Analysis'!D20/'LPK Analysis'!D42</f>
        <v>1.1568289091213635</v>
      </c>
      <c r="E22" s="1867">
        <f>'LPK Analysis'!E20/'LPK Analysis'!E42</f>
        <v>1.1750271583797613</v>
      </c>
      <c r="F22" s="1868">
        <f>'LPK Analysis'!F20/'LPK Analysis'!F42</f>
        <v>1.1738048212382259</v>
      </c>
      <c r="G22" s="1671" t="s">
        <v>160</v>
      </c>
    </row>
    <row r="23" spans="2:7">
      <c r="B23" s="1839" t="s">
        <v>161</v>
      </c>
      <c r="C23" s="1856">
        <f>'LPK Analysis'!C10/'LPK Analysis'!C42</f>
        <v>3.701343031095281E-3</v>
      </c>
      <c r="D23" s="1840">
        <f>'LPK Analysis'!D10/'LPK Analysis'!D42</f>
        <v>1.136755621450748E-2</v>
      </c>
      <c r="E23" s="1840">
        <f>'LPK Analysis'!E10/'LPK Analysis'!E42</f>
        <v>2.7053180344277342E-2</v>
      </c>
      <c r="F23" s="1841">
        <f>'LPK Analysis'!F10/'LPK Analysis'!F42</f>
        <v>3.6916963889980385E-2</v>
      </c>
    </row>
    <row r="24" spans="2:7">
      <c r="B24" s="1839"/>
      <c r="C24" s="1856"/>
      <c r="D24" s="1840"/>
      <c r="E24" s="1840"/>
      <c r="F24" s="1841"/>
    </row>
    <row r="25" spans="2:7">
      <c r="B25" s="1869"/>
      <c r="C25" s="1870"/>
      <c r="D25" s="1871"/>
      <c r="E25" s="1871"/>
      <c r="F25" s="1872"/>
    </row>
    <row r="26" spans="2:7">
      <c r="B26" s="1845" t="s">
        <v>162</v>
      </c>
      <c r="C26" s="1873"/>
      <c r="D26" s="1871"/>
      <c r="E26" s="1871"/>
      <c r="F26" s="1872"/>
    </row>
    <row r="27" spans="2:7">
      <c r="B27" s="1839" t="s">
        <v>163</v>
      </c>
      <c r="C27" s="1874">
        <f>('PL-Analysis'!D10-'PL-Analysis'!E10)/'PL-Analysis'!E10</f>
        <v>0.61909290839559228</v>
      </c>
      <c r="D27" s="1840">
        <f>('PL-Analysis'!E10-'PL-Analysis'!F10)/'PL-Analysis'!F10</f>
        <v>-0.47890580072357164</v>
      </c>
      <c r="E27" s="1840">
        <f>('PL-Analysis'!F10-'PL-Analysis'!G10)/'PL-Analysis'!G10</f>
        <v>0.25814859845735716</v>
      </c>
      <c r="F27" s="1841"/>
    </row>
    <row r="28" spans="2:7">
      <c r="B28" s="1839" t="s">
        <v>164</v>
      </c>
      <c r="C28" s="1874">
        <f>('PL-Analysis'!D12-'PL-Analysis'!E12)/'PL-Analysis'!E12</f>
        <v>0.1633174557774659</v>
      </c>
      <c r="D28" s="1840">
        <f>('PL-Analysis'!E12-'PL-Analysis'!F12)/'PL-Analysis'!F12</f>
        <v>-0.22890447235697731</v>
      </c>
      <c r="E28" s="1840">
        <f>('PL-Analysis'!F12-'PL-Analysis'!G12)/'PL-Analysis'!G12</f>
        <v>0.23330649235495507</v>
      </c>
      <c r="F28" s="1841"/>
    </row>
    <row r="29" spans="2:7">
      <c r="B29" s="1839" t="s">
        <v>165</v>
      </c>
      <c r="C29" s="1874">
        <f>('PL-Analysis'!D25-'PL-Analysis'!E25)/'PL-Analysis'!E25</f>
        <v>-0.80020285665919277</v>
      </c>
      <c r="D29" s="1840">
        <f>('PL-Analysis'!E25-'PL-Analysis'!F25)/'PL-Analysis'!F25</f>
        <v>-0.66505569266566478</v>
      </c>
      <c r="E29" s="1840">
        <f>('PL-Analysis'!F25-'PL-Analysis'!G25)/'PL-Analysis'!G25</f>
        <v>0.56245137516059385</v>
      </c>
      <c r="F29" s="1841"/>
    </row>
    <row r="30" spans="2:7">
      <c r="B30" s="1839" t="s">
        <v>166</v>
      </c>
      <c r="C30" s="1874">
        <f>('LPK Analysis'!C26-'LPK Analysis'!D26)/'LPK Analysis'!D26</f>
        <v>0.25689297830406854</v>
      </c>
      <c r="D30" s="1875">
        <f>('LPK Analysis'!D26-'LPK Analysis'!E26)/'LPK Analysis'!E26</f>
        <v>0.12243090323065847</v>
      </c>
      <c r="E30" s="1875">
        <f>('LPK Analysis'!E26-'LPK Analysis'!F26)/'LPK Analysis'!F26</f>
        <v>0.17106980493789162</v>
      </c>
      <c r="F30" s="1841"/>
    </row>
    <row r="31" spans="2:7" ht="12" thickBot="1">
      <c r="B31" s="1876" t="s">
        <v>167</v>
      </c>
      <c r="C31" s="1877">
        <f>('LPK Analysis'!C53-'LPK Analysis'!D53)/'LPK Analysis'!D53</f>
        <v>9.3834911719198444E-2</v>
      </c>
      <c r="D31" s="1877">
        <f>('LPK Analysis'!D53-'LPK Analysis'!E53)/'LPK Analysis'!E53</f>
        <v>0.17955746472107714</v>
      </c>
      <c r="E31" s="1877">
        <f>('LPK Analysis'!E53-'LPK Analysis'!F53)/'LPK Analysis'!F53</f>
        <v>0.23794899933099095</v>
      </c>
      <c r="F31" s="1878"/>
    </row>
  </sheetData>
  <mergeCells count="2">
    <mergeCell ref="B4:B5"/>
    <mergeCell ref="C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B8E3-76D0-4ECC-AB19-9D62D6E7DAA2}">
  <sheetPr>
    <tabColor theme="1" tint="4.9989318521683403E-2"/>
  </sheetPr>
  <dimension ref="A1:E29"/>
  <sheetViews>
    <sheetView showGridLines="0" workbookViewId="0">
      <pane xSplit="1" ySplit="6" topLeftCell="B20" activePane="bottomRight" state="frozen"/>
      <selection pane="bottomRight" activeCell="J23" sqref="J23"/>
      <selection pane="bottomLeft" activeCell="A8" sqref="A8"/>
      <selection pane="topRight" activeCell="B1" sqref="B1"/>
    </sheetView>
  </sheetViews>
  <sheetFormatPr defaultColWidth="8.5703125" defaultRowHeight="14.1"/>
  <cols>
    <col min="1" max="1" width="35.42578125" style="1336" bestFit="1" customWidth="1"/>
    <col min="2" max="2" width="14" style="1336" customWidth="1"/>
    <col min="3" max="5" width="14.42578125" style="1336" customWidth="1"/>
    <col min="6" max="16384" width="8.5703125" style="1336"/>
  </cols>
  <sheetData>
    <row r="1" spans="1:5">
      <c r="A1" s="1673" t="s">
        <v>45</v>
      </c>
      <c r="B1" s="1673"/>
      <c r="C1" s="1879"/>
      <c r="D1" s="1879"/>
      <c r="E1" s="1879"/>
    </row>
    <row r="2" spans="1:5">
      <c r="A2" s="1673" t="s">
        <v>168</v>
      </c>
      <c r="B2" s="1673"/>
      <c r="C2" s="1879"/>
      <c r="D2" s="1879"/>
      <c r="E2" s="1879"/>
    </row>
    <row r="3" spans="1:5" ht="14.45" thickBot="1">
      <c r="A3" s="1879"/>
      <c r="B3" s="1879"/>
      <c r="C3" s="1879"/>
      <c r="D3" s="1879"/>
      <c r="E3" s="1879"/>
    </row>
    <row r="4" spans="1:5" ht="14.45" thickBot="1">
      <c r="A4" s="2373" t="s">
        <v>48</v>
      </c>
      <c r="B4" s="2374" t="s">
        <v>49</v>
      </c>
      <c r="C4" s="2374"/>
      <c r="D4" s="2374"/>
      <c r="E4" s="2374"/>
    </row>
    <row r="5" spans="1:5" ht="14.45" thickBot="1">
      <c r="A5" s="2373"/>
      <c r="B5" s="1831">
        <v>2024</v>
      </c>
      <c r="C5" s="1831" t="s">
        <v>107</v>
      </c>
      <c r="D5" s="1831" t="s">
        <v>108</v>
      </c>
      <c r="E5" s="1831" t="s">
        <v>109</v>
      </c>
    </row>
    <row r="6" spans="1:5" ht="14.45" thickBot="1">
      <c r="A6" s="2373"/>
      <c r="B6" s="1832" t="s">
        <v>110</v>
      </c>
      <c r="C6" s="1832" t="s">
        <v>110</v>
      </c>
      <c r="D6" s="1832" t="s">
        <v>110</v>
      </c>
      <c r="E6" s="1832" t="s">
        <v>110</v>
      </c>
    </row>
    <row r="7" spans="1:5">
      <c r="A7" s="1935" t="s">
        <v>169</v>
      </c>
      <c r="B7" s="1936">
        <f>B13</f>
        <v>20585441393.76001</v>
      </c>
      <c r="C7" s="1936">
        <f>C13</f>
        <v>18511023889</v>
      </c>
      <c r="D7" s="1936">
        <f>D13</f>
        <v>20692118015.535774</v>
      </c>
      <c r="E7" s="1936">
        <f>E13</f>
        <v>14108735683.601454</v>
      </c>
    </row>
    <row r="8" spans="1:5">
      <c r="A8" s="1880" t="s">
        <v>170</v>
      </c>
      <c r="B8" s="1881">
        <f>B16</f>
        <v>18184572249</v>
      </c>
      <c r="C8" s="1881">
        <f>C16</f>
        <v>15677499788</v>
      </c>
      <c r="D8" s="1881">
        <f>D16</f>
        <v>13403963086</v>
      </c>
      <c r="E8" s="1881">
        <f>E16</f>
        <v>9352093192</v>
      </c>
    </row>
    <row r="9" spans="1:5">
      <c r="A9" s="1880" t="s">
        <v>171</v>
      </c>
      <c r="B9" s="1881">
        <f>-'CF Konsol'!F43</f>
        <v>793982710777</v>
      </c>
      <c r="C9" s="1881">
        <f>-'CF Konsol'!P43</f>
        <v>495372719131</v>
      </c>
      <c r="D9" s="1881">
        <f>-'CF Konsol'!R43</f>
        <v>379120929829</v>
      </c>
      <c r="E9" s="1881">
        <f>-'CF Konsol'!T43</f>
        <v>338461235558</v>
      </c>
    </row>
    <row r="10" spans="1:5">
      <c r="A10" s="1880" t="s">
        <v>172</v>
      </c>
      <c r="B10" s="1882">
        <f t="shared" ref="B10" si="0">B7/(B8+B9)</f>
        <v>2.5346307126608306E-2</v>
      </c>
      <c r="C10" s="1882">
        <f>C7/(C8+C9)</f>
        <v>3.6221535973813848E-2</v>
      </c>
      <c r="D10" s="1882">
        <f>D7/(D8+D9)</f>
        <v>5.2715428725730741E-2</v>
      </c>
      <c r="E10" s="1882">
        <f>E7/(E8+E9)</f>
        <v>4.0564102975313175E-2</v>
      </c>
    </row>
    <row r="11" spans="1:5">
      <c r="A11" s="1880" t="s">
        <v>157</v>
      </c>
      <c r="B11" s="1882">
        <f t="shared" ref="B11" si="1">B7/B8</f>
        <v>1.1320278042224523</v>
      </c>
      <c r="C11" s="1882">
        <f>C7/C8</f>
        <v>1.1807382643480473</v>
      </c>
      <c r="D11" s="1882">
        <f>D7/D8</f>
        <v>1.5437313489133682</v>
      </c>
      <c r="E11" s="1882">
        <f>E7/E8</f>
        <v>1.5086179525745527</v>
      </c>
    </row>
    <row r="12" spans="1:5">
      <c r="A12" s="1673"/>
      <c r="B12" s="1883"/>
      <c r="C12" s="1883"/>
      <c r="D12" s="1883"/>
      <c r="E12" s="1883"/>
    </row>
    <row r="13" spans="1:5">
      <c r="A13" s="1879" t="s">
        <v>173</v>
      </c>
      <c r="B13" s="1884">
        <f>SUM(B15:B17)</f>
        <v>20585441393.76001</v>
      </c>
      <c r="C13" s="1884">
        <f>SUM(C15:C17)</f>
        <v>18511023889</v>
      </c>
      <c r="D13" s="1884">
        <f t="shared" ref="D13" si="2">SUM(D15:D17)</f>
        <v>20692118015.535774</v>
      </c>
      <c r="E13" s="1884">
        <f>SUM(E15:E17)</f>
        <v>14108735683.601454</v>
      </c>
    </row>
    <row r="14" spans="1:5">
      <c r="A14" s="1879" t="s">
        <v>174</v>
      </c>
      <c r="B14" s="1884">
        <f>B13+B18+B19</f>
        <v>28545891378.76001</v>
      </c>
      <c r="C14" s="1884">
        <f>C13+C18+C19</f>
        <v>29110178188</v>
      </c>
      <c r="D14" s="1884">
        <f>D13+D18+D19</f>
        <v>31708792701.535774</v>
      </c>
      <c r="E14" s="1884">
        <f>E13+E18+E19</f>
        <v>23685072537.601456</v>
      </c>
    </row>
    <row r="15" spans="1:5">
      <c r="A15" s="1885" t="s">
        <v>165</v>
      </c>
      <c r="B15" s="1886">
        <f>'PL-Analysis'!D25</f>
        <v>348736203.76000977</v>
      </c>
      <c r="C15" s="1886">
        <f>'PL-Analysis'!E25</f>
        <v>1745451401</v>
      </c>
      <c r="D15" s="1886">
        <f>'PL-Analysis'!F25</f>
        <v>5211169029.5357742</v>
      </c>
      <c r="E15" s="1886">
        <f>'PL-Analysis'!G25</f>
        <v>3335251971.6014543</v>
      </c>
    </row>
    <row r="16" spans="1:5">
      <c r="A16" s="1885" t="s">
        <v>175</v>
      </c>
      <c r="B16" s="1886">
        <f>-'PL-Analysis'!D16</f>
        <v>18184572249</v>
      </c>
      <c r="C16" s="1886">
        <f>-'PL-Analysis'!E16</f>
        <v>15677499788</v>
      </c>
      <c r="D16" s="1886">
        <f>-'PL-Analysis'!F16</f>
        <v>13403963086</v>
      </c>
      <c r="E16" s="1886">
        <f>-'PL-Analysis'!G16</f>
        <v>9352093192</v>
      </c>
    </row>
    <row r="17" spans="1:5">
      <c r="A17" s="1885" t="s">
        <v>176</v>
      </c>
      <c r="B17" s="1886">
        <f>-'PL-Analysis'!D19</f>
        <v>2052132941</v>
      </c>
      <c r="C17" s="1886">
        <f>-'PL-Analysis'!E19</f>
        <v>1088072700</v>
      </c>
      <c r="D17" s="1886">
        <f>-'PL-Analysis'!F19</f>
        <v>2076985900</v>
      </c>
      <c r="E17" s="1886">
        <f>-'PL-Analysis'!G19</f>
        <v>1421390520</v>
      </c>
    </row>
    <row r="18" spans="1:5">
      <c r="A18" s="1879" t="s">
        <v>177</v>
      </c>
      <c r="B18" s="1886">
        <f>'WS Konsol'!M619+'WS Konsol'!M715</f>
        <v>314859088</v>
      </c>
      <c r="C18" s="1886">
        <f>'WS Konsol'!AI619+'WS Konsol'!AI715</f>
        <v>314859087</v>
      </c>
      <c r="D18" s="1886">
        <f>'WS Konsol'!BF619+'WS Konsol'!BF715</f>
        <v>314859086</v>
      </c>
      <c r="E18" s="1886">
        <f>'WS Konsol'!BH619+'WS Konsol'!BH715</f>
        <v>314859087</v>
      </c>
    </row>
    <row r="19" spans="1:5">
      <c r="A19" s="1879" t="s">
        <v>178</v>
      </c>
      <c r="B19" s="1886">
        <f>SUM('WS Konsol'!M707:M714)+'WS Konsol'!M623+'WS Konsol'!M618</f>
        <v>7645590897</v>
      </c>
      <c r="C19" s="1886">
        <f>SUM('WS Konsol'!AI707:AI714)+'WS Konsol'!AI623+'WS Konsol'!AI618</f>
        <v>10284295212</v>
      </c>
      <c r="D19" s="1886">
        <f>'WS Konsol'!BF718+SUM('WS Konsol'!BF707:BF714)+'WS Konsol'!BF623+'WS Konsol'!BF618</f>
        <v>10701815600</v>
      </c>
      <c r="E19" s="1886">
        <f>'WS Konsol'!BH718+SUM('WS Konsol'!BH707:BH714)+'WS Konsol'!BH623+'WS Konsol'!BH618</f>
        <v>9261477767</v>
      </c>
    </row>
    <row r="20" spans="1:5">
      <c r="A20" s="1879"/>
      <c r="B20" s="1887"/>
      <c r="C20" s="1887"/>
      <c r="D20" s="1887"/>
      <c r="E20" s="1887"/>
    </row>
    <row r="21" spans="1:5">
      <c r="A21" s="1879"/>
      <c r="B21" s="1887"/>
      <c r="C21" s="1887"/>
      <c r="D21" s="1887"/>
      <c r="E21" s="1887"/>
    </row>
    <row r="22" spans="1:5">
      <c r="A22" s="1888" t="s">
        <v>179</v>
      </c>
      <c r="B22" s="1886">
        <f>'PL-Analysis'!D10</f>
        <v>322560213288.07001</v>
      </c>
      <c r="C22" s="1886">
        <f>'PL-Analysis'!E10</f>
        <v>199222794205</v>
      </c>
      <c r="D22" s="1886">
        <f>'PL-Analysis'!F10</f>
        <v>382316276945</v>
      </c>
      <c r="E22" s="1886">
        <f>'PL-Analysis'!G10</f>
        <v>303872116071</v>
      </c>
    </row>
    <row r="23" spans="1:5">
      <c r="A23" s="1879"/>
      <c r="B23" s="1889">
        <f>B14/B22</f>
        <v>8.8497868623575185E-2</v>
      </c>
      <c r="C23" s="1889">
        <f>C14/C22</f>
        <v>0.14611871249052788</v>
      </c>
      <c r="D23" s="1889">
        <f>D14/D22</f>
        <v>8.2938641678856381E-2</v>
      </c>
      <c r="E23" s="1889">
        <f>E14/E22</f>
        <v>7.7944211676425804E-2</v>
      </c>
    </row>
    <row r="24" spans="1:5">
      <c r="A24" s="1879"/>
      <c r="B24" s="1879"/>
      <c r="C24" s="1879"/>
      <c r="D24" s="1879"/>
      <c r="E24" s="1879"/>
    </row>
    <row r="25" spans="1:5">
      <c r="A25" s="1879" t="s">
        <v>180</v>
      </c>
      <c r="B25" s="1886">
        <f>'LPK Analysis'!C26</f>
        <v>434036973703</v>
      </c>
      <c r="C25" s="1886">
        <f>'LPK Analysis'!D26</f>
        <v>345325322995</v>
      </c>
      <c r="D25" s="1886">
        <f>'LPK Analysis'!E26</f>
        <v>307658424230</v>
      </c>
      <c r="E25" s="1886">
        <f>'LPK Analysis'!F26</f>
        <v>262715700578</v>
      </c>
    </row>
    <row r="26" spans="1:5">
      <c r="A26" s="1879"/>
      <c r="B26" s="1889">
        <f>B15/B25</f>
        <v>8.0347118998816153E-4</v>
      </c>
      <c r="C26" s="1889">
        <f>C15/C25</f>
        <v>5.0545131931296929E-3</v>
      </c>
      <c r="D26" s="1889">
        <f>D15/D25</f>
        <v>1.6938164597891839E-2</v>
      </c>
      <c r="E26" s="1889">
        <f>E15/E25</f>
        <v>1.2695289867577677E-2</v>
      </c>
    </row>
    <row r="27" spans="1:5">
      <c r="A27" s="1879"/>
      <c r="B27" s="1879"/>
      <c r="C27" s="1879"/>
      <c r="D27" s="1879"/>
      <c r="E27" s="1879"/>
    </row>
    <row r="28" spans="1:5">
      <c r="A28" s="1879" t="s">
        <v>181</v>
      </c>
      <c r="B28" s="1886">
        <f>'LPK Analysis'!C65</f>
        <v>179090153044</v>
      </c>
      <c r="C28" s="1886">
        <f>'LPK Analysis'!D65</f>
        <v>109294073769.5</v>
      </c>
      <c r="D28" s="1886">
        <f>'LPK Analysis'!E65</f>
        <v>107556897781</v>
      </c>
      <c r="E28" s="1886">
        <f>'LPK Analysis'!F65</f>
        <v>101076144702</v>
      </c>
    </row>
    <row r="29" spans="1:5">
      <c r="A29" s="1879"/>
      <c r="B29" s="1889">
        <f>B15/B28</f>
        <v>1.9472662110815778E-3</v>
      </c>
      <c r="C29" s="1889">
        <f>C15/C28</f>
        <v>1.5970229133202025E-2</v>
      </c>
      <c r="D29" s="1889">
        <f>D15/D28</f>
        <v>4.8450347091140544E-2</v>
      </c>
      <c r="E29" s="1889">
        <f>E15/E28</f>
        <v>3.299741973177435E-2</v>
      </c>
    </row>
  </sheetData>
  <mergeCells count="2">
    <mergeCell ref="A4:A6"/>
    <mergeCell ref="B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2D53-2323-46F7-9FAB-E229A3E90A66}">
  <sheetPr>
    <tabColor rgb="FFC00000"/>
  </sheetPr>
  <dimension ref="B3:E7"/>
  <sheetViews>
    <sheetView workbookViewId="0">
      <selection activeCell="C8" sqref="C8"/>
    </sheetView>
  </sheetViews>
  <sheetFormatPr defaultRowHeight="14.45"/>
  <cols>
    <col min="2" max="2" width="8.5703125" bestFit="1" customWidth="1"/>
    <col min="3" max="3" width="14.5703125" bestFit="1" customWidth="1"/>
    <col min="4" max="4" width="21.5703125" bestFit="1" customWidth="1"/>
  </cols>
  <sheetData>
    <row r="3" spans="2:5">
      <c r="B3" s="1569"/>
      <c r="C3" s="121">
        <v>71587587813</v>
      </c>
      <c r="D3" s="121"/>
      <c r="E3" s="121"/>
    </row>
    <row r="4" spans="2:5">
      <c r="B4" s="1559">
        <v>0.9</v>
      </c>
      <c r="C4" s="121">
        <f>C3*B4</f>
        <v>64428829031.700005</v>
      </c>
      <c r="D4" s="121" t="s">
        <v>182</v>
      </c>
      <c r="E4" s="121"/>
    </row>
    <row r="5" spans="2:5">
      <c r="B5" s="1559">
        <v>0.05</v>
      </c>
      <c r="C5" s="121">
        <f>C3*B5</f>
        <v>3579379390.6500001</v>
      </c>
      <c r="D5" s="121" t="s">
        <v>183</v>
      </c>
      <c r="E5" s="121"/>
    </row>
    <row r="6" spans="2:5">
      <c r="B6" s="1559">
        <v>4.8500000000000001E-2</v>
      </c>
      <c r="C6" s="121">
        <f>B6*C3</f>
        <v>3471998008.9305</v>
      </c>
      <c r="D6" s="121" t="s">
        <v>184</v>
      </c>
      <c r="E6" s="121"/>
    </row>
    <row r="7" spans="2:5">
      <c r="B7" s="1570">
        <f>100%-SUM(B4:B6)</f>
        <v>1.4999999999999458E-3</v>
      </c>
      <c r="C7" s="121">
        <f>B7*C3</f>
        <v>107381381.71949612</v>
      </c>
      <c r="D7" s="121" t="s">
        <v>185</v>
      </c>
      <c r="E7" s="1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A24C-2DD7-48D5-8476-1BAED245410A}">
  <sheetPr>
    <tabColor theme="4" tint="0.39997558519241921"/>
  </sheetPr>
  <dimension ref="A1:BF1007"/>
  <sheetViews>
    <sheetView showGridLines="0" zoomScale="84" workbookViewId="0">
      <pane xSplit="2" ySplit="5" topLeftCell="C6" activePane="bottomRight" state="frozen"/>
      <selection pane="bottomRight" activeCell="AQ7" sqref="AQ7"/>
      <selection pane="bottomLeft" activeCell="A6" sqref="A6"/>
      <selection pane="topRight" activeCell="C1" sqref="C1"/>
    </sheetView>
  </sheetViews>
  <sheetFormatPr defaultColWidth="14.42578125" defaultRowHeight="12.6"/>
  <cols>
    <col min="1" max="1" width="35.42578125" style="974" customWidth="1"/>
    <col min="2" max="2" width="17.5703125" style="974" customWidth="1"/>
    <col min="3" max="34" width="15.5703125" style="974" customWidth="1"/>
    <col min="35" max="35" width="18" style="974" customWidth="1"/>
    <col min="36" max="51" width="15.5703125" style="974" customWidth="1"/>
    <col min="52" max="52" width="15.42578125" style="974" customWidth="1"/>
    <col min="53" max="54" width="15.5703125" style="974" customWidth="1"/>
    <col min="55" max="55" width="16.42578125" style="974" customWidth="1"/>
    <col min="56" max="56" width="15.5703125" style="974" customWidth="1"/>
    <col min="57" max="57" width="28.5703125" style="974" bestFit="1" customWidth="1"/>
    <col min="58" max="58" width="13.5703125" style="974" bestFit="1" customWidth="1"/>
    <col min="59" max="16384" width="14.42578125" style="974"/>
  </cols>
  <sheetData>
    <row r="1" spans="1:58" ht="12.75" customHeight="1">
      <c r="A1" s="551" t="s">
        <v>186</v>
      </c>
      <c r="B1" s="973">
        <f>SUM(C7:V7)</f>
        <v>347660437458</v>
      </c>
      <c r="C1" s="521">
        <f>'BS Konsol'!H48-B1</f>
        <v>0</v>
      </c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1"/>
      <c r="AI1" s="521"/>
      <c r="AJ1" s="521"/>
      <c r="AK1" s="521"/>
      <c r="AL1" s="521"/>
      <c r="AM1" s="521"/>
      <c r="AN1" s="521"/>
      <c r="AO1" s="521"/>
      <c r="AP1" s="521"/>
      <c r="AQ1" s="521"/>
      <c r="AR1" s="521"/>
      <c r="AS1" s="521"/>
      <c r="AT1" s="521"/>
      <c r="AU1" s="521"/>
      <c r="AV1" s="521"/>
      <c r="AW1" s="521"/>
      <c r="AX1" s="521"/>
      <c r="AY1" s="521"/>
      <c r="AZ1" s="521"/>
      <c r="BA1" s="521"/>
      <c r="BB1" s="521"/>
      <c r="BC1" s="521"/>
      <c r="BD1" s="551"/>
      <c r="BE1" s="551"/>
      <c r="BF1" s="551"/>
    </row>
    <row r="2" spans="1:58" ht="12.75" customHeight="1">
      <c r="A2" s="551" t="s">
        <v>187</v>
      </c>
      <c r="B2" s="551">
        <f>SUM(X7:AK7)</f>
        <v>-237494444229</v>
      </c>
      <c r="C2" s="521">
        <f>B2+'BS Konsol'!H87</f>
        <v>0</v>
      </c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1"/>
      <c r="AA2" s="521"/>
      <c r="AB2" s="521"/>
      <c r="AC2" s="521"/>
      <c r="AD2" s="521"/>
      <c r="AE2" s="521"/>
      <c r="AF2" s="521"/>
      <c r="AG2" s="521"/>
      <c r="AH2" s="521"/>
      <c r="AI2" s="521"/>
      <c r="AJ2" s="521"/>
      <c r="AK2" s="521"/>
      <c r="AL2" s="521"/>
      <c r="AM2" s="521"/>
      <c r="AN2" s="521"/>
      <c r="AO2" s="521"/>
      <c r="AP2" s="521"/>
      <c r="AQ2" s="521"/>
      <c r="AR2" s="521"/>
      <c r="AS2" s="521"/>
      <c r="AT2" s="521"/>
      <c r="AU2" s="521"/>
      <c r="AV2" s="521"/>
      <c r="AW2" s="521"/>
      <c r="AX2" s="521"/>
      <c r="AY2" s="521"/>
      <c r="AZ2" s="521"/>
      <c r="BA2" s="521"/>
      <c r="BB2" s="521"/>
      <c r="BC2" s="521"/>
      <c r="BD2" s="551"/>
      <c r="BE2" s="551"/>
      <c r="BF2" s="551"/>
    </row>
    <row r="3" spans="1:58" ht="12.75" customHeight="1">
      <c r="A3" s="551" t="s">
        <v>93</v>
      </c>
      <c r="B3" s="551">
        <f>SUM(AL7:BC7)</f>
        <v>-110165993229</v>
      </c>
      <c r="C3" s="521">
        <f>B3+'BS Konsol'!H107</f>
        <v>0</v>
      </c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521"/>
      <c r="AK3" s="521"/>
      <c r="AL3" s="521"/>
      <c r="AM3" s="521"/>
      <c r="AN3" s="521"/>
      <c r="AO3" s="521"/>
      <c r="AP3" s="521"/>
      <c r="AQ3" s="521"/>
      <c r="AR3" s="521"/>
      <c r="AS3" s="521"/>
      <c r="AT3" s="521"/>
      <c r="AU3" s="521"/>
      <c r="AV3" s="521"/>
      <c r="AW3" s="521"/>
      <c r="AX3" s="521"/>
      <c r="AY3" s="521"/>
      <c r="AZ3" s="521"/>
      <c r="BA3" s="521"/>
      <c r="BB3" s="521"/>
      <c r="BC3" s="521"/>
      <c r="BD3" s="551"/>
      <c r="BE3" s="551"/>
      <c r="BF3" s="551"/>
    </row>
    <row r="4" spans="1:58" ht="12.75" customHeight="1">
      <c r="A4" s="975"/>
      <c r="B4" s="975"/>
      <c r="C4" s="2390" t="s">
        <v>188</v>
      </c>
      <c r="D4" s="2390" t="s">
        <v>189</v>
      </c>
      <c r="E4" s="2390" t="s">
        <v>190</v>
      </c>
      <c r="F4" s="2390" t="s">
        <v>191</v>
      </c>
      <c r="G4" s="2390" t="s">
        <v>192</v>
      </c>
      <c r="H4" s="976" t="s">
        <v>193</v>
      </c>
      <c r="I4" s="2390" t="s">
        <v>194</v>
      </c>
      <c r="J4" s="2390" t="s">
        <v>59</v>
      </c>
      <c r="K4" s="2390" t="s">
        <v>195</v>
      </c>
      <c r="L4" s="2390" t="s">
        <v>60</v>
      </c>
      <c r="M4" s="2390" t="s">
        <v>196</v>
      </c>
      <c r="N4" s="976" t="s">
        <v>197</v>
      </c>
      <c r="O4" s="2391" t="s">
        <v>198</v>
      </c>
      <c r="P4" s="2391" t="s">
        <v>199</v>
      </c>
      <c r="Q4" s="2391" t="s">
        <v>200</v>
      </c>
      <c r="R4" s="2390" t="s">
        <v>201</v>
      </c>
      <c r="S4" s="2390" t="s">
        <v>202</v>
      </c>
      <c r="T4" s="2390" t="s">
        <v>203</v>
      </c>
      <c r="U4" s="2390" t="s">
        <v>204</v>
      </c>
      <c r="V4" s="2390" t="s">
        <v>68</v>
      </c>
      <c r="W4" s="2390" t="s">
        <v>205</v>
      </c>
      <c r="X4" s="2392" t="s">
        <v>206</v>
      </c>
      <c r="Y4" s="2390" t="s">
        <v>207</v>
      </c>
      <c r="Z4" s="2390" t="s">
        <v>208</v>
      </c>
      <c r="AA4" s="2390" t="s">
        <v>209</v>
      </c>
      <c r="AB4" s="2390" t="s">
        <v>210</v>
      </c>
      <c r="AC4" s="2390" t="s">
        <v>211</v>
      </c>
      <c r="AD4" s="2390" t="s">
        <v>212</v>
      </c>
      <c r="AE4" s="2390" t="s">
        <v>213</v>
      </c>
      <c r="AF4" s="2390" t="s">
        <v>214</v>
      </c>
      <c r="AG4" s="2390" t="s">
        <v>215</v>
      </c>
      <c r="AH4" s="2390" t="s">
        <v>216</v>
      </c>
      <c r="AI4" s="2390" t="s">
        <v>217</v>
      </c>
      <c r="AJ4" s="2390" t="s">
        <v>218</v>
      </c>
      <c r="AK4" s="2390" t="s">
        <v>219</v>
      </c>
      <c r="AL4" s="2385" t="s">
        <v>94</v>
      </c>
      <c r="AM4" s="2385" t="s">
        <v>95</v>
      </c>
      <c r="AN4" s="2385" t="s">
        <v>220</v>
      </c>
      <c r="AO4" s="2385" t="s">
        <v>221</v>
      </c>
      <c r="AP4" s="2386" t="s">
        <v>222</v>
      </c>
      <c r="AQ4" s="2376" t="s">
        <v>223</v>
      </c>
      <c r="AR4" s="2378" t="s">
        <v>224</v>
      </c>
      <c r="AS4" s="2388" t="s">
        <v>96</v>
      </c>
      <c r="AT4" s="2389" t="s">
        <v>98</v>
      </c>
      <c r="AU4" s="2390" t="s">
        <v>163</v>
      </c>
      <c r="AV4" s="2380" t="s">
        <v>225</v>
      </c>
      <c r="AW4" s="2380" t="s">
        <v>115</v>
      </c>
      <c r="AX4" s="2380" t="s">
        <v>226</v>
      </c>
      <c r="AY4" s="2381" t="s">
        <v>227</v>
      </c>
      <c r="AZ4" s="2382" t="s">
        <v>228</v>
      </c>
      <c r="BA4" s="2384" t="s">
        <v>229</v>
      </c>
      <c r="BB4" s="2384" t="s">
        <v>230</v>
      </c>
      <c r="BC4" s="2375" t="s">
        <v>231</v>
      </c>
      <c r="BD4" s="977"/>
      <c r="BE4" s="551"/>
      <c r="BF4" s="551"/>
    </row>
    <row r="5" spans="1:58" ht="27.75" customHeight="1">
      <c r="A5" s="978"/>
      <c r="B5" s="978"/>
      <c r="C5" s="2496"/>
      <c r="D5" s="2496"/>
      <c r="E5" s="2496"/>
      <c r="F5" s="2496"/>
      <c r="G5" s="2496"/>
      <c r="H5" s="976" t="s">
        <v>87</v>
      </c>
      <c r="I5" s="2496"/>
      <c r="J5" s="2496"/>
      <c r="K5" s="2390"/>
      <c r="L5" s="2390"/>
      <c r="M5" s="2390"/>
      <c r="N5" s="976" t="s">
        <v>232</v>
      </c>
      <c r="O5" s="2496"/>
      <c r="P5" s="2496"/>
      <c r="Q5" s="2496"/>
      <c r="R5" s="2496"/>
      <c r="S5" s="2496"/>
      <c r="T5" s="2496"/>
      <c r="U5" s="2496"/>
      <c r="V5" s="2496"/>
      <c r="W5" s="2390"/>
      <c r="X5" s="2392"/>
      <c r="Y5" s="2390"/>
      <c r="Z5" s="2496"/>
      <c r="AA5" s="2496"/>
      <c r="AB5" s="2496"/>
      <c r="AC5" s="2496"/>
      <c r="AD5" s="2496"/>
      <c r="AE5" s="2496"/>
      <c r="AF5" s="2496"/>
      <c r="AG5" s="2496"/>
      <c r="AH5" s="2496"/>
      <c r="AI5" s="2496"/>
      <c r="AJ5" s="2496"/>
      <c r="AK5" s="2496"/>
      <c r="AL5" s="2496"/>
      <c r="AM5" s="2496"/>
      <c r="AN5" s="2496"/>
      <c r="AO5" s="2496"/>
      <c r="AP5" s="2387"/>
      <c r="AQ5" s="2377"/>
      <c r="AR5" s="2379"/>
      <c r="AS5" s="2497"/>
      <c r="AT5" s="2496"/>
      <c r="AU5" s="2496"/>
      <c r="AV5" s="2496"/>
      <c r="AW5" s="2496"/>
      <c r="AX5" s="2496"/>
      <c r="AY5" s="2496"/>
      <c r="AZ5" s="2383"/>
      <c r="BA5" s="2496"/>
      <c r="BB5" s="2496"/>
      <c r="BC5" s="2496"/>
      <c r="BD5" s="551"/>
      <c r="BE5" s="551"/>
      <c r="BF5" s="551"/>
    </row>
    <row r="6" spans="1:58" ht="12.75" customHeight="1">
      <c r="A6" s="978"/>
      <c r="B6" s="979"/>
      <c r="C6" s="980"/>
      <c r="D6" s="981"/>
      <c r="E6" s="981"/>
      <c r="F6" s="981"/>
      <c r="G6" s="981"/>
      <c r="H6" s="981"/>
      <c r="I6" s="981"/>
      <c r="J6" s="981"/>
      <c r="K6" s="981"/>
      <c r="L6" s="981"/>
      <c r="M6" s="981"/>
      <c r="N6" s="981"/>
      <c r="O6" s="981"/>
      <c r="P6" s="981"/>
      <c r="Q6" s="981"/>
      <c r="R6" s="981"/>
      <c r="S6" s="981"/>
      <c r="T6" s="981"/>
      <c r="U6" s="981"/>
      <c r="V6" s="981"/>
      <c r="W6" s="981"/>
      <c r="X6" s="981"/>
      <c r="Y6" s="981"/>
      <c r="Z6" s="981"/>
      <c r="AA6" s="981"/>
      <c r="AB6" s="981"/>
      <c r="AC6" s="981"/>
      <c r="AD6" s="981"/>
      <c r="AE6" s="981"/>
      <c r="AF6" s="981"/>
      <c r="AG6" s="981"/>
      <c r="AH6" s="981"/>
      <c r="AI6" s="981"/>
      <c r="AJ6" s="981"/>
      <c r="AK6" s="981"/>
      <c r="AL6" s="981"/>
      <c r="AM6" s="981"/>
      <c r="AN6" s="981"/>
      <c r="AO6" s="981"/>
      <c r="AP6" s="981"/>
      <c r="AQ6" s="528"/>
      <c r="AR6" s="528"/>
      <c r="AS6" s="981"/>
      <c r="AT6" s="981"/>
      <c r="AU6" s="981"/>
      <c r="AV6" s="981"/>
      <c r="AW6" s="981"/>
      <c r="AX6" s="981"/>
      <c r="AY6" s="981"/>
      <c r="AZ6" s="981"/>
      <c r="BA6" s="981"/>
      <c r="BB6" s="981"/>
      <c r="BC6" s="981"/>
      <c r="BD6" s="551"/>
      <c r="BE6" s="551"/>
      <c r="BF6" s="551"/>
    </row>
    <row r="7" spans="1:58" ht="12.75" customHeight="1">
      <c r="A7" s="978"/>
      <c r="B7" s="1034">
        <v>45473</v>
      </c>
      <c r="C7" s="982">
        <f>'BS Konsol'!H11</f>
        <v>565886797</v>
      </c>
      <c r="D7" s="982">
        <f>'BS Konsol'!H14</f>
        <v>26199584563</v>
      </c>
      <c r="E7" s="982">
        <f>'BS Konsol'!H13</f>
        <v>422639675</v>
      </c>
      <c r="F7" s="982"/>
      <c r="G7" s="982"/>
      <c r="H7" s="982">
        <f>'BS Konsol'!H26</f>
        <v>0</v>
      </c>
      <c r="I7" s="982">
        <f>'BS Konsol'!H16</f>
        <v>510634104</v>
      </c>
      <c r="J7" s="982">
        <f>'BS Konsol'!H17</f>
        <v>224990831176</v>
      </c>
      <c r="K7" s="982">
        <f>'BS Konsol'!H20</f>
        <v>2074112410</v>
      </c>
      <c r="L7" s="982">
        <f>'BS Konsol'!H18</f>
        <v>2649404556</v>
      </c>
      <c r="M7" s="982">
        <f>'BS Konsol'!H19</f>
        <v>10425187749</v>
      </c>
      <c r="N7" s="982">
        <v>0</v>
      </c>
      <c r="O7" s="982"/>
      <c r="P7" s="982"/>
      <c r="Q7" s="982"/>
      <c r="R7" s="982">
        <f>'BS Konsol'!H34</f>
        <v>70317926651</v>
      </c>
      <c r="S7" s="982"/>
      <c r="T7" s="982"/>
      <c r="U7" s="982">
        <f>'BS Konsol'!H43</f>
        <v>7714047638</v>
      </c>
      <c r="V7" s="982">
        <f>'BS Konsol'!H45</f>
        <v>1790182139</v>
      </c>
      <c r="W7" s="982"/>
      <c r="X7" s="982">
        <f>-'BS Konsol'!H61</f>
        <v>-207371015601</v>
      </c>
      <c r="Y7" s="982">
        <f>-'BS Konsol'!H69</f>
        <v>-1869894064</v>
      </c>
      <c r="Z7" s="982">
        <v>0</v>
      </c>
      <c r="AA7" s="983">
        <f>-'BS Konsol'!H58</f>
        <v>-14186291754</v>
      </c>
      <c r="AB7" s="982"/>
      <c r="AC7" s="982">
        <f>-'BS Konsol'!H62</f>
        <v>-4322494743</v>
      </c>
      <c r="AD7" s="982">
        <v>0</v>
      </c>
      <c r="AE7" s="984">
        <v>0</v>
      </c>
      <c r="AF7" s="985">
        <v>0</v>
      </c>
      <c r="AG7" s="985">
        <v>0</v>
      </c>
      <c r="AH7" s="985">
        <v>0</v>
      </c>
      <c r="AI7" s="982">
        <f>-'BS Konsol'!H63</f>
        <v>-404042742</v>
      </c>
      <c r="AJ7" s="985">
        <f>-'BS Konsol'!H66</f>
        <v>-38822068</v>
      </c>
      <c r="AK7" s="982">
        <f>-'BS Konsol'!H81</f>
        <v>-9301883257</v>
      </c>
      <c r="AL7" s="986">
        <f>-'BS Konsol'!H97</f>
        <v>-55000000000</v>
      </c>
      <c r="AM7" s="986">
        <f>-'BS Konsol'!H99</f>
        <v>-49739416785</v>
      </c>
      <c r="AN7" s="986">
        <v>0</v>
      </c>
      <c r="AO7" s="986">
        <f>-'BS Konsol'!H102</f>
        <v>377072852</v>
      </c>
      <c r="AP7" s="521"/>
      <c r="AQ7" s="521">
        <f>-'BS Konsol'!H104</f>
        <v>-410000000</v>
      </c>
      <c r="AR7" s="521">
        <v>15000000000</v>
      </c>
      <c r="AS7" s="985">
        <v>0</v>
      </c>
      <c r="AT7" s="987">
        <f>AT8</f>
        <v>-19521729837</v>
      </c>
      <c r="AU7" s="986">
        <f>-'PL Konsol'!J11</f>
        <v>-106697349798</v>
      </c>
      <c r="AV7" s="986">
        <f>-'PL Konsol'!J12</f>
        <v>69221185606</v>
      </c>
      <c r="AW7" s="986">
        <f>-'PL Konsol'!J16</f>
        <v>8866046154</v>
      </c>
      <c r="AX7" s="986">
        <f>-'PL Konsol'!J17</f>
        <v>13412401091</v>
      </c>
      <c r="AY7" s="986">
        <f>-'PL Konsol'!J18</f>
        <v>4496948237</v>
      </c>
      <c r="AZ7" s="986">
        <f>-'PL Konsol'!J19</f>
        <v>9308297571</v>
      </c>
      <c r="BA7" s="986">
        <f>-'PL Konsol'!J25</f>
        <v>520551680</v>
      </c>
      <c r="BB7" s="986"/>
      <c r="BC7" s="988"/>
      <c r="BD7" s="551">
        <f>SUM(C7:BC7)</f>
        <v>0</v>
      </c>
      <c r="BE7" s="989">
        <f>BD7/2</f>
        <v>0</v>
      </c>
      <c r="BF7" s="551">
        <f>BE7/2</f>
        <v>0</v>
      </c>
    </row>
    <row r="8" spans="1:58" ht="12.75" customHeight="1">
      <c r="A8" s="978"/>
      <c r="B8" s="1034">
        <v>45291</v>
      </c>
      <c r="C8" s="990">
        <f>'BS Konsol'!L11</f>
        <v>2570121355</v>
      </c>
      <c r="D8" s="990">
        <f>'BS Konsol'!L14</f>
        <v>19981020112</v>
      </c>
      <c r="E8" s="990">
        <f>'BS Konsol'!L13</f>
        <v>211054410</v>
      </c>
      <c r="F8" s="990"/>
      <c r="G8" s="990"/>
      <c r="H8" s="990">
        <f>'BS Konsol'!L26</f>
        <v>7022707423</v>
      </c>
      <c r="I8" s="990">
        <f>'BS Konsol'!L16</f>
        <v>510634104</v>
      </c>
      <c r="J8" s="991">
        <f>'BS Konsol'!L17</f>
        <v>218071396362</v>
      </c>
      <c r="K8" s="990">
        <f>'BS Konsol'!L20</f>
        <v>1104447053</v>
      </c>
      <c r="L8" s="990">
        <f>'BS Konsol'!L18</f>
        <v>2415719386</v>
      </c>
      <c r="M8" s="990">
        <f>'BS Konsol'!L19</f>
        <v>9663458887</v>
      </c>
      <c r="N8" s="990">
        <v>0</v>
      </c>
      <c r="O8" s="990"/>
      <c r="P8" s="990"/>
      <c r="Q8" s="990"/>
      <c r="R8" s="990">
        <f>'BS Konsol'!L34</f>
        <v>74113104582</v>
      </c>
      <c r="S8" s="990"/>
      <c r="T8" s="990"/>
      <c r="U8" s="990">
        <f>'BS Konsol'!L43</f>
        <v>7871477182</v>
      </c>
      <c r="V8" s="990">
        <f>'BS Konsol'!L45</f>
        <v>1790182139</v>
      </c>
      <c r="W8" s="990"/>
      <c r="X8" s="990">
        <f>-'BS Konsol'!L61</f>
        <v>-195441714689</v>
      </c>
      <c r="Y8" s="990">
        <f>-'BS Konsol'!L69</f>
        <v>-3807894064</v>
      </c>
      <c r="Z8" s="990">
        <v>0</v>
      </c>
      <c r="AA8" s="992">
        <f>-'BS Konsol'!L58</f>
        <v>-20407901137</v>
      </c>
      <c r="AB8" s="990"/>
      <c r="AC8" s="990">
        <f>-'BS Konsol'!L62</f>
        <v>-2870843988</v>
      </c>
      <c r="AD8" s="990">
        <f>-'BS Konsol'!L77</f>
        <v>-41000000</v>
      </c>
      <c r="AE8" s="993">
        <f>-'BS Konsol'!L76</f>
        <v>-595676695</v>
      </c>
      <c r="AF8" s="990">
        <f>-'BS Konsol'!L68</f>
        <v>-624277457</v>
      </c>
      <c r="AG8" s="990">
        <v>0</v>
      </c>
      <c r="AH8" s="990">
        <v>0</v>
      </c>
      <c r="AI8" s="990">
        <f>-'BS Konsol'!L63</f>
        <v>-2863697915</v>
      </c>
      <c r="AJ8" s="990">
        <f>-'BS Konsol'!L66</f>
        <v>-76360023</v>
      </c>
      <c r="AK8" s="990">
        <f>-'BS Konsol'!L81</f>
        <v>-9301883257</v>
      </c>
      <c r="AL8" s="994">
        <f>-'BS Konsol'!L97</f>
        <v>-40000000000</v>
      </c>
      <c r="AM8" s="994">
        <f>-'BS Konsol'!L99</f>
        <v>-49739416785</v>
      </c>
      <c r="AN8" s="994">
        <v>0</v>
      </c>
      <c r="AO8" s="994">
        <f>-'BS Konsol'!L102</f>
        <v>377072852</v>
      </c>
      <c r="AP8" s="994">
        <f>-6464981.73071289</f>
        <v>-6464981.7307128897</v>
      </c>
      <c r="AQ8" s="994">
        <f>-'BS Konsol'!L104-'KK CF Konsol Juni 24'!AP8</f>
        <v>-403535018.26928711</v>
      </c>
      <c r="AR8" s="994"/>
      <c r="AS8" s="990">
        <v>0</v>
      </c>
      <c r="AT8" s="990">
        <f>-'BS Konsol'!L105</f>
        <v>-19521729837</v>
      </c>
      <c r="AU8" s="994"/>
      <c r="AV8" s="994"/>
      <c r="AW8" s="994"/>
      <c r="AX8" s="994"/>
      <c r="AY8" s="994"/>
      <c r="AZ8" s="994"/>
      <c r="BA8" s="994"/>
      <c r="BB8" s="994"/>
      <c r="BC8" s="994"/>
      <c r="BD8" s="551">
        <f>SUM(C8:BC8)</f>
        <v>0</v>
      </c>
      <c r="BE8" s="995"/>
      <c r="BF8" s="551"/>
    </row>
    <row r="9" spans="1:58" ht="12.75" customHeight="1">
      <c r="A9" s="978"/>
      <c r="B9" s="979" t="s">
        <v>233</v>
      </c>
      <c r="C9" s="996">
        <f t="shared" ref="C9:N9" si="0">C7-C8</f>
        <v>-2004234558</v>
      </c>
      <c r="D9" s="996">
        <f t="shared" si="0"/>
        <v>6218564451</v>
      </c>
      <c r="E9" s="996">
        <f t="shared" si="0"/>
        <v>211585265</v>
      </c>
      <c r="F9" s="996">
        <f t="shared" si="0"/>
        <v>0</v>
      </c>
      <c r="G9" s="996">
        <f t="shared" si="0"/>
        <v>0</v>
      </c>
      <c r="H9" s="996">
        <f t="shared" si="0"/>
        <v>-7022707423</v>
      </c>
      <c r="I9" s="996">
        <f t="shared" si="0"/>
        <v>0</v>
      </c>
      <c r="J9" s="996">
        <f t="shared" si="0"/>
        <v>6919434814</v>
      </c>
      <c r="K9" s="996">
        <f t="shared" si="0"/>
        <v>969665357</v>
      </c>
      <c r="L9" s="996">
        <f t="shared" si="0"/>
        <v>233685170</v>
      </c>
      <c r="M9" s="996">
        <f t="shared" si="0"/>
        <v>761728862</v>
      </c>
      <c r="N9" s="996">
        <f t="shared" si="0"/>
        <v>0</v>
      </c>
      <c r="O9" s="996"/>
      <c r="P9" s="996">
        <f t="shared" ref="P9:BC9" si="1">P7-P8</f>
        <v>0</v>
      </c>
      <c r="Q9" s="996">
        <f t="shared" si="1"/>
        <v>0</v>
      </c>
      <c r="R9" s="996">
        <f t="shared" si="1"/>
        <v>-3795177931</v>
      </c>
      <c r="S9" s="996">
        <f t="shared" si="1"/>
        <v>0</v>
      </c>
      <c r="T9" s="996">
        <f t="shared" si="1"/>
        <v>0</v>
      </c>
      <c r="U9" s="996">
        <f t="shared" si="1"/>
        <v>-157429544</v>
      </c>
      <c r="V9" s="996">
        <f t="shared" si="1"/>
        <v>0</v>
      </c>
      <c r="W9" s="996">
        <f t="shared" si="1"/>
        <v>0</v>
      </c>
      <c r="X9" s="996">
        <f t="shared" si="1"/>
        <v>-11929300912</v>
      </c>
      <c r="Y9" s="996">
        <f t="shared" si="1"/>
        <v>1938000000</v>
      </c>
      <c r="Z9" s="996">
        <f t="shared" si="1"/>
        <v>0</v>
      </c>
      <c r="AA9" s="996">
        <f t="shared" si="1"/>
        <v>6221609383</v>
      </c>
      <c r="AB9" s="996">
        <f t="shared" si="1"/>
        <v>0</v>
      </c>
      <c r="AC9" s="996">
        <f t="shared" si="1"/>
        <v>-1451650755</v>
      </c>
      <c r="AD9" s="996">
        <f t="shared" si="1"/>
        <v>41000000</v>
      </c>
      <c r="AE9" s="996">
        <f t="shared" si="1"/>
        <v>595676695</v>
      </c>
      <c r="AF9" s="996">
        <f t="shared" si="1"/>
        <v>624277457</v>
      </c>
      <c r="AG9" s="996">
        <f t="shared" si="1"/>
        <v>0</v>
      </c>
      <c r="AH9" s="996">
        <f t="shared" si="1"/>
        <v>0</v>
      </c>
      <c r="AI9" s="996">
        <f t="shared" si="1"/>
        <v>2459655173</v>
      </c>
      <c r="AJ9" s="996">
        <f t="shared" si="1"/>
        <v>37537955</v>
      </c>
      <c r="AK9" s="996">
        <f t="shared" si="1"/>
        <v>0</v>
      </c>
      <c r="AL9" s="996">
        <f t="shared" si="1"/>
        <v>-15000000000</v>
      </c>
      <c r="AM9" s="996">
        <f t="shared" si="1"/>
        <v>0</v>
      </c>
      <c r="AN9" s="996">
        <f t="shared" si="1"/>
        <v>0</v>
      </c>
      <c r="AO9" s="996">
        <f t="shared" si="1"/>
        <v>0</v>
      </c>
      <c r="AP9" s="996">
        <f t="shared" si="1"/>
        <v>6464981.7307128897</v>
      </c>
      <c r="AQ9" s="996">
        <f t="shared" si="1"/>
        <v>-6464981.7307128906</v>
      </c>
      <c r="AR9" s="996">
        <f t="shared" si="1"/>
        <v>15000000000</v>
      </c>
      <c r="AS9" s="996">
        <f t="shared" si="1"/>
        <v>0</v>
      </c>
      <c r="AT9" s="996">
        <f t="shared" si="1"/>
        <v>0</v>
      </c>
      <c r="AU9" s="996">
        <f t="shared" si="1"/>
        <v>-106697349798</v>
      </c>
      <c r="AV9" s="996">
        <f t="shared" si="1"/>
        <v>69221185606</v>
      </c>
      <c r="AW9" s="996">
        <f t="shared" si="1"/>
        <v>8866046154</v>
      </c>
      <c r="AX9" s="996">
        <f t="shared" si="1"/>
        <v>13412401091</v>
      </c>
      <c r="AY9" s="996">
        <f t="shared" si="1"/>
        <v>4496948237</v>
      </c>
      <c r="AZ9" s="996">
        <f t="shared" si="1"/>
        <v>9308297571</v>
      </c>
      <c r="BA9" s="996">
        <f t="shared" si="1"/>
        <v>520551680</v>
      </c>
      <c r="BB9" s="996">
        <f t="shared" si="1"/>
        <v>0</v>
      </c>
      <c r="BC9" s="996">
        <f t="shared" si="1"/>
        <v>0</v>
      </c>
      <c r="BD9" s="551">
        <f>SUM(C9:BC9)</f>
        <v>0</v>
      </c>
      <c r="BE9" s="995">
        <f>BD9/2</f>
        <v>0</v>
      </c>
      <c r="BF9" s="551">
        <f>BE9/2</f>
        <v>0</v>
      </c>
    </row>
    <row r="10" spans="1:58" ht="12.75" customHeight="1">
      <c r="A10" s="997"/>
      <c r="B10" s="998" t="s">
        <v>234</v>
      </c>
      <c r="C10" s="551"/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1"/>
      <c r="R10" s="551"/>
      <c r="S10" s="551"/>
      <c r="T10" s="551"/>
      <c r="U10" s="551"/>
      <c r="V10" s="551"/>
      <c r="W10" s="551"/>
      <c r="X10" s="551"/>
      <c r="Y10" s="551"/>
      <c r="Z10" s="551"/>
      <c r="AA10" s="551"/>
      <c r="AB10" s="551"/>
      <c r="AC10" s="551"/>
      <c r="AD10" s="551"/>
      <c r="AE10" s="551"/>
      <c r="AF10" s="551"/>
      <c r="AG10" s="551"/>
      <c r="AH10" s="551"/>
      <c r="AI10" s="551"/>
      <c r="AJ10" s="551"/>
      <c r="AK10" s="551"/>
      <c r="AL10" s="551"/>
      <c r="AM10" s="551"/>
      <c r="AN10" s="551"/>
      <c r="AO10" s="551"/>
      <c r="AP10" s="551"/>
      <c r="AQ10" s="551"/>
      <c r="AR10" s="551"/>
      <c r="AS10" s="551"/>
      <c r="AT10" s="551"/>
      <c r="AU10" s="551"/>
      <c r="AV10" s="551"/>
      <c r="AW10" s="551"/>
      <c r="AX10" s="551"/>
      <c r="AY10" s="551"/>
      <c r="AZ10" s="551"/>
      <c r="BA10" s="551"/>
      <c r="BB10" s="551"/>
      <c r="BC10" s="551"/>
      <c r="BD10" s="551"/>
      <c r="BE10" s="551"/>
      <c r="BF10" s="551"/>
    </row>
    <row r="11" spans="1:58" ht="12.75" customHeight="1">
      <c r="A11" s="999" t="s">
        <v>235</v>
      </c>
      <c r="B11" s="1000"/>
      <c r="C11" s="100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  <c r="AA11" s="551"/>
      <c r="AB11" s="551"/>
      <c r="AC11" s="551"/>
      <c r="AD11" s="551"/>
      <c r="AE11" s="551"/>
      <c r="AF11" s="551"/>
      <c r="AG11" s="551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  <c r="BC11" s="551"/>
      <c r="BD11" s="551"/>
      <c r="BE11" s="551"/>
      <c r="BF11" s="551"/>
    </row>
    <row r="12" spans="1:58" ht="12.75" customHeight="1">
      <c r="A12" s="1002" t="s">
        <v>236</v>
      </c>
      <c r="B12" s="1003">
        <f t="shared" ref="B12:B21" si="2">SUM(D12:BC12)</f>
        <v>100267200082</v>
      </c>
      <c r="C12" s="1001"/>
      <c r="D12" s="1004">
        <f>-D9</f>
        <v>-6218564451</v>
      </c>
      <c r="E12" s="1004">
        <f>-E9</f>
        <v>-211585265</v>
      </c>
      <c r="F12" s="1004">
        <f>-F9</f>
        <v>0</v>
      </c>
      <c r="G12" s="1004"/>
      <c r="H12" s="1004"/>
      <c r="I12" s="1004"/>
      <c r="J12" s="1004"/>
      <c r="K12" s="1004"/>
      <c r="L12" s="1004"/>
      <c r="M12" s="1004"/>
      <c r="N12" s="1004"/>
      <c r="O12" s="1004"/>
      <c r="P12" s="1004"/>
      <c r="Q12" s="1004"/>
      <c r="S12" s="551"/>
      <c r="T12" s="551"/>
      <c r="U12" s="551"/>
      <c r="V12" s="551"/>
      <c r="W12" s="551"/>
      <c r="X12" s="551"/>
      <c r="Y12" s="551"/>
      <c r="Z12" s="551"/>
      <c r="AA12" s="551"/>
      <c r="AB12" s="551">
        <f>-AB9</f>
        <v>0</v>
      </c>
      <c r="AC12" s="551"/>
      <c r="AD12" s="1004"/>
      <c r="AE12" s="1004"/>
      <c r="AF12" s="1004"/>
      <c r="AG12" s="1004"/>
      <c r="AH12" s="1004"/>
      <c r="AI12" s="551"/>
      <c r="AJ12" s="551"/>
      <c r="AK12" s="551"/>
      <c r="AL12" s="551"/>
      <c r="AM12" s="551"/>
      <c r="AN12" s="551"/>
      <c r="AO12" s="551"/>
      <c r="AP12" s="551"/>
      <c r="AQ12" s="551"/>
      <c r="AR12" s="551"/>
      <c r="AS12" s="551"/>
      <c r="AT12" s="551"/>
      <c r="AU12" s="1004">
        <f>-AU9</f>
        <v>106697349798</v>
      </c>
      <c r="AV12" s="551"/>
      <c r="AW12" s="551"/>
      <c r="AX12" s="551"/>
      <c r="AY12" s="1004"/>
      <c r="AZ12" s="1004"/>
      <c r="BA12" s="551"/>
      <c r="BB12" s="551"/>
      <c r="BC12" s="551"/>
      <c r="BD12" s="551"/>
      <c r="BE12" s="551"/>
      <c r="BF12" s="551"/>
    </row>
    <row r="13" spans="1:58" ht="12.75" customHeight="1">
      <c r="A13" s="1002" t="s">
        <v>237</v>
      </c>
      <c r="B13" s="1003">
        <f t="shared" si="2"/>
        <v>-73323475715</v>
      </c>
      <c r="C13" s="1001"/>
      <c r="D13" s="551"/>
      <c r="E13" s="551"/>
      <c r="F13" s="551"/>
      <c r="G13" s="551"/>
      <c r="H13" s="1005">
        <f>-H9</f>
        <v>7022707423</v>
      </c>
      <c r="I13" s="559">
        <f>-I9</f>
        <v>0</v>
      </c>
      <c r="J13" s="559">
        <f>-J9</f>
        <v>-6919434814</v>
      </c>
      <c r="K13" s="559">
        <f>-K9</f>
        <v>-969665357</v>
      </c>
      <c r="L13" s="559"/>
      <c r="M13" s="559"/>
      <c r="N13" s="559">
        <f>-N9</f>
        <v>0</v>
      </c>
      <c r="O13" s="559"/>
      <c r="P13" s="559">
        <f>-P9</f>
        <v>0</v>
      </c>
      <c r="Q13" s="559">
        <f>-Q9</f>
        <v>0</v>
      </c>
      <c r="R13" s="551"/>
      <c r="S13" s="551"/>
      <c r="T13" s="551"/>
      <c r="U13" s="551"/>
      <c r="V13" s="551"/>
      <c r="W13" s="551">
        <f>-W9</f>
        <v>0</v>
      </c>
      <c r="Y13" s="551"/>
      <c r="Z13" s="559">
        <f>-Z9</f>
        <v>0</v>
      </c>
      <c r="AA13" s="559">
        <f>-AA9</f>
        <v>-6221609383</v>
      </c>
      <c r="AB13" s="559"/>
      <c r="AC13" s="559">
        <f>-AC9</f>
        <v>1451650755</v>
      </c>
      <c r="AD13" s="974">
        <f>-AD9</f>
        <v>-41000000</v>
      </c>
      <c r="AF13" s="559">
        <f>-AF9-AF40</f>
        <v>0</v>
      </c>
      <c r="AG13" s="559"/>
      <c r="AH13" s="551">
        <f>-AH9</f>
        <v>0</v>
      </c>
      <c r="AI13" s="559"/>
      <c r="AJ13" s="559">
        <f>-AJ9</f>
        <v>-37537955</v>
      </c>
      <c r="AK13" s="559"/>
      <c r="AL13" s="559"/>
      <c r="AM13" s="551"/>
      <c r="AN13" s="551"/>
      <c r="AO13" s="551">
        <f>-AO9-AO29</f>
        <v>0</v>
      </c>
      <c r="AP13" s="551"/>
      <c r="AQ13" s="551"/>
      <c r="AR13" s="551"/>
      <c r="AS13" s="551"/>
      <c r="AT13" s="551"/>
      <c r="AU13" s="551"/>
      <c r="AV13" s="559">
        <f>-AV9-AV14-AV15</f>
        <v>-58462757120</v>
      </c>
      <c r="AW13" s="1006"/>
      <c r="AX13" s="559">
        <f>-AX9-AX14-AX15</f>
        <v>-4648881027</v>
      </c>
      <c r="AY13" s="559">
        <f>-(AY9+AY15+AY20)</f>
        <v>-4496948237</v>
      </c>
      <c r="AZ13" s="559"/>
      <c r="BA13" s="551"/>
      <c r="BB13" s="1007">
        <f>-2767717677.36858*0</f>
        <v>0</v>
      </c>
      <c r="BC13" s="551">
        <f>-BC9</f>
        <v>0</v>
      </c>
      <c r="BD13" s="551"/>
      <c r="BE13" s="551"/>
      <c r="BF13" s="551"/>
    </row>
    <row r="14" spans="1:58" ht="12.75" customHeight="1">
      <c r="A14" s="1002" t="s">
        <v>238</v>
      </c>
      <c r="B14" s="1003">
        <f t="shared" si="2"/>
        <v>-15569341077</v>
      </c>
      <c r="C14" s="1001"/>
      <c r="D14" s="551"/>
      <c r="E14" s="551"/>
      <c r="F14" s="551"/>
      <c r="G14" s="551">
        <f>-G9</f>
        <v>0</v>
      </c>
      <c r="H14" s="551"/>
      <c r="I14" s="551"/>
      <c r="J14" s="551"/>
      <c r="K14" s="551"/>
      <c r="L14" s="551"/>
      <c r="M14" s="551"/>
      <c r="N14" s="551"/>
      <c r="O14" s="551"/>
      <c r="P14" s="551"/>
      <c r="Q14" s="551"/>
      <c r="R14" s="551"/>
      <c r="S14" s="551"/>
      <c r="T14" s="551"/>
      <c r="U14" s="551"/>
      <c r="V14" s="551"/>
      <c r="W14" s="551"/>
      <c r="X14" s="551"/>
      <c r="Y14" s="551"/>
      <c r="Z14" s="559"/>
      <c r="AA14" s="559"/>
      <c r="AB14" s="559"/>
      <c r="AC14" s="559"/>
      <c r="AD14" s="551"/>
      <c r="AE14" s="551"/>
      <c r="AF14" s="551"/>
      <c r="AG14" s="551"/>
      <c r="AH14" s="551"/>
      <c r="AI14" s="559"/>
      <c r="AJ14" s="559"/>
      <c r="AK14" s="1008"/>
      <c r="AL14" s="551"/>
      <c r="AM14" s="551"/>
      <c r="AN14" s="551"/>
      <c r="AO14" s="551"/>
      <c r="AP14" s="551">
        <f>-AP9</f>
        <v>-6464981.7307128897</v>
      </c>
      <c r="AQ14" s="551">
        <f>-AQ9</f>
        <v>6464981.7307128906</v>
      </c>
      <c r="AR14" s="551"/>
      <c r="AS14" s="551"/>
      <c r="AT14" s="551"/>
      <c r="AU14" s="551"/>
      <c r="AV14" s="559">
        <f>-(SUM('WS Konsol'!AF609:AF614)+'WS Konsol'!AF617+'WS Konsol'!AF620)</f>
        <v>-7409494527</v>
      </c>
      <c r="AW14" s="1006"/>
      <c r="AX14" s="559">
        <f>-'WS Konsol'!AH665</f>
        <v>-8159846550</v>
      </c>
      <c r="AY14" s="551"/>
      <c r="AZ14" s="551"/>
      <c r="BA14" s="551"/>
      <c r="BB14" s="551"/>
      <c r="BC14" s="551"/>
      <c r="BD14" s="551"/>
      <c r="BE14" s="551"/>
      <c r="BF14" s="551"/>
    </row>
    <row r="15" spans="1:58" ht="12.75" customHeight="1">
      <c r="A15" s="1002" t="s">
        <v>239</v>
      </c>
      <c r="B15" s="1003">
        <f t="shared" si="2"/>
        <v>-7910563784</v>
      </c>
      <c r="C15" s="1001"/>
      <c r="D15" s="551"/>
      <c r="E15" s="551"/>
      <c r="F15" s="551"/>
      <c r="G15" s="551"/>
      <c r="H15" s="551"/>
      <c r="I15" s="551"/>
      <c r="J15" s="551"/>
      <c r="K15" s="551"/>
      <c r="L15" s="551">
        <f>-L9</f>
        <v>-233685170</v>
      </c>
      <c r="M15" s="551">
        <f>-M9</f>
        <v>-761728862</v>
      </c>
      <c r="N15" s="551"/>
      <c r="O15" s="551"/>
      <c r="P15" s="551"/>
      <c r="Q15" s="551"/>
      <c r="R15" s="974">
        <f>-R9</f>
        <v>3795177931</v>
      </c>
      <c r="S15" s="551"/>
      <c r="T15" s="551"/>
      <c r="U15" s="551">
        <f>-U9</f>
        <v>157429544</v>
      </c>
      <c r="V15" s="551">
        <f>-V9</f>
        <v>0</v>
      </c>
      <c r="W15" s="551"/>
      <c r="X15" s="551">
        <f>-X9-X37-X38</f>
        <v>1938000000</v>
      </c>
      <c r="Y15" s="551"/>
      <c r="Z15" s="559"/>
      <c r="AA15" s="559"/>
      <c r="AB15" s="559"/>
      <c r="AC15" s="559"/>
      <c r="AD15" s="551"/>
      <c r="AE15" s="551"/>
      <c r="AF15" s="1009"/>
      <c r="AG15" s="551">
        <f>-AG9</f>
        <v>0</v>
      </c>
      <c r="AH15" s="551"/>
      <c r="AI15" s="551">
        <f>-AI9-AI21</f>
        <v>533448080</v>
      </c>
      <c r="AJ15" s="559"/>
      <c r="AK15" s="559">
        <f>-AK9</f>
        <v>0</v>
      </c>
      <c r="AL15" s="551"/>
      <c r="AM15" s="551"/>
      <c r="AN15" s="551"/>
      <c r="AO15" s="551"/>
      <c r="AP15" s="551"/>
      <c r="AQ15" s="551"/>
      <c r="AR15" s="551"/>
      <c r="AS15" s="551"/>
      <c r="AT15" s="551"/>
      <c r="AU15" s="551"/>
      <c r="AV15" s="559">
        <f>-('WS Konsol'!AF618+'WS Konsol'!AF619+'WS Konsol'!AF623)</f>
        <v>-3348933959</v>
      </c>
      <c r="AW15" s="1006">
        <f>-AW9</f>
        <v>-8866046154</v>
      </c>
      <c r="AX15" s="559">
        <f>-SUM('WS Konsol'!AF707:AF718)</f>
        <v>-603673514</v>
      </c>
      <c r="AY15" s="1010">
        <f>68879296*0</f>
        <v>0</v>
      </c>
      <c r="AZ15" s="551"/>
      <c r="BA15" s="551">
        <f>-BA9</f>
        <v>-520551680</v>
      </c>
      <c r="BB15" s="551"/>
      <c r="BC15" s="551"/>
      <c r="BD15" s="551"/>
      <c r="BE15" s="551"/>
      <c r="BF15" s="551"/>
    </row>
    <row r="16" spans="1:58" ht="12.75" customHeight="1">
      <c r="A16" s="1002" t="s">
        <v>240</v>
      </c>
      <c r="B16" s="1003">
        <f t="shared" si="2"/>
        <v>0</v>
      </c>
      <c r="C16" s="1001"/>
      <c r="D16" s="551"/>
      <c r="E16" s="551"/>
      <c r="F16" s="551"/>
      <c r="G16" s="551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  <c r="W16" s="551"/>
      <c r="X16" s="551"/>
      <c r="Y16" s="551"/>
      <c r="Z16" s="559"/>
      <c r="AA16" s="559"/>
      <c r="AB16" s="559"/>
      <c r="AC16" s="559"/>
      <c r="AD16" s="551"/>
      <c r="AE16" s="551"/>
      <c r="AF16" s="551"/>
      <c r="AG16" s="551"/>
      <c r="AH16" s="551"/>
      <c r="AI16" s="559"/>
      <c r="AJ16" s="559"/>
      <c r="AK16" s="559"/>
      <c r="AL16" s="551"/>
      <c r="AM16" s="551"/>
      <c r="AN16" s="551"/>
      <c r="AO16" s="551"/>
      <c r="AP16" s="551"/>
      <c r="AQ16" s="551"/>
      <c r="AR16" s="551"/>
      <c r="AS16" s="551"/>
      <c r="AT16" s="551"/>
      <c r="AU16" s="551"/>
      <c r="AV16" s="1006"/>
      <c r="AW16" s="1006"/>
      <c r="AX16" s="1011"/>
      <c r="AZ16" s="551"/>
      <c r="BA16" s="551"/>
      <c r="BB16" s="551"/>
      <c r="BC16" s="551"/>
      <c r="BD16" s="551"/>
      <c r="BE16" s="551"/>
      <c r="BF16" s="551"/>
    </row>
    <row r="17" spans="1:58" ht="12.75" customHeight="1">
      <c r="A17" s="1012" t="s">
        <v>241</v>
      </c>
      <c r="B17" s="1003">
        <f t="shared" si="2"/>
        <v>0</v>
      </c>
      <c r="C17" s="1001"/>
      <c r="D17" s="551"/>
      <c r="E17" s="551"/>
      <c r="F17" s="551"/>
      <c r="G17" s="551"/>
      <c r="H17" s="551"/>
      <c r="I17" s="551"/>
      <c r="J17" s="551"/>
      <c r="K17" s="551"/>
      <c r="L17" s="551"/>
      <c r="M17" s="551"/>
      <c r="N17" s="551"/>
      <c r="O17" s="551"/>
      <c r="P17" s="551"/>
      <c r="Q17" s="551"/>
      <c r="R17" s="551"/>
      <c r="S17" s="551"/>
      <c r="T17" s="551"/>
      <c r="U17" s="551"/>
      <c r="W17" s="551"/>
      <c r="X17" s="551"/>
      <c r="Y17" s="551"/>
      <c r="Z17" s="559"/>
      <c r="AA17" s="559"/>
      <c r="AB17" s="559"/>
      <c r="AC17" s="559"/>
      <c r="AD17" s="551"/>
      <c r="AE17" s="551"/>
      <c r="AF17" s="551"/>
      <c r="AG17" s="551"/>
      <c r="AH17" s="551"/>
      <c r="AI17" s="1006"/>
      <c r="AJ17" s="559"/>
      <c r="AK17" s="559"/>
      <c r="AL17" s="551"/>
      <c r="AM17" s="551"/>
      <c r="AN17" s="551"/>
      <c r="AO17" s="551"/>
      <c r="AP17" s="551"/>
      <c r="AQ17" s="551"/>
      <c r="AR17" s="551"/>
      <c r="AS17" s="551"/>
      <c r="AT17" s="551"/>
      <c r="AU17" s="551"/>
      <c r="AV17" s="1006"/>
      <c r="AW17" s="1006"/>
      <c r="AX17" s="1006"/>
      <c r="AY17" s="551"/>
      <c r="AZ17" s="551"/>
      <c r="BA17" s="551"/>
      <c r="BB17" s="551"/>
      <c r="BC17" s="1013">
        <v>0</v>
      </c>
      <c r="BD17" s="551"/>
      <c r="BE17" s="551"/>
      <c r="BF17" s="551"/>
    </row>
    <row r="18" spans="1:58" ht="12.75" customHeight="1">
      <c r="A18" s="1012" t="s">
        <v>242</v>
      </c>
      <c r="B18" s="1003">
        <f t="shared" si="2"/>
        <v>0</v>
      </c>
      <c r="C18" s="1001"/>
      <c r="D18" s="551"/>
      <c r="E18" s="551"/>
      <c r="F18" s="551"/>
      <c r="G18" s="551"/>
      <c r="H18" s="551"/>
      <c r="I18" s="551"/>
      <c r="J18" s="551"/>
      <c r="K18" s="551"/>
      <c r="L18" s="551"/>
      <c r="M18" s="551"/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9"/>
      <c r="AA18" s="559"/>
      <c r="AB18" s="559"/>
      <c r="AC18" s="559"/>
      <c r="AD18" s="551"/>
      <c r="AE18" s="551"/>
      <c r="AF18" s="551"/>
      <c r="AG18" s="551"/>
      <c r="AH18" s="551"/>
      <c r="AI18" s="1006"/>
      <c r="AJ18" s="559"/>
      <c r="AL18" s="551"/>
      <c r="AM18" s="551"/>
      <c r="AN18" s="551"/>
      <c r="AO18" s="551"/>
      <c r="AP18" s="551"/>
      <c r="AQ18" s="551"/>
      <c r="AR18" s="551"/>
      <c r="AS18" s="551"/>
      <c r="AT18" s="551"/>
      <c r="AU18" s="551"/>
      <c r="AV18" s="1006"/>
      <c r="AW18" s="1006"/>
      <c r="AX18" s="1006"/>
      <c r="AY18" s="551"/>
      <c r="AZ18" s="551"/>
      <c r="BA18" s="551"/>
      <c r="BB18" s="551"/>
      <c r="BC18" s="1013"/>
      <c r="BD18" s="551"/>
      <c r="BE18" s="551"/>
      <c r="BF18" s="551"/>
    </row>
    <row r="19" spans="1:58" ht="12.75" customHeight="1">
      <c r="A19" s="1002" t="s">
        <v>243</v>
      </c>
      <c r="B19" s="1003">
        <f t="shared" si="2"/>
        <v>0</v>
      </c>
      <c r="C19" s="1001"/>
      <c r="D19" s="551"/>
      <c r="E19" s="551"/>
      <c r="F19" s="551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1"/>
      <c r="S19" s="551"/>
      <c r="T19" s="551"/>
      <c r="U19" s="551"/>
      <c r="V19" s="551"/>
      <c r="W19" s="551"/>
      <c r="X19" s="551"/>
      <c r="Y19" s="551"/>
      <c r="Z19" s="559"/>
      <c r="AA19" s="559"/>
      <c r="AB19" s="559"/>
      <c r="AC19" s="559"/>
      <c r="AD19" s="551"/>
      <c r="AE19" s="551"/>
      <c r="AF19" s="551"/>
      <c r="AG19" s="551"/>
      <c r="AH19" s="551"/>
      <c r="AI19" s="1006"/>
      <c r="AJ19" s="559"/>
      <c r="AK19" s="559"/>
      <c r="AL19" s="551"/>
      <c r="AM19" s="551"/>
      <c r="AN19" s="551"/>
      <c r="AO19" s="551"/>
      <c r="AP19" s="551"/>
      <c r="AQ19" s="551"/>
      <c r="AR19" s="551"/>
      <c r="AS19" s="551"/>
      <c r="AT19" s="551"/>
      <c r="AU19" s="551"/>
      <c r="AV19" s="1006"/>
      <c r="AW19" s="1006"/>
      <c r="AX19" s="1006"/>
      <c r="AY19" s="551"/>
      <c r="AZ19" s="551"/>
      <c r="BA19" s="551"/>
      <c r="BB19" s="551"/>
      <c r="BC19" s="551"/>
      <c r="BD19" s="551"/>
      <c r="BE19" s="551"/>
      <c r="BF19" s="973">
        <v>2993103253</v>
      </c>
    </row>
    <row r="20" spans="1:58" ht="12.75" customHeight="1">
      <c r="A20" s="1002" t="s">
        <v>244</v>
      </c>
      <c r="B20" s="1003">
        <f t="shared" si="2"/>
        <v>-9308297571</v>
      </c>
      <c r="C20" s="100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9"/>
      <c r="AA20" s="559"/>
      <c r="AB20" s="559"/>
      <c r="AC20" s="559"/>
      <c r="AD20" s="551"/>
      <c r="AE20" s="551"/>
      <c r="AF20" s="551"/>
      <c r="AG20" s="551"/>
      <c r="AH20" s="551"/>
      <c r="AI20" s="1006"/>
      <c r="AJ20" s="559"/>
      <c r="AK20" s="559"/>
      <c r="AL20" s="551"/>
      <c r="AM20" s="551"/>
      <c r="AN20" s="551"/>
      <c r="AO20" s="551"/>
      <c r="AP20" s="551"/>
      <c r="AQ20" s="551"/>
      <c r="AR20" s="551"/>
      <c r="AS20" s="551"/>
      <c r="AT20" s="551"/>
      <c r="AU20" s="551"/>
      <c r="AV20" s="1006"/>
      <c r="AW20" s="1006"/>
      <c r="AX20" s="1006"/>
      <c r="AY20" s="551"/>
      <c r="AZ20" s="551">
        <f>-AZ9</f>
        <v>-9308297571</v>
      </c>
      <c r="BA20" s="551"/>
      <c r="BB20" s="551"/>
      <c r="BC20" s="551"/>
      <c r="BD20" s="551"/>
      <c r="BE20" s="551" t="s">
        <v>245</v>
      </c>
      <c r="BF20" s="551">
        <f>-BA21</f>
        <v>0</v>
      </c>
    </row>
    <row r="21" spans="1:58" ht="12.75" customHeight="1">
      <c r="A21" s="1002" t="s">
        <v>246</v>
      </c>
      <c r="B21" s="1003">
        <f t="shared" si="2"/>
        <v>-2993103253</v>
      </c>
      <c r="C21" s="100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51"/>
      <c r="AB21" s="551"/>
      <c r="AC21" s="551"/>
      <c r="AD21" s="551"/>
      <c r="AE21" s="551"/>
      <c r="AF21" s="551"/>
      <c r="AG21" s="551"/>
      <c r="AH21" s="551"/>
      <c r="AI21" s="1014">
        <v>-2993103253</v>
      </c>
      <c r="AJ21" s="559"/>
      <c r="AK21" s="559"/>
      <c r="AL21" s="551"/>
      <c r="AM21" s="551"/>
      <c r="AN21" s="551"/>
      <c r="AO21" s="551"/>
      <c r="AP21" s="551"/>
      <c r="AQ21" s="551"/>
      <c r="AR21" s="551"/>
      <c r="AS21" s="551"/>
      <c r="AT21" s="551"/>
      <c r="AU21" s="551"/>
      <c r="AV21" s="551"/>
      <c r="AW21" s="551"/>
      <c r="AX21" s="1015"/>
      <c r="AY21" s="551"/>
      <c r="BA21" s="973"/>
      <c r="BB21" s="551"/>
      <c r="BC21" s="1016"/>
      <c r="BD21" s="551"/>
      <c r="BE21" s="1182" t="s">
        <v>247</v>
      </c>
      <c r="BF21" s="973">
        <f>BF19-BF20</f>
        <v>2993103253</v>
      </c>
    </row>
    <row r="22" spans="1:58" ht="12.75" customHeight="1">
      <c r="A22" s="1017" t="s">
        <v>248</v>
      </c>
      <c r="B22" s="1018">
        <f>SUM(B12:B21)</f>
        <v>-8837581318</v>
      </c>
      <c r="C22" s="1001"/>
      <c r="D22" s="551"/>
      <c r="E22" s="551"/>
      <c r="F22" s="551"/>
      <c r="G22" s="551"/>
      <c r="H22" s="551"/>
      <c r="I22" s="551"/>
      <c r="J22" s="551"/>
      <c r="K22" s="551"/>
      <c r="L22" s="551"/>
      <c r="M22" s="551"/>
      <c r="N22" s="551"/>
      <c r="O22" s="551"/>
      <c r="P22" s="551"/>
      <c r="Q22" s="551"/>
      <c r="R22" s="551"/>
      <c r="S22" s="551"/>
      <c r="T22" s="551"/>
      <c r="U22" s="551"/>
      <c r="V22" s="551"/>
      <c r="W22" s="551"/>
      <c r="X22" s="551"/>
      <c r="Y22" s="551"/>
      <c r="Z22" s="551"/>
      <c r="AA22" s="551"/>
      <c r="AB22" s="551"/>
      <c r="AC22" s="551"/>
      <c r="AD22" s="551"/>
      <c r="AE22" s="551"/>
      <c r="AF22" s="551"/>
      <c r="AG22" s="551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51"/>
      <c r="BC22" s="551"/>
      <c r="BD22" s="551"/>
      <c r="BE22" s="551"/>
      <c r="BF22" s="551"/>
    </row>
    <row r="23" spans="1:58" ht="12.75" customHeight="1">
      <c r="A23" s="1019"/>
      <c r="B23" s="1020"/>
      <c r="C23" s="100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51"/>
      <c r="AA23" s="551"/>
      <c r="AB23" s="551"/>
      <c r="AC23" s="551"/>
      <c r="AD23" s="551"/>
      <c r="AE23" s="551"/>
      <c r="AF23" s="551"/>
      <c r="AG23" s="551"/>
      <c r="AH23" s="551"/>
      <c r="AI23" s="551"/>
      <c r="AJ23" s="551"/>
      <c r="AK23" s="551"/>
      <c r="AL23" s="551"/>
      <c r="AM23" s="551"/>
      <c r="AN23" s="551"/>
      <c r="AO23" s="551"/>
      <c r="AP23" s="551"/>
      <c r="AQ23" s="551"/>
      <c r="AR23" s="551"/>
      <c r="AS23" s="551"/>
      <c r="AT23" s="551"/>
      <c r="AU23" s="551"/>
      <c r="AV23" s="551"/>
      <c r="AW23" s="551"/>
      <c r="AX23" s="551"/>
      <c r="AY23" s="551"/>
      <c r="AZ23" s="551"/>
      <c r="BA23" s="551"/>
      <c r="BB23" s="551"/>
      <c r="BC23" s="551"/>
      <c r="BD23" s="551"/>
      <c r="BE23" s="551" t="s">
        <v>249</v>
      </c>
      <c r="BF23" s="551">
        <v>1699681675</v>
      </c>
    </row>
    <row r="24" spans="1:58" ht="12.75" customHeight="1">
      <c r="A24" s="1002"/>
      <c r="B24" s="1020"/>
      <c r="C24" s="100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551"/>
      <c r="S24" s="551"/>
      <c r="T24" s="551"/>
      <c r="U24" s="551"/>
      <c r="V24" s="551"/>
      <c r="W24" s="551"/>
      <c r="X24" s="551"/>
      <c r="Y24" s="551"/>
      <c r="Z24" s="551"/>
      <c r="AA24" s="551"/>
      <c r="AB24" s="551"/>
      <c r="AC24" s="551"/>
      <c r="AD24" s="551"/>
      <c r="AE24" s="551"/>
      <c r="AF24" s="551"/>
      <c r="AG24" s="551"/>
      <c r="AH24" s="551"/>
      <c r="AI24" s="551"/>
      <c r="AJ24" s="551"/>
      <c r="AK24" s="551"/>
      <c r="AL24" s="551"/>
      <c r="AM24" s="551"/>
      <c r="AN24" s="551"/>
      <c r="AO24" s="551"/>
      <c r="AP24" s="551"/>
      <c r="AQ24" s="551"/>
      <c r="AR24" s="551"/>
      <c r="AS24" s="551"/>
      <c r="AT24" s="551"/>
      <c r="AU24" s="551"/>
      <c r="AV24" s="551"/>
      <c r="AW24" s="551"/>
      <c r="AX24" s="551"/>
      <c r="AY24" s="551"/>
      <c r="AZ24" s="551"/>
      <c r="BA24" s="551"/>
      <c r="BB24" s="551"/>
      <c r="BC24" s="551"/>
      <c r="BD24" s="551"/>
      <c r="BE24" s="551" t="s">
        <v>250</v>
      </c>
      <c r="BF24" s="551">
        <v>1164016240</v>
      </c>
    </row>
    <row r="25" spans="1:58" ht="12.75" customHeight="1">
      <c r="A25" s="1021" t="s">
        <v>251</v>
      </c>
      <c r="B25" s="1020"/>
      <c r="C25" s="100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51"/>
      <c r="AB25" s="551"/>
      <c r="AC25" s="551"/>
      <c r="AD25" s="551"/>
      <c r="AE25" s="551"/>
      <c r="AF25" s="551"/>
      <c r="AG25" s="551"/>
      <c r="AH25" s="551"/>
      <c r="AI25" s="551"/>
      <c r="AJ25" s="551"/>
      <c r="AK25" s="551"/>
      <c r="AL25" s="551"/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/>
      <c r="AY25" s="551"/>
      <c r="AZ25" s="551"/>
      <c r="BA25" s="551"/>
      <c r="BB25" s="551"/>
      <c r="BC25" s="551"/>
      <c r="BD25" s="551"/>
      <c r="BE25" s="1180" t="s">
        <v>252</v>
      </c>
      <c r="BF25" s="973">
        <f>SUM(BF23:BF24)</f>
        <v>2863697915</v>
      </c>
    </row>
    <row r="26" spans="1:58" ht="12.75" customHeight="1">
      <c r="A26" s="1002"/>
      <c r="B26" s="1020"/>
      <c r="C26" s="1001"/>
      <c r="D26" s="551"/>
      <c r="E26" s="551"/>
      <c r="F26" s="551"/>
      <c r="G26" s="551"/>
      <c r="H26" s="551"/>
      <c r="I26" s="551"/>
      <c r="J26" s="551"/>
      <c r="K26" s="551"/>
      <c r="L26" s="551"/>
      <c r="M26" s="551"/>
      <c r="N26" s="551"/>
      <c r="O26" s="551"/>
      <c r="P26" s="551"/>
      <c r="Q26" s="551"/>
      <c r="R26" s="551"/>
      <c r="S26" s="551"/>
      <c r="T26" s="551"/>
      <c r="U26" s="551"/>
      <c r="V26" s="551"/>
      <c r="W26" s="551"/>
      <c r="X26" s="551"/>
      <c r="Y26" s="551"/>
      <c r="Z26" s="551"/>
      <c r="AA26" s="551"/>
      <c r="AB26" s="551"/>
      <c r="AC26" s="551"/>
      <c r="AD26" s="551"/>
      <c r="AE26" s="551"/>
      <c r="AF26" s="551"/>
      <c r="AG26" s="551"/>
      <c r="AH26" s="551"/>
      <c r="AI26" s="551"/>
      <c r="AJ26" s="551"/>
      <c r="AK26" s="551"/>
      <c r="AL26" s="551"/>
      <c r="AM26" s="551"/>
      <c r="AN26" s="551"/>
      <c r="AO26" s="551"/>
      <c r="AP26" s="551"/>
      <c r="AQ26" s="551"/>
      <c r="AR26" s="551"/>
      <c r="AS26" s="551"/>
      <c r="AT26" s="551"/>
      <c r="AU26" s="551"/>
      <c r="AV26" s="551"/>
      <c r="AW26" s="551"/>
      <c r="AX26" s="551"/>
      <c r="AY26" s="551"/>
      <c r="AZ26" s="551"/>
      <c r="BA26" s="551"/>
      <c r="BB26" s="551"/>
      <c r="BC26" s="551"/>
      <c r="BD26" s="551"/>
      <c r="BE26" s="1180" t="s">
        <v>247</v>
      </c>
      <c r="BF26" s="973">
        <f>BF19-BF25</f>
        <v>129405338</v>
      </c>
    </row>
    <row r="27" spans="1:58" ht="12.75" customHeight="1">
      <c r="A27" s="1021" t="s">
        <v>253</v>
      </c>
      <c r="B27" s="1020"/>
      <c r="C27" s="1001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1"/>
      <c r="S27" s="551"/>
      <c r="T27" s="551"/>
      <c r="U27" s="551"/>
      <c r="V27" s="551"/>
      <c r="W27" s="551"/>
      <c r="X27" s="551"/>
      <c r="Y27" s="551"/>
      <c r="Z27" s="551"/>
      <c r="AA27" s="551"/>
      <c r="AB27" s="551"/>
      <c r="AC27" s="551"/>
      <c r="AD27" s="551"/>
      <c r="AE27" s="551"/>
      <c r="AF27" s="551"/>
      <c r="AG27" s="551"/>
      <c r="AH27" s="551"/>
      <c r="AI27" s="551"/>
      <c r="AJ27" s="551"/>
      <c r="AK27" s="551"/>
      <c r="AL27" s="551"/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/>
      <c r="AY27" s="551"/>
      <c r="AZ27" s="551"/>
      <c r="BA27" s="551"/>
      <c r="BB27" s="551"/>
      <c r="BC27" s="551"/>
      <c r="BD27" s="551"/>
      <c r="BE27" s="551"/>
      <c r="BF27" s="551"/>
    </row>
    <row r="28" spans="1:58" ht="12.75" customHeight="1">
      <c r="A28" s="1022" t="s">
        <v>254</v>
      </c>
      <c r="B28" s="1003">
        <f t="shared" ref="B28:B33" si="3">SUM(D28:BC28)</f>
        <v>0</v>
      </c>
      <c r="C28" s="1001"/>
      <c r="D28" s="551"/>
      <c r="E28" s="551"/>
      <c r="F28" s="551"/>
      <c r="G28" s="551"/>
      <c r="H28" s="551"/>
      <c r="I28" s="551"/>
      <c r="J28" s="551"/>
      <c r="K28" s="551"/>
      <c r="L28" s="551"/>
      <c r="M28" s="551"/>
      <c r="N28" s="551"/>
      <c r="O28" s="551"/>
      <c r="P28" s="1023"/>
      <c r="Q28" s="1023"/>
      <c r="R28" s="1023">
        <v>0</v>
      </c>
      <c r="S28" s="1023">
        <f>-S9</f>
        <v>0</v>
      </c>
      <c r="T28" s="1023"/>
      <c r="U28" s="1023"/>
      <c r="V28" s="1023"/>
      <c r="W28" s="1023"/>
      <c r="X28" s="1023"/>
      <c r="Y28" s="1023"/>
      <c r="Z28" s="551"/>
      <c r="AA28" s="551"/>
      <c r="AB28" s="551"/>
      <c r="AC28" s="551"/>
      <c r="AD28" s="551"/>
      <c r="AE28" s="551"/>
      <c r="AF28" s="551"/>
      <c r="AG28" s="551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1023">
        <v>0</v>
      </c>
      <c r="AT28" s="1023">
        <f>-AT9</f>
        <v>0</v>
      </c>
      <c r="AU28" s="551"/>
      <c r="AV28" s="551"/>
      <c r="AW28" s="551"/>
      <c r="AX28" s="551"/>
      <c r="AY28" s="551"/>
      <c r="AZ28" s="551"/>
      <c r="BA28" s="551"/>
      <c r="BB28" s="551"/>
      <c r="BC28" s="551"/>
      <c r="BD28" s="551"/>
      <c r="BE28" s="551" t="s">
        <v>255</v>
      </c>
      <c r="BF28" s="551">
        <v>464326518</v>
      </c>
    </row>
    <row r="29" spans="1:58" ht="12.75" customHeight="1">
      <c r="A29" s="1002" t="s">
        <v>256</v>
      </c>
      <c r="B29" s="1003">
        <f t="shared" si="3"/>
        <v>0</v>
      </c>
      <c r="C29" s="1001"/>
      <c r="D29" s="551"/>
      <c r="E29" s="551"/>
      <c r="F29" s="551"/>
      <c r="G29" s="551"/>
      <c r="H29" s="551"/>
      <c r="I29" s="551"/>
      <c r="J29" s="551"/>
      <c r="K29" s="551"/>
      <c r="L29" s="551"/>
      <c r="M29" s="551"/>
      <c r="N29" s="551"/>
      <c r="O29" s="551"/>
      <c r="P29" s="551"/>
      <c r="Q29" s="551"/>
      <c r="R29" s="1023"/>
      <c r="S29" s="1023"/>
      <c r="T29" s="1023"/>
      <c r="U29" s="1023"/>
      <c r="V29" s="1023"/>
      <c r="W29" s="1023"/>
      <c r="X29" s="1023"/>
      <c r="Y29" s="1023"/>
      <c r="Z29" s="551"/>
      <c r="AA29" s="551"/>
      <c r="AB29" s="551"/>
      <c r="AC29" s="551"/>
      <c r="AD29" s="551"/>
      <c r="AE29" s="551"/>
      <c r="AF29" s="551"/>
      <c r="AG29" s="551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51"/>
      <c r="BC29" s="551"/>
      <c r="BD29" s="551"/>
      <c r="BE29" s="551"/>
      <c r="BF29" s="551">
        <v>478730259</v>
      </c>
    </row>
    <row r="30" spans="1:58" ht="12.75" customHeight="1">
      <c r="A30" s="1002" t="s">
        <v>257</v>
      </c>
      <c r="B30" s="1003">
        <f t="shared" si="3"/>
        <v>0</v>
      </c>
      <c r="C30" s="1001"/>
      <c r="D30" s="551"/>
      <c r="E30" s="551"/>
      <c r="F30" s="551"/>
      <c r="G30" s="551"/>
      <c r="H30" s="551"/>
      <c r="I30" s="551"/>
      <c r="J30" s="551"/>
      <c r="K30" s="551"/>
      <c r="L30" s="551"/>
      <c r="M30" s="551"/>
      <c r="N30" s="551"/>
      <c r="O30" s="551"/>
      <c r="P30" s="551"/>
      <c r="Q30" s="551"/>
      <c r="R30" s="1023"/>
      <c r="S30" s="1023"/>
      <c r="T30" s="1023"/>
      <c r="U30" s="1023"/>
      <c r="V30" s="1023"/>
      <c r="W30" s="1023"/>
      <c r="X30" s="1023"/>
      <c r="Y30" s="1023"/>
      <c r="Z30" s="551"/>
      <c r="AA30" s="551"/>
      <c r="AB30" s="551"/>
      <c r="AC30" s="551"/>
      <c r="AD30" s="551"/>
      <c r="AE30" s="551"/>
      <c r="AF30" s="551"/>
      <c r="AG30" s="551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51"/>
      <c r="BC30" s="551"/>
      <c r="BD30" s="551"/>
      <c r="BE30" s="551"/>
      <c r="BF30" s="551">
        <v>97162281</v>
      </c>
    </row>
    <row r="31" spans="1:58" ht="12.75" customHeight="1">
      <c r="A31" s="1002" t="s">
        <v>258</v>
      </c>
      <c r="B31" s="1003">
        <f t="shared" si="3"/>
        <v>0</v>
      </c>
      <c r="C31" s="100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1"/>
      <c r="P31" s="551"/>
      <c r="Q31" s="551"/>
      <c r="R31" s="1023"/>
      <c r="S31" s="1023"/>
      <c r="T31" s="1023"/>
      <c r="U31" s="1023"/>
      <c r="V31" s="1023"/>
      <c r="W31" s="1023"/>
      <c r="X31" s="1023"/>
      <c r="Y31" s="1023"/>
      <c r="Z31" s="551"/>
      <c r="AA31" s="551"/>
      <c r="AB31" s="551"/>
      <c r="AC31" s="551"/>
      <c r="AD31" s="551"/>
      <c r="AE31" s="551"/>
      <c r="AF31" s="551"/>
      <c r="AG31" s="551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  <c r="AS31" s="551"/>
      <c r="AT31" s="551"/>
      <c r="AU31" s="551"/>
      <c r="AV31" s="551"/>
      <c r="AW31" s="551"/>
      <c r="AX31" s="551"/>
      <c r="AY31" s="1004"/>
      <c r="AZ31" s="1004"/>
      <c r="BA31" s="551"/>
      <c r="BB31" s="551"/>
      <c r="BC31" s="551"/>
      <c r="BD31" s="551"/>
      <c r="BE31" s="973" t="s">
        <v>259</v>
      </c>
      <c r="BF31" s="973">
        <f>SUM(BF28:BF30)</f>
        <v>1040219058</v>
      </c>
    </row>
    <row r="32" spans="1:58" ht="12.75" customHeight="1">
      <c r="A32" s="1002" t="s">
        <v>260</v>
      </c>
      <c r="B32" s="1003">
        <f t="shared" si="3"/>
        <v>0</v>
      </c>
      <c r="C32" s="100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1"/>
      <c r="P32" s="551"/>
      <c r="Q32" s="551"/>
      <c r="R32" s="1023"/>
      <c r="S32" s="1023"/>
      <c r="T32" s="1023"/>
      <c r="U32" s="1023"/>
      <c r="V32" s="1023"/>
      <c r="W32" s="1023"/>
      <c r="X32" s="1023"/>
      <c r="Y32" s="1023"/>
      <c r="Z32" s="551"/>
      <c r="AA32" s="551"/>
      <c r="AB32" s="551"/>
      <c r="AC32" s="551"/>
      <c r="AD32" s="551"/>
      <c r="AE32" s="551"/>
      <c r="AF32" s="551"/>
      <c r="AG32" s="551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1004"/>
      <c r="AZ32" s="1004"/>
      <c r="BA32" s="551"/>
      <c r="BB32" s="551"/>
      <c r="BC32" s="551"/>
      <c r="BD32" s="551"/>
      <c r="BE32" s="973"/>
      <c r="BF32" s="973"/>
    </row>
    <row r="33" spans="1:58" ht="12.75" customHeight="1">
      <c r="A33" s="1002" t="s">
        <v>261</v>
      </c>
      <c r="B33" s="1003">
        <f t="shared" si="3"/>
        <v>0</v>
      </c>
      <c r="C33" s="100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1023"/>
      <c r="S33" s="1023"/>
      <c r="T33" s="1023"/>
      <c r="U33" s="1023"/>
      <c r="V33" s="1023"/>
      <c r="W33" s="1023"/>
      <c r="X33" s="1023"/>
      <c r="Y33" s="1023"/>
      <c r="Z33" s="551"/>
      <c r="AA33" s="551"/>
      <c r="AB33" s="551"/>
      <c r="AC33" s="551"/>
      <c r="AD33" s="551"/>
      <c r="AE33" s="551"/>
      <c r="AF33" s="551"/>
      <c r="AG33" s="551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551"/>
      <c r="BD33" s="551"/>
      <c r="BE33" s="551" t="s">
        <v>262</v>
      </c>
      <c r="BF33" s="551">
        <v>1063969216</v>
      </c>
    </row>
    <row r="34" spans="1:58" ht="12.75" customHeight="1">
      <c r="A34" s="1002" t="s">
        <v>263</v>
      </c>
      <c r="B34" s="1024">
        <f>SUM(B28:B33)</f>
        <v>0</v>
      </c>
      <c r="C34" s="1001"/>
      <c r="D34" s="551"/>
      <c r="E34" s="551"/>
      <c r="F34" s="551"/>
      <c r="G34" s="551"/>
      <c r="H34" s="551"/>
      <c r="I34" s="551"/>
      <c r="J34" s="551"/>
      <c r="K34" s="551"/>
      <c r="L34" s="551"/>
      <c r="M34" s="551"/>
      <c r="N34" s="551"/>
      <c r="O34" s="551"/>
      <c r="P34" s="551"/>
      <c r="Q34" s="551"/>
      <c r="R34" s="551"/>
      <c r="S34" s="551"/>
      <c r="T34" s="551"/>
      <c r="U34" s="551"/>
      <c r="V34" s="551"/>
      <c r="W34" s="551"/>
      <c r="X34" s="551"/>
      <c r="Y34" s="551"/>
      <c r="Z34" s="551"/>
      <c r="AA34" s="551"/>
      <c r="AB34" s="551"/>
      <c r="AC34" s="551"/>
      <c r="AD34" s="551"/>
      <c r="AE34" s="551"/>
      <c r="AF34" s="551"/>
      <c r="AG34" s="551"/>
      <c r="AH34" s="551"/>
      <c r="AI34" s="551"/>
      <c r="AJ34" s="551"/>
      <c r="AK34" s="551"/>
      <c r="AL34" s="551"/>
      <c r="AM34" s="551"/>
      <c r="AN34" s="551"/>
      <c r="AO34" s="551"/>
      <c r="AP34" s="551"/>
      <c r="AQ34" s="551"/>
      <c r="AR34" s="551"/>
      <c r="AS34" s="551"/>
      <c r="AT34" s="551"/>
      <c r="AU34" s="551"/>
      <c r="AV34" s="551"/>
      <c r="AW34" s="551"/>
      <c r="AX34" s="551"/>
      <c r="AY34" s="551"/>
      <c r="AZ34" s="551"/>
      <c r="BA34" s="551"/>
      <c r="BB34" s="551"/>
      <c r="BC34" s="551"/>
      <c r="BD34" s="551"/>
      <c r="BE34" s="551"/>
      <c r="BF34" s="551">
        <v>577405049</v>
      </c>
    </row>
    <row r="35" spans="1:58" ht="12.75" customHeight="1">
      <c r="A35" s="1002"/>
      <c r="B35" s="1003"/>
      <c r="C35" s="100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1"/>
      <c r="P35" s="551"/>
      <c r="Q35" s="551"/>
      <c r="R35" s="551"/>
      <c r="S35" s="551"/>
      <c r="T35" s="551"/>
      <c r="U35" s="551"/>
      <c r="V35" s="551"/>
      <c r="W35" s="551"/>
      <c r="X35" s="551"/>
      <c r="Y35" s="551"/>
      <c r="Z35" s="551"/>
      <c r="AA35" s="551"/>
      <c r="AB35" s="551"/>
      <c r="AC35" s="551"/>
      <c r="AD35" s="551"/>
      <c r="AE35" s="551"/>
      <c r="AF35" s="551"/>
      <c r="AG35" s="551"/>
      <c r="AH35" s="551"/>
      <c r="AI35" s="551"/>
      <c r="AJ35" s="551"/>
      <c r="AK35" s="551"/>
      <c r="AL35" s="551"/>
      <c r="AM35" s="551"/>
      <c r="AN35" s="551"/>
      <c r="AO35" s="551"/>
      <c r="AP35" s="551"/>
      <c r="AQ35" s="551"/>
      <c r="AR35" s="551"/>
      <c r="AS35" s="551"/>
      <c r="AT35" s="551"/>
      <c r="AU35" s="551"/>
      <c r="AV35" s="551"/>
      <c r="AW35" s="551"/>
      <c r="AX35" s="551"/>
      <c r="AY35" s="551"/>
      <c r="AZ35" s="551"/>
      <c r="BA35" s="551"/>
      <c r="BB35" s="551"/>
      <c r="BC35" s="551"/>
      <c r="BD35" s="551"/>
      <c r="BE35" s="973" t="s">
        <v>264</v>
      </c>
      <c r="BF35" s="973">
        <f>SUM(BF33:BF34)</f>
        <v>1641374265</v>
      </c>
    </row>
    <row r="36" spans="1:58" ht="12.75" customHeight="1">
      <c r="A36" s="1021" t="s">
        <v>265</v>
      </c>
      <c r="B36" s="1025"/>
      <c r="C36" s="100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1"/>
      <c r="P36" s="551"/>
      <c r="Q36" s="551"/>
      <c r="R36" s="551"/>
      <c r="S36" s="551"/>
      <c r="T36" s="551"/>
      <c r="U36" s="551"/>
      <c r="V36" s="551"/>
      <c r="W36" s="551"/>
      <c r="X36" s="551"/>
      <c r="Y36" s="551"/>
      <c r="Z36" s="551"/>
      <c r="AA36" s="551"/>
      <c r="AB36" s="551"/>
      <c r="AC36" s="551"/>
      <c r="AD36" s="551"/>
      <c r="AE36" s="551"/>
      <c r="AF36" s="551"/>
      <c r="AG36" s="551"/>
      <c r="AH36" s="551"/>
      <c r="AI36" s="551"/>
      <c r="AJ36" s="551"/>
      <c r="AK36" s="551"/>
      <c r="AL36" s="551"/>
      <c r="AM36" s="551"/>
      <c r="AN36" s="551"/>
      <c r="AO36" s="551"/>
      <c r="AP36" s="551"/>
      <c r="AQ36" s="551"/>
      <c r="AR36" s="551"/>
      <c r="AS36" s="551"/>
      <c r="AT36" s="551"/>
      <c r="AU36" s="551"/>
      <c r="AV36" s="551"/>
      <c r="AW36" s="551"/>
      <c r="AX36" s="551"/>
      <c r="AY36" s="551"/>
      <c r="AZ36" s="551"/>
      <c r="BA36" s="551"/>
      <c r="BB36" s="551"/>
      <c r="BC36" s="551"/>
      <c r="BD36" s="551"/>
      <c r="BE36" s="973" t="s">
        <v>266</v>
      </c>
      <c r="BF36" s="1181">
        <f>BF35+BF31</f>
        <v>2681593323</v>
      </c>
    </row>
    <row r="37" spans="1:58" ht="12.75" customHeight="1">
      <c r="A37" s="1002" t="s">
        <v>267</v>
      </c>
      <c r="B37" s="1003">
        <f>SUM(E37:BC37)</f>
        <v>369706236685</v>
      </c>
      <c r="C37" s="1001"/>
      <c r="E37" s="551"/>
      <c r="F37" s="551"/>
      <c r="G37" s="551"/>
      <c r="H37" s="551"/>
      <c r="I37" s="551"/>
      <c r="J37" s="551"/>
      <c r="K37" s="551"/>
      <c r="L37" s="551"/>
      <c r="M37" s="551"/>
      <c r="N37" s="551"/>
      <c r="O37" s="551"/>
      <c r="P37" s="551"/>
      <c r="Q37" s="551"/>
      <c r="R37" s="551"/>
      <c r="S37" s="551"/>
      <c r="T37" s="551"/>
      <c r="U37" s="551"/>
      <c r="V37" s="551"/>
      <c r="W37" s="551"/>
      <c r="X37" s="551">
        <v>369706236685</v>
      </c>
      <c r="Z37" s="551"/>
      <c r="AA37" s="551"/>
      <c r="AB37" s="551"/>
      <c r="AC37" s="551"/>
      <c r="AD37" s="551"/>
      <c r="AE37" s="551"/>
      <c r="AF37" s="551"/>
      <c r="AG37" s="551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1"/>
      <c r="BD37" s="551"/>
      <c r="BE37" s="1180" t="s">
        <v>247</v>
      </c>
      <c r="BF37" s="973">
        <f>BF36-BF21</f>
        <v>-311509930</v>
      </c>
    </row>
    <row r="38" spans="1:58" ht="12.75" customHeight="1">
      <c r="A38" s="1002" t="s">
        <v>268</v>
      </c>
      <c r="B38" s="1003">
        <f>SUM(E38:BC38)</f>
        <v>-361652935773</v>
      </c>
      <c r="C38" s="100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>
        <v>-359714935773</v>
      </c>
      <c r="Y38" s="551">
        <f>-Y9</f>
        <v>-1938000000</v>
      </c>
      <c r="Z38" s="551"/>
      <c r="AA38" s="551"/>
      <c r="AB38" s="551"/>
      <c r="AC38" s="551"/>
      <c r="AD38" s="551"/>
      <c r="AE38" s="551"/>
      <c r="AF38" s="551"/>
      <c r="AG38" s="551"/>
      <c r="AI38" s="551"/>
      <c r="AJ38" s="551"/>
      <c r="AK38" s="551"/>
      <c r="AL38" s="551"/>
      <c r="AM38" s="551"/>
      <c r="AN38" s="551"/>
      <c r="AO38" s="551"/>
      <c r="AP38" s="551"/>
      <c r="AQ38" s="551"/>
      <c r="AR38" s="551"/>
      <c r="AS38" s="551"/>
      <c r="AT38" s="551"/>
      <c r="AU38" s="551"/>
      <c r="AV38" s="551"/>
      <c r="AW38" s="551"/>
      <c r="AX38" s="551"/>
      <c r="AY38" s="551"/>
      <c r="AZ38" s="551"/>
      <c r="BA38" s="551"/>
      <c r="BB38" s="551"/>
      <c r="BC38" s="551"/>
      <c r="BD38" s="551"/>
      <c r="BE38" s="551"/>
      <c r="BF38" s="551">
        <f>BF26-BF37</f>
        <v>440915268</v>
      </c>
    </row>
    <row r="39" spans="1:58" ht="12.75" customHeight="1">
      <c r="A39" s="1002" t="s">
        <v>269</v>
      </c>
      <c r="B39" s="1003">
        <f t="shared" ref="B39:B43" si="4">SUM(D39:BC39)</f>
        <v>0</v>
      </c>
      <c r="C39" s="100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51"/>
      <c r="AB39" s="551"/>
      <c r="AC39" s="551"/>
      <c r="AD39" s="551"/>
      <c r="AE39" s="551"/>
      <c r="AF39" s="551"/>
      <c r="AG39" s="551"/>
      <c r="AH39" s="551"/>
      <c r="AI39" s="551"/>
      <c r="AJ39" s="551"/>
      <c r="AK39" s="551"/>
      <c r="AL39" s="551"/>
      <c r="AM39" s="551"/>
      <c r="AN39" s="551"/>
      <c r="AO39" s="551"/>
      <c r="AP39" s="551"/>
      <c r="AQ39" s="551"/>
      <c r="AR39" s="551"/>
      <c r="AS39" s="551"/>
      <c r="AT39" s="551"/>
      <c r="AU39" s="551"/>
      <c r="AV39" s="551"/>
      <c r="AW39" s="551"/>
      <c r="AX39" s="551"/>
      <c r="AY39" s="551"/>
      <c r="AZ39" s="551"/>
      <c r="BA39" s="551"/>
      <c r="BB39" s="551"/>
      <c r="BC39" s="551"/>
      <c r="BD39" s="551"/>
      <c r="BE39" s="551"/>
      <c r="BF39" s="551"/>
    </row>
    <row r="40" spans="1:58" ht="12.75" customHeight="1">
      <c r="A40" s="1002" t="s">
        <v>270</v>
      </c>
      <c r="B40" s="1003">
        <f t="shared" si="4"/>
        <v>-624277457</v>
      </c>
      <c r="C40" s="1001"/>
      <c r="D40" s="551"/>
      <c r="E40" s="551"/>
      <c r="F40" s="551"/>
      <c r="G40" s="551"/>
      <c r="H40" s="551"/>
      <c r="I40" s="551"/>
      <c r="J40" s="551"/>
      <c r="K40" s="551"/>
      <c r="L40" s="551"/>
      <c r="M40" s="551"/>
      <c r="N40" s="551"/>
      <c r="O40" s="551"/>
      <c r="P40" s="551"/>
      <c r="Q40" s="551"/>
      <c r="R40" s="551"/>
      <c r="S40" s="551"/>
      <c r="T40" s="551"/>
      <c r="U40" s="551"/>
      <c r="V40" s="551"/>
      <c r="W40" s="551"/>
      <c r="X40" s="551"/>
      <c r="Y40" s="551"/>
      <c r="Z40" s="551"/>
      <c r="AA40" s="551"/>
      <c r="AB40" s="551"/>
      <c r="AC40" s="551"/>
      <c r="AD40" s="551"/>
      <c r="AE40" s="551"/>
      <c r="AF40" s="551">
        <f>-'BS Konsol'!L68</f>
        <v>-624277457</v>
      </c>
      <c r="AG40" s="551"/>
      <c r="AH40" s="551"/>
      <c r="AI40" s="551"/>
      <c r="AJ40" s="551"/>
      <c r="AK40" s="551"/>
      <c r="AL40" s="551"/>
      <c r="AM40" s="551"/>
      <c r="AN40" s="551"/>
      <c r="AO40" s="551"/>
      <c r="AP40" s="551"/>
      <c r="AQ40" s="551"/>
      <c r="AR40" s="551"/>
      <c r="AS40" s="551"/>
      <c r="AT40" s="551"/>
      <c r="AU40" s="551"/>
      <c r="AV40" s="551"/>
      <c r="AW40" s="551"/>
      <c r="AX40" s="551"/>
      <c r="AY40" s="551"/>
      <c r="AZ40" s="551"/>
      <c r="BA40" s="551"/>
      <c r="BB40" s="551"/>
      <c r="BC40" s="551"/>
      <c r="BD40" s="551"/>
      <c r="BE40" s="551"/>
      <c r="BF40" s="551"/>
    </row>
    <row r="41" spans="1:58" ht="12.75" customHeight="1">
      <c r="A41" s="1002" t="s">
        <v>271</v>
      </c>
      <c r="B41" s="1003">
        <f t="shared" si="4"/>
        <v>0</v>
      </c>
      <c r="C41" s="1001"/>
      <c r="D41" s="551"/>
      <c r="E41" s="551"/>
      <c r="F41" s="551"/>
      <c r="G41" s="551"/>
      <c r="H41" s="551"/>
      <c r="I41" s="551"/>
      <c r="J41" s="551"/>
      <c r="K41" s="551"/>
      <c r="L41" s="551"/>
      <c r="M41" s="551"/>
      <c r="N41" s="551"/>
      <c r="O41" s="551"/>
      <c r="P41" s="551"/>
      <c r="Q41" s="551"/>
      <c r="R41" s="551"/>
      <c r="S41" s="551"/>
      <c r="T41" s="551"/>
      <c r="U41" s="551"/>
      <c r="V41" s="551"/>
      <c r="W41" s="551"/>
      <c r="X41" s="551"/>
      <c r="Y41" s="551"/>
      <c r="Z41" s="551"/>
      <c r="AA41" s="551"/>
      <c r="AB41" s="551"/>
      <c r="AC41" s="551"/>
      <c r="AD41" s="551"/>
      <c r="AE41" s="551"/>
      <c r="AF41" s="551"/>
      <c r="AG41" s="551"/>
      <c r="AH41" s="551"/>
      <c r="AI41" s="551"/>
      <c r="AJ41" s="551"/>
      <c r="AK41" s="551"/>
      <c r="AL41" s="551">
        <f>-AL9</f>
        <v>15000000000</v>
      </c>
      <c r="AM41" s="551"/>
      <c r="AN41" s="551"/>
      <c r="AO41" s="551"/>
      <c r="AP41" s="551"/>
      <c r="AQ41" s="551"/>
      <c r="AR41" s="551">
        <f>-AR9</f>
        <v>-15000000000</v>
      </c>
      <c r="AS41" s="551"/>
      <c r="AT41" s="551"/>
      <c r="AU41" s="551"/>
      <c r="AV41" s="551"/>
      <c r="AW41" s="551"/>
      <c r="AX41" s="551"/>
      <c r="AY41" s="551"/>
      <c r="AZ41" s="551"/>
      <c r="BA41" s="551"/>
      <c r="BB41" s="551"/>
      <c r="BC41" s="551"/>
      <c r="BD41" s="551"/>
      <c r="BE41" s="551"/>
      <c r="BF41" s="551"/>
    </row>
    <row r="42" spans="1:58" ht="12.75" customHeight="1">
      <c r="A42" s="1002" t="s">
        <v>272</v>
      </c>
      <c r="B42" s="1003">
        <f t="shared" si="4"/>
        <v>0</v>
      </c>
      <c r="C42" s="1001"/>
      <c r="D42" s="551"/>
      <c r="E42" s="551"/>
      <c r="F42" s="551"/>
      <c r="G42" s="551"/>
      <c r="H42" s="551"/>
      <c r="I42" s="551"/>
      <c r="J42" s="551"/>
      <c r="K42" s="551"/>
      <c r="L42" s="551"/>
      <c r="M42" s="551"/>
      <c r="N42" s="551"/>
      <c r="O42" s="551"/>
      <c r="P42" s="551"/>
      <c r="Q42" s="551"/>
      <c r="R42" s="551"/>
      <c r="S42" s="551"/>
      <c r="T42" s="551"/>
      <c r="U42" s="551"/>
      <c r="V42" s="551"/>
      <c r="W42" s="551"/>
      <c r="X42" s="551"/>
      <c r="Y42" s="551"/>
      <c r="Z42" s="551"/>
      <c r="AA42" s="551"/>
      <c r="AB42" s="551"/>
      <c r="AC42" s="551"/>
      <c r="AD42" s="551"/>
      <c r="AE42" s="551"/>
      <c r="AF42" s="551"/>
      <c r="AG42" s="551"/>
      <c r="AH42" s="551"/>
      <c r="AI42" s="551"/>
      <c r="AJ42" s="551"/>
      <c r="AK42" s="551"/>
      <c r="AL42" s="551"/>
      <c r="AM42" s="551"/>
      <c r="AN42" s="551"/>
      <c r="AO42" s="551"/>
      <c r="AP42" s="551"/>
      <c r="AQ42" s="551"/>
      <c r="AR42" s="551"/>
      <c r="AS42" s="551"/>
      <c r="AT42" s="551"/>
      <c r="AU42" s="551"/>
      <c r="AV42" s="551"/>
      <c r="AW42" s="551"/>
      <c r="AX42" s="551"/>
      <c r="AY42" s="551"/>
      <c r="AZ42" s="551"/>
      <c r="BA42" s="551"/>
      <c r="BB42" s="551"/>
      <c r="BC42" s="551"/>
      <c r="BD42" s="551"/>
      <c r="BE42" s="551"/>
      <c r="BF42" s="551"/>
    </row>
    <row r="43" spans="1:58" ht="12.75" customHeight="1">
      <c r="A43" s="1002" t="s">
        <v>273</v>
      </c>
      <c r="B43" s="1003">
        <f t="shared" si="4"/>
        <v>-595676695</v>
      </c>
      <c r="C43" s="100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1"/>
      <c r="P43" s="551"/>
      <c r="Q43" s="551"/>
      <c r="R43" s="551"/>
      <c r="S43" s="551"/>
      <c r="T43" s="551"/>
      <c r="U43" s="551"/>
      <c r="V43" s="551"/>
      <c r="W43" s="551"/>
      <c r="X43" s="551"/>
      <c r="Y43" s="551"/>
      <c r="Z43" s="551"/>
      <c r="AA43" s="551"/>
      <c r="AB43" s="551"/>
      <c r="AC43" s="551"/>
      <c r="AD43" s="559"/>
      <c r="AE43" s="559">
        <f>-AE9</f>
        <v>-595676695</v>
      </c>
      <c r="AF43" s="551"/>
      <c r="AG43" s="551"/>
      <c r="AH43" s="551"/>
      <c r="AI43" s="551"/>
      <c r="AJ43" s="551"/>
      <c r="AK43" s="551"/>
      <c r="AL43" s="551"/>
      <c r="AM43" s="551"/>
      <c r="AN43" s="551"/>
      <c r="AO43" s="551"/>
      <c r="AP43" s="551"/>
      <c r="AQ43" s="551"/>
      <c r="AR43" s="551"/>
      <c r="AS43" s="551"/>
      <c r="AT43" s="551"/>
      <c r="AU43" s="551"/>
      <c r="AV43" s="551"/>
      <c r="AW43" s="551"/>
      <c r="AX43" s="551"/>
      <c r="AY43" s="551"/>
      <c r="AZ43" s="551"/>
      <c r="BA43" s="551"/>
      <c r="BB43" s="551"/>
      <c r="BC43" s="551"/>
      <c r="BD43" s="551"/>
      <c r="BE43" s="551"/>
      <c r="BF43" s="551"/>
    </row>
    <row r="44" spans="1:58" ht="12.75" customHeight="1">
      <c r="A44" s="1026" t="s">
        <v>274</v>
      </c>
      <c r="B44" s="1000">
        <f>SUM(B37:B43)</f>
        <v>6833346760</v>
      </c>
      <c r="C44" s="100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1"/>
      <c r="P44" s="551"/>
      <c r="Q44" s="551"/>
      <c r="R44" s="551"/>
      <c r="S44" s="551"/>
      <c r="T44" s="551"/>
      <c r="U44" s="551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M44" s="551"/>
      <c r="AN44" s="551"/>
      <c r="AO44" s="551"/>
      <c r="AP44" s="551"/>
      <c r="AQ44" s="551"/>
      <c r="AR44" s="551"/>
      <c r="AS44" s="551"/>
      <c r="AT44" s="551"/>
      <c r="AU44" s="551"/>
      <c r="AV44" s="551"/>
      <c r="AW44" s="551"/>
      <c r="AX44" s="551"/>
      <c r="AY44" s="551"/>
      <c r="AZ44" s="551"/>
      <c r="BA44" s="551"/>
      <c r="BB44" s="551"/>
      <c r="BC44" s="551"/>
      <c r="BD44" s="551"/>
      <c r="BE44" s="551"/>
      <c r="BF44" s="551"/>
    </row>
    <row r="45" spans="1:58" ht="12.75" customHeight="1">
      <c r="A45" s="1026"/>
      <c r="B45" s="1020"/>
      <c r="C45" s="100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51"/>
      <c r="AB45" s="551"/>
      <c r="AC45" s="551"/>
      <c r="AD45" s="551"/>
      <c r="AE45" s="551"/>
      <c r="AF45" s="551"/>
      <c r="AG45" s="551"/>
      <c r="AH45" s="551"/>
      <c r="AI45" s="551"/>
      <c r="AJ45" s="551"/>
      <c r="AK45" s="551"/>
      <c r="AL45" s="551"/>
      <c r="AM45" s="551"/>
      <c r="AN45" s="551"/>
      <c r="AO45" s="551"/>
      <c r="AP45" s="551"/>
      <c r="AQ45" s="551"/>
      <c r="AR45" s="551"/>
      <c r="AS45" s="551"/>
      <c r="AT45" s="551"/>
      <c r="AU45" s="551"/>
      <c r="AV45" s="551"/>
      <c r="AW45" s="551"/>
      <c r="AX45" s="551"/>
      <c r="AY45" s="551"/>
      <c r="AZ45" s="551"/>
      <c r="BA45" s="551"/>
      <c r="BB45" s="551"/>
      <c r="BC45" s="551"/>
      <c r="BD45" s="551"/>
      <c r="BE45" s="551"/>
      <c r="BF45" s="551"/>
    </row>
    <row r="46" spans="1:58" ht="12.75" customHeight="1">
      <c r="A46" s="1026" t="s">
        <v>275</v>
      </c>
      <c r="B46" s="1020"/>
      <c r="C46" s="1001"/>
      <c r="D46" s="551"/>
      <c r="E46" s="551"/>
      <c r="F46" s="551"/>
      <c r="G46" s="551"/>
      <c r="H46" s="551"/>
      <c r="I46" s="551"/>
      <c r="J46" s="551"/>
      <c r="K46" s="551"/>
      <c r="L46" s="551"/>
      <c r="M46" s="551"/>
      <c r="N46" s="551"/>
      <c r="O46" s="551"/>
      <c r="P46" s="551"/>
      <c r="Q46" s="551"/>
      <c r="R46" s="551"/>
      <c r="S46" s="551"/>
      <c r="T46" s="551"/>
      <c r="U46" s="551"/>
      <c r="V46" s="551"/>
      <c r="W46" s="551"/>
      <c r="X46" s="551"/>
      <c r="Y46" s="551"/>
      <c r="Z46" s="551"/>
      <c r="AA46" s="551"/>
      <c r="AB46" s="551"/>
      <c r="AC46" s="551"/>
      <c r="AD46" s="551"/>
      <c r="AE46" s="551"/>
      <c r="AF46" s="551"/>
      <c r="AG46" s="551"/>
      <c r="AH46" s="551"/>
      <c r="AI46" s="551"/>
      <c r="AJ46" s="551"/>
      <c r="AK46" s="551"/>
      <c r="AL46" s="551"/>
      <c r="AM46" s="551"/>
      <c r="AN46" s="551"/>
      <c r="AO46" s="551"/>
      <c r="AP46" s="551"/>
      <c r="AQ46" s="551"/>
      <c r="AR46" s="551"/>
      <c r="AS46" s="551"/>
      <c r="AT46" s="551"/>
      <c r="AU46" s="551"/>
      <c r="AV46" s="551"/>
      <c r="AW46" s="551"/>
      <c r="AX46" s="551"/>
      <c r="AY46" s="551"/>
      <c r="AZ46" s="551"/>
      <c r="BA46" s="551"/>
      <c r="BB46" s="551"/>
      <c r="BC46" s="551"/>
      <c r="BD46" s="551"/>
      <c r="BE46" s="551"/>
      <c r="BF46" s="551"/>
    </row>
    <row r="47" spans="1:58" ht="12.75" customHeight="1">
      <c r="A47" s="1026"/>
      <c r="B47" s="1020"/>
      <c r="C47" s="100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1"/>
      <c r="P47" s="551"/>
      <c r="Q47" s="551"/>
      <c r="R47" s="551"/>
      <c r="S47" s="551"/>
      <c r="T47" s="551"/>
      <c r="U47" s="551"/>
      <c r="V47" s="551"/>
      <c r="W47" s="551"/>
      <c r="X47" s="551"/>
      <c r="Y47" s="551"/>
      <c r="Z47" s="551"/>
      <c r="AA47" s="551"/>
      <c r="AB47" s="551"/>
      <c r="AC47" s="551"/>
      <c r="AD47" s="551"/>
      <c r="AE47" s="551"/>
      <c r="AF47" s="551"/>
      <c r="AG47" s="551"/>
      <c r="AH47" s="551"/>
      <c r="AI47" s="551"/>
      <c r="AJ47" s="551"/>
      <c r="AK47" s="551"/>
      <c r="AL47" s="551"/>
      <c r="AM47" s="551"/>
      <c r="AN47" s="551"/>
      <c r="AO47" s="551"/>
      <c r="AP47" s="551"/>
      <c r="AQ47" s="551"/>
      <c r="AR47" s="551"/>
      <c r="AS47" s="551"/>
      <c r="AT47" s="551"/>
      <c r="AU47" s="551"/>
      <c r="AV47" s="551"/>
      <c r="AW47" s="551"/>
      <c r="AX47" s="551"/>
      <c r="AY47" s="551"/>
      <c r="AZ47" s="551"/>
      <c r="BA47" s="551"/>
      <c r="BB47" s="551"/>
      <c r="BC47" s="551"/>
      <c r="BD47" s="551"/>
      <c r="BE47" s="551"/>
      <c r="BF47" s="551"/>
    </row>
    <row r="48" spans="1:58" ht="12.75" customHeight="1">
      <c r="A48" s="1002"/>
      <c r="B48" s="1020"/>
      <c r="C48" s="100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1"/>
      <c r="P48" s="551"/>
      <c r="Q48" s="551"/>
      <c r="R48" s="551"/>
      <c r="S48" s="551"/>
      <c r="T48" s="551"/>
      <c r="U48" s="551"/>
      <c r="V48" s="551"/>
      <c r="W48" s="551"/>
      <c r="X48" s="551"/>
      <c r="Y48" s="551"/>
      <c r="Z48" s="551"/>
      <c r="AA48" s="551"/>
      <c r="AB48" s="551"/>
      <c r="AC48" s="551"/>
      <c r="AD48" s="551"/>
      <c r="AE48" s="551"/>
      <c r="AF48" s="551"/>
      <c r="AG48" s="551"/>
      <c r="AH48" s="551"/>
      <c r="AI48" s="551"/>
      <c r="AJ48" s="551"/>
      <c r="AK48" s="551"/>
      <c r="AL48" s="551"/>
      <c r="AM48" s="551"/>
      <c r="AN48" s="551"/>
      <c r="AO48" s="551"/>
      <c r="AP48" s="551"/>
      <c r="AQ48" s="551"/>
      <c r="AR48" s="551"/>
      <c r="AS48" s="551"/>
      <c r="AT48" s="551"/>
      <c r="AU48" s="551"/>
      <c r="AV48" s="551"/>
      <c r="AW48" s="551"/>
      <c r="AX48" s="551"/>
      <c r="AY48" s="551"/>
      <c r="AZ48" s="551"/>
      <c r="BA48" s="551"/>
      <c r="BB48" s="551"/>
      <c r="BC48" s="551"/>
      <c r="BD48" s="551"/>
      <c r="BE48" s="551"/>
      <c r="BF48" s="551"/>
    </row>
    <row r="49" spans="1:58" ht="12.75" customHeight="1">
      <c r="A49" s="1021" t="s">
        <v>276</v>
      </c>
      <c r="B49" s="1020">
        <f>B44+B34+B22</f>
        <v>-2004234558</v>
      </c>
      <c r="C49" s="100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51"/>
      <c r="AB49" s="551"/>
      <c r="AC49" s="551"/>
      <c r="AD49" s="551"/>
      <c r="AE49" s="551"/>
      <c r="AF49" s="551"/>
      <c r="AG49" s="551"/>
      <c r="AH49" s="551"/>
      <c r="AI49" s="551"/>
      <c r="AJ49" s="551"/>
      <c r="AK49" s="551"/>
      <c r="AL49" s="551"/>
      <c r="AM49" s="551"/>
      <c r="AN49" s="551"/>
      <c r="AO49" s="551"/>
      <c r="AP49" s="551"/>
      <c r="AQ49" s="551"/>
      <c r="AR49" s="551"/>
      <c r="AS49" s="551"/>
      <c r="AT49" s="551"/>
      <c r="AU49" s="551"/>
      <c r="AV49" s="551"/>
      <c r="AW49" s="551"/>
      <c r="AX49" s="551"/>
      <c r="AY49" s="551"/>
      <c r="AZ49" s="551"/>
      <c r="BA49" s="551"/>
      <c r="BB49" s="551"/>
      <c r="BC49" s="551"/>
      <c r="BD49" s="551"/>
      <c r="BE49" s="551"/>
      <c r="BF49" s="551"/>
    </row>
    <row r="50" spans="1:58" ht="12.75" customHeight="1">
      <c r="A50" s="1021"/>
      <c r="B50" s="1020"/>
      <c r="C50" s="100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51"/>
      <c r="AB50" s="551"/>
      <c r="AC50" s="551"/>
      <c r="AD50" s="551"/>
      <c r="AE50" s="551"/>
      <c r="AF50" s="551"/>
      <c r="AG50" s="551"/>
      <c r="AH50" s="551"/>
      <c r="AI50" s="551"/>
      <c r="AJ50" s="551"/>
      <c r="AK50" s="551"/>
      <c r="AL50" s="551"/>
      <c r="AM50" s="551"/>
      <c r="AN50" s="551"/>
      <c r="AO50" s="551"/>
      <c r="AP50" s="551"/>
      <c r="AQ50" s="551"/>
      <c r="AR50" s="551"/>
      <c r="AS50" s="551"/>
      <c r="AT50" s="551"/>
      <c r="AU50" s="551"/>
      <c r="AV50" s="551"/>
      <c r="AW50" s="551"/>
      <c r="AX50" s="551"/>
      <c r="AY50" s="551"/>
      <c r="AZ50" s="551"/>
      <c r="BA50" s="551"/>
      <c r="BB50" s="551"/>
      <c r="BC50" s="551"/>
      <c r="BD50" s="551"/>
      <c r="BE50" s="551"/>
      <c r="BF50" s="551"/>
    </row>
    <row r="51" spans="1:58" ht="12.75" customHeight="1">
      <c r="A51" s="1021" t="s">
        <v>277</v>
      </c>
      <c r="B51" s="1020">
        <f>C8</f>
        <v>2570121355</v>
      </c>
      <c r="C51" s="1001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551"/>
      <c r="P51" s="551"/>
      <c r="Q51" s="551"/>
      <c r="R51" s="551"/>
      <c r="S51" s="551"/>
      <c r="T51" s="551"/>
      <c r="U51" s="551"/>
      <c r="V51" s="551"/>
      <c r="W51" s="551"/>
      <c r="X51" s="551"/>
      <c r="Y51" s="551"/>
      <c r="Z51" s="551"/>
      <c r="AA51" s="551"/>
      <c r="AB51" s="551"/>
      <c r="AC51" s="551"/>
      <c r="AD51" s="551"/>
      <c r="AE51" s="551"/>
      <c r="AF51" s="551"/>
      <c r="AG51" s="551"/>
      <c r="AH51" s="551"/>
      <c r="AI51" s="551"/>
      <c r="AJ51" s="551"/>
      <c r="AK51" s="551"/>
      <c r="AL51" s="551"/>
      <c r="AM51" s="551"/>
      <c r="AN51" s="551"/>
      <c r="AO51" s="551"/>
      <c r="AP51" s="551"/>
      <c r="AQ51" s="551"/>
      <c r="AR51" s="551"/>
      <c r="AS51" s="551"/>
      <c r="AT51" s="551"/>
      <c r="AU51" s="551"/>
      <c r="AV51" s="551"/>
      <c r="AW51" s="551"/>
      <c r="AX51" s="551"/>
      <c r="AY51" s="551"/>
      <c r="AZ51" s="551"/>
      <c r="BA51" s="551"/>
      <c r="BB51" s="551"/>
      <c r="BC51" s="551"/>
      <c r="BD51" s="551"/>
      <c r="BE51" s="551"/>
      <c r="BF51" s="551"/>
    </row>
    <row r="52" spans="1:58" ht="12.75" customHeight="1">
      <c r="A52" s="1021"/>
      <c r="B52" s="1020"/>
      <c r="C52" s="1001"/>
      <c r="D52" s="551"/>
      <c r="E52" s="551"/>
      <c r="F52" s="551"/>
      <c r="G52" s="551"/>
      <c r="H52" s="551"/>
      <c r="I52" s="551"/>
      <c r="J52" s="551"/>
      <c r="K52" s="551"/>
      <c r="L52" s="551"/>
      <c r="M52" s="551"/>
      <c r="N52" s="551"/>
      <c r="O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51"/>
      <c r="AA52" s="551"/>
      <c r="AB52" s="551"/>
      <c r="AC52" s="551"/>
      <c r="AD52" s="551"/>
      <c r="AE52" s="551"/>
      <c r="AF52" s="551"/>
      <c r="AG52" s="551"/>
      <c r="AH52" s="551"/>
      <c r="AI52" s="551"/>
      <c r="AJ52" s="551"/>
      <c r="AK52" s="551"/>
      <c r="AL52" s="551"/>
      <c r="AM52" s="551"/>
      <c r="AN52" s="551"/>
      <c r="AO52" s="551"/>
      <c r="AP52" s="551"/>
      <c r="AQ52" s="551"/>
      <c r="AR52" s="551"/>
      <c r="AS52" s="551"/>
      <c r="AT52" s="551"/>
      <c r="AU52" s="551"/>
      <c r="AV52" s="551"/>
      <c r="AW52" s="551"/>
      <c r="AX52" s="551"/>
      <c r="AY52" s="551"/>
      <c r="AZ52" s="551"/>
      <c r="BA52" s="551"/>
      <c r="BB52" s="551"/>
      <c r="BC52" s="551"/>
      <c r="BD52" s="551"/>
      <c r="BE52" s="551"/>
      <c r="BF52" s="551"/>
    </row>
    <row r="53" spans="1:58" ht="12.75" customHeight="1">
      <c r="A53" s="1027" t="s">
        <v>278</v>
      </c>
      <c r="B53" s="1028">
        <f>B49+B51</f>
        <v>565886797</v>
      </c>
      <c r="C53" s="1029"/>
      <c r="D53" s="1030"/>
      <c r="E53" s="1030"/>
      <c r="F53" s="1030"/>
      <c r="G53" s="1030"/>
      <c r="H53" s="1030"/>
      <c r="I53" s="1030"/>
      <c r="J53" s="1030"/>
      <c r="K53" s="1030"/>
      <c r="L53" s="1030"/>
      <c r="M53" s="1030"/>
      <c r="N53" s="1030"/>
      <c r="O53" s="1030"/>
      <c r="P53" s="1030"/>
      <c r="Q53" s="1030"/>
      <c r="R53" s="1030"/>
      <c r="S53" s="1030"/>
      <c r="T53" s="1030"/>
      <c r="U53" s="1030"/>
      <c r="V53" s="1030"/>
      <c r="W53" s="1030"/>
      <c r="X53" s="1030"/>
      <c r="Y53" s="1030"/>
      <c r="Z53" s="1030"/>
      <c r="AA53" s="1030"/>
      <c r="AB53" s="1030"/>
      <c r="AC53" s="1030"/>
      <c r="AD53" s="1030"/>
      <c r="AE53" s="1030"/>
      <c r="AF53" s="1030"/>
      <c r="AG53" s="1030"/>
      <c r="AH53" s="1030"/>
      <c r="AI53" s="1030"/>
      <c r="AJ53" s="1030"/>
      <c r="AK53" s="1030"/>
      <c r="AL53" s="1030"/>
      <c r="AM53" s="1030"/>
      <c r="AN53" s="1030"/>
      <c r="AO53" s="1030"/>
      <c r="AP53" s="1030"/>
      <c r="AQ53" s="1030"/>
      <c r="AR53" s="1030"/>
      <c r="AS53" s="1030"/>
      <c r="AT53" s="1030"/>
      <c r="AU53" s="1030"/>
      <c r="AV53" s="1030"/>
      <c r="AW53" s="551"/>
      <c r="AX53" s="551"/>
      <c r="AY53" s="551"/>
      <c r="AZ53" s="551"/>
      <c r="BA53" s="551"/>
      <c r="BB53" s="551"/>
      <c r="BC53" s="551"/>
      <c r="BD53" s="551"/>
      <c r="BE53" s="551"/>
      <c r="BF53" s="551"/>
    </row>
    <row r="54" spans="1:58" ht="12.75" customHeight="1">
      <c r="A54" s="1031"/>
      <c r="B54" s="551"/>
      <c r="C54" s="1032">
        <f t="shared" ref="C54:X54" si="5">SUM(C9:C53)</f>
        <v>-2004234558</v>
      </c>
      <c r="D54" s="1032">
        <f t="shared" si="5"/>
        <v>0</v>
      </c>
      <c r="E54" s="1032">
        <f t="shared" si="5"/>
        <v>0</v>
      </c>
      <c r="F54" s="1032">
        <f t="shared" si="5"/>
        <v>0</v>
      </c>
      <c r="G54" s="1032">
        <f t="shared" si="5"/>
        <v>0</v>
      </c>
      <c r="H54" s="1032">
        <f t="shared" si="5"/>
        <v>0</v>
      </c>
      <c r="I54" s="1032">
        <f t="shared" si="5"/>
        <v>0</v>
      </c>
      <c r="J54" s="1032">
        <f t="shared" si="5"/>
        <v>0</v>
      </c>
      <c r="K54" s="1032">
        <f t="shared" si="5"/>
        <v>0</v>
      </c>
      <c r="L54" s="1032">
        <f t="shared" si="5"/>
        <v>0</v>
      </c>
      <c r="M54" s="1032">
        <f t="shared" si="5"/>
        <v>0</v>
      </c>
      <c r="N54" s="1032">
        <f t="shared" si="5"/>
        <v>0</v>
      </c>
      <c r="O54" s="1032">
        <f t="shared" si="5"/>
        <v>0</v>
      </c>
      <c r="P54" s="1032">
        <f t="shared" si="5"/>
        <v>0</v>
      </c>
      <c r="Q54" s="1032">
        <f t="shared" si="5"/>
        <v>0</v>
      </c>
      <c r="R54" s="1032">
        <f t="shared" si="5"/>
        <v>0</v>
      </c>
      <c r="S54" s="1032">
        <f t="shared" si="5"/>
        <v>0</v>
      </c>
      <c r="T54" s="1032">
        <f t="shared" si="5"/>
        <v>0</v>
      </c>
      <c r="U54" s="1032">
        <f t="shared" si="5"/>
        <v>0</v>
      </c>
      <c r="V54" s="1032">
        <f t="shared" si="5"/>
        <v>0</v>
      </c>
      <c r="W54" s="1032">
        <f t="shared" si="5"/>
        <v>0</v>
      </c>
      <c r="X54" s="1032">
        <f t="shared" si="5"/>
        <v>0</v>
      </c>
      <c r="Y54" s="1032"/>
      <c r="Z54" s="1032">
        <f t="shared" ref="Z54:AO54" si="6">SUM(Z9:Z53)</f>
        <v>0</v>
      </c>
      <c r="AA54" s="1032">
        <f t="shared" si="6"/>
        <v>0</v>
      </c>
      <c r="AB54" s="1032">
        <f t="shared" si="6"/>
        <v>0</v>
      </c>
      <c r="AC54" s="1032">
        <f t="shared" si="6"/>
        <v>0</v>
      </c>
      <c r="AD54" s="1032">
        <f t="shared" si="6"/>
        <v>0</v>
      </c>
      <c r="AE54" s="1032">
        <f t="shared" si="6"/>
        <v>0</v>
      </c>
      <c r="AF54" s="1032">
        <f t="shared" si="6"/>
        <v>0</v>
      </c>
      <c r="AG54" s="1032">
        <f t="shared" si="6"/>
        <v>0</v>
      </c>
      <c r="AH54" s="1032">
        <f t="shared" si="6"/>
        <v>0</v>
      </c>
      <c r="AI54" s="1032">
        <f t="shared" si="6"/>
        <v>0</v>
      </c>
      <c r="AJ54" s="1032">
        <f t="shared" si="6"/>
        <v>0</v>
      </c>
      <c r="AK54" s="1032">
        <f t="shared" si="6"/>
        <v>0</v>
      </c>
      <c r="AL54" s="1032">
        <f t="shared" si="6"/>
        <v>0</v>
      </c>
      <c r="AM54" s="1032">
        <f t="shared" si="6"/>
        <v>0</v>
      </c>
      <c r="AN54" s="1032">
        <f t="shared" si="6"/>
        <v>0</v>
      </c>
      <c r="AO54" s="1032">
        <f t="shared" si="6"/>
        <v>0</v>
      </c>
      <c r="AP54" s="1032"/>
      <c r="AQ54" s="1032"/>
      <c r="AR54" s="1032"/>
      <c r="AS54" s="1032">
        <f>SUM(AS9:AS53)</f>
        <v>0</v>
      </c>
      <c r="AT54" s="1032">
        <f>SUM(AT9:AT53)</f>
        <v>0</v>
      </c>
      <c r="AU54" s="1032">
        <f>SUM(AU9:AU53)</f>
        <v>0</v>
      </c>
      <c r="AV54" s="1032">
        <f>SUM(AV9:AV53)</f>
        <v>0</v>
      </c>
      <c r="AW54" s="1032"/>
      <c r="AX54" s="1032">
        <f>SUM(AX9:AX53)</f>
        <v>0</v>
      </c>
      <c r="AY54" s="1032">
        <f>SUM(AY9:AY53)</f>
        <v>0</v>
      </c>
      <c r="AZ54" s="1032"/>
      <c r="BA54" s="1032">
        <f>SUM(BA9:BA53)</f>
        <v>0</v>
      </c>
      <c r="BB54" s="1032">
        <f>SUM(BB9:BB53)</f>
        <v>0</v>
      </c>
      <c r="BC54" s="1032">
        <f>SUM(BC9:BC53)</f>
        <v>0</v>
      </c>
      <c r="BD54" s="551">
        <f>SUM(D54:BC54)</f>
        <v>0</v>
      </c>
      <c r="BE54" s="551"/>
      <c r="BF54" s="551"/>
    </row>
    <row r="55" spans="1:58" ht="12.75" customHeight="1">
      <c r="A55" s="551"/>
      <c r="B55" s="551"/>
      <c r="C55" s="55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  <c r="Q55" s="551"/>
      <c r="R55" s="551"/>
      <c r="S55" s="551"/>
      <c r="T55" s="551"/>
      <c r="U55" s="551"/>
      <c r="V55" s="551"/>
      <c r="W55" s="551"/>
      <c r="X55" s="551"/>
      <c r="Y55" s="551"/>
      <c r="Z55" s="551"/>
      <c r="AA55" s="551"/>
      <c r="AB55" s="551"/>
      <c r="AC55" s="551"/>
      <c r="AD55" s="551"/>
      <c r="AE55" s="551"/>
      <c r="AF55" s="551"/>
      <c r="AG55" s="551"/>
      <c r="AH55" s="551"/>
      <c r="AI55" s="551"/>
      <c r="AJ55" s="551"/>
      <c r="AK55" s="551"/>
      <c r="AL55" s="551"/>
      <c r="AM55" s="551"/>
      <c r="AN55" s="551"/>
      <c r="AO55" s="551"/>
      <c r="AP55" s="551"/>
      <c r="AQ55" s="551"/>
      <c r="AR55" s="551"/>
      <c r="AS55" s="551"/>
      <c r="AT55" s="551"/>
      <c r="AU55" s="551"/>
      <c r="AV55" s="551"/>
      <c r="AW55" s="551"/>
      <c r="AX55" s="551"/>
      <c r="AY55" s="551"/>
      <c r="AZ55" s="551"/>
      <c r="BA55" s="551"/>
      <c r="BB55" s="551"/>
      <c r="BC55" s="551"/>
      <c r="BD55" s="551"/>
      <c r="BE55" s="551"/>
      <c r="BF55" s="551"/>
    </row>
    <row r="56" spans="1:58" ht="12.75" customHeight="1">
      <c r="A56" s="551"/>
      <c r="B56" s="551"/>
      <c r="C56" s="551"/>
      <c r="D56" s="551"/>
      <c r="E56" s="551"/>
      <c r="F56" s="551"/>
      <c r="G56" s="551"/>
      <c r="H56" s="551"/>
      <c r="I56" s="551"/>
      <c r="J56" s="551"/>
      <c r="K56" s="551"/>
      <c r="L56" s="551"/>
      <c r="M56" s="551"/>
      <c r="N56" s="551"/>
      <c r="O56" s="551"/>
      <c r="P56" s="551"/>
      <c r="Q56" s="551"/>
      <c r="R56" s="551"/>
      <c r="S56" s="551"/>
      <c r="T56" s="551"/>
      <c r="U56" s="551"/>
      <c r="V56" s="551"/>
      <c r="W56" s="551"/>
      <c r="X56" s="551"/>
      <c r="Y56" s="551"/>
      <c r="Z56" s="551"/>
      <c r="AA56" s="551"/>
      <c r="AB56" s="551"/>
      <c r="AC56" s="551"/>
      <c r="AD56" s="551"/>
      <c r="AE56" s="551"/>
      <c r="AF56" s="551"/>
      <c r="AG56" s="551"/>
      <c r="AH56" s="551"/>
      <c r="AI56" s="551"/>
      <c r="AJ56" s="551"/>
      <c r="AK56" s="551"/>
      <c r="AL56" s="551"/>
      <c r="AM56" s="551"/>
      <c r="AN56" s="551"/>
      <c r="AO56" s="551"/>
      <c r="AP56" s="551"/>
      <c r="AQ56" s="551"/>
      <c r="AR56" s="551"/>
      <c r="AS56" s="551"/>
      <c r="AT56" s="551"/>
      <c r="AU56" s="551"/>
      <c r="AV56" s="551"/>
      <c r="AW56" s="551"/>
      <c r="AX56" s="551"/>
      <c r="AY56" s="551"/>
      <c r="AZ56" s="551"/>
      <c r="BA56" s="551"/>
      <c r="BB56" s="551"/>
      <c r="BC56" s="551"/>
      <c r="BD56" s="551"/>
      <c r="BE56" s="551"/>
      <c r="BF56" s="551"/>
    </row>
    <row r="57" spans="1:58" ht="12.75" customHeight="1">
      <c r="A57" s="551"/>
      <c r="B57" s="1033">
        <f>'BS Konsol'!H11</f>
        <v>565886797</v>
      </c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1"/>
      <c r="P57" s="551"/>
      <c r="Q57" s="551"/>
      <c r="R57" s="551"/>
      <c r="S57" s="551"/>
      <c r="T57" s="551"/>
      <c r="U57" s="551"/>
      <c r="V57" s="551"/>
      <c r="W57" s="551"/>
      <c r="X57" s="551"/>
      <c r="Y57" s="551"/>
      <c r="Z57" s="551"/>
      <c r="AA57" s="551"/>
      <c r="AB57" s="551"/>
      <c r="AC57" s="551"/>
      <c r="AD57" s="551"/>
      <c r="AE57" s="551"/>
      <c r="AF57" s="551"/>
      <c r="AG57" s="551"/>
      <c r="AH57" s="551"/>
      <c r="AI57" s="551"/>
      <c r="AJ57" s="551"/>
      <c r="AK57" s="551"/>
      <c r="AL57" s="551"/>
      <c r="AM57" s="551"/>
      <c r="AN57" s="551"/>
      <c r="AO57" s="551"/>
      <c r="AP57" s="551"/>
      <c r="AQ57" s="551"/>
      <c r="AR57" s="551"/>
      <c r="AS57" s="551"/>
      <c r="AT57" s="551"/>
      <c r="AU57" s="551"/>
      <c r="AV57" s="551"/>
      <c r="AW57" s="551"/>
      <c r="AX57" s="551"/>
      <c r="AY57" s="551"/>
      <c r="AZ57" s="551"/>
      <c r="BA57" s="551"/>
      <c r="BB57" s="551"/>
      <c r="BC57" s="551"/>
      <c r="BD57" s="551"/>
      <c r="BE57" s="551"/>
      <c r="BF57" s="551"/>
    </row>
    <row r="58" spans="1:58" ht="12.75" customHeight="1">
      <c r="A58" s="551" t="s">
        <v>279</v>
      </c>
      <c r="B58" s="551">
        <f>B57-B53</f>
        <v>0</v>
      </c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1"/>
      <c r="P58" s="551"/>
      <c r="Q58" s="551"/>
      <c r="R58" s="551"/>
      <c r="S58" s="551"/>
      <c r="T58" s="551"/>
      <c r="U58" s="551"/>
      <c r="V58" s="551"/>
      <c r="W58" s="551"/>
      <c r="X58" s="551"/>
      <c r="Y58" s="551"/>
      <c r="Z58" s="551"/>
      <c r="AA58" s="551"/>
      <c r="AB58" s="551"/>
      <c r="AC58" s="551"/>
      <c r="AD58" s="551"/>
      <c r="AE58" s="551"/>
      <c r="AF58" s="551"/>
      <c r="AG58" s="551"/>
      <c r="AH58" s="551"/>
      <c r="AI58" s="551"/>
      <c r="AJ58" s="551"/>
      <c r="AK58" s="551"/>
      <c r="AL58" s="551"/>
      <c r="AM58" s="551"/>
      <c r="AN58" s="551"/>
      <c r="AO58" s="551"/>
      <c r="AP58" s="551"/>
      <c r="AQ58" s="551"/>
      <c r="AR58" s="551"/>
      <c r="AS58" s="551"/>
      <c r="AT58" s="551"/>
      <c r="AU58" s="551"/>
      <c r="AV58" s="551"/>
      <c r="AW58" s="551"/>
      <c r="AX58" s="551"/>
      <c r="AY58" s="551"/>
      <c r="AZ58" s="551"/>
      <c r="BA58" s="551"/>
      <c r="BB58" s="551"/>
      <c r="BC58" s="551"/>
      <c r="BD58" s="551"/>
      <c r="BE58" s="551"/>
      <c r="BF58" s="551"/>
    </row>
    <row r="59" spans="1:58" ht="12.75" customHeight="1">
      <c r="A59" s="551"/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51"/>
      <c r="AB59" s="551"/>
      <c r="AC59" s="551"/>
      <c r="AD59" s="551"/>
      <c r="AE59" s="551"/>
      <c r="AF59" s="551"/>
      <c r="AG59" s="551"/>
      <c r="AH59" s="551"/>
      <c r="AI59" s="551"/>
      <c r="AJ59" s="551"/>
      <c r="AK59" s="551"/>
      <c r="AL59" s="551"/>
      <c r="AM59" s="551"/>
      <c r="AN59" s="551"/>
      <c r="AO59" s="551"/>
      <c r="AP59" s="551"/>
      <c r="AQ59" s="551"/>
      <c r="AR59" s="551"/>
      <c r="AS59" s="551"/>
      <c r="AT59" s="551"/>
      <c r="AU59" s="551"/>
      <c r="AV59" s="551"/>
      <c r="AW59" s="551"/>
      <c r="AX59" s="551"/>
      <c r="AY59" s="551"/>
      <c r="AZ59" s="551"/>
      <c r="BA59" s="551"/>
      <c r="BB59" s="551"/>
      <c r="BC59" s="551"/>
      <c r="BD59" s="551"/>
      <c r="BE59" s="551"/>
      <c r="BF59" s="551"/>
    </row>
    <row r="60" spans="1:58" ht="12.75" customHeight="1">
      <c r="A60" s="551"/>
      <c r="B60" s="551"/>
      <c r="C60" s="551"/>
      <c r="D60" s="551"/>
      <c r="E60" s="551"/>
      <c r="F60" s="551"/>
      <c r="G60" s="551"/>
      <c r="H60" s="551"/>
      <c r="I60" s="551"/>
      <c r="J60" s="551"/>
      <c r="K60" s="551"/>
      <c r="L60" s="551"/>
      <c r="M60" s="551"/>
      <c r="N60" s="551"/>
      <c r="O60" s="551"/>
      <c r="P60" s="551"/>
      <c r="Q60" s="551"/>
      <c r="R60" s="551"/>
      <c r="S60" s="551"/>
      <c r="T60" s="551"/>
      <c r="U60" s="551"/>
      <c r="V60" s="551"/>
      <c r="W60" s="551"/>
      <c r="X60" s="551"/>
      <c r="Y60" s="551"/>
      <c r="Z60" s="551"/>
      <c r="AA60" s="551"/>
      <c r="AB60" s="551"/>
      <c r="AC60" s="551"/>
      <c r="AD60" s="551"/>
      <c r="AE60" s="551"/>
      <c r="AF60" s="551"/>
      <c r="AG60" s="551"/>
      <c r="AH60" s="551"/>
      <c r="AI60" s="551"/>
      <c r="AJ60" s="551"/>
      <c r="AK60" s="551"/>
      <c r="AL60" s="551"/>
      <c r="AM60" s="551"/>
      <c r="AN60" s="551"/>
      <c r="AO60" s="551"/>
      <c r="AP60" s="551"/>
      <c r="AQ60" s="551"/>
      <c r="AR60" s="551"/>
      <c r="AS60" s="551"/>
      <c r="AT60" s="551"/>
      <c r="AU60" s="551"/>
      <c r="AV60" s="551"/>
      <c r="AW60" s="551"/>
      <c r="AX60" s="551"/>
      <c r="AY60" s="551"/>
      <c r="AZ60" s="551"/>
      <c r="BA60" s="551"/>
      <c r="BB60" s="551"/>
      <c r="BC60" s="551"/>
      <c r="BD60" s="551"/>
      <c r="BE60" s="551"/>
      <c r="BF60" s="551"/>
    </row>
    <row r="61" spans="1:58" ht="12.75" customHeight="1">
      <c r="A61" s="551"/>
      <c r="B61" s="551"/>
      <c r="C61" s="551"/>
      <c r="D61" s="551"/>
      <c r="E61" s="551"/>
      <c r="F61" s="551"/>
      <c r="G61" s="551"/>
      <c r="H61" s="551"/>
      <c r="I61" s="551"/>
      <c r="J61" s="551"/>
      <c r="K61" s="551"/>
      <c r="L61" s="551"/>
      <c r="M61" s="551"/>
      <c r="N61" s="551"/>
      <c r="O61" s="551"/>
      <c r="P61" s="551"/>
      <c r="Q61" s="551"/>
      <c r="R61" s="551"/>
      <c r="S61" s="551"/>
      <c r="T61" s="551"/>
      <c r="U61" s="551"/>
      <c r="V61" s="551"/>
      <c r="W61" s="551"/>
      <c r="X61" s="551"/>
      <c r="Y61" s="551"/>
      <c r="Z61" s="551"/>
      <c r="AA61" s="551"/>
      <c r="AB61" s="551"/>
      <c r="AC61" s="551"/>
      <c r="AD61" s="551"/>
      <c r="AE61" s="551"/>
      <c r="AF61" s="551"/>
      <c r="AG61" s="551"/>
      <c r="AH61" s="551"/>
      <c r="AI61" s="551"/>
      <c r="AJ61" s="551"/>
      <c r="AK61" s="551"/>
      <c r="AL61" s="551"/>
      <c r="AM61" s="551"/>
      <c r="AN61" s="551"/>
      <c r="AO61" s="551"/>
      <c r="AP61" s="551"/>
      <c r="AQ61" s="551"/>
      <c r="AR61" s="551"/>
      <c r="AS61" s="551"/>
      <c r="AT61" s="551"/>
      <c r="AU61" s="551"/>
      <c r="AV61" s="551"/>
      <c r="AW61" s="551"/>
      <c r="AX61" s="551"/>
      <c r="AY61" s="551"/>
      <c r="AZ61" s="551"/>
      <c r="BA61" s="551"/>
      <c r="BB61" s="551"/>
      <c r="BC61" s="551"/>
      <c r="BD61" s="551"/>
      <c r="BE61" s="551"/>
      <c r="BF61" s="551"/>
    </row>
    <row r="62" spans="1:58" ht="12.75" customHeight="1">
      <c r="A62" s="551"/>
      <c r="B62" s="551"/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1"/>
      <c r="N62" s="551"/>
      <c r="O62" s="551"/>
      <c r="P62" s="551"/>
      <c r="Q62" s="551"/>
      <c r="R62" s="551"/>
      <c r="S62" s="551"/>
      <c r="T62" s="551"/>
      <c r="U62" s="551"/>
      <c r="V62" s="551"/>
      <c r="W62" s="551"/>
      <c r="X62" s="551"/>
      <c r="Y62" s="551"/>
      <c r="Z62" s="551"/>
      <c r="AA62" s="551"/>
      <c r="AB62" s="551"/>
      <c r="AC62" s="551"/>
      <c r="AD62" s="551"/>
      <c r="AE62" s="551"/>
      <c r="AF62" s="551"/>
      <c r="AG62" s="551"/>
      <c r="AH62" s="551"/>
      <c r="AI62" s="551"/>
      <c r="AJ62" s="551"/>
      <c r="AK62" s="551"/>
      <c r="AL62" s="551"/>
      <c r="AM62" s="551"/>
      <c r="AN62" s="551"/>
      <c r="AO62" s="551"/>
      <c r="AP62" s="551"/>
      <c r="AQ62" s="551"/>
      <c r="AR62" s="551"/>
      <c r="AS62" s="551"/>
      <c r="AT62" s="551"/>
      <c r="AU62" s="551"/>
      <c r="AV62" s="551"/>
      <c r="AW62" s="551"/>
      <c r="AX62" s="551"/>
      <c r="AY62" s="551"/>
      <c r="AZ62" s="551"/>
      <c r="BA62" s="551"/>
      <c r="BB62" s="551"/>
      <c r="BC62" s="551"/>
      <c r="BD62" s="551"/>
      <c r="BE62" s="551"/>
      <c r="BF62" s="551"/>
    </row>
    <row r="63" spans="1:58" ht="12.75" customHeight="1">
      <c r="A63" s="551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1"/>
      <c r="R63" s="551"/>
      <c r="S63" s="551"/>
      <c r="T63" s="551"/>
      <c r="U63" s="551"/>
      <c r="V63" s="551"/>
      <c r="W63" s="551"/>
      <c r="X63" s="551"/>
      <c r="Y63" s="551"/>
      <c r="Z63" s="551"/>
      <c r="AA63" s="551"/>
      <c r="AB63" s="551"/>
      <c r="AC63" s="551"/>
      <c r="AD63" s="551"/>
      <c r="AE63" s="551"/>
      <c r="AF63" s="551"/>
      <c r="AG63" s="551"/>
      <c r="AH63" s="551"/>
      <c r="AI63" s="551"/>
      <c r="AJ63" s="551"/>
      <c r="AK63" s="551"/>
      <c r="AL63" s="551"/>
      <c r="AM63" s="551"/>
      <c r="AN63" s="551"/>
      <c r="AO63" s="551"/>
      <c r="AP63" s="551"/>
      <c r="AQ63" s="551"/>
      <c r="AR63" s="551"/>
      <c r="AS63" s="551"/>
      <c r="AT63" s="551"/>
      <c r="AU63" s="551"/>
      <c r="AV63" s="551"/>
      <c r="AW63" s="551"/>
      <c r="AX63" s="551"/>
      <c r="AY63" s="551"/>
      <c r="AZ63" s="551"/>
      <c r="BA63" s="551"/>
      <c r="BB63" s="551"/>
      <c r="BC63" s="551"/>
      <c r="BD63" s="551"/>
      <c r="BE63" s="551"/>
      <c r="BF63" s="551"/>
    </row>
    <row r="64" spans="1:58" ht="12.75" customHeight="1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1"/>
      <c r="R64" s="551"/>
      <c r="S64" s="551"/>
      <c r="T64" s="551"/>
      <c r="U64" s="551"/>
      <c r="V64" s="551"/>
      <c r="W64" s="551"/>
      <c r="X64" s="551"/>
      <c r="Y64" s="551"/>
      <c r="Z64" s="551"/>
      <c r="AA64" s="551"/>
      <c r="AB64" s="551"/>
      <c r="AC64" s="551"/>
      <c r="AD64" s="551"/>
      <c r="AE64" s="551"/>
      <c r="AF64" s="551"/>
      <c r="AG64" s="551"/>
      <c r="AH64" s="551"/>
      <c r="AI64" s="551"/>
      <c r="AJ64" s="551"/>
      <c r="AK64" s="551"/>
      <c r="AL64" s="551"/>
      <c r="AM64" s="551"/>
      <c r="AN64" s="551"/>
      <c r="AO64" s="551"/>
      <c r="AP64" s="551"/>
      <c r="AQ64" s="551"/>
      <c r="AR64" s="551"/>
      <c r="AS64" s="551"/>
      <c r="AT64" s="551"/>
      <c r="AU64" s="551"/>
      <c r="AV64" s="551"/>
      <c r="AW64" s="551"/>
      <c r="AX64" s="551"/>
      <c r="AY64" s="551"/>
      <c r="AZ64" s="551"/>
      <c r="BA64" s="551"/>
      <c r="BB64" s="551"/>
      <c r="BC64" s="551"/>
      <c r="BD64" s="551"/>
      <c r="BE64" s="551"/>
      <c r="BF64" s="551"/>
    </row>
    <row r="65" spans="1:58" ht="12.75" customHeight="1">
      <c r="A65" s="551"/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51"/>
      <c r="AB65" s="551"/>
      <c r="AC65" s="551"/>
      <c r="AD65" s="551"/>
      <c r="AE65" s="551"/>
      <c r="AF65" s="551"/>
      <c r="AG65" s="551"/>
      <c r="AH65" s="551"/>
      <c r="AI65" s="551"/>
      <c r="AJ65" s="551"/>
      <c r="AK65" s="551"/>
      <c r="AL65" s="551"/>
      <c r="AM65" s="551"/>
      <c r="AN65" s="551"/>
      <c r="AO65" s="551"/>
      <c r="AP65" s="551"/>
      <c r="AQ65" s="551"/>
      <c r="AR65" s="551"/>
      <c r="AS65" s="551"/>
      <c r="AT65" s="551"/>
      <c r="AU65" s="551"/>
      <c r="AV65" s="551"/>
      <c r="AW65" s="551"/>
      <c r="AX65" s="551"/>
      <c r="AY65" s="551"/>
      <c r="AZ65" s="551"/>
      <c r="BA65" s="551"/>
      <c r="BB65" s="551"/>
      <c r="BC65" s="551"/>
      <c r="BD65" s="551"/>
      <c r="BE65" s="551"/>
      <c r="BF65" s="551"/>
    </row>
    <row r="66" spans="1:58" ht="12.75" customHeight="1">
      <c r="A66" s="551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51"/>
      <c r="Q66" s="551"/>
      <c r="R66" s="551"/>
      <c r="S66" s="551"/>
      <c r="T66" s="551"/>
      <c r="U66" s="551"/>
      <c r="V66" s="551"/>
      <c r="W66" s="551"/>
      <c r="X66" s="551"/>
      <c r="Y66" s="551"/>
      <c r="Z66" s="551"/>
      <c r="AA66" s="551"/>
      <c r="AB66" s="551"/>
      <c r="AC66" s="551"/>
      <c r="AD66" s="551"/>
      <c r="AE66" s="551"/>
      <c r="AF66" s="551"/>
      <c r="AG66" s="551"/>
      <c r="AH66" s="551"/>
      <c r="AI66" s="551"/>
      <c r="AJ66" s="551"/>
      <c r="AK66" s="551"/>
      <c r="AL66" s="551"/>
      <c r="AM66" s="551"/>
      <c r="AN66" s="551"/>
      <c r="AO66" s="551"/>
      <c r="AP66" s="551"/>
      <c r="AQ66" s="551"/>
      <c r="AR66" s="551"/>
      <c r="AS66" s="551"/>
      <c r="AT66" s="551"/>
      <c r="AU66" s="551"/>
      <c r="AV66" s="551"/>
      <c r="AW66" s="551"/>
      <c r="AX66" s="551"/>
      <c r="AY66" s="551"/>
      <c r="AZ66" s="551"/>
      <c r="BA66" s="551"/>
      <c r="BB66" s="551"/>
      <c r="BC66" s="551"/>
      <c r="BD66" s="551"/>
      <c r="BE66" s="551"/>
      <c r="BF66" s="551"/>
    </row>
    <row r="67" spans="1:58" ht="12.75" customHeight="1">
      <c r="A67" s="551"/>
      <c r="B67" s="551"/>
      <c r="C67" s="551"/>
      <c r="D67" s="551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1"/>
      <c r="R67" s="551"/>
      <c r="S67" s="551"/>
      <c r="T67" s="551"/>
      <c r="U67" s="551"/>
      <c r="V67" s="551"/>
      <c r="W67" s="551"/>
      <c r="X67" s="551"/>
      <c r="Y67" s="551"/>
      <c r="Z67" s="551"/>
      <c r="AA67" s="551"/>
      <c r="AB67" s="551"/>
      <c r="AC67" s="551"/>
      <c r="AD67" s="551"/>
      <c r="AE67" s="551"/>
      <c r="AF67" s="551"/>
      <c r="AG67" s="551"/>
      <c r="AH67" s="551"/>
      <c r="AI67" s="551"/>
      <c r="AJ67" s="551"/>
      <c r="AK67" s="551"/>
      <c r="AL67" s="551"/>
      <c r="AM67" s="551"/>
      <c r="AN67" s="551"/>
      <c r="AO67" s="551"/>
      <c r="AP67" s="551"/>
      <c r="AQ67" s="551"/>
      <c r="AR67" s="551"/>
      <c r="AS67" s="551"/>
      <c r="AT67" s="551"/>
      <c r="AU67" s="551"/>
      <c r="AV67" s="551"/>
      <c r="AW67" s="551"/>
      <c r="AX67" s="551"/>
      <c r="AY67" s="551"/>
      <c r="AZ67" s="551"/>
      <c r="BA67" s="551"/>
      <c r="BB67" s="551"/>
      <c r="BC67" s="551"/>
      <c r="BD67" s="551"/>
      <c r="BE67" s="551"/>
      <c r="BF67" s="551"/>
    </row>
    <row r="68" spans="1:58" ht="12.75" customHeight="1">
      <c r="A68" s="551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1"/>
      <c r="S68" s="551"/>
      <c r="T68" s="551"/>
      <c r="U68" s="551"/>
      <c r="V68" s="551"/>
      <c r="W68" s="551"/>
      <c r="X68" s="551"/>
      <c r="Y68" s="551"/>
      <c r="Z68" s="551"/>
      <c r="AA68" s="551"/>
      <c r="AB68" s="551"/>
      <c r="AC68" s="551"/>
      <c r="AD68" s="551"/>
      <c r="AE68" s="551"/>
      <c r="AF68" s="551"/>
      <c r="AG68" s="551"/>
      <c r="AH68" s="551"/>
      <c r="AI68" s="551"/>
      <c r="AJ68" s="551"/>
      <c r="AK68" s="551"/>
      <c r="AL68" s="551"/>
      <c r="AM68" s="551"/>
      <c r="AN68" s="551"/>
      <c r="AO68" s="551"/>
      <c r="AP68" s="551"/>
      <c r="AQ68" s="551"/>
      <c r="AR68" s="551"/>
      <c r="AS68" s="551"/>
      <c r="AT68" s="551"/>
      <c r="AU68" s="551"/>
      <c r="AV68" s="551"/>
      <c r="AW68" s="551"/>
      <c r="AX68" s="551"/>
      <c r="AY68" s="551"/>
      <c r="AZ68" s="551"/>
      <c r="BA68" s="551"/>
      <c r="BB68" s="551"/>
      <c r="BC68" s="551"/>
      <c r="BD68" s="551"/>
      <c r="BE68" s="551"/>
      <c r="BF68" s="551"/>
    </row>
    <row r="69" spans="1:58" ht="12.75" customHeight="1">
      <c r="A69" s="551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1"/>
      <c r="P69" s="551"/>
      <c r="Q69" s="551"/>
      <c r="R69" s="551"/>
      <c r="S69" s="551"/>
      <c r="T69" s="551"/>
      <c r="U69" s="551"/>
      <c r="V69" s="551"/>
      <c r="W69" s="551"/>
      <c r="X69" s="551"/>
      <c r="Y69" s="551"/>
      <c r="Z69" s="551"/>
      <c r="AA69" s="551"/>
      <c r="AB69" s="551"/>
      <c r="AC69" s="551"/>
      <c r="AD69" s="551"/>
      <c r="AE69" s="551"/>
      <c r="AF69" s="551"/>
      <c r="AG69" s="551"/>
      <c r="AH69" s="551"/>
      <c r="AI69" s="551"/>
      <c r="AJ69" s="551"/>
      <c r="AK69" s="551"/>
      <c r="AL69" s="551"/>
      <c r="AM69" s="551"/>
      <c r="AN69" s="551"/>
      <c r="AO69" s="551"/>
      <c r="AP69" s="551"/>
      <c r="AQ69" s="551"/>
      <c r="AR69" s="551"/>
      <c r="AS69" s="551"/>
      <c r="AT69" s="551"/>
      <c r="AU69" s="551"/>
      <c r="AV69" s="551"/>
      <c r="AW69" s="551"/>
      <c r="AX69" s="551"/>
      <c r="AY69" s="551"/>
      <c r="AZ69" s="551"/>
      <c r="BA69" s="551"/>
      <c r="BB69" s="551"/>
      <c r="BC69" s="551"/>
      <c r="BD69" s="551"/>
      <c r="BE69" s="551"/>
      <c r="BF69" s="551"/>
    </row>
    <row r="70" spans="1:58" ht="12.75" customHeight="1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1"/>
      <c r="P70" s="551"/>
      <c r="Q70" s="551"/>
      <c r="R70" s="551"/>
      <c r="S70" s="551"/>
      <c r="T70" s="551"/>
      <c r="U70" s="551"/>
      <c r="V70" s="551"/>
      <c r="W70" s="551"/>
      <c r="X70" s="551"/>
      <c r="Y70" s="551"/>
      <c r="Z70" s="551"/>
      <c r="AA70" s="551"/>
      <c r="AB70" s="551"/>
      <c r="AC70" s="551"/>
      <c r="AD70" s="551"/>
      <c r="AE70" s="551"/>
      <c r="AF70" s="551"/>
      <c r="AG70" s="551"/>
      <c r="AH70" s="551"/>
      <c r="AI70" s="551"/>
      <c r="AJ70" s="551"/>
      <c r="AK70" s="551"/>
      <c r="AL70" s="551"/>
      <c r="AM70" s="551"/>
      <c r="AN70" s="551"/>
      <c r="AO70" s="551"/>
      <c r="AP70" s="551"/>
      <c r="AQ70" s="551"/>
      <c r="AR70" s="551"/>
      <c r="AS70" s="551"/>
      <c r="AT70" s="551"/>
      <c r="AU70" s="551"/>
      <c r="AV70" s="551"/>
      <c r="AW70" s="551"/>
      <c r="AX70" s="551"/>
      <c r="AY70" s="551"/>
      <c r="AZ70" s="551"/>
      <c r="BA70" s="551"/>
      <c r="BB70" s="551"/>
      <c r="BC70" s="551"/>
      <c r="BD70" s="551"/>
      <c r="BE70" s="551"/>
      <c r="BF70" s="551"/>
    </row>
    <row r="71" spans="1:58" ht="12.75" customHeight="1">
      <c r="A71" s="551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1"/>
      <c r="AB71" s="551"/>
      <c r="AC71" s="551"/>
      <c r="AD71" s="551"/>
      <c r="AE71" s="551"/>
      <c r="AF71" s="551"/>
      <c r="AG71" s="551"/>
      <c r="AH71" s="551"/>
      <c r="AI71" s="551"/>
      <c r="AJ71" s="551"/>
      <c r="AK71" s="551"/>
      <c r="AL71" s="551"/>
      <c r="AM71" s="551"/>
      <c r="AN71" s="551"/>
      <c r="AO71" s="551"/>
      <c r="AP71" s="551"/>
      <c r="AQ71" s="551"/>
      <c r="AR71" s="551"/>
      <c r="AS71" s="551"/>
      <c r="AT71" s="551"/>
      <c r="AU71" s="551"/>
      <c r="AV71" s="551"/>
      <c r="AW71" s="551"/>
      <c r="AX71" s="551"/>
      <c r="AY71" s="551"/>
      <c r="AZ71" s="551"/>
      <c r="BA71" s="551"/>
      <c r="BB71" s="551"/>
      <c r="BC71" s="551"/>
      <c r="BD71" s="551"/>
      <c r="BE71" s="551"/>
      <c r="BF71" s="551"/>
    </row>
    <row r="72" spans="1:58" ht="12.75" customHeight="1">
      <c r="A72" s="551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1"/>
      <c r="AB72" s="551"/>
      <c r="AC72" s="551"/>
      <c r="AD72" s="551"/>
      <c r="AE72" s="551"/>
      <c r="AF72" s="551"/>
      <c r="AG72" s="551"/>
      <c r="AH72" s="551"/>
      <c r="AI72" s="551"/>
      <c r="AJ72" s="551"/>
      <c r="AK72" s="551"/>
      <c r="AL72" s="551"/>
      <c r="AM72" s="551"/>
      <c r="AN72" s="551"/>
      <c r="AO72" s="551"/>
      <c r="AP72" s="551"/>
      <c r="AQ72" s="551"/>
      <c r="AR72" s="551"/>
      <c r="AS72" s="551"/>
      <c r="AT72" s="551"/>
      <c r="AU72" s="551"/>
      <c r="AV72" s="551"/>
      <c r="AW72" s="551"/>
      <c r="AX72" s="551"/>
      <c r="AY72" s="551"/>
      <c r="AZ72" s="551"/>
      <c r="BA72" s="551"/>
      <c r="BB72" s="551"/>
      <c r="BC72" s="551"/>
      <c r="BD72" s="551"/>
      <c r="BE72" s="551"/>
      <c r="BF72" s="551"/>
    </row>
    <row r="73" spans="1:58" ht="12.75" customHeight="1">
      <c r="A73" s="551"/>
      <c r="B73" s="551"/>
      <c r="C73" s="551"/>
      <c r="D73" s="551"/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1"/>
      <c r="AB73" s="551"/>
      <c r="AC73" s="551"/>
      <c r="AD73" s="551"/>
      <c r="AE73" s="551"/>
      <c r="AF73" s="551"/>
      <c r="AG73" s="551"/>
      <c r="AH73" s="551"/>
      <c r="AI73" s="551"/>
      <c r="AJ73" s="551"/>
      <c r="AK73" s="551"/>
      <c r="AL73" s="551"/>
      <c r="AM73" s="551"/>
      <c r="AN73" s="551"/>
      <c r="AO73" s="551"/>
      <c r="AP73" s="551"/>
      <c r="AQ73" s="551"/>
      <c r="AR73" s="551"/>
      <c r="AS73" s="551"/>
      <c r="AT73" s="551"/>
      <c r="AU73" s="551"/>
      <c r="AV73" s="551"/>
      <c r="AW73" s="551"/>
      <c r="AX73" s="551"/>
      <c r="AY73" s="551"/>
      <c r="AZ73" s="551"/>
      <c r="BA73" s="551"/>
      <c r="BB73" s="551"/>
      <c r="BC73" s="551"/>
      <c r="BD73" s="551"/>
      <c r="BE73" s="551"/>
      <c r="BF73" s="551"/>
    </row>
    <row r="74" spans="1:58" ht="12.75" customHeight="1">
      <c r="A74" s="551"/>
      <c r="B74" s="551"/>
      <c r="C74" s="551"/>
      <c r="D74" s="551"/>
      <c r="E74" s="551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  <c r="AA74" s="551"/>
      <c r="AB74" s="551"/>
      <c r="AC74" s="551"/>
      <c r="AD74" s="551"/>
      <c r="AE74" s="551"/>
      <c r="AF74" s="551"/>
      <c r="AG74" s="551"/>
      <c r="AH74" s="551"/>
      <c r="AI74" s="551"/>
      <c r="AJ74" s="551"/>
      <c r="AK74" s="551"/>
      <c r="AL74" s="551"/>
      <c r="AM74" s="551"/>
      <c r="AN74" s="551"/>
      <c r="AO74" s="551"/>
      <c r="AP74" s="551"/>
      <c r="AQ74" s="551"/>
      <c r="AR74" s="551"/>
      <c r="AS74" s="551"/>
      <c r="AT74" s="551"/>
      <c r="AU74" s="551"/>
      <c r="AV74" s="551"/>
      <c r="AW74" s="551"/>
      <c r="AX74" s="551"/>
      <c r="AY74" s="551"/>
      <c r="AZ74" s="551"/>
      <c r="BA74" s="551"/>
      <c r="BB74" s="551"/>
      <c r="BC74" s="551"/>
      <c r="BD74" s="551"/>
      <c r="BE74" s="551"/>
      <c r="BF74" s="551"/>
    </row>
    <row r="75" spans="1:58" ht="12.75" customHeight="1">
      <c r="A75" s="551"/>
      <c r="B75" s="551"/>
      <c r="C75" s="551"/>
      <c r="D75" s="551"/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1"/>
      <c r="AB75" s="551"/>
      <c r="AC75" s="551"/>
      <c r="AD75" s="551"/>
      <c r="AE75" s="551"/>
      <c r="AF75" s="551"/>
      <c r="AG75" s="551"/>
      <c r="AH75" s="551"/>
      <c r="AI75" s="551"/>
      <c r="AJ75" s="551"/>
      <c r="AK75" s="551"/>
      <c r="AL75" s="551"/>
      <c r="AM75" s="551"/>
      <c r="AN75" s="551"/>
      <c r="AO75" s="551"/>
      <c r="AP75" s="551"/>
      <c r="AQ75" s="551"/>
      <c r="AR75" s="551"/>
      <c r="AS75" s="551"/>
      <c r="AT75" s="551"/>
      <c r="AU75" s="551"/>
      <c r="AV75" s="551"/>
      <c r="AW75" s="551"/>
      <c r="AX75" s="551"/>
      <c r="AY75" s="551"/>
      <c r="AZ75" s="551"/>
      <c r="BA75" s="551"/>
      <c r="BB75" s="551"/>
      <c r="BC75" s="551"/>
      <c r="BD75" s="551"/>
      <c r="BE75" s="551"/>
      <c r="BF75" s="551"/>
    </row>
    <row r="76" spans="1:58" ht="12.75" customHeight="1">
      <c r="A76" s="551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1"/>
      <c r="S76" s="551"/>
      <c r="T76" s="551"/>
      <c r="U76" s="551"/>
      <c r="V76" s="551"/>
      <c r="W76" s="551"/>
      <c r="X76" s="551"/>
      <c r="Y76" s="551"/>
      <c r="Z76" s="551"/>
      <c r="AA76" s="551"/>
      <c r="AB76" s="551"/>
      <c r="AC76" s="551"/>
      <c r="AD76" s="551"/>
      <c r="AE76" s="551"/>
      <c r="AF76" s="551"/>
      <c r="AG76" s="551"/>
      <c r="AH76" s="551"/>
      <c r="AI76" s="551"/>
      <c r="AJ76" s="551"/>
      <c r="AK76" s="551"/>
      <c r="AL76" s="551"/>
      <c r="AM76" s="551"/>
      <c r="AN76" s="551"/>
      <c r="AO76" s="551"/>
      <c r="AP76" s="551"/>
      <c r="AQ76" s="551"/>
      <c r="AR76" s="551"/>
      <c r="AS76" s="551"/>
      <c r="AT76" s="551"/>
      <c r="AU76" s="551"/>
      <c r="AV76" s="551"/>
      <c r="AW76" s="551"/>
      <c r="AX76" s="551"/>
      <c r="AY76" s="551"/>
      <c r="AZ76" s="551"/>
      <c r="BA76" s="551"/>
      <c r="BB76" s="551"/>
      <c r="BC76" s="551"/>
      <c r="BD76" s="551"/>
      <c r="BE76" s="551"/>
      <c r="BF76" s="551"/>
    </row>
    <row r="77" spans="1:58" ht="12.75" customHeight="1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1"/>
      <c r="S77" s="551"/>
      <c r="T77" s="551"/>
      <c r="U77" s="551"/>
      <c r="V77" s="551"/>
      <c r="W77" s="551"/>
      <c r="X77" s="551"/>
      <c r="Y77" s="551"/>
      <c r="Z77" s="551"/>
      <c r="AA77" s="551"/>
      <c r="AB77" s="551"/>
      <c r="AC77" s="551"/>
      <c r="AD77" s="551"/>
      <c r="AE77" s="551"/>
      <c r="AF77" s="551"/>
      <c r="AG77" s="551"/>
      <c r="AH77" s="551"/>
      <c r="AI77" s="551"/>
      <c r="AJ77" s="551"/>
      <c r="AK77" s="551"/>
      <c r="AL77" s="551"/>
      <c r="AM77" s="551"/>
      <c r="AN77" s="551"/>
      <c r="AO77" s="551"/>
      <c r="AP77" s="551"/>
      <c r="AQ77" s="551"/>
      <c r="AR77" s="551"/>
      <c r="AS77" s="551"/>
      <c r="AT77" s="551"/>
      <c r="AU77" s="551"/>
      <c r="AV77" s="551"/>
      <c r="AW77" s="551"/>
      <c r="AX77" s="551"/>
      <c r="AY77" s="551"/>
      <c r="AZ77" s="551"/>
      <c r="BA77" s="551"/>
      <c r="BB77" s="551"/>
      <c r="BC77" s="551"/>
      <c r="BD77" s="551"/>
      <c r="BE77" s="551"/>
      <c r="BF77" s="551"/>
    </row>
    <row r="78" spans="1:58" ht="12.75" customHeight="1">
      <c r="A78" s="551"/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51"/>
      <c r="AB78" s="551"/>
      <c r="AC78" s="551"/>
      <c r="AD78" s="551"/>
      <c r="AE78" s="551"/>
      <c r="AF78" s="551"/>
      <c r="AG78" s="551"/>
      <c r="AH78" s="551"/>
      <c r="AI78" s="551"/>
      <c r="AJ78" s="551"/>
      <c r="AK78" s="551"/>
      <c r="AL78" s="551"/>
      <c r="AM78" s="551"/>
      <c r="AN78" s="551"/>
      <c r="AO78" s="551"/>
      <c r="AP78" s="551"/>
      <c r="AQ78" s="551"/>
      <c r="AR78" s="551"/>
      <c r="AS78" s="551"/>
      <c r="AT78" s="551"/>
      <c r="AU78" s="551"/>
      <c r="AV78" s="551"/>
      <c r="AW78" s="551"/>
      <c r="AX78" s="551"/>
      <c r="AY78" s="551"/>
      <c r="AZ78" s="551"/>
      <c r="BA78" s="551"/>
      <c r="BB78" s="551"/>
      <c r="BC78" s="551"/>
      <c r="BD78" s="551"/>
      <c r="BE78" s="551"/>
      <c r="BF78" s="551"/>
    </row>
    <row r="79" spans="1:58" ht="12.75" customHeight="1">
      <c r="A79" s="551"/>
      <c r="B79" s="551"/>
      <c r="C79" s="551"/>
      <c r="D79" s="551"/>
      <c r="E79" s="551"/>
      <c r="F79" s="551"/>
      <c r="G79" s="551"/>
      <c r="H79" s="551"/>
      <c r="I79" s="551"/>
      <c r="J79" s="551"/>
      <c r="K79" s="551"/>
      <c r="L79" s="551"/>
      <c r="M79" s="551"/>
      <c r="N79" s="551"/>
      <c r="O79" s="551"/>
      <c r="P79" s="551"/>
      <c r="Q79" s="551"/>
      <c r="R79" s="551"/>
      <c r="S79" s="551"/>
      <c r="T79" s="551"/>
      <c r="U79" s="551"/>
      <c r="V79" s="551"/>
      <c r="W79" s="551"/>
      <c r="X79" s="551"/>
      <c r="Y79" s="551"/>
      <c r="Z79" s="551"/>
      <c r="AA79" s="551"/>
      <c r="AB79" s="551"/>
      <c r="AC79" s="551"/>
      <c r="AD79" s="551"/>
      <c r="AE79" s="551"/>
      <c r="AF79" s="551"/>
      <c r="AG79" s="551"/>
      <c r="AH79" s="551"/>
      <c r="AI79" s="551"/>
      <c r="AJ79" s="551"/>
      <c r="AK79" s="551"/>
      <c r="AL79" s="551"/>
      <c r="AM79" s="551"/>
      <c r="AN79" s="551"/>
      <c r="AO79" s="551"/>
      <c r="AP79" s="551"/>
      <c r="AQ79" s="551"/>
      <c r="AR79" s="551"/>
      <c r="AS79" s="551"/>
      <c r="AT79" s="551"/>
      <c r="AU79" s="551"/>
      <c r="AV79" s="551"/>
      <c r="AW79" s="551"/>
      <c r="AX79" s="551"/>
      <c r="AY79" s="551"/>
      <c r="AZ79" s="551"/>
      <c r="BA79" s="551"/>
      <c r="BB79" s="551"/>
      <c r="BC79" s="551"/>
      <c r="BD79" s="551"/>
      <c r="BE79" s="551"/>
      <c r="BF79" s="551"/>
    </row>
    <row r="80" spans="1:58" ht="12.75" customHeight="1">
      <c r="A80" s="551"/>
      <c r="B80" s="551"/>
      <c r="C80" s="551"/>
      <c r="D80" s="551"/>
      <c r="E80" s="551"/>
      <c r="F80" s="551"/>
      <c r="G80" s="551"/>
      <c r="H80" s="551"/>
      <c r="I80" s="551"/>
      <c r="J80" s="551"/>
      <c r="K80" s="551"/>
      <c r="L80" s="551"/>
      <c r="M80" s="551"/>
      <c r="N80" s="551"/>
      <c r="O80" s="551"/>
      <c r="P80" s="551"/>
      <c r="Q80" s="551"/>
      <c r="R80" s="551"/>
      <c r="S80" s="551"/>
      <c r="T80" s="551"/>
      <c r="U80" s="551"/>
      <c r="V80" s="551"/>
      <c r="W80" s="551"/>
      <c r="X80" s="551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1"/>
      <c r="AK80" s="551"/>
      <c r="AL80" s="551"/>
      <c r="AM80" s="551"/>
      <c r="AN80" s="551"/>
      <c r="AO80" s="551"/>
      <c r="AP80" s="551"/>
      <c r="AQ80" s="551"/>
      <c r="AR80" s="551"/>
      <c r="AS80" s="551"/>
      <c r="AT80" s="551"/>
      <c r="AU80" s="551"/>
      <c r="AV80" s="551"/>
      <c r="AW80" s="551"/>
      <c r="AX80" s="551"/>
      <c r="AY80" s="551"/>
      <c r="AZ80" s="551"/>
      <c r="BA80" s="551"/>
      <c r="BB80" s="551"/>
      <c r="BC80" s="551"/>
      <c r="BD80" s="551"/>
      <c r="BE80" s="551"/>
      <c r="BF80" s="551"/>
    </row>
    <row r="81" spans="1:58" ht="12.75" customHeight="1">
      <c r="A81" s="551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1"/>
      <c r="S81" s="551"/>
      <c r="T81" s="551"/>
      <c r="U81" s="551"/>
      <c r="V81" s="551"/>
      <c r="W81" s="551"/>
      <c r="X81" s="551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1"/>
      <c r="AK81" s="551"/>
      <c r="AL81" s="551"/>
      <c r="AM81" s="551"/>
      <c r="AN81" s="551"/>
      <c r="AO81" s="551"/>
      <c r="AP81" s="551"/>
      <c r="AQ81" s="551"/>
      <c r="AR81" s="551"/>
      <c r="AS81" s="551"/>
      <c r="AT81" s="551"/>
      <c r="AU81" s="551"/>
      <c r="AV81" s="551"/>
      <c r="AW81" s="551"/>
      <c r="AX81" s="551"/>
      <c r="AY81" s="551"/>
      <c r="AZ81" s="551"/>
      <c r="BA81" s="551"/>
      <c r="BB81" s="551"/>
      <c r="BC81" s="551"/>
      <c r="BD81" s="551"/>
      <c r="BE81" s="551"/>
      <c r="BF81" s="551"/>
    </row>
    <row r="82" spans="1:58" ht="12.75" customHeight="1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1"/>
      <c r="P82" s="551"/>
      <c r="Q82" s="551"/>
      <c r="R82" s="551"/>
      <c r="S82" s="551"/>
      <c r="T82" s="551"/>
      <c r="U82" s="551"/>
      <c r="V82" s="551"/>
      <c r="W82" s="551"/>
      <c r="X82" s="551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1"/>
      <c r="AX82" s="551"/>
      <c r="AY82" s="551"/>
      <c r="AZ82" s="551"/>
      <c r="BA82" s="551"/>
      <c r="BB82" s="551"/>
      <c r="BC82" s="551"/>
      <c r="BD82" s="551"/>
      <c r="BE82" s="551"/>
      <c r="BF82" s="551"/>
    </row>
    <row r="83" spans="1:58" ht="12.75" customHeight="1">
      <c r="A83" s="551"/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1"/>
      <c r="AX83" s="551"/>
      <c r="AY83" s="551"/>
      <c r="AZ83" s="551"/>
      <c r="BA83" s="551"/>
      <c r="BB83" s="551"/>
      <c r="BC83" s="551"/>
      <c r="BD83" s="551"/>
      <c r="BE83" s="551"/>
      <c r="BF83" s="551"/>
    </row>
    <row r="84" spans="1:58" ht="12.75" customHeight="1">
      <c r="A84" s="551"/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1"/>
      <c r="AX84" s="551"/>
      <c r="AY84" s="551"/>
      <c r="AZ84" s="551"/>
      <c r="BA84" s="551"/>
      <c r="BB84" s="551"/>
      <c r="BC84" s="551"/>
      <c r="BD84" s="551"/>
      <c r="BE84" s="551"/>
      <c r="BF84" s="551"/>
    </row>
    <row r="85" spans="1:58" ht="12.75" customHeight="1">
      <c r="A85" s="551"/>
      <c r="B85" s="551"/>
      <c r="C85" s="551"/>
      <c r="D85" s="551"/>
      <c r="E85" s="551"/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551"/>
      <c r="S85" s="551"/>
      <c r="T85" s="551"/>
      <c r="U85" s="551"/>
      <c r="V85" s="551"/>
      <c r="W85" s="551"/>
      <c r="X85" s="551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1"/>
      <c r="AK85" s="551"/>
      <c r="AL85" s="551"/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1"/>
      <c r="AX85" s="551"/>
      <c r="AY85" s="551"/>
      <c r="AZ85" s="551"/>
      <c r="BA85" s="551"/>
      <c r="BB85" s="551"/>
      <c r="BC85" s="551"/>
      <c r="BD85" s="551"/>
      <c r="BE85" s="551"/>
      <c r="BF85" s="551"/>
    </row>
    <row r="86" spans="1:58" ht="12.75" customHeight="1">
      <c r="A86" s="551"/>
      <c r="B86" s="551"/>
      <c r="C86" s="551"/>
      <c r="D86" s="551"/>
      <c r="E86" s="551"/>
      <c r="F86" s="551"/>
      <c r="G86" s="551"/>
      <c r="H86" s="551"/>
      <c r="I86" s="551"/>
      <c r="J86" s="551"/>
      <c r="K86" s="551"/>
      <c r="L86" s="551"/>
      <c r="M86" s="551"/>
      <c r="N86" s="551"/>
      <c r="O86" s="551"/>
      <c r="P86" s="551"/>
      <c r="Q86" s="551"/>
      <c r="R86" s="551"/>
      <c r="S86" s="551"/>
      <c r="T86" s="551"/>
      <c r="U86" s="551"/>
      <c r="V86" s="551"/>
      <c r="W86" s="551"/>
      <c r="X86" s="551"/>
      <c r="Y86" s="551"/>
      <c r="Z86" s="551"/>
      <c r="AA86" s="551"/>
      <c r="AB86" s="551"/>
      <c r="AC86" s="551"/>
      <c r="AD86" s="551"/>
      <c r="AE86" s="551"/>
      <c r="AF86" s="551"/>
      <c r="AG86" s="551"/>
      <c r="AH86" s="551"/>
      <c r="AI86" s="551"/>
      <c r="AJ86" s="551"/>
      <c r="AK86" s="551"/>
      <c r="AL86" s="551"/>
      <c r="AM86" s="551"/>
      <c r="AN86" s="551"/>
      <c r="AO86" s="551"/>
      <c r="AP86" s="551"/>
      <c r="AQ86" s="551"/>
      <c r="AR86" s="551"/>
      <c r="AS86" s="551"/>
      <c r="AT86" s="551"/>
      <c r="AU86" s="551"/>
      <c r="AV86" s="551"/>
      <c r="AW86" s="551"/>
      <c r="AX86" s="551"/>
      <c r="AY86" s="551"/>
      <c r="AZ86" s="551"/>
      <c r="BA86" s="551"/>
      <c r="BB86" s="551"/>
      <c r="BC86" s="551"/>
      <c r="BD86" s="551"/>
      <c r="BE86" s="551"/>
      <c r="BF86" s="551"/>
    </row>
    <row r="87" spans="1:58" ht="12.75" customHeight="1">
      <c r="A87" s="551"/>
      <c r="B87" s="551"/>
      <c r="C87" s="551"/>
      <c r="D87" s="551"/>
      <c r="E87" s="551"/>
      <c r="F87" s="551"/>
      <c r="G87" s="551"/>
      <c r="H87" s="551"/>
      <c r="I87" s="551"/>
      <c r="J87" s="551"/>
      <c r="K87" s="551"/>
      <c r="L87" s="551"/>
      <c r="M87" s="551"/>
      <c r="N87" s="551"/>
      <c r="O87" s="551"/>
      <c r="P87" s="551"/>
      <c r="Q87" s="551"/>
      <c r="R87" s="551"/>
      <c r="S87" s="551"/>
      <c r="T87" s="551"/>
      <c r="U87" s="551"/>
      <c r="V87" s="551"/>
      <c r="W87" s="551"/>
      <c r="X87" s="551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1"/>
      <c r="AX87" s="551"/>
      <c r="AY87" s="551"/>
      <c r="AZ87" s="551"/>
      <c r="BA87" s="551"/>
      <c r="BB87" s="551"/>
      <c r="BC87" s="551"/>
      <c r="BD87" s="551"/>
      <c r="BE87" s="551"/>
      <c r="BF87" s="551"/>
    </row>
    <row r="88" spans="1:58" ht="12.75" customHeight="1">
      <c r="A88" s="551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1"/>
      <c r="P88" s="551"/>
      <c r="Q88" s="551"/>
      <c r="R88" s="551"/>
      <c r="S88" s="551"/>
      <c r="T88" s="551"/>
      <c r="U88" s="551"/>
      <c r="V88" s="551"/>
      <c r="W88" s="551"/>
      <c r="X88" s="551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  <c r="AK88" s="551"/>
      <c r="AL88" s="551"/>
      <c r="AM88" s="551"/>
      <c r="AN88" s="551"/>
      <c r="AO88" s="551"/>
      <c r="AP88" s="551"/>
      <c r="AQ88" s="551"/>
      <c r="AR88" s="551"/>
      <c r="AS88" s="551"/>
      <c r="AT88" s="551"/>
      <c r="AU88" s="551"/>
      <c r="AV88" s="551"/>
      <c r="AW88" s="551"/>
      <c r="AX88" s="551"/>
      <c r="AY88" s="551"/>
      <c r="AZ88" s="551"/>
      <c r="BA88" s="551"/>
      <c r="BB88" s="551"/>
      <c r="BC88" s="551"/>
      <c r="BD88" s="551"/>
      <c r="BE88" s="551"/>
      <c r="BF88" s="551"/>
    </row>
    <row r="89" spans="1:58" ht="12.75" customHeight="1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1"/>
      <c r="P89" s="551"/>
      <c r="Q89" s="551"/>
      <c r="R89" s="551"/>
      <c r="S89" s="551"/>
      <c r="T89" s="551"/>
      <c r="U89" s="551"/>
      <c r="V89" s="551"/>
      <c r="W89" s="551"/>
      <c r="X89" s="551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  <c r="AK89" s="551"/>
      <c r="AL89" s="551"/>
      <c r="AM89" s="551"/>
      <c r="AN89" s="551"/>
      <c r="AO89" s="551"/>
      <c r="AP89" s="551"/>
      <c r="AQ89" s="551"/>
      <c r="AR89" s="551"/>
      <c r="AS89" s="551"/>
      <c r="AT89" s="551"/>
      <c r="AU89" s="551"/>
      <c r="AV89" s="551"/>
      <c r="AW89" s="551"/>
      <c r="AX89" s="551"/>
      <c r="AY89" s="551"/>
      <c r="AZ89" s="551"/>
      <c r="BA89" s="551"/>
      <c r="BB89" s="551"/>
      <c r="BC89" s="551"/>
      <c r="BD89" s="551"/>
      <c r="BE89" s="551"/>
      <c r="BF89" s="551"/>
    </row>
    <row r="90" spans="1:58" ht="12.75" customHeight="1">
      <c r="A90" s="551"/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  <c r="AK90" s="551"/>
      <c r="AL90" s="551"/>
      <c r="AM90" s="551"/>
      <c r="AN90" s="551"/>
      <c r="AO90" s="551"/>
      <c r="AP90" s="551"/>
      <c r="AQ90" s="551"/>
      <c r="AR90" s="551"/>
      <c r="AS90" s="551"/>
      <c r="AT90" s="551"/>
      <c r="AU90" s="551"/>
      <c r="AV90" s="551"/>
      <c r="AW90" s="551"/>
      <c r="AX90" s="551"/>
      <c r="AY90" s="551"/>
      <c r="AZ90" s="551"/>
      <c r="BA90" s="551"/>
      <c r="BB90" s="551"/>
      <c r="BC90" s="551"/>
      <c r="BD90" s="551"/>
      <c r="BE90" s="551"/>
      <c r="BF90" s="551"/>
    </row>
    <row r="91" spans="1:58" ht="12.75" customHeight="1">
      <c r="A91" s="551"/>
      <c r="B91" s="551"/>
      <c r="C91" s="551"/>
      <c r="D91" s="551"/>
      <c r="E91" s="551"/>
      <c r="F91" s="551"/>
      <c r="G91" s="551"/>
      <c r="H91" s="551"/>
      <c r="I91" s="551"/>
      <c r="J91" s="551"/>
      <c r="K91" s="551"/>
      <c r="L91" s="551"/>
      <c r="M91" s="551"/>
      <c r="N91" s="551"/>
      <c r="O91" s="551"/>
      <c r="P91" s="551"/>
      <c r="Q91" s="551"/>
      <c r="R91" s="551"/>
      <c r="S91" s="551"/>
      <c r="T91" s="551"/>
      <c r="U91" s="551"/>
      <c r="V91" s="551"/>
      <c r="W91" s="551"/>
      <c r="X91" s="551"/>
      <c r="Y91" s="551"/>
      <c r="Z91" s="551"/>
      <c r="AA91" s="551"/>
      <c r="AB91" s="551"/>
      <c r="AC91" s="551"/>
      <c r="AD91" s="551"/>
      <c r="AE91" s="551"/>
      <c r="AF91" s="551"/>
      <c r="AG91" s="551"/>
      <c r="AH91" s="551"/>
      <c r="AI91" s="551"/>
      <c r="AJ91" s="551"/>
      <c r="AK91" s="551"/>
      <c r="AL91" s="551"/>
      <c r="AM91" s="551"/>
      <c r="AN91" s="551"/>
      <c r="AO91" s="551"/>
      <c r="AP91" s="551"/>
      <c r="AQ91" s="551"/>
      <c r="AR91" s="551"/>
      <c r="AS91" s="551"/>
      <c r="AT91" s="551"/>
      <c r="AU91" s="551"/>
      <c r="AV91" s="551"/>
      <c r="AW91" s="551"/>
      <c r="AX91" s="551"/>
      <c r="AY91" s="551"/>
      <c r="AZ91" s="551"/>
      <c r="BA91" s="551"/>
      <c r="BB91" s="551"/>
      <c r="BC91" s="551"/>
      <c r="BD91" s="551"/>
      <c r="BE91" s="551"/>
      <c r="BF91" s="551"/>
    </row>
    <row r="92" spans="1:58" ht="12.75" customHeight="1">
      <c r="A92" s="551"/>
      <c r="B92" s="551"/>
      <c r="C92" s="551"/>
      <c r="D92" s="551"/>
      <c r="E92" s="551"/>
      <c r="F92" s="551"/>
      <c r="G92" s="551"/>
      <c r="H92" s="551"/>
      <c r="I92" s="551"/>
      <c r="J92" s="551"/>
      <c r="K92" s="551"/>
      <c r="L92" s="551"/>
      <c r="M92" s="551"/>
      <c r="N92" s="551"/>
      <c r="O92" s="551"/>
      <c r="P92" s="551"/>
      <c r="Q92" s="551"/>
      <c r="R92" s="551"/>
      <c r="S92" s="551"/>
      <c r="T92" s="551"/>
      <c r="U92" s="551"/>
      <c r="V92" s="551"/>
      <c r="W92" s="551"/>
      <c r="X92" s="551"/>
      <c r="Y92" s="551"/>
      <c r="Z92" s="551"/>
      <c r="AA92" s="551"/>
      <c r="AB92" s="551"/>
      <c r="AC92" s="551"/>
      <c r="AD92" s="551"/>
      <c r="AE92" s="551"/>
      <c r="AF92" s="551"/>
      <c r="AG92" s="551"/>
      <c r="AH92" s="551"/>
      <c r="AI92" s="551"/>
      <c r="AJ92" s="551"/>
      <c r="AK92" s="551"/>
      <c r="AL92" s="551"/>
      <c r="AM92" s="551"/>
      <c r="AN92" s="551"/>
      <c r="AO92" s="551"/>
      <c r="AP92" s="551"/>
      <c r="AQ92" s="551"/>
      <c r="AR92" s="551"/>
      <c r="AS92" s="551"/>
      <c r="AT92" s="551"/>
      <c r="AU92" s="551"/>
      <c r="AV92" s="551"/>
      <c r="AW92" s="551"/>
      <c r="AX92" s="551"/>
      <c r="AY92" s="551"/>
      <c r="AZ92" s="551"/>
      <c r="BA92" s="551"/>
      <c r="BB92" s="551"/>
      <c r="BC92" s="551"/>
      <c r="BD92" s="551"/>
      <c r="BE92" s="551"/>
      <c r="BF92" s="551"/>
    </row>
    <row r="93" spans="1:58" ht="12.75" customHeight="1">
      <c r="A93" s="551"/>
      <c r="B93" s="551"/>
      <c r="C93" s="551"/>
      <c r="D93" s="551"/>
      <c r="E93" s="551"/>
      <c r="F93" s="551"/>
      <c r="G93" s="551"/>
      <c r="H93" s="551"/>
      <c r="I93" s="551"/>
      <c r="J93" s="551"/>
      <c r="K93" s="551"/>
      <c r="L93" s="551"/>
      <c r="M93" s="551"/>
      <c r="N93" s="551"/>
      <c r="O93" s="551"/>
      <c r="P93" s="551"/>
      <c r="Q93" s="551"/>
      <c r="R93" s="551"/>
      <c r="S93" s="551"/>
      <c r="T93" s="551"/>
      <c r="U93" s="551"/>
      <c r="V93" s="551"/>
      <c r="W93" s="551"/>
      <c r="X93" s="551"/>
      <c r="Y93" s="551"/>
      <c r="Z93" s="551"/>
      <c r="AA93" s="551"/>
      <c r="AB93" s="551"/>
      <c r="AC93" s="551"/>
      <c r="AD93" s="551"/>
      <c r="AE93" s="551"/>
      <c r="AF93" s="551"/>
      <c r="AG93" s="551"/>
      <c r="AH93" s="551"/>
      <c r="AI93" s="551"/>
      <c r="AJ93" s="551"/>
      <c r="AK93" s="551"/>
      <c r="AL93" s="551"/>
      <c r="AM93" s="551"/>
      <c r="AN93" s="551"/>
      <c r="AO93" s="551"/>
      <c r="AP93" s="551"/>
      <c r="AQ93" s="551"/>
      <c r="AR93" s="551"/>
      <c r="AS93" s="551"/>
      <c r="AT93" s="551"/>
      <c r="AU93" s="551"/>
      <c r="AV93" s="551"/>
      <c r="AW93" s="551"/>
      <c r="AX93" s="551"/>
      <c r="AY93" s="551"/>
      <c r="AZ93" s="551"/>
      <c r="BA93" s="551"/>
      <c r="BB93" s="551"/>
      <c r="BC93" s="551"/>
      <c r="BD93" s="551"/>
      <c r="BE93" s="551"/>
      <c r="BF93" s="551"/>
    </row>
    <row r="94" spans="1:58" ht="12.75" customHeight="1">
      <c r="A94" s="551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1"/>
      <c r="M94" s="551"/>
      <c r="N94" s="551"/>
      <c r="O94" s="551"/>
      <c r="P94" s="551"/>
      <c r="Q94" s="551"/>
      <c r="R94" s="551"/>
      <c r="S94" s="551"/>
      <c r="T94" s="551"/>
      <c r="U94" s="551"/>
      <c r="V94" s="551"/>
      <c r="W94" s="551"/>
      <c r="X94" s="551"/>
      <c r="Y94" s="551"/>
      <c r="Z94" s="551"/>
      <c r="AA94" s="551"/>
      <c r="AB94" s="551"/>
      <c r="AC94" s="551"/>
      <c r="AD94" s="551"/>
      <c r="AE94" s="551"/>
      <c r="AF94" s="551"/>
      <c r="AG94" s="551"/>
      <c r="AH94" s="551"/>
      <c r="AI94" s="551"/>
      <c r="AJ94" s="551"/>
      <c r="AK94" s="551"/>
      <c r="AL94" s="551"/>
      <c r="AM94" s="551"/>
      <c r="AN94" s="551"/>
      <c r="AO94" s="551"/>
      <c r="AP94" s="551"/>
      <c r="AQ94" s="551"/>
      <c r="AR94" s="551"/>
      <c r="AS94" s="551"/>
      <c r="AT94" s="551"/>
      <c r="AU94" s="551"/>
      <c r="AV94" s="551"/>
      <c r="AW94" s="551"/>
      <c r="AX94" s="551"/>
      <c r="AY94" s="551"/>
      <c r="AZ94" s="551"/>
      <c r="BA94" s="551"/>
      <c r="BB94" s="551"/>
      <c r="BC94" s="551"/>
      <c r="BD94" s="551"/>
      <c r="BE94" s="551"/>
      <c r="BF94" s="551"/>
    </row>
    <row r="95" spans="1:58" ht="12.75" customHeight="1">
      <c r="A95" s="551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1"/>
      <c r="P95" s="551"/>
      <c r="Q95" s="551"/>
      <c r="R95" s="551"/>
      <c r="S95" s="551"/>
      <c r="T95" s="551"/>
      <c r="U95" s="551"/>
      <c r="V95" s="551"/>
      <c r="W95" s="551"/>
      <c r="X95" s="551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551"/>
      <c r="AU95" s="551"/>
      <c r="AV95" s="551"/>
      <c r="AW95" s="551"/>
      <c r="AX95" s="551"/>
      <c r="AY95" s="551"/>
      <c r="AZ95" s="551"/>
      <c r="BA95" s="551"/>
      <c r="BB95" s="551"/>
      <c r="BC95" s="551"/>
      <c r="BD95" s="551"/>
      <c r="BE95" s="551"/>
      <c r="BF95" s="551"/>
    </row>
    <row r="96" spans="1:58" ht="12.75" customHeight="1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1"/>
      <c r="P96" s="551"/>
      <c r="Q96" s="551"/>
      <c r="R96" s="551"/>
      <c r="S96" s="551"/>
      <c r="T96" s="551"/>
      <c r="U96" s="551"/>
      <c r="V96" s="551"/>
      <c r="W96" s="551"/>
      <c r="X96" s="551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  <c r="AL96" s="551"/>
      <c r="AM96" s="551"/>
      <c r="AN96" s="551"/>
      <c r="AO96" s="551"/>
      <c r="AP96" s="551"/>
      <c r="AQ96" s="551"/>
      <c r="AR96" s="551"/>
      <c r="AS96" s="551"/>
      <c r="AT96" s="551"/>
      <c r="AU96" s="551"/>
      <c r="AV96" s="551"/>
      <c r="AW96" s="551"/>
      <c r="AX96" s="551"/>
      <c r="AY96" s="551"/>
      <c r="AZ96" s="551"/>
      <c r="BA96" s="551"/>
      <c r="BB96" s="551"/>
      <c r="BC96" s="551"/>
      <c r="BD96" s="551"/>
      <c r="BE96" s="551"/>
      <c r="BF96" s="551"/>
    </row>
    <row r="97" spans="1:58" ht="12.75" customHeight="1">
      <c r="A97" s="551"/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551"/>
      <c r="AU97" s="551"/>
      <c r="AV97" s="551"/>
      <c r="AW97" s="551"/>
      <c r="AX97" s="551"/>
      <c r="AY97" s="551"/>
      <c r="AZ97" s="551"/>
      <c r="BA97" s="551"/>
      <c r="BB97" s="551"/>
      <c r="BC97" s="551"/>
      <c r="BD97" s="551"/>
      <c r="BE97" s="551"/>
      <c r="BF97" s="551"/>
    </row>
    <row r="98" spans="1:58" ht="12.75" customHeight="1">
      <c r="A98" s="551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  <c r="AL98" s="551"/>
      <c r="AM98" s="551"/>
      <c r="AN98" s="551"/>
      <c r="AO98" s="551"/>
      <c r="AP98" s="551"/>
      <c r="AQ98" s="551"/>
      <c r="AR98" s="551"/>
      <c r="AS98" s="551"/>
      <c r="AT98" s="551"/>
      <c r="AU98" s="551"/>
      <c r="AV98" s="551"/>
      <c r="AW98" s="551"/>
      <c r="AX98" s="551"/>
      <c r="AY98" s="551"/>
      <c r="AZ98" s="551"/>
      <c r="BA98" s="551"/>
      <c r="BB98" s="551"/>
      <c r="BC98" s="551"/>
      <c r="BD98" s="551"/>
      <c r="BE98" s="551"/>
      <c r="BF98" s="551"/>
    </row>
    <row r="99" spans="1:58" ht="12.75" customHeight="1">
      <c r="A99" s="551"/>
      <c r="B99" s="551"/>
      <c r="C99" s="551"/>
      <c r="D99" s="551"/>
      <c r="E99" s="551"/>
      <c r="F99" s="551"/>
      <c r="G99" s="551"/>
      <c r="H99" s="551"/>
      <c r="I99" s="551"/>
      <c r="J99" s="551"/>
      <c r="K99" s="551"/>
      <c r="L99" s="551"/>
      <c r="M99" s="551"/>
      <c r="N99" s="551"/>
      <c r="O99" s="551"/>
      <c r="P99" s="551"/>
      <c r="Q99" s="551"/>
      <c r="R99" s="551"/>
      <c r="S99" s="551"/>
      <c r="T99" s="551"/>
      <c r="U99" s="551"/>
      <c r="V99" s="551"/>
      <c r="W99" s="551"/>
      <c r="X99" s="551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  <c r="AL99" s="551"/>
      <c r="AM99" s="551"/>
      <c r="AN99" s="551"/>
      <c r="AO99" s="551"/>
      <c r="AP99" s="551"/>
      <c r="AQ99" s="551"/>
      <c r="AR99" s="551"/>
      <c r="AS99" s="551"/>
      <c r="AT99" s="551"/>
      <c r="AU99" s="551"/>
      <c r="AV99" s="551"/>
      <c r="AW99" s="551"/>
      <c r="AX99" s="551"/>
      <c r="AY99" s="551"/>
      <c r="AZ99" s="551"/>
      <c r="BA99" s="551"/>
      <c r="BB99" s="551"/>
      <c r="BC99" s="551"/>
      <c r="BD99" s="551"/>
      <c r="BE99" s="551"/>
      <c r="BF99" s="551"/>
    </row>
    <row r="100" spans="1:58" ht="12.75" customHeight="1">
      <c r="A100" s="551"/>
      <c r="B100" s="551"/>
      <c r="C100" s="551"/>
      <c r="D100" s="551"/>
      <c r="E100" s="551"/>
      <c r="F100" s="551"/>
      <c r="G100" s="551"/>
      <c r="H100" s="551"/>
      <c r="I100" s="551"/>
      <c r="J100" s="551"/>
      <c r="K100" s="551"/>
      <c r="L100" s="551"/>
      <c r="M100" s="551"/>
      <c r="N100" s="551"/>
      <c r="O100" s="551"/>
      <c r="P100" s="551"/>
      <c r="Q100" s="551"/>
      <c r="R100" s="551"/>
      <c r="S100" s="551"/>
      <c r="T100" s="551"/>
      <c r="U100" s="551"/>
      <c r="V100" s="551"/>
      <c r="W100" s="551"/>
      <c r="X100" s="551"/>
      <c r="Y100" s="551"/>
      <c r="Z100" s="551"/>
      <c r="AA100" s="551"/>
      <c r="AB100" s="551"/>
      <c r="AC100" s="551"/>
      <c r="AD100" s="551"/>
      <c r="AE100" s="551"/>
      <c r="AF100" s="551"/>
      <c r="AG100" s="551"/>
      <c r="AH100" s="551"/>
      <c r="AI100" s="551"/>
      <c r="AJ100" s="551"/>
      <c r="AK100" s="551"/>
      <c r="AL100" s="551"/>
      <c r="AM100" s="551"/>
      <c r="AN100" s="551"/>
      <c r="AO100" s="551"/>
      <c r="AP100" s="551"/>
      <c r="AQ100" s="551"/>
      <c r="AR100" s="551"/>
      <c r="AS100" s="551"/>
      <c r="AT100" s="551"/>
      <c r="AU100" s="551"/>
      <c r="AV100" s="551"/>
      <c r="AW100" s="551"/>
      <c r="AX100" s="551"/>
      <c r="AY100" s="551"/>
      <c r="AZ100" s="551"/>
      <c r="BA100" s="551"/>
      <c r="BB100" s="551"/>
      <c r="BC100" s="551"/>
      <c r="BD100" s="551"/>
      <c r="BE100" s="551"/>
      <c r="BF100" s="551"/>
    </row>
    <row r="101" spans="1:58" ht="12.75" customHeight="1">
      <c r="A101" s="551"/>
      <c r="B101" s="551"/>
      <c r="C101" s="551"/>
      <c r="D101" s="551"/>
      <c r="E101" s="551"/>
      <c r="F101" s="551"/>
      <c r="G101" s="551"/>
      <c r="H101" s="551"/>
      <c r="I101" s="551"/>
      <c r="J101" s="551"/>
      <c r="K101" s="551"/>
      <c r="L101" s="551"/>
      <c r="M101" s="551"/>
      <c r="N101" s="551"/>
      <c r="O101" s="551"/>
      <c r="P101" s="551"/>
      <c r="Q101" s="551"/>
      <c r="R101" s="551"/>
      <c r="S101" s="551"/>
      <c r="T101" s="551"/>
      <c r="U101" s="551"/>
      <c r="V101" s="551"/>
      <c r="W101" s="551"/>
      <c r="X101" s="551"/>
      <c r="Y101" s="551"/>
      <c r="Z101" s="551"/>
      <c r="AA101" s="551"/>
      <c r="AB101" s="551"/>
      <c r="AC101" s="551"/>
      <c r="AD101" s="551"/>
      <c r="AE101" s="551"/>
      <c r="AF101" s="551"/>
      <c r="AG101" s="551"/>
      <c r="AH101" s="551"/>
      <c r="AI101" s="551"/>
      <c r="AJ101" s="551"/>
      <c r="AK101" s="551"/>
      <c r="AL101" s="551"/>
      <c r="AM101" s="551"/>
      <c r="AN101" s="551"/>
      <c r="AO101" s="551"/>
      <c r="AP101" s="551"/>
      <c r="AQ101" s="551"/>
      <c r="AR101" s="551"/>
      <c r="AS101" s="551"/>
      <c r="AT101" s="551"/>
      <c r="AU101" s="551"/>
      <c r="AV101" s="551"/>
      <c r="AW101" s="551"/>
      <c r="AX101" s="551"/>
      <c r="AY101" s="551"/>
      <c r="AZ101" s="551"/>
      <c r="BA101" s="551"/>
      <c r="BB101" s="551"/>
      <c r="BC101" s="551"/>
      <c r="BD101" s="551"/>
      <c r="BE101" s="551"/>
      <c r="BF101" s="551"/>
    </row>
    <row r="102" spans="1:58" ht="12.75" customHeight="1">
      <c r="A102" s="551"/>
      <c r="B102" s="551"/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1"/>
      <c r="N102" s="551"/>
      <c r="O102" s="551"/>
      <c r="P102" s="551"/>
      <c r="Q102" s="551"/>
      <c r="R102" s="551"/>
      <c r="S102" s="551"/>
      <c r="T102" s="551"/>
      <c r="U102" s="551"/>
      <c r="V102" s="551"/>
      <c r="W102" s="551"/>
      <c r="X102" s="551"/>
      <c r="Y102" s="551"/>
      <c r="Z102" s="551"/>
      <c r="AA102" s="551"/>
      <c r="AB102" s="551"/>
      <c r="AC102" s="551"/>
      <c r="AD102" s="551"/>
      <c r="AE102" s="551"/>
      <c r="AF102" s="551"/>
      <c r="AG102" s="551"/>
      <c r="AH102" s="551"/>
      <c r="AI102" s="551"/>
      <c r="AJ102" s="551"/>
      <c r="AK102" s="551"/>
      <c r="AL102" s="551"/>
      <c r="AM102" s="551"/>
      <c r="AN102" s="551"/>
      <c r="AO102" s="551"/>
      <c r="AP102" s="551"/>
      <c r="AQ102" s="551"/>
      <c r="AR102" s="551"/>
      <c r="AS102" s="551"/>
      <c r="AT102" s="551"/>
      <c r="AU102" s="551"/>
      <c r="AV102" s="551"/>
      <c r="AW102" s="551"/>
      <c r="AX102" s="551"/>
      <c r="AY102" s="551"/>
      <c r="AZ102" s="551"/>
      <c r="BA102" s="551"/>
      <c r="BB102" s="551"/>
      <c r="BC102" s="551"/>
      <c r="BD102" s="551"/>
      <c r="BE102" s="551"/>
      <c r="BF102" s="551"/>
    </row>
    <row r="103" spans="1:58" ht="12.75" customHeight="1">
      <c r="A103" s="551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1"/>
      <c r="P103" s="551"/>
      <c r="Q103" s="551"/>
      <c r="R103" s="551"/>
      <c r="S103" s="551"/>
      <c r="T103" s="551"/>
      <c r="U103" s="551"/>
      <c r="V103" s="551"/>
      <c r="W103" s="551"/>
      <c r="X103" s="551"/>
      <c r="Y103" s="551"/>
      <c r="Z103" s="551"/>
      <c r="AA103" s="551"/>
      <c r="AB103" s="551"/>
      <c r="AC103" s="551"/>
      <c r="AD103" s="551"/>
      <c r="AE103" s="551"/>
      <c r="AF103" s="551"/>
      <c r="AG103" s="551"/>
      <c r="AH103" s="551"/>
      <c r="AI103" s="551"/>
      <c r="AJ103" s="551"/>
      <c r="AK103" s="551"/>
      <c r="AL103" s="551"/>
      <c r="AM103" s="551"/>
      <c r="AN103" s="551"/>
      <c r="AO103" s="551"/>
      <c r="AP103" s="551"/>
      <c r="AQ103" s="551"/>
      <c r="AR103" s="551"/>
      <c r="AS103" s="551"/>
      <c r="AT103" s="551"/>
      <c r="AU103" s="551"/>
      <c r="AV103" s="551"/>
      <c r="AW103" s="551"/>
      <c r="AX103" s="551"/>
      <c r="AY103" s="551"/>
      <c r="AZ103" s="551"/>
      <c r="BA103" s="551"/>
      <c r="BB103" s="551"/>
      <c r="BC103" s="551"/>
      <c r="BD103" s="551"/>
      <c r="BE103" s="551"/>
      <c r="BF103" s="551"/>
    </row>
    <row r="104" spans="1:58" ht="12.75" customHeight="1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1"/>
      <c r="P104" s="551"/>
      <c r="Q104" s="551"/>
      <c r="R104" s="551"/>
      <c r="S104" s="551"/>
      <c r="T104" s="551"/>
      <c r="U104" s="551"/>
      <c r="V104" s="551"/>
      <c r="W104" s="551"/>
      <c r="X104" s="551"/>
      <c r="Y104" s="551"/>
      <c r="Z104" s="551"/>
      <c r="AA104" s="551"/>
      <c r="AB104" s="551"/>
      <c r="AC104" s="551"/>
      <c r="AD104" s="551"/>
      <c r="AE104" s="551"/>
      <c r="AF104" s="551"/>
      <c r="AG104" s="551"/>
      <c r="AH104" s="551"/>
      <c r="AI104" s="551"/>
      <c r="AJ104" s="551"/>
      <c r="AK104" s="551"/>
      <c r="AL104" s="551"/>
      <c r="AM104" s="551"/>
      <c r="AN104" s="551"/>
      <c r="AO104" s="551"/>
      <c r="AP104" s="551"/>
      <c r="AQ104" s="551"/>
      <c r="AR104" s="551"/>
      <c r="AS104" s="551"/>
      <c r="AT104" s="551"/>
      <c r="AU104" s="551"/>
      <c r="AV104" s="551"/>
      <c r="AW104" s="551"/>
      <c r="AX104" s="551"/>
      <c r="AY104" s="551"/>
      <c r="AZ104" s="551"/>
      <c r="BA104" s="551"/>
      <c r="BB104" s="551"/>
      <c r="BC104" s="551"/>
      <c r="BD104" s="551"/>
      <c r="BE104" s="551"/>
      <c r="BF104" s="551"/>
    </row>
    <row r="105" spans="1:58" ht="12.75" customHeight="1">
      <c r="A105" s="551"/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51"/>
      <c r="AB105" s="551"/>
      <c r="AC105" s="551"/>
      <c r="AD105" s="551"/>
      <c r="AE105" s="551"/>
      <c r="AF105" s="551"/>
      <c r="AG105" s="551"/>
      <c r="AH105" s="551"/>
      <c r="AI105" s="551"/>
      <c r="AJ105" s="551"/>
      <c r="AK105" s="551"/>
      <c r="AL105" s="551"/>
      <c r="AM105" s="551"/>
      <c r="AN105" s="551"/>
      <c r="AO105" s="551"/>
      <c r="AP105" s="551"/>
      <c r="AQ105" s="551"/>
      <c r="AR105" s="551"/>
      <c r="AS105" s="551"/>
      <c r="AT105" s="551"/>
      <c r="AU105" s="551"/>
      <c r="AV105" s="551"/>
      <c r="AW105" s="551"/>
      <c r="AX105" s="551"/>
      <c r="AY105" s="551"/>
      <c r="AZ105" s="551"/>
      <c r="BA105" s="551"/>
      <c r="BB105" s="551"/>
      <c r="BC105" s="551"/>
      <c r="BD105" s="551"/>
      <c r="BE105" s="551"/>
      <c r="BF105" s="551"/>
    </row>
    <row r="106" spans="1:58" ht="12.75" customHeight="1">
      <c r="A106" s="551"/>
      <c r="B106" s="551"/>
      <c r="C106" s="551"/>
      <c r="D106" s="551"/>
      <c r="E106" s="551"/>
      <c r="F106" s="551"/>
      <c r="G106" s="551"/>
      <c r="H106" s="551"/>
      <c r="I106" s="551"/>
      <c r="J106" s="551"/>
      <c r="K106" s="551"/>
      <c r="L106" s="551"/>
      <c r="M106" s="551"/>
      <c r="N106" s="551"/>
      <c r="O106" s="551"/>
      <c r="P106" s="551"/>
      <c r="Q106" s="551"/>
      <c r="R106" s="551"/>
      <c r="S106" s="551"/>
      <c r="T106" s="551"/>
      <c r="U106" s="551"/>
      <c r="V106" s="551"/>
      <c r="W106" s="551"/>
      <c r="X106" s="551"/>
      <c r="Y106" s="551"/>
      <c r="Z106" s="551"/>
      <c r="AA106" s="551"/>
      <c r="AB106" s="551"/>
      <c r="AC106" s="551"/>
      <c r="AD106" s="551"/>
      <c r="AE106" s="551"/>
      <c r="AF106" s="551"/>
      <c r="AG106" s="551"/>
      <c r="AH106" s="551"/>
      <c r="AI106" s="551"/>
      <c r="AJ106" s="551"/>
      <c r="AK106" s="551"/>
      <c r="AL106" s="551"/>
      <c r="AM106" s="551"/>
      <c r="AN106" s="551"/>
      <c r="AO106" s="551"/>
      <c r="AP106" s="551"/>
      <c r="AQ106" s="551"/>
      <c r="AR106" s="551"/>
      <c r="AS106" s="551"/>
      <c r="AT106" s="551"/>
      <c r="AU106" s="551"/>
      <c r="AV106" s="551"/>
      <c r="AW106" s="551"/>
      <c r="AX106" s="551"/>
      <c r="AY106" s="551"/>
      <c r="AZ106" s="551"/>
      <c r="BA106" s="551"/>
      <c r="BB106" s="551"/>
      <c r="BC106" s="551"/>
      <c r="BD106" s="551"/>
      <c r="BE106" s="551"/>
      <c r="BF106" s="551"/>
    </row>
    <row r="107" spans="1:58" ht="12.75" customHeight="1">
      <c r="A107" s="551"/>
      <c r="B107" s="551"/>
      <c r="C107" s="551"/>
      <c r="D107" s="551"/>
      <c r="E107" s="551"/>
      <c r="F107" s="551"/>
      <c r="G107" s="551"/>
      <c r="H107" s="551"/>
      <c r="I107" s="551"/>
      <c r="J107" s="551"/>
      <c r="K107" s="551"/>
      <c r="L107" s="551"/>
      <c r="M107" s="551"/>
      <c r="N107" s="551"/>
      <c r="O107" s="551"/>
      <c r="P107" s="551"/>
      <c r="Q107" s="551"/>
      <c r="R107" s="551"/>
      <c r="S107" s="551"/>
      <c r="T107" s="551"/>
      <c r="U107" s="551"/>
      <c r="V107" s="551"/>
      <c r="W107" s="551"/>
      <c r="X107" s="551"/>
      <c r="Y107" s="551"/>
      <c r="Z107" s="551"/>
      <c r="AA107" s="551"/>
      <c r="AB107" s="551"/>
      <c r="AC107" s="551"/>
      <c r="AD107" s="551"/>
      <c r="AE107" s="551"/>
      <c r="AF107" s="551"/>
      <c r="AG107" s="551"/>
      <c r="AH107" s="551"/>
      <c r="AI107" s="551"/>
      <c r="AJ107" s="551"/>
      <c r="AK107" s="551"/>
      <c r="AL107" s="551"/>
      <c r="AM107" s="551"/>
      <c r="AN107" s="551"/>
      <c r="AO107" s="551"/>
      <c r="AP107" s="551"/>
      <c r="AQ107" s="551"/>
      <c r="AR107" s="551"/>
      <c r="AS107" s="551"/>
      <c r="AT107" s="551"/>
      <c r="AU107" s="551"/>
      <c r="AV107" s="551"/>
      <c r="AW107" s="551"/>
      <c r="AX107" s="551"/>
      <c r="AY107" s="551"/>
      <c r="AZ107" s="551"/>
      <c r="BA107" s="551"/>
      <c r="BB107" s="551"/>
      <c r="BC107" s="551"/>
      <c r="BD107" s="551"/>
      <c r="BE107" s="551"/>
      <c r="BF107" s="551"/>
    </row>
    <row r="108" spans="1:58" ht="12.75" customHeight="1">
      <c r="A108" s="551"/>
      <c r="B108" s="551"/>
      <c r="C108" s="551"/>
      <c r="D108" s="551"/>
      <c r="E108" s="551"/>
      <c r="F108" s="551"/>
      <c r="G108" s="551"/>
      <c r="H108" s="551"/>
      <c r="I108" s="551"/>
      <c r="J108" s="551"/>
      <c r="K108" s="551"/>
      <c r="L108" s="551"/>
      <c r="M108" s="551"/>
      <c r="N108" s="551"/>
      <c r="O108" s="551"/>
      <c r="P108" s="551"/>
      <c r="Q108" s="551"/>
      <c r="R108" s="551"/>
      <c r="S108" s="551"/>
      <c r="T108" s="551"/>
      <c r="U108" s="551"/>
      <c r="V108" s="551"/>
      <c r="W108" s="551"/>
      <c r="X108" s="551"/>
      <c r="Y108" s="551"/>
      <c r="Z108" s="551"/>
      <c r="AA108" s="551"/>
      <c r="AB108" s="551"/>
      <c r="AC108" s="551"/>
      <c r="AD108" s="551"/>
      <c r="AE108" s="551"/>
      <c r="AF108" s="551"/>
      <c r="AG108" s="551"/>
      <c r="AH108" s="551"/>
      <c r="AI108" s="551"/>
      <c r="AJ108" s="551"/>
      <c r="AK108" s="551"/>
      <c r="AL108" s="551"/>
      <c r="AM108" s="551"/>
      <c r="AN108" s="551"/>
      <c r="AO108" s="551"/>
      <c r="AP108" s="551"/>
      <c r="AQ108" s="551"/>
      <c r="AR108" s="551"/>
      <c r="AS108" s="551"/>
      <c r="AT108" s="551"/>
      <c r="AU108" s="551"/>
      <c r="AV108" s="551"/>
      <c r="AW108" s="551"/>
      <c r="AX108" s="551"/>
      <c r="AY108" s="551"/>
      <c r="AZ108" s="551"/>
      <c r="BA108" s="551"/>
      <c r="BB108" s="551"/>
      <c r="BC108" s="551"/>
      <c r="BD108" s="551"/>
      <c r="BE108" s="551"/>
      <c r="BF108" s="551"/>
    </row>
    <row r="109" spans="1:58" ht="12.75" customHeight="1">
      <c r="A109" s="551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1"/>
      <c r="P109" s="551"/>
      <c r="Q109" s="551"/>
      <c r="R109" s="551"/>
      <c r="S109" s="551"/>
      <c r="T109" s="551"/>
      <c r="U109" s="551"/>
      <c r="V109" s="551"/>
      <c r="W109" s="551"/>
      <c r="X109" s="551"/>
      <c r="Y109" s="551"/>
      <c r="Z109" s="551"/>
      <c r="AA109" s="551"/>
      <c r="AB109" s="551"/>
      <c r="AC109" s="551"/>
      <c r="AD109" s="551"/>
      <c r="AE109" s="551"/>
      <c r="AF109" s="551"/>
      <c r="AG109" s="551"/>
      <c r="AH109" s="551"/>
      <c r="AI109" s="551"/>
      <c r="AJ109" s="551"/>
      <c r="AK109" s="551"/>
      <c r="AL109" s="551"/>
      <c r="AM109" s="551"/>
      <c r="AN109" s="551"/>
      <c r="AO109" s="551"/>
      <c r="AP109" s="551"/>
      <c r="AQ109" s="551"/>
      <c r="AR109" s="551"/>
      <c r="AS109" s="551"/>
      <c r="AT109" s="551"/>
      <c r="AU109" s="551"/>
      <c r="AV109" s="551"/>
      <c r="AW109" s="551"/>
      <c r="AX109" s="551"/>
      <c r="AY109" s="551"/>
      <c r="AZ109" s="551"/>
      <c r="BA109" s="551"/>
      <c r="BB109" s="551"/>
      <c r="BC109" s="551"/>
      <c r="BD109" s="551"/>
      <c r="BE109" s="551"/>
      <c r="BF109" s="551"/>
    </row>
    <row r="110" spans="1:58" ht="12.75" customHeight="1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1"/>
      <c r="P110" s="551"/>
      <c r="Q110" s="551"/>
      <c r="R110" s="551"/>
      <c r="S110" s="551"/>
      <c r="T110" s="551"/>
      <c r="U110" s="551"/>
      <c r="V110" s="551"/>
      <c r="W110" s="551"/>
      <c r="X110" s="551"/>
      <c r="Y110" s="551"/>
      <c r="Z110" s="551"/>
      <c r="AA110" s="551"/>
      <c r="AB110" s="551"/>
      <c r="AC110" s="551"/>
      <c r="AD110" s="551"/>
      <c r="AE110" s="551"/>
      <c r="AF110" s="551"/>
      <c r="AG110" s="551"/>
      <c r="AH110" s="551"/>
      <c r="AI110" s="551"/>
      <c r="AJ110" s="551"/>
      <c r="AK110" s="551"/>
      <c r="AL110" s="551"/>
      <c r="AM110" s="551"/>
      <c r="AN110" s="551"/>
      <c r="AO110" s="551"/>
      <c r="AP110" s="551"/>
      <c r="AQ110" s="551"/>
      <c r="AR110" s="551"/>
      <c r="AS110" s="551"/>
      <c r="AT110" s="551"/>
      <c r="AU110" s="551"/>
      <c r="AV110" s="551"/>
      <c r="AW110" s="551"/>
      <c r="AX110" s="551"/>
      <c r="AY110" s="551"/>
      <c r="AZ110" s="551"/>
      <c r="BA110" s="551"/>
      <c r="BB110" s="551"/>
      <c r="BC110" s="551"/>
      <c r="BD110" s="551"/>
      <c r="BE110" s="551"/>
      <c r="BF110" s="551"/>
    </row>
    <row r="111" spans="1:58" ht="12.75" customHeight="1">
      <c r="A111" s="551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51"/>
      <c r="AB111" s="551"/>
      <c r="AC111" s="551"/>
      <c r="AD111" s="551"/>
      <c r="AE111" s="551"/>
      <c r="AF111" s="551"/>
      <c r="AG111" s="551"/>
      <c r="AH111" s="551"/>
      <c r="AI111" s="551"/>
      <c r="AJ111" s="551"/>
      <c r="AK111" s="551"/>
      <c r="AL111" s="551"/>
      <c r="AM111" s="551"/>
      <c r="AN111" s="551"/>
      <c r="AO111" s="551"/>
      <c r="AP111" s="551"/>
      <c r="AQ111" s="551"/>
      <c r="AR111" s="551"/>
      <c r="AS111" s="551"/>
      <c r="AT111" s="551"/>
      <c r="AU111" s="551"/>
      <c r="AV111" s="551"/>
      <c r="AW111" s="551"/>
      <c r="AX111" s="551"/>
      <c r="AY111" s="551"/>
      <c r="AZ111" s="551"/>
      <c r="BA111" s="551"/>
      <c r="BB111" s="551"/>
      <c r="BC111" s="551"/>
      <c r="BD111" s="551"/>
      <c r="BE111" s="551"/>
      <c r="BF111" s="551"/>
    </row>
    <row r="112" spans="1:58" ht="12.75" customHeight="1">
      <c r="A112" s="551"/>
      <c r="B112" s="551"/>
      <c r="C112" s="551"/>
      <c r="D112" s="551"/>
      <c r="E112" s="551"/>
      <c r="F112" s="551"/>
      <c r="G112" s="551"/>
      <c r="H112" s="551"/>
      <c r="I112" s="551"/>
      <c r="J112" s="551"/>
      <c r="K112" s="551"/>
      <c r="L112" s="551"/>
      <c r="M112" s="551"/>
      <c r="N112" s="551"/>
      <c r="O112" s="551"/>
      <c r="P112" s="551"/>
      <c r="Q112" s="551"/>
      <c r="R112" s="551"/>
      <c r="S112" s="551"/>
      <c r="T112" s="551"/>
      <c r="U112" s="551"/>
      <c r="V112" s="551"/>
      <c r="W112" s="551"/>
      <c r="X112" s="551"/>
      <c r="Y112" s="551"/>
      <c r="Z112" s="551"/>
      <c r="AA112" s="551"/>
      <c r="AB112" s="551"/>
      <c r="AC112" s="551"/>
      <c r="AD112" s="551"/>
      <c r="AE112" s="551"/>
      <c r="AF112" s="551"/>
      <c r="AG112" s="551"/>
      <c r="AH112" s="551"/>
      <c r="AI112" s="551"/>
      <c r="AJ112" s="551"/>
      <c r="AK112" s="551"/>
      <c r="AL112" s="551"/>
      <c r="AM112" s="551"/>
      <c r="AN112" s="551"/>
      <c r="AO112" s="551"/>
      <c r="AP112" s="551"/>
      <c r="AQ112" s="551"/>
      <c r="AR112" s="551"/>
      <c r="AS112" s="551"/>
      <c r="AT112" s="551"/>
      <c r="AU112" s="551"/>
      <c r="AV112" s="551"/>
      <c r="AW112" s="551"/>
      <c r="AX112" s="551"/>
      <c r="AY112" s="551"/>
      <c r="AZ112" s="551"/>
      <c r="BA112" s="551"/>
      <c r="BB112" s="551"/>
      <c r="BC112" s="551"/>
      <c r="BD112" s="551"/>
      <c r="BE112" s="551"/>
      <c r="BF112" s="551"/>
    </row>
    <row r="113" spans="1:58" ht="12.75" customHeight="1">
      <c r="A113" s="551"/>
      <c r="B113" s="551"/>
      <c r="C113" s="551"/>
      <c r="D113" s="551"/>
      <c r="E113" s="551"/>
      <c r="F113" s="551"/>
      <c r="G113" s="551"/>
      <c r="H113" s="551"/>
      <c r="I113" s="551"/>
      <c r="J113" s="551"/>
      <c r="K113" s="551"/>
      <c r="L113" s="551"/>
      <c r="M113" s="551"/>
      <c r="N113" s="551"/>
      <c r="O113" s="551"/>
      <c r="P113" s="551"/>
      <c r="Q113" s="551"/>
      <c r="R113" s="551"/>
      <c r="S113" s="551"/>
      <c r="T113" s="551"/>
      <c r="U113" s="551"/>
      <c r="V113" s="551"/>
      <c r="W113" s="551"/>
      <c r="X113" s="551"/>
      <c r="Y113" s="551"/>
      <c r="Z113" s="551"/>
      <c r="AA113" s="551"/>
      <c r="AB113" s="551"/>
      <c r="AC113" s="551"/>
      <c r="AD113" s="551"/>
      <c r="AE113" s="551"/>
      <c r="AF113" s="551"/>
      <c r="AG113" s="551"/>
      <c r="AH113" s="551"/>
      <c r="AI113" s="551"/>
      <c r="AJ113" s="551"/>
      <c r="AK113" s="551"/>
      <c r="AL113" s="551"/>
      <c r="AM113" s="551"/>
      <c r="AN113" s="551"/>
      <c r="AO113" s="551"/>
      <c r="AP113" s="551"/>
      <c r="AQ113" s="551"/>
      <c r="AR113" s="551"/>
      <c r="AS113" s="551"/>
      <c r="AT113" s="551"/>
      <c r="AU113" s="551"/>
      <c r="AV113" s="551"/>
      <c r="AW113" s="551"/>
      <c r="AX113" s="551"/>
      <c r="AY113" s="551"/>
      <c r="AZ113" s="551"/>
      <c r="BA113" s="551"/>
      <c r="BB113" s="551"/>
      <c r="BC113" s="551"/>
      <c r="BD113" s="551"/>
      <c r="BE113" s="551"/>
      <c r="BF113" s="551"/>
    </row>
    <row r="114" spans="1:58" ht="12.75" customHeight="1">
      <c r="A114" s="551"/>
      <c r="B114" s="551"/>
      <c r="C114" s="551"/>
      <c r="D114" s="551"/>
      <c r="E114" s="551"/>
      <c r="F114" s="551"/>
      <c r="G114" s="551"/>
      <c r="H114" s="551"/>
      <c r="I114" s="551"/>
      <c r="J114" s="551"/>
      <c r="K114" s="551"/>
      <c r="L114" s="551"/>
      <c r="M114" s="551"/>
      <c r="N114" s="551"/>
      <c r="O114" s="551"/>
      <c r="P114" s="551"/>
      <c r="Q114" s="551"/>
      <c r="R114" s="551"/>
      <c r="S114" s="551"/>
      <c r="T114" s="551"/>
      <c r="U114" s="551"/>
      <c r="V114" s="551"/>
      <c r="W114" s="551"/>
      <c r="X114" s="551"/>
      <c r="Y114" s="551"/>
      <c r="Z114" s="551"/>
      <c r="AA114" s="551"/>
      <c r="AB114" s="551"/>
      <c r="AC114" s="551"/>
      <c r="AD114" s="551"/>
      <c r="AE114" s="551"/>
      <c r="AF114" s="551"/>
      <c r="AG114" s="551"/>
      <c r="AH114" s="551"/>
      <c r="AI114" s="551"/>
      <c r="AJ114" s="551"/>
      <c r="AK114" s="551"/>
      <c r="AL114" s="551"/>
      <c r="AM114" s="551"/>
      <c r="AN114" s="551"/>
      <c r="AO114" s="551"/>
      <c r="AP114" s="551"/>
      <c r="AQ114" s="551"/>
      <c r="AR114" s="551"/>
      <c r="AS114" s="551"/>
      <c r="AT114" s="551"/>
      <c r="AU114" s="551"/>
      <c r="AV114" s="551"/>
      <c r="AW114" s="551"/>
      <c r="AX114" s="551"/>
      <c r="AY114" s="551"/>
      <c r="AZ114" s="551"/>
      <c r="BA114" s="551"/>
      <c r="BB114" s="551"/>
      <c r="BC114" s="551"/>
      <c r="BD114" s="551"/>
      <c r="BE114" s="551"/>
      <c r="BF114" s="551"/>
    </row>
    <row r="115" spans="1:58" ht="12.75" customHeight="1">
      <c r="A115" s="551"/>
      <c r="B115" s="551"/>
      <c r="C115" s="551"/>
      <c r="D115" s="551"/>
      <c r="E115" s="551"/>
      <c r="F115" s="551"/>
      <c r="G115" s="551"/>
      <c r="H115" s="551"/>
      <c r="I115" s="551"/>
      <c r="J115" s="551"/>
      <c r="K115" s="551"/>
      <c r="L115" s="551"/>
      <c r="M115" s="551"/>
      <c r="N115" s="551"/>
      <c r="O115" s="551"/>
      <c r="P115" s="551"/>
      <c r="Q115" s="551"/>
      <c r="R115" s="551"/>
      <c r="S115" s="551"/>
      <c r="T115" s="551"/>
      <c r="U115" s="551"/>
      <c r="V115" s="551"/>
      <c r="W115" s="551"/>
      <c r="X115" s="551"/>
      <c r="Y115" s="551"/>
      <c r="Z115" s="551"/>
      <c r="AA115" s="551"/>
      <c r="AB115" s="551"/>
      <c r="AC115" s="551"/>
      <c r="AD115" s="551"/>
      <c r="AE115" s="551"/>
      <c r="AF115" s="551"/>
      <c r="AG115" s="551"/>
      <c r="AH115" s="551"/>
      <c r="AI115" s="551"/>
      <c r="AJ115" s="551"/>
      <c r="AK115" s="551"/>
      <c r="AL115" s="551"/>
      <c r="AM115" s="551"/>
      <c r="AN115" s="551"/>
      <c r="AO115" s="551"/>
      <c r="AP115" s="551"/>
      <c r="AQ115" s="551"/>
      <c r="AR115" s="551"/>
      <c r="AS115" s="551"/>
      <c r="AT115" s="551"/>
      <c r="AU115" s="551"/>
      <c r="AV115" s="551"/>
      <c r="AW115" s="551"/>
      <c r="AX115" s="551"/>
      <c r="AY115" s="551"/>
      <c r="AZ115" s="551"/>
      <c r="BA115" s="551"/>
      <c r="BB115" s="551"/>
      <c r="BC115" s="551"/>
      <c r="BD115" s="551"/>
      <c r="BE115" s="551"/>
      <c r="BF115" s="551"/>
    </row>
    <row r="116" spans="1:58" ht="12.75" customHeight="1">
      <c r="A116" s="551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1"/>
      <c r="P116" s="551"/>
      <c r="Q116" s="551"/>
      <c r="R116" s="551"/>
      <c r="S116" s="551"/>
      <c r="T116" s="551"/>
      <c r="U116" s="551"/>
      <c r="V116" s="551"/>
      <c r="W116" s="551"/>
      <c r="X116" s="551"/>
      <c r="Y116" s="551"/>
      <c r="Z116" s="551"/>
      <c r="AA116" s="551"/>
      <c r="AB116" s="551"/>
      <c r="AC116" s="551"/>
      <c r="AD116" s="551"/>
      <c r="AE116" s="551"/>
      <c r="AF116" s="551"/>
      <c r="AG116" s="551"/>
      <c r="AH116" s="551"/>
      <c r="AI116" s="551"/>
      <c r="AJ116" s="551"/>
      <c r="AK116" s="551"/>
      <c r="AL116" s="551"/>
      <c r="AM116" s="551"/>
      <c r="AN116" s="551"/>
      <c r="AO116" s="551"/>
      <c r="AP116" s="551"/>
      <c r="AQ116" s="551"/>
      <c r="AR116" s="551"/>
      <c r="AS116" s="551"/>
      <c r="AT116" s="551"/>
      <c r="AU116" s="551"/>
      <c r="AV116" s="551"/>
      <c r="AW116" s="551"/>
      <c r="AX116" s="551"/>
      <c r="AY116" s="551"/>
      <c r="AZ116" s="551"/>
      <c r="BA116" s="551"/>
      <c r="BB116" s="551"/>
      <c r="BC116" s="551"/>
      <c r="BD116" s="551"/>
      <c r="BE116" s="551"/>
      <c r="BF116" s="551"/>
    </row>
    <row r="117" spans="1:58" ht="12.75" customHeight="1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1"/>
      <c r="P117" s="551"/>
      <c r="Q117" s="551"/>
      <c r="R117" s="551"/>
      <c r="S117" s="551"/>
      <c r="T117" s="551"/>
      <c r="U117" s="551"/>
      <c r="V117" s="551"/>
      <c r="W117" s="551"/>
      <c r="X117" s="551"/>
      <c r="Y117" s="551"/>
      <c r="Z117" s="551"/>
      <c r="AA117" s="551"/>
      <c r="AB117" s="551"/>
      <c r="AC117" s="551"/>
      <c r="AD117" s="551"/>
      <c r="AE117" s="551"/>
      <c r="AF117" s="551"/>
      <c r="AG117" s="551"/>
      <c r="AH117" s="551"/>
      <c r="AI117" s="551"/>
      <c r="AJ117" s="551"/>
      <c r="AK117" s="551"/>
      <c r="AL117" s="551"/>
      <c r="AM117" s="551"/>
      <c r="AN117" s="551"/>
      <c r="AO117" s="551"/>
      <c r="AP117" s="551"/>
      <c r="AQ117" s="551"/>
      <c r="AR117" s="551"/>
      <c r="AS117" s="551"/>
      <c r="AT117" s="551"/>
      <c r="AU117" s="551"/>
      <c r="AV117" s="551"/>
      <c r="AW117" s="551"/>
      <c r="AX117" s="551"/>
      <c r="AY117" s="551"/>
      <c r="AZ117" s="551"/>
      <c r="BA117" s="551"/>
      <c r="BB117" s="551"/>
      <c r="BC117" s="551"/>
      <c r="BD117" s="551"/>
      <c r="BE117" s="551"/>
      <c r="BF117" s="551"/>
    </row>
    <row r="118" spans="1:58" ht="12.75" customHeight="1">
      <c r="A118" s="551"/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51"/>
      <c r="AB118" s="551"/>
      <c r="AC118" s="551"/>
      <c r="AD118" s="551"/>
      <c r="AE118" s="551"/>
      <c r="AF118" s="551"/>
      <c r="AG118" s="551"/>
      <c r="AH118" s="551"/>
      <c r="AI118" s="551"/>
      <c r="AJ118" s="551"/>
      <c r="AK118" s="551"/>
      <c r="AL118" s="551"/>
      <c r="AM118" s="551"/>
      <c r="AN118" s="551"/>
      <c r="AO118" s="551"/>
      <c r="AP118" s="551"/>
      <c r="AQ118" s="551"/>
      <c r="AR118" s="551"/>
      <c r="AS118" s="551"/>
      <c r="AT118" s="551"/>
      <c r="AU118" s="551"/>
      <c r="AV118" s="551"/>
      <c r="AW118" s="551"/>
      <c r="AX118" s="551"/>
      <c r="AY118" s="551"/>
      <c r="AZ118" s="551"/>
      <c r="BA118" s="551"/>
      <c r="BB118" s="551"/>
      <c r="BC118" s="551"/>
      <c r="BD118" s="551"/>
      <c r="BE118" s="551"/>
      <c r="BF118" s="551"/>
    </row>
    <row r="119" spans="1:58" ht="12.75" customHeight="1">
      <c r="A119" s="551"/>
      <c r="B119" s="551"/>
      <c r="C119" s="551"/>
      <c r="D119" s="551"/>
      <c r="E119" s="551"/>
      <c r="F119" s="551"/>
      <c r="G119" s="551"/>
      <c r="H119" s="551"/>
      <c r="I119" s="551"/>
      <c r="J119" s="551"/>
      <c r="K119" s="551"/>
      <c r="L119" s="551"/>
      <c r="M119" s="551"/>
      <c r="N119" s="551"/>
      <c r="O119" s="551"/>
      <c r="P119" s="551"/>
      <c r="Q119" s="551"/>
      <c r="R119" s="551"/>
      <c r="S119" s="551"/>
      <c r="T119" s="551"/>
      <c r="U119" s="551"/>
      <c r="V119" s="551"/>
      <c r="W119" s="551"/>
      <c r="X119" s="551"/>
      <c r="Y119" s="551"/>
      <c r="Z119" s="551"/>
      <c r="AA119" s="551"/>
      <c r="AB119" s="551"/>
      <c r="AC119" s="551"/>
      <c r="AD119" s="551"/>
      <c r="AE119" s="551"/>
      <c r="AF119" s="551"/>
      <c r="AG119" s="551"/>
      <c r="AH119" s="551"/>
      <c r="AI119" s="551"/>
      <c r="AJ119" s="551"/>
      <c r="AK119" s="551"/>
      <c r="AL119" s="551"/>
      <c r="AM119" s="551"/>
      <c r="AN119" s="551"/>
      <c r="AO119" s="551"/>
      <c r="AP119" s="551"/>
      <c r="AQ119" s="551"/>
      <c r="AR119" s="551"/>
      <c r="AS119" s="551"/>
      <c r="AT119" s="551"/>
      <c r="AU119" s="551"/>
      <c r="AV119" s="551"/>
      <c r="AW119" s="551"/>
      <c r="AX119" s="551"/>
      <c r="AY119" s="551"/>
      <c r="AZ119" s="551"/>
      <c r="BA119" s="551"/>
      <c r="BB119" s="551"/>
      <c r="BC119" s="551"/>
      <c r="BD119" s="551"/>
      <c r="BE119" s="551"/>
      <c r="BF119" s="551"/>
    </row>
    <row r="120" spans="1:58" ht="12.75" customHeight="1">
      <c r="A120" s="551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1"/>
      <c r="P120" s="551"/>
      <c r="Q120" s="551"/>
      <c r="R120" s="551"/>
      <c r="S120" s="551"/>
      <c r="T120" s="551"/>
      <c r="U120" s="551"/>
      <c r="V120" s="551"/>
      <c r="W120" s="551"/>
      <c r="X120" s="551"/>
      <c r="Y120" s="551"/>
      <c r="Z120" s="551"/>
      <c r="AA120" s="551"/>
      <c r="AB120" s="551"/>
      <c r="AC120" s="551"/>
      <c r="AD120" s="551"/>
      <c r="AE120" s="551"/>
      <c r="AF120" s="551"/>
      <c r="AG120" s="551"/>
      <c r="AH120" s="551"/>
      <c r="AI120" s="551"/>
      <c r="AJ120" s="551"/>
      <c r="AK120" s="551"/>
      <c r="AL120" s="551"/>
      <c r="AM120" s="551"/>
      <c r="AN120" s="551"/>
      <c r="AO120" s="551"/>
      <c r="AP120" s="551"/>
      <c r="AQ120" s="551"/>
      <c r="AR120" s="551"/>
      <c r="AS120" s="551"/>
      <c r="AT120" s="551"/>
      <c r="AU120" s="551"/>
      <c r="AV120" s="551"/>
      <c r="AW120" s="551"/>
      <c r="AX120" s="551"/>
      <c r="AY120" s="551"/>
      <c r="AZ120" s="551"/>
      <c r="BA120" s="551"/>
      <c r="BB120" s="551"/>
      <c r="BC120" s="551"/>
      <c r="BD120" s="551"/>
      <c r="BE120" s="551"/>
      <c r="BF120" s="551"/>
    </row>
    <row r="121" spans="1:58" ht="12.75" customHeight="1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1"/>
      <c r="P121" s="551"/>
      <c r="Q121" s="551"/>
      <c r="R121" s="551"/>
      <c r="S121" s="551"/>
      <c r="T121" s="551"/>
      <c r="U121" s="551"/>
      <c r="V121" s="551"/>
      <c r="W121" s="551"/>
      <c r="X121" s="551"/>
      <c r="Y121" s="551"/>
      <c r="Z121" s="551"/>
      <c r="AA121" s="551"/>
      <c r="AB121" s="551"/>
      <c r="AC121" s="551"/>
      <c r="AD121" s="551"/>
      <c r="AE121" s="551"/>
      <c r="AF121" s="551"/>
      <c r="AG121" s="551"/>
      <c r="AH121" s="551"/>
      <c r="AI121" s="551"/>
      <c r="AJ121" s="551"/>
      <c r="AK121" s="551"/>
      <c r="AL121" s="551"/>
      <c r="AM121" s="551"/>
      <c r="AN121" s="551"/>
      <c r="AO121" s="551"/>
      <c r="AP121" s="551"/>
      <c r="AQ121" s="551"/>
      <c r="AR121" s="551"/>
      <c r="AS121" s="551"/>
      <c r="AT121" s="551"/>
      <c r="AU121" s="551"/>
      <c r="AV121" s="551"/>
      <c r="AW121" s="551"/>
      <c r="AX121" s="551"/>
      <c r="AY121" s="551"/>
      <c r="AZ121" s="551"/>
      <c r="BA121" s="551"/>
      <c r="BB121" s="551"/>
      <c r="BC121" s="551"/>
      <c r="BD121" s="551"/>
      <c r="BE121" s="551"/>
      <c r="BF121" s="551"/>
    </row>
    <row r="122" spans="1:58" ht="12.75" customHeight="1">
      <c r="A122" s="551"/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51"/>
      <c r="AB122" s="551"/>
      <c r="AC122" s="551"/>
      <c r="AD122" s="551"/>
      <c r="AE122" s="551"/>
      <c r="AF122" s="551"/>
      <c r="AG122" s="551"/>
      <c r="AH122" s="551"/>
      <c r="AI122" s="551"/>
      <c r="AJ122" s="551"/>
      <c r="AK122" s="551"/>
      <c r="AL122" s="551"/>
      <c r="AM122" s="551"/>
      <c r="AN122" s="551"/>
      <c r="AO122" s="551"/>
      <c r="AP122" s="551"/>
      <c r="AQ122" s="551"/>
      <c r="AR122" s="551"/>
      <c r="AS122" s="551"/>
      <c r="AT122" s="551"/>
      <c r="AU122" s="551"/>
      <c r="AV122" s="551"/>
      <c r="AW122" s="551"/>
      <c r="AX122" s="551"/>
      <c r="AY122" s="551"/>
      <c r="AZ122" s="551"/>
      <c r="BA122" s="551"/>
      <c r="BB122" s="551"/>
      <c r="BC122" s="551"/>
      <c r="BD122" s="551"/>
      <c r="BE122" s="551"/>
      <c r="BF122" s="551"/>
    </row>
    <row r="123" spans="1:58" ht="12.75" customHeight="1">
      <c r="A123" s="551"/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51"/>
      <c r="AB123" s="551"/>
      <c r="AC123" s="551"/>
      <c r="AD123" s="551"/>
      <c r="AE123" s="551"/>
      <c r="AF123" s="551"/>
      <c r="AG123" s="551"/>
      <c r="AH123" s="551"/>
      <c r="AI123" s="551"/>
      <c r="AJ123" s="551"/>
      <c r="AK123" s="551"/>
      <c r="AL123" s="551"/>
      <c r="AM123" s="551"/>
      <c r="AN123" s="551"/>
      <c r="AO123" s="551"/>
      <c r="AP123" s="551"/>
      <c r="AQ123" s="551"/>
      <c r="AR123" s="551"/>
      <c r="AS123" s="551"/>
      <c r="AT123" s="551"/>
      <c r="AU123" s="551"/>
      <c r="AV123" s="551"/>
      <c r="AW123" s="551"/>
      <c r="AX123" s="551"/>
      <c r="AY123" s="551"/>
      <c r="AZ123" s="551"/>
      <c r="BA123" s="551"/>
      <c r="BB123" s="551"/>
      <c r="BC123" s="551"/>
      <c r="BD123" s="551"/>
      <c r="BE123" s="551"/>
      <c r="BF123" s="551"/>
    </row>
    <row r="124" spans="1:58" ht="12.75" customHeight="1">
      <c r="A124" s="551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1"/>
      <c r="M124" s="551"/>
      <c r="N124" s="551"/>
      <c r="O124" s="551"/>
      <c r="P124" s="551"/>
      <c r="Q124" s="551"/>
      <c r="R124" s="551"/>
      <c r="S124" s="551"/>
      <c r="T124" s="551"/>
      <c r="U124" s="551"/>
      <c r="V124" s="551"/>
      <c r="W124" s="551"/>
      <c r="X124" s="551"/>
      <c r="Y124" s="551"/>
      <c r="Z124" s="551"/>
      <c r="AA124" s="551"/>
      <c r="AB124" s="551"/>
      <c r="AC124" s="551"/>
      <c r="AD124" s="551"/>
      <c r="AE124" s="551"/>
      <c r="AF124" s="551"/>
      <c r="AG124" s="551"/>
      <c r="AH124" s="551"/>
      <c r="AI124" s="551"/>
      <c r="AJ124" s="551"/>
      <c r="AK124" s="551"/>
      <c r="AL124" s="551"/>
      <c r="AM124" s="551"/>
      <c r="AN124" s="551"/>
      <c r="AO124" s="551"/>
      <c r="AP124" s="551"/>
      <c r="AQ124" s="551"/>
      <c r="AR124" s="551"/>
      <c r="AS124" s="551"/>
      <c r="AT124" s="551"/>
      <c r="AU124" s="551"/>
      <c r="AV124" s="551"/>
      <c r="AW124" s="551"/>
      <c r="AX124" s="551"/>
      <c r="AY124" s="551"/>
      <c r="AZ124" s="551"/>
      <c r="BA124" s="551"/>
      <c r="BB124" s="551"/>
      <c r="BC124" s="551"/>
      <c r="BD124" s="551"/>
      <c r="BE124" s="551"/>
      <c r="BF124" s="551"/>
    </row>
    <row r="125" spans="1:58" ht="12.75" customHeight="1">
      <c r="A125" s="551"/>
      <c r="B125" s="551"/>
      <c r="C125" s="551"/>
      <c r="D125" s="551"/>
      <c r="E125" s="551"/>
      <c r="F125" s="551"/>
      <c r="G125" s="551"/>
      <c r="H125" s="551"/>
      <c r="I125" s="551"/>
      <c r="J125" s="551"/>
      <c r="K125" s="551"/>
      <c r="L125" s="551"/>
      <c r="M125" s="551"/>
      <c r="N125" s="551"/>
      <c r="O125" s="551"/>
      <c r="P125" s="551"/>
      <c r="Q125" s="551"/>
      <c r="R125" s="551"/>
      <c r="S125" s="551"/>
      <c r="T125" s="551"/>
      <c r="U125" s="551"/>
      <c r="V125" s="551"/>
      <c r="W125" s="551"/>
      <c r="X125" s="551"/>
      <c r="Y125" s="551"/>
      <c r="Z125" s="551"/>
      <c r="AA125" s="551"/>
      <c r="AB125" s="551"/>
      <c r="AC125" s="551"/>
      <c r="AD125" s="551"/>
      <c r="AE125" s="551"/>
      <c r="AF125" s="551"/>
      <c r="AG125" s="551"/>
      <c r="AH125" s="551"/>
      <c r="AI125" s="551"/>
      <c r="AJ125" s="551"/>
      <c r="AK125" s="551"/>
      <c r="AL125" s="551"/>
      <c r="AM125" s="551"/>
      <c r="AN125" s="551"/>
      <c r="AO125" s="551"/>
      <c r="AP125" s="551"/>
      <c r="AQ125" s="551"/>
      <c r="AR125" s="551"/>
      <c r="AS125" s="551"/>
      <c r="AT125" s="551"/>
      <c r="AU125" s="551"/>
      <c r="AV125" s="551"/>
      <c r="AW125" s="551"/>
      <c r="AX125" s="551"/>
      <c r="AY125" s="551"/>
      <c r="AZ125" s="551"/>
      <c r="BA125" s="551"/>
      <c r="BB125" s="551"/>
      <c r="BC125" s="551"/>
      <c r="BD125" s="551"/>
      <c r="BE125" s="551"/>
      <c r="BF125" s="551"/>
    </row>
    <row r="126" spans="1:58" ht="12.75" customHeight="1">
      <c r="A126" s="551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1"/>
      <c r="P126" s="551"/>
      <c r="Q126" s="551"/>
      <c r="R126" s="551"/>
      <c r="S126" s="551"/>
      <c r="T126" s="551"/>
      <c r="U126" s="551"/>
      <c r="V126" s="551"/>
      <c r="W126" s="551"/>
      <c r="X126" s="551"/>
      <c r="Y126" s="551"/>
      <c r="Z126" s="551"/>
      <c r="AA126" s="551"/>
      <c r="AB126" s="551"/>
      <c r="AC126" s="551"/>
      <c r="AD126" s="551"/>
      <c r="AE126" s="551"/>
      <c r="AF126" s="551"/>
      <c r="AG126" s="551"/>
      <c r="AH126" s="551"/>
      <c r="AI126" s="551"/>
      <c r="AJ126" s="551"/>
      <c r="AK126" s="551"/>
      <c r="AL126" s="551"/>
      <c r="AM126" s="551"/>
      <c r="AN126" s="551"/>
      <c r="AO126" s="551"/>
      <c r="AP126" s="551"/>
      <c r="AQ126" s="551"/>
      <c r="AR126" s="551"/>
      <c r="AS126" s="551"/>
      <c r="AT126" s="551"/>
      <c r="AU126" s="551"/>
      <c r="AV126" s="551"/>
      <c r="AW126" s="551"/>
      <c r="AX126" s="551"/>
      <c r="AY126" s="551"/>
      <c r="AZ126" s="551"/>
      <c r="BA126" s="551"/>
      <c r="BB126" s="551"/>
      <c r="BC126" s="551"/>
      <c r="BD126" s="551"/>
      <c r="BE126" s="551"/>
      <c r="BF126" s="551"/>
    </row>
    <row r="127" spans="1:58" ht="12.75" customHeight="1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1"/>
      <c r="P127" s="551"/>
      <c r="Q127" s="551"/>
      <c r="R127" s="551"/>
      <c r="S127" s="551"/>
      <c r="T127" s="551"/>
      <c r="U127" s="551"/>
      <c r="V127" s="551"/>
      <c r="W127" s="551"/>
      <c r="X127" s="551"/>
      <c r="Y127" s="551"/>
      <c r="Z127" s="551"/>
      <c r="AA127" s="551"/>
      <c r="AB127" s="551"/>
      <c r="AC127" s="551"/>
      <c r="AD127" s="551"/>
      <c r="AE127" s="551"/>
      <c r="AF127" s="551"/>
      <c r="AG127" s="551"/>
      <c r="AH127" s="551"/>
      <c r="AI127" s="551"/>
      <c r="AJ127" s="551"/>
      <c r="AK127" s="551"/>
      <c r="AL127" s="551"/>
      <c r="AM127" s="551"/>
      <c r="AN127" s="551"/>
      <c r="AO127" s="551"/>
      <c r="AP127" s="551"/>
      <c r="AQ127" s="551"/>
      <c r="AR127" s="551"/>
      <c r="AS127" s="551"/>
      <c r="AT127" s="551"/>
      <c r="AU127" s="551"/>
      <c r="AV127" s="551"/>
      <c r="AW127" s="551"/>
      <c r="AX127" s="551"/>
      <c r="AY127" s="551"/>
      <c r="AZ127" s="551"/>
      <c r="BA127" s="551"/>
      <c r="BB127" s="551"/>
      <c r="BC127" s="551"/>
      <c r="BD127" s="551"/>
      <c r="BE127" s="551"/>
      <c r="BF127" s="551"/>
    </row>
    <row r="128" spans="1:58" ht="12.75" customHeight="1">
      <c r="A128" s="551"/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51"/>
      <c r="AB128" s="551"/>
      <c r="AC128" s="551"/>
      <c r="AD128" s="551"/>
      <c r="AE128" s="551"/>
      <c r="AF128" s="551"/>
      <c r="AG128" s="551"/>
      <c r="AH128" s="551"/>
      <c r="AI128" s="551"/>
      <c r="AJ128" s="551"/>
      <c r="AK128" s="551"/>
      <c r="AL128" s="551"/>
      <c r="AM128" s="551"/>
      <c r="AN128" s="551"/>
      <c r="AO128" s="551"/>
      <c r="AP128" s="551"/>
      <c r="AQ128" s="551"/>
      <c r="AR128" s="551"/>
      <c r="AS128" s="551"/>
      <c r="AT128" s="551"/>
      <c r="AU128" s="551"/>
      <c r="AV128" s="551"/>
      <c r="AW128" s="551"/>
      <c r="AX128" s="551"/>
      <c r="AY128" s="551"/>
      <c r="AZ128" s="551"/>
      <c r="BA128" s="551"/>
      <c r="BB128" s="551"/>
      <c r="BC128" s="551"/>
      <c r="BD128" s="551"/>
      <c r="BE128" s="551"/>
      <c r="BF128" s="551"/>
    </row>
    <row r="129" spans="1:58" ht="12.75" customHeight="1">
      <c r="A129" s="551"/>
      <c r="B129" s="551"/>
      <c r="C129" s="551"/>
      <c r="D129" s="551"/>
      <c r="E129" s="551"/>
      <c r="F129" s="551"/>
      <c r="G129" s="551"/>
      <c r="H129" s="551"/>
      <c r="I129" s="551"/>
      <c r="J129" s="551"/>
      <c r="K129" s="551"/>
      <c r="L129" s="551"/>
      <c r="M129" s="551"/>
      <c r="N129" s="551"/>
      <c r="O129" s="551"/>
      <c r="P129" s="551"/>
      <c r="Q129" s="551"/>
      <c r="R129" s="551"/>
      <c r="S129" s="551"/>
      <c r="T129" s="551"/>
      <c r="U129" s="551"/>
      <c r="V129" s="551"/>
      <c r="W129" s="551"/>
      <c r="X129" s="551"/>
      <c r="Y129" s="551"/>
      <c r="Z129" s="551"/>
      <c r="AA129" s="551"/>
      <c r="AB129" s="551"/>
      <c r="AC129" s="551"/>
      <c r="AD129" s="551"/>
      <c r="AE129" s="551"/>
      <c r="AF129" s="551"/>
      <c r="AG129" s="551"/>
      <c r="AH129" s="551"/>
      <c r="AI129" s="551"/>
      <c r="AJ129" s="551"/>
      <c r="AK129" s="551"/>
      <c r="AL129" s="551"/>
      <c r="AM129" s="551"/>
      <c r="AN129" s="551"/>
      <c r="AO129" s="551"/>
      <c r="AP129" s="551"/>
      <c r="AQ129" s="551"/>
      <c r="AR129" s="551"/>
      <c r="AS129" s="551"/>
      <c r="AT129" s="551"/>
      <c r="AU129" s="551"/>
      <c r="AV129" s="551"/>
      <c r="AW129" s="551"/>
      <c r="AX129" s="551"/>
      <c r="AY129" s="551"/>
      <c r="AZ129" s="551"/>
      <c r="BA129" s="551"/>
      <c r="BB129" s="551"/>
      <c r="BC129" s="551"/>
      <c r="BD129" s="551"/>
      <c r="BE129" s="551"/>
      <c r="BF129" s="551"/>
    </row>
    <row r="130" spans="1:58" ht="12.75" customHeight="1">
      <c r="A130" s="551"/>
      <c r="B130" s="551"/>
      <c r="C130" s="551"/>
      <c r="D130" s="551"/>
      <c r="E130" s="551"/>
      <c r="F130" s="551"/>
      <c r="G130" s="551"/>
      <c r="H130" s="551"/>
      <c r="I130" s="551"/>
      <c r="J130" s="551"/>
      <c r="K130" s="551"/>
      <c r="L130" s="551"/>
      <c r="M130" s="551"/>
      <c r="N130" s="551"/>
      <c r="O130" s="551"/>
      <c r="P130" s="551"/>
      <c r="Q130" s="551"/>
      <c r="R130" s="551"/>
      <c r="S130" s="551"/>
      <c r="T130" s="551"/>
      <c r="U130" s="551"/>
      <c r="V130" s="551"/>
      <c r="W130" s="551"/>
      <c r="X130" s="551"/>
      <c r="Y130" s="551"/>
      <c r="Z130" s="551"/>
      <c r="AA130" s="551"/>
      <c r="AB130" s="551"/>
      <c r="AC130" s="551"/>
      <c r="AD130" s="551"/>
      <c r="AE130" s="551"/>
      <c r="AF130" s="551"/>
      <c r="AG130" s="551"/>
      <c r="AH130" s="551"/>
      <c r="AI130" s="551"/>
      <c r="AJ130" s="551"/>
      <c r="AK130" s="551"/>
      <c r="AL130" s="551"/>
      <c r="AM130" s="551"/>
      <c r="AN130" s="551"/>
      <c r="AO130" s="551"/>
      <c r="AP130" s="551"/>
      <c r="AQ130" s="551"/>
      <c r="AR130" s="551"/>
      <c r="AS130" s="551"/>
      <c r="AT130" s="551"/>
      <c r="AU130" s="551"/>
      <c r="AV130" s="551"/>
      <c r="AW130" s="551"/>
      <c r="AX130" s="551"/>
      <c r="AY130" s="551"/>
      <c r="AZ130" s="551"/>
      <c r="BA130" s="551"/>
      <c r="BB130" s="551"/>
      <c r="BC130" s="551"/>
      <c r="BD130" s="551"/>
      <c r="BE130" s="551"/>
      <c r="BF130" s="551"/>
    </row>
    <row r="131" spans="1:58" ht="12.75" customHeight="1">
      <c r="A131" s="551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1"/>
      <c r="P131" s="551"/>
      <c r="Q131" s="551"/>
      <c r="R131" s="551"/>
      <c r="S131" s="551"/>
      <c r="T131" s="551"/>
      <c r="U131" s="551"/>
      <c r="V131" s="551"/>
      <c r="W131" s="551"/>
      <c r="X131" s="551"/>
      <c r="Y131" s="551"/>
      <c r="Z131" s="551"/>
      <c r="AA131" s="551"/>
      <c r="AB131" s="551"/>
      <c r="AC131" s="551"/>
      <c r="AD131" s="551"/>
      <c r="AE131" s="551"/>
      <c r="AF131" s="551"/>
      <c r="AG131" s="551"/>
      <c r="AH131" s="551"/>
      <c r="AI131" s="551"/>
      <c r="AJ131" s="551"/>
      <c r="AK131" s="551"/>
      <c r="AL131" s="551"/>
      <c r="AM131" s="551"/>
      <c r="AN131" s="551"/>
      <c r="AO131" s="551"/>
      <c r="AP131" s="551"/>
      <c r="AQ131" s="551"/>
      <c r="AR131" s="551"/>
      <c r="AS131" s="551"/>
      <c r="AT131" s="551"/>
      <c r="AU131" s="551"/>
      <c r="AV131" s="551"/>
      <c r="AW131" s="551"/>
      <c r="AX131" s="551"/>
      <c r="AY131" s="551"/>
      <c r="AZ131" s="551"/>
      <c r="BA131" s="551"/>
      <c r="BB131" s="551"/>
      <c r="BC131" s="551"/>
      <c r="BD131" s="551"/>
      <c r="BE131" s="551"/>
      <c r="BF131" s="551"/>
    </row>
    <row r="132" spans="1:58" ht="12.75" customHeight="1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1"/>
      <c r="P132" s="551"/>
      <c r="Q132" s="551"/>
      <c r="R132" s="551"/>
      <c r="S132" s="551"/>
      <c r="T132" s="551"/>
      <c r="U132" s="551"/>
      <c r="V132" s="551"/>
      <c r="W132" s="551"/>
      <c r="X132" s="551"/>
      <c r="Y132" s="551"/>
      <c r="Z132" s="551"/>
      <c r="AA132" s="551"/>
      <c r="AB132" s="551"/>
      <c r="AC132" s="551"/>
      <c r="AD132" s="551"/>
      <c r="AE132" s="551"/>
      <c r="AF132" s="551"/>
      <c r="AG132" s="551"/>
      <c r="AH132" s="551"/>
      <c r="AI132" s="551"/>
      <c r="AJ132" s="551"/>
      <c r="AK132" s="551"/>
      <c r="AL132" s="551"/>
      <c r="AM132" s="551"/>
      <c r="AN132" s="551"/>
      <c r="AO132" s="551"/>
      <c r="AP132" s="551"/>
      <c r="AQ132" s="551"/>
      <c r="AR132" s="551"/>
      <c r="AS132" s="551"/>
      <c r="AT132" s="551"/>
      <c r="AU132" s="551"/>
      <c r="AV132" s="551"/>
      <c r="AW132" s="551"/>
      <c r="AX132" s="551"/>
      <c r="AY132" s="551"/>
      <c r="AZ132" s="551"/>
      <c r="BA132" s="551"/>
      <c r="BB132" s="551"/>
      <c r="BC132" s="551"/>
      <c r="BD132" s="551"/>
      <c r="BE132" s="551"/>
      <c r="BF132" s="551"/>
    </row>
    <row r="133" spans="1:58" ht="12.75" customHeight="1">
      <c r="A133" s="551"/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51"/>
      <c r="AB133" s="551"/>
      <c r="AC133" s="551"/>
      <c r="AD133" s="551"/>
      <c r="AE133" s="551"/>
      <c r="AF133" s="551"/>
      <c r="AG133" s="551"/>
      <c r="AH133" s="551"/>
      <c r="AI133" s="551"/>
      <c r="AJ133" s="551"/>
      <c r="AK133" s="551"/>
      <c r="AL133" s="551"/>
      <c r="AM133" s="551"/>
      <c r="AN133" s="551"/>
      <c r="AO133" s="551"/>
      <c r="AP133" s="551"/>
      <c r="AQ133" s="551"/>
      <c r="AR133" s="551"/>
      <c r="AS133" s="551"/>
      <c r="AT133" s="551"/>
      <c r="AU133" s="551"/>
      <c r="AV133" s="551"/>
      <c r="AW133" s="551"/>
      <c r="AX133" s="551"/>
      <c r="AY133" s="551"/>
      <c r="AZ133" s="551"/>
      <c r="BA133" s="551"/>
      <c r="BB133" s="551"/>
      <c r="BC133" s="551"/>
      <c r="BD133" s="551"/>
      <c r="BE133" s="551"/>
      <c r="BF133" s="551"/>
    </row>
    <row r="134" spans="1:58" ht="12.75" customHeight="1">
      <c r="A134" s="551"/>
      <c r="B134" s="551"/>
      <c r="C134" s="551"/>
      <c r="D134" s="551"/>
      <c r="E134" s="551"/>
      <c r="F134" s="551"/>
      <c r="G134" s="551"/>
      <c r="H134" s="551"/>
      <c r="I134" s="551"/>
      <c r="J134" s="551"/>
      <c r="K134" s="551"/>
      <c r="L134" s="551"/>
      <c r="M134" s="551"/>
      <c r="N134" s="551"/>
      <c r="O134" s="551"/>
      <c r="P134" s="551"/>
      <c r="Q134" s="551"/>
      <c r="R134" s="551"/>
      <c r="S134" s="551"/>
      <c r="T134" s="551"/>
      <c r="U134" s="551"/>
      <c r="V134" s="551"/>
      <c r="W134" s="551"/>
      <c r="X134" s="551"/>
      <c r="Y134" s="551"/>
      <c r="Z134" s="551"/>
      <c r="AA134" s="551"/>
      <c r="AB134" s="551"/>
      <c r="AC134" s="551"/>
      <c r="AD134" s="551"/>
      <c r="AE134" s="551"/>
      <c r="AF134" s="551"/>
      <c r="AG134" s="551"/>
      <c r="AH134" s="551"/>
      <c r="AI134" s="551"/>
      <c r="AJ134" s="551"/>
      <c r="AK134" s="551"/>
      <c r="AL134" s="551"/>
      <c r="AM134" s="551"/>
      <c r="AN134" s="551"/>
      <c r="AO134" s="551"/>
      <c r="AP134" s="551"/>
      <c r="AQ134" s="551"/>
      <c r="AR134" s="551"/>
      <c r="AS134" s="551"/>
      <c r="AT134" s="551"/>
      <c r="AU134" s="551"/>
      <c r="AV134" s="551"/>
      <c r="AW134" s="551"/>
      <c r="AX134" s="551"/>
      <c r="AY134" s="551"/>
      <c r="AZ134" s="551"/>
      <c r="BA134" s="551"/>
      <c r="BB134" s="551"/>
      <c r="BC134" s="551"/>
      <c r="BD134" s="551"/>
      <c r="BE134" s="551"/>
      <c r="BF134" s="551"/>
    </row>
    <row r="135" spans="1:58" ht="12.75" customHeight="1">
      <c r="A135" s="551"/>
      <c r="B135" s="551"/>
      <c r="C135" s="551"/>
      <c r="D135" s="551"/>
      <c r="E135" s="551"/>
      <c r="F135" s="551"/>
      <c r="G135" s="551"/>
      <c r="H135" s="551"/>
      <c r="I135" s="551"/>
      <c r="J135" s="551"/>
      <c r="K135" s="551"/>
      <c r="L135" s="551"/>
      <c r="M135" s="551"/>
      <c r="N135" s="551"/>
      <c r="O135" s="551"/>
      <c r="P135" s="551"/>
      <c r="Q135" s="551"/>
      <c r="R135" s="551"/>
      <c r="S135" s="551"/>
      <c r="T135" s="551"/>
      <c r="U135" s="551"/>
      <c r="V135" s="551"/>
      <c r="W135" s="551"/>
      <c r="X135" s="551"/>
      <c r="Y135" s="551"/>
      <c r="Z135" s="551"/>
      <c r="AA135" s="551"/>
      <c r="AB135" s="551"/>
      <c r="AC135" s="551"/>
      <c r="AD135" s="551"/>
      <c r="AE135" s="551"/>
      <c r="AF135" s="551"/>
      <c r="AG135" s="551"/>
      <c r="AH135" s="551"/>
      <c r="AI135" s="551"/>
      <c r="AJ135" s="551"/>
      <c r="AK135" s="551"/>
      <c r="AL135" s="551"/>
      <c r="AM135" s="551"/>
      <c r="AN135" s="551"/>
      <c r="AO135" s="551"/>
      <c r="AP135" s="551"/>
      <c r="AQ135" s="551"/>
      <c r="AR135" s="551"/>
      <c r="AS135" s="551"/>
      <c r="AT135" s="551"/>
      <c r="AU135" s="551"/>
      <c r="AV135" s="551"/>
      <c r="AW135" s="551"/>
      <c r="AX135" s="551"/>
      <c r="AY135" s="551"/>
      <c r="AZ135" s="551"/>
      <c r="BA135" s="551"/>
      <c r="BB135" s="551"/>
      <c r="BC135" s="551"/>
      <c r="BD135" s="551"/>
      <c r="BE135" s="551"/>
      <c r="BF135" s="551"/>
    </row>
    <row r="136" spans="1:58" ht="12.75" customHeight="1">
      <c r="A136" s="551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1"/>
      <c r="P136" s="551"/>
      <c r="Q136" s="551"/>
      <c r="R136" s="551"/>
      <c r="S136" s="551"/>
      <c r="T136" s="551"/>
      <c r="U136" s="551"/>
      <c r="V136" s="551"/>
      <c r="W136" s="551"/>
      <c r="X136" s="551"/>
      <c r="Y136" s="551"/>
      <c r="Z136" s="551"/>
      <c r="AA136" s="551"/>
      <c r="AB136" s="551"/>
      <c r="AC136" s="551"/>
      <c r="AD136" s="551"/>
      <c r="AE136" s="551"/>
      <c r="AF136" s="551"/>
      <c r="AG136" s="551"/>
      <c r="AH136" s="551"/>
      <c r="AI136" s="551"/>
      <c r="AJ136" s="551"/>
      <c r="AK136" s="551"/>
      <c r="AL136" s="551"/>
      <c r="AM136" s="551"/>
      <c r="AN136" s="551"/>
      <c r="AO136" s="551"/>
      <c r="AP136" s="551"/>
      <c r="AQ136" s="551"/>
      <c r="AR136" s="551"/>
      <c r="AS136" s="551"/>
      <c r="AT136" s="551"/>
      <c r="AU136" s="551"/>
      <c r="AV136" s="551"/>
      <c r="AW136" s="551"/>
      <c r="AX136" s="551"/>
      <c r="AY136" s="551"/>
      <c r="AZ136" s="551"/>
      <c r="BA136" s="551"/>
      <c r="BB136" s="551"/>
      <c r="BC136" s="551"/>
      <c r="BD136" s="551"/>
      <c r="BE136" s="551"/>
      <c r="BF136" s="551"/>
    </row>
    <row r="137" spans="1:58" ht="12.75" customHeight="1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1"/>
      <c r="P137" s="551"/>
      <c r="Q137" s="551"/>
      <c r="R137" s="551"/>
      <c r="S137" s="551"/>
      <c r="T137" s="551"/>
      <c r="U137" s="551"/>
      <c r="V137" s="551"/>
      <c r="W137" s="551"/>
      <c r="X137" s="551"/>
      <c r="Y137" s="551"/>
      <c r="Z137" s="551"/>
      <c r="AA137" s="551"/>
      <c r="AB137" s="551"/>
      <c r="AC137" s="551"/>
      <c r="AD137" s="551"/>
      <c r="AE137" s="551"/>
      <c r="AF137" s="551"/>
      <c r="AG137" s="551"/>
      <c r="AH137" s="551"/>
      <c r="AI137" s="551"/>
      <c r="AJ137" s="551"/>
      <c r="AK137" s="551"/>
      <c r="AL137" s="551"/>
      <c r="AM137" s="551"/>
      <c r="AN137" s="551"/>
      <c r="AO137" s="551"/>
      <c r="AP137" s="551"/>
      <c r="AQ137" s="551"/>
      <c r="AR137" s="551"/>
      <c r="AS137" s="551"/>
      <c r="AT137" s="551"/>
      <c r="AU137" s="551"/>
      <c r="AV137" s="551"/>
      <c r="AW137" s="551"/>
      <c r="AX137" s="551"/>
      <c r="AY137" s="551"/>
      <c r="AZ137" s="551"/>
      <c r="BA137" s="551"/>
      <c r="BB137" s="551"/>
      <c r="BC137" s="551"/>
      <c r="BD137" s="551"/>
      <c r="BE137" s="551"/>
      <c r="BF137" s="551"/>
    </row>
    <row r="138" spans="1:58" ht="12.75" customHeight="1">
      <c r="A138" s="551"/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51"/>
      <c r="AB138" s="551"/>
      <c r="AC138" s="551"/>
      <c r="AD138" s="551"/>
      <c r="AE138" s="551"/>
      <c r="AF138" s="551"/>
      <c r="AG138" s="551"/>
      <c r="AH138" s="551"/>
      <c r="AI138" s="551"/>
      <c r="AJ138" s="551"/>
      <c r="AK138" s="551"/>
      <c r="AL138" s="551"/>
      <c r="AM138" s="551"/>
      <c r="AN138" s="551"/>
      <c r="AO138" s="551"/>
      <c r="AP138" s="551"/>
      <c r="AQ138" s="551"/>
      <c r="AR138" s="551"/>
      <c r="AS138" s="551"/>
      <c r="AT138" s="551"/>
      <c r="AU138" s="551"/>
      <c r="AV138" s="551"/>
      <c r="AW138" s="551"/>
      <c r="AX138" s="551"/>
      <c r="AY138" s="551"/>
      <c r="AZ138" s="551"/>
      <c r="BA138" s="551"/>
      <c r="BB138" s="551"/>
      <c r="BC138" s="551"/>
      <c r="BD138" s="551"/>
      <c r="BE138" s="551"/>
      <c r="BF138" s="551"/>
    </row>
    <row r="139" spans="1:58" ht="12.75" customHeight="1">
      <c r="A139" s="551"/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51"/>
      <c r="AB139" s="551"/>
      <c r="AC139" s="551"/>
      <c r="AD139" s="551"/>
      <c r="AE139" s="551"/>
      <c r="AF139" s="551"/>
      <c r="AG139" s="551"/>
      <c r="AH139" s="551"/>
      <c r="AI139" s="551"/>
      <c r="AJ139" s="551"/>
      <c r="AK139" s="551"/>
      <c r="AL139" s="551"/>
      <c r="AM139" s="551"/>
      <c r="AN139" s="551"/>
      <c r="AO139" s="551"/>
      <c r="AP139" s="551"/>
      <c r="AQ139" s="551"/>
      <c r="AR139" s="551"/>
      <c r="AS139" s="551"/>
      <c r="AT139" s="551"/>
      <c r="AU139" s="551"/>
      <c r="AV139" s="551"/>
      <c r="AW139" s="551"/>
      <c r="AX139" s="551"/>
      <c r="AY139" s="551"/>
      <c r="AZ139" s="551"/>
      <c r="BA139" s="551"/>
      <c r="BB139" s="551"/>
      <c r="BC139" s="551"/>
      <c r="BD139" s="551"/>
      <c r="BE139" s="551"/>
      <c r="BF139" s="551"/>
    </row>
    <row r="140" spans="1:58" ht="12.75" customHeight="1">
      <c r="A140" s="551"/>
      <c r="B140" s="551"/>
      <c r="C140" s="551"/>
      <c r="D140" s="551"/>
      <c r="E140" s="551"/>
      <c r="F140" s="551"/>
      <c r="G140" s="551"/>
      <c r="H140" s="551"/>
      <c r="I140" s="551"/>
      <c r="J140" s="551"/>
      <c r="K140" s="551"/>
      <c r="L140" s="551"/>
      <c r="M140" s="551"/>
      <c r="N140" s="551"/>
      <c r="O140" s="551"/>
      <c r="P140" s="551"/>
      <c r="Q140" s="551"/>
      <c r="R140" s="551"/>
      <c r="S140" s="551"/>
      <c r="T140" s="551"/>
      <c r="U140" s="551"/>
      <c r="V140" s="551"/>
      <c r="W140" s="551"/>
      <c r="X140" s="551"/>
      <c r="Y140" s="551"/>
      <c r="Z140" s="551"/>
      <c r="AA140" s="551"/>
      <c r="AB140" s="551"/>
      <c r="AC140" s="551"/>
      <c r="AD140" s="551"/>
      <c r="AE140" s="551"/>
      <c r="AF140" s="551"/>
      <c r="AG140" s="551"/>
      <c r="AH140" s="551"/>
      <c r="AI140" s="551"/>
      <c r="AJ140" s="551"/>
      <c r="AK140" s="551"/>
      <c r="AL140" s="551"/>
      <c r="AM140" s="551"/>
      <c r="AN140" s="551"/>
      <c r="AO140" s="551"/>
      <c r="AP140" s="551"/>
      <c r="AQ140" s="551"/>
      <c r="AR140" s="551"/>
      <c r="AS140" s="551"/>
      <c r="AT140" s="551"/>
      <c r="AU140" s="551"/>
      <c r="AV140" s="551"/>
      <c r="AW140" s="551"/>
      <c r="AX140" s="551"/>
      <c r="AY140" s="551"/>
      <c r="AZ140" s="551"/>
      <c r="BA140" s="551"/>
      <c r="BB140" s="551"/>
      <c r="BC140" s="551"/>
      <c r="BD140" s="551"/>
      <c r="BE140" s="551"/>
      <c r="BF140" s="551"/>
    </row>
    <row r="141" spans="1:58" ht="12.75" customHeight="1">
      <c r="A141" s="551"/>
      <c r="B141" s="551"/>
      <c r="C141" s="551"/>
      <c r="D141" s="551"/>
      <c r="E141" s="551"/>
      <c r="F141" s="551"/>
      <c r="G141" s="551"/>
      <c r="H141" s="551"/>
      <c r="I141" s="551"/>
      <c r="J141" s="551"/>
      <c r="K141" s="551"/>
      <c r="L141" s="551"/>
      <c r="M141" s="551"/>
      <c r="N141" s="551"/>
      <c r="O141" s="551"/>
      <c r="P141" s="551"/>
      <c r="Q141" s="551"/>
      <c r="R141" s="551"/>
      <c r="S141" s="551"/>
      <c r="T141" s="551"/>
      <c r="U141" s="551"/>
      <c r="V141" s="551"/>
      <c r="W141" s="551"/>
      <c r="X141" s="551"/>
      <c r="Y141" s="551"/>
      <c r="Z141" s="551"/>
      <c r="AA141" s="551"/>
      <c r="AB141" s="551"/>
      <c r="AC141" s="551"/>
      <c r="AD141" s="551"/>
      <c r="AE141" s="551"/>
      <c r="AF141" s="551"/>
      <c r="AG141" s="551"/>
      <c r="AH141" s="551"/>
      <c r="AI141" s="551"/>
      <c r="AJ141" s="551"/>
      <c r="AK141" s="551"/>
      <c r="AL141" s="551"/>
      <c r="AM141" s="551"/>
      <c r="AN141" s="551"/>
      <c r="AO141" s="551"/>
      <c r="AP141" s="551"/>
      <c r="AQ141" s="551"/>
      <c r="AR141" s="551"/>
      <c r="AS141" s="551"/>
      <c r="AT141" s="551"/>
      <c r="AU141" s="551"/>
      <c r="AV141" s="551"/>
      <c r="AW141" s="551"/>
      <c r="AX141" s="551"/>
      <c r="AY141" s="551"/>
      <c r="AZ141" s="551"/>
      <c r="BA141" s="551"/>
      <c r="BB141" s="551"/>
      <c r="BC141" s="551"/>
      <c r="BD141" s="551"/>
      <c r="BE141" s="551"/>
      <c r="BF141" s="551"/>
    </row>
    <row r="142" spans="1:58" ht="12.75" customHeight="1">
      <c r="A142" s="551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1"/>
      <c r="P142" s="551"/>
      <c r="Q142" s="551"/>
      <c r="R142" s="551"/>
      <c r="S142" s="551"/>
      <c r="T142" s="551"/>
      <c r="U142" s="551"/>
      <c r="V142" s="551"/>
      <c r="W142" s="551"/>
      <c r="X142" s="551"/>
      <c r="Y142" s="551"/>
      <c r="Z142" s="551"/>
      <c r="AA142" s="551"/>
      <c r="AB142" s="551"/>
      <c r="AC142" s="551"/>
      <c r="AD142" s="551"/>
      <c r="AE142" s="551"/>
      <c r="AF142" s="551"/>
      <c r="AG142" s="551"/>
      <c r="AH142" s="551"/>
      <c r="AI142" s="551"/>
      <c r="AJ142" s="551"/>
      <c r="AK142" s="551"/>
      <c r="AL142" s="551"/>
      <c r="AM142" s="551"/>
      <c r="AN142" s="551"/>
      <c r="AO142" s="551"/>
      <c r="AP142" s="551"/>
      <c r="AQ142" s="551"/>
      <c r="AR142" s="551"/>
      <c r="AS142" s="551"/>
      <c r="AT142" s="551"/>
      <c r="AU142" s="551"/>
      <c r="AV142" s="551"/>
      <c r="AW142" s="551"/>
      <c r="AX142" s="551"/>
      <c r="AY142" s="551"/>
      <c r="AZ142" s="551"/>
      <c r="BA142" s="551"/>
      <c r="BB142" s="551"/>
      <c r="BC142" s="551"/>
      <c r="BD142" s="551"/>
      <c r="BE142" s="551"/>
      <c r="BF142" s="551"/>
    </row>
    <row r="143" spans="1:58" ht="12.75" customHeight="1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1"/>
      <c r="P143" s="551"/>
      <c r="Q143" s="551"/>
      <c r="R143" s="551"/>
      <c r="S143" s="551"/>
      <c r="T143" s="551"/>
      <c r="U143" s="551"/>
      <c r="V143" s="551"/>
      <c r="W143" s="551"/>
      <c r="X143" s="551"/>
      <c r="Y143" s="551"/>
      <c r="Z143" s="551"/>
      <c r="AA143" s="551"/>
      <c r="AB143" s="551"/>
      <c r="AC143" s="551"/>
      <c r="AD143" s="551"/>
      <c r="AE143" s="551"/>
      <c r="AF143" s="551"/>
      <c r="AG143" s="551"/>
      <c r="AH143" s="551"/>
      <c r="AI143" s="551"/>
      <c r="AJ143" s="551"/>
      <c r="AK143" s="551"/>
      <c r="AL143" s="551"/>
      <c r="AM143" s="551"/>
      <c r="AN143" s="551"/>
      <c r="AO143" s="551"/>
      <c r="AP143" s="551"/>
      <c r="AQ143" s="551"/>
      <c r="AR143" s="551"/>
      <c r="AS143" s="551"/>
      <c r="AT143" s="551"/>
      <c r="AU143" s="551"/>
      <c r="AV143" s="551"/>
      <c r="AW143" s="551"/>
      <c r="AX143" s="551"/>
      <c r="AY143" s="551"/>
      <c r="AZ143" s="551"/>
      <c r="BA143" s="551"/>
      <c r="BB143" s="551"/>
      <c r="BC143" s="551"/>
      <c r="BD143" s="551"/>
      <c r="BE143" s="551"/>
      <c r="BF143" s="551"/>
    </row>
    <row r="144" spans="1:58" ht="12.75" customHeight="1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51"/>
      <c r="AB144" s="551"/>
      <c r="AC144" s="551"/>
      <c r="AD144" s="551"/>
      <c r="AE144" s="551"/>
      <c r="AF144" s="551"/>
      <c r="AG144" s="551"/>
      <c r="AH144" s="551"/>
      <c r="AI144" s="551"/>
      <c r="AJ144" s="551"/>
      <c r="AK144" s="551"/>
      <c r="AL144" s="551"/>
      <c r="AM144" s="551"/>
      <c r="AN144" s="551"/>
      <c r="AO144" s="551"/>
      <c r="AP144" s="551"/>
      <c r="AQ144" s="551"/>
      <c r="AR144" s="551"/>
      <c r="AS144" s="551"/>
      <c r="AT144" s="551"/>
      <c r="AU144" s="551"/>
      <c r="AV144" s="551"/>
      <c r="AW144" s="551"/>
      <c r="AX144" s="551"/>
      <c r="AY144" s="551"/>
      <c r="AZ144" s="551"/>
      <c r="BA144" s="551"/>
      <c r="BB144" s="551"/>
      <c r="BC144" s="551"/>
      <c r="BD144" s="551"/>
      <c r="BE144" s="551"/>
      <c r="BF144" s="551"/>
    </row>
    <row r="145" spans="1:58" ht="12.75" customHeight="1">
      <c r="A145" s="551"/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51"/>
      <c r="AB145" s="551"/>
      <c r="AC145" s="551"/>
      <c r="AD145" s="551"/>
      <c r="AE145" s="551"/>
      <c r="AF145" s="551"/>
      <c r="AG145" s="551"/>
      <c r="AH145" s="551"/>
      <c r="AI145" s="551"/>
      <c r="AJ145" s="551"/>
      <c r="AK145" s="551"/>
      <c r="AL145" s="551"/>
      <c r="AM145" s="551"/>
      <c r="AN145" s="551"/>
      <c r="AO145" s="551"/>
      <c r="AP145" s="551"/>
      <c r="AQ145" s="551"/>
      <c r="AR145" s="551"/>
      <c r="AS145" s="551"/>
      <c r="AT145" s="551"/>
      <c r="AU145" s="551"/>
      <c r="AV145" s="551"/>
      <c r="AW145" s="551"/>
      <c r="AX145" s="551"/>
      <c r="AY145" s="551"/>
      <c r="AZ145" s="551"/>
      <c r="BA145" s="551"/>
      <c r="BB145" s="551"/>
      <c r="BC145" s="551"/>
      <c r="BD145" s="551"/>
      <c r="BE145" s="551"/>
      <c r="BF145" s="551"/>
    </row>
    <row r="146" spans="1:58" ht="12.75" customHeight="1">
      <c r="A146" s="551"/>
      <c r="B146" s="551"/>
      <c r="C146" s="551"/>
      <c r="D146" s="551"/>
      <c r="E146" s="551"/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1"/>
      <c r="S146" s="551"/>
      <c r="T146" s="551"/>
      <c r="U146" s="551"/>
      <c r="V146" s="551"/>
      <c r="W146" s="551"/>
      <c r="X146" s="551"/>
      <c r="Y146" s="551"/>
      <c r="Z146" s="551"/>
      <c r="AA146" s="551"/>
      <c r="AB146" s="551"/>
      <c r="AC146" s="551"/>
      <c r="AD146" s="551"/>
      <c r="AE146" s="551"/>
      <c r="AF146" s="551"/>
      <c r="AG146" s="551"/>
      <c r="AH146" s="551"/>
      <c r="AI146" s="551"/>
      <c r="AJ146" s="551"/>
      <c r="AK146" s="551"/>
      <c r="AL146" s="551"/>
      <c r="AM146" s="551"/>
      <c r="AN146" s="551"/>
      <c r="AO146" s="551"/>
      <c r="AP146" s="551"/>
      <c r="AQ146" s="551"/>
      <c r="AR146" s="551"/>
      <c r="AS146" s="551"/>
      <c r="AT146" s="551"/>
      <c r="AU146" s="551"/>
      <c r="AV146" s="551"/>
      <c r="AW146" s="551"/>
      <c r="AX146" s="551"/>
      <c r="AY146" s="551"/>
      <c r="AZ146" s="551"/>
      <c r="BA146" s="551"/>
      <c r="BB146" s="551"/>
      <c r="BC146" s="551"/>
      <c r="BD146" s="551"/>
      <c r="BE146" s="551"/>
      <c r="BF146" s="551"/>
    </row>
    <row r="147" spans="1:58" ht="12.75" customHeight="1">
      <c r="A147" s="551"/>
      <c r="B147" s="551"/>
      <c r="C147" s="551"/>
      <c r="D147" s="551"/>
      <c r="E147" s="551"/>
      <c r="F147" s="551"/>
      <c r="G147" s="551"/>
      <c r="H147" s="551"/>
      <c r="I147" s="551"/>
      <c r="J147" s="551"/>
      <c r="K147" s="551"/>
      <c r="L147" s="551"/>
      <c r="M147" s="551"/>
      <c r="N147" s="551"/>
      <c r="O147" s="551"/>
      <c r="P147" s="551"/>
      <c r="Q147" s="551"/>
      <c r="R147" s="551"/>
      <c r="S147" s="551"/>
      <c r="T147" s="551"/>
      <c r="U147" s="551"/>
      <c r="V147" s="551"/>
      <c r="W147" s="551"/>
      <c r="X147" s="551"/>
      <c r="Y147" s="551"/>
      <c r="Z147" s="551"/>
      <c r="AA147" s="551"/>
      <c r="AB147" s="551"/>
      <c r="AC147" s="551"/>
      <c r="AD147" s="551"/>
      <c r="AE147" s="551"/>
      <c r="AF147" s="551"/>
      <c r="AG147" s="551"/>
      <c r="AH147" s="551"/>
      <c r="AI147" s="551"/>
      <c r="AJ147" s="551"/>
      <c r="AK147" s="551"/>
      <c r="AL147" s="551"/>
      <c r="AM147" s="551"/>
      <c r="AN147" s="551"/>
      <c r="AO147" s="551"/>
      <c r="AP147" s="551"/>
      <c r="AQ147" s="551"/>
      <c r="AR147" s="551"/>
      <c r="AS147" s="551"/>
      <c r="AT147" s="551"/>
      <c r="AU147" s="551"/>
      <c r="AV147" s="551"/>
      <c r="AW147" s="551"/>
      <c r="AX147" s="551"/>
      <c r="AY147" s="551"/>
      <c r="AZ147" s="551"/>
      <c r="BA147" s="551"/>
      <c r="BB147" s="551"/>
      <c r="BC147" s="551"/>
      <c r="BD147" s="551"/>
      <c r="BE147" s="551"/>
      <c r="BF147" s="551"/>
    </row>
    <row r="148" spans="1:58" ht="12.75" customHeight="1">
      <c r="A148" s="551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1"/>
      <c r="P148" s="551"/>
      <c r="Q148" s="551"/>
      <c r="R148" s="551"/>
      <c r="S148" s="551"/>
      <c r="T148" s="551"/>
      <c r="U148" s="551"/>
      <c r="V148" s="551"/>
      <c r="W148" s="551"/>
      <c r="X148" s="551"/>
      <c r="Y148" s="551"/>
      <c r="Z148" s="551"/>
      <c r="AA148" s="551"/>
      <c r="AB148" s="551"/>
      <c r="AC148" s="551"/>
      <c r="AD148" s="551"/>
      <c r="AE148" s="551"/>
      <c r="AF148" s="551"/>
      <c r="AG148" s="551"/>
      <c r="AH148" s="551"/>
      <c r="AI148" s="551"/>
      <c r="AJ148" s="551"/>
      <c r="AK148" s="551"/>
      <c r="AL148" s="551"/>
      <c r="AM148" s="551"/>
      <c r="AN148" s="551"/>
      <c r="AO148" s="551"/>
      <c r="AP148" s="551"/>
      <c r="AQ148" s="551"/>
      <c r="AR148" s="551"/>
      <c r="AS148" s="551"/>
      <c r="AT148" s="551"/>
      <c r="AU148" s="551"/>
      <c r="AV148" s="551"/>
      <c r="AW148" s="551"/>
      <c r="AX148" s="551"/>
      <c r="AY148" s="551"/>
      <c r="AZ148" s="551"/>
      <c r="BA148" s="551"/>
      <c r="BB148" s="551"/>
      <c r="BC148" s="551"/>
      <c r="BD148" s="551"/>
      <c r="BE148" s="551"/>
      <c r="BF148" s="551"/>
    </row>
    <row r="149" spans="1:58" ht="12.75" customHeight="1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1"/>
      <c r="P149" s="551"/>
      <c r="Q149" s="551"/>
      <c r="R149" s="551"/>
      <c r="S149" s="551"/>
      <c r="T149" s="551"/>
      <c r="U149" s="551"/>
      <c r="V149" s="551"/>
      <c r="W149" s="551"/>
      <c r="X149" s="551"/>
      <c r="Y149" s="551"/>
      <c r="Z149" s="551"/>
      <c r="AA149" s="551"/>
      <c r="AB149" s="551"/>
      <c r="AC149" s="551"/>
      <c r="AD149" s="551"/>
      <c r="AE149" s="551"/>
      <c r="AF149" s="551"/>
      <c r="AG149" s="551"/>
      <c r="AH149" s="551"/>
      <c r="AI149" s="551"/>
      <c r="AJ149" s="551"/>
      <c r="AK149" s="551"/>
      <c r="AL149" s="551"/>
      <c r="AM149" s="551"/>
      <c r="AN149" s="551"/>
      <c r="AO149" s="551"/>
      <c r="AP149" s="551"/>
      <c r="AQ149" s="551"/>
      <c r="AR149" s="551"/>
      <c r="AS149" s="551"/>
      <c r="AT149" s="551"/>
      <c r="AU149" s="551"/>
      <c r="AV149" s="551"/>
      <c r="AW149" s="551"/>
      <c r="AX149" s="551"/>
      <c r="AY149" s="551"/>
      <c r="AZ149" s="551"/>
      <c r="BA149" s="551"/>
      <c r="BB149" s="551"/>
      <c r="BC149" s="551"/>
      <c r="BD149" s="551"/>
      <c r="BE149" s="551"/>
      <c r="BF149" s="551"/>
    </row>
    <row r="150" spans="1:58" ht="12.75" customHeight="1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51"/>
      <c r="AB150" s="551"/>
      <c r="AC150" s="551"/>
      <c r="AD150" s="551"/>
      <c r="AE150" s="551"/>
      <c r="AF150" s="551"/>
      <c r="AG150" s="551"/>
      <c r="AH150" s="551"/>
      <c r="AI150" s="551"/>
      <c r="AJ150" s="551"/>
      <c r="AK150" s="551"/>
      <c r="AL150" s="551"/>
      <c r="AM150" s="551"/>
      <c r="AN150" s="551"/>
      <c r="AO150" s="551"/>
      <c r="AP150" s="551"/>
      <c r="AQ150" s="551"/>
      <c r="AR150" s="551"/>
      <c r="AS150" s="551"/>
      <c r="AT150" s="551"/>
      <c r="AU150" s="551"/>
      <c r="AV150" s="551"/>
      <c r="AW150" s="551"/>
      <c r="AX150" s="551"/>
      <c r="AY150" s="551"/>
      <c r="AZ150" s="551"/>
      <c r="BA150" s="551"/>
      <c r="BB150" s="551"/>
      <c r="BC150" s="551"/>
      <c r="BD150" s="551"/>
      <c r="BE150" s="551"/>
      <c r="BF150" s="551"/>
    </row>
    <row r="151" spans="1:58" ht="12.75" customHeight="1">
      <c r="A151" s="551"/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51"/>
      <c r="AB151" s="551"/>
      <c r="AC151" s="551"/>
      <c r="AD151" s="551"/>
      <c r="AE151" s="551"/>
      <c r="AF151" s="551"/>
      <c r="AG151" s="551"/>
      <c r="AH151" s="551"/>
      <c r="AI151" s="551"/>
      <c r="AJ151" s="551"/>
      <c r="AK151" s="551"/>
      <c r="AL151" s="551"/>
      <c r="AM151" s="551"/>
      <c r="AN151" s="551"/>
      <c r="AO151" s="551"/>
      <c r="AP151" s="551"/>
      <c r="AQ151" s="551"/>
      <c r="AR151" s="551"/>
      <c r="AS151" s="551"/>
      <c r="AT151" s="551"/>
      <c r="AU151" s="551"/>
      <c r="AV151" s="551"/>
      <c r="AW151" s="551"/>
      <c r="AX151" s="551"/>
      <c r="AY151" s="551"/>
      <c r="AZ151" s="551"/>
      <c r="BA151" s="551"/>
      <c r="BB151" s="551"/>
      <c r="BC151" s="551"/>
      <c r="BD151" s="551"/>
      <c r="BE151" s="551"/>
      <c r="BF151" s="551"/>
    </row>
    <row r="152" spans="1:58" ht="12.75" customHeight="1">
      <c r="A152" s="551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1"/>
      <c r="P152" s="551"/>
      <c r="Q152" s="551"/>
      <c r="R152" s="551"/>
      <c r="S152" s="551"/>
      <c r="T152" s="551"/>
      <c r="U152" s="551"/>
      <c r="V152" s="551"/>
      <c r="W152" s="551"/>
      <c r="X152" s="551"/>
      <c r="Y152" s="551"/>
      <c r="Z152" s="551"/>
      <c r="AA152" s="551"/>
      <c r="AB152" s="551"/>
      <c r="AC152" s="551"/>
      <c r="AD152" s="551"/>
      <c r="AE152" s="551"/>
      <c r="AF152" s="551"/>
      <c r="AG152" s="551"/>
      <c r="AH152" s="551"/>
      <c r="AI152" s="551"/>
      <c r="AJ152" s="551"/>
      <c r="AK152" s="551"/>
      <c r="AL152" s="551"/>
      <c r="AM152" s="551"/>
      <c r="AN152" s="551"/>
      <c r="AO152" s="551"/>
      <c r="AP152" s="551"/>
      <c r="AQ152" s="551"/>
      <c r="AR152" s="551"/>
      <c r="AS152" s="551"/>
      <c r="AT152" s="551"/>
      <c r="AU152" s="551"/>
      <c r="AV152" s="551"/>
      <c r="AW152" s="551"/>
      <c r="AX152" s="551"/>
      <c r="AY152" s="551"/>
      <c r="AZ152" s="551"/>
      <c r="BA152" s="551"/>
      <c r="BB152" s="551"/>
      <c r="BC152" s="551"/>
      <c r="BD152" s="551"/>
      <c r="BE152" s="551"/>
      <c r="BF152" s="551"/>
    </row>
    <row r="153" spans="1:58" ht="12.75" customHeight="1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1"/>
      <c r="P153" s="551"/>
      <c r="Q153" s="551"/>
      <c r="R153" s="551"/>
      <c r="S153" s="551"/>
      <c r="T153" s="551"/>
      <c r="U153" s="551"/>
      <c r="V153" s="551"/>
      <c r="W153" s="551"/>
      <c r="X153" s="551"/>
      <c r="Y153" s="551"/>
      <c r="Z153" s="551"/>
      <c r="AA153" s="551"/>
      <c r="AB153" s="551"/>
      <c r="AC153" s="551"/>
      <c r="AD153" s="551"/>
      <c r="AE153" s="551"/>
      <c r="AF153" s="551"/>
      <c r="AG153" s="551"/>
      <c r="AH153" s="551"/>
      <c r="AI153" s="551"/>
      <c r="AJ153" s="551"/>
      <c r="AK153" s="551"/>
      <c r="AL153" s="551"/>
      <c r="AM153" s="551"/>
      <c r="AN153" s="551"/>
      <c r="AO153" s="551"/>
      <c r="AP153" s="551"/>
      <c r="AQ153" s="551"/>
      <c r="AR153" s="551"/>
      <c r="AS153" s="551"/>
      <c r="AT153" s="551"/>
      <c r="AU153" s="551"/>
      <c r="AV153" s="551"/>
      <c r="AW153" s="551"/>
      <c r="AX153" s="551"/>
      <c r="AY153" s="551"/>
      <c r="AZ153" s="551"/>
      <c r="BA153" s="551"/>
      <c r="BB153" s="551"/>
      <c r="BC153" s="551"/>
      <c r="BD153" s="551"/>
      <c r="BE153" s="551"/>
      <c r="BF153" s="551"/>
    </row>
    <row r="154" spans="1:58" ht="12.75" customHeight="1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1"/>
      <c r="P154" s="551"/>
      <c r="Q154" s="551"/>
      <c r="R154" s="551"/>
      <c r="S154" s="551"/>
      <c r="T154" s="551"/>
      <c r="U154" s="551"/>
      <c r="V154" s="551"/>
      <c r="W154" s="551"/>
      <c r="X154" s="551"/>
      <c r="Y154" s="551"/>
      <c r="Z154" s="551"/>
      <c r="AA154" s="551"/>
      <c r="AB154" s="551"/>
      <c r="AC154" s="551"/>
      <c r="AD154" s="551"/>
      <c r="AE154" s="551"/>
      <c r="AF154" s="551"/>
      <c r="AG154" s="551"/>
      <c r="AH154" s="551"/>
      <c r="AI154" s="551"/>
      <c r="AJ154" s="551"/>
      <c r="AK154" s="551"/>
      <c r="AL154" s="551"/>
      <c r="AM154" s="551"/>
      <c r="AN154" s="551"/>
      <c r="AO154" s="551"/>
      <c r="AP154" s="551"/>
      <c r="AQ154" s="551"/>
      <c r="AR154" s="551"/>
      <c r="AS154" s="551"/>
      <c r="AT154" s="551"/>
      <c r="AU154" s="551"/>
      <c r="AV154" s="551"/>
      <c r="AW154" s="551"/>
      <c r="AX154" s="551"/>
      <c r="AY154" s="551"/>
      <c r="AZ154" s="551"/>
      <c r="BA154" s="551"/>
      <c r="BB154" s="551"/>
      <c r="BC154" s="551"/>
      <c r="BD154" s="551"/>
      <c r="BE154" s="551"/>
      <c r="BF154" s="551"/>
    </row>
    <row r="155" spans="1:58" ht="12.75" customHeight="1">
      <c r="A155" s="551"/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51"/>
      <c r="AB155" s="551"/>
      <c r="AC155" s="551"/>
      <c r="AD155" s="551"/>
      <c r="AE155" s="551"/>
      <c r="AF155" s="551"/>
      <c r="AG155" s="551"/>
      <c r="AH155" s="551"/>
      <c r="AI155" s="551"/>
      <c r="AJ155" s="551"/>
      <c r="AK155" s="551"/>
      <c r="AL155" s="551"/>
      <c r="AM155" s="551"/>
      <c r="AN155" s="551"/>
      <c r="AO155" s="551"/>
      <c r="AP155" s="551"/>
      <c r="AQ155" s="551"/>
      <c r="AR155" s="551"/>
      <c r="AS155" s="551"/>
      <c r="AT155" s="551"/>
      <c r="AU155" s="551"/>
      <c r="AV155" s="551"/>
      <c r="AW155" s="551"/>
      <c r="AX155" s="551"/>
      <c r="AY155" s="551"/>
      <c r="AZ155" s="551"/>
      <c r="BA155" s="551"/>
      <c r="BB155" s="551"/>
      <c r="BC155" s="551"/>
      <c r="BD155" s="551"/>
      <c r="BE155" s="551"/>
      <c r="BF155" s="551"/>
    </row>
    <row r="156" spans="1:58" ht="12.75" customHeight="1">
      <c r="A156" s="551"/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51"/>
      <c r="AB156" s="551"/>
      <c r="AC156" s="551"/>
      <c r="AD156" s="551"/>
      <c r="AE156" s="551"/>
      <c r="AF156" s="551"/>
      <c r="AG156" s="551"/>
      <c r="AH156" s="551"/>
      <c r="AI156" s="551"/>
      <c r="AJ156" s="551"/>
      <c r="AK156" s="551"/>
      <c r="AL156" s="551"/>
      <c r="AM156" s="551"/>
      <c r="AN156" s="551"/>
      <c r="AO156" s="551"/>
      <c r="AP156" s="551"/>
      <c r="AQ156" s="551"/>
      <c r="AR156" s="551"/>
      <c r="AS156" s="551"/>
      <c r="AT156" s="551"/>
      <c r="AU156" s="551"/>
      <c r="AV156" s="551"/>
      <c r="AW156" s="551"/>
      <c r="AX156" s="551"/>
      <c r="AY156" s="551"/>
      <c r="AZ156" s="551"/>
      <c r="BA156" s="551"/>
      <c r="BB156" s="551"/>
      <c r="BC156" s="551"/>
      <c r="BD156" s="551"/>
      <c r="BE156" s="551"/>
      <c r="BF156" s="551"/>
    </row>
    <row r="157" spans="1:58" ht="12.75" customHeight="1">
      <c r="A157" s="551"/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51"/>
      <c r="AB157" s="551"/>
      <c r="AC157" s="551"/>
      <c r="AD157" s="551"/>
      <c r="AE157" s="551"/>
      <c r="AF157" s="551"/>
      <c r="AG157" s="551"/>
      <c r="AH157" s="551"/>
      <c r="AI157" s="551"/>
      <c r="AJ157" s="551"/>
      <c r="AK157" s="551"/>
      <c r="AL157" s="551"/>
      <c r="AM157" s="551"/>
      <c r="AN157" s="551"/>
      <c r="AO157" s="551"/>
      <c r="AP157" s="551"/>
      <c r="AQ157" s="551"/>
      <c r="AR157" s="551"/>
      <c r="AS157" s="551"/>
      <c r="AT157" s="551"/>
      <c r="AU157" s="551"/>
      <c r="AV157" s="551"/>
      <c r="AW157" s="551"/>
      <c r="AX157" s="551"/>
      <c r="AY157" s="551"/>
      <c r="AZ157" s="551"/>
      <c r="BA157" s="551"/>
      <c r="BB157" s="551"/>
      <c r="BC157" s="551"/>
      <c r="BD157" s="551"/>
      <c r="BE157" s="551"/>
      <c r="BF157" s="551"/>
    </row>
    <row r="158" spans="1:58" ht="12.75" customHeight="1">
      <c r="A158" s="551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1"/>
      <c r="P158" s="551"/>
      <c r="Q158" s="551"/>
      <c r="R158" s="551"/>
      <c r="S158" s="551"/>
      <c r="T158" s="551"/>
      <c r="U158" s="551"/>
      <c r="V158" s="551"/>
      <c r="W158" s="551"/>
      <c r="X158" s="551"/>
      <c r="Y158" s="551"/>
      <c r="Z158" s="551"/>
      <c r="AA158" s="551"/>
      <c r="AB158" s="551"/>
      <c r="AC158" s="551"/>
      <c r="AD158" s="551"/>
      <c r="AE158" s="551"/>
      <c r="AF158" s="551"/>
      <c r="AG158" s="551"/>
      <c r="AH158" s="551"/>
      <c r="AI158" s="551"/>
      <c r="AJ158" s="551"/>
      <c r="AK158" s="551"/>
      <c r="AL158" s="551"/>
      <c r="AM158" s="551"/>
      <c r="AN158" s="551"/>
      <c r="AO158" s="551"/>
      <c r="AP158" s="551"/>
      <c r="AQ158" s="551"/>
      <c r="AR158" s="551"/>
      <c r="AS158" s="551"/>
      <c r="AT158" s="551"/>
      <c r="AU158" s="551"/>
      <c r="AV158" s="551"/>
      <c r="AW158" s="551"/>
      <c r="AX158" s="551"/>
      <c r="AY158" s="551"/>
      <c r="AZ158" s="551"/>
      <c r="BA158" s="551"/>
      <c r="BB158" s="551"/>
      <c r="BC158" s="551"/>
      <c r="BD158" s="551"/>
      <c r="BE158" s="551"/>
      <c r="BF158" s="551"/>
    </row>
    <row r="159" spans="1:58" ht="12.75" customHeight="1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1"/>
      <c r="P159" s="551"/>
      <c r="Q159" s="551"/>
      <c r="R159" s="551"/>
      <c r="S159" s="551"/>
      <c r="T159" s="551"/>
      <c r="U159" s="551"/>
      <c r="V159" s="551"/>
      <c r="W159" s="551"/>
      <c r="X159" s="551"/>
      <c r="Y159" s="551"/>
      <c r="Z159" s="551"/>
      <c r="AA159" s="551"/>
      <c r="AB159" s="551"/>
      <c r="AC159" s="551"/>
      <c r="AD159" s="551"/>
      <c r="AE159" s="551"/>
      <c r="AF159" s="551"/>
      <c r="AG159" s="551"/>
      <c r="AH159" s="551"/>
      <c r="AI159" s="551"/>
      <c r="AJ159" s="551"/>
      <c r="AK159" s="551"/>
      <c r="AL159" s="551"/>
      <c r="AM159" s="551"/>
      <c r="AN159" s="551"/>
      <c r="AO159" s="551"/>
      <c r="AP159" s="551"/>
      <c r="AQ159" s="551"/>
      <c r="AR159" s="551"/>
      <c r="AS159" s="551"/>
      <c r="AT159" s="551"/>
      <c r="AU159" s="551"/>
      <c r="AV159" s="551"/>
      <c r="AW159" s="551"/>
      <c r="AX159" s="551"/>
      <c r="AY159" s="551"/>
      <c r="AZ159" s="551"/>
      <c r="BA159" s="551"/>
      <c r="BB159" s="551"/>
      <c r="BC159" s="551"/>
      <c r="BD159" s="551"/>
      <c r="BE159" s="551"/>
      <c r="BF159" s="551"/>
    </row>
    <row r="160" spans="1:58" ht="12.75" customHeight="1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51"/>
      <c r="AB160" s="551"/>
      <c r="AC160" s="551"/>
      <c r="AD160" s="551"/>
      <c r="AE160" s="551"/>
      <c r="AF160" s="551"/>
      <c r="AG160" s="551"/>
      <c r="AH160" s="551"/>
      <c r="AI160" s="551"/>
      <c r="AJ160" s="551"/>
      <c r="AK160" s="551"/>
      <c r="AL160" s="551"/>
      <c r="AM160" s="551"/>
      <c r="AN160" s="551"/>
      <c r="AO160" s="551"/>
      <c r="AP160" s="551"/>
      <c r="AQ160" s="551"/>
      <c r="AR160" s="551"/>
      <c r="AS160" s="551"/>
      <c r="AT160" s="551"/>
      <c r="AU160" s="551"/>
      <c r="AV160" s="551"/>
      <c r="AW160" s="551"/>
      <c r="AX160" s="551"/>
      <c r="AY160" s="551"/>
      <c r="AZ160" s="551"/>
      <c r="BA160" s="551"/>
      <c r="BB160" s="551"/>
      <c r="BC160" s="551"/>
      <c r="BD160" s="551"/>
      <c r="BE160" s="551"/>
      <c r="BF160" s="551"/>
    </row>
    <row r="161" spans="1:58" ht="12.75" customHeight="1">
      <c r="A161" s="551"/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51"/>
      <c r="AB161" s="551"/>
      <c r="AC161" s="551"/>
      <c r="AD161" s="551"/>
      <c r="AE161" s="551"/>
      <c r="AF161" s="551"/>
      <c r="AG161" s="551"/>
      <c r="AH161" s="551"/>
      <c r="AI161" s="551"/>
      <c r="AJ161" s="551"/>
      <c r="AK161" s="551"/>
      <c r="AL161" s="551"/>
      <c r="AM161" s="551"/>
      <c r="AN161" s="551"/>
      <c r="AO161" s="551"/>
      <c r="AP161" s="551"/>
      <c r="AQ161" s="551"/>
      <c r="AR161" s="551"/>
      <c r="AS161" s="551"/>
      <c r="AT161" s="551"/>
      <c r="AU161" s="551"/>
      <c r="AV161" s="551"/>
      <c r="AW161" s="551"/>
      <c r="AX161" s="551"/>
      <c r="AY161" s="551"/>
      <c r="AZ161" s="551"/>
      <c r="BA161" s="551"/>
      <c r="BB161" s="551"/>
      <c r="BC161" s="551"/>
      <c r="BD161" s="551"/>
      <c r="BE161" s="551"/>
      <c r="BF161" s="551"/>
    </row>
    <row r="162" spans="1:58" ht="12.75" customHeight="1">
      <c r="A162" s="551"/>
      <c r="B162" s="551"/>
      <c r="C162" s="551"/>
      <c r="D162" s="551"/>
      <c r="E162" s="551"/>
      <c r="F162" s="551"/>
      <c r="G162" s="551"/>
      <c r="H162" s="551"/>
      <c r="I162" s="551"/>
      <c r="J162" s="551"/>
      <c r="K162" s="551"/>
      <c r="L162" s="551"/>
      <c r="M162" s="551"/>
      <c r="N162" s="551"/>
      <c r="O162" s="551"/>
      <c r="P162" s="551"/>
      <c r="Q162" s="551"/>
      <c r="R162" s="551"/>
      <c r="S162" s="551"/>
      <c r="T162" s="551"/>
      <c r="U162" s="551"/>
      <c r="V162" s="551"/>
      <c r="W162" s="551"/>
      <c r="X162" s="551"/>
      <c r="Y162" s="551"/>
      <c r="Z162" s="551"/>
      <c r="AA162" s="551"/>
      <c r="AB162" s="551"/>
      <c r="AC162" s="551"/>
      <c r="AD162" s="551"/>
      <c r="AE162" s="551"/>
      <c r="AF162" s="551"/>
      <c r="AG162" s="551"/>
      <c r="AH162" s="551"/>
      <c r="AI162" s="551"/>
      <c r="AJ162" s="551"/>
      <c r="AK162" s="551"/>
      <c r="AL162" s="551"/>
      <c r="AM162" s="551"/>
      <c r="AN162" s="551"/>
      <c r="AO162" s="551"/>
      <c r="AP162" s="551"/>
      <c r="AQ162" s="551"/>
      <c r="AR162" s="551"/>
      <c r="AS162" s="551"/>
      <c r="AT162" s="551"/>
      <c r="AU162" s="551"/>
      <c r="AV162" s="551"/>
      <c r="AW162" s="551"/>
      <c r="AX162" s="551"/>
      <c r="AY162" s="551"/>
      <c r="AZ162" s="551"/>
      <c r="BA162" s="551"/>
      <c r="BB162" s="551"/>
      <c r="BC162" s="551"/>
      <c r="BD162" s="551"/>
      <c r="BE162" s="551"/>
      <c r="BF162" s="551"/>
    </row>
    <row r="163" spans="1:58" ht="12.75" customHeight="1">
      <c r="A163" s="551"/>
      <c r="B163" s="551"/>
      <c r="C163" s="551"/>
      <c r="D163" s="551"/>
      <c r="E163" s="551"/>
      <c r="F163" s="551"/>
      <c r="G163" s="551"/>
      <c r="H163" s="551"/>
      <c r="I163" s="551"/>
      <c r="J163" s="551"/>
      <c r="K163" s="551"/>
      <c r="L163" s="551"/>
      <c r="M163" s="551"/>
      <c r="N163" s="551"/>
      <c r="O163" s="551"/>
      <c r="P163" s="551"/>
      <c r="Q163" s="551"/>
      <c r="R163" s="551"/>
      <c r="S163" s="551"/>
      <c r="T163" s="551"/>
      <c r="U163" s="551"/>
      <c r="V163" s="551"/>
      <c r="W163" s="551"/>
      <c r="X163" s="551"/>
      <c r="Y163" s="551"/>
      <c r="Z163" s="551"/>
      <c r="AA163" s="551"/>
      <c r="AB163" s="551"/>
      <c r="AC163" s="551"/>
      <c r="AD163" s="551"/>
      <c r="AE163" s="551"/>
      <c r="AF163" s="551"/>
      <c r="AG163" s="551"/>
      <c r="AH163" s="551"/>
      <c r="AI163" s="551"/>
      <c r="AJ163" s="551"/>
      <c r="AK163" s="551"/>
      <c r="AL163" s="551"/>
      <c r="AM163" s="551"/>
      <c r="AN163" s="551"/>
      <c r="AO163" s="551"/>
      <c r="AP163" s="551"/>
      <c r="AQ163" s="551"/>
      <c r="AR163" s="551"/>
      <c r="AS163" s="551"/>
      <c r="AT163" s="551"/>
      <c r="AU163" s="551"/>
      <c r="AV163" s="551"/>
      <c r="AW163" s="551"/>
      <c r="AX163" s="551"/>
      <c r="AY163" s="551"/>
      <c r="AZ163" s="551"/>
      <c r="BA163" s="551"/>
      <c r="BB163" s="551"/>
      <c r="BC163" s="551"/>
      <c r="BD163" s="551"/>
      <c r="BE163" s="551"/>
      <c r="BF163" s="551"/>
    </row>
    <row r="164" spans="1:58" ht="12.75" customHeight="1">
      <c r="A164" s="551"/>
      <c r="B164" s="551"/>
      <c r="C164" s="551"/>
      <c r="D164" s="551"/>
      <c r="E164" s="551"/>
      <c r="F164" s="551"/>
      <c r="G164" s="551"/>
      <c r="H164" s="551"/>
      <c r="I164" s="551"/>
      <c r="J164" s="551"/>
      <c r="K164" s="551"/>
      <c r="L164" s="551"/>
      <c r="M164" s="551"/>
      <c r="N164" s="551"/>
      <c r="O164" s="551"/>
      <c r="P164" s="551"/>
      <c r="Q164" s="551"/>
      <c r="R164" s="551"/>
      <c r="S164" s="551"/>
      <c r="T164" s="551"/>
      <c r="U164" s="551"/>
      <c r="V164" s="551"/>
      <c r="W164" s="551"/>
      <c r="X164" s="551"/>
      <c r="Y164" s="551"/>
      <c r="Z164" s="551"/>
      <c r="AA164" s="551"/>
      <c r="AB164" s="551"/>
      <c r="AC164" s="551"/>
      <c r="AD164" s="551"/>
      <c r="AE164" s="551"/>
      <c r="AF164" s="551"/>
      <c r="AG164" s="551"/>
      <c r="AH164" s="551"/>
      <c r="AI164" s="551"/>
      <c r="AJ164" s="551"/>
      <c r="AK164" s="551"/>
      <c r="AL164" s="551"/>
      <c r="AM164" s="551"/>
      <c r="AN164" s="551"/>
      <c r="AO164" s="551"/>
      <c r="AP164" s="551"/>
      <c r="AQ164" s="551"/>
      <c r="AR164" s="551"/>
      <c r="AS164" s="551"/>
      <c r="AT164" s="551"/>
      <c r="AU164" s="551"/>
      <c r="AV164" s="551"/>
      <c r="AW164" s="551"/>
      <c r="AX164" s="551"/>
      <c r="AY164" s="551"/>
      <c r="AZ164" s="551"/>
      <c r="BA164" s="551"/>
      <c r="BB164" s="551"/>
      <c r="BC164" s="551"/>
      <c r="BD164" s="551"/>
      <c r="BE164" s="551"/>
      <c r="BF164" s="551"/>
    </row>
    <row r="165" spans="1:58" ht="12.75" customHeight="1">
      <c r="A165" s="551"/>
      <c r="B165" s="551"/>
      <c r="C165" s="551"/>
      <c r="D165" s="551"/>
      <c r="E165" s="551"/>
      <c r="F165" s="551"/>
      <c r="G165" s="551"/>
      <c r="H165" s="551"/>
      <c r="I165" s="551"/>
      <c r="J165" s="551"/>
      <c r="K165" s="551"/>
      <c r="L165" s="551"/>
      <c r="M165" s="551"/>
      <c r="N165" s="551"/>
      <c r="O165" s="551"/>
      <c r="P165" s="551"/>
      <c r="Q165" s="551"/>
      <c r="R165" s="551"/>
      <c r="S165" s="551"/>
      <c r="T165" s="551"/>
      <c r="U165" s="551"/>
      <c r="V165" s="551"/>
      <c r="W165" s="551"/>
      <c r="X165" s="551"/>
      <c r="Y165" s="551"/>
      <c r="Z165" s="551"/>
      <c r="AA165" s="551"/>
      <c r="AB165" s="551"/>
      <c r="AC165" s="551"/>
      <c r="AD165" s="551"/>
      <c r="AE165" s="551"/>
      <c r="AF165" s="551"/>
      <c r="AG165" s="551"/>
      <c r="AH165" s="551"/>
      <c r="AI165" s="551"/>
      <c r="AJ165" s="551"/>
      <c r="AK165" s="551"/>
      <c r="AL165" s="551"/>
      <c r="AM165" s="551"/>
      <c r="AN165" s="551"/>
      <c r="AO165" s="551"/>
      <c r="AP165" s="551"/>
      <c r="AQ165" s="551"/>
      <c r="AR165" s="551"/>
      <c r="AS165" s="551"/>
      <c r="AT165" s="551"/>
      <c r="AU165" s="551"/>
      <c r="AV165" s="551"/>
      <c r="AW165" s="551"/>
      <c r="AX165" s="551"/>
      <c r="AY165" s="551"/>
      <c r="AZ165" s="551"/>
      <c r="BA165" s="551"/>
      <c r="BB165" s="551"/>
      <c r="BC165" s="551"/>
      <c r="BD165" s="551"/>
      <c r="BE165" s="551"/>
      <c r="BF165" s="551"/>
    </row>
    <row r="166" spans="1:58" ht="12.75" customHeight="1">
      <c r="A166" s="551"/>
      <c r="B166" s="551"/>
      <c r="C166" s="551"/>
      <c r="D166" s="551"/>
      <c r="E166" s="551"/>
      <c r="F166" s="551"/>
      <c r="G166" s="551"/>
      <c r="H166" s="551"/>
      <c r="I166" s="551"/>
      <c r="J166" s="551"/>
      <c r="K166" s="551"/>
      <c r="L166" s="551"/>
      <c r="M166" s="551"/>
      <c r="N166" s="551"/>
      <c r="O166" s="551"/>
      <c r="P166" s="551"/>
      <c r="Q166" s="551"/>
      <c r="R166" s="551"/>
      <c r="S166" s="551"/>
      <c r="T166" s="551"/>
      <c r="U166" s="551"/>
      <c r="V166" s="551"/>
      <c r="W166" s="551"/>
      <c r="X166" s="551"/>
      <c r="Y166" s="551"/>
      <c r="Z166" s="551"/>
      <c r="AA166" s="551"/>
      <c r="AB166" s="551"/>
      <c r="AC166" s="551"/>
      <c r="AD166" s="551"/>
      <c r="AE166" s="551"/>
      <c r="AF166" s="551"/>
      <c r="AG166" s="551"/>
      <c r="AH166" s="551"/>
      <c r="AI166" s="551"/>
      <c r="AJ166" s="551"/>
      <c r="AK166" s="551"/>
      <c r="AL166" s="551"/>
      <c r="AM166" s="551"/>
      <c r="AN166" s="551"/>
      <c r="AO166" s="551"/>
      <c r="AP166" s="551"/>
      <c r="AQ166" s="551"/>
      <c r="AR166" s="551"/>
      <c r="AS166" s="551"/>
      <c r="AT166" s="551"/>
      <c r="AU166" s="551"/>
      <c r="AV166" s="551"/>
      <c r="AW166" s="551"/>
      <c r="AX166" s="551"/>
      <c r="AY166" s="551"/>
      <c r="AZ166" s="551"/>
      <c r="BA166" s="551"/>
      <c r="BB166" s="551"/>
      <c r="BC166" s="551"/>
      <c r="BD166" s="551"/>
      <c r="BE166" s="551"/>
      <c r="BF166" s="551"/>
    </row>
    <row r="167" spans="1:58" ht="12.75" customHeight="1">
      <c r="A167" s="551"/>
      <c r="B167" s="551"/>
      <c r="C167" s="551"/>
      <c r="D167" s="551"/>
      <c r="E167" s="551"/>
      <c r="F167" s="551"/>
      <c r="G167" s="551"/>
      <c r="H167" s="551"/>
      <c r="I167" s="551"/>
      <c r="J167" s="551"/>
      <c r="K167" s="551"/>
      <c r="L167" s="551"/>
      <c r="M167" s="551"/>
      <c r="N167" s="551"/>
      <c r="O167" s="551"/>
      <c r="P167" s="551"/>
      <c r="Q167" s="551"/>
      <c r="R167" s="551"/>
      <c r="S167" s="551"/>
      <c r="T167" s="551"/>
      <c r="U167" s="551"/>
      <c r="V167" s="551"/>
      <c r="W167" s="551"/>
      <c r="X167" s="551"/>
      <c r="Y167" s="551"/>
      <c r="Z167" s="551"/>
      <c r="AA167" s="551"/>
      <c r="AB167" s="551"/>
      <c r="AC167" s="551"/>
      <c r="AD167" s="551"/>
      <c r="AE167" s="551"/>
      <c r="AF167" s="551"/>
      <c r="AG167" s="551"/>
      <c r="AH167" s="551"/>
      <c r="AI167" s="551"/>
      <c r="AJ167" s="551"/>
      <c r="AK167" s="551"/>
      <c r="AL167" s="551"/>
      <c r="AM167" s="551"/>
      <c r="AN167" s="551"/>
      <c r="AO167" s="551"/>
      <c r="AP167" s="551"/>
      <c r="AQ167" s="551"/>
      <c r="AR167" s="551"/>
      <c r="AS167" s="551"/>
      <c r="AT167" s="551"/>
      <c r="AU167" s="551"/>
      <c r="AV167" s="551"/>
      <c r="AW167" s="551"/>
      <c r="AX167" s="551"/>
      <c r="AY167" s="551"/>
      <c r="AZ167" s="551"/>
      <c r="BA167" s="551"/>
      <c r="BB167" s="551"/>
      <c r="BC167" s="551"/>
      <c r="BD167" s="551"/>
      <c r="BE167" s="551"/>
      <c r="BF167" s="551"/>
    </row>
    <row r="168" spans="1:58" ht="12.75" customHeight="1">
      <c r="A168" s="551"/>
      <c r="B168" s="551"/>
      <c r="C168" s="551"/>
      <c r="D168" s="551"/>
      <c r="E168" s="551"/>
      <c r="F168" s="551"/>
      <c r="G168" s="551"/>
      <c r="H168" s="551"/>
      <c r="I168" s="551"/>
      <c r="J168" s="551"/>
      <c r="K168" s="551"/>
      <c r="L168" s="551"/>
      <c r="M168" s="551"/>
      <c r="N168" s="551"/>
      <c r="O168" s="551"/>
      <c r="P168" s="551"/>
      <c r="Q168" s="551"/>
      <c r="R168" s="551"/>
      <c r="S168" s="551"/>
      <c r="T168" s="551"/>
      <c r="U168" s="551"/>
      <c r="V168" s="551"/>
      <c r="W168" s="551"/>
      <c r="X168" s="551"/>
      <c r="Y168" s="551"/>
      <c r="Z168" s="551"/>
      <c r="AA168" s="551"/>
      <c r="AB168" s="551"/>
      <c r="AC168" s="551"/>
      <c r="AD168" s="551"/>
      <c r="AE168" s="551"/>
      <c r="AF168" s="551"/>
      <c r="AG168" s="551"/>
      <c r="AH168" s="551"/>
      <c r="AI168" s="551"/>
      <c r="AJ168" s="551"/>
      <c r="AK168" s="551"/>
      <c r="AL168" s="551"/>
      <c r="AM168" s="551"/>
      <c r="AN168" s="551"/>
      <c r="AO168" s="551"/>
      <c r="AP168" s="551"/>
      <c r="AQ168" s="551"/>
      <c r="AR168" s="551"/>
      <c r="AS168" s="551"/>
      <c r="AT168" s="551"/>
      <c r="AU168" s="551"/>
      <c r="AV168" s="551"/>
      <c r="AW168" s="551"/>
      <c r="AX168" s="551"/>
      <c r="AY168" s="551"/>
      <c r="AZ168" s="551"/>
      <c r="BA168" s="551"/>
      <c r="BB168" s="551"/>
      <c r="BC168" s="551"/>
      <c r="BD168" s="551"/>
      <c r="BE168" s="551"/>
      <c r="BF168" s="551"/>
    </row>
    <row r="169" spans="1:58" ht="12.75" customHeight="1">
      <c r="A169" s="551"/>
      <c r="B169" s="551"/>
      <c r="C169" s="551"/>
      <c r="D169" s="551"/>
      <c r="E169" s="551"/>
      <c r="F169" s="551"/>
      <c r="G169" s="551"/>
      <c r="H169" s="551"/>
      <c r="I169" s="551"/>
      <c r="J169" s="551"/>
      <c r="K169" s="551"/>
      <c r="L169" s="551"/>
      <c r="M169" s="551"/>
      <c r="N169" s="551"/>
      <c r="O169" s="551"/>
      <c r="P169" s="551"/>
      <c r="Q169" s="551"/>
      <c r="R169" s="551"/>
      <c r="S169" s="551"/>
      <c r="T169" s="551"/>
      <c r="U169" s="551"/>
      <c r="V169" s="551"/>
      <c r="W169" s="551"/>
      <c r="X169" s="551"/>
      <c r="Y169" s="551"/>
      <c r="Z169" s="551"/>
      <c r="AA169" s="551"/>
      <c r="AB169" s="551"/>
      <c r="AC169" s="551"/>
      <c r="AD169" s="551"/>
      <c r="AE169" s="551"/>
      <c r="AF169" s="551"/>
      <c r="AG169" s="551"/>
      <c r="AH169" s="551"/>
      <c r="AI169" s="551"/>
      <c r="AJ169" s="551"/>
      <c r="AK169" s="551"/>
      <c r="AL169" s="551"/>
      <c r="AM169" s="551"/>
      <c r="AN169" s="551"/>
      <c r="AO169" s="551"/>
      <c r="AP169" s="551"/>
      <c r="AQ169" s="551"/>
      <c r="AR169" s="551"/>
      <c r="AS169" s="551"/>
      <c r="AT169" s="551"/>
      <c r="AU169" s="551"/>
      <c r="AV169" s="551"/>
      <c r="AW169" s="551"/>
      <c r="AX169" s="551"/>
      <c r="AY169" s="551"/>
      <c r="AZ169" s="551"/>
      <c r="BA169" s="551"/>
      <c r="BB169" s="551"/>
      <c r="BC169" s="551"/>
      <c r="BD169" s="551"/>
      <c r="BE169" s="551"/>
      <c r="BF169" s="551"/>
    </row>
    <row r="170" spans="1:58" ht="12.75" customHeight="1">
      <c r="A170" s="551"/>
      <c r="B170" s="551"/>
      <c r="C170" s="551"/>
      <c r="D170" s="551"/>
      <c r="E170" s="551"/>
      <c r="F170" s="551"/>
      <c r="G170" s="551"/>
      <c r="H170" s="551"/>
      <c r="I170" s="551"/>
      <c r="J170" s="551"/>
      <c r="K170" s="551"/>
      <c r="L170" s="551"/>
      <c r="M170" s="551"/>
      <c r="N170" s="551"/>
      <c r="O170" s="551"/>
      <c r="P170" s="551"/>
      <c r="Q170" s="551"/>
      <c r="R170" s="551"/>
      <c r="S170" s="551"/>
      <c r="T170" s="551"/>
      <c r="U170" s="551"/>
      <c r="V170" s="551"/>
      <c r="W170" s="551"/>
      <c r="X170" s="551"/>
      <c r="Y170" s="551"/>
      <c r="Z170" s="551"/>
      <c r="AA170" s="551"/>
      <c r="AB170" s="551"/>
      <c r="AC170" s="551"/>
      <c r="AD170" s="551"/>
      <c r="AE170" s="551"/>
      <c r="AF170" s="551"/>
      <c r="AG170" s="551"/>
      <c r="AH170" s="551"/>
      <c r="AI170" s="551"/>
      <c r="AJ170" s="551"/>
      <c r="AK170" s="551"/>
      <c r="AL170" s="551"/>
      <c r="AM170" s="551"/>
      <c r="AN170" s="551"/>
      <c r="AO170" s="551"/>
      <c r="AP170" s="551"/>
      <c r="AQ170" s="551"/>
      <c r="AR170" s="551"/>
      <c r="AS170" s="551"/>
      <c r="AT170" s="551"/>
      <c r="AU170" s="551"/>
      <c r="AV170" s="551"/>
      <c r="AW170" s="551"/>
      <c r="AX170" s="551"/>
      <c r="AY170" s="551"/>
      <c r="AZ170" s="551"/>
      <c r="BA170" s="551"/>
      <c r="BB170" s="551"/>
      <c r="BC170" s="551"/>
      <c r="BD170" s="551"/>
      <c r="BE170" s="551"/>
      <c r="BF170" s="551"/>
    </row>
    <row r="171" spans="1:58" ht="12.75" customHeight="1">
      <c r="A171" s="551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1"/>
      <c r="P171" s="551"/>
      <c r="Q171" s="551"/>
      <c r="R171" s="551"/>
      <c r="S171" s="551"/>
      <c r="T171" s="551"/>
      <c r="U171" s="551"/>
      <c r="V171" s="551"/>
      <c r="W171" s="551"/>
      <c r="X171" s="551"/>
      <c r="Y171" s="551"/>
      <c r="Z171" s="551"/>
      <c r="AA171" s="551"/>
      <c r="AB171" s="551"/>
      <c r="AC171" s="551"/>
      <c r="AD171" s="551"/>
      <c r="AE171" s="551"/>
      <c r="AF171" s="551"/>
      <c r="AG171" s="551"/>
      <c r="AH171" s="551"/>
      <c r="AI171" s="551"/>
      <c r="AJ171" s="551"/>
      <c r="AK171" s="551"/>
      <c r="AL171" s="551"/>
      <c r="AM171" s="551"/>
      <c r="AN171" s="551"/>
      <c r="AO171" s="551"/>
      <c r="AP171" s="551"/>
      <c r="AQ171" s="551"/>
      <c r="AR171" s="551"/>
      <c r="AS171" s="551"/>
      <c r="AT171" s="551"/>
      <c r="AU171" s="551"/>
      <c r="AV171" s="551"/>
      <c r="AW171" s="551"/>
      <c r="AX171" s="551"/>
      <c r="AY171" s="551"/>
      <c r="AZ171" s="551"/>
      <c r="BA171" s="551"/>
      <c r="BB171" s="551"/>
      <c r="BC171" s="551"/>
      <c r="BD171" s="551"/>
      <c r="BE171" s="551"/>
      <c r="BF171" s="551"/>
    </row>
    <row r="172" spans="1:58" ht="12.75" customHeight="1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1"/>
      <c r="P172" s="551"/>
      <c r="Q172" s="551"/>
      <c r="R172" s="551"/>
      <c r="S172" s="551"/>
      <c r="T172" s="551"/>
      <c r="U172" s="551"/>
      <c r="V172" s="551"/>
      <c r="W172" s="551"/>
      <c r="X172" s="551"/>
      <c r="Y172" s="551"/>
      <c r="Z172" s="551"/>
      <c r="AA172" s="551"/>
      <c r="AB172" s="551"/>
      <c r="AC172" s="551"/>
      <c r="AD172" s="551"/>
      <c r="AE172" s="551"/>
      <c r="AF172" s="551"/>
      <c r="AG172" s="551"/>
      <c r="AH172" s="551"/>
      <c r="AI172" s="551"/>
      <c r="AJ172" s="551"/>
      <c r="AK172" s="551"/>
      <c r="AL172" s="551"/>
      <c r="AM172" s="551"/>
      <c r="AN172" s="551"/>
      <c r="AO172" s="551"/>
      <c r="AP172" s="551"/>
      <c r="AQ172" s="551"/>
      <c r="AR172" s="551"/>
      <c r="AS172" s="551"/>
      <c r="AT172" s="551"/>
      <c r="AU172" s="551"/>
      <c r="AV172" s="551"/>
      <c r="AW172" s="551"/>
      <c r="AX172" s="551"/>
      <c r="AY172" s="551"/>
      <c r="AZ172" s="551"/>
      <c r="BA172" s="551"/>
      <c r="BB172" s="551"/>
      <c r="BC172" s="551"/>
      <c r="BD172" s="551"/>
      <c r="BE172" s="551"/>
      <c r="BF172" s="551"/>
    </row>
    <row r="173" spans="1:58" ht="12.75" customHeight="1">
      <c r="A173" s="551"/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51"/>
      <c r="AB173" s="551"/>
      <c r="AC173" s="551"/>
      <c r="AD173" s="551"/>
      <c r="AE173" s="551"/>
      <c r="AF173" s="551"/>
      <c r="AG173" s="551"/>
      <c r="AH173" s="551"/>
      <c r="AI173" s="551"/>
      <c r="AJ173" s="551"/>
      <c r="AK173" s="551"/>
      <c r="AL173" s="551"/>
      <c r="AM173" s="551"/>
      <c r="AN173" s="551"/>
      <c r="AO173" s="551"/>
      <c r="AP173" s="551"/>
      <c r="AQ173" s="551"/>
      <c r="AR173" s="551"/>
      <c r="AS173" s="551"/>
      <c r="AT173" s="551"/>
      <c r="AU173" s="551"/>
      <c r="AV173" s="551"/>
      <c r="AW173" s="551"/>
      <c r="AX173" s="551"/>
      <c r="AY173" s="551"/>
      <c r="AZ173" s="551"/>
      <c r="BA173" s="551"/>
      <c r="BB173" s="551"/>
      <c r="BC173" s="551"/>
      <c r="BD173" s="551"/>
      <c r="BE173" s="551"/>
      <c r="BF173" s="551"/>
    </row>
    <row r="174" spans="1:58" ht="12.75" customHeight="1">
      <c r="A174" s="551"/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  <c r="M174" s="551"/>
      <c r="N174" s="551"/>
      <c r="O174" s="551"/>
      <c r="P174" s="551"/>
      <c r="Q174" s="551"/>
      <c r="R174" s="551"/>
      <c r="S174" s="551"/>
      <c r="T174" s="551"/>
      <c r="U174" s="551"/>
      <c r="V174" s="551"/>
      <c r="W174" s="551"/>
      <c r="X174" s="551"/>
      <c r="Y174" s="551"/>
      <c r="Z174" s="551"/>
      <c r="AA174" s="551"/>
      <c r="AB174" s="551"/>
      <c r="AC174" s="551"/>
      <c r="AD174" s="551"/>
      <c r="AE174" s="551"/>
      <c r="AF174" s="551"/>
      <c r="AG174" s="551"/>
      <c r="AH174" s="551"/>
      <c r="AI174" s="551"/>
      <c r="AJ174" s="551"/>
      <c r="AK174" s="551"/>
      <c r="AL174" s="551"/>
      <c r="AM174" s="551"/>
      <c r="AN174" s="551"/>
      <c r="AO174" s="551"/>
      <c r="AP174" s="551"/>
      <c r="AQ174" s="551"/>
      <c r="AR174" s="551"/>
      <c r="AS174" s="551"/>
      <c r="AT174" s="551"/>
      <c r="AU174" s="551"/>
      <c r="AV174" s="551"/>
      <c r="AW174" s="551"/>
      <c r="AX174" s="551"/>
      <c r="AY174" s="551"/>
      <c r="AZ174" s="551"/>
      <c r="BA174" s="551"/>
      <c r="BB174" s="551"/>
      <c r="BC174" s="551"/>
      <c r="BD174" s="551"/>
      <c r="BE174" s="551"/>
      <c r="BF174" s="551"/>
    </row>
    <row r="175" spans="1:58" ht="12.75" customHeight="1">
      <c r="A175" s="551"/>
      <c r="B175" s="551"/>
      <c r="C175" s="551"/>
      <c r="D175" s="551"/>
      <c r="E175" s="551"/>
      <c r="F175" s="551"/>
      <c r="G175" s="551"/>
      <c r="H175" s="551"/>
      <c r="I175" s="551"/>
      <c r="J175" s="551"/>
      <c r="K175" s="551"/>
      <c r="L175" s="551"/>
      <c r="M175" s="551"/>
      <c r="N175" s="551"/>
      <c r="O175" s="551"/>
      <c r="P175" s="551"/>
      <c r="Q175" s="551"/>
      <c r="R175" s="551"/>
      <c r="S175" s="551"/>
      <c r="T175" s="551"/>
      <c r="U175" s="551"/>
      <c r="V175" s="551"/>
      <c r="W175" s="551"/>
      <c r="X175" s="551"/>
      <c r="Y175" s="551"/>
      <c r="Z175" s="551"/>
      <c r="AA175" s="551"/>
      <c r="AB175" s="551"/>
      <c r="AC175" s="551"/>
      <c r="AD175" s="551"/>
      <c r="AE175" s="551"/>
      <c r="AF175" s="551"/>
      <c r="AG175" s="551"/>
      <c r="AH175" s="551"/>
      <c r="AI175" s="551"/>
      <c r="AJ175" s="551"/>
      <c r="AK175" s="551"/>
      <c r="AL175" s="551"/>
      <c r="AM175" s="551"/>
      <c r="AN175" s="551"/>
      <c r="AO175" s="551"/>
      <c r="AP175" s="551"/>
      <c r="AQ175" s="551"/>
      <c r="AR175" s="551"/>
      <c r="AS175" s="551"/>
      <c r="AT175" s="551"/>
      <c r="AU175" s="551"/>
      <c r="AV175" s="551"/>
      <c r="AW175" s="551"/>
      <c r="AX175" s="551"/>
      <c r="AY175" s="551"/>
      <c r="AZ175" s="551"/>
      <c r="BA175" s="551"/>
      <c r="BB175" s="551"/>
      <c r="BC175" s="551"/>
      <c r="BD175" s="551"/>
      <c r="BE175" s="551"/>
      <c r="BF175" s="551"/>
    </row>
    <row r="176" spans="1:58" ht="12.75" customHeight="1">
      <c r="A176" s="551"/>
      <c r="B176" s="551"/>
      <c r="C176" s="551"/>
      <c r="D176" s="551"/>
      <c r="E176" s="551"/>
      <c r="F176" s="551"/>
      <c r="G176" s="551"/>
      <c r="H176" s="551"/>
      <c r="I176" s="551"/>
      <c r="J176" s="551"/>
      <c r="K176" s="551"/>
      <c r="L176" s="551"/>
      <c r="M176" s="551"/>
      <c r="N176" s="551"/>
      <c r="O176" s="551"/>
      <c r="P176" s="551"/>
      <c r="Q176" s="551"/>
      <c r="R176" s="551"/>
      <c r="S176" s="551"/>
      <c r="T176" s="551"/>
      <c r="U176" s="551"/>
      <c r="V176" s="551"/>
      <c r="W176" s="551"/>
      <c r="X176" s="551"/>
      <c r="Y176" s="551"/>
      <c r="Z176" s="551"/>
      <c r="AA176" s="551"/>
      <c r="AB176" s="551"/>
      <c r="AC176" s="551"/>
      <c r="AD176" s="551"/>
      <c r="AE176" s="551"/>
      <c r="AF176" s="551"/>
      <c r="AG176" s="551"/>
      <c r="AH176" s="551"/>
      <c r="AI176" s="551"/>
      <c r="AJ176" s="551"/>
      <c r="AK176" s="551"/>
      <c r="AL176" s="551"/>
      <c r="AM176" s="551"/>
      <c r="AN176" s="551"/>
      <c r="AO176" s="551"/>
      <c r="AP176" s="551"/>
      <c r="AQ176" s="551"/>
      <c r="AR176" s="551"/>
      <c r="AS176" s="551"/>
      <c r="AT176" s="551"/>
      <c r="AU176" s="551"/>
      <c r="AV176" s="551"/>
      <c r="AW176" s="551"/>
      <c r="AX176" s="551"/>
      <c r="AY176" s="551"/>
      <c r="AZ176" s="551"/>
      <c r="BA176" s="551"/>
      <c r="BB176" s="551"/>
      <c r="BC176" s="551"/>
      <c r="BD176" s="551"/>
      <c r="BE176" s="551"/>
      <c r="BF176" s="551"/>
    </row>
    <row r="177" spans="1:58" ht="12.75" customHeight="1">
      <c r="A177" s="551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1"/>
      <c r="P177" s="551"/>
      <c r="Q177" s="551"/>
      <c r="R177" s="551"/>
      <c r="S177" s="551"/>
      <c r="T177" s="551"/>
      <c r="U177" s="551"/>
      <c r="V177" s="551"/>
      <c r="W177" s="551"/>
      <c r="X177" s="551"/>
      <c r="Y177" s="551"/>
      <c r="Z177" s="551"/>
      <c r="AA177" s="551"/>
      <c r="AB177" s="551"/>
      <c r="AC177" s="551"/>
      <c r="AD177" s="551"/>
      <c r="AE177" s="551"/>
      <c r="AF177" s="551"/>
      <c r="AG177" s="551"/>
      <c r="AH177" s="551"/>
      <c r="AI177" s="551"/>
      <c r="AJ177" s="551"/>
      <c r="AK177" s="551"/>
      <c r="AL177" s="551"/>
      <c r="AM177" s="551"/>
      <c r="AN177" s="551"/>
      <c r="AO177" s="551"/>
      <c r="AP177" s="551"/>
      <c r="AQ177" s="551"/>
      <c r="AR177" s="551"/>
      <c r="AS177" s="551"/>
      <c r="AT177" s="551"/>
      <c r="AU177" s="551"/>
      <c r="AV177" s="551"/>
      <c r="AW177" s="551"/>
      <c r="AX177" s="551"/>
      <c r="AY177" s="551"/>
      <c r="AZ177" s="551"/>
      <c r="BA177" s="551"/>
      <c r="BB177" s="551"/>
      <c r="BC177" s="551"/>
      <c r="BD177" s="551"/>
      <c r="BE177" s="551"/>
      <c r="BF177" s="551"/>
    </row>
    <row r="178" spans="1:58" ht="12.75" customHeight="1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1"/>
      <c r="P178" s="551"/>
      <c r="Q178" s="551"/>
      <c r="R178" s="551"/>
      <c r="S178" s="551"/>
      <c r="T178" s="551"/>
      <c r="U178" s="551"/>
      <c r="V178" s="551"/>
      <c r="W178" s="551"/>
      <c r="X178" s="551"/>
      <c r="Y178" s="551"/>
      <c r="Z178" s="551"/>
      <c r="AA178" s="551"/>
      <c r="AB178" s="551"/>
      <c r="AC178" s="551"/>
      <c r="AD178" s="551"/>
      <c r="AE178" s="551"/>
      <c r="AF178" s="551"/>
      <c r="AG178" s="551"/>
      <c r="AH178" s="551"/>
      <c r="AI178" s="551"/>
      <c r="AJ178" s="551"/>
      <c r="AK178" s="551"/>
      <c r="AL178" s="551"/>
      <c r="AM178" s="551"/>
      <c r="AN178" s="551"/>
      <c r="AO178" s="551"/>
      <c r="AP178" s="551"/>
      <c r="AQ178" s="551"/>
      <c r="AR178" s="551"/>
      <c r="AS178" s="551"/>
      <c r="AT178" s="551"/>
      <c r="AU178" s="551"/>
      <c r="AV178" s="551"/>
      <c r="AW178" s="551"/>
      <c r="AX178" s="551"/>
      <c r="AY178" s="551"/>
      <c r="AZ178" s="551"/>
      <c r="BA178" s="551"/>
      <c r="BB178" s="551"/>
      <c r="BC178" s="551"/>
      <c r="BD178" s="551"/>
      <c r="BE178" s="551"/>
      <c r="BF178" s="551"/>
    </row>
    <row r="179" spans="1:58" ht="12.75" customHeight="1">
      <c r="A179" s="551"/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51"/>
      <c r="AB179" s="551"/>
      <c r="AC179" s="551"/>
      <c r="AD179" s="551"/>
      <c r="AE179" s="551"/>
      <c r="AF179" s="551"/>
      <c r="AG179" s="551"/>
      <c r="AH179" s="551"/>
      <c r="AI179" s="551"/>
      <c r="AJ179" s="551"/>
      <c r="AK179" s="551"/>
      <c r="AL179" s="551"/>
      <c r="AM179" s="551"/>
      <c r="AN179" s="551"/>
      <c r="AO179" s="551"/>
      <c r="AP179" s="551"/>
      <c r="AQ179" s="551"/>
      <c r="AR179" s="551"/>
      <c r="AS179" s="551"/>
      <c r="AT179" s="551"/>
      <c r="AU179" s="551"/>
      <c r="AV179" s="551"/>
      <c r="AW179" s="551"/>
      <c r="AX179" s="551"/>
      <c r="AY179" s="551"/>
      <c r="AZ179" s="551"/>
      <c r="BA179" s="551"/>
      <c r="BB179" s="551"/>
      <c r="BC179" s="551"/>
      <c r="BD179" s="551"/>
      <c r="BE179" s="551"/>
      <c r="BF179" s="551"/>
    </row>
    <row r="180" spans="1:58" ht="12.75" customHeight="1">
      <c r="A180" s="551"/>
      <c r="B180" s="551"/>
      <c r="C180" s="551"/>
      <c r="D180" s="551"/>
      <c r="E180" s="551"/>
      <c r="F180" s="551"/>
      <c r="G180" s="551"/>
      <c r="H180" s="551"/>
      <c r="I180" s="551"/>
      <c r="J180" s="551"/>
      <c r="K180" s="551"/>
      <c r="L180" s="551"/>
      <c r="M180" s="551"/>
      <c r="N180" s="551"/>
      <c r="O180" s="551"/>
      <c r="P180" s="551"/>
      <c r="Q180" s="551"/>
      <c r="R180" s="551"/>
      <c r="S180" s="551"/>
      <c r="T180" s="551"/>
      <c r="U180" s="551"/>
      <c r="V180" s="551"/>
      <c r="W180" s="551"/>
      <c r="X180" s="551"/>
      <c r="Y180" s="551"/>
      <c r="Z180" s="551"/>
      <c r="AA180" s="551"/>
      <c r="AB180" s="551"/>
      <c r="AC180" s="551"/>
      <c r="AD180" s="551"/>
      <c r="AE180" s="551"/>
      <c r="AF180" s="551"/>
      <c r="AG180" s="551"/>
      <c r="AH180" s="551"/>
      <c r="AI180" s="551"/>
      <c r="AJ180" s="551"/>
      <c r="AK180" s="551"/>
      <c r="AL180" s="551"/>
      <c r="AM180" s="551"/>
      <c r="AN180" s="551"/>
      <c r="AO180" s="551"/>
      <c r="AP180" s="551"/>
      <c r="AQ180" s="551"/>
      <c r="AR180" s="551"/>
      <c r="AS180" s="551"/>
      <c r="AT180" s="551"/>
      <c r="AU180" s="551"/>
      <c r="AV180" s="551"/>
      <c r="AW180" s="551"/>
      <c r="AX180" s="551"/>
      <c r="AY180" s="551"/>
      <c r="AZ180" s="551"/>
      <c r="BA180" s="551"/>
      <c r="BB180" s="551"/>
      <c r="BC180" s="551"/>
      <c r="BD180" s="551"/>
      <c r="BE180" s="551"/>
      <c r="BF180" s="551"/>
    </row>
    <row r="181" spans="1:58" ht="12.75" customHeight="1">
      <c r="A181" s="551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1"/>
      <c r="P181" s="551"/>
      <c r="Q181" s="551"/>
      <c r="R181" s="551"/>
      <c r="S181" s="551"/>
      <c r="T181" s="551"/>
      <c r="U181" s="551"/>
      <c r="V181" s="551"/>
      <c r="W181" s="551"/>
      <c r="X181" s="551"/>
      <c r="Y181" s="551"/>
      <c r="Z181" s="551"/>
      <c r="AA181" s="551"/>
      <c r="AB181" s="551"/>
      <c r="AC181" s="551"/>
      <c r="AD181" s="551"/>
      <c r="AE181" s="551"/>
      <c r="AF181" s="551"/>
      <c r="AG181" s="551"/>
      <c r="AH181" s="551"/>
      <c r="AI181" s="551"/>
      <c r="AJ181" s="551"/>
      <c r="AK181" s="551"/>
      <c r="AL181" s="551"/>
      <c r="AM181" s="551"/>
      <c r="AN181" s="551"/>
      <c r="AO181" s="551"/>
      <c r="AP181" s="551"/>
      <c r="AQ181" s="551"/>
      <c r="AR181" s="551"/>
      <c r="AS181" s="551"/>
      <c r="AT181" s="551"/>
      <c r="AU181" s="551"/>
      <c r="AV181" s="551"/>
      <c r="AW181" s="551"/>
      <c r="AX181" s="551"/>
      <c r="AY181" s="551"/>
      <c r="AZ181" s="551"/>
      <c r="BA181" s="551"/>
      <c r="BB181" s="551"/>
      <c r="BC181" s="551"/>
      <c r="BD181" s="551"/>
      <c r="BE181" s="551"/>
      <c r="BF181" s="551"/>
    </row>
    <row r="182" spans="1:58" ht="12.75" customHeight="1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1"/>
      <c r="P182" s="551"/>
      <c r="Q182" s="551"/>
      <c r="R182" s="551"/>
      <c r="S182" s="551"/>
      <c r="T182" s="551"/>
      <c r="U182" s="551"/>
      <c r="V182" s="551"/>
      <c r="W182" s="551"/>
      <c r="X182" s="551"/>
      <c r="Y182" s="551"/>
      <c r="Z182" s="551"/>
      <c r="AA182" s="551"/>
      <c r="AB182" s="551"/>
      <c r="AC182" s="551"/>
      <c r="AD182" s="551"/>
      <c r="AE182" s="551"/>
      <c r="AF182" s="551"/>
      <c r="AG182" s="551"/>
      <c r="AH182" s="551"/>
      <c r="AI182" s="551"/>
      <c r="AJ182" s="551"/>
      <c r="AK182" s="551"/>
      <c r="AL182" s="551"/>
      <c r="AM182" s="551"/>
      <c r="AN182" s="551"/>
      <c r="AO182" s="551"/>
      <c r="AP182" s="551"/>
      <c r="AQ182" s="551"/>
      <c r="AR182" s="551"/>
      <c r="AS182" s="551"/>
      <c r="AT182" s="551"/>
      <c r="AU182" s="551"/>
      <c r="AV182" s="551"/>
      <c r="AW182" s="551"/>
      <c r="AX182" s="551"/>
      <c r="AY182" s="551"/>
      <c r="AZ182" s="551"/>
      <c r="BA182" s="551"/>
      <c r="BB182" s="551"/>
      <c r="BC182" s="551"/>
      <c r="BD182" s="551"/>
      <c r="BE182" s="551"/>
      <c r="BF182" s="551"/>
    </row>
    <row r="183" spans="1:58" ht="12.75" customHeight="1">
      <c r="A183" s="551"/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51"/>
      <c r="AB183" s="551"/>
      <c r="AC183" s="551"/>
      <c r="AD183" s="551"/>
      <c r="AE183" s="551"/>
      <c r="AF183" s="551"/>
      <c r="AG183" s="551"/>
      <c r="AH183" s="551"/>
      <c r="AI183" s="551"/>
      <c r="AJ183" s="551"/>
      <c r="AK183" s="551"/>
      <c r="AL183" s="551"/>
      <c r="AM183" s="551"/>
      <c r="AN183" s="551"/>
      <c r="AO183" s="551"/>
      <c r="AP183" s="551"/>
      <c r="AQ183" s="551"/>
      <c r="AR183" s="551"/>
      <c r="AS183" s="551"/>
      <c r="AT183" s="551"/>
      <c r="AU183" s="551"/>
      <c r="AV183" s="551"/>
      <c r="AW183" s="551"/>
      <c r="AX183" s="551"/>
      <c r="AY183" s="551"/>
      <c r="AZ183" s="551"/>
      <c r="BA183" s="551"/>
      <c r="BB183" s="551"/>
      <c r="BC183" s="551"/>
      <c r="BD183" s="551"/>
      <c r="BE183" s="551"/>
      <c r="BF183" s="551"/>
    </row>
    <row r="184" spans="1:58" ht="12.75" customHeight="1">
      <c r="A184" s="551"/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51"/>
      <c r="AB184" s="551"/>
      <c r="AC184" s="551"/>
      <c r="AD184" s="551"/>
      <c r="AE184" s="551"/>
      <c r="AF184" s="551"/>
      <c r="AG184" s="551"/>
      <c r="AH184" s="551"/>
      <c r="AI184" s="551"/>
      <c r="AJ184" s="551"/>
      <c r="AK184" s="551"/>
      <c r="AL184" s="551"/>
      <c r="AM184" s="551"/>
      <c r="AN184" s="551"/>
      <c r="AO184" s="551"/>
      <c r="AP184" s="551"/>
      <c r="AQ184" s="551"/>
      <c r="AR184" s="551"/>
      <c r="AS184" s="551"/>
      <c r="AT184" s="551"/>
      <c r="AU184" s="551"/>
      <c r="AV184" s="551"/>
      <c r="AW184" s="551"/>
      <c r="AX184" s="551"/>
      <c r="AY184" s="551"/>
      <c r="AZ184" s="551"/>
      <c r="BA184" s="551"/>
      <c r="BB184" s="551"/>
      <c r="BC184" s="551"/>
      <c r="BD184" s="551"/>
      <c r="BE184" s="551"/>
      <c r="BF184" s="551"/>
    </row>
    <row r="185" spans="1:58" ht="12.75" customHeight="1">
      <c r="A185" s="551"/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1"/>
      <c r="M185" s="551"/>
      <c r="N185" s="551"/>
      <c r="O185" s="551"/>
      <c r="P185" s="551"/>
      <c r="Q185" s="551"/>
      <c r="R185" s="551"/>
      <c r="S185" s="551"/>
      <c r="T185" s="551"/>
      <c r="U185" s="551"/>
      <c r="V185" s="551"/>
      <c r="W185" s="551"/>
      <c r="X185" s="551"/>
      <c r="Y185" s="551"/>
      <c r="Z185" s="551"/>
      <c r="AA185" s="551"/>
      <c r="AB185" s="551"/>
      <c r="AC185" s="551"/>
      <c r="AD185" s="551"/>
      <c r="AE185" s="551"/>
      <c r="AF185" s="551"/>
      <c r="AG185" s="551"/>
      <c r="AH185" s="551"/>
      <c r="AI185" s="551"/>
      <c r="AJ185" s="551"/>
      <c r="AK185" s="551"/>
      <c r="AL185" s="551"/>
      <c r="AM185" s="551"/>
      <c r="AN185" s="551"/>
      <c r="AO185" s="551"/>
      <c r="AP185" s="551"/>
      <c r="AQ185" s="551"/>
      <c r="AR185" s="551"/>
      <c r="AS185" s="551"/>
      <c r="AT185" s="551"/>
      <c r="AU185" s="551"/>
      <c r="AV185" s="551"/>
      <c r="AW185" s="551"/>
      <c r="AX185" s="551"/>
      <c r="AY185" s="551"/>
      <c r="AZ185" s="551"/>
      <c r="BA185" s="551"/>
      <c r="BB185" s="551"/>
      <c r="BC185" s="551"/>
      <c r="BD185" s="551"/>
      <c r="BE185" s="551"/>
      <c r="BF185" s="551"/>
    </row>
    <row r="186" spans="1:58" ht="12.75" customHeight="1">
      <c r="A186" s="551"/>
      <c r="B186" s="551"/>
      <c r="C186" s="551"/>
      <c r="D186" s="551"/>
      <c r="E186" s="551"/>
      <c r="F186" s="551"/>
      <c r="G186" s="551"/>
      <c r="H186" s="551"/>
      <c r="I186" s="551"/>
      <c r="J186" s="551"/>
      <c r="K186" s="551"/>
      <c r="L186" s="551"/>
      <c r="M186" s="551"/>
      <c r="N186" s="551"/>
      <c r="O186" s="551"/>
      <c r="P186" s="551"/>
      <c r="Q186" s="551"/>
      <c r="R186" s="551"/>
      <c r="S186" s="551"/>
      <c r="T186" s="551"/>
      <c r="U186" s="551"/>
      <c r="V186" s="551"/>
      <c r="W186" s="551"/>
      <c r="X186" s="551"/>
      <c r="Y186" s="551"/>
      <c r="Z186" s="551"/>
      <c r="AA186" s="551"/>
      <c r="AB186" s="551"/>
      <c r="AC186" s="551"/>
      <c r="AD186" s="551"/>
      <c r="AE186" s="551"/>
      <c r="AF186" s="551"/>
      <c r="AG186" s="551"/>
      <c r="AH186" s="551"/>
      <c r="AI186" s="551"/>
      <c r="AJ186" s="551"/>
      <c r="AK186" s="551"/>
      <c r="AL186" s="551"/>
      <c r="AM186" s="551"/>
      <c r="AN186" s="551"/>
      <c r="AO186" s="551"/>
      <c r="AP186" s="551"/>
      <c r="AQ186" s="551"/>
      <c r="AR186" s="551"/>
      <c r="AS186" s="551"/>
      <c r="AT186" s="551"/>
      <c r="AU186" s="551"/>
      <c r="AV186" s="551"/>
      <c r="AW186" s="551"/>
      <c r="AX186" s="551"/>
      <c r="AY186" s="551"/>
      <c r="AZ186" s="551"/>
      <c r="BA186" s="551"/>
      <c r="BB186" s="551"/>
      <c r="BC186" s="551"/>
      <c r="BD186" s="551"/>
      <c r="BE186" s="551"/>
      <c r="BF186" s="551"/>
    </row>
    <row r="187" spans="1:58" ht="12.75" customHeight="1">
      <c r="A187" s="551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1"/>
      <c r="P187" s="551"/>
      <c r="Q187" s="551"/>
      <c r="R187" s="551"/>
      <c r="S187" s="551"/>
      <c r="T187" s="551"/>
      <c r="U187" s="551"/>
      <c r="V187" s="551"/>
      <c r="W187" s="551"/>
      <c r="X187" s="551"/>
      <c r="Y187" s="551"/>
      <c r="Z187" s="551"/>
      <c r="AA187" s="551"/>
      <c r="AB187" s="551"/>
      <c r="AC187" s="551"/>
      <c r="AD187" s="551"/>
      <c r="AE187" s="551"/>
      <c r="AF187" s="551"/>
      <c r="AG187" s="551"/>
      <c r="AH187" s="551"/>
      <c r="AI187" s="551"/>
      <c r="AJ187" s="551"/>
      <c r="AK187" s="551"/>
      <c r="AL187" s="551"/>
      <c r="AM187" s="551"/>
      <c r="AN187" s="551"/>
      <c r="AO187" s="551"/>
      <c r="AP187" s="551"/>
      <c r="AQ187" s="551"/>
      <c r="AR187" s="551"/>
      <c r="AS187" s="551"/>
      <c r="AT187" s="551"/>
      <c r="AU187" s="551"/>
      <c r="AV187" s="551"/>
      <c r="AW187" s="551"/>
      <c r="AX187" s="551"/>
      <c r="AY187" s="551"/>
      <c r="AZ187" s="551"/>
      <c r="BA187" s="551"/>
      <c r="BB187" s="551"/>
      <c r="BC187" s="551"/>
      <c r="BD187" s="551"/>
      <c r="BE187" s="551"/>
      <c r="BF187" s="551"/>
    </row>
    <row r="188" spans="1:58" ht="12.75" customHeight="1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1"/>
      <c r="P188" s="551"/>
      <c r="Q188" s="551"/>
      <c r="R188" s="551"/>
      <c r="S188" s="551"/>
      <c r="T188" s="551"/>
      <c r="U188" s="551"/>
      <c r="V188" s="551"/>
      <c r="W188" s="551"/>
      <c r="X188" s="551"/>
      <c r="Y188" s="551"/>
      <c r="Z188" s="551"/>
      <c r="AA188" s="551"/>
      <c r="AB188" s="551"/>
      <c r="AC188" s="551"/>
      <c r="AD188" s="551"/>
      <c r="AE188" s="551"/>
      <c r="AF188" s="551"/>
      <c r="AG188" s="551"/>
      <c r="AH188" s="551"/>
      <c r="AI188" s="551"/>
      <c r="AJ188" s="551"/>
      <c r="AK188" s="551"/>
      <c r="AL188" s="551"/>
      <c r="AM188" s="551"/>
      <c r="AN188" s="551"/>
      <c r="AO188" s="551"/>
      <c r="AP188" s="551"/>
      <c r="AQ188" s="551"/>
      <c r="AR188" s="551"/>
      <c r="AS188" s="551"/>
      <c r="AT188" s="551"/>
      <c r="AU188" s="551"/>
      <c r="AV188" s="551"/>
      <c r="AW188" s="551"/>
      <c r="AX188" s="551"/>
      <c r="AY188" s="551"/>
      <c r="AZ188" s="551"/>
      <c r="BA188" s="551"/>
      <c r="BB188" s="551"/>
      <c r="BC188" s="551"/>
      <c r="BD188" s="551"/>
      <c r="BE188" s="551"/>
      <c r="BF188" s="551"/>
    </row>
    <row r="189" spans="1:58" ht="12.75" customHeight="1">
      <c r="A189" s="551"/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51"/>
      <c r="AB189" s="551"/>
      <c r="AC189" s="551"/>
      <c r="AD189" s="551"/>
      <c r="AE189" s="551"/>
      <c r="AF189" s="551"/>
      <c r="AG189" s="551"/>
      <c r="AH189" s="551"/>
      <c r="AI189" s="551"/>
      <c r="AJ189" s="551"/>
      <c r="AK189" s="551"/>
      <c r="AL189" s="551"/>
      <c r="AM189" s="551"/>
      <c r="AN189" s="551"/>
      <c r="AO189" s="551"/>
      <c r="AP189" s="551"/>
      <c r="AQ189" s="551"/>
      <c r="AR189" s="551"/>
      <c r="AS189" s="551"/>
      <c r="AT189" s="551"/>
      <c r="AU189" s="551"/>
      <c r="AV189" s="551"/>
      <c r="AW189" s="551"/>
      <c r="AX189" s="551"/>
      <c r="AY189" s="551"/>
      <c r="AZ189" s="551"/>
      <c r="BA189" s="551"/>
      <c r="BB189" s="551"/>
      <c r="BC189" s="551"/>
      <c r="BD189" s="551"/>
      <c r="BE189" s="551"/>
      <c r="BF189" s="551"/>
    </row>
    <row r="190" spans="1:58" ht="12.75" customHeight="1">
      <c r="A190" s="551"/>
      <c r="B190" s="551"/>
      <c r="C190" s="551"/>
      <c r="D190" s="551"/>
      <c r="E190" s="551"/>
      <c r="F190" s="551"/>
      <c r="G190" s="551"/>
      <c r="H190" s="551"/>
      <c r="I190" s="551"/>
      <c r="J190" s="551"/>
      <c r="K190" s="551"/>
      <c r="L190" s="551"/>
      <c r="M190" s="551"/>
      <c r="N190" s="551"/>
      <c r="O190" s="551"/>
      <c r="P190" s="551"/>
      <c r="Q190" s="551"/>
      <c r="R190" s="551"/>
      <c r="S190" s="551"/>
      <c r="T190" s="551"/>
      <c r="U190" s="551"/>
      <c r="V190" s="551"/>
      <c r="W190" s="551"/>
      <c r="X190" s="551"/>
      <c r="Y190" s="551"/>
      <c r="Z190" s="551"/>
      <c r="AA190" s="551"/>
      <c r="AB190" s="551"/>
      <c r="AC190" s="551"/>
      <c r="AD190" s="551"/>
      <c r="AE190" s="551"/>
      <c r="AF190" s="551"/>
      <c r="AG190" s="551"/>
      <c r="AH190" s="551"/>
      <c r="AI190" s="551"/>
      <c r="AJ190" s="551"/>
      <c r="AK190" s="551"/>
      <c r="AL190" s="551"/>
      <c r="AM190" s="551"/>
      <c r="AN190" s="551"/>
      <c r="AO190" s="551"/>
      <c r="AP190" s="551"/>
      <c r="AQ190" s="551"/>
      <c r="AR190" s="551"/>
      <c r="AS190" s="551"/>
      <c r="AT190" s="551"/>
      <c r="AU190" s="551"/>
      <c r="AV190" s="551"/>
      <c r="AW190" s="551"/>
      <c r="AX190" s="551"/>
      <c r="AY190" s="551"/>
      <c r="AZ190" s="551"/>
      <c r="BA190" s="551"/>
      <c r="BB190" s="551"/>
      <c r="BC190" s="551"/>
      <c r="BD190" s="551"/>
      <c r="BE190" s="551"/>
      <c r="BF190" s="551"/>
    </row>
    <row r="191" spans="1:58" ht="12.75" customHeight="1">
      <c r="A191" s="551"/>
      <c r="B191" s="551"/>
      <c r="C191" s="551"/>
      <c r="D191" s="551"/>
      <c r="E191" s="551"/>
      <c r="F191" s="551"/>
      <c r="G191" s="551"/>
      <c r="H191" s="551"/>
      <c r="I191" s="551"/>
      <c r="J191" s="551"/>
      <c r="K191" s="551"/>
      <c r="L191" s="551"/>
      <c r="M191" s="551"/>
      <c r="N191" s="551"/>
      <c r="O191" s="551"/>
      <c r="P191" s="551"/>
      <c r="Q191" s="551"/>
      <c r="R191" s="551"/>
      <c r="S191" s="551"/>
      <c r="T191" s="551"/>
      <c r="U191" s="551"/>
      <c r="V191" s="551"/>
      <c r="W191" s="551"/>
      <c r="X191" s="551"/>
      <c r="Y191" s="551"/>
      <c r="Z191" s="551"/>
      <c r="AA191" s="551"/>
      <c r="AB191" s="551"/>
      <c r="AC191" s="551"/>
      <c r="AD191" s="551"/>
      <c r="AE191" s="551"/>
      <c r="AF191" s="551"/>
      <c r="AG191" s="551"/>
      <c r="AH191" s="551"/>
      <c r="AI191" s="551"/>
      <c r="AJ191" s="551"/>
      <c r="AK191" s="551"/>
      <c r="AL191" s="551"/>
      <c r="AM191" s="551"/>
      <c r="AN191" s="551"/>
      <c r="AO191" s="551"/>
      <c r="AP191" s="551"/>
      <c r="AQ191" s="551"/>
      <c r="AR191" s="551"/>
      <c r="AS191" s="551"/>
      <c r="AT191" s="551"/>
      <c r="AU191" s="551"/>
      <c r="AV191" s="551"/>
      <c r="AW191" s="551"/>
      <c r="AX191" s="551"/>
      <c r="AY191" s="551"/>
      <c r="AZ191" s="551"/>
      <c r="BA191" s="551"/>
      <c r="BB191" s="551"/>
      <c r="BC191" s="551"/>
      <c r="BD191" s="551"/>
      <c r="BE191" s="551"/>
      <c r="BF191" s="551"/>
    </row>
    <row r="192" spans="1:58" ht="12.75" customHeight="1">
      <c r="A192" s="551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1"/>
      <c r="P192" s="551"/>
      <c r="Q192" s="551"/>
      <c r="R192" s="551"/>
      <c r="S192" s="551"/>
      <c r="T192" s="551"/>
      <c r="U192" s="551"/>
      <c r="V192" s="551"/>
      <c r="W192" s="551"/>
      <c r="X192" s="551"/>
      <c r="Y192" s="551"/>
      <c r="Z192" s="551"/>
      <c r="AA192" s="551"/>
      <c r="AB192" s="551"/>
      <c r="AC192" s="551"/>
      <c r="AD192" s="551"/>
      <c r="AE192" s="551"/>
      <c r="AF192" s="551"/>
      <c r="AG192" s="551"/>
      <c r="AH192" s="551"/>
      <c r="AI192" s="551"/>
      <c r="AJ192" s="551"/>
      <c r="AK192" s="551"/>
      <c r="AL192" s="551"/>
      <c r="AM192" s="551"/>
      <c r="AN192" s="551"/>
      <c r="AO192" s="551"/>
      <c r="AP192" s="551"/>
      <c r="AQ192" s="551"/>
      <c r="AR192" s="551"/>
      <c r="AS192" s="551"/>
      <c r="AT192" s="551"/>
      <c r="AU192" s="551"/>
      <c r="AV192" s="551"/>
      <c r="AW192" s="551"/>
      <c r="AX192" s="551"/>
      <c r="AY192" s="551"/>
      <c r="AZ192" s="551"/>
      <c r="BA192" s="551"/>
      <c r="BB192" s="551"/>
      <c r="BC192" s="551"/>
      <c r="BD192" s="551"/>
      <c r="BE192" s="551"/>
      <c r="BF192" s="551"/>
    </row>
    <row r="193" spans="1:58" ht="12.75" customHeight="1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1"/>
      <c r="P193" s="551"/>
      <c r="Q193" s="551"/>
      <c r="R193" s="551"/>
      <c r="S193" s="551"/>
      <c r="T193" s="551"/>
      <c r="U193" s="551"/>
      <c r="V193" s="551"/>
      <c r="W193" s="551"/>
      <c r="X193" s="551"/>
      <c r="Y193" s="551"/>
      <c r="Z193" s="551"/>
      <c r="AA193" s="551"/>
      <c r="AB193" s="551"/>
      <c r="AC193" s="551"/>
      <c r="AD193" s="551"/>
      <c r="AE193" s="551"/>
      <c r="AF193" s="551"/>
      <c r="AG193" s="551"/>
      <c r="AH193" s="551"/>
      <c r="AI193" s="551"/>
      <c r="AJ193" s="551"/>
      <c r="AK193" s="551"/>
      <c r="AL193" s="551"/>
      <c r="AM193" s="551"/>
      <c r="AN193" s="551"/>
      <c r="AO193" s="551"/>
      <c r="AP193" s="551"/>
      <c r="AQ193" s="551"/>
      <c r="AR193" s="551"/>
      <c r="AS193" s="551"/>
      <c r="AT193" s="551"/>
      <c r="AU193" s="551"/>
      <c r="AV193" s="551"/>
      <c r="AW193" s="551"/>
      <c r="AX193" s="551"/>
      <c r="AY193" s="551"/>
      <c r="AZ193" s="551"/>
      <c r="BA193" s="551"/>
      <c r="BB193" s="551"/>
      <c r="BC193" s="551"/>
      <c r="BD193" s="551"/>
      <c r="BE193" s="551"/>
      <c r="BF193" s="551"/>
    </row>
    <row r="194" spans="1:58" ht="12.75" customHeight="1">
      <c r="A194" s="551"/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51"/>
      <c r="AB194" s="551"/>
      <c r="AC194" s="551"/>
      <c r="AD194" s="551"/>
      <c r="AE194" s="551"/>
      <c r="AF194" s="551"/>
      <c r="AG194" s="551"/>
      <c r="AH194" s="551"/>
      <c r="AI194" s="551"/>
      <c r="AJ194" s="551"/>
      <c r="AK194" s="551"/>
      <c r="AL194" s="551"/>
      <c r="AM194" s="551"/>
      <c r="AN194" s="551"/>
      <c r="AO194" s="551"/>
      <c r="AP194" s="551"/>
      <c r="AQ194" s="551"/>
      <c r="AR194" s="551"/>
      <c r="AS194" s="551"/>
      <c r="AT194" s="551"/>
      <c r="AU194" s="551"/>
      <c r="AV194" s="551"/>
      <c r="AW194" s="551"/>
      <c r="AX194" s="551"/>
      <c r="AY194" s="551"/>
      <c r="AZ194" s="551"/>
      <c r="BA194" s="551"/>
      <c r="BB194" s="551"/>
      <c r="BC194" s="551"/>
      <c r="BD194" s="551"/>
      <c r="BE194" s="551"/>
      <c r="BF194" s="551"/>
    </row>
    <row r="195" spans="1:58" ht="12.75" customHeight="1">
      <c r="A195" s="551"/>
      <c r="B195" s="551"/>
      <c r="C195" s="551"/>
      <c r="D195" s="551"/>
      <c r="E195" s="551"/>
      <c r="F195" s="551"/>
      <c r="G195" s="551"/>
      <c r="H195" s="551"/>
      <c r="I195" s="551"/>
      <c r="J195" s="551"/>
      <c r="K195" s="551"/>
      <c r="L195" s="551"/>
      <c r="M195" s="551"/>
      <c r="N195" s="551"/>
      <c r="O195" s="551"/>
      <c r="P195" s="551"/>
      <c r="Q195" s="551"/>
      <c r="R195" s="551"/>
      <c r="S195" s="551"/>
      <c r="T195" s="551"/>
      <c r="U195" s="551"/>
      <c r="V195" s="551"/>
      <c r="W195" s="551"/>
      <c r="X195" s="551"/>
      <c r="Y195" s="551"/>
      <c r="Z195" s="551"/>
      <c r="AA195" s="551"/>
      <c r="AB195" s="551"/>
      <c r="AC195" s="551"/>
      <c r="AD195" s="551"/>
      <c r="AE195" s="551"/>
      <c r="AF195" s="551"/>
      <c r="AG195" s="551"/>
      <c r="AH195" s="551"/>
      <c r="AI195" s="551"/>
      <c r="AJ195" s="551"/>
      <c r="AK195" s="551"/>
      <c r="AL195" s="551"/>
      <c r="AM195" s="551"/>
      <c r="AN195" s="551"/>
      <c r="AO195" s="551"/>
      <c r="AP195" s="551"/>
      <c r="AQ195" s="551"/>
      <c r="AR195" s="551"/>
      <c r="AS195" s="551"/>
      <c r="AT195" s="551"/>
      <c r="AU195" s="551"/>
      <c r="AV195" s="551"/>
      <c r="AW195" s="551"/>
      <c r="AX195" s="551"/>
      <c r="AY195" s="551"/>
      <c r="AZ195" s="551"/>
      <c r="BA195" s="551"/>
      <c r="BB195" s="551"/>
      <c r="BC195" s="551"/>
      <c r="BD195" s="551"/>
      <c r="BE195" s="551"/>
      <c r="BF195" s="551"/>
    </row>
    <row r="196" spans="1:58" ht="12.75" customHeight="1">
      <c r="A196" s="551"/>
      <c r="B196" s="551"/>
      <c r="C196" s="551"/>
      <c r="D196" s="551"/>
      <c r="E196" s="551"/>
      <c r="F196" s="551"/>
      <c r="G196" s="551"/>
      <c r="H196" s="551"/>
      <c r="I196" s="551"/>
      <c r="J196" s="551"/>
      <c r="K196" s="551"/>
      <c r="L196" s="551"/>
      <c r="M196" s="551"/>
      <c r="N196" s="551"/>
      <c r="O196" s="551"/>
      <c r="P196" s="551"/>
      <c r="Q196" s="551"/>
      <c r="R196" s="551"/>
      <c r="S196" s="551"/>
      <c r="T196" s="551"/>
      <c r="U196" s="551"/>
      <c r="V196" s="551"/>
      <c r="W196" s="551"/>
      <c r="X196" s="551"/>
      <c r="Y196" s="551"/>
      <c r="Z196" s="551"/>
      <c r="AA196" s="551"/>
      <c r="AB196" s="551"/>
      <c r="AC196" s="551"/>
      <c r="AD196" s="551"/>
      <c r="AE196" s="551"/>
      <c r="AF196" s="551"/>
      <c r="AG196" s="551"/>
      <c r="AH196" s="551"/>
      <c r="AI196" s="551"/>
      <c r="AJ196" s="551"/>
      <c r="AK196" s="551"/>
      <c r="AL196" s="551"/>
      <c r="AM196" s="551"/>
      <c r="AN196" s="551"/>
      <c r="AO196" s="551"/>
      <c r="AP196" s="551"/>
      <c r="AQ196" s="551"/>
      <c r="AR196" s="551"/>
      <c r="AS196" s="551"/>
      <c r="AT196" s="551"/>
      <c r="AU196" s="551"/>
      <c r="AV196" s="551"/>
      <c r="AW196" s="551"/>
      <c r="AX196" s="551"/>
      <c r="AY196" s="551"/>
      <c r="AZ196" s="551"/>
      <c r="BA196" s="551"/>
      <c r="BB196" s="551"/>
      <c r="BC196" s="551"/>
      <c r="BD196" s="551"/>
      <c r="BE196" s="551"/>
      <c r="BF196" s="551"/>
    </row>
    <row r="197" spans="1:58" ht="12.75" customHeight="1">
      <c r="A197" s="551"/>
      <c r="B197" s="551"/>
      <c r="C197" s="551"/>
      <c r="D197" s="551"/>
      <c r="E197" s="551"/>
      <c r="F197" s="551"/>
      <c r="G197" s="551"/>
      <c r="H197" s="551"/>
      <c r="I197" s="551"/>
      <c r="J197" s="551"/>
      <c r="K197" s="551"/>
      <c r="L197" s="551"/>
      <c r="M197" s="551"/>
      <c r="N197" s="551"/>
      <c r="O197" s="551"/>
      <c r="P197" s="551"/>
      <c r="Q197" s="551"/>
      <c r="R197" s="551"/>
      <c r="S197" s="551"/>
      <c r="T197" s="551"/>
      <c r="U197" s="551"/>
      <c r="V197" s="551"/>
      <c r="W197" s="551"/>
      <c r="X197" s="551"/>
      <c r="Y197" s="551"/>
      <c r="Z197" s="551"/>
      <c r="AA197" s="551"/>
      <c r="AB197" s="551"/>
      <c r="AC197" s="551"/>
      <c r="AD197" s="551"/>
      <c r="AE197" s="551"/>
      <c r="AF197" s="551"/>
      <c r="AG197" s="551"/>
      <c r="AH197" s="551"/>
      <c r="AI197" s="551"/>
      <c r="AJ197" s="551"/>
      <c r="AK197" s="551"/>
      <c r="AL197" s="551"/>
      <c r="AM197" s="551"/>
      <c r="AN197" s="551"/>
      <c r="AO197" s="551"/>
      <c r="AP197" s="551"/>
      <c r="AQ197" s="551"/>
      <c r="AR197" s="551"/>
      <c r="AS197" s="551"/>
      <c r="AT197" s="551"/>
      <c r="AU197" s="551"/>
      <c r="AV197" s="551"/>
      <c r="AW197" s="551"/>
      <c r="AX197" s="551"/>
      <c r="AY197" s="551"/>
      <c r="AZ197" s="551"/>
      <c r="BA197" s="551"/>
      <c r="BB197" s="551"/>
      <c r="BC197" s="551"/>
      <c r="BD197" s="551"/>
      <c r="BE197" s="551"/>
      <c r="BF197" s="551"/>
    </row>
    <row r="198" spans="1:58" ht="12.75" customHeight="1">
      <c r="A198" s="551"/>
      <c r="B198" s="551"/>
      <c r="C198" s="551"/>
      <c r="D198" s="551"/>
      <c r="E198" s="551"/>
      <c r="F198" s="551"/>
      <c r="G198" s="551"/>
      <c r="H198" s="551"/>
      <c r="I198" s="551"/>
      <c r="J198" s="551"/>
      <c r="K198" s="551"/>
      <c r="L198" s="551"/>
      <c r="M198" s="551"/>
      <c r="N198" s="551"/>
      <c r="O198" s="551"/>
      <c r="P198" s="551"/>
      <c r="Q198" s="551"/>
      <c r="R198" s="551"/>
      <c r="S198" s="551"/>
      <c r="T198" s="551"/>
      <c r="U198" s="551"/>
      <c r="V198" s="551"/>
      <c r="W198" s="551"/>
      <c r="X198" s="551"/>
      <c r="Y198" s="551"/>
      <c r="Z198" s="551"/>
      <c r="AA198" s="551"/>
      <c r="AB198" s="551"/>
      <c r="AC198" s="551"/>
      <c r="AD198" s="551"/>
      <c r="AE198" s="551"/>
      <c r="AF198" s="551"/>
      <c r="AG198" s="551"/>
      <c r="AH198" s="551"/>
      <c r="AI198" s="551"/>
      <c r="AJ198" s="551"/>
      <c r="AK198" s="551"/>
      <c r="AL198" s="551"/>
      <c r="AM198" s="551"/>
      <c r="AN198" s="551"/>
      <c r="AO198" s="551"/>
      <c r="AP198" s="551"/>
      <c r="AQ198" s="551"/>
      <c r="AR198" s="551"/>
      <c r="AS198" s="551"/>
      <c r="AT198" s="551"/>
      <c r="AU198" s="551"/>
      <c r="AV198" s="551"/>
      <c r="AW198" s="551"/>
      <c r="AX198" s="551"/>
      <c r="AY198" s="551"/>
      <c r="AZ198" s="551"/>
      <c r="BA198" s="551"/>
      <c r="BB198" s="551"/>
      <c r="BC198" s="551"/>
      <c r="BD198" s="551"/>
      <c r="BE198" s="551"/>
      <c r="BF198" s="551"/>
    </row>
    <row r="199" spans="1:58" ht="12.75" customHeight="1">
      <c r="A199" s="551"/>
      <c r="B199" s="551"/>
      <c r="C199" s="551"/>
      <c r="D199" s="551"/>
      <c r="E199" s="551"/>
      <c r="F199" s="551"/>
      <c r="G199" s="551"/>
      <c r="H199" s="551"/>
      <c r="I199" s="551"/>
      <c r="J199" s="551"/>
      <c r="K199" s="551"/>
      <c r="L199" s="551"/>
      <c r="M199" s="551"/>
      <c r="N199" s="551"/>
      <c r="O199" s="551"/>
      <c r="P199" s="551"/>
      <c r="Q199" s="551"/>
      <c r="R199" s="551"/>
      <c r="S199" s="551"/>
      <c r="T199" s="551"/>
      <c r="U199" s="551"/>
      <c r="V199" s="551"/>
      <c r="W199" s="551"/>
      <c r="X199" s="551"/>
      <c r="Y199" s="551"/>
      <c r="Z199" s="551"/>
      <c r="AA199" s="551"/>
      <c r="AB199" s="551"/>
      <c r="AC199" s="551"/>
      <c r="AD199" s="551"/>
      <c r="AE199" s="551"/>
      <c r="AF199" s="551"/>
      <c r="AG199" s="551"/>
      <c r="AH199" s="551"/>
      <c r="AI199" s="551"/>
      <c r="AJ199" s="551"/>
      <c r="AK199" s="551"/>
      <c r="AL199" s="551"/>
      <c r="AM199" s="551"/>
      <c r="AN199" s="551"/>
      <c r="AO199" s="551"/>
      <c r="AP199" s="551"/>
      <c r="AQ199" s="551"/>
      <c r="AR199" s="551"/>
      <c r="AS199" s="551"/>
      <c r="AT199" s="551"/>
      <c r="AU199" s="551"/>
      <c r="AV199" s="551"/>
      <c r="AW199" s="551"/>
      <c r="AX199" s="551"/>
      <c r="AY199" s="551"/>
      <c r="AZ199" s="551"/>
      <c r="BA199" s="551"/>
      <c r="BB199" s="551"/>
      <c r="BC199" s="551"/>
      <c r="BD199" s="551"/>
      <c r="BE199" s="551"/>
      <c r="BF199" s="551"/>
    </row>
    <row r="200" spans="1:58" ht="12.75" customHeight="1">
      <c r="A200" s="551"/>
      <c r="B200" s="551"/>
      <c r="C200" s="551"/>
      <c r="D200" s="551"/>
      <c r="E200" s="551"/>
      <c r="F200" s="551"/>
      <c r="G200" s="551"/>
      <c r="H200" s="551"/>
      <c r="I200" s="551"/>
      <c r="J200" s="551"/>
      <c r="K200" s="551"/>
      <c r="L200" s="551"/>
      <c r="M200" s="551"/>
      <c r="N200" s="551"/>
      <c r="O200" s="551"/>
      <c r="P200" s="551"/>
      <c r="Q200" s="551"/>
      <c r="R200" s="551"/>
      <c r="S200" s="551"/>
      <c r="T200" s="551"/>
      <c r="U200" s="551"/>
      <c r="V200" s="551"/>
      <c r="W200" s="551"/>
      <c r="X200" s="551"/>
      <c r="Y200" s="551"/>
      <c r="Z200" s="551"/>
      <c r="AA200" s="551"/>
      <c r="AB200" s="551"/>
      <c r="AC200" s="551"/>
      <c r="AD200" s="551"/>
      <c r="AE200" s="551"/>
      <c r="AF200" s="551"/>
      <c r="AG200" s="551"/>
      <c r="AH200" s="551"/>
      <c r="AI200" s="551"/>
      <c r="AJ200" s="551"/>
      <c r="AK200" s="551"/>
      <c r="AL200" s="551"/>
      <c r="AM200" s="551"/>
      <c r="AN200" s="551"/>
      <c r="AO200" s="551"/>
      <c r="AP200" s="551"/>
      <c r="AQ200" s="551"/>
      <c r="AR200" s="551"/>
      <c r="AS200" s="551"/>
      <c r="AT200" s="551"/>
      <c r="AU200" s="551"/>
      <c r="AV200" s="551"/>
      <c r="AW200" s="551"/>
      <c r="AX200" s="551"/>
      <c r="AY200" s="551"/>
      <c r="AZ200" s="551"/>
      <c r="BA200" s="551"/>
      <c r="BB200" s="551"/>
      <c r="BC200" s="551"/>
      <c r="BD200" s="551"/>
      <c r="BE200" s="551"/>
      <c r="BF200" s="551"/>
    </row>
    <row r="201" spans="1:58" ht="12.75" customHeight="1">
      <c r="A201" s="551"/>
      <c r="B201" s="551"/>
      <c r="C201" s="551"/>
      <c r="D201" s="551"/>
      <c r="E201" s="551"/>
      <c r="F201" s="551"/>
      <c r="G201" s="551"/>
      <c r="H201" s="551"/>
      <c r="I201" s="551"/>
      <c r="J201" s="551"/>
      <c r="K201" s="551"/>
      <c r="L201" s="551"/>
      <c r="M201" s="551"/>
      <c r="N201" s="551"/>
      <c r="O201" s="551"/>
      <c r="P201" s="551"/>
      <c r="Q201" s="551"/>
      <c r="R201" s="551"/>
      <c r="S201" s="551"/>
      <c r="T201" s="551"/>
      <c r="U201" s="551"/>
      <c r="V201" s="551"/>
      <c r="W201" s="551"/>
      <c r="X201" s="551"/>
      <c r="Y201" s="551"/>
      <c r="Z201" s="551"/>
      <c r="AA201" s="551"/>
      <c r="AB201" s="551"/>
      <c r="AC201" s="551"/>
      <c r="AD201" s="551"/>
      <c r="AE201" s="551"/>
      <c r="AF201" s="551"/>
      <c r="AG201" s="551"/>
      <c r="AH201" s="551"/>
      <c r="AI201" s="551"/>
      <c r="AJ201" s="551"/>
      <c r="AK201" s="551"/>
      <c r="AL201" s="551"/>
      <c r="AM201" s="551"/>
      <c r="AN201" s="551"/>
      <c r="AO201" s="551"/>
      <c r="AP201" s="551"/>
      <c r="AQ201" s="551"/>
      <c r="AR201" s="551"/>
      <c r="AS201" s="551"/>
      <c r="AT201" s="551"/>
      <c r="AU201" s="551"/>
      <c r="AV201" s="551"/>
      <c r="AW201" s="551"/>
      <c r="AX201" s="551"/>
      <c r="AY201" s="551"/>
      <c r="AZ201" s="551"/>
      <c r="BA201" s="551"/>
      <c r="BB201" s="551"/>
      <c r="BC201" s="551"/>
      <c r="BD201" s="551"/>
      <c r="BE201" s="551"/>
      <c r="BF201" s="551"/>
    </row>
    <row r="202" spans="1:58" ht="12.75" customHeight="1">
      <c r="A202" s="551"/>
      <c r="B202" s="551"/>
      <c r="C202" s="551"/>
      <c r="D202" s="551"/>
      <c r="E202" s="551"/>
      <c r="F202" s="551"/>
      <c r="G202" s="551"/>
      <c r="H202" s="551"/>
      <c r="I202" s="551"/>
      <c r="J202" s="551"/>
      <c r="K202" s="551"/>
      <c r="L202" s="551"/>
      <c r="M202" s="551"/>
      <c r="N202" s="551"/>
      <c r="O202" s="551"/>
      <c r="P202" s="551"/>
      <c r="Q202" s="551"/>
      <c r="R202" s="551"/>
      <c r="S202" s="551"/>
      <c r="T202" s="551"/>
      <c r="U202" s="551"/>
      <c r="V202" s="551"/>
      <c r="W202" s="551"/>
      <c r="X202" s="551"/>
      <c r="Y202" s="551"/>
      <c r="Z202" s="551"/>
      <c r="AA202" s="551"/>
      <c r="AB202" s="551"/>
      <c r="AC202" s="551"/>
      <c r="AD202" s="551"/>
      <c r="AE202" s="551"/>
      <c r="AF202" s="551"/>
      <c r="AG202" s="551"/>
      <c r="AH202" s="551"/>
      <c r="AI202" s="551"/>
      <c r="AJ202" s="551"/>
      <c r="AK202" s="551"/>
      <c r="AL202" s="551"/>
      <c r="AM202" s="551"/>
      <c r="AN202" s="551"/>
      <c r="AO202" s="551"/>
      <c r="AP202" s="551"/>
      <c r="AQ202" s="551"/>
      <c r="AR202" s="551"/>
      <c r="AS202" s="551"/>
      <c r="AT202" s="551"/>
      <c r="AU202" s="551"/>
      <c r="AV202" s="551"/>
      <c r="AW202" s="551"/>
      <c r="AX202" s="551"/>
      <c r="AY202" s="551"/>
      <c r="AZ202" s="551"/>
      <c r="BA202" s="551"/>
      <c r="BB202" s="551"/>
      <c r="BC202" s="551"/>
      <c r="BD202" s="551"/>
      <c r="BE202" s="551"/>
      <c r="BF202" s="551"/>
    </row>
    <row r="203" spans="1:58" ht="12.75" customHeight="1">
      <c r="A203" s="551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1"/>
      <c r="P203" s="551"/>
      <c r="Q203" s="551"/>
      <c r="R203" s="551"/>
      <c r="S203" s="551"/>
      <c r="T203" s="551"/>
      <c r="U203" s="551"/>
      <c r="V203" s="551"/>
      <c r="W203" s="551"/>
      <c r="X203" s="551"/>
      <c r="Y203" s="551"/>
      <c r="Z203" s="551"/>
      <c r="AA203" s="551"/>
      <c r="AB203" s="551"/>
      <c r="AC203" s="551"/>
      <c r="AD203" s="551"/>
      <c r="AE203" s="551"/>
      <c r="AF203" s="551"/>
      <c r="AG203" s="551"/>
      <c r="AH203" s="551"/>
      <c r="AI203" s="551"/>
      <c r="AJ203" s="551"/>
      <c r="AK203" s="551"/>
      <c r="AL203" s="551"/>
      <c r="AM203" s="551"/>
      <c r="AN203" s="551"/>
      <c r="AO203" s="551"/>
      <c r="AP203" s="551"/>
      <c r="AQ203" s="551"/>
      <c r="AR203" s="551"/>
      <c r="AS203" s="551"/>
      <c r="AT203" s="551"/>
      <c r="AU203" s="551"/>
      <c r="AV203" s="551"/>
      <c r="AW203" s="551"/>
      <c r="AX203" s="551"/>
      <c r="AY203" s="551"/>
      <c r="AZ203" s="551"/>
      <c r="BA203" s="551"/>
      <c r="BB203" s="551"/>
      <c r="BC203" s="551"/>
      <c r="BD203" s="551"/>
      <c r="BE203" s="551"/>
      <c r="BF203" s="551"/>
    </row>
    <row r="204" spans="1:58" ht="12.75" customHeight="1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1"/>
      <c r="P204" s="551"/>
      <c r="Q204" s="551"/>
      <c r="R204" s="551"/>
      <c r="S204" s="551"/>
      <c r="T204" s="551"/>
      <c r="U204" s="551"/>
      <c r="V204" s="551"/>
      <c r="W204" s="551"/>
      <c r="X204" s="551"/>
      <c r="Y204" s="551"/>
      <c r="Z204" s="551"/>
      <c r="AA204" s="551"/>
      <c r="AB204" s="551"/>
      <c r="AC204" s="551"/>
      <c r="AD204" s="551"/>
      <c r="AE204" s="551"/>
      <c r="AF204" s="551"/>
      <c r="AG204" s="551"/>
      <c r="AH204" s="551"/>
      <c r="AI204" s="551"/>
      <c r="AJ204" s="551"/>
      <c r="AK204" s="551"/>
      <c r="AL204" s="551"/>
      <c r="AM204" s="551"/>
      <c r="AN204" s="551"/>
      <c r="AO204" s="551"/>
      <c r="AP204" s="551"/>
      <c r="AQ204" s="551"/>
      <c r="AR204" s="551"/>
      <c r="AS204" s="551"/>
      <c r="AT204" s="551"/>
      <c r="AU204" s="551"/>
      <c r="AV204" s="551"/>
      <c r="AW204" s="551"/>
      <c r="AX204" s="551"/>
      <c r="AY204" s="551"/>
      <c r="AZ204" s="551"/>
      <c r="BA204" s="551"/>
      <c r="BB204" s="551"/>
      <c r="BC204" s="551"/>
      <c r="BD204" s="551"/>
      <c r="BE204" s="551"/>
      <c r="BF204" s="551"/>
    </row>
    <row r="205" spans="1:58" ht="12.75" customHeight="1">
      <c r="A205" s="551"/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51"/>
      <c r="AB205" s="551"/>
      <c r="AC205" s="551"/>
      <c r="AD205" s="551"/>
      <c r="AE205" s="551"/>
      <c r="AF205" s="551"/>
      <c r="AG205" s="551"/>
      <c r="AH205" s="551"/>
      <c r="AI205" s="551"/>
      <c r="AJ205" s="551"/>
      <c r="AK205" s="551"/>
      <c r="AL205" s="551"/>
      <c r="AM205" s="551"/>
      <c r="AN205" s="551"/>
      <c r="AO205" s="551"/>
      <c r="AP205" s="551"/>
      <c r="AQ205" s="551"/>
      <c r="AR205" s="551"/>
      <c r="AS205" s="551"/>
      <c r="AT205" s="551"/>
      <c r="AU205" s="551"/>
      <c r="AV205" s="551"/>
      <c r="AW205" s="551"/>
      <c r="AX205" s="551"/>
      <c r="AY205" s="551"/>
      <c r="AZ205" s="551"/>
      <c r="BA205" s="551"/>
      <c r="BB205" s="551"/>
      <c r="BC205" s="551"/>
      <c r="BD205" s="551"/>
      <c r="BE205" s="551"/>
      <c r="BF205" s="551"/>
    </row>
    <row r="206" spans="1:58" ht="12.75" customHeight="1">
      <c r="A206" s="551"/>
      <c r="B206" s="551"/>
      <c r="C206" s="551"/>
      <c r="D206" s="551"/>
      <c r="E206" s="551"/>
      <c r="F206" s="551"/>
      <c r="G206" s="551"/>
      <c r="H206" s="551"/>
      <c r="I206" s="551"/>
      <c r="J206" s="551"/>
      <c r="K206" s="551"/>
      <c r="L206" s="551"/>
      <c r="M206" s="551"/>
      <c r="N206" s="551"/>
      <c r="O206" s="551"/>
      <c r="P206" s="551"/>
      <c r="Q206" s="551"/>
      <c r="R206" s="551"/>
      <c r="S206" s="551"/>
      <c r="T206" s="551"/>
      <c r="U206" s="551"/>
      <c r="V206" s="551"/>
      <c r="W206" s="551"/>
      <c r="X206" s="551"/>
      <c r="Y206" s="551"/>
      <c r="Z206" s="551"/>
      <c r="AA206" s="551"/>
      <c r="AB206" s="551"/>
      <c r="AC206" s="551"/>
      <c r="AD206" s="551"/>
      <c r="AE206" s="551"/>
      <c r="AF206" s="551"/>
      <c r="AG206" s="551"/>
      <c r="AH206" s="551"/>
      <c r="AI206" s="551"/>
      <c r="AJ206" s="551"/>
      <c r="AK206" s="551"/>
      <c r="AL206" s="551"/>
      <c r="AM206" s="551"/>
      <c r="AN206" s="551"/>
      <c r="AO206" s="551"/>
      <c r="AP206" s="551"/>
      <c r="AQ206" s="551"/>
      <c r="AR206" s="551"/>
      <c r="AS206" s="551"/>
      <c r="AT206" s="551"/>
      <c r="AU206" s="551"/>
      <c r="AV206" s="551"/>
      <c r="AW206" s="551"/>
      <c r="AX206" s="551"/>
      <c r="AY206" s="551"/>
      <c r="AZ206" s="551"/>
      <c r="BA206" s="551"/>
      <c r="BB206" s="551"/>
      <c r="BC206" s="551"/>
      <c r="BD206" s="551"/>
      <c r="BE206" s="551"/>
      <c r="BF206" s="551"/>
    </row>
    <row r="207" spans="1:58" ht="12.75" customHeight="1">
      <c r="A207" s="551"/>
      <c r="B207" s="551"/>
      <c r="C207" s="551"/>
      <c r="D207" s="551"/>
      <c r="E207" s="551"/>
      <c r="F207" s="551"/>
      <c r="G207" s="551"/>
      <c r="H207" s="551"/>
      <c r="I207" s="551"/>
      <c r="J207" s="551"/>
      <c r="K207" s="551"/>
      <c r="L207" s="551"/>
      <c r="M207" s="551"/>
      <c r="N207" s="551"/>
      <c r="O207" s="551"/>
      <c r="P207" s="551"/>
      <c r="Q207" s="551"/>
      <c r="R207" s="551"/>
      <c r="S207" s="551"/>
      <c r="T207" s="551"/>
      <c r="U207" s="551"/>
      <c r="V207" s="551"/>
      <c r="W207" s="551"/>
      <c r="X207" s="551"/>
      <c r="Y207" s="551"/>
      <c r="Z207" s="551"/>
      <c r="AA207" s="551"/>
      <c r="AB207" s="551"/>
      <c r="AC207" s="551"/>
      <c r="AD207" s="551"/>
      <c r="AE207" s="551"/>
      <c r="AF207" s="551"/>
      <c r="AG207" s="551"/>
      <c r="AH207" s="551"/>
      <c r="AI207" s="551"/>
      <c r="AJ207" s="551"/>
      <c r="AK207" s="551"/>
      <c r="AL207" s="551"/>
      <c r="AM207" s="551"/>
      <c r="AN207" s="551"/>
      <c r="AO207" s="551"/>
      <c r="AP207" s="551"/>
      <c r="AQ207" s="551"/>
      <c r="AR207" s="551"/>
      <c r="AS207" s="551"/>
      <c r="AT207" s="551"/>
      <c r="AU207" s="551"/>
      <c r="AV207" s="551"/>
      <c r="AW207" s="551"/>
      <c r="AX207" s="551"/>
      <c r="AY207" s="551"/>
      <c r="AZ207" s="551"/>
      <c r="BA207" s="551"/>
      <c r="BB207" s="551"/>
      <c r="BC207" s="551"/>
      <c r="BD207" s="551"/>
      <c r="BE207" s="551"/>
      <c r="BF207" s="551"/>
    </row>
    <row r="208" spans="1:58" ht="12.75" customHeight="1">
      <c r="A208" s="551"/>
      <c r="B208" s="551"/>
      <c r="C208" s="551"/>
      <c r="D208" s="551"/>
      <c r="E208" s="551"/>
      <c r="F208" s="551"/>
      <c r="G208" s="551"/>
      <c r="H208" s="551"/>
      <c r="I208" s="551"/>
      <c r="J208" s="551"/>
      <c r="K208" s="551"/>
      <c r="L208" s="551"/>
      <c r="M208" s="551"/>
      <c r="N208" s="551"/>
      <c r="O208" s="551"/>
      <c r="P208" s="551"/>
      <c r="Q208" s="551"/>
      <c r="R208" s="551"/>
      <c r="S208" s="551"/>
      <c r="T208" s="551"/>
      <c r="U208" s="551"/>
      <c r="V208" s="551"/>
      <c r="W208" s="551"/>
      <c r="X208" s="551"/>
      <c r="Y208" s="551"/>
      <c r="Z208" s="551"/>
      <c r="AA208" s="551"/>
      <c r="AB208" s="551"/>
      <c r="AC208" s="551"/>
      <c r="AD208" s="551"/>
      <c r="AE208" s="551"/>
      <c r="AF208" s="551"/>
      <c r="AG208" s="551"/>
      <c r="AH208" s="551"/>
      <c r="AI208" s="551"/>
      <c r="AJ208" s="551"/>
      <c r="AK208" s="551"/>
      <c r="AL208" s="551"/>
      <c r="AM208" s="551"/>
      <c r="AN208" s="551"/>
      <c r="AO208" s="551"/>
      <c r="AP208" s="551"/>
      <c r="AQ208" s="551"/>
      <c r="AR208" s="551"/>
      <c r="AS208" s="551"/>
      <c r="AT208" s="551"/>
      <c r="AU208" s="551"/>
      <c r="AV208" s="551"/>
      <c r="AW208" s="551"/>
      <c r="AX208" s="551"/>
      <c r="AY208" s="551"/>
      <c r="AZ208" s="551"/>
      <c r="BA208" s="551"/>
      <c r="BB208" s="551"/>
      <c r="BC208" s="551"/>
      <c r="BD208" s="551"/>
      <c r="BE208" s="551"/>
      <c r="BF208" s="551"/>
    </row>
    <row r="209" spans="1:58" ht="12.75" customHeight="1">
      <c r="A209" s="551"/>
      <c r="B209" s="551"/>
      <c r="C209" s="551"/>
      <c r="D209" s="551"/>
      <c r="E209" s="551"/>
      <c r="F209" s="551"/>
      <c r="G209" s="551"/>
      <c r="H209" s="551"/>
      <c r="I209" s="551"/>
      <c r="J209" s="551"/>
      <c r="K209" s="551"/>
      <c r="L209" s="551"/>
      <c r="M209" s="551"/>
      <c r="N209" s="551"/>
      <c r="O209" s="551"/>
      <c r="P209" s="551"/>
      <c r="Q209" s="551"/>
      <c r="R209" s="551"/>
      <c r="S209" s="551"/>
      <c r="T209" s="551"/>
      <c r="U209" s="551"/>
      <c r="V209" s="551"/>
      <c r="W209" s="551"/>
      <c r="X209" s="551"/>
      <c r="Y209" s="551"/>
      <c r="Z209" s="551"/>
      <c r="AA209" s="551"/>
      <c r="AB209" s="551"/>
      <c r="AC209" s="551"/>
      <c r="AD209" s="551"/>
      <c r="AE209" s="551"/>
      <c r="AF209" s="551"/>
      <c r="AG209" s="551"/>
      <c r="AH209" s="551"/>
      <c r="AI209" s="551"/>
      <c r="AJ209" s="551"/>
      <c r="AK209" s="551"/>
      <c r="AL209" s="551"/>
      <c r="AM209" s="551"/>
      <c r="AN209" s="551"/>
      <c r="AO209" s="551"/>
      <c r="AP209" s="551"/>
      <c r="AQ209" s="551"/>
      <c r="AR209" s="551"/>
      <c r="AS209" s="551"/>
      <c r="AT209" s="551"/>
      <c r="AU209" s="551"/>
      <c r="AV209" s="551"/>
      <c r="AW209" s="551"/>
      <c r="AX209" s="551"/>
      <c r="AY209" s="551"/>
      <c r="AZ209" s="551"/>
      <c r="BA209" s="551"/>
      <c r="BB209" s="551"/>
      <c r="BC209" s="551"/>
      <c r="BD209" s="551"/>
      <c r="BE209" s="551"/>
      <c r="BF209" s="551"/>
    </row>
    <row r="210" spans="1:58" ht="12.75" customHeight="1">
      <c r="A210" s="551"/>
      <c r="B210" s="551"/>
      <c r="C210" s="551"/>
      <c r="D210" s="551"/>
      <c r="E210" s="551"/>
      <c r="F210" s="551"/>
      <c r="G210" s="551"/>
      <c r="H210" s="551"/>
      <c r="I210" s="551"/>
      <c r="J210" s="551"/>
      <c r="K210" s="551"/>
      <c r="L210" s="551"/>
      <c r="M210" s="551"/>
      <c r="N210" s="551"/>
      <c r="O210" s="551"/>
      <c r="P210" s="551"/>
      <c r="Q210" s="551"/>
      <c r="R210" s="551"/>
      <c r="S210" s="551"/>
      <c r="T210" s="551"/>
      <c r="U210" s="551"/>
      <c r="V210" s="551"/>
      <c r="W210" s="551"/>
      <c r="X210" s="551"/>
      <c r="Y210" s="551"/>
      <c r="Z210" s="551"/>
      <c r="AA210" s="551"/>
      <c r="AB210" s="551"/>
      <c r="AC210" s="551"/>
      <c r="AD210" s="551"/>
      <c r="AE210" s="551"/>
      <c r="AF210" s="551"/>
      <c r="AG210" s="551"/>
      <c r="AH210" s="551"/>
      <c r="AI210" s="551"/>
      <c r="AJ210" s="551"/>
      <c r="AK210" s="551"/>
      <c r="AL210" s="551"/>
      <c r="AM210" s="551"/>
      <c r="AN210" s="551"/>
      <c r="AO210" s="551"/>
      <c r="AP210" s="551"/>
      <c r="AQ210" s="551"/>
      <c r="AR210" s="551"/>
      <c r="AS210" s="551"/>
      <c r="AT210" s="551"/>
      <c r="AU210" s="551"/>
      <c r="AV210" s="551"/>
      <c r="AW210" s="551"/>
      <c r="AX210" s="551"/>
      <c r="AY210" s="551"/>
      <c r="AZ210" s="551"/>
      <c r="BA210" s="551"/>
      <c r="BB210" s="551"/>
      <c r="BC210" s="551"/>
      <c r="BD210" s="551"/>
      <c r="BE210" s="551"/>
      <c r="BF210" s="551"/>
    </row>
    <row r="211" spans="1:58" ht="12.75" customHeight="1">
      <c r="A211" s="551"/>
      <c r="B211" s="551"/>
      <c r="C211" s="551"/>
      <c r="D211" s="551"/>
      <c r="E211" s="551"/>
      <c r="F211" s="551"/>
      <c r="G211" s="551"/>
      <c r="H211" s="551"/>
      <c r="I211" s="551"/>
      <c r="J211" s="551"/>
      <c r="K211" s="551"/>
      <c r="L211" s="551"/>
      <c r="M211" s="551"/>
      <c r="N211" s="551"/>
      <c r="O211" s="551"/>
      <c r="P211" s="551"/>
      <c r="Q211" s="551"/>
      <c r="R211" s="551"/>
      <c r="S211" s="551"/>
      <c r="T211" s="551"/>
      <c r="U211" s="551"/>
      <c r="V211" s="551"/>
      <c r="W211" s="551"/>
      <c r="X211" s="551"/>
      <c r="Y211" s="551"/>
      <c r="Z211" s="551"/>
      <c r="AA211" s="551"/>
      <c r="AB211" s="551"/>
      <c r="AC211" s="551"/>
      <c r="AD211" s="551"/>
      <c r="AE211" s="551"/>
      <c r="AF211" s="551"/>
      <c r="AG211" s="551"/>
      <c r="AH211" s="551"/>
      <c r="AI211" s="551"/>
      <c r="AJ211" s="551"/>
      <c r="AK211" s="551"/>
      <c r="AL211" s="551"/>
      <c r="AM211" s="551"/>
      <c r="AN211" s="551"/>
      <c r="AO211" s="551"/>
      <c r="AP211" s="551"/>
      <c r="AQ211" s="551"/>
      <c r="AR211" s="551"/>
      <c r="AS211" s="551"/>
      <c r="AT211" s="551"/>
      <c r="AU211" s="551"/>
      <c r="AV211" s="551"/>
      <c r="AW211" s="551"/>
      <c r="AX211" s="551"/>
      <c r="AY211" s="551"/>
      <c r="AZ211" s="551"/>
      <c r="BA211" s="551"/>
      <c r="BB211" s="551"/>
      <c r="BC211" s="551"/>
      <c r="BD211" s="551"/>
      <c r="BE211" s="551"/>
      <c r="BF211" s="551"/>
    </row>
    <row r="212" spans="1:58" ht="12.75" customHeight="1">
      <c r="A212" s="551"/>
      <c r="B212" s="551"/>
      <c r="C212" s="551"/>
      <c r="D212" s="551"/>
      <c r="E212" s="551"/>
      <c r="F212" s="551"/>
      <c r="G212" s="551"/>
      <c r="H212" s="551"/>
      <c r="I212" s="551"/>
      <c r="J212" s="551"/>
      <c r="K212" s="551"/>
      <c r="L212" s="551"/>
      <c r="M212" s="551"/>
      <c r="N212" s="551"/>
      <c r="O212" s="551"/>
      <c r="P212" s="551"/>
      <c r="Q212" s="551"/>
      <c r="R212" s="551"/>
      <c r="S212" s="551"/>
      <c r="T212" s="551"/>
      <c r="U212" s="551"/>
      <c r="V212" s="551"/>
      <c r="W212" s="551"/>
      <c r="X212" s="551"/>
      <c r="Y212" s="551"/>
      <c r="Z212" s="551"/>
      <c r="AA212" s="551"/>
      <c r="AB212" s="551"/>
      <c r="AC212" s="551"/>
      <c r="AD212" s="551"/>
      <c r="AE212" s="551"/>
      <c r="AF212" s="551"/>
      <c r="AG212" s="551"/>
      <c r="AH212" s="551"/>
      <c r="AI212" s="551"/>
      <c r="AJ212" s="551"/>
      <c r="AK212" s="551"/>
      <c r="AL212" s="551"/>
      <c r="AM212" s="551"/>
      <c r="AN212" s="551"/>
      <c r="AO212" s="551"/>
      <c r="AP212" s="551"/>
      <c r="AQ212" s="551"/>
      <c r="AR212" s="551"/>
      <c r="AS212" s="551"/>
      <c r="AT212" s="551"/>
      <c r="AU212" s="551"/>
      <c r="AV212" s="551"/>
      <c r="AW212" s="551"/>
      <c r="AX212" s="551"/>
      <c r="AY212" s="551"/>
      <c r="AZ212" s="551"/>
      <c r="BA212" s="551"/>
      <c r="BB212" s="551"/>
      <c r="BC212" s="551"/>
      <c r="BD212" s="551"/>
      <c r="BE212" s="551"/>
      <c r="BF212" s="551"/>
    </row>
    <row r="213" spans="1:58" ht="12.75" customHeight="1">
      <c r="A213" s="551"/>
      <c r="B213" s="551"/>
      <c r="C213" s="551"/>
      <c r="D213" s="551"/>
      <c r="E213" s="551"/>
      <c r="F213" s="551"/>
      <c r="G213" s="551"/>
      <c r="H213" s="551"/>
      <c r="I213" s="551"/>
      <c r="J213" s="551"/>
      <c r="K213" s="551"/>
      <c r="L213" s="551"/>
      <c r="M213" s="551"/>
      <c r="N213" s="551"/>
      <c r="O213" s="551"/>
      <c r="P213" s="551"/>
      <c r="Q213" s="551"/>
      <c r="R213" s="551"/>
      <c r="S213" s="551"/>
      <c r="T213" s="551"/>
      <c r="U213" s="551"/>
      <c r="V213" s="551"/>
      <c r="W213" s="551"/>
      <c r="X213" s="551"/>
      <c r="Y213" s="551"/>
      <c r="Z213" s="551"/>
      <c r="AA213" s="551"/>
      <c r="AB213" s="551"/>
      <c r="AC213" s="551"/>
      <c r="AD213" s="551"/>
      <c r="AE213" s="551"/>
      <c r="AF213" s="551"/>
      <c r="AG213" s="551"/>
      <c r="AH213" s="551"/>
      <c r="AI213" s="551"/>
      <c r="AJ213" s="551"/>
      <c r="AK213" s="551"/>
      <c r="AL213" s="551"/>
      <c r="AM213" s="551"/>
      <c r="AN213" s="551"/>
      <c r="AO213" s="551"/>
      <c r="AP213" s="551"/>
      <c r="AQ213" s="551"/>
      <c r="AR213" s="551"/>
      <c r="AS213" s="551"/>
      <c r="AT213" s="551"/>
      <c r="AU213" s="551"/>
      <c r="AV213" s="551"/>
      <c r="AW213" s="551"/>
      <c r="AX213" s="551"/>
      <c r="AY213" s="551"/>
      <c r="AZ213" s="551"/>
      <c r="BA213" s="551"/>
      <c r="BB213" s="551"/>
      <c r="BC213" s="551"/>
      <c r="BD213" s="551"/>
      <c r="BE213" s="551"/>
      <c r="BF213" s="551"/>
    </row>
    <row r="214" spans="1:58" ht="12.75" customHeight="1">
      <c r="A214" s="551"/>
      <c r="B214" s="551"/>
      <c r="C214" s="551"/>
      <c r="D214" s="551"/>
      <c r="E214" s="551"/>
      <c r="F214" s="551"/>
      <c r="G214" s="551"/>
      <c r="H214" s="551"/>
      <c r="I214" s="551"/>
      <c r="J214" s="551"/>
      <c r="K214" s="551"/>
      <c r="L214" s="551"/>
      <c r="M214" s="551"/>
      <c r="N214" s="551"/>
      <c r="O214" s="551"/>
      <c r="P214" s="551"/>
      <c r="Q214" s="551"/>
      <c r="R214" s="551"/>
      <c r="S214" s="551"/>
      <c r="T214" s="551"/>
      <c r="U214" s="551"/>
      <c r="V214" s="551"/>
      <c r="W214" s="551"/>
      <c r="X214" s="551"/>
      <c r="Y214" s="551"/>
      <c r="Z214" s="551"/>
      <c r="AA214" s="551"/>
      <c r="AB214" s="551"/>
      <c r="AC214" s="551"/>
      <c r="AD214" s="551"/>
      <c r="AE214" s="551"/>
      <c r="AF214" s="551"/>
      <c r="AG214" s="551"/>
      <c r="AH214" s="551"/>
      <c r="AI214" s="551"/>
      <c r="AJ214" s="551"/>
      <c r="AK214" s="551"/>
      <c r="AL214" s="551"/>
      <c r="AM214" s="551"/>
      <c r="AN214" s="551"/>
      <c r="AO214" s="551"/>
      <c r="AP214" s="551"/>
      <c r="AQ214" s="551"/>
      <c r="AR214" s="551"/>
      <c r="AS214" s="551"/>
      <c r="AT214" s="551"/>
      <c r="AU214" s="551"/>
      <c r="AV214" s="551"/>
      <c r="AW214" s="551"/>
      <c r="AX214" s="551"/>
      <c r="AY214" s="551"/>
      <c r="AZ214" s="551"/>
      <c r="BA214" s="551"/>
      <c r="BB214" s="551"/>
      <c r="BC214" s="551"/>
      <c r="BD214" s="551"/>
      <c r="BE214" s="551"/>
      <c r="BF214" s="551"/>
    </row>
    <row r="215" spans="1:58" ht="12.75" customHeight="1">
      <c r="A215" s="551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1"/>
      <c r="P215" s="551"/>
      <c r="Q215" s="551"/>
      <c r="R215" s="551"/>
      <c r="S215" s="551"/>
      <c r="T215" s="551"/>
      <c r="U215" s="551"/>
      <c r="V215" s="551"/>
      <c r="W215" s="551"/>
      <c r="X215" s="551"/>
      <c r="Y215" s="551"/>
      <c r="Z215" s="551"/>
      <c r="AA215" s="551"/>
      <c r="AB215" s="551"/>
      <c r="AC215" s="551"/>
      <c r="AD215" s="551"/>
      <c r="AE215" s="551"/>
      <c r="AF215" s="551"/>
      <c r="AG215" s="551"/>
      <c r="AH215" s="551"/>
      <c r="AI215" s="551"/>
      <c r="AJ215" s="551"/>
      <c r="AK215" s="551"/>
      <c r="AL215" s="551"/>
      <c r="AM215" s="551"/>
      <c r="AN215" s="551"/>
      <c r="AO215" s="551"/>
      <c r="AP215" s="551"/>
      <c r="AQ215" s="551"/>
      <c r="AR215" s="551"/>
      <c r="AS215" s="551"/>
      <c r="AT215" s="551"/>
      <c r="AU215" s="551"/>
      <c r="AV215" s="551"/>
      <c r="AW215" s="551"/>
      <c r="AX215" s="551"/>
      <c r="AY215" s="551"/>
      <c r="AZ215" s="551"/>
      <c r="BA215" s="551"/>
      <c r="BB215" s="551"/>
      <c r="BC215" s="551"/>
      <c r="BD215" s="551"/>
      <c r="BE215" s="551"/>
      <c r="BF215" s="551"/>
    </row>
    <row r="216" spans="1:58" ht="12.75" customHeight="1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1"/>
      <c r="P216" s="551"/>
      <c r="Q216" s="551"/>
      <c r="R216" s="551"/>
      <c r="S216" s="551"/>
      <c r="T216" s="551"/>
      <c r="U216" s="551"/>
      <c r="V216" s="551"/>
      <c r="W216" s="551"/>
      <c r="X216" s="551"/>
      <c r="Y216" s="551"/>
      <c r="Z216" s="551"/>
      <c r="AA216" s="551"/>
      <c r="AB216" s="551"/>
      <c r="AC216" s="551"/>
      <c r="AD216" s="551"/>
      <c r="AE216" s="551"/>
      <c r="AF216" s="551"/>
      <c r="AG216" s="551"/>
      <c r="AH216" s="551"/>
      <c r="AI216" s="551"/>
      <c r="AJ216" s="551"/>
      <c r="AK216" s="551"/>
      <c r="AL216" s="551"/>
      <c r="AM216" s="551"/>
      <c r="AN216" s="551"/>
      <c r="AO216" s="551"/>
      <c r="AP216" s="551"/>
      <c r="AQ216" s="551"/>
      <c r="AR216" s="551"/>
      <c r="AS216" s="551"/>
      <c r="AT216" s="551"/>
      <c r="AU216" s="551"/>
      <c r="AV216" s="551"/>
      <c r="AW216" s="551"/>
      <c r="AX216" s="551"/>
      <c r="AY216" s="551"/>
      <c r="AZ216" s="551"/>
      <c r="BA216" s="551"/>
      <c r="BB216" s="551"/>
      <c r="BC216" s="551"/>
      <c r="BD216" s="551"/>
      <c r="BE216" s="551"/>
      <c r="BF216" s="551"/>
    </row>
    <row r="217" spans="1:58" ht="12.75" customHeight="1">
      <c r="A217" s="551"/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51"/>
      <c r="AB217" s="551"/>
      <c r="AC217" s="551"/>
      <c r="AD217" s="551"/>
      <c r="AE217" s="551"/>
      <c r="AF217" s="551"/>
      <c r="AG217" s="551"/>
      <c r="AH217" s="551"/>
      <c r="AI217" s="551"/>
      <c r="AJ217" s="551"/>
      <c r="AK217" s="551"/>
      <c r="AL217" s="551"/>
      <c r="AM217" s="551"/>
      <c r="AN217" s="551"/>
      <c r="AO217" s="551"/>
      <c r="AP217" s="551"/>
      <c r="AQ217" s="551"/>
      <c r="AR217" s="551"/>
      <c r="AS217" s="551"/>
      <c r="AT217" s="551"/>
      <c r="AU217" s="551"/>
      <c r="AV217" s="551"/>
      <c r="AW217" s="551"/>
      <c r="AX217" s="551"/>
      <c r="AY217" s="551"/>
      <c r="AZ217" s="551"/>
      <c r="BA217" s="551"/>
      <c r="BB217" s="551"/>
      <c r="BC217" s="551"/>
      <c r="BD217" s="551"/>
      <c r="BE217" s="551"/>
      <c r="BF217" s="551"/>
    </row>
    <row r="218" spans="1:58" ht="12.75" customHeight="1">
      <c r="A218" s="551"/>
      <c r="B218" s="551"/>
      <c r="C218" s="551"/>
      <c r="D218" s="551"/>
      <c r="E218" s="551"/>
      <c r="F218" s="551"/>
      <c r="G218" s="551"/>
      <c r="H218" s="551"/>
      <c r="I218" s="551"/>
      <c r="J218" s="551"/>
      <c r="K218" s="551"/>
      <c r="L218" s="551"/>
      <c r="M218" s="551"/>
      <c r="N218" s="551"/>
      <c r="O218" s="551"/>
      <c r="P218" s="551"/>
      <c r="Q218" s="551"/>
      <c r="R218" s="551"/>
      <c r="S218" s="551"/>
      <c r="T218" s="551"/>
      <c r="U218" s="551"/>
      <c r="V218" s="551"/>
      <c r="W218" s="551"/>
      <c r="X218" s="551"/>
      <c r="Y218" s="551"/>
      <c r="Z218" s="551"/>
      <c r="AA218" s="551"/>
      <c r="AB218" s="551"/>
      <c r="AC218" s="551"/>
      <c r="AD218" s="551"/>
      <c r="AE218" s="551"/>
      <c r="AF218" s="551"/>
      <c r="AG218" s="551"/>
      <c r="AH218" s="551"/>
      <c r="AI218" s="551"/>
      <c r="AJ218" s="551"/>
      <c r="AK218" s="551"/>
      <c r="AL218" s="551"/>
      <c r="AM218" s="551"/>
      <c r="AN218" s="551"/>
      <c r="AO218" s="551"/>
      <c r="AP218" s="551"/>
      <c r="AQ218" s="551"/>
      <c r="AR218" s="551"/>
      <c r="AS218" s="551"/>
      <c r="AT218" s="551"/>
      <c r="AU218" s="551"/>
      <c r="AV218" s="551"/>
      <c r="AW218" s="551"/>
      <c r="AX218" s="551"/>
      <c r="AY218" s="551"/>
      <c r="AZ218" s="551"/>
      <c r="BA218" s="551"/>
      <c r="BB218" s="551"/>
      <c r="BC218" s="551"/>
      <c r="BD218" s="551"/>
      <c r="BE218" s="551"/>
      <c r="BF218" s="551"/>
    </row>
    <row r="219" spans="1:58" ht="12.75" customHeight="1">
      <c r="A219" s="551"/>
      <c r="B219" s="551"/>
      <c r="C219" s="551"/>
      <c r="D219" s="551"/>
      <c r="E219" s="551"/>
      <c r="F219" s="551"/>
      <c r="G219" s="551"/>
      <c r="H219" s="551"/>
      <c r="I219" s="551"/>
      <c r="J219" s="551"/>
      <c r="K219" s="551"/>
      <c r="L219" s="551"/>
      <c r="M219" s="551"/>
      <c r="N219" s="551"/>
      <c r="O219" s="551"/>
      <c r="P219" s="551"/>
      <c r="Q219" s="551"/>
      <c r="R219" s="551"/>
      <c r="S219" s="551"/>
      <c r="T219" s="551"/>
      <c r="U219" s="551"/>
      <c r="V219" s="551"/>
      <c r="W219" s="551"/>
      <c r="X219" s="551"/>
      <c r="Y219" s="551"/>
      <c r="Z219" s="551"/>
      <c r="AA219" s="551"/>
      <c r="AB219" s="551"/>
      <c r="AC219" s="551"/>
      <c r="AD219" s="551"/>
      <c r="AE219" s="551"/>
      <c r="AF219" s="551"/>
      <c r="AG219" s="551"/>
      <c r="AH219" s="551"/>
      <c r="AI219" s="551"/>
      <c r="AJ219" s="551"/>
      <c r="AK219" s="551"/>
      <c r="AL219" s="551"/>
      <c r="AM219" s="551"/>
      <c r="AN219" s="551"/>
      <c r="AO219" s="551"/>
      <c r="AP219" s="551"/>
      <c r="AQ219" s="551"/>
      <c r="AR219" s="551"/>
      <c r="AS219" s="551"/>
      <c r="AT219" s="551"/>
      <c r="AU219" s="551"/>
      <c r="AV219" s="551"/>
      <c r="AW219" s="551"/>
      <c r="AX219" s="551"/>
      <c r="AY219" s="551"/>
      <c r="AZ219" s="551"/>
      <c r="BA219" s="551"/>
      <c r="BB219" s="551"/>
      <c r="BC219" s="551"/>
      <c r="BD219" s="551"/>
      <c r="BE219" s="551"/>
      <c r="BF219" s="551"/>
    </row>
    <row r="220" spans="1:58" ht="12.75" customHeight="1">
      <c r="A220" s="551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1"/>
      <c r="P220" s="551"/>
      <c r="Q220" s="551"/>
      <c r="R220" s="551"/>
      <c r="S220" s="551"/>
      <c r="T220" s="551"/>
      <c r="U220" s="551"/>
      <c r="V220" s="551"/>
      <c r="W220" s="551"/>
      <c r="X220" s="551"/>
      <c r="Y220" s="551"/>
      <c r="Z220" s="551"/>
      <c r="AA220" s="551"/>
      <c r="AB220" s="551"/>
      <c r="AC220" s="551"/>
      <c r="AD220" s="551"/>
      <c r="AE220" s="551"/>
      <c r="AF220" s="551"/>
      <c r="AG220" s="551"/>
      <c r="AH220" s="551"/>
      <c r="AI220" s="551"/>
      <c r="AJ220" s="551"/>
      <c r="AK220" s="551"/>
      <c r="AL220" s="551"/>
      <c r="AM220" s="551"/>
      <c r="AN220" s="551"/>
      <c r="AO220" s="551"/>
      <c r="AP220" s="551"/>
      <c r="AQ220" s="551"/>
      <c r="AR220" s="551"/>
      <c r="AS220" s="551"/>
      <c r="AT220" s="551"/>
      <c r="AU220" s="551"/>
      <c r="AV220" s="551"/>
      <c r="AW220" s="551"/>
      <c r="AX220" s="551"/>
      <c r="AY220" s="551"/>
      <c r="AZ220" s="551"/>
      <c r="BA220" s="551"/>
      <c r="BB220" s="551"/>
      <c r="BC220" s="551"/>
      <c r="BD220" s="551"/>
      <c r="BE220" s="551"/>
      <c r="BF220" s="551"/>
    </row>
    <row r="221" spans="1:58" ht="12.75" customHeight="1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1"/>
      <c r="P221" s="551"/>
      <c r="Q221" s="551"/>
      <c r="R221" s="551"/>
      <c r="S221" s="551"/>
      <c r="T221" s="551"/>
      <c r="U221" s="551"/>
      <c r="V221" s="551"/>
      <c r="W221" s="551"/>
      <c r="X221" s="551"/>
      <c r="Y221" s="551"/>
      <c r="Z221" s="551"/>
      <c r="AA221" s="551"/>
      <c r="AB221" s="551"/>
      <c r="AC221" s="551"/>
      <c r="AD221" s="551"/>
      <c r="AE221" s="551"/>
      <c r="AF221" s="551"/>
      <c r="AG221" s="551"/>
      <c r="AH221" s="551"/>
      <c r="AI221" s="551"/>
      <c r="AJ221" s="551"/>
      <c r="AK221" s="551"/>
      <c r="AL221" s="551"/>
      <c r="AM221" s="551"/>
      <c r="AN221" s="551"/>
      <c r="AO221" s="551"/>
      <c r="AP221" s="551"/>
      <c r="AQ221" s="551"/>
      <c r="AR221" s="551"/>
      <c r="AS221" s="551"/>
      <c r="AT221" s="551"/>
      <c r="AU221" s="551"/>
      <c r="AV221" s="551"/>
      <c r="AW221" s="551"/>
      <c r="AX221" s="551"/>
      <c r="AY221" s="551"/>
      <c r="AZ221" s="551"/>
      <c r="BA221" s="551"/>
      <c r="BB221" s="551"/>
      <c r="BC221" s="551"/>
      <c r="BD221" s="551"/>
      <c r="BE221" s="551"/>
      <c r="BF221" s="551"/>
    </row>
    <row r="222" spans="1:58" ht="12.75" customHeight="1">
      <c r="A222" s="551"/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51"/>
      <c r="AB222" s="551"/>
      <c r="AC222" s="551"/>
      <c r="AD222" s="551"/>
      <c r="AE222" s="551"/>
      <c r="AF222" s="551"/>
      <c r="AG222" s="551"/>
      <c r="AH222" s="551"/>
      <c r="AI222" s="551"/>
      <c r="AJ222" s="551"/>
      <c r="AK222" s="551"/>
      <c r="AL222" s="551"/>
      <c r="AM222" s="551"/>
      <c r="AN222" s="551"/>
      <c r="AO222" s="551"/>
      <c r="AP222" s="551"/>
      <c r="AQ222" s="551"/>
      <c r="AR222" s="551"/>
      <c r="AS222" s="551"/>
      <c r="AT222" s="551"/>
      <c r="AU222" s="551"/>
      <c r="AV222" s="551"/>
      <c r="AW222" s="551"/>
      <c r="AX222" s="551"/>
      <c r="AY222" s="551"/>
      <c r="AZ222" s="551"/>
      <c r="BA222" s="551"/>
      <c r="BB222" s="551"/>
      <c r="BC222" s="551"/>
      <c r="BD222" s="551"/>
      <c r="BE222" s="551"/>
      <c r="BF222" s="551"/>
    </row>
    <row r="223" spans="1:58" ht="12.75" customHeight="1">
      <c r="A223" s="551"/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51"/>
      <c r="AB223" s="551"/>
      <c r="AC223" s="551"/>
      <c r="AD223" s="551"/>
      <c r="AE223" s="551"/>
      <c r="AF223" s="551"/>
      <c r="AG223" s="551"/>
      <c r="AH223" s="551"/>
      <c r="AI223" s="551"/>
      <c r="AJ223" s="551"/>
      <c r="AK223" s="551"/>
      <c r="AL223" s="551"/>
      <c r="AM223" s="551"/>
      <c r="AN223" s="551"/>
      <c r="AO223" s="551"/>
      <c r="AP223" s="551"/>
      <c r="AQ223" s="551"/>
      <c r="AR223" s="551"/>
      <c r="AS223" s="551"/>
      <c r="AT223" s="551"/>
      <c r="AU223" s="551"/>
      <c r="AV223" s="551"/>
      <c r="AW223" s="551"/>
      <c r="AX223" s="551"/>
      <c r="AY223" s="551"/>
      <c r="AZ223" s="551"/>
      <c r="BA223" s="551"/>
      <c r="BB223" s="551"/>
      <c r="BC223" s="551"/>
      <c r="BD223" s="551"/>
      <c r="BE223" s="551"/>
      <c r="BF223" s="551"/>
    </row>
    <row r="224" spans="1:58" ht="12.75" customHeight="1">
      <c r="A224" s="551"/>
      <c r="B224" s="551"/>
      <c r="C224" s="551"/>
      <c r="D224" s="551"/>
      <c r="E224" s="551"/>
      <c r="F224" s="551"/>
      <c r="G224" s="551"/>
      <c r="H224" s="551"/>
      <c r="I224" s="551"/>
      <c r="J224" s="551"/>
      <c r="K224" s="551"/>
      <c r="L224" s="551"/>
      <c r="M224" s="551"/>
      <c r="N224" s="551"/>
      <c r="O224" s="551"/>
      <c r="P224" s="551"/>
      <c r="Q224" s="551"/>
      <c r="R224" s="551"/>
      <c r="S224" s="551"/>
      <c r="T224" s="551"/>
      <c r="U224" s="551"/>
      <c r="V224" s="551"/>
      <c r="W224" s="551"/>
      <c r="X224" s="551"/>
      <c r="Y224" s="551"/>
      <c r="Z224" s="551"/>
      <c r="AA224" s="551"/>
      <c r="AB224" s="551"/>
      <c r="AC224" s="551"/>
      <c r="AD224" s="551"/>
      <c r="AE224" s="551"/>
      <c r="AF224" s="551"/>
      <c r="AG224" s="551"/>
      <c r="AH224" s="551"/>
      <c r="AI224" s="551"/>
      <c r="AJ224" s="551"/>
      <c r="AK224" s="551"/>
      <c r="AL224" s="551"/>
      <c r="AM224" s="551"/>
      <c r="AN224" s="551"/>
      <c r="AO224" s="551"/>
      <c r="AP224" s="551"/>
      <c r="AQ224" s="551"/>
      <c r="AR224" s="551"/>
      <c r="AS224" s="551"/>
      <c r="AT224" s="551"/>
      <c r="AU224" s="551"/>
      <c r="AV224" s="551"/>
      <c r="AW224" s="551"/>
      <c r="AX224" s="551"/>
      <c r="AY224" s="551"/>
      <c r="AZ224" s="551"/>
      <c r="BA224" s="551"/>
      <c r="BB224" s="551"/>
      <c r="BC224" s="551"/>
      <c r="BD224" s="551"/>
      <c r="BE224" s="551"/>
      <c r="BF224" s="551"/>
    </row>
    <row r="225" spans="1:58" ht="12.75" customHeight="1">
      <c r="A225" s="551"/>
      <c r="B225" s="551"/>
      <c r="C225" s="551"/>
      <c r="D225" s="551"/>
      <c r="E225" s="551"/>
      <c r="F225" s="551"/>
      <c r="G225" s="551"/>
      <c r="H225" s="551"/>
      <c r="I225" s="551"/>
      <c r="J225" s="551"/>
      <c r="K225" s="551"/>
      <c r="L225" s="551"/>
      <c r="M225" s="551"/>
      <c r="N225" s="551"/>
      <c r="O225" s="551"/>
      <c r="P225" s="551"/>
      <c r="Q225" s="551"/>
      <c r="R225" s="551"/>
      <c r="S225" s="551"/>
      <c r="T225" s="551"/>
      <c r="U225" s="551"/>
      <c r="V225" s="551"/>
      <c r="W225" s="551"/>
      <c r="X225" s="551"/>
      <c r="Y225" s="551"/>
      <c r="Z225" s="551"/>
      <c r="AA225" s="551"/>
      <c r="AB225" s="551"/>
      <c r="AC225" s="551"/>
      <c r="AD225" s="551"/>
      <c r="AE225" s="551"/>
      <c r="AF225" s="551"/>
      <c r="AG225" s="551"/>
      <c r="AH225" s="551"/>
      <c r="AI225" s="551"/>
      <c r="AJ225" s="551"/>
      <c r="AK225" s="551"/>
      <c r="AL225" s="551"/>
      <c r="AM225" s="551"/>
      <c r="AN225" s="551"/>
      <c r="AO225" s="551"/>
      <c r="AP225" s="551"/>
      <c r="AQ225" s="551"/>
      <c r="AR225" s="551"/>
      <c r="AS225" s="551"/>
      <c r="AT225" s="551"/>
      <c r="AU225" s="551"/>
      <c r="AV225" s="551"/>
      <c r="AW225" s="551"/>
      <c r="AX225" s="551"/>
      <c r="AY225" s="551"/>
      <c r="AZ225" s="551"/>
      <c r="BA225" s="551"/>
      <c r="BB225" s="551"/>
      <c r="BC225" s="551"/>
      <c r="BD225" s="551"/>
      <c r="BE225" s="551"/>
      <c r="BF225" s="551"/>
    </row>
    <row r="226" spans="1:58" ht="12.75" customHeight="1">
      <c r="A226" s="551"/>
      <c r="B226" s="551"/>
      <c r="C226" s="551"/>
      <c r="D226" s="551"/>
      <c r="E226" s="551"/>
      <c r="F226" s="551"/>
      <c r="G226" s="551"/>
      <c r="H226" s="551"/>
      <c r="I226" s="551"/>
      <c r="J226" s="551"/>
      <c r="K226" s="551"/>
      <c r="L226" s="551"/>
      <c r="M226" s="551"/>
      <c r="N226" s="551"/>
      <c r="O226" s="551"/>
      <c r="P226" s="551"/>
      <c r="Q226" s="551"/>
      <c r="R226" s="551"/>
      <c r="S226" s="551"/>
      <c r="T226" s="551"/>
      <c r="U226" s="551"/>
      <c r="V226" s="551"/>
      <c r="W226" s="551"/>
      <c r="X226" s="551"/>
      <c r="Y226" s="551"/>
      <c r="Z226" s="551"/>
      <c r="AA226" s="551"/>
      <c r="AB226" s="551"/>
      <c r="AC226" s="551"/>
      <c r="AD226" s="551"/>
      <c r="AE226" s="551"/>
      <c r="AF226" s="551"/>
      <c r="AG226" s="551"/>
      <c r="AH226" s="551"/>
      <c r="AI226" s="551"/>
      <c r="AJ226" s="551"/>
      <c r="AK226" s="551"/>
      <c r="AL226" s="551"/>
      <c r="AM226" s="551"/>
      <c r="AN226" s="551"/>
      <c r="AO226" s="551"/>
      <c r="AP226" s="551"/>
      <c r="AQ226" s="551"/>
      <c r="AR226" s="551"/>
      <c r="AS226" s="551"/>
      <c r="AT226" s="551"/>
      <c r="AU226" s="551"/>
      <c r="AV226" s="551"/>
      <c r="AW226" s="551"/>
      <c r="AX226" s="551"/>
      <c r="AY226" s="551"/>
      <c r="AZ226" s="551"/>
      <c r="BA226" s="551"/>
      <c r="BB226" s="551"/>
      <c r="BC226" s="551"/>
      <c r="BD226" s="551"/>
      <c r="BE226" s="551"/>
      <c r="BF226" s="551"/>
    </row>
    <row r="227" spans="1:58" ht="12.75" customHeight="1">
      <c r="A227" s="551"/>
      <c r="B227" s="551"/>
      <c r="C227" s="551"/>
      <c r="D227" s="551"/>
      <c r="E227" s="551"/>
      <c r="F227" s="551"/>
      <c r="G227" s="551"/>
      <c r="H227" s="551"/>
      <c r="I227" s="551"/>
      <c r="J227" s="551"/>
      <c r="K227" s="551"/>
      <c r="L227" s="551"/>
      <c r="M227" s="551"/>
      <c r="N227" s="551"/>
      <c r="O227" s="551"/>
      <c r="P227" s="551"/>
      <c r="Q227" s="551"/>
      <c r="R227" s="551"/>
      <c r="S227" s="551"/>
      <c r="T227" s="551"/>
      <c r="U227" s="551"/>
      <c r="V227" s="551"/>
      <c r="W227" s="551"/>
      <c r="X227" s="551"/>
      <c r="Y227" s="551"/>
      <c r="Z227" s="551"/>
      <c r="AA227" s="551"/>
      <c r="AB227" s="551"/>
      <c r="AC227" s="551"/>
      <c r="AD227" s="551"/>
      <c r="AE227" s="551"/>
      <c r="AF227" s="551"/>
      <c r="AG227" s="551"/>
      <c r="AH227" s="551"/>
      <c r="AI227" s="551"/>
      <c r="AJ227" s="551"/>
      <c r="AK227" s="551"/>
      <c r="AL227" s="551"/>
      <c r="AM227" s="551"/>
      <c r="AN227" s="551"/>
      <c r="AO227" s="551"/>
      <c r="AP227" s="551"/>
      <c r="AQ227" s="551"/>
      <c r="AR227" s="551"/>
      <c r="AS227" s="551"/>
      <c r="AT227" s="551"/>
      <c r="AU227" s="551"/>
      <c r="AV227" s="551"/>
      <c r="AW227" s="551"/>
      <c r="AX227" s="551"/>
      <c r="AY227" s="551"/>
      <c r="AZ227" s="551"/>
      <c r="BA227" s="551"/>
      <c r="BB227" s="551"/>
      <c r="BC227" s="551"/>
      <c r="BD227" s="551"/>
      <c r="BE227" s="551"/>
      <c r="BF227" s="551"/>
    </row>
    <row r="228" spans="1:58" ht="12.75" customHeight="1">
      <c r="A228" s="551"/>
      <c r="B228" s="551"/>
      <c r="C228" s="551"/>
      <c r="D228" s="551"/>
      <c r="E228" s="551"/>
      <c r="F228" s="551"/>
      <c r="G228" s="551"/>
      <c r="H228" s="551"/>
      <c r="I228" s="551"/>
      <c r="J228" s="551"/>
      <c r="K228" s="551"/>
      <c r="L228" s="551"/>
      <c r="M228" s="551"/>
      <c r="N228" s="551"/>
      <c r="O228" s="551"/>
      <c r="P228" s="551"/>
      <c r="Q228" s="551"/>
      <c r="R228" s="551"/>
      <c r="S228" s="551"/>
      <c r="T228" s="551"/>
      <c r="U228" s="551"/>
      <c r="V228" s="551"/>
      <c r="W228" s="551"/>
      <c r="X228" s="551"/>
      <c r="Y228" s="551"/>
      <c r="Z228" s="551"/>
      <c r="AA228" s="551"/>
      <c r="AB228" s="551"/>
      <c r="AC228" s="551"/>
      <c r="AD228" s="551"/>
      <c r="AE228" s="551"/>
      <c r="AF228" s="551"/>
      <c r="AG228" s="551"/>
      <c r="AH228" s="551"/>
      <c r="AI228" s="551"/>
      <c r="AJ228" s="551"/>
      <c r="AK228" s="551"/>
      <c r="AL228" s="551"/>
      <c r="AM228" s="551"/>
      <c r="AN228" s="551"/>
      <c r="AO228" s="551"/>
      <c r="AP228" s="551"/>
      <c r="AQ228" s="551"/>
      <c r="AR228" s="551"/>
      <c r="AS228" s="551"/>
      <c r="AT228" s="551"/>
      <c r="AU228" s="551"/>
      <c r="AV228" s="551"/>
      <c r="AW228" s="551"/>
      <c r="AX228" s="551"/>
      <c r="AY228" s="551"/>
      <c r="AZ228" s="551"/>
      <c r="BA228" s="551"/>
      <c r="BB228" s="551"/>
      <c r="BC228" s="551"/>
      <c r="BD228" s="551"/>
      <c r="BE228" s="551"/>
      <c r="BF228" s="551"/>
    </row>
    <row r="229" spans="1:58" ht="12.75" customHeight="1">
      <c r="A229" s="551"/>
      <c r="B229" s="551"/>
      <c r="C229" s="551"/>
      <c r="D229" s="551"/>
      <c r="E229" s="551"/>
      <c r="F229" s="551"/>
      <c r="G229" s="551"/>
      <c r="H229" s="551"/>
      <c r="I229" s="551"/>
      <c r="J229" s="551"/>
      <c r="K229" s="551"/>
      <c r="L229" s="551"/>
      <c r="M229" s="551"/>
      <c r="N229" s="551"/>
      <c r="O229" s="551"/>
      <c r="P229" s="551"/>
      <c r="Q229" s="551"/>
      <c r="R229" s="551"/>
      <c r="S229" s="551"/>
      <c r="T229" s="551"/>
      <c r="U229" s="551"/>
      <c r="V229" s="551"/>
      <c r="W229" s="551"/>
      <c r="X229" s="551"/>
      <c r="Y229" s="551"/>
      <c r="Z229" s="551"/>
      <c r="AA229" s="551"/>
      <c r="AB229" s="551"/>
      <c r="AC229" s="551"/>
      <c r="AD229" s="551"/>
      <c r="AE229" s="551"/>
      <c r="AF229" s="551"/>
      <c r="AG229" s="551"/>
      <c r="AH229" s="551"/>
      <c r="AI229" s="551"/>
      <c r="AJ229" s="551"/>
      <c r="AK229" s="551"/>
      <c r="AL229" s="551"/>
      <c r="AM229" s="551"/>
      <c r="AN229" s="551"/>
      <c r="AO229" s="551"/>
      <c r="AP229" s="551"/>
      <c r="AQ229" s="551"/>
      <c r="AR229" s="551"/>
      <c r="AS229" s="551"/>
      <c r="AT229" s="551"/>
      <c r="AU229" s="551"/>
      <c r="AV229" s="551"/>
      <c r="AW229" s="551"/>
      <c r="AX229" s="551"/>
      <c r="AY229" s="551"/>
      <c r="AZ229" s="551"/>
      <c r="BA229" s="551"/>
      <c r="BB229" s="551"/>
      <c r="BC229" s="551"/>
      <c r="BD229" s="551"/>
      <c r="BE229" s="551"/>
      <c r="BF229" s="551"/>
    </row>
    <row r="230" spans="1:58" ht="12.75" customHeight="1">
      <c r="A230" s="551"/>
      <c r="B230" s="551"/>
      <c r="C230" s="551"/>
      <c r="D230" s="551"/>
      <c r="E230" s="551"/>
      <c r="F230" s="551"/>
      <c r="G230" s="551"/>
      <c r="H230" s="551"/>
      <c r="I230" s="551"/>
      <c r="J230" s="551"/>
      <c r="K230" s="551"/>
      <c r="L230" s="551"/>
      <c r="M230" s="551"/>
      <c r="N230" s="551"/>
      <c r="O230" s="551"/>
      <c r="P230" s="551"/>
      <c r="Q230" s="551"/>
      <c r="R230" s="551"/>
      <c r="S230" s="551"/>
      <c r="T230" s="551"/>
      <c r="U230" s="551"/>
      <c r="V230" s="551"/>
      <c r="W230" s="551"/>
      <c r="X230" s="551"/>
      <c r="Y230" s="551"/>
      <c r="Z230" s="551"/>
      <c r="AA230" s="551"/>
      <c r="AB230" s="551"/>
      <c r="AC230" s="551"/>
      <c r="AD230" s="551"/>
      <c r="AE230" s="551"/>
      <c r="AF230" s="551"/>
      <c r="AG230" s="551"/>
      <c r="AH230" s="551"/>
      <c r="AI230" s="551"/>
      <c r="AJ230" s="551"/>
      <c r="AK230" s="551"/>
      <c r="AL230" s="551"/>
      <c r="AM230" s="551"/>
      <c r="AN230" s="551"/>
      <c r="AO230" s="551"/>
      <c r="AP230" s="551"/>
      <c r="AQ230" s="551"/>
      <c r="AR230" s="551"/>
      <c r="AS230" s="551"/>
      <c r="AT230" s="551"/>
      <c r="AU230" s="551"/>
      <c r="AV230" s="551"/>
      <c r="AW230" s="551"/>
      <c r="AX230" s="551"/>
      <c r="AY230" s="551"/>
      <c r="AZ230" s="551"/>
      <c r="BA230" s="551"/>
      <c r="BB230" s="551"/>
      <c r="BC230" s="551"/>
      <c r="BD230" s="551"/>
      <c r="BE230" s="551"/>
      <c r="BF230" s="551"/>
    </row>
    <row r="231" spans="1:58" ht="12.75" customHeight="1">
      <c r="A231" s="551"/>
      <c r="B231" s="551"/>
      <c r="C231" s="551"/>
      <c r="D231" s="551"/>
      <c r="E231" s="551"/>
      <c r="F231" s="551"/>
      <c r="G231" s="551"/>
      <c r="H231" s="551"/>
      <c r="I231" s="551"/>
      <c r="J231" s="551"/>
      <c r="K231" s="551"/>
      <c r="L231" s="551"/>
      <c r="M231" s="551"/>
      <c r="N231" s="551"/>
      <c r="O231" s="551"/>
      <c r="P231" s="551"/>
      <c r="Q231" s="551"/>
      <c r="R231" s="551"/>
      <c r="S231" s="551"/>
      <c r="T231" s="551"/>
      <c r="U231" s="551"/>
      <c r="V231" s="551"/>
      <c r="W231" s="551"/>
      <c r="X231" s="551"/>
      <c r="Y231" s="551"/>
      <c r="Z231" s="551"/>
      <c r="AA231" s="551"/>
      <c r="AB231" s="551"/>
      <c r="AC231" s="551"/>
      <c r="AD231" s="551"/>
      <c r="AE231" s="551"/>
      <c r="AF231" s="551"/>
      <c r="AG231" s="551"/>
      <c r="AH231" s="551"/>
      <c r="AI231" s="551"/>
      <c r="AJ231" s="551"/>
      <c r="AK231" s="551"/>
      <c r="AL231" s="551"/>
      <c r="AM231" s="551"/>
      <c r="AN231" s="551"/>
      <c r="AO231" s="551"/>
      <c r="AP231" s="551"/>
      <c r="AQ231" s="551"/>
      <c r="AR231" s="551"/>
      <c r="AS231" s="551"/>
      <c r="AT231" s="551"/>
      <c r="AU231" s="551"/>
      <c r="AV231" s="551"/>
      <c r="AW231" s="551"/>
      <c r="AX231" s="551"/>
      <c r="AY231" s="551"/>
      <c r="AZ231" s="551"/>
      <c r="BA231" s="551"/>
      <c r="BB231" s="551"/>
      <c r="BC231" s="551"/>
      <c r="BD231" s="551"/>
      <c r="BE231" s="551"/>
      <c r="BF231" s="551"/>
    </row>
    <row r="232" spans="1:58" ht="12.75" customHeight="1">
      <c r="A232" s="551"/>
      <c r="B232" s="551"/>
      <c r="C232" s="551"/>
      <c r="D232" s="551"/>
      <c r="E232" s="551"/>
      <c r="F232" s="551"/>
      <c r="G232" s="551"/>
      <c r="H232" s="551"/>
      <c r="I232" s="551"/>
      <c r="J232" s="551"/>
      <c r="K232" s="551"/>
      <c r="L232" s="551"/>
      <c r="M232" s="551"/>
      <c r="N232" s="551"/>
      <c r="O232" s="551"/>
      <c r="P232" s="551"/>
      <c r="Q232" s="551"/>
      <c r="R232" s="551"/>
      <c r="S232" s="551"/>
      <c r="T232" s="551"/>
      <c r="U232" s="551"/>
      <c r="V232" s="551"/>
      <c r="W232" s="551"/>
      <c r="X232" s="551"/>
      <c r="Y232" s="551"/>
      <c r="Z232" s="551"/>
      <c r="AA232" s="551"/>
      <c r="AB232" s="551"/>
      <c r="AC232" s="551"/>
      <c r="AD232" s="551"/>
      <c r="AE232" s="551"/>
      <c r="AF232" s="551"/>
      <c r="AG232" s="551"/>
      <c r="AH232" s="551"/>
      <c r="AI232" s="551"/>
      <c r="AJ232" s="551"/>
      <c r="AK232" s="551"/>
      <c r="AL232" s="551"/>
      <c r="AM232" s="551"/>
      <c r="AN232" s="551"/>
      <c r="AO232" s="551"/>
      <c r="AP232" s="551"/>
      <c r="AQ232" s="551"/>
      <c r="AR232" s="551"/>
      <c r="AS232" s="551"/>
      <c r="AT232" s="551"/>
      <c r="AU232" s="551"/>
      <c r="AV232" s="551"/>
      <c r="AW232" s="551"/>
      <c r="AX232" s="551"/>
      <c r="AY232" s="551"/>
      <c r="AZ232" s="551"/>
      <c r="BA232" s="551"/>
      <c r="BB232" s="551"/>
      <c r="BC232" s="551"/>
      <c r="BD232" s="551"/>
      <c r="BE232" s="551"/>
      <c r="BF232" s="551"/>
    </row>
    <row r="233" spans="1:58" ht="12.75" customHeight="1">
      <c r="A233" s="551"/>
      <c r="B233" s="551"/>
      <c r="C233" s="551"/>
      <c r="D233" s="551"/>
      <c r="E233" s="551"/>
      <c r="F233" s="551"/>
      <c r="G233" s="551"/>
      <c r="H233" s="551"/>
      <c r="I233" s="551"/>
      <c r="J233" s="551"/>
      <c r="K233" s="551"/>
      <c r="L233" s="551"/>
      <c r="M233" s="551"/>
      <c r="N233" s="551"/>
      <c r="O233" s="551"/>
      <c r="P233" s="551"/>
      <c r="Q233" s="551"/>
      <c r="R233" s="551"/>
      <c r="S233" s="551"/>
      <c r="T233" s="551"/>
      <c r="U233" s="551"/>
      <c r="V233" s="551"/>
      <c r="W233" s="551"/>
      <c r="X233" s="551"/>
      <c r="Y233" s="551"/>
      <c r="Z233" s="551"/>
      <c r="AA233" s="551"/>
      <c r="AB233" s="551"/>
      <c r="AC233" s="551"/>
      <c r="AD233" s="551"/>
      <c r="AE233" s="551"/>
      <c r="AF233" s="551"/>
      <c r="AG233" s="551"/>
      <c r="AH233" s="551"/>
      <c r="AI233" s="551"/>
      <c r="AJ233" s="551"/>
      <c r="AK233" s="551"/>
      <c r="AL233" s="551"/>
      <c r="AM233" s="551"/>
      <c r="AN233" s="551"/>
      <c r="AO233" s="551"/>
      <c r="AP233" s="551"/>
      <c r="AQ233" s="551"/>
      <c r="AR233" s="551"/>
      <c r="AS233" s="551"/>
      <c r="AT233" s="551"/>
      <c r="AU233" s="551"/>
      <c r="AV233" s="551"/>
      <c r="AW233" s="551"/>
      <c r="AX233" s="551"/>
      <c r="AY233" s="551"/>
      <c r="AZ233" s="551"/>
      <c r="BA233" s="551"/>
      <c r="BB233" s="551"/>
      <c r="BC233" s="551"/>
      <c r="BD233" s="551"/>
      <c r="BE233" s="551"/>
      <c r="BF233" s="551"/>
    </row>
    <row r="234" spans="1:58" ht="12.75" customHeight="1">
      <c r="A234" s="551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1"/>
      <c r="P234" s="551"/>
      <c r="Q234" s="551"/>
      <c r="R234" s="551"/>
      <c r="S234" s="551"/>
      <c r="T234" s="551"/>
      <c r="U234" s="551"/>
      <c r="V234" s="551"/>
      <c r="W234" s="551"/>
      <c r="X234" s="551"/>
      <c r="Y234" s="551"/>
      <c r="Z234" s="551"/>
      <c r="AA234" s="551"/>
      <c r="AB234" s="551"/>
      <c r="AC234" s="551"/>
      <c r="AD234" s="551"/>
      <c r="AE234" s="551"/>
      <c r="AF234" s="551"/>
      <c r="AG234" s="551"/>
      <c r="AH234" s="551"/>
      <c r="AI234" s="551"/>
      <c r="AJ234" s="551"/>
      <c r="AK234" s="551"/>
      <c r="AL234" s="551"/>
      <c r="AM234" s="551"/>
      <c r="AN234" s="551"/>
      <c r="AO234" s="551"/>
      <c r="AP234" s="551"/>
      <c r="AQ234" s="551"/>
      <c r="AR234" s="551"/>
      <c r="AS234" s="551"/>
      <c r="AT234" s="551"/>
      <c r="AU234" s="551"/>
      <c r="AV234" s="551"/>
      <c r="AW234" s="551"/>
      <c r="AX234" s="551"/>
      <c r="AY234" s="551"/>
      <c r="AZ234" s="551"/>
      <c r="BA234" s="551"/>
      <c r="BB234" s="551"/>
      <c r="BC234" s="551"/>
      <c r="BD234" s="551"/>
      <c r="BE234" s="551"/>
      <c r="BF234" s="551"/>
    </row>
    <row r="235" spans="1:58" ht="12.75" customHeight="1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1"/>
      <c r="P235" s="551"/>
      <c r="Q235" s="551"/>
      <c r="R235" s="551"/>
      <c r="S235" s="551"/>
      <c r="T235" s="551"/>
      <c r="U235" s="551"/>
      <c r="V235" s="551"/>
      <c r="W235" s="551"/>
      <c r="X235" s="551"/>
      <c r="Y235" s="551"/>
      <c r="Z235" s="551"/>
      <c r="AA235" s="551"/>
      <c r="AB235" s="551"/>
      <c r="AC235" s="551"/>
      <c r="AD235" s="551"/>
      <c r="AE235" s="551"/>
      <c r="AF235" s="551"/>
      <c r="AG235" s="551"/>
      <c r="AH235" s="551"/>
      <c r="AI235" s="551"/>
      <c r="AJ235" s="551"/>
      <c r="AK235" s="551"/>
      <c r="AL235" s="551"/>
      <c r="AM235" s="551"/>
      <c r="AN235" s="551"/>
      <c r="AO235" s="551"/>
      <c r="AP235" s="551"/>
      <c r="AQ235" s="551"/>
      <c r="AR235" s="551"/>
      <c r="AS235" s="551"/>
      <c r="AT235" s="551"/>
      <c r="AU235" s="551"/>
      <c r="AV235" s="551"/>
      <c r="AW235" s="551"/>
      <c r="AX235" s="551"/>
      <c r="AY235" s="551"/>
      <c r="AZ235" s="551"/>
      <c r="BA235" s="551"/>
      <c r="BB235" s="551"/>
      <c r="BC235" s="551"/>
      <c r="BD235" s="551"/>
      <c r="BE235" s="551"/>
      <c r="BF235" s="551"/>
    </row>
    <row r="236" spans="1:58" ht="12.75" customHeight="1">
      <c r="A236" s="551"/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51"/>
      <c r="AB236" s="551"/>
      <c r="AC236" s="551"/>
      <c r="AD236" s="551"/>
      <c r="AE236" s="551"/>
      <c r="AF236" s="551"/>
      <c r="AG236" s="551"/>
      <c r="AH236" s="551"/>
      <c r="AI236" s="551"/>
      <c r="AJ236" s="551"/>
      <c r="AK236" s="551"/>
      <c r="AL236" s="551"/>
      <c r="AM236" s="551"/>
      <c r="AN236" s="551"/>
      <c r="AO236" s="551"/>
      <c r="AP236" s="551"/>
      <c r="AQ236" s="551"/>
      <c r="AR236" s="551"/>
      <c r="AS236" s="551"/>
      <c r="AT236" s="551"/>
      <c r="AU236" s="551"/>
      <c r="AV236" s="551"/>
      <c r="AW236" s="551"/>
      <c r="AX236" s="551"/>
      <c r="AY236" s="551"/>
      <c r="AZ236" s="551"/>
      <c r="BA236" s="551"/>
      <c r="BB236" s="551"/>
      <c r="BC236" s="551"/>
      <c r="BD236" s="551"/>
      <c r="BE236" s="551"/>
      <c r="BF236" s="551"/>
    </row>
    <row r="237" spans="1:58" ht="12.75" customHeight="1">
      <c r="A237" s="551"/>
      <c r="B237" s="551"/>
      <c r="C237" s="551"/>
      <c r="D237" s="551"/>
      <c r="E237" s="551"/>
      <c r="F237" s="551"/>
      <c r="G237" s="551"/>
      <c r="H237" s="551"/>
      <c r="I237" s="551"/>
      <c r="J237" s="551"/>
      <c r="K237" s="551"/>
      <c r="L237" s="551"/>
      <c r="M237" s="551"/>
      <c r="N237" s="551"/>
      <c r="O237" s="551"/>
      <c r="P237" s="551"/>
      <c r="Q237" s="551"/>
      <c r="R237" s="551"/>
      <c r="S237" s="551"/>
      <c r="T237" s="551"/>
      <c r="U237" s="551"/>
      <c r="V237" s="551"/>
      <c r="W237" s="551"/>
      <c r="X237" s="551"/>
      <c r="Y237" s="551"/>
      <c r="Z237" s="551"/>
      <c r="AA237" s="551"/>
      <c r="AB237" s="551"/>
      <c r="AC237" s="551"/>
      <c r="AD237" s="551"/>
      <c r="AE237" s="551"/>
      <c r="AF237" s="551"/>
      <c r="AG237" s="551"/>
      <c r="AH237" s="551"/>
      <c r="AI237" s="551"/>
      <c r="AJ237" s="551"/>
      <c r="AK237" s="551"/>
      <c r="AL237" s="551"/>
      <c r="AM237" s="551"/>
      <c r="AN237" s="551"/>
      <c r="AO237" s="551"/>
      <c r="AP237" s="551"/>
      <c r="AQ237" s="551"/>
      <c r="AR237" s="551"/>
      <c r="AS237" s="551"/>
      <c r="AT237" s="551"/>
      <c r="AU237" s="551"/>
      <c r="AV237" s="551"/>
      <c r="AW237" s="551"/>
      <c r="AX237" s="551"/>
      <c r="AY237" s="551"/>
      <c r="AZ237" s="551"/>
      <c r="BA237" s="551"/>
      <c r="BB237" s="551"/>
      <c r="BC237" s="551"/>
      <c r="BD237" s="551"/>
      <c r="BE237" s="551"/>
      <c r="BF237" s="551"/>
    </row>
    <row r="238" spans="1:58" ht="12.75" customHeight="1">
      <c r="A238" s="551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1"/>
      <c r="P238" s="551"/>
      <c r="Q238" s="551"/>
      <c r="R238" s="551"/>
      <c r="S238" s="551"/>
      <c r="T238" s="551"/>
      <c r="U238" s="551"/>
      <c r="V238" s="551"/>
      <c r="W238" s="551"/>
      <c r="X238" s="551"/>
      <c r="Y238" s="551"/>
      <c r="Z238" s="551"/>
      <c r="AA238" s="551"/>
      <c r="AB238" s="551"/>
      <c r="AC238" s="551"/>
      <c r="AD238" s="551"/>
      <c r="AE238" s="551"/>
      <c r="AF238" s="551"/>
      <c r="AG238" s="551"/>
      <c r="AH238" s="551"/>
      <c r="AI238" s="551"/>
      <c r="AJ238" s="551"/>
      <c r="AK238" s="551"/>
      <c r="AL238" s="551"/>
      <c r="AM238" s="551"/>
      <c r="AN238" s="551"/>
      <c r="AO238" s="551"/>
      <c r="AP238" s="551"/>
      <c r="AQ238" s="551"/>
      <c r="AR238" s="551"/>
      <c r="AS238" s="551"/>
      <c r="AT238" s="551"/>
      <c r="AU238" s="551"/>
      <c r="AV238" s="551"/>
      <c r="AW238" s="551"/>
      <c r="AX238" s="551"/>
      <c r="AY238" s="551"/>
      <c r="AZ238" s="551"/>
      <c r="BA238" s="551"/>
      <c r="BB238" s="551"/>
      <c r="BC238" s="551"/>
      <c r="BD238" s="551"/>
      <c r="BE238" s="551"/>
      <c r="BF238" s="551"/>
    </row>
    <row r="239" spans="1:58" ht="12.75" customHeight="1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1"/>
      <c r="P239" s="551"/>
      <c r="Q239" s="551"/>
      <c r="R239" s="551"/>
      <c r="S239" s="551"/>
      <c r="T239" s="551"/>
      <c r="U239" s="551"/>
      <c r="V239" s="551"/>
      <c r="W239" s="551"/>
      <c r="X239" s="551"/>
      <c r="Y239" s="551"/>
      <c r="Z239" s="551"/>
      <c r="AA239" s="551"/>
      <c r="AB239" s="551"/>
      <c r="AC239" s="551"/>
      <c r="AD239" s="551"/>
      <c r="AE239" s="551"/>
      <c r="AF239" s="551"/>
      <c r="AG239" s="551"/>
      <c r="AH239" s="551"/>
      <c r="AI239" s="551"/>
      <c r="AJ239" s="551"/>
      <c r="AK239" s="551"/>
      <c r="AL239" s="551"/>
      <c r="AM239" s="551"/>
      <c r="AN239" s="551"/>
      <c r="AO239" s="551"/>
      <c r="AP239" s="551"/>
      <c r="AQ239" s="551"/>
      <c r="AR239" s="551"/>
      <c r="AS239" s="551"/>
      <c r="AT239" s="551"/>
      <c r="AU239" s="551"/>
      <c r="AV239" s="551"/>
      <c r="AW239" s="551"/>
      <c r="AX239" s="551"/>
      <c r="AY239" s="551"/>
      <c r="AZ239" s="551"/>
      <c r="BA239" s="551"/>
      <c r="BB239" s="551"/>
      <c r="BC239" s="551"/>
      <c r="BD239" s="551"/>
      <c r="BE239" s="551"/>
      <c r="BF239" s="551"/>
    </row>
    <row r="240" spans="1:58" ht="12.75" customHeight="1">
      <c r="A240" s="551"/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51"/>
      <c r="AB240" s="551"/>
      <c r="AC240" s="551"/>
      <c r="AD240" s="551"/>
      <c r="AE240" s="551"/>
      <c r="AF240" s="551"/>
      <c r="AG240" s="551"/>
      <c r="AH240" s="551"/>
      <c r="AI240" s="551"/>
      <c r="AJ240" s="551"/>
      <c r="AK240" s="551"/>
      <c r="AL240" s="551"/>
      <c r="AM240" s="551"/>
      <c r="AN240" s="551"/>
      <c r="AO240" s="551"/>
      <c r="AP240" s="551"/>
      <c r="AQ240" s="551"/>
      <c r="AR240" s="551"/>
      <c r="AS240" s="551"/>
      <c r="AT240" s="551"/>
      <c r="AU240" s="551"/>
      <c r="AV240" s="551"/>
      <c r="AW240" s="551"/>
      <c r="AX240" s="551"/>
      <c r="AY240" s="551"/>
      <c r="AZ240" s="551"/>
      <c r="BA240" s="551"/>
      <c r="BB240" s="551"/>
      <c r="BC240" s="551"/>
      <c r="BD240" s="551"/>
      <c r="BE240" s="551"/>
      <c r="BF240" s="551"/>
    </row>
    <row r="241" spans="1:58" ht="12.75" customHeight="1">
      <c r="A241" s="551"/>
      <c r="B241" s="551"/>
      <c r="C241" s="551"/>
      <c r="D241" s="551"/>
      <c r="E241" s="551"/>
      <c r="F241" s="551"/>
      <c r="G241" s="551"/>
      <c r="H241" s="551"/>
      <c r="I241" s="551"/>
      <c r="J241" s="551"/>
      <c r="K241" s="551"/>
      <c r="L241" s="551"/>
      <c r="M241" s="551"/>
      <c r="N241" s="551"/>
      <c r="O241" s="551"/>
      <c r="P241" s="551"/>
      <c r="Q241" s="551"/>
      <c r="R241" s="551"/>
      <c r="S241" s="551"/>
      <c r="T241" s="551"/>
      <c r="U241" s="551"/>
      <c r="V241" s="551"/>
      <c r="W241" s="551"/>
      <c r="X241" s="551"/>
      <c r="Y241" s="551"/>
      <c r="Z241" s="551"/>
      <c r="AA241" s="551"/>
      <c r="AB241" s="551"/>
      <c r="AC241" s="551"/>
      <c r="AD241" s="551"/>
      <c r="AE241" s="551"/>
      <c r="AF241" s="551"/>
      <c r="AG241" s="551"/>
      <c r="AH241" s="551"/>
      <c r="AI241" s="551"/>
      <c r="AJ241" s="551"/>
      <c r="AK241" s="551"/>
      <c r="AL241" s="551"/>
      <c r="AM241" s="551"/>
      <c r="AN241" s="551"/>
      <c r="AO241" s="551"/>
      <c r="AP241" s="551"/>
      <c r="AQ241" s="551"/>
      <c r="AR241" s="551"/>
      <c r="AS241" s="551"/>
      <c r="AT241" s="551"/>
      <c r="AU241" s="551"/>
      <c r="AV241" s="551"/>
      <c r="AW241" s="551"/>
      <c r="AX241" s="551"/>
      <c r="AY241" s="551"/>
      <c r="AZ241" s="551"/>
      <c r="BA241" s="551"/>
      <c r="BB241" s="551"/>
      <c r="BC241" s="551"/>
      <c r="BD241" s="551"/>
      <c r="BE241" s="551"/>
      <c r="BF241" s="551"/>
    </row>
    <row r="242" spans="1:58" ht="12.75" customHeight="1">
      <c r="A242" s="551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1"/>
      <c r="P242" s="551"/>
      <c r="Q242" s="551"/>
      <c r="R242" s="551"/>
      <c r="S242" s="551"/>
      <c r="T242" s="551"/>
      <c r="U242" s="551"/>
      <c r="V242" s="551"/>
      <c r="W242" s="551"/>
      <c r="X242" s="551"/>
      <c r="Y242" s="551"/>
      <c r="Z242" s="551"/>
      <c r="AA242" s="551"/>
      <c r="AB242" s="551"/>
      <c r="AC242" s="551"/>
      <c r="AD242" s="551"/>
      <c r="AE242" s="551"/>
      <c r="AF242" s="551"/>
      <c r="AG242" s="551"/>
      <c r="AH242" s="551"/>
      <c r="AI242" s="551"/>
      <c r="AJ242" s="551"/>
      <c r="AK242" s="551"/>
      <c r="AL242" s="551"/>
      <c r="AM242" s="551"/>
      <c r="AN242" s="551"/>
      <c r="AO242" s="551"/>
      <c r="AP242" s="551"/>
      <c r="AQ242" s="551"/>
      <c r="AR242" s="551"/>
      <c r="AS242" s="551"/>
      <c r="AT242" s="551"/>
      <c r="AU242" s="551"/>
      <c r="AV242" s="551"/>
      <c r="AW242" s="551"/>
      <c r="AX242" s="551"/>
      <c r="AY242" s="551"/>
      <c r="AZ242" s="551"/>
      <c r="BA242" s="551"/>
      <c r="BB242" s="551"/>
      <c r="BC242" s="551"/>
      <c r="BD242" s="551"/>
      <c r="BE242" s="551"/>
      <c r="BF242" s="551"/>
    </row>
    <row r="243" spans="1:58" ht="12.75" customHeight="1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1"/>
      <c r="P243" s="551"/>
      <c r="Q243" s="551"/>
      <c r="R243" s="551"/>
      <c r="S243" s="551"/>
      <c r="T243" s="551"/>
      <c r="U243" s="551"/>
      <c r="V243" s="551"/>
      <c r="W243" s="551"/>
      <c r="X243" s="551"/>
      <c r="Y243" s="551"/>
      <c r="Z243" s="551"/>
      <c r="AA243" s="551"/>
      <c r="AB243" s="551"/>
      <c r="AC243" s="551"/>
      <c r="AD243" s="551"/>
      <c r="AE243" s="551"/>
      <c r="AF243" s="551"/>
      <c r="AG243" s="551"/>
      <c r="AH243" s="551"/>
      <c r="AI243" s="551"/>
      <c r="AJ243" s="551"/>
      <c r="AK243" s="551"/>
      <c r="AL243" s="551"/>
      <c r="AM243" s="551"/>
      <c r="AN243" s="551"/>
      <c r="AO243" s="551"/>
      <c r="AP243" s="551"/>
      <c r="AQ243" s="551"/>
      <c r="AR243" s="551"/>
      <c r="AS243" s="551"/>
      <c r="AT243" s="551"/>
      <c r="AU243" s="551"/>
      <c r="AV243" s="551"/>
      <c r="AW243" s="551"/>
      <c r="AX243" s="551"/>
      <c r="AY243" s="551"/>
      <c r="AZ243" s="551"/>
      <c r="BA243" s="551"/>
      <c r="BB243" s="551"/>
      <c r="BC243" s="551"/>
      <c r="BD243" s="551"/>
      <c r="BE243" s="551"/>
      <c r="BF243" s="551"/>
    </row>
    <row r="244" spans="1:58" ht="12.75" customHeight="1">
      <c r="A244" s="551"/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51"/>
      <c r="AB244" s="551"/>
      <c r="AC244" s="551"/>
      <c r="AD244" s="551"/>
      <c r="AE244" s="551"/>
      <c r="AF244" s="551"/>
      <c r="AG244" s="551"/>
      <c r="AH244" s="551"/>
      <c r="AI244" s="551"/>
      <c r="AJ244" s="551"/>
      <c r="AK244" s="551"/>
      <c r="AL244" s="551"/>
      <c r="AM244" s="551"/>
      <c r="AN244" s="551"/>
      <c r="AO244" s="551"/>
      <c r="AP244" s="551"/>
      <c r="AQ244" s="551"/>
      <c r="AR244" s="551"/>
      <c r="AS244" s="551"/>
      <c r="AT244" s="551"/>
      <c r="AU244" s="551"/>
      <c r="AV244" s="551"/>
      <c r="AW244" s="551"/>
      <c r="AX244" s="551"/>
      <c r="AY244" s="551"/>
      <c r="AZ244" s="551"/>
      <c r="BA244" s="551"/>
      <c r="BB244" s="551"/>
      <c r="BC244" s="551"/>
      <c r="BD244" s="551"/>
      <c r="BE244" s="551"/>
      <c r="BF244" s="551"/>
    </row>
    <row r="245" spans="1:58" ht="12.75" customHeight="1">
      <c r="A245" s="551"/>
      <c r="B245" s="551"/>
      <c r="C245" s="551"/>
      <c r="D245" s="551"/>
      <c r="E245" s="551"/>
      <c r="F245" s="551"/>
      <c r="G245" s="551"/>
      <c r="H245" s="551"/>
      <c r="I245" s="551"/>
      <c r="J245" s="551"/>
      <c r="K245" s="551"/>
      <c r="L245" s="551"/>
      <c r="M245" s="551"/>
      <c r="N245" s="551"/>
      <c r="O245" s="551"/>
      <c r="P245" s="551"/>
      <c r="Q245" s="551"/>
      <c r="R245" s="551"/>
      <c r="S245" s="551"/>
      <c r="T245" s="551"/>
      <c r="U245" s="551"/>
      <c r="V245" s="551"/>
      <c r="W245" s="551"/>
      <c r="X245" s="551"/>
      <c r="Y245" s="551"/>
      <c r="Z245" s="551"/>
      <c r="AA245" s="551"/>
      <c r="AB245" s="551"/>
      <c r="AC245" s="551"/>
      <c r="AD245" s="551"/>
      <c r="AE245" s="551"/>
      <c r="AF245" s="551"/>
      <c r="AG245" s="551"/>
      <c r="AH245" s="551"/>
      <c r="AI245" s="551"/>
      <c r="AJ245" s="551"/>
      <c r="AK245" s="551"/>
      <c r="AL245" s="551"/>
      <c r="AM245" s="551"/>
      <c r="AN245" s="551"/>
      <c r="AO245" s="551"/>
      <c r="AP245" s="551"/>
      <c r="AQ245" s="551"/>
      <c r="AR245" s="551"/>
      <c r="AS245" s="551"/>
      <c r="AT245" s="551"/>
      <c r="AU245" s="551"/>
      <c r="AV245" s="551"/>
      <c r="AW245" s="551"/>
      <c r="AX245" s="551"/>
      <c r="AY245" s="551"/>
      <c r="AZ245" s="551"/>
      <c r="BA245" s="551"/>
      <c r="BB245" s="551"/>
      <c r="BC245" s="551"/>
      <c r="BD245" s="551"/>
      <c r="BE245" s="551"/>
      <c r="BF245" s="551"/>
    </row>
    <row r="246" spans="1:58" ht="12.75" customHeight="1">
      <c r="A246" s="551"/>
      <c r="B246" s="551"/>
      <c r="C246" s="551"/>
      <c r="D246" s="551"/>
      <c r="E246" s="551"/>
      <c r="F246" s="551"/>
      <c r="G246" s="551"/>
      <c r="H246" s="551"/>
      <c r="I246" s="551"/>
      <c r="J246" s="551"/>
      <c r="K246" s="551"/>
      <c r="L246" s="551"/>
      <c r="M246" s="551"/>
      <c r="N246" s="551"/>
      <c r="O246" s="551"/>
      <c r="P246" s="551"/>
      <c r="Q246" s="551"/>
      <c r="R246" s="551"/>
      <c r="S246" s="551"/>
      <c r="T246" s="551"/>
      <c r="U246" s="551"/>
      <c r="V246" s="551"/>
      <c r="W246" s="551"/>
      <c r="X246" s="551"/>
      <c r="Y246" s="551"/>
      <c r="Z246" s="551"/>
      <c r="AA246" s="551"/>
      <c r="AB246" s="551"/>
      <c r="AC246" s="551"/>
      <c r="AD246" s="551"/>
      <c r="AE246" s="551"/>
      <c r="AF246" s="551"/>
      <c r="AG246" s="551"/>
      <c r="AH246" s="551"/>
      <c r="AI246" s="551"/>
      <c r="AJ246" s="551"/>
      <c r="AK246" s="551"/>
      <c r="AL246" s="551"/>
      <c r="AM246" s="551"/>
      <c r="AN246" s="551"/>
      <c r="AO246" s="551"/>
      <c r="AP246" s="551"/>
      <c r="AQ246" s="551"/>
      <c r="AR246" s="551"/>
      <c r="AS246" s="551"/>
      <c r="AT246" s="551"/>
      <c r="AU246" s="551"/>
      <c r="AV246" s="551"/>
      <c r="AW246" s="551"/>
      <c r="AX246" s="551"/>
      <c r="AY246" s="551"/>
      <c r="AZ246" s="551"/>
      <c r="BA246" s="551"/>
      <c r="BB246" s="551"/>
      <c r="BC246" s="551"/>
      <c r="BD246" s="551"/>
      <c r="BE246" s="551"/>
      <c r="BF246" s="551"/>
    </row>
    <row r="247" spans="1:58" ht="12.75" customHeight="1">
      <c r="A247" s="551"/>
      <c r="B247" s="551"/>
      <c r="C247" s="551"/>
      <c r="D247" s="551"/>
      <c r="E247" s="551"/>
      <c r="F247" s="551"/>
      <c r="G247" s="551"/>
      <c r="H247" s="551"/>
      <c r="I247" s="551"/>
      <c r="J247" s="551"/>
      <c r="K247" s="551"/>
      <c r="L247" s="551"/>
      <c r="M247" s="551"/>
      <c r="N247" s="551"/>
      <c r="O247" s="551"/>
      <c r="P247" s="551"/>
      <c r="Q247" s="551"/>
      <c r="R247" s="551"/>
      <c r="S247" s="551"/>
      <c r="T247" s="551"/>
      <c r="U247" s="551"/>
      <c r="V247" s="551"/>
      <c r="W247" s="551"/>
      <c r="X247" s="551"/>
      <c r="Y247" s="551"/>
      <c r="Z247" s="551"/>
      <c r="AA247" s="551"/>
      <c r="AB247" s="551"/>
      <c r="AC247" s="551"/>
      <c r="AD247" s="551"/>
      <c r="AE247" s="551"/>
      <c r="AF247" s="551"/>
      <c r="AG247" s="551"/>
      <c r="AH247" s="551"/>
      <c r="AI247" s="551"/>
      <c r="AJ247" s="551"/>
      <c r="AK247" s="551"/>
      <c r="AL247" s="551"/>
      <c r="AM247" s="551"/>
      <c r="AN247" s="551"/>
      <c r="AO247" s="551"/>
      <c r="AP247" s="551"/>
      <c r="AQ247" s="551"/>
      <c r="AR247" s="551"/>
      <c r="AS247" s="551"/>
      <c r="AT247" s="551"/>
      <c r="AU247" s="551"/>
      <c r="AV247" s="551"/>
      <c r="AW247" s="551"/>
      <c r="AX247" s="551"/>
      <c r="AY247" s="551"/>
      <c r="AZ247" s="551"/>
      <c r="BA247" s="551"/>
      <c r="BB247" s="551"/>
      <c r="BC247" s="551"/>
      <c r="BD247" s="551"/>
      <c r="BE247" s="551"/>
      <c r="BF247" s="551"/>
    </row>
    <row r="248" spans="1:58" ht="12.75" customHeight="1">
      <c r="A248" s="551"/>
      <c r="B248" s="551"/>
      <c r="C248" s="551"/>
      <c r="D248" s="551"/>
      <c r="E248" s="551"/>
      <c r="F248" s="551"/>
      <c r="G248" s="551"/>
      <c r="H248" s="551"/>
      <c r="I248" s="551"/>
      <c r="J248" s="551"/>
      <c r="K248" s="551"/>
      <c r="L248" s="551"/>
      <c r="M248" s="551"/>
      <c r="N248" s="551"/>
      <c r="O248" s="551"/>
      <c r="P248" s="551"/>
      <c r="Q248" s="551"/>
      <c r="R248" s="551"/>
      <c r="S248" s="551"/>
      <c r="T248" s="551"/>
      <c r="U248" s="551"/>
      <c r="V248" s="551"/>
      <c r="W248" s="551"/>
      <c r="X248" s="551"/>
      <c r="Y248" s="551"/>
      <c r="Z248" s="551"/>
      <c r="AA248" s="551"/>
      <c r="AB248" s="551"/>
      <c r="AC248" s="551"/>
      <c r="AD248" s="551"/>
      <c r="AE248" s="551"/>
      <c r="AF248" s="551"/>
      <c r="AG248" s="551"/>
      <c r="AH248" s="551"/>
      <c r="AI248" s="551"/>
      <c r="AJ248" s="551"/>
      <c r="AK248" s="551"/>
      <c r="AL248" s="551"/>
      <c r="AM248" s="551"/>
      <c r="AN248" s="551"/>
      <c r="AO248" s="551"/>
      <c r="AP248" s="551"/>
      <c r="AQ248" s="551"/>
      <c r="AR248" s="551"/>
      <c r="AS248" s="551"/>
      <c r="AT248" s="551"/>
      <c r="AU248" s="551"/>
      <c r="AV248" s="551"/>
      <c r="AW248" s="551"/>
      <c r="AX248" s="551"/>
      <c r="AY248" s="551"/>
      <c r="AZ248" s="551"/>
      <c r="BA248" s="551"/>
      <c r="BB248" s="551"/>
      <c r="BC248" s="551"/>
      <c r="BD248" s="551"/>
      <c r="BE248" s="551"/>
      <c r="BF248" s="551"/>
    </row>
    <row r="249" spans="1:58" ht="12.75" customHeight="1">
      <c r="A249" s="551"/>
      <c r="B249" s="551"/>
      <c r="C249" s="551"/>
      <c r="D249" s="551"/>
      <c r="E249" s="551"/>
      <c r="F249" s="551"/>
      <c r="G249" s="551"/>
      <c r="H249" s="551"/>
      <c r="I249" s="551"/>
      <c r="J249" s="551"/>
      <c r="K249" s="551"/>
      <c r="L249" s="551"/>
      <c r="M249" s="551"/>
      <c r="N249" s="551"/>
      <c r="O249" s="551"/>
      <c r="P249" s="551"/>
      <c r="Q249" s="551"/>
      <c r="R249" s="551"/>
      <c r="S249" s="551"/>
      <c r="T249" s="551"/>
      <c r="U249" s="551"/>
      <c r="V249" s="551"/>
      <c r="W249" s="551"/>
      <c r="X249" s="551"/>
      <c r="Y249" s="551"/>
      <c r="Z249" s="551"/>
      <c r="AA249" s="551"/>
      <c r="AB249" s="551"/>
      <c r="AC249" s="551"/>
      <c r="AD249" s="551"/>
      <c r="AE249" s="551"/>
      <c r="AF249" s="551"/>
      <c r="AG249" s="551"/>
      <c r="AH249" s="551"/>
      <c r="AI249" s="551"/>
      <c r="AJ249" s="551"/>
      <c r="AK249" s="551"/>
      <c r="AL249" s="551"/>
      <c r="AM249" s="551"/>
      <c r="AN249" s="551"/>
      <c r="AO249" s="551"/>
      <c r="AP249" s="551"/>
      <c r="AQ249" s="551"/>
      <c r="AR249" s="551"/>
      <c r="AS249" s="551"/>
      <c r="AT249" s="551"/>
      <c r="AU249" s="551"/>
      <c r="AV249" s="551"/>
      <c r="AW249" s="551"/>
      <c r="AX249" s="551"/>
      <c r="AY249" s="551"/>
      <c r="AZ249" s="551"/>
      <c r="BA249" s="551"/>
      <c r="BB249" s="551"/>
      <c r="BC249" s="551"/>
      <c r="BD249" s="551"/>
      <c r="BE249" s="551"/>
      <c r="BF249" s="551"/>
    </row>
    <row r="250" spans="1:58" ht="12.75" customHeight="1">
      <c r="A250" s="551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1"/>
      <c r="P250" s="551"/>
      <c r="Q250" s="551"/>
      <c r="R250" s="551"/>
      <c r="S250" s="551"/>
      <c r="T250" s="551"/>
      <c r="U250" s="551"/>
      <c r="V250" s="551"/>
      <c r="W250" s="551"/>
      <c r="X250" s="551"/>
      <c r="Y250" s="551"/>
      <c r="Z250" s="551"/>
      <c r="AA250" s="551"/>
      <c r="AB250" s="551"/>
      <c r="AC250" s="551"/>
      <c r="AD250" s="551"/>
      <c r="AE250" s="551"/>
      <c r="AF250" s="551"/>
      <c r="AG250" s="551"/>
      <c r="AH250" s="551"/>
      <c r="AI250" s="551"/>
      <c r="AJ250" s="551"/>
      <c r="AK250" s="551"/>
      <c r="AL250" s="551"/>
      <c r="AM250" s="551"/>
      <c r="AN250" s="551"/>
      <c r="AO250" s="551"/>
      <c r="AP250" s="551"/>
      <c r="AQ250" s="551"/>
      <c r="AR250" s="551"/>
      <c r="AS250" s="551"/>
      <c r="AT250" s="551"/>
      <c r="AU250" s="551"/>
      <c r="AV250" s="551"/>
      <c r="AW250" s="551"/>
      <c r="AX250" s="551"/>
      <c r="AY250" s="551"/>
      <c r="AZ250" s="551"/>
      <c r="BA250" s="551"/>
      <c r="BB250" s="551"/>
      <c r="BC250" s="551"/>
      <c r="BD250" s="551"/>
      <c r="BE250" s="551"/>
      <c r="BF250" s="551"/>
    </row>
    <row r="251" spans="1:58" ht="12.75" customHeight="1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1"/>
      <c r="P251" s="551"/>
      <c r="Q251" s="551"/>
      <c r="R251" s="551"/>
      <c r="S251" s="551"/>
      <c r="T251" s="551"/>
      <c r="U251" s="551"/>
      <c r="V251" s="551"/>
      <c r="W251" s="551"/>
      <c r="X251" s="551"/>
      <c r="Y251" s="551"/>
      <c r="Z251" s="551"/>
      <c r="AA251" s="551"/>
      <c r="AB251" s="551"/>
      <c r="AC251" s="551"/>
      <c r="AD251" s="551"/>
      <c r="AE251" s="551"/>
      <c r="AF251" s="551"/>
      <c r="AG251" s="551"/>
      <c r="AH251" s="551"/>
      <c r="AI251" s="551"/>
      <c r="AJ251" s="551"/>
      <c r="AK251" s="551"/>
      <c r="AL251" s="551"/>
      <c r="AM251" s="551"/>
      <c r="AN251" s="551"/>
      <c r="AO251" s="551"/>
      <c r="AP251" s="551"/>
      <c r="AQ251" s="551"/>
      <c r="AR251" s="551"/>
      <c r="AS251" s="551"/>
      <c r="AT251" s="551"/>
      <c r="AU251" s="551"/>
      <c r="AV251" s="551"/>
      <c r="AW251" s="551"/>
      <c r="AX251" s="551"/>
      <c r="AY251" s="551"/>
      <c r="AZ251" s="551"/>
      <c r="BA251" s="551"/>
      <c r="BB251" s="551"/>
      <c r="BC251" s="551"/>
      <c r="BD251" s="551"/>
      <c r="BE251" s="551"/>
      <c r="BF251" s="551"/>
    </row>
    <row r="252" spans="1:58" ht="12.75" customHeight="1">
      <c r="A252" s="551"/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51"/>
      <c r="AB252" s="551"/>
      <c r="AC252" s="551"/>
      <c r="AD252" s="551"/>
      <c r="AE252" s="551"/>
      <c r="AF252" s="551"/>
      <c r="AG252" s="551"/>
      <c r="AH252" s="551"/>
      <c r="AI252" s="551"/>
      <c r="AJ252" s="551"/>
      <c r="AK252" s="551"/>
      <c r="AL252" s="551"/>
      <c r="AM252" s="551"/>
      <c r="AN252" s="551"/>
      <c r="AO252" s="551"/>
      <c r="AP252" s="551"/>
      <c r="AQ252" s="551"/>
      <c r="AR252" s="551"/>
      <c r="AS252" s="551"/>
      <c r="AT252" s="551"/>
      <c r="AU252" s="551"/>
      <c r="AV252" s="551"/>
      <c r="AW252" s="551"/>
      <c r="AX252" s="551"/>
      <c r="AY252" s="551"/>
      <c r="AZ252" s="551"/>
      <c r="BA252" s="551"/>
      <c r="BB252" s="551"/>
      <c r="BC252" s="551"/>
      <c r="BD252" s="551"/>
      <c r="BE252" s="551"/>
      <c r="BF252" s="551"/>
    </row>
    <row r="253" spans="1:58" ht="12.75" customHeight="1">
      <c r="A253" s="551"/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51"/>
      <c r="AB253" s="551"/>
      <c r="AC253" s="551"/>
      <c r="AD253" s="551"/>
      <c r="AE253" s="551"/>
      <c r="AF253" s="551"/>
      <c r="AG253" s="551"/>
      <c r="AH253" s="551"/>
      <c r="AI253" s="551"/>
      <c r="AJ253" s="551"/>
      <c r="AK253" s="551"/>
      <c r="AL253" s="551"/>
      <c r="AM253" s="551"/>
      <c r="AN253" s="551"/>
      <c r="AO253" s="551"/>
      <c r="AP253" s="551"/>
      <c r="AQ253" s="551"/>
      <c r="AR253" s="551"/>
      <c r="AS253" s="551"/>
      <c r="AT253" s="551"/>
      <c r="AU253" s="551"/>
      <c r="AV253" s="551"/>
      <c r="AW253" s="551"/>
      <c r="AX253" s="551"/>
      <c r="AY253" s="551"/>
      <c r="AZ253" s="551"/>
      <c r="BA253" s="551"/>
      <c r="BB253" s="551"/>
      <c r="BC253" s="551"/>
      <c r="BD253" s="551"/>
      <c r="BE253" s="551"/>
      <c r="BF253" s="551"/>
    </row>
    <row r="254" spans="1:58" ht="12.75" customHeight="1">
      <c r="A254" s="551"/>
      <c r="B254" s="551"/>
      <c r="C254" s="551"/>
      <c r="D254" s="551"/>
      <c r="E254" s="551"/>
      <c r="F254" s="551"/>
      <c r="G254" s="551"/>
      <c r="H254" s="551"/>
      <c r="I254" s="551"/>
      <c r="J254" s="551"/>
      <c r="K254" s="551"/>
      <c r="L254" s="551"/>
      <c r="M254" s="551"/>
      <c r="N254" s="551"/>
      <c r="O254" s="551"/>
      <c r="P254" s="551"/>
      <c r="Q254" s="551"/>
      <c r="R254" s="551"/>
      <c r="S254" s="551"/>
      <c r="T254" s="551"/>
      <c r="U254" s="551"/>
      <c r="V254" s="551"/>
      <c r="W254" s="551"/>
      <c r="X254" s="551"/>
      <c r="Y254" s="551"/>
      <c r="Z254" s="551"/>
      <c r="AA254" s="551"/>
      <c r="AB254" s="551"/>
      <c r="AC254" s="551"/>
      <c r="AD254" s="551"/>
      <c r="AE254" s="551"/>
      <c r="AF254" s="551"/>
      <c r="AG254" s="551"/>
      <c r="AH254" s="551"/>
      <c r="AI254" s="551"/>
      <c r="AJ254" s="551"/>
      <c r="AK254" s="551"/>
      <c r="AL254" s="551"/>
      <c r="AM254" s="551"/>
      <c r="AN254" s="551"/>
      <c r="AO254" s="551"/>
      <c r="AP254" s="551"/>
      <c r="AQ254" s="551"/>
      <c r="AR254" s="551"/>
      <c r="AS254" s="551"/>
      <c r="AT254" s="551"/>
      <c r="AU254" s="551"/>
      <c r="AV254" s="551"/>
      <c r="AW254" s="551"/>
      <c r="AX254" s="551"/>
      <c r="AY254" s="551"/>
      <c r="AZ254" s="551"/>
      <c r="BA254" s="551"/>
      <c r="BB254" s="551"/>
      <c r="BC254" s="551"/>
      <c r="BD254" s="551"/>
      <c r="BE254" s="551"/>
      <c r="BF254" s="551"/>
    </row>
    <row r="255" spans="1:58" ht="12.75" customHeight="1">
      <c r="A255" s="551"/>
      <c r="B255" s="551"/>
      <c r="C255" s="551"/>
      <c r="D255" s="551"/>
      <c r="E255" s="551"/>
      <c r="F255" s="551"/>
      <c r="G255" s="551"/>
      <c r="H255" s="551"/>
      <c r="I255" s="551"/>
      <c r="J255" s="551"/>
      <c r="K255" s="551"/>
      <c r="L255" s="551"/>
      <c r="M255" s="551"/>
      <c r="N255" s="551"/>
      <c r="O255" s="551"/>
      <c r="P255" s="551"/>
      <c r="Q255" s="551"/>
      <c r="R255" s="551"/>
      <c r="S255" s="551"/>
      <c r="T255" s="551"/>
      <c r="U255" s="551"/>
      <c r="V255" s="551"/>
      <c r="W255" s="551"/>
      <c r="X255" s="551"/>
      <c r="Y255" s="551"/>
      <c r="Z255" s="551"/>
      <c r="AA255" s="551"/>
      <c r="AB255" s="551"/>
      <c r="AC255" s="551"/>
      <c r="AD255" s="551"/>
      <c r="AE255" s="551"/>
      <c r="AF255" s="551"/>
      <c r="AG255" s="551"/>
      <c r="AH255" s="551"/>
      <c r="AI255" s="551"/>
      <c r="AJ255" s="551"/>
      <c r="AK255" s="551"/>
      <c r="AL255" s="551"/>
      <c r="AM255" s="551"/>
      <c r="AN255" s="551"/>
      <c r="AO255" s="551"/>
      <c r="AP255" s="551"/>
      <c r="AQ255" s="551"/>
      <c r="AR255" s="551"/>
      <c r="AS255" s="551"/>
      <c r="AT255" s="551"/>
      <c r="AU255" s="551"/>
      <c r="AV255" s="551"/>
      <c r="AW255" s="551"/>
      <c r="AX255" s="551"/>
      <c r="AY255" s="551"/>
      <c r="AZ255" s="551"/>
      <c r="BA255" s="551"/>
      <c r="BB255" s="551"/>
      <c r="BC255" s="551"/>
      <c r="BD255" s="551"/>
      <c r="BE255" s="551"/>
      <c r="BF255" s="551"/>
    </row>
    <row r="256" spans="1:58" ht="12.75" customHeight="1">
      <c r="A256" s="551"/>
      <c r="B256" s="551"/>
      <c r="C256" s="551"/>
      <c r="D256" s="551"/>
      <c r="E256" s="551"/>
      <c r="F256" s="551"/>
      <c r="G256" s="551"/>
      <c r="H256" s="551"/>
      <c r="I256" s="551"/>
      <c r="J256" s="551"/>
      <c r="K256" s="551"/>
      <c r="L256" s="551"/>
      <c r="M256" s="551"/>
      <c r="N256" s="551"/>
      <c r="O256" s="551"/>
      <c r="P256" s="551"/>
      <c r="Q256" s="551"/>
      <c r="R256" s="551"/>
      <c r="S256" s="551"/>
      <c r="T256" s="551"/>
      <c r="U256" s="551"/>
      <c r="V256" s="551"/>
      <c r="W256" s="551"/>
      <c r="X256" s="551"/>
      <c r="Y256" s="551"/>
      <c r="Z256" s="551"/>
      <c r="AA256" s="551"/>
      <c r="AB256" s="551"/>
      <c r="AC256" s="551"/>
      <c r="AD256" s="551"/>
      <c r="AE256" s="551"/>
      <c r="AF256" s="551"/>
      <c r="AG256" s="551"/>
      <c r="AH256" s="551"/>
      <c r="AI256" s="551"/>
      <c r="AJ256" s="551"/>
      <c r="AK256" s="551"/>
      <c r="AL256" s="551"/>
      <c r="AM256" s="551"/>
      <c r="AN256" s="551"/>
      <c r="AO256" s="551"/>
      <c r="AP256" s="551"/>
      <c r="AQ256" s="551"/>
      <c r="AR256" s="551"/>
      <c r="AS256" s="551"/>
      <c r="AT256" s="551"/>
      <c r="AU256" s="551"/>
      <c r="AV256" s="551"/>
      <c r="AW256" s="551"/>
      <c r="AX256" s="551"/>
      <c r="AY256" s="551"/>
      <c r="AZ256" s="551"/>
      <c r="BA256" s="551"/>
      <c r="BB256" s="551"/>
      <c r="BC256" s="551"/>
      <c r="BD256" s="551"/>
      <c r="BE256" s="551"/>
      <c r="BF256" s="551"/>
    </row>
    <row r="257" spans="1:58" ht="12.75" customHeight="1">
      <c r="A257" s="551"/>
      <c r="B257" s="551"/>
      <c r="C257" s="551"/>
      <c r="D257" s="551"/>
      <c r="E257" s="551"/>
      <c r="F257" s="551"/>
      <c r="G257" s="551"/>
      <c r="H257" s="551"/>
      <c r="I257" s="551"/>
      <c r="J257" s="551"/>
      <c r="K257" s="551"/>
      <c r="L257" s="551"/>
      <c r="M257" s="551"/>
      <c r="N257" s="551"/>
      <c r="O257" s="551"/>
      <c r="P257" s="551"/>
      <c r="Q257" s="551"/>
      <c r="R257" s="551"/>
      <c r="S257" s="551"/>
      <c r="T257" s="551"/>
      <c r="U257" s="551"/>
      <c r="V257" s="551"/>
      <c r="W257" s="551"/>
      <c r="X257" s="551"/>
      <c r="Y257" s="551"/>
      <c r="Z257" s="551"/>
      <c r="AA257" s="551"/>
      <c r="AB257" s="551"/>
      <c r="AC257" s="551"/>
      <c r="AD257" s="551"/>
      <c r="AE257" s="551"/>
      <c r="AF257" s="551"/>
      <c r="AG257" s="551"/>
      <c r="AH257" s="551"/>
      <c r="AI257" s="551"/>
      <c r="AJ257" s="551"/>
      <c r="AK257" s="551"/>
      <c r="AL257" s="551"/>
      <c r="AM257" s="551"/>
      <c r="AN257" s="551"/>
      <c r="AO257" s="551"/>
      <c r="AP257" s="551"/>
      <c r="AQ257" s="551"/>
      <c r="AR257" s="551"/>
      <c r="AS257" s="551"/>
      <c r="AT257" s="551"/>
      <c r="AU257" s="551"/>
      <c r="AV257" s="551"/>
      <c r="AW257" s="551"/>
      <c r="AX257" s="551"/>
      <c r="AY257" s="551"/>
      <c r="AZ257" s="551"/>
      <c r="BA257" s="551"/>
      <c r="BB257" s="551"/>
      <c r="BC257" s="551"/>
      <c r="BD257" s="551"/>
      <c r="BE257" s="551"/>
      <c r="BF257" s="551"/>
    </row>
    <row r="258" spans="1:58" ht="12.75" customHeight="1">
      <c r="A258" s="551"/>
      <c r="B258" s="551"/>
      <c r="C258" s="551"/>
      <c r="D258" s="551"/>
      <c r="E258" s="551"/>
      <c r="F258" s="551"/>
      <c r="G258" s="551"/>
      <c r="H258" s="551"/>
      <c r="I258" s="551"/>
      <c r="J258" s="551"/>
      <c r="K258" s="551"/>
      <c r="L258" s="551"/>
      <c r="M258" s="551"/>
      <c r="N258" s="551"/>
      <c r="O258" s="551"/>
      <c r="P258" s="551"/>
      <c r="Q258" s="551"/>
      <c r="R258" s="551"/>
      <c r="S258" s="551"/>
      <c r="T258" s="551"/>
      <c r="U258" s="551"/>
      <c r="V258" s="551"/>
      <c r="W258" s="551"/>
      <c r="X258" s="551"/>
      <c r="Y258" s="551"/>
      <c r="Z258" s="551"/>
      <c r="AA258" s="551"/>
      <c r="AB258" s="551"/>
      <c r="AC258" s="551"/>
      <c r="AD258" s="551"/>
      <c r="AE258" s="551"/>
      <c r="AF258" s="551"/>
      <c r="AG258" s="551"/>
      <c r="AH258" s="551"/>
      <c r="AI258" s="551"/>
      <c r="AJ258" s="551"/>
      <c r="AK258" s="551"/>
      <c r="AL258" s="551"/>
      <c r="AM258" s="551"/>
      <c r="AN258" s="551"/>
      <c r="AO258" s="551"/>
      <c r="AP258" s="551"/>
      <c r="AQ258" s="551"/>
      <c r="AR258" s="551"/>
      <c r="AS258" s="551"/>
      <c r="AT258" s="551"/>
      <c r="AU258" s="551"/>
      <c r="AV258" s="551"/>
      <c r="AW258" s="551"/>
      <c r="AX258" s="551"/>
      <c r="AY258" s="551"/>
      <c r="AZ258" s="551"/>
      <c r="BA258" s="551"/>
      <c r="BB258" s="551"/>
      <c r="BC258" s="551"/>
      <c r="BD258" s="551"/>
      <c r="BE258" s="551"/>
      <c r="BF258" s="551"/>
    </row>
    <row r="259" spans="1:58" ht="12.75" customHeight="1">
      <c r="A259" s="551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1"/>
      <c r="P259" s="551"/>
      <c r="Q259" s="551"/>
      <c r="R259" s="551"/>
      <c r="S259" s="551"/>
      <c r="T259" s="551"/>
      <c r="U259" s="551"/>
      <c r="V259" s="551"/>
      <c r="W259" s="551"/>
      <c r="X259" s="551"/>
      <c r="Y259" s="551"/>
      <c r="Z259" s="551"/>
      <c r="AA259" s="551"/>
      <c r="AB259" s="551"/>
      <c r="AC259" s="551"/>
      <c r="AD259" s="551"/>
      <c r="AE259" s="551"/>
      <c r="AF259" s="551"/>
      <c r="AG259" s="551"/>
      <c r="AH259" s="551"/>
      <c r="AI259" s="551"/>
      <c r="AJ259" s="551"/>
      <c r="AK259" s="551"/>
      <c r="AL259" s="551"/>
      <c r="AM259" s="551"/>
      <c r="AN259" s="551"/>
      <c r="AO259" s="551"/>
      <c r="AP259" s="551"/>
      <c r="AQ259" s="551"/>
      <c r="AR259" s="551"/>
      <c r="AS259" s="551"/>
      <c r="AT259" s="551"/>
      <c r="AU259" s="551"/>
      <c r="AV259" s="551"/>
      <c r="AW259" s="551"/>
      <c r="AX259" s="551"/>
      <c r="AY259" s="551"/>
      <c r="AZ259" s="551"/>
      <c r="BA259" s="551"/>
      <c r="BB259" s="551"/>
      <c r="BC259" s="551"/>
      <c r="BD259" s="551"/>
      <c r="BE259" s="551"/>
      <c r="BF259" s="551"/>
    </row>
    <row r="260" spans="1:58" ht="12.75" customHeight="1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1"/>
      <c r="P260" s="551"/>
      <c r="Q260" s="551"/>
      <c r="R260" s="551"/>
      <c r="S260" s="551"/>
      <c r="T260" s="551"/>
      <c r="U260" s="551"/>
      <c r="V260" s="551"/>
      <c r="W260" s="551"/>
      <c r="X260" s="551"/>
      <c r="Y260" s="551"/>
      <c r="Z260" s="551"/>
      <c r="AA260" s="551"/>
      <c r="AB260" s="551"/>
      <c r="AC260" s="551"/>
      <c r="AD260" s="551"/>
      <c r="AE260" s="551"/>
      <c r="AF260" s="551"/>
      <c r="AG260" s="551"/>
      <c r="AH260" s="551"/>
      <c r="AI260" s="551"/>
      <c r="AJ260" s="551"/>
      <c r="AK260" s="551"/>
      <c r="AL260" s="551"/>
      <c r="AM260" s="551"/>
      <c r="AN260" s="551"/>
      <c r="AO260" s="551"/>
      <c r="AP260" s="551"/>
      <c r="AQ260" s="551"/>
      <c r="AR260" s="551"/>
      <c r="AS260" s="551"/>
      <c r="AT260" s="551"/>
      <c r="AU260" s="551"/>
      <c r="AV260" s="551"/>
      <c r="AW260" s="551"/>
      <c r="AX260" s="551"/>
      <c r="AY260" s="551"/>
      <c r="AZ260" s="551"/>
      <c r="BA260" s="551"/>
      <c r="BB260" s="551"/>
      <c r="BC260" s="551"/>
      <c r="BD260" s="551"/>
      <c r="BE260" s="551"/>
      <c r="BF260" s="551"/>
    </row>
    <row r="261" spans="1:58" ht="12.75" customHeight="1">
      <c r="A261" s="551"/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51"/>
      <c r="AB261" s="551"/>
      <c r="AC261" s="551"/>
      <c r="AD261" s="551"/>
      <c r="AE261" s="551"/>
      <c r="AF261" s="551"/>
      <c r="AG261" s="551"/>
      <c r="AH261" s="551"/>
      <c r="AI261" s="551"/>
      <c r="AJ261" s="551"/>
      <c r="AK261" s="551"/>
      <c r="AL261" s="551"/>
      <c r="AM261" s="551"/>
      <c r="AN261" s="551"/>
      <c r="AO261" s="551"/>
      <c r="AP261" s="551"/>
      <c r="AQ261" s="551"/>
      <c r="AR261" s="551"/>
      <c r="AS261" s="551"/>
      <c r="AT261" s="551"/>
      <c r="AU261" s="551"/>
      <c r="AV261" s="551"/>
      <c r="AW261" s="551"/>
      <c r="AX261" s="551"/>
      <c r="AY261" s="551"/>
      <c r="AZ261" s="551"/>
      <c r="BA261" s="551"/>
      <c r="BB261" s="551"/>
      <c r="BC261" s="551"/>
      <c r="BD261" s="551"/>
      <c r="BE261" s="551"/>
      <c r="BF261" s="551"/>
    </row>
    <row r="262" spans="1:58" ht="12.75" customHeight="1">
      <c r="A262" s="551"/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51"/>
      <c r="AB262" s="551"/>
      <c r="AC262" s="551"/>
      <c r="AD262" s="551"/>
      <c r="AE262" s="551"/>
      <c r="AF262" s="551"/>
      <c r="AG262" s="551"/>
      <c r="AH262" s="551"/>
      <c r="AI262" s="551"/>
      <c r="AJ262" s="551"/>
      <c r="AK262" s="551"/>
      <c r="AL262" s="551"/>
      <c r="AM262" s="551"/>
      <c r="AN262" s="551"/>
      <c r="AO262" s="551"/>
      <c r="AP262" s="551"/>
      <c r="AQ262" s="551"/>
      <c r="AR262" s="551"/>
      <c r="AS262" s="551"/>
      <c r="AT262" s="551"/>
      <c r="AU262" s="551"/>
      <c r="AV262" s="551"/>
      <c r="AW262" s="551"/>
      <c r="AX262" s="551"/>
      <c r="AY262" s="551"/>
      <c r="AZ262" s="551"/>
      <c r="BA262" s="551"/>
      <c r="BB262" s="551"/>
      <c r="BC262" s="551"/>
      <c r="BD262" s="551"/>
      <c r="BE262" s="551"/>
      <c r="BF262" s="551"/>
    </row>
    <row r="263" spans="1:58" ht="12.75" customHeight="1">
      <c r="A263" s="551"/>
      <c r="B263" s="551"/>
      <c r="C263" s="551"/>
      <c r="D263" s="551"/>
      <c r="E263" s="551"/>
      <c r="F263" s="551"/>
      <c r="G263" s="551"/>
      <c r="H263" s="551"/>
      <c r="I263" s="551"/>
      <c r="J263" s="551"/>
      <c r="K263" s="551"/>
      <c r="L263" s="551"/>
      <c r="M263" s="551"/>
      <c r="N263" s="551"/>
      <c r="O263" s="551"/>
      <c r="P263" s="551"/>
      <c r="Q263" s="551"/>
      <c r="R263" s="551"/>
      <c r="S263" s="551"/>
      <c r="T263" s="551"/>
      <c r="U263" s="551"/>
      <c r="V263" s="551"/>
      <c r="W263" s="551"/>
      <c r="X263" s="551"/>
      <c r="Y263" s="551"/>
      <c r="Z263" s="551"/>
      <c r="AA263" s="551"/>
      <c r="AB263" s="551"/>
      <c r="AC263" s="551"/>
      <c r="AD263" s="551"/>
      <c r="AE263" s="551"/>
      <c r="AF263" s="551"/>
      <c r="AG263" s="551"/>
      <c r="AH263" s="551"/>
      <c r="AI263" s="551"/>
      <c r="AJ263" s="551"/>
      <c r="AK263" s="551"/>
      <c r="AL263" s="551"/>
      <c r="AM263" s="551"/>
      <c r="AN263" s="551"/>
      <c r="AO263" s="551"/>
      <c r="AP263" s="551"/>
      <c r="AQ263" s="551"/>
      <c r="AR263" s="551"/>
      <c r="AS263" s="551"/>
      <c r="AT263" s="551"/>
      <c r="AU263" s="551"/>
      <c r="AV263" s="551"/>
      <c r="AW263" s="551"/>
      <c r="AX263" s="551"/>
      <c r="AY263" s="551"/>
      <c r="AZ263" s="551"/>
      <c r="BA263" s="551"/>
      <c r="BB263" s="551"/>
      <c r="BC263" s="551"/>
      <c r="BD263" s="551"/>
      <c r="BE263" s="551"/>
      <c r="BF263" s="551"/>
    </row>
    <row r="264" spans="1:58" ht="12.75" customHeight="1">
      <c r="A264" s="551"/>
      <c r="B264" s="551"/>
      <c r="C264" s="551"/>
      <c r="D264" s="551"/>
      <c r="E264" s="551"/>
      <c r="F264" s="551"/>
      <c r="G264" s="551"/>
      <c r="H264" s="551"/>
      <c r="I264" s="551"/>
      <c r="J264" s="551"/>
      <c r="K264" s="551"/>
      <c r="L264" s="551"/>
      <c r="M264" s="551"/>
      <c r="N264" s="551"/>
      <c r="O264" s="551"/>
      <c r="P264" s="551"/>
      <c r="Q264" s="551"/>
      <c r="R264" s="551"/>
      <c r="S264" s="551"/>
      <c r="T264" s="551"/>
      <c r="U264" s="551"/>
      <c r="V264" s="551"/>
      <c r="W264" s="551"/>
      <c r="X264" s="551"/>
      <c r="Y264" s="551"/>
      <c r="Z264" s="551"/>
      <c r="AA264" s="551"/>
      <c r="AB264" s="551"/>
      <c r="AC264" s="551"/>
      <c r="AD264" s="551"/>
      <c r="AE264" s="551"/>
      <c r="AF264" s="551"/>
      <c r="AG264" s="551"/>
      <c r="AH264" s="551"/>
      <c r="AI264" s="551"/>
      <c r="AJ264" s="551"/>
      <c r="AK264" s="551"/>
      <c r="AL264" s="551"/>
      <c r="AM264" s="551"/>
      <c r="AN264" s="551"/>
      <c r="AO264" s="551"/>
      <c r="AP264" s="551"/>
      <c r="AQ264" s="551"/>
      <c r="AR264" s="551"/>
      <c r="AS264" s="551"/>
      <c r="AT264" s="551"/>
      <c r="AU264" s="551"/>
      <c r="AV264" s="551"/>
      <c r="AW264" s="551"/>
      <c r="AX264" s="551"/>
      <c r="AY264" s="551"/>
      <c r="AZ264" s="551"/>
      <c r="BA264" s="551"/>
      <c r="BB264" s="551"/>
      <c r="BC264" s="551"/>
      <c r="BD264" s="551"/>
      <c r="BE264" s="551"/>
      <c r="BF264" s="551"/>
    </row>
    <row r="265" spans="1:58" ht="12.75" customHeight="1">
      <c r="A265" s="551"/>
      <c r="B265" s="551"/>
      <c r="C265" s="551"/>
      <c r="D265" s="551"/>
      <c r="E265" s="551"/>
      <c r="F265" s="551"/>
      <c r="G265" s="551"/>
      <c r="H265" s="551"/>
      <c r="I265" s="551"/>
      <c r="J265" s="551"/>
      <c r="K265" s="551"/>
      <c r="L265" s="551"/>
      <c r="M265" s="551"/>
      <c r="N265" s="551"/>
      <c r="O265" s="551"/>
      <c r="P265" s="551"/>
      <c r="Q265" s="551"/>
      <c r="R265" s="551"/>
      <c r="S265" s="551"/>
      <c r="T265" s="551"/>
      <c r="U265" s="551"/>
      <c r="V265" s="551"/>
      <c r="W265" s="551"/>
      <c r="X265" s="551"/>
      <c r="Y265" s="551"/>
      <c r="Z265" s="551"/>
      <c r="AA265" s="551"/>
      <c r="AB265" s="551"/>
      <c r="AC265" s="551"/>
      <c r="AD265" s="551"/>
      <c r="AE265" s="551"/>
      <c r="AF265" s="551"/>
      <c r="AG265" s="551"/>
      <c r="AH265" s="551"/>
      <c r="AI265" s="551"/>
      <c r="AJ265" s="551"/>
      <c r="AK265" s="551"/>
      <c r="AL265" s="551"/>
      <c r="AM265" s="551"/>
      <c r="AN265" s="551"/>
      <c r="AO265" s="551"/>
      <c r="AP265" s="551"/>
      <c r="AQ265" s="551"/>
      <c r="AR265" s="551"/>
      <c r="AS265" s="551"/>
      <c r="AT265" s="551"/>
      <c r="AU265" s="551"/>
      <c r="AV265" s="551"/>
      <c r="AW265" s="551"/>
      <c r="AX265" s="551"/>
      <c r="AY265" s="551"/>
      <c r="AZ265" s="551"/>
      <c r="BA265" s="551"/>
      <c r="BB265" s="551"/>
      <c r="BC265" s="551"/>
      <c r="BD265" s="551"/>
      <c r="BE265" s="551"/>
      <c r="BF265" s="551"/>
    </row>
    <row r="266" spans="1:58" ht="12.75" customHeight="1">
      <c r="A266" s="551"/>
      <c r="B266" s="551"/>
      <c r="C266" s="551"/>
      <c r="D266" s="551"/>
      <c r="E266" s="551"/>
      <c r="F266" s="551"/>
      <c r="G266" s="551"/>
      <c r="H266" s="551"/>
      <c r="I266" s="551"/>
      <c r="J266" s="551"/>
      <c r="K266" s="551"/>
      <c r="L266" s="551"/>
      <c r="M266" s="551"/>
      <c r="N266" s="551"/>
      <c r="O266" s="551"/>
      <c r="P266" s="551"/>
      <c r="Q266" s="551"/>
      <c r="R266" s="551"/>
      <c r="S266" s="551"/>
      <c r="T266" s="551"/>
      <c r="U266" s="551"/>
      <c r="V266" s="551"/>
      <c r="W266" s="551"/>
      <c r="X266" s="551"/>
      <c r="Y266" s="551"/>
      <c r="Z266" s="551"/>
      <c r="AA266" s="551"/>
      <c r="AB266" s="551"/>
      <c r="AC266" s="551"/>
      <c r="AD266" s="551"/>
      <c r="AE266" s="551"/>
      <c r="AF266" s="551"/>
      <c r="AG266" s="551"/>
      <c r="AH266" s="551"/>
      <c r="AI266" s="551"/>
      <c r="AJ266" s="551"/>
      <c r="AK266" s="551"/>
      <c r="AL266" s="551"/>
      <c r="AM266" s="551"/>
      <c r="AN266" s="551"/>
      <c r="AO266" s="551"/>
      <c r="AP266" s="551"/>
      <c r="AQ266" s="551"/>
      <c r="AR266" s="551"/>
      <c r="AS266" s="551"/>
      <c r="AT266" s="551"/>
      <c r="AU266" s="551"/>
      <c r="AV266" s="551"/>
      <c r="AW266" s="551"/>
      <c r="AX266" s="551"/>
      <c r="AY266" s="551"/>
      <c r="AZ266" s="551"/>
      <c r="BA266" s="551"/>
      <c r="BB266" s="551"/>
      <c r="BC266" s="551"/>
      <c r="BD266" s="551"/>
      <c r="BE266" s="551"/>
      <c r="BF266" s="551"/>
    </row>
    <row r="267" spans="1:58" ht="12.75" customHeight="1">
      <c r="A267" s="551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1"/>
      <c r="P267" s="551"/>
      <c r="Q267" s="551"/>
      <c r="R267" s="551"/>
      <c r="S267" s="551"/>
      <c r="T267" s="551"/>
      <c r="U267" s="551"/>
      <c r="V267" s="551"/>
      <c r="W267" s="551"/>
      <c r="X267" s="551"/>
      <c r="Y267" s="551"/>
      <c r="Z267" s="551"/>
      <c r="AA267" s="551"/>
      <c r="AB267" s="551"/>
      <c r="AC267" s="551"/>
      <c r="AD267" s="551"/>
      <c r="AE267" s="551"/>
      <c r="AF267" s="551"/>
      <c r="AG267" s="551"/>
      <c r="AH267" s="551"/>
      <c r="AI267" s="551"/>
      <c r="AJ267" s="551"/>
      <c r="AK267" s="551"/>
      <c r="AL267" s="551"/>
      <c r="AM267" s="551"/>
      <c r="AN267" s="551"/>
      <c r="AO267" s="551"/>
      <c r="AP267" s="551"/>
      <c r="AQ267" s="551"/>
      <c r="AR267" s="551"/>
      <c r="AS267" s="551"/>
      <c r="AT267" s="551"/>
      <c r="AU267" s="551"/>
      <c r="AV267" s="551"/>
      <c r="AW267" s="551"/>
      <c r="AX267" s="551"/>
      <c r="AY267" s="551"/>
      <c r="AZ267" s="551"/>
      <c r="BA267" s="551"/>
      <c r="BB267" s="551"/>
      <c r="BC267" s="551"/>
      <c r="BD267" s="551"/>
      <c r="BE267" s="551"/>
      <c r="BF267" s="551"/>
    </row>
    <row r="268" spans="1:58" ht="12.75" customHeight="1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1"/>
      <c r="P268" s="551"/>
      <c r="Q268" s="551"/>
      <c r="R268" s="551"/>
      <c r="S268" s="551"/>
      <c r="T268" s="551"/>
      <c r="U268" s="551"/>
      <c r="V268" s="551"/>
      <c r="W268" s="551"/>
      <c r="X268" s="551"/>
      <c r="Y268" s="551"/>
      <c r="Z268" s="551"/>
      <c r="AA268" s="551"/>
      <c r="AB268" s="551"/>
      <c r="AC268" s="551"/>
      <c r="AD268" s="551"/>
      <c r="AE268" s="551"/>
      <c r="AF268" s="551"/>
      <c r="AG268" s="551"/>
      <c r="AH268" s="551"/>
      <c r="AI268" s="551"/>
      <c r="AJ268" s="551"/>
      <c r="AK268" s="551"/>
      <c r="AL268" s="551"/>
      <c r="AM268" s="551"/>
      <c r="AN268" s="551"/>
      <c r="AO268" s="551"/>
      <c r="AP268" s="551"/>
      <c r="AQ268" s="551"/>
      <c r="AR268" s="551"/>
      <c r="AS268" s="551"/>
      <c r="AT268" s="551"/>
      <c r="AU268" s="551"/>
      <c r="AV268" s="551"/>
      <c r="AW268" s="551"/>
      <c r="AX268" s="551"/>
      <c r="AY268" s="551"/>
      <c r="AZ268" s="551"/>
      <c r="BA268" s="551"/>
      <c r="BB268" s="551"/>
      <c r="BC268" s="551"/>
      <c r="BD268" s="551"/>
      <c r="BE268" s="551"/>
      <c r="BF268" s="551"/>
    </row>
    <row r="269" spans="1:58" ht="12.75" customHeight="1">
      <c r="A269" s="551"/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51"/>
      <c r="AB269" s="551"/>
      <c r="AC269" s="551"/>
      <c r="AD269" s="551"/>
      <c r="AE269" s="551"/>
      <c r="AF269" s="551"/>
      <c r="AG269" s="551"/>
      <c r="AH269" s="551"/>
      <c r="AI269" s="551"/>
      <c r="AJ269" s="551"/>
      <c r="AK269" s="551"/>
      <c r="AL269" s="551"/>
      <c r="AM269" s="551"/>
      <c r="AN269" s="551"/>
      <c r="AO269" s="551"/>
      <c r="AP269" s="551"/>
      <c r="AQ269" s="551"/>
      <c r="AR269" s="551"/>
      <c r="AS269" s="551"/>
      <c r="AT269" s="551"/>
      <c r="AU269" s="551"/>
      <c r="AV269" s="551"/>
      <c r="AW269" s="551"/>
      <c r="AX269" s="551"/>
      <c r="AY269" s="551"/>
      <c r="AZ269" s="551"/>
      <c r="BA269" s="551"/>
      <c r="BB269" s="551"/>
      <c r="BC269" s="551"/>
      <c r="BD269" s="551"/>
      <c r="BE269" s="551"/>
      <c r="BF269" s="551"/>
    </row>
    <row r="270" spans="1:58" ht="12.75" customHeight="1">
      <c r="A270" s="551"/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51"/>
      <c r="AB270" s="551"/>
      <c r="AC270" s="551"/>
      <c r="AD270" s="551"/>
      <c r="AE270" s="551"/>
      <c r="AF270" s="551"/>
      <c r="AG270" s="551"/>
      <c r="AH270" s="551"/>
      <c r="AI270" s="551"/>
      <c r="AJ270" s="551"/>
      <c r="AK270" s="551"/>
      <c r="AL270" s="551"/>
      <c r="AM270" s="551"/>
      <c r="AN270" s="551"/>
      <c r="AO270" s="551"/>
      <c r="AP270" s="551"/>
      <c r="AQ270" s="551"/>
      <c r="AR270" s="551"/>
      <c r="AS270" s="551"/>
      <c r="AT270" s="551"/>
      <c r="AU270" s="551"/>
      <c r="AV270" s="551"/>
      <c r="AW270" s="551"/>
      <c r="AX270" s="551"/>
      <c r="AY270" s="551"/>
      <c r="AZ270" s="551"/>
      <c r="BA270" s="551"/>
      <c r="BB270" s="551"/>
      <c r="BC270" s="551"/>
      <c r="BD270" s="551"/>
      <c r="BE270" s="551"/>
      <c r="BF270" s="551"/>
    </row>
    <row r="271" spans="1:58" ht="12.75" customHeight="1">
      <c r="A271" s="551"/>
      <c r="B271" s="551"/>
      <c r="C271" s="551"/>
      <c r="D271" s="551"/>
      <c r="E271" s="551"/>
      <c r="F271" s="551"/>
      <c r="G271" s="551"/>
      <c r="H271" s="551"/>
      <c r="I271" s="551"/>
      <c r="J271" s="551"/>
      <c r="K271" s="551"/>
      <c r="L271" s="551"/>
      <c r="M271" s="551"/>
      <c r="N271" s="551"/>
      <c r="O271" s="551"/>
      <c r="P271" s="551"/>
      <c r="Q271" s="551"/>
      <c r="R271" s="551"/>
      <c r="S271" s="551"/>
      <c r="T271" s="551"/>
      <c r="U271" s="551"/>
      <c r="V271" s="551"/>
      <c r="W271" s="551"/>
      <c r="X271" s="551"/>
      <c r="Y271" s="551"/>
      <c r="Z271" s="551"/>
      <c r="AA271" s="551"/>
      <c r="AB271" s="551"/>
      <c r="AC271" s="551"/>
      <c r="AD271" s="551"/>
      <c r="AE271" s="551"/>
      <c r="AF271" s="551"/>
      <c r="AG271" s="551"/>
      <c r="AH271" s="551"/>
      <c r="AI271" s="551"/>
      <c r="AJ271" s="551"/>
      <c r="AK271" s="551"/>
      <c r="AL271" s="551"/>
      <c r="AM271" s="551"/>
      <c r="AN271" s="551"/>
      <c r="AO271" s="551"/>
      <c r="AP271" s="551"/>
      <c r="AQ271" s="551"/>
      <c r="AR271" s="551"/>
      <c r="AS271" s="551"/>
      <c r="AT271" s="551"/>
      <c r="AU271" s="551"/>
      <c r="AV271" s="551"/>
      <c r="AW271" s="551"/>
      <c r="AX271" s="551"/>
      <c r="AY271" s="551"/>
      <c r="AZ271" s="551"/>
      <c r="BA271" s="551"/>
      <c r="BB271" s="551"/>
      <c r="BC271" s="551"/>
      <c r="BD271" s="551"/>
      <c r="BE271" s="551"/>
      <c r="BF271" s="551"/>
    </row>
    <row r="272" spans="1:58" ht="12.75" customHeight="1">
      <c r="A272" s="551"/>
      <c r="B272" s="551"/>
      <c r="C272" s="551"/>
      <c r="D272" s="551"/>
      <c r="E272" s="551"/>
      <c r="F272" s="551"/>
      <c r="G272" s="551"/>
      <c r="H272" s="551"/>
      <c r="I272" s="551"/>
      <c r="J272" s="551"/>
      <c r="K272" s="551"/>
      <c r="L272" s="551"/>
      <c r="M272" s="551"/>
      <c r="N272" s="551"/>
      <c r="O272" s="551"/>
      <c r="P272" s="551"/>
      <c r="Q272" s="551"/>
      <c r="R272" s="551"/>
      <c r="S272" s="551"/>
      <c r="T272" s="551"/>
      <c r="U272" s="551"/>
      <c r="V272" s="551"/>
      <c r="W272" s="551"/>
      <c r="X272" s="551"/>
      <c r="Y272" s="551"/>
      <c r="Z272" s="551"/>
      <c r="AA272" s="551"/>
      <c r="AB272" s="551"/>
      <c r="AC272" s="551"/>
      <c r="AD272" s="551"/>
      <c r="AE272" s="551"/>
      <c r="AF272" s="551"/>
      <c r="AG272" s="551"/>
      <c r="AH272" s="551"/>
      <c r="AI272" s="551"/>
      <c r="AJ272" s="551"/>
      <c r="AK272" s="551"/>
      <c r="AL272" s="551"/>
      <c r="AM272" s="551"/>
      <c r="AN272" s="551"/>
      <c r="AO272" s="551"/>
      <c r="AP272" s="551"/>
      <c r="AQ272" s="551"/>
      <c r="AR272" s="551"/>
      <c r="AS272" s="551"/>
      <c r="AT272" s="551"/>
      <c r="AU272" s="551"/>
      <c r="AV272" s="551"/>
      <c r="AW272" s="551"/>
      <c r="AX272" s="551"/>
      <c r="AY272" s="551"/>
      <c r="AZ272" s="551"/>
      <c r="BA272" s="551"/>
      <c r="BB272" s="551"/>
      <c r="BC272" s="551"/>
      <c r="BD272" s="551"/>
      <c r="BE272" s="551"/>
      <c r="BF272" s="551"/>
    </row>
    <row r="273" spans="1:58" ht="12.75" customHeight="1">
      <c r="A273" s="551"/>
      <c r="B273" s="551"/>
      <c r="C273" s="551"/>
      <c r="D273" s="551"/>
      <c r="E273" s="551"/>
      <c r="F273" s="551"/>
      <c r="G273" s="551"/>
      <c r="H273" s="551"/>
      <c r="I273" s="551"/>
      <c r="J273" s="551"/>
      <c r="K273" s="551"/>
      <c r="L273" s="551"/>
      <c r="M273" s="551"/>
      <c r="N273" s="551"/>
      <c r="O273" s="551"/>
      <c r="P273" s="551"/>
      <c r="Q273" s="551"/>
      <c r="R273" s="551"/>
      <c r="S273" s="551"/>
      <c r="T273" s="551"/>
      <c r="U273" s="551"/>
      <c r="V273" s="551"/>
      <c r="W273" s="551"/>
      <c r="X273" s="551"/>
      <c r="Y273" s="551"/>
      <c r="Z273" s="551"/>
      <c r="AA273" s="551"/>
      <c r="AB273" s="551"/>
      <c r="AC273" s="551"/>
      <c r="AD273" s="551"/>
      <c r="AE273" s="551"/>
      <c r="AF273" s="551"/>
      <c r="AG273" s="551"/>
      <c r="AH273" s="551"/>
      <c r="AI273" s="551"/>
      <c r="AJ273" s="551"/>
      <c r="AK273" s="551"/>
      <c r="AL273" s="551"/>
      <c r="AM273" s="551"/>
      <c r="AN273" s="551"/>
      <c r="AO273" s="551"/>
      <c r="AP273" s="551"/>
      <c r="AQ273" s="551"/>
      <c r="AR273" s="551"/>
      <c r="AS273" s="551"/>
      <c r="AT273" s="551"/>
      <c r="AU273" s="551"/>
      <c r="AV273" s="551"/>
      <c r="AW273" s="551"/>
      <c r="AX273" s="551"/>
      <c r="AY273" s="551"/>
      <c r="AZ273" s="551"/>
      <c r="BA273" s="551"/>
      <c r="BB273" s="551"/>
      <c r="BC273" s="551"/>
      <c r="BD273" s="551"/>
      <c r="BE273" s="551"/>
      <c r="BF273" s="551"/>
    </row>
    <row r="274" spans="1:58" ht="12.75" customHeight="1">
      <c r="A274" s="551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1"/>
      <c r="P274" s="551"/>
      <c r="Q274" s="551"/>
      <c r="R274" s="551"/>
      <c r="S274" s="551"/>
      <c r="T274" s="551"/>
      <c r="U274" s="551"/>
      <c r="V274" s="551"/>
      <c r="W274" s="551"/>
      <c r="X274" s="551"/>
      <c r="Y274" s="551"/>
      <c r="Z274" s="551"/>
      <c r="AA274" s="551"/>
      <c r="AB274" s="551"/>
      <c r="AC274" s="551"/>
      <c r="AD274" s="551"/>
      <c r="AE274" s="551"/>
      <c r="AF274" s="551"/>
      <c r="AG274" s="551"/>
      <c r="AH274" s="551"/>
      <c r="AI274" s="551"/>
      <c r="AJ274" s="551"/>
      <c r="AK274" s="551"/>
      <c r="AL274" s="551"/>
      <c r="AM274" s="551"/>
      <c r="AN274" s="551"/>
      <c r="AO274" s="551"/>
      <c r="AP274" s="551"/>
      <c r="AQ274" s="551"/>
      <c r="AR274" s="551"/>
      <c r="AS274" s="551"/>
      <c r="AT274" s="551"/>
      <c r="AU274" s="551"/>
      <c r="AV274" s="551"/>
      <c r="AW274" s="551"/>
      <c r="AX274" s="551"/>
      <c r="AY274" s="551"/>
      <c r="AZ274" s="551"/>
      <c r="BA274" s="551"/>
      <c r="BB274" s="551"/>
      <c r="BC274" s="551"/>
      <c r="BD274" s="551"/>
      <c r="BE274" s="551"/>
      <c r="BF274" s="551"/>
    </row>
    <row r="275" spans="1:58" ht="12.75" customHeight="1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1"/>
      <c r="P275" s="551"/>
      <c r="Q275" s="551"/>
      <c r="R275" s="551"/>
      <c r="S275" s="551"/>
      <c r="T275" s="551"/>
      <c r="U275" s="551"/>
      <c r="V275" s="551"/>
      <c r="W275" s="551"/>
      <c r="X275" s="551"/>
      <c r="Y275" s="551"/>
      <c r="Z275" s="551"/>
      <c r="AA275" s="551"/>
      <c r="AB275" s="551"/>
      <c r="AC275" s="551"/>
      <c r="AD275" s="551"/>
      <c r="AE275" s="551"/>
      <c r="AF275" s="551"/>
      <c r="AG275" s="551"/>
      <c r="AH275" s="551"/>
      <c r="AI275" s="551"/>
      <c r="AJ275" s="551"/>
      <c r="AK275" s="551"/>
      <c r="AL275" s="551"/>
      <c r="AM275" s="551"/>
      <c r="AN275" s="551"/>
      <c r="AO275" s="551"/>
      <c r="AP275" s="551"/>
      <c r="AQ275" s="551"/>
      <c r="AR275" s="551"/>
      <c r="AS275" s="551"/>
      <c r="AT275" s="551"/>
      <c r="AU275" s="551"/>
      <c r="AV275" s="551"/>
      <c r="AW275" s="551"/>
      <c r="AX275" s="551"/>
      <c r="AY275" s="551"/>
      <c r="AZ275" s="551"/>
      <c r="BA275" s="551"/>
      <c r="BB275" s="551"/>
      <c r="BC275" s="551"/>
      <c r="BD275" s="551"/>
      <c r="BE275" s="551"/>
      <c r="BF275" s="551"/>
    </row>
    <row r="276" spans="1:58" ht="12.75" customHeight="1">
      <c r="A276" s="551"/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51"/>
      <c r="AB276" s="551"/>
      <c r="AC276" s="551"/>
      <c r="AD276" s="551"/>
      <c r="AE276" s="551"/>
      <c r="AF276" s="551"/>
      <c r="AG276" s="551"/>
      <c r="AH276" s="551"/>
      <c r="AI276" s="551"/>
      <c r="AJ276" s="551"/>
      <c r="AK276" s="551"/>
      <c r="AL276" s="551"/>
      <c r="AM276" s="551"/>
      <c r="AN276" s="551"/>
      <c r="AO276" s="551"/>
      <c r="AP276" s="551"/>
      <c r="AQ276" s="551"/>
      <c r="AR276" s="551"/>
      <c r="AS276" s="551"/>
      <c r="AT276" s="551"/>
      <c r="AU276" s="551"/>
      <c r="AV276" s="551"/>
      <c r="AW276" s="551"/>
      <c r="AX276" s="551"/>
      <c r="AY276" s="551"/>
      <c r="AZ276" s="551"/>
      <c r="BA276" s="551"/>
      <c r="BB276" s="551"/>
      <c r="BC276" s="551"/>
      <c r="BD276" s="551"/>
      <c r="BE276" s="551"/>
      <c r="BF276" s="551"/>
    </row>
    <row r="277" spans="1:58" ht="12.75" customHeight="1">
      <c r="A277" s="551"/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51"/>
      <c r="AB277" s="551"/>
      <c r="AC277" s="551"/>
      <c r="AD277" s="551"/>
      <c r="AE277" s="551"/>
      <c r="AF277" s="551"/>
      <c r="AG277" s="551"/>
      <c r="AH277" s="551"/>
      <c r="AI277" s="551"/>
      <c r="AJ277" s="551"/>
      <c r="AK277" s="551"/>
      <c r="AL277" s="551"/>
      <c r="AM277" s="551"/>
      <c r="AN277" s="551"/>
      <c r="AO277" s="551"/>
      <c r="AP277" s="551"/>
      <c r="AQ277" s="551"/>
      <c r="AR277" s="551"/>
      <c r="AS277" s="551"/>
      <c r="AT277" s="551"/>
      <c r="AU277" s="551"/>
      <c r="AV277" s="551"/>
      <c r="AW277" s="551"/>
      <c r="AX277" s="551"/>
      <c r="AY277" s="551"/>
      <c r="AZ277" s="551"/>
      <c r="BA277" s="551"/>
      <c r="BB277" s="551"/>
      <c r="BC277" s="551"/>
      <c r="BD277" s="551"/>
      <c r="BE277" s="551"/>
      <c r="BF277" s="551"/>
    </row>
    <row r="278" spans="1:58" ht="12.75" customHeight="1">
      <c r="A278" s="551"/>
      <c r="B278" s="551"/>
      <c r="C278" s="551"/>
      <c r="D278" s="551"/>
      <c r="E278" s="551"/>
      <c r="F278" s="551"/>
      <c r="G278" s="551"/>
      <c r="H278" s="551"/>
      <c r="I278" s="551"/>
      <c r="J278" s="551"/>
      <c r="K278" s="551"/>
      <c r="L278" s="551"/>
      <c r="M278" s="551"/>
      <c r="N278" s="551"/>
      <c r="O278" s="551"/>
      <c r="P278" s="551"/>
      <c r="Q278" s="551"/>
      <c r="R278" s="551"/>
      <c r="S278" s="551"/>
      <c r="T278" s="551"/>
      <c r="U278" s="551"/>
      <c r="V278" s="551"/>
      <c r="W278" s="551"/>
      <c r="X278" s="551"/>
      <c r="Y278" s="551"/>
      <c r="Z278" s="551"/>
      <c r="AA278" s="551"/>
      <c r="AB278" s="551"/>
      <c r="AC278" s="551"/>
      <c r="AD278" s="551"/>
      <c r="AE278" s="551"/>
      <c r="AF278" s="551"/>
      <c r="AG278" s="551"/>
      <c r="AH278" s="551"/>
      <c r="AI278" s="551"/>
      <c r="AJ278" s="551"/>
      <c r="AK278" s="551"/>
      <c r="AL278" s="551"/>
      <c r="AM278" s="551"/>
      <c r="AN278" s="551"/>
      <c r="AO278" s="551"/>
      <c r="AP278" s="551"/>
      <c r="AQ278" s="551"/>
      <c r="AR278" s="551"/>
      <c r="AS278" s="551"/>
      <c r="AT278" s="551"/>
      <c r="AU278" s="551"/>
      <c r="AV278" s="551"/>
      <c r="AW278" s="551"/>
      <c r="AX278" s="551"/>
      <c r="AY278" s="551"/>
      <c r="AZ278" s="551"/>
      <c r="BA278" s="551"/>
      <c r="BB278" s="551"/>
      <c r="BC278" s="551"/>
      <c r="BD278" s="551"/>
      <c r="BE278" s="551"/>
      <c r="BF278" s="551"/>
    </row>
    <row r="279" spans="1:58" ht="12.75" customHeight="1">
      <c r="A279" s="551"/>
      <c r="B279" s="551"/>
      <c r="C279" s="551"/>
      <c r="D279" s="551"/>
      <c r="E279" s="551"/>
      <c r="F279" s="551"/>
      <c r="G279" s="551"/>
      <c r="H279" s="551"/>
      <c r="I279" s="551"/>
      <c r="J279" s="551"/>
      <c r="K279" s="551"/>
      <c r="L279" s="551"/>
      <c r="M279" s="551"/>
      <c r="N279" s="551"/>
      <c r="O279" s="551"/>
      <c r="P279" s="551"/>
      <c r="Q279" s="551"/>
      <c r="R279" s="551"/>
      <c r="S279" s="551"/>
      <c r="T279" s="551"/>
      <c r="U279" s="551"/>
      <c r="V279" s="551"/>
      <c r="W279" s="551"/>
      <c r="X279" s="551"/>
      <c r="Y279" s="551"/>
      <c r="Z279" s="551"/>
      <c r="AA279" s="551"/>
      <c r="AB279" s="551"/>
      <c r="AC279" s="551"/>
      <c r="AD279" s="551"/>
      <c r="AE279" s="551"/>
      <c r="AF279" s="551"/>
      <c r="AG279" s="551"/>
      <c r="AH279" s="551"/>
      <c r="AI279" s="551"/>
      <c r="AJ279" s="551"/>
      <c r="AK279" s="551"/>
      <c r="AL279" s="551"/>
      <c r="AM279" s="551"/>
      <c r="AN279" s="551"/>
      <c r="AO279" s="551"/>
      <c r="AP279" s="551"/>
      <c r="AQ279" s="551"/>
      <c r="AR279" s="551"/>
      <c r="AS279" s="551"/>
      <c r="AT279" s="551"/>
      <c r="AU279" s="551"/>
      <c r="AV279" s="551"/>
      <c r="AW279" s="551"/>
      <c r="AX279" s="551"/>
      <c r="AY279" s="551"/>
      <c r="AZ279" s="551"/>
      <c r="BA279" s="551"/>
      <c r="BB279" s="551"/>
      <c r="BC279" s="551"/>
      <c r="BD279" s="551"/>
      <c r="BE279" s="551"/>
      <c r="BF279" s="551"/>
    </row>
    <row r="280" spans="1:58" ht="12.75" customHeight="1">
      <c r="A280" s="551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1"/>
      <c r="P280" s="551"/>
      <c r="Q280" s="551"/>
      <c r="R280" s="551"/>
      <c r="S280" s="551"/>
      <c r="T280" s="551"/>
      <c r="U280" s="551"/>
      <c r="V280" s="551"/>
      <c r="W280" s="551"/>
      <c r="X280" s="551"/>
      <c r="Y280" s="551"/>
      <c r="Z280" s="551"/>
      <c r="AA280" s="551"/>
      <c r="AB280" s="551"/>
      <c r="AC280" s="551"/>
      <c r="AD280" s="551"/>
      <c r="AE280" s="551"/>
      <c r="AF280" s="551"/>
      <c r="AG280" s="551"/>
      <c r="AH280" s="551"/>
      <c r="AI280" s="551"/>
      <c r="AJ280" s="551"/>
      <c r="AK280" s="551"/>
      <c r="AL280" s="551"/>
      <c r="AM280" s="551"/>
      <c r="AN280" s="551"/>
      <c r="AO280" s="551"/>
      <c r="AP280" s="551"/>
      <c r="AQ280" s="551"/>
      <c r="AR280" s="551"/>
      <c r="AS280" s="551"/>
      <c r="AT280" s="551"/>
      <c r="AU280" s="551"/>
      <c r="AV280" s="551"/>
      <c r="AW280" s="551"/>
      <c r="AX280" s="551"/>
      <c r="AY280" s="551"/>
      <c r="AZ280" s="551"/>
      <c r="BA280" s="551"/>
      <c r="BB280" s="551"/>
      <c r="BC280" s="551"/>
      <c r="BD280" s="551"/>
      <c r="BE280" s="551"/>
      <c r="BF280" s="551"/>
    </row>
    <row r="281" spans="1:58" ht="12.75" customHeight="1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1"/>
      <c r="P281" s="551"/>
      <c r="Q281" s="551"/>
      <c r="R281" s="551"/>
      <c r="S281" s="551"/>
      <c r="T281" s="551"/>
      <c r="U281" s="551"/>
      <c r="V281" s="551"/>
      <c r="W281" s="551"/>
      <c r="X281" s="551"/>
      <c r="Y281" s="551"/>
      <c r="Z281" s="551"/>
      <c r="AA281" s="551"/>
      <c r="AB281" s="551"/>
      <c r="AC281" s="551"/>
      <c r="AD281" s="551"/>
      <c r="AE281" s="551"/>
      <c r="AF281" s="551"/>
      <c r="AG281" s="551"/>
      <c r="AH281" s="551"/>
      <c r="AI281" s="551"/>
      <c r="AJ281" s="551"/>
      <c r="AK281" s="551"/>
      <c r="AL281" s="551"/>
      <c r="AM281" s="551"/>
      <c r="AN281" s="551"/>
      <c r="AO281" s="551"/>
      <c r="AP281" s="551"/>
      <c r="AQ281" s="551"/>
      <c r="AR281" s="551"/>
      <c r="AS281" s="551"/>
      <c r="AT281" s="551"/>
      <c r="AU281" s="551"/>
      <c r="AV281" s="551"/>
      <c r="AW281" s="551"/>
      <c r="AX281" s="551"/>
      <c r="AY281" s="551"/>
      <c r="AZ281" s="551"/>
      <c r="BA281" s="551"/>
      <c r="BB281" s="551"/>
      <c r="BC281" s="551"/>
      <c r="BD281" s="551"/>
      <c r="BE281" s="551"/>
      <c r="BF281" s="551"/>
    </row>
    <row r="282" spans="1:58" ht="12.75" customHeight="1">
      <c r="A282" s="551"/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51"/>
      <c r="AB282" s="551"/>
      <c r="AC282" s="551"/>
      <c r="AD282" s="551"/>
      <c r="AE282" s="551"/>
      <c r="AF282" s="551"/>
      <c r="AG282" s="551"/>
      <c r="AH282" s="551"/>
      <c r="AI282" s="551"/>
      <c r="AJ282" s="551"/>
      <c r="AK282" s="551"/>
      <c r="AL282" s="551"/>
      <c r="AM282" s="551"/>
      <c r="AN282" s="551"/>
      <c r="AO282" s="551"/>
      <c r="AP282" s="551"/>
      <c r="AQ282" s="551"/>
      <c r="AR282" s="551"/>
      <c r="AS282" s="551"/>
      <c r="AT282" s="551"/>
      <c r="AU282" s="551"/>
      <c r="AV282" s="551"/>
      <c r="AW282" s="551"/>
      <c r="AX282" s="551"/>
      <c r="AY282" s="551"/>
      <c r="AZ282" s="551"/>
      <c r="BA282" s="551"/>
      <c r="BB282" s="551"/>
      <c r="BC282" s="551"/>
      <c r="BD282" s="551"/>
      <c r="BE282" s="551"/>
      <c r="BF282" s="551"/>
    </row>
    <row r="283" spans="1:58" ht="12.75" customHeight="1">
      <c r="A283" s="551"/>
      <c r="B283" s="551"/>
      <c r="C283" s="551"/>
      <c r="D283" s="551"/>
      <c r="E283" s="551"/>
      <c r="F283" s="551"/>
      <c r="G283" s="551"/>
      <c r="H283" s="551"/>
      <c r="I283" s="551"/>
      <c r="J283" s="551"/>
      <c r="K283" s="551"/>
      <c r="L283" s="551"/>
      <c r="M283" s="551"/>
      <c r="N283" s="551"/>
      <c r="O283" s="551"/>
      <c r="P283" s="551"/>
      <c r="Q283" s="551"/>
      <c r="R283" s="551"/>
      <c r="S283" s="551"/>
      <c r="T283" s="551"/>
      <c r="U283" s="551"/>
      <c r="V283" s="551"/>
      <c r="W283" s="551"/>
      <c r="X283" s="551"/>
      <c r="Y283" s="551"/>
      <c r="Z283" s="551"/>
      <c r="AA283" s="551"/>
      <c r="AB283" s="551"/>
      <c r="AC283" s="551"/>
      <c r="AD283" s="551"/>
      <c r="AE283" s="551"/>
      <c r="AF283" s="551"/>
      <c r="AG283" s="551"/>
      <c r="AH283" s="551"/>
      <c r="AI283" s="551"/>
      <c r="AJ283" s="551"/>
      <c r="AK283" s="551"/>
      <c r="AL283" s="551"/>
      <c r="AM283" s="551"/>
      <c r="AN283" s="551"/>
      <c r="AO283" s="551"/>
      <c r="AP283" s="551"/>
      <c r="AQ283" s="551"/>
      <c r="AR283" s="551"/>
      <c r="AS283" s="551"/>
      <c r="AT283" s="551"/>
      <c r="AU283" s="551"/>
      <c r="AV283" s="551"/>
      <c r="AW283" s="551"/>
      <c r="AX283" s="551"/>
      <c r="AY283" s="551"/>
      <c r="AZ283" s="551"/>
      <c r="BA283" s="551"/>
      <c r="BB283" s="551"/>
      <c r="BC283" s="551"/>
      <c r="BD283" s="551"/>
      <c r="BE283" s="551"/>
      <c r="BF283" s="551"/>
    </row>
    <row r="284" spans="1:58" ht="12.75" customHeight="1">
      <c r="A284" s="551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1"/>
      <c r="P284" s="551"/>
      <c r="Q284" s="551"/>
      <c r="R284" s="551"/>
      <c r="S284" s="551"/>
      <c r="T284" s="551"/>
      <c r="U284" s="551"/>
      <c r="V284" s="551"/>
      <c r="W284" s="551"/>
      <c r="X284" s="551"/>
      <c r="Y284" s="551"/>
      <c r="Z284" s="551"/>
      <c r="AA284" s="551"/>
      <c r="AB284" s="551"/>
      <c r="AC284" s="551"/>
      <c r="AD284" s="551"/>
      <c r="AE284" s="551"/>
      <c r="AF284" s="551"/>
      <c r="AG284" s="551"/>
      <c r="AH284" s="551"/>
      <c r="AI284" s="551"/>
      <c r="AJ284" s="551"/>
      <c r="AK284" s="551"/>
      <c r="AL284" s="551"/>
      <c r="AM284" s="551"/>
      <c r="AN284" s="551"/>
      <c r="AO284" s="551"/>
      <c r="AP284" s="551"/>
      <c r="AQ284" s="551"/>
      <c r="AR284" s="551"/>
      <c r="AS284" s="551"/>
      <c r="AT284" s="551"/>
      <c r="AU284" s="551"/>
      <c r="AV284" s="551"/>
      <c r="AW284" s="551"/>
      <c r="AX284" s="551"/>
      <c r="AY284" s="551"/>
      <c r="AZ284" s="551"/>
      <c r="BA284" s="551"/>
      <c r="BB284" s="551"/>
      <c r="BC284" s="551"/>
      <c r="BD284" s="551"/>
      <c r="BE284" s="551"/>
      <c r="BF284" s="551"/>
    </row>
    <row r="285" spans="1:58" ht="12.75" customHeight="1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1"/>
      <c r="P285" s="551"/>
      <c r="Q285" s="551"/>
      <c r="R285" s="551"/>
      <c r="S285" s="551"/>
      <c r="T285" s="551"/>
      <c r="U285" s="551"/>
      <c r="V285" s="551"/>
      <c r="W285" s="551"/>
      <c r="X285" s="551"/>
      <c r="Y285" s="551"/>
      <c r="Z285" s="551"/>
      <c r="AA285" s="551"/>
      <c r="AB285" s="551"/>
      <c r="AC285" s="551"/>
      <c r="AD285" s="551"/>
      <c r="AE285" s="551"/>
      <c r="AF285" s="551"/>
      <c r="AG285" s="551"/>
      <c r="AH285" s="551"/>
      <c r="AI285" s="551"/>
      <c r="AJ285" s="551"/>
      <c r="AK285" s="551"/>
      <c r="AL285" s="551"/>
      <c r="AM285" s="551"/>
      <c r="AN285" s="551"/>
      <c r="AO285" s="551"/>
      <c r="AP285" s="551"/>
      <c r="AQ285" s="551"/>
      <c r="AR285" s="551"/>
      <c r="AS285" s="551"/>
      <c r="AT285" s="551"/>
      <c r="AU285" s="551"/>
      <c r="AV285" s="551"/>
      <c r="AW285" s="551"/>
      <c r="AX285" s="551"/>
      <c r="AY285" s="551"/>
      <c r="AZ285" s="551"/>
      <c r="BA285" s="551"/>
      <c r="BB285" s="551"/>
      <c r="BC285" s="551"/>
      <c r="BD285" s="551"/>
      <c r="BE285" s="551"/>
      <c r="BF285" s="551"/>
    </row>
    <row r="286" spans="1:58" ht="12.75" customHeight="1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51"/>
      <c r="AB286" s="551"/>
      <c r="AC286" s="551"/>
      <c r="AD286" s="551"/>
      <c r="AE286" s="551"/>
      <c r="AF286" s="551"/>
      <c r="AG286" s="551"/>
      <c r="AH286" s="551"/>
      <c r="AI286" s="551"/>
      <c r="AJ286" s="551"/>
      <c r="AK286" s="551"/>
      <c r="AL286" s="551"/>
      <c r="AM286" s="551"/>
      <c r="AN286" s="551"/>
      <c r="AO286" s="551"/>
      <c r="AP286" s="551"/>
      <c r="AQ286" s="551"/>
      <c r="AR286" s="551"/>
      <c r="AS286" s="551"/>
      <c r="AT286" s="551"/>
      <c r="AU286" s="551"/>
      <c r="AV286" s="551"/>
      <c r="AW286" s="551"/>
      <c r="AX286" s="551"/>
      <c r="AY286" s="551"/>
      <c r="AZ286" s="551"/>
      <c r="BA286" s="551"/>
      <c r="BB286" s="551"/>
      <c r="BC286" s="551"/>
      <c r="BD286" s="551"/>
      <c r="BE286" s="551"/>
      <c r="BF286" s="551"/>
    </row>
    <row r="287" spans="1:58" ht="12.75" customHeight="1">
      <c r="A287" s="551"/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51"/>
      <c r="AB287" s="551"/>
      <c r="AC287" s="551"/>
      <c r="AD287" s="551"/>
      <c r="AE287" s="551"/>
      <c r="AF287" s="551"/>
      <c r="AG287" s="551"/>
      <c r="AH287" s="551"/>
      <c r="AI287" s="551"/>
      <c r="AJ287" s="551"/>
      <c r="AK287" s="551"/>
      <c r="AL287" s="551"/>
      <c r="AM287" s="551"/>
      <c r="AN287" s="551"/>
      <c r="AO287" s="551"/>
      <c r="AP287" s="551"/>
      <c r="AQ287" s="551"/>
      <c r="AR287" s="551"/>
      <c r="AS287" s="551"/>
      <c r="AT287" s="551"/>
      <c r="AU287" s="551"/>
      <c r="AV287" s="551"/>
      <c r="AW287" s="551"/>
      <c r="AX287" s="551"/>
      <c r="AY287" s="551"/>
      <c r="AZ287" s="551"/>
      <c r="BA287" s="551"/>
      <c r="BB287" s="551"/>
      <c r="BC287" s="551"/>
      <c r="BD287" s="551"/>
      <c r="BE287" s="551"/>
      <c r="BF287" s="551"/>
    </row>
    <row r="288" spans="1:58" ht="12.75" customHeight="1">
      <c r="A288" s="551"/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51"/>
      <c r="AB288" s="551"/>
      <c r="AC288" s="551"/>
      <c r="AD288" s="551"/>
      <c r="AE288" s="551"/>
      <c r="AF288" s="551"/>
      <c r="AG288" s="551"/>
      <c r="AH288" s="551"/>
      <c r="AI288" s="551"/>
      <c r="AJ288" s="551"/>
      <c r="AK288" s="551"/>
      <c r="AL288" s="551"/>
      <c r="AM288" s="551"/>
      <c r="AN288" s="551"/>
      <c r="AO288" s="551"/>
      <c r="AP288" s="551"/>
      <c r="AQ288" s="551"/>
      <c r="AR288" s="551"/>
      <c r="AS288" s="551"/>
      <c r="AT288" s="551"/>
      <c r="AU288" s="551"/>
      <c r="AV288" s="551"/>
      <c r="AW288" s="551"/>
      <c r="AX288" s="551"/>
      <c r="AY288" s="551"/>
      <c r="AZ288" s="551"/>
      <c r="BA288" s="551"/>
      <c r="BB288" s="551"/>
      <c r="BC288" s="551"/>
      <c r="BD288" s="551"/>
      <c r="BE288" s="551"/>
      <c r="BF288" s="551"/>
    </row>
    <row r="289" spans="1:58" ht="12.75" customHeight="1">
      <c r="A289" s="551"/>
      <c r="B289" s="551"/>
      <c r="C289" s="551"/>
      <c r="D289" s="551"/>
      <c r="E289" s="551"/>
      <c r="F289" s="551"/>
      <c r="G289" s="551"/>
      <c r="H289" s="551"/>
      <c r="I289" s="551"/>
      <c r="J289" s="551"/>
      <c r="K289" s="551"/>
      <c r="L289" s="551"/>
      <c r="M289" s="551"/>
      <c r="N289" s="551"/>
      <c r="O289" s="551"/>
      <c r="P289" s="551"/>
      <c r="Q289" s="551"/>
      <c r="R289" s="551"/>
      <c r="S289" s="551"/>
      <c r="T289" s="551"/>
      <c r="U289" s="551"/>
      <c r="V289" s="551"/>
      <c r="W289" s="551"/>
      <c r="X289" s="551"/>
      <c r="Y289" s="551"/>
      <c r="Z289" s="551"/>
      <c r="AA289" s="551"/>
      <c r="AB289" s="551"/>
      <c r="AC289" s="551"/>
      <c r="AD289" s="551"/>
      <c r="AE289" s="551"/>
      <c r="AF289" s="551"/>
      <c r="AG289" s="551"/>
      <c r="AH289" s="551"/>
      <c r="AI289" s="551"/>
      <c r="AJ289" s="551"/>
      <c r="AK289" s="551"/>
      <c r="AL289" s="551"/>
      <c r="AM289" s="551"/>
      <c r="AN289" s="551"/>
      <c r="AO289" s="551"/>
      <c r="AP289" s="551"/>
      <c r="AQ289" s="551"/>
      <c r="AR289" s="551"/>
      <c r="AS289" s="551"/>
      <c r="AT289" s="551"/>
      <c r="AU289" s="551"/>
      <c r="AV289" s="551"/>
      <c r="AW289" s="551"/>
      <c r="AX289" s="551"/>
      <c r="AY289" s="551"/>
      <c r="AZ289" s="551"/>
      <c r="BA289" s="551"/>
      <c r="BB289" s="551"/>
      <c r="BC289" s="551"/>
      <c r="BD289" s="551"/>
      <c r="BE289" s="551"/>
      <c r="BF289" s="551"/>
    </row>
    <row r="290" spans="1:58" ht="12.75" customHeight="1">
      <c r="A290" s="551"/>
      <c r="B290" s="551"/>
      <c r="C290" s="551"/>
      <c r="D290" s="551"/>
      <c r="E290" s="551"/>
      <c r="F290" s="551"/>
      <c r="G290" s="551"/>
      <c r="H290" s="551"/>
      <c r="I290" s="551"/>
      <c r="J290" s="551"/>
      <c r="K290" s="551"/>
      <c r="L290" s="551"/>
      <c r="M290" s="551"/>
      <c r="N290" s="551"/>
      <c r="O290" s="551"/>
      <c r="P290" s="551"/>
      <c r="Q290" s="551"/>
      <c r="R290" s="551"/>
      <c r="S290" s="551"/>
      <c r="T290" s="551"/>
      <c r="U290" s="551"/>
      <c r="V290" s="551"/>
      <c r="W290" s="551"/>
      <c r="X290" s="551"/>
      <c r="Y290" s="551"/>
      <c r="Z290" s="551"/>
      <c r="AA290" s="551"/>
      <c r="AB290" s="551"/>
      <c r="AC290" s="551"/>
      <c r="AD290" s="551"/>
      <c r="AE290" s="551"/>
      <c r="AF290" s="551"/>
      <c r="AG290" s="551"/>
      <c r="AH290" s="551"/>
      <c r="AI290" s="551"/>
      <c r="AJ290" s="551"/>
      <c r="AK290" s="551"/>
      <c r="AL290" s="551"/>
      <c r="AM290" s="551"/>
      <c r="AN290" s="551"/>
      <c r="AO290" s="551"/>
      <c r="AP290" s="551"/>
      <c r="AQ290" s="551"/>
      <c r="AR290" s="551"/>
      <c r="AS290" s="551"/>
      <c r="AT290" s="551"/>
      <c r="AU290" s="551"/>
      <c r="AV290" s="551"/>
      <c r="AW290" s="551"/>
      <c r="AX290" s="551"/>
      <c r="AY290" s="551"/>
      <c r="AZ290" s="551"/>
      <c r="BA290" s="551"/>
      <c r="BB290" s="551"/>
      <c r="BC290" s="551"/>
      <c r="BD290" s="551"/>
      <c r="BE290" s="551"/>
      <c r="BF290" s="551"/>
    </row>
    <row r="291" spans="1:58" ht="12.75" customHeight="1">
      <c r="A291" s="551"/>
      <c r="B291" s="551"/>
      <c r="C291" s="551"/>
      <c r="D291" s="551"/>
      <c r="E291" s="551"/>
      <c r="F291" s="551"/>
      <c r="G291" s="551"/>
      <c r="H291" s="551"/>
      <c r="I291" s="551"/>
      <c r="J291" s="551"/>
      <c r="K291" s="551"/>
      <c r="L291" s="551"/>
      <c r="M291" s="551"/>
      <c r="N291" s="551"/>
      <c r="O291" s="551"/>
      <c r="P291" s="551"/>
      <c r="Q291" s="551"/>
      <c r="R291" s="551"/>
      <c r="S291" s="551"/>
      <c r="T291" s="551"/>
      <c r="U291" s="551"/>
      <c r="V291" s="551"/>
      <c r="W291" s="551"/>
      <c r="X291" s="551"/>
      <c r="Y291" s="551"/>
      <c r="Z291" s="551"/>
      <c r="AA291" s="551"/>
      <c r="AB291" s="551"/>
      <c r="AC291" s="551"/>
      <c r="AD291" s="551"/>
      <c r="AE291" s="551"/>
      <c r="AF291" s="551"/>
      <c r="AG291" s="551"/>
      <c r="AH291" s="551"/>
      <c r="AI291" s="551"/>
      <c r="AJ291" s="551"/>
      <c r="AK291" s="551"/>
      <c r="AL291" s="551"/>
      <c r="AM291" s="551"/>
      <c r="AN291" s="551"/>
      <c r="AO291" s="551"/>
      <c r="AP291" s="551"/>
      <c r="AQ291" s="551"/>
      <c r="AR291" s="551"/>
      <c r="AS291" s="551"/>
      <c r="AT291" s="551"/>
      <c r="AU291" s="551"/>
      <c r="AV291" s="551"/>
      <c r="AW291" s="551"/>
      <c r="AX291" s="551"/>
      <c r="AY291" s="551"/>
      <c r="AZ291" s="551"/>
      <c r="BA291" s="551"/>
      <c r="BB291" s="551"/>
      <c r="BC291" s="551"/>
      <c r="BD291" s="551"/>
      <c r="BE291" s="551"/>
      <c r="BF291" s="551"/>
    </row>
    <row r="292" spans="1:58" ht="12.75" customHeight="1">
      <c r="A292" s="551"/>
      <c r="B292" s="551"/>
      <c r="C292" s="551"/>
      <c r="D292" s="551"/>
      <c r="E292" s="551"/>
      <c r="F292" s="551"/>
      <c r="G292" s="551"/>
      <c r="H292" s="551"/>
      <c r="I292" s="551"/>
      <c r="J292" s="551"/>
      <c r="K292" s="551"/>
      <c r="L292" s="551"/>
      <c r="M292" s="551"/>
      <c r="N292" s="551"/>
      <c r="O292" s="551"/>
      <c r="P292" s="551"/>
      <c r="Q292" s="551"/>
      <c r="R292" s="551"/>
      <c r="S292" s="551"/>
      <c r="T292" s="551"/>
      <c r="U292" s="551"/>
      <c r="V292" s="551"/>
      <c r="W292" s="551"/>
      <c r="X292" s="551"/>
      <c r="Y292" s="551"/>
      <c r="Z292" s="551"/>
      <c r="AA292" s="551"/>
      <c r="AB292" s="551"/>
      <c r="AC292" s="551"/>
      <c r="AD292" s="551"/>
      <c r="AE292" s="551"/>
      <c r="AF292" s="551"/>
      <c r="AG292" s="551"/>
      <c r="AH292" s="551"/>
      <c r="AI292" s="551"/>
      <c r="AJ292" s="551"/>
      <c r="AK292" s="551"/>
      <c r="AL292" s="551"/>
      <c r="AM292" s="551"/>
      <c r="AN292" s="551"/>
      <c r="AO292" s="551"/>
      <c r="AP292" s="551"/>
      <c r="AQ292" s="551"/>
      <c r="AR292" s="551"/>
      <c r="AS292" s="551"/>
      <c r="AT292" s="551"/>
      <c r="AU292" s="551"/>
      <c r="AV292" s="551"/>
      <c r="AW292" s="551"/>
      <c r="AX292" s="551"/>
      <c r="AY292" s="551"/>
      <c r="AZ292" s="551"/>
      <c r="BA292" s="551"/>
      <c r="BB292" s="551"/>
      <c r="BC292" s="551"/>
      <c r="BD292" s="551"/>
      <c r="BE292" s="551"/>
      <c r="BF292" s="551"/>
    </row>
    <row r="293" spans="1:58" ht="12.75" customHeight="1">
      <c r="A293" s="551"/>
      <c r="B293" s="551"/>
      <c r="C293" s="551"/>
      <c r="D293" s="551"/>
      <c r="E293" s="551"/>
      <c r="F293" s="551"/>
      <c r="G293" s="551"/>
      <c r="H293" s="551"/>
      <c r="I293" s="551"/>
      <c r="J293" s="551"/>
      <c r="K293" s="551"/>
      <c r="L293" s="551"/>
      <c r="M293" s="551"/>
      <c r="N293" s="551"/>
      <c r="O293" s="551"/>
      <c r="P293" s="551"/>
      <c r="Q293" s="551"/>
      <c r="R293" s="551"/>
      <c r="S293" s="551"/>
      <c r="T293" s="551"/>
      <c r="U293" s="551"/>
      <c r="V293" s="551"/>
      <c r="W293" s="551"/>
      <c r="X293" s="551"/>
      <c r="Y293" s="551"/>
      <c r="Z293" s="551"/>
      <c r="AA293" s="551"/>
      <c r="AB293" s="551"/>
      <c r="AC293" s="551"/>
      <c r="AD293" s="551"/>
      <c r="AE293" s="551"/>
      <c r="AF293" s="551"/>
      <c r="AG293" s="551"/>
      <c r="AH293" s="551"/>
      <c r="AI293" s="551"/>
      <c r="AJ293" s="551"/>
      <c r="AK293" s="551"/>
      <c r="AL293" s="551"/>
      <c r="AM293" s="551"/>
      <c r="AN293" s="551"/>
      <c r="AO293" s="551"/>
      <c r="AP293" s="551"/>
      <c r="AQ293" s="551"/>
      <c r="AR293" s="551"/>
      <c r="AS293" s="551"/>
      <c r="AT293" s="551"/>
      <c r="AU293" s="551"/>
      <c r="AV293" s="551"/>
      <c r="AW293" s="551"/>
      <c r="AX293" s="551"/>
      <c r="AY293" s="551"/>
      <c r="AZ293" s="551"/>
      <c r="BA293" s="551"/>
      <c r="BB293" s="551"/>
      <c r="BC293" s="551"/>
      <c r="BD293" s="551"/>
      <c r="BE293" s="551"/>
      <c r="BF293" s="551"/>
    </row>
    <row r="294" spans="1:58" ht="12.75" customHeight="1">
      <c r="A294" s="551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1"/>
      <c r="P294" s="551"/>
      <c r="Q294" s="551"/>
      <c r="R294" s="551"/>
      <c r="S294" s="551"/>
      <c r="T294" s="551"/>
      <c r="U294" s="551"/>
      <c r="V294" s="551"/>
      <c r="W294" s="551"/>
      <c r="X294" s="551"/>
      <c r="Y294" s="551"/>
      <c r="Z294" s="551"/>
      <c r="AA294" s="551"/>
      <c r="AB294" s="551"/>
      <c r="AC294" s="551"/>
      <c r="AD294" s="551"/>
      <c r="AE294" s="551"/>
      <c r="AF294" s="551"/>
      <c r="AG294" s="551"/>
      <c r="AH294" s="551"/>
      <c r="AI294" s="551"/>
      <c r="AJ294" s="551"/>
      <c r="AK294" s="551"/>
      <c r="AL294" s="551"/>
      <c r="AM294" s="551"/>
      <c r="AN294" s="551"/>
      <c r="AO294" s="551"/>
      <c r="AP294" s="551"/>
      <c r="AQ294" s="551"/>
      <c r="AR294" s="551"/>
      <c r="AS294" s="551"/>
      <c r="AT294" s="551"/>
      <c r="AU294" s="551"/>
      <c r="AV294" s="551"/>
      <c r="AW294" s="551"/>
      <c r="AX294" s="551"/>
      <c r="AY294" s="551"/>
      <c r="AZ294" s="551"/>
      <c r="BA294" s="551"/>
      <c r="BB294" s="551"/>
      <c r="BC294" s="551"/>
      <c r="BD294" s="551"/>
      <c r="BE294" s="551"/>
      <c r="BF294" s="551"/>
    </row>
    <row r="295" spans="1:58" ht="12.75" customHeight="1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1"/>
      <c r="P295" s="551"/>
      <c r="Q295" s="551"/>
      <c r="R295" s="551"/>
      <c r="S295" s="551"/>
      <c r="T295" s="551"/>
      <c r="U295" s="551"/>
      <c r="V295" s="551"/>
      <c r="W295" s="551"/>
      <c r="X295" s="551"/>
      <c r="Y295" s="551"/>
      <c r="Z295" s="551"/>
      <c r="AA295" s="551"/>
      <c r="AB295" s="551"/>
      <c r="AC295" s="551"/>
      <c r="AD295" s="551"/>
      <c r="AE295" s="551"/>
      <c r="AF295" s="551"/>
      <c r="AG295" s="551"/>
      <c r="AH295" s="551"/>
      <c r="AI295" s="551"/>
      <c r="AJ295" s="551"/>
      <c r="AK295" s="551"/>
      <c r="AL295" s="551"/>
      <c r="AM295" s="551"/>
      <c r="AN295" s="551"/>
      <c r="AO295" s="551"/>
      <c r="AP295" s="551"/>
      <c r="AQ295" s="551"/>
      <c r="AR295" s="551"/>
      <c r="AS295" s="551"/>
      <c r="AT295" s="551"/>
      <c r="AU295" s="551"/>
      <c r="AV295" s="551"/>
      <c r="AW295" s="551"/>
      <c r="AX295" s="551"/>
      <c r="AY295" s="551"/>
      <c r="AZ295" s="551"/>
      <c r="BA295" s="551"/>
      <c r="BB295" s="551"/>
      <c r="BC295" s="551"/>
      <c r="BD295" s="551"/>
      <c r="BE295" s="551"/>
      <c r="BF295" s="551"/>
    </row>
    <row r="296" spans="1:58" ht="12.75" customHeight="1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51"/>
      <c r="AB296" s="551"/>
      <c r="AC296" s="551"/>
      <c r="AD296" s="551"/>
      <c r="AE296" s="551"/>
      <c r="AF296" s="551"/>
      <c r="AG296" s="551"/>
      <c r="AH296" s="551"/>
      <c r="AI296" s="551"/>
      <c r="AJ296" s="551"/>
      <c r="AK296" s="551"/>
      <c r="AL296" s="551"/>
      <c r="AM296" s="551"/>
      <c r="AN296" s="551"/>
      <c r="AO296" s="551"/>
      <c r="AP296" s="551"/>
      <c r="AQ296" s="551"/>
      <c r="AR296" s="551"/>
      <c r="AS296" s="551"/>
      <c r="AT296" s="551"/>
      <c r="AU296" s="551"/>
      <c r="AV296" s="551"/>
      <c r="AW296" s="551"/>
      <c r="AX296" s="551"/>
      <c r="AY296" s="551"/>
      <c r="AZ296" s="551"/>
      <c r="BA296" s="551"/>
      <c r="BB296" s="551"/>
      <c r="BC296" s="551"/>
      <c r="BD296" s="551"/>
      <c r="BE296" s="551"/>
      <c r="BF296" s="551"/>
    </row>
    <row r="297" spans="1:58" ht="12.75" customHeight="1">
      <c r="A297" s="551"/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51"/>
      <c r="AB297" s="551"/>
      <c r="AC297" s="551"/>
      <c r="AD297" s="551"/>
      <c r="AE297" s="551"/>
      <c r="AF297" s="551"/>
      <c r="AG297" s="551"/>
      <c r="AH297" s="551"/>
      <c r="AI297" s="551"/>
      <c r="AJ297" s="551"/>
      <c r="AK297" s="551"/>
      <c r="AL297" s="551"/>
      <c r="AM297" s="551"/>
      <c r="AN297" s="551"/>
      <c r="AO297" s="551"/>
      <c r="AP297" s="551"/>
      <c r="AQ297" s="551"/>
      <c r="AR297" s="551"/>
      <c r="AS297" s="551"/>
      <c r="AT297" s="551"/>
      <c r="AU297" s="551"/>
      <c r="AV297" s="551"/>
      <c r="AW297" s="551"/>
      <c r="AX297" s="551"/>
      <c r="AY297" s="551"/>
      <c r="AZ297" s="551"/>
      <c r="BA297" s="551"/>
      <c r="BB297" s="551"/>
      <c r="BC297" s="551"/>
      <c r="BD297" s="551"/>
      <c r="BE297" s="551"/>
      <c r="BF297" s="551"/>
    </row>
    <row r="298" spans="1:58" ht="12.75" customHeight="1">
      <c r="A298" s="551"/>
      <c r="B298" s="551"/>
      <c r="C298" s="551"/>
      <c r="D298" s="551"/>
      <c r="E298" s="551"/>
      <c r="F298" s="551"/>
      <c r="G298" s="551"/>
      <c r="H298" s="551"/>
      <c r="I298" s="551"/>
      <c r="J298" s="551"/>
      <c r="K298" s="551"/>
      <c r="L298" s="551"/>
      <c r="M298" s="551"/>
      <c r="N298" s="551"/>
      <c r="O298" s="551"/>
      <c r="P298" s="551"/>
      <c r="Q298" s="551"/>
      <c r="R298" s="551"/>
      <c r="S298" s="551"/>
      <c r="T298" s="551"/>
      <c r="U298" s="551"/>
      <c r="V298" s="551"/>
      <c r="W298" s="551"/>
      <c r="X298" s="551"/>
      <c r="Y298" s="551"/>
      <c r="Z298" s="551"/>
      <c r="AA298" s="551"/>
      <c r="AB298" s="551"/>
      <c r="AC298" s="551"/>
      <c r="AD298" s="551"/>
      <c r="AE298" s="551"/>
      <c r="AF298" s="551"/>
      <c r="AG298" s="551"/>
      <c r="AH298" s="551"/>
      <c r="AI298" s="551"/>
      <c r="AJ298" s="551"/>
      <c r="AK298" s="551"/>
      <c r="AL298" s="551"/>
      <c r="AM298" s="551"/>
      <c r="AN298" s="551"/>
      <c r="AO298" s="551"/>
      <c r="AP298" s="551"/>
      <c r="AQ298" s="551"/>
      <c r="AR298" s="551"/>
      <c r="AS298" s="551"/>
      <c r="AT298" s="551"/>
      <c r="AU298" s="551"/>
      <c r="AV298" s="551"/>
      <c r="AW298" s="551"/>
      <c r="AX298" s="551"/>
      <c r="AY298" s="551"/>
      <c r="AZ298" s="551"/>
      <c r="BA298" s="551"/>
      <c r="BB298" s="551"/>
      <c r="BC298" s="551"/>
      <c r="BD298" s="551"/>
      <c r="BE298" s="551"/>
      <c r="BF298" s="551"/>
    </row>
    <row r="299" spans="1:58" ht="12.75" customHeight="1">
      <c r="A299" s="551"/>
      <c r="B299" s="551"/>
      <c r="C299" s="551"/>
      <c r="D299" s="551"/>
      <c r="E299" s="551"/>
      <c r="F299" s="551"/>
      <c r="G299" s="551"/>
      <c r="H299" s="551"/>
      <c r="I299" s="551"/>
      <c r="J299" s="551"/>
      <c r="K299" s="551"/>
      <c r="L299" s="551"/>
      <c r="M299" s="551"/>
      <c r="N299" s="551"/>
      <c r="O299" s="551"/>
      <c r="P299" s="551"/>
      <c r="Q299" s="551"/>
      <c r="R299" s="551"/>
      <c r="S299" s="551"/>
      <c r="T299" s="551"/>
      <c r="U299" s="551"/>
      <c r="V299" s="551"/>
      <c r="W299" s="551"/>
      <c r="X299" s="551"/>
      <c r="Y299" s="551"/>
      <c r="Z299" s="551"/>
      <c r="AA299" s="551"/>
      <c r="AB299" s="551"/>
      <c r="AC299" s="551"/>
      <c r="AD299" s="551"/>
      <c r="AE299" s="551"/>
      <c r="AF299" s="551"/>
      <c r="AG299" s="551"/>
      <c r="AH299" s="551"/>
      <c r="AI299" s="551"/>
      <c r="AJ299" s="551"/>
      <c r="AK299" s="551"/>
      <c r="AL299" s="551"/>
      <c r="AM299" s="551"/>
      <c r="AN299" s="551"/>
      <c r="AO299" s="551"/>
      <c r="AP299" s="551"/>
      <c r="AQ299" s="551"/>
      <c r="AR299" s="551"/>
      <c r="AS299" s="551"/>
      <c r="AT299" s="551"/>
      <c r="AU299" s="551"/>
      <c r="AV299" s="551"/>
      <c r="AW299" s="551"/>
      <c r="AX299" s="551"/>
      <c r="AY299" s="551"/>
      <c r="AZ299" s="551"/>
      <c r="BA299" s="551"/>
      <c r="BB299" s="551"/>
      <c r="BC299" s="551"/>
      <c r="BD299" s="551"/>
      <c r="BE299" s="551"/>
      <c r="BF299" s="551"/>
    </row>
    <row r="300" spans="1:58" ht="12.75" customHeight="1">
      <c r="A300" s="551"/>
      <c r="B300" s="551"/>
      <c r="C300" s="551"/>
      <c r="D300" s="551"/>
      <c r="E300" s="551"/>
      <c r="F300" s="551"/>
      <c r="G300" s="551"/>
      <c r="H300" s="551"/>
      <c r="I300" s="551"/>
      <c r="J300" s="551"/>
      <c r="K300" s="551"/>
      <c r="L300" s="551"/>
      <c r="M300" s="551"/>
      <c r="N300" s="551"/>
      <c r="O300" s="551"/>
      <c r="P300" s="551"/>
      <c r="Q300" s="551"/>
      <c r="R300" s="551"/>
      <c r="S300" s="551"/>
      <c r="T300" s="551"/>
      <c r="U300" s="551"/>
      <c r="V300" s="551"/>
      <c r="W300" s="551"/>
      <c r="X300" s="551"/>
      <c r="Y300" s="551"/>
      <c r="Z300" s="551"/>
      <c r="AA300" s="551"/>
      <c r="AB300" s="551"/>
      <c r="AC300" s="551"/>
      <c r="AD300" s="551"/>
      <c r="AE300" s="551"/>
      <c r="AF300" s="551"/>
      <c r="AG300" s="551"/>
      <c r="AH300" s="551"/>
      <c r="AI300" s="551"/>
      <c r="AJ300" s="551"/>
      <c r="AK300" s="551"/>
      <c r="AL300" s="551"/>
      <c r="AM300" s="551"/>
      <c r="AN300" s="551"/>
      <c r="AO300" s="551"/>
      <c r="AP300" s="551"/>
      <c r="AQ300" s="551"/>
      <c r="AR300" s="551"/>
      <c r="AS300" s="551"/>
      <c r="AT300" s="551"/>
      <c r="AU300" s="551"/>
      <c r="AV300" s="551"/>
      <c r="AW300" s="551"/>
      <c r="AX300" s="551"/>
      <c r="AY300" s="551"/>
      <c r="AZ300" s="551"/>
      <c r="BA300" s="551"/>
      <c r="BB300" s="551"/>
      <c r="BC300" s="551"/>
      <c r="BD300" s="551"/>
      <c r="BE300" s="551"/>
      <c r="BF300" s="551"/>
    </row>
    <row r="301" spans="1:58" ht="12.75" customHeight="1">
      <c r="A301" s="551"/>
      <c r="B301" s="551"/>
      <c r="C301" s="551"/>
      <c r="D301" s="551"/>
      <c r="E301" s="551"/>
      <c r="F301" s="551"/>
      <c r="G301" s="551"/>
      <c r="H301" s="551"/>
      <c r="I301" s="551"/>
      <c r="J301" s="551"/>
      <c r="K301" s="551"/>
      <c r="L301" s="551"/>
      <c r="M301" s="551"/>
      <c r="N301" s="551"/>
      <c r="O301" s="551"/>
      <c r="P301" s="551"/>
      <c r="Q301" s="551"/>
      <c r="R301" s="551"/>
      <c r="S301" s="551"/>
      <c r="T301" s="551"/>
      <c r="U301" s="551"/>
      <c r="V301" s="551"/>
      <c r="W301" s="551"/>
      <c r="X301" s="551"/>
      <c r="Y301" s="551"/>
      <c r="Z301" s="551"/>
      <c r="AA301" s="551"/>
      <c r="AB301" s="551"/>
      <c r="AC301" s="551"/>
      <c r="AD301" s="551"/>
      <c r="AE301" s="551"/>
      <c r="AF301" s="551"/>
      <c r="AG301" s="551"/>
      <c r="AH301" s="551"/>
      <c r="AI301" s="551"/>
      <c r="AJ301" s="551"/>
      <c r="AK301" s="551"/>
      <c r="AL301" s="551"/>
      <c r="AM301" s="551"/>
      <c r="AN301" s="551"/>
      <c r="AO301" s="551"/>
      <c r="AP301" s="551"/>
      <c r="AQ301" s="551"/>
      <c r="AR301" s="551"/>
      <c r="AS301" s="551"/>
      <c r="AT301" s="551"/>
      <c r="AU301" s="551"/>
      <c r="AV301" s="551"/>
      <c r="AW301" s="551"/>
      <c r="AX301" s="551"/>
      <c r="AY301" s="551"/>
      <c r="AZ301" s="551"/>
      <c r="BA301" s="551"/>
      <c r="BB301" s="551"/>
      <c r="BC301" s="551"/>
      <c r="BD301" s="551"/>
      <c r="BE301" s="551"/>
      <c r="BF301" s="551"/>
    </row>
    <row r="302" spans="1:58" ht="12.75" customHeight="1">
      <c r="A302" s="551"/>
      <c r="B302" s="551"/>
      <c r="C302" s="551"/>
      <c r="D302" s="551"/>
      <c r="E302" s="551"/>
      <c r="F302" s="551"/>
      <c r="G302" s="551"/>
      <c r="H302" s="551"/>
      <c r="I302" s="551"/>
      <c r="J302" s="551"/>
      <c r="K302" s="551"/>
      <c r="L302" s="551"/>
      <c r="M302" s="551"/>
      <c r="N302" s="551"/>
      <c r="O302" s="551"/>
      <c r="P302" s="551"/>
      <c r="Q302" s="551"/>
      <c r="R302" s="551"/>
      <c r="S302" s="551"/>
      <c r="T302" s="551"/>
      <c r="U302" s="551"/>
      <c r="V302" s="551"/>
      <c r="W302" s="551"/>
      <c r="X302" s="551"/>
      <c r="Y302" s="551"/>
      <c r="Z302" s="551"/>
      <c r="AA302" s="551"/>
      <c r="AB302" s="551"/>
      <c r="AC302" s="551"/>
      <c r="AD302" s="551"/>
      <c r="AE302" s="551"/>
      <c r="AF302" s="551"/>
      <c r="AG302" s="551"/>
      <c r="AH302" s="551"/>
      <c r="AI302" s="551"/>
      <c r="AJ302" s="551"/>
      <c r="AK302" s="551"/>
      <c r="AL302" s="551"/>
      <c r="AM302" s="551"/>
      <c r="AN302" s="551"/>
      <c r="AO302" s="551"/>
      <c r="AP302" s="551"/>
      <c r="AQ302" s="551"/>
      <c r="AR302" s="551"/>
      <c r="AS302" s="551"/>
      <c r="AT302" s="551"/>
      <c r="AU302" s="551"/>
      <c r="AV302" s="551"/>
      <c r="AW302" s="551"/>
      <c r="AX302" s="551"/>
      <c r="AY302" s="551"/>
      <c r="AZ302" s="551"/>
      <c r="BA302" s="551"/>
      <c r="BB302" s="551"/>
      <c r="BC302" s="551"/>
      <c r="BD302" s="551"/>
      <c r="BE302" s="551"/>
      <c r="BF302" s="551"/>
    </row>
    <row r="303" spans="1:58" ht="12.75" customHeight="1">
      <c r="A303" s="551"/>
      <c r="B303" s="551"/>
      <c r="C303" s="551"/>
      <c r="D303" s="551"/>
      <c r="E303" s="551"/>
      <c r="F303" s="551"/>
      <c r="G303" s="551"/>
      <c r="H303" s="551"/>
      <c r="I303" s="551"/>
      <c r="J303" s="551"/>
      <c r="K303" s="551"/>
      <c r="L303" s="551"/>
      <c r="M303" s="551"/>
      <c r="N303" s="551"/>
      <c r="O303" s="551"/>
      <c r="P303" s="551"/>
      <c r="Q303" s="551"/>
      <c r="R303" s="551"/>
      <c r="S303" s="551"/>
      <c r="T303" s="551"/>
      <c r="U303" s="551"/>
      <c r="V303" s="551"/>
      <c r="W303" s="551"/>
      <c r="X303" s="551"/>
      <c r="Y303" s="551"/>
      <c r="Z303" s="551"/>
      <c r="AA303" s="551"/>
      <c r="AB303" s="551"/>
      <c r="AC303" s="551"/>
      <c r="AD303" s="551"/>
      <c r="AE303" s="551"/>
      <c r="AF303" s="551"/>
      <c r="AG303" s="551"/>
      <c r="AH303" s="551"/>
      <c r="AI303" s="551"/>
      <c r="AJ303" s="551"/>
      <c r="AK303" s="551"/>
      <c r="AL303" s="551"/>
      <c r="AM303" s="551"/>
      <c r="AN303" s="551"/>
      <c r="AO303" s="551"/>
      <c r="AP303" s="551"/>
      <c r="AQ303" s="551"/>
      <c r="AR303" s="551"/>
      <c r="AS303" s="551"/>
      <c r="AT303" s="551"/>
      <c r="AU303" s="551"/>
      <c r="AV303" s="551"/>
      <c r="AW303" s="551"/>
      <c r="AX303" s="551"/>
      <c r="AY303" s="551"/>
      <c r="AZ303" s="551"/>
      <c r="BA303" s="551"/>
      <c r="BB303" s="551"/>
      <c r="BC303" s="551"/>
      <c r="BD303" s="551"/>
      <c r="BE303" s="551"/>
      <c r="BF303" s="551"/>
    </row>
    <row r="304" spans="1:58" ht="12.75" customHeight="1">
      <c r="A304" s="551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1"/>
      <c r="P304" s="551"/>
      <c r="Q304" s="551"/>
      <c r="R304" s="551"/>
      <c r="S304" s="551"/>
      <c r="T304" s="551"/>
      <c r="U304" s="551"/>
      <c r="V304" s="551"/>
      <c r="W304" s="551"/>
      <c r="X304" s="551"/>
      <c r="Y304" s="551"/>
      <c r="Z304" s="551"/>
      <c r="AA304" s="551"/>
      <c r="AB304" s="551"/>
      <c r="AC304" s="551"/>
      <c r="AD304" s="551"/>
      <c r="AE304" s="551"/>
      <c r="AF304" s="551"/>
      <c r="AG304" s="551"/>
      <c r="AH304" s="551"/>
      <c r="AI304" s="551"/>
      <c r="AJ304" s="551"/>
      <c r="AK304" s="551"/>
      <c r="AL304" s="551"/>
      <c r="AM304" s="551"/>
      <c r="AN304" s="551"/>
      <c r="AO304" s="551"/>
      <c r="AP304" s="551"/>
      <c r="AQ304" s="551"/>
      <c r="AR304" s="551"/>
      <c r="AS304" s="551"/>
      <c r="AT304" s="551"/>
      <c r="AU304" s="551"/>
      <c r="AV304" s="551"/>
      <c r="AW304" s="551"/>
      <c r="AX304" s="551"/>
      <c r="AY304" s="551"/>
      <c r="AZ304" s="551"/>
      <c r="BA304" s="551"/>
      <c r="BB304" s="551"/>
      <c r="BC304" s="551"/>
      <c r="BD304" s="551"/>
      <c r="BE304" s="551"/>
      <c r="BF304" s="551"/>
    </row>
    <row r="305" spans="1:58" ht="12.75" customHeight="1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1"/>
      <c r="P305" s="551"/>
      <c r="Q305" s="551"/>
      <c r="R305" s="551"/>
      <c r="S305" s="551"/>
      <c r="T305" s="551"/>
      <c r="U305" s="551"/>
      <c r="V305" s="551"/>
      <c r="W305" s="551"/>
      <c r="X305" s="551"/>
      <c r="Y305" s="551"/>
      <c r="Z305" s="551"/>
      <c r="AA305" s="551"/>
      <c r="AB305" s="551"/>
      <c r="AC305" s="551"/>
      <c r="AD305" s="551"/>
      <c r="AE305" s="551"/>
      <c r="AF305" s="551"/>
      <c r="AG305" s="551"/>
      <c r="AH305" s="551"/>
      <c r="AI305" s="551"/>
      <c r="AJ305" s="551"/>
      <c r="AK305" s="551"/>
      <c r="AL305" s="551"/>
      <c r="AM305" s="551"/>
      <c r="AN305" s="551"/>
      <c r="AO305" s="551"/>
      <c r="AP305" s="551"/>
      <c r="AQ305" s="551"/>
      <c r="AR305" s="551"/>
      <c r="AS305" s="551"/>
      <c r="AT305" s="551"/>
      <c r="AU305" s="551"/>
      <c r="AV305" s="551"/>
      <c r="AW305" s="551"/>
      <c r="AX305" s="551"/>
      <c r="AY305" s="551"/>
      <c r="AZ305" s="551"/>
      <c r="BA305" s="551"/>
      <c r="BB305" s="551"/>
      <c r="BC305" s="551"/>
      <c r="BD305" s="551"/>
      <c r="BE305" s="551"/>
      <c r="BF305" s="551"/>
    </row>
    <row r="306" spans="1:58" ht="12.75" customHeight="1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51"/>
      <c r="AB306" s="551"/>
      <c r="AC306" s="551"/>
      <c r="AD306" s="551"/>
      <c r="AE306" s="551"/>
      <c r="AF306" s="551"/>
      <c r="AG306" s="551"/>
      <c r="AH306" s="551"/>
      <c r="AI306" s="551"/>
      <c r="AJ306" s="551"/>
      <c r="AK306" s="551"/>
      <c r="AL306" s="551"/>
      <c r="AM306" s="551"/>
      <c r="AN306" s="551"/>
      <c r="AO306" s="551"/>
      <c r="AP306" s="551"/>
      <c r="AQ306" s="551"/>
      <c r="AR306" s="551"/>
      <c r="AS306" s="551"/>
      <c r="AT306" s="551"/>
      <c r="AU306" s="551"/>
      <c r="AV306" s="551"/>
      <c r="AW306" s="551"/>
      <c r="AX306" s="551"/>
      <c r="AY306" s="551"/>
      <c r="AZ306" s="551"/>
      <c r="BA306" s="551"/>
      <c r="BB306" s="551"/>
      <c r="BC306" s="551"/>
      <c r="BD306" s="551"/>
      <c r="BE306" s="551"/>
      <c r="BF306" s="551"/>
    </row>
    <row r="307" spans="1:58" ht="12.75" customHeight="1">
      <c r="A307" s="551"/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51"/>
      <c r="AB307" s="551"/>
      <c r="AC307" s="551"/>
      <c r="AD307" s="551"/>
      <c r="AE307" s="551"/>
      <c r="AF307" s="551"/>
      <c r="AG307" s="551"/>
      <c r="AH307" s="551"/>
      <c r="AI307" s="551"/>
      <c r="AJ307" s="551"/>
      <c r="AK307" s="551"/>
      <c r="AL307" s="551"/>
      <c r="AM307" s="551"/>
      <c r="AN307" s="551"/>
      <c r="AO307" s="551"/>
      <c r="AP307" s="551"/>
      <c r="AQ307" s="551"/>
      <c r="AR307" s="551"/>
      <c r="AS307" s="551"/>
      <c r="AT307" s="551"/>
      <c r="AU307" s="551"/>
      <c r="AV307" s="551"/>
      <c r="AW307" s="551"/>
      <c r="AX307" s="551"/>
      <c r="AY307" s="551"/>
      <c r="AZ307" s="551"/>
      <c r="BA307" s="551"/>
      <c r="BB307" s="551"/>
      <c r="BC307" s="551"/>
      <c r="BD307" s="551"/>
      <c r="BE307" s="551"/>
      <c r="BF307" s="551"/>
    </row>
    <row r="308" spans="1:58" ht="12.75" customHeight="1">
      <c r="A308" s="551"/>
      <c r="B308" s="551"/>
      <c r="C308" s="551"/>
      <c r="D308" s="551"/>
      <c r="E308" s="551"/>
      <c r="F308" s="551"/>
      <c r="G308" s="551"/>
      <c r="H308" s="551"/>
      <c r="I308" s="551"/>
      <c r="J308" s="551"/>
      <c r="K308" s="551"/>
      <c r="L308" s="551"/>
      <c r="M308" s="551"/>
      <c r="N308" s="551"/>
      <c r="O308" s="551"/>
      <c r="P308" s="551"/>
      <c r="Q308" s="551"/>
      <c r="R308" s="551"/>
      <c r="S308" s="551"/>
      <c r="T308" s="551"/>
      <c r="U308" s="551"/>
      <c r="V308" s="551"/>
      <c r="W308" s="551"/>
      <c r="X308" s="551"/>
      <c r="Y308" s="551"/>
      <c r="Z308" s="551"/>
      <c r="AA308" s="551"/>
      <c r="AB308" s="551"/>
      <c r="AC308" s="551"/>
      <c r="AD308" s="551"/>
      <c r="AE308" s="551"/>
      <c r="AF308" s="551"/>
      <c r="AG308" s="551"/>
      <c r="AH308" s="551"/>
      <c r="AI308" s="551"/>
      <c r="AJ308" s="551"/>
      <c r="AK308" s="551"/>
      <c r="AL308" s="551"/>
      <c r="AM308" s="551"/>
      <c r="AN308" s="551"/>
      <c r="AO308" s="551"/>
      <c r="AP308" s="551"/>
      <c r="AQ308" s="551"/>
      <c r="AR308" s="551"/>
      <c r="AS308" s="551"/>
      <c r="AT308" s="551"/>
      <c r="AU308" s="551"/>
      <c r="AV308" s="551"/>
      <c r="AW308" s="551"/>
      <c r="AX308" s="551"/>
      <c r="AY308" s="551"/>
      <c r="AZ308" s="551"/>
      <c r="BA308" s="551"/>
      <c r="BB308" s="551"/>
      <c r="BC308" s="551"/>
      <c r="BD308" s="551"/>
      <c r="BE308" s="551"/>
      <c r="BF308" s="551"/>
    </row>
    <row r="309" spans="1:58" ht="12.75" customHeight="1">
      <c r="A309" s="551"/>
      <c r="B309" s="551"/>
      <c r="C309" s="551"/>
      <c r="D309" s="551"/>
      <c r="E309" s="551"/>
      <c r="F309" s="551"/>
      <c r="G309" s="551"/>
      <c r="H309" s="551"/>
      <c r="I309" s="551"/>
      <c r="J309" s="551"/>
      <c r="K309" s="551"/>
      <c r="L309" s="551"/>
      <c r="M309" s="551"/>
      <c r="N309" s="551"/>
      <c r="O309" s="551"/>
      <c r="P309" s="551"/>
      <c r="Q309" s="551"/>
      <c r="R309" s="551"/>
      <c r="S309" s="551"/>
      <c r="T309" s="551"/>
      <c r="U309" s="551"/>
      <c r="V309" s="551"/>
      <c r="W309" s="551"/>
      <c r="X309" s="551"/>
      <c r="Y309" s="551"/>
      <c r="Z309" s="551"/>
      <c r="AA309" s="551"/>
      <c r="AB309" s="551"/>
      <c r="AC309" s="551"/>
      <c r="AD309" s="551"/>
      <c r="AE309" s="551"/>
      <c r="AF309" s="551"/>
      <c r="AG309" s="551"/>
      <c r="AH309" s="551"/>
      <c r="AI309" s="551"/>
      <c r="AJ309" s="551"/>
      <c r="AK309" s="551"/>
      <c r="AL309" s="551"/>
      <c r="AM309" s="551"/>
      <c r="AN309" s="551"/>
      <c r="AO309" s="551"/>
      <c r="AP309" s="551"/>
      <c r="AQ309" s="551"/>
      <c r="AR309" s="551"/>
      <c r="AS309" s="551"/>
      <c r="AT309" s="551"/>
      <c r="AU309" s="551"/>
      <c r="AV309" s="551"/>
      <c r="AW309" s="551"/>
      <c r="AX309" s="551"/>
      <c r="AY309" s="551"/>
      <c r="AZ309" s="551"/>
      <c r="BA309" s="551"/>
      <c r="BB309" s="551"/>
      <c r="BC309" s="551"/>
      <c r="BD309" s="551"/>
      <c r="BE309" s="551"/>
      <c r="BF309" s="551"/>
    </row>
    <row r="310" spans="1:58" ht="12.75" customHeight="1">
      <c r="A310" s="551"/>
      <c r="B310" s="551"/>
      <c r="C310" s="551"/>
      <c r="D310" s="551"/>
      <c r="E310" s="551"/>
      <c r="F310" s="551"/>
      <c r="G310" s="551"/>
      <c r="H310" s="551"/>
      <c r="I310" s="551"/>
      <c r="J310" s="551"/>
      <c r="K310" s="551"/>
      <c r="L310" s="551"/>
      <c r="M310" s="551"/>
      <c r="N310" s="551"/>
      <c r="O310" s="551"/>
      <c r="P310" s="551"/>
      <c r="Q310" s="551"/>
      <c r="R310" s="551"/>
      <c r="S310" s="551"/>
      <c r="T310" s="551"/>
      <c r="U310" s="551"/>
      <c r="V310" s="551"/>
      <c r="W310" s="551"/>
      <c r="X310" s="551"/>
      <c r="Y310" s="551"/>
      <c r="Z310" s="551"/>
      <c r="AA310" s="551"/>
      <c r="AB310" s="551"/>
      <c r="AC310" s="551"/>
      <c r="AD310" s="551"/>
      <c r="AE310" s="551"/>
      <c r="AF310" s="551"/>
      <c r="AG310" s="551"/>
      <c r="AH310" s="551"/>
      <c r="AI310" s="551"/>
      <c r="AJ310" s="551"/>
      <c r="AK310" s="551"/>
      <c r="AL310" s="551"/>
      <c r="AM310" s="551"/>
      <c r="AN310" s="551"/>
      <c r="AO310" s="551"/>
      <c r="AP310" s="551"/>
      <c r="AQ310" s="551"/>
      <c r="AR310" s="551"/>
      <c r="AS310" s="551"/>
      <c r="AT310" s="551"/>
      <c r="AU310" s="551"/>
      <c r="AV310" s="551"/>
      <c r="AW310" s="551"/>
      <c r="AX310" s="551"/>
      <c r="AY310" s="551"/>
      <c r="AZ310" s="551"/>
      <c r="BA310" s="551"/>
      <c r="BB310" s="551"/>
      <c r="BC310" s="551"/>
      <c r="BD310" s="551"/>
      <c r="BE310" s="551"/>
      <c r="BF310" s="551"/>
    </row>
    <row r="311" spans="1:58" ht="12.75" customHeight="1">
      <c r="A311" s="551"/>
      <c r="B311" s="551"/>
      <c r="C311" s="551"/>
      <c r="D311" s="551"/>
      <c r="E311" s="551"/>
      <c r="F311" s="551"/>
      <c r="G311" s="551"/>
      <c r="H311" s="551"/>
      <c r="I311" s="551"/>
      <c r="J311" s="551"/>
      <c r="K311" s="551"/>
      <c r="L311" s="551"/>
      <c r="M311" s="551"/>
      <c r="N311" s="551"/>
      <c r="O311" s="551"/>
      <c r="P311" s="551"/>
      <c r="Q311" s="551"/>
      <c r="R311" s="551"/>
      <c r="S311" s="551"/>
      <c r="T311" s="551"/>
      <c r="U311" s="551"/>
      <c r="V311" s="551"/>
      <c r="W311" s="551"/>
      <c r="X311" s="551"/>
      <c r="Y311" s="551"/>
      <c r="Z311" s="551"/>
      <c r="AA311" s="551"/>
      <c r="AB311" s="551"/>
      <c r="AC311" s="551"/>
      <c r="AD311" s="551"/>
      <c r="AE311" s="551"/>
      <c r="AF311" s="551"/>
      <c r="AG311" s="551"/>
      <c r="AH311" s="551"/>
      <c r="AI311" s="551"/>
      <c r="AJ311" s="551"/>
      <c r="AK311" s="551"/>
      <c r="AL311" s="551"/>
      <c r="AM311" s="551"/>
      <c r="AN311" s="551"/>
      <c r="AO311" s="551"/>
      <c r="AP311" s="551"/>
      <c r="AQ311" s="551"/>
      <c r="AR311" s="551"/>
      <c r="AS311" s="551"/>
      <c r="AT311" s="551"/>
      <c r="AU311" s="551"/>
      <c r="AV311" s="551"/>
      <c r="AW311" s="551"/>
      <c r="AX311" s="551"/>
      <c r="AY311" s="551"/>
      <c r="AZ311" s="551"/>
      <c r="BA311" s="551"/>
      <c r="BB311" s="551"/>
      <c r="BC311" s="551"/>
      <c r="BD311" s="551"/>
      <c r="BE311" s="551"/>
      <c r="BF311" s="551"/>
    </row>
    <row r="312" spans="1:58" ht="12.75" customHeight="1">
      <c r="A312" s="551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1"/>
      <c r="P312" s="551"/>
      <c r="Q312" s="551"/>
      <c r="R312" s="551"/>
      <c r="S312" s="551"/>
      <c r="T312" s="551"/>
      <c r="U312" s="551"/>
      <c r="V312" s="551"/>
      <c r="W312" s="551"/>
      <c r="X312" s="551"/>
      <c r="Y312" s="551"/>
      <c r="Z312" s="551"/>
      <c r="AA312" s="551"/>
      <c r="AB312" s="551"/>
      <c r="AC312" s="551"/>
      <c r="AD312" s="551"/>
      <c r="AE312" s="551"/>
      <c r="AF312" s="551"/>
      <c r="AG312" s="551"/>
      <c r="AH312" s="551"/>
      <c r="AI312" s="551"/>
      <c r="AJ312" s="551"/>
      <c r="AK312" s="551"/>
      <c r="AL312" s="551"/>
      <c r="AM312" s="551"/>
      <c r="AN312" s="551"/>
      <c r="AO312" s="551"/>
      <c r="AP312" s="551"/>
      <c r="AQ312" s="551"/>
      <c r="AR312" s="551"/>
      <c r="AS312" s="551"/>
      <c r="AT312" s="551"/>
      <c r="AU312" s="551"/>
      <c r="AV312" s="551"/>
      <c r="AW312" s="551"/>
      <c r="AX312" s="551"/>
      <c r="AY312" s="551"/>
      <c r="AZ312" s="551"/>
      <c r="BA312" s="551"/>
      <c r="BB312" s="551"/>
      <c r="BC312" s="551"/>
      <c r="BD312" s="551"/>
      <c r="BE312" s="551"/>
      <c r="BF312" s="551"/>
    </row>
    <row r="313" spans="1:58" ht="12.75" customHeight="1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1"/>
      <c r="P313" s="551"/>
      <c r="Q313" s="551"/>
      <c r="R313" s="551"/>
      <c r="S313" s="551"/>
      <c r="T313" s="551"/>
      <c r="U313" s="551"/>
      <c r="V313" s="551"/>
      <c r="W313" s="551"/>
      <c r="X313" s="551"/>
      <c r="Y313" s="551"/>
      <c r="Z313" s="551"/>
      <c r="AA313" s="551"/>
      <c r="AB313" s="551"/>
      <c r="AC313" s="551"/>
      <c r="AD313" s="551"/>
      <c r="AE313" s="551"/>
      <c r="AF313" s="551"/>
      <c r="AG313" s="551"/>
      <c r="AH313" s="551"/>
      <c r="AI313" s="551"/>
      <c r="AJ313" s="551"/>
      <c r="AK313" s="551"/>
      <c r="AL313" s="551"/>
      <c r="AM313" s="551"/>
      <c r="AN313" s="551"/>
      <c r="AO313" s="551"/>
      <c r="AP313" s="551"/>
      <c r="AQ313" s="551"/>
      <c r="AR313" s="551"/>
      <c r="AS313" s="551"/>
      <c r="AT313" s="551"/>
      <c r="AU313" s="551"/>
      <c r="AV313" s="551"/>
      <c r="AW313" s="551"/>
      <c r="AX313" s="551"/>
      <c r="AY313" s="551"/>
      <c r="AZ313" s="551"/>
      <c r="BA313" s="551"/>
      <c r="BB313" s="551"/>
      <c r="BC313" s="551"/>
      <c r="BD313" s="551"/>
      <c r="BE313" s="551"/>
      <c r="BF313" s="551"/>
    </row>
    <row r="314" spans="1:58" ht="12.75" customHeight="1">
      <c r="A314" s="551"/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51"/>
      <c r="AB314" s="551"/>
      <c r="AC314" s="551"/>
      <c r="AD314" s="551"/>
      <c r="AE314" s="551"/>
      <c r="AF314" s="551"/>
      <c r="AG314" s="551"/>
      <c r="AH314" s="551"/>
      <c r="AI314" s="551"/>
      <c r="AJ314" s="551"/>
      <c r="AK314" s="551"/>
      <c r="AL314" s="551"/>
      <c r="AM314" s="551"/>
      <c r="AN314" s="551"/>
      <c r="AO314" s="551"/>
      <c r="AP314" s="551"/>
      <c r="AQ314" s="551"/>
      <c r="AR314" s="551"/>
      <c r="AS314" s="551"/>
      <c r="AT314" s="551"/>
      <c r="AU314" s="551"/>
      <c r="AV314" s="551"/>
      <c r="AW314" s="551"/>
      <c r="AX314" s="551"/>
      <c r="AY314" s="551"/>
      <c r="AZ314" s="551"/>
      <c r="BA314" s="551"/>
      <c r="BB314" s="551"/>
      <c r="BC314" s="551"/>
      <c r="BD314" s="551"/>
      <c r="BE314" s="551"/>
      <c r="BF314" s="551"/>
    </row>
    <row r="315" spans="1:58" ht="12.75" customHeight="1">
      <c r="A315" s="551"/>
      <c r="B315" s="551"/>
      <c r="C315" s="551"/>
      <c r="D315" s="551"/>
      <c r="E315" s="551"/>
      <c r="F315" s="551"/>
      <c r="G315" s="551"/>
      <c r="H315" s="551"/>
      <c r="I315" s="551"/>
      <c r="J315" s="551"/>
      <c r="K315" s="551"/>
      <c r="L315" s="551"/>
      <c r="M315" s="551"/>
      <c r="N315" s="551"/>
      <c r="O315" s="551"/>
      <c r="P315" s="551"/>
      <c r="Q315" s="551"/>
      <c r="R315" s="551"/>
      <c r="S315" s="551"/>
      <c r="T315" s="551"/>
      <c r="U315" s="551"/>
      <c r="V315" s="551"/>
      <c r="W315" s="551"/>
      <c r="X315" s="551"/>
      <c r="Y315" s="551"/>
      <c r="Z315" s="551"/>
      <c r="AA315" s="551"/>
      <c r="AB315" s="551"/>
      <c r="AC315" s="551"/>
      <c r="AD315" s="551"/>
      <c r="AE315" s="551"/>
      <c r="AF315" s="551"/>
      <c r="AG315" s="551"/>
      <c r="AH315" s="551"/>
      <c r="AI315" s="551"/>
      <c r="AJ315" s="551"/>
      <c r="AK315" s="551"/>
      <c r="AL315" s="551"/>
      <c r="AM315" s="551"/>
      <c r="AN315" s="551"/>
      <c r="AO315" s="551"/>
      <c r="AP315" s="551"/>
      <c r="AQ315" s="551"/>
      <c r="AR315" s="551"/>
      <c r="AS315" s="551"/>
      <c r="AT315" s="551"/>
      <c r="AU315" s="551"/>
      <c r="AV315" s="551"/>
      <c r="AW315" s="551"/>
      <c r="AX315" s="551"/>
      <c r="AY315" s="551"/>
      <c r="AZ315" s="551"/>
      <c r="BA315" s="551"/>
      <c r="BB315" s="551"/>
      <c r="BC315" s="551"/>
      <c r="BD315" s="551"/>
      <c r="BE315" s="551"/>
      <c r="BF315" s="551"/>
    </row>
    <row r="316" spans="1:58" ht="12.75" customHeight="1">
      <c r="A316" s="551"/>
      <c r="B316" s="551"/>
      <c r="C316" s="551"/>
      <c r="D316" s="551"/>
      <c r="E316" s="551"/>
      <c r="F316" s="551"/>
      <c r="G316" s="551"/>
      <c r="H316" s="551"/>
      <c r="I316" s="551"/>
      <c r="J316" s="551"/>
      <c r="K316" s="551"/>
      <c r="L316" s="551"/>
      <c r="M316" s="551"/>
      <c r="N316" s="551"/>
      <c r="O316" s="551"/>
      <c r="P316" s="551"/>
      <c r="Q316" s="551"/>
      <c r="R316" s="551"/>
      <c r="S316" s="551"/>
      <c r="T316" s="551"/>
      <c r="U316" s="551"/>
      <c r="V316" s="551"/>
      <c r="W316" s="551"/>
      <c r="X316" s="551"/>
      <c r="Y316" s="551"/>
      <c r="Z316" s="551"/>
      <c r="AA316" s="551"/>
      <c r="AB316" s="551"/>
      <c r="AC316" s="551"/>
      <c r="AD316" s="551"/>
      <c r="AE316" s="551"/>
      <c r="AF316" s="551"/>
      <c r="AG316" s="551"/>
      <c r="AH316" s="551"/>
      <c r="AI316" s="551"/>
      <c r="AJ316" s="551"/>
      <c r="AK316" s="551"/>
      <c r="AL316" s="551"/>
      <c r="AM316" s="551"/>
      <c r="AN316" s="551"/>
      <c r="AO316" s="551"/>
      <c r="AP316" s="551"/>
      <c r="AQ316" s="551"/>
      <c r="AR316" s="551"/>
      <c r="AS316" s="551"/>
      <c r="AT316" s="551"/>
      <c r="AU316" s="551"/>
      <c r="AV316" s="551"/>
      <c r="AW316" s="551"/>
      <c r="AX316" s="551"/>
      <c r="AY316" s="551"/>
      <c r="AZ316" s="551"/>
      <c r="BA316" s="551"/>
      <c r="BB316" s="551"/>
      <c r="BC316" s="551"/>
      <c r="BD316" s="551"/>
      <c r="BE316" s="551"/>
      <c r="BF316" s="551"/>
    </row>
    <row r="317" spans="1:58" ht="12.75" customHeight="1">
      <c r="A317" s="551"/>
      <c r="B317" s="551"/>
      <c r="C317" s="551"/>
      <c r="D317" s="551"/>
      <c r="E317" s="551"/>
      <c r="F317" s="551"/>
      <c r="G317" s="551"/>
      <c r="H317" s="551"/>
      <c r="I317" s="551"/>
      <c r="J317" s="551"/>
      <c r="K317" s="551"/>
      <c r="L317" s="551"/>
      <c r="M317" s="551"/>
      <c r="N317" s="551"/>
      <c r="O317" s="551"/>
      <c r="P317" s="551"/>
      <c r="Q317" s="551"/>
      <c r="R317" s="551"/>
      <c r="S317" s="551"/>
      <c r="T317" s="551"/>
      <c r="U317" s="551"/>
      <c r="V317" s="551"/>
      <c r="W317" s="551"/>
      <c r="X317" s="551"/>
      <c r="Y317" s="551"/>
      <c r="Z317" s="551"/>
      <c r="AA317" s="551"/>
      <c r="AB317" s="551"/>
      <c r="AC317" s="551"/>
      <c r="AD317" s="551"/>
      <c r="AE317" s="551"/>
      <c r="AF317" s="551"/>
      <c r="AG317" s="551"/>
      <c r="AH317" s="551"/>
      <c r="AI317" s="551"/>
      <c r="AJ317" s="551"/>
      <c r="AK317" s="551"/>
      <c r="AL317" s="551"/>
      <c r="AM317" s="551"/>
      <c r="AN317" s="551"/>
      <c r="AO317" s="551"/>
      <c r="AP317" s="551"/>
      <c r="AQ317" s="551"/>
      <c r="AR317" s="551"/>
      <c r="AS317" s="551"/>
      <c r="AT317" s="551"/>
      <c r="AU317" s="551"/>
      <c r="AV317" s="551"/>
      <c r="AW317" s="551"/>
      <c r="AX317" s="551"/>
      <c r="AY317" s="551"/>
      <c r="AZ317" s="551"/>
      <c r="BA317" s="551"/>
      <c r="BB317" s="551"/>
      <c r="BC317" s="551"/>
      <c r="BD317" s="551"/>
      <c r="BE317" s="551"/>
      <c r="BF317" s="551"/>
    </row>
    <row r="318" spans="1:58" ht="12.75" customHeight="1">
      <c r="A318" s="551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1"/>
      <c r="P318" s="551"/>
      <c r="Q318" s="551"/>
      <c r="R318" s="551"/>
      <c r="S318" s="551"/>
      <c r="T318" s="551"/>
      <c r="U318" s="551"/>
      <c r="V318" s="551"/>
      <c r="W318" s="551"/>
      <c r="X318" s="551"/>
      <c r="Y318" s="551"/>
      <c r="Z318" s="551"/>
      <c r="AA318" s="551"/>
      <c r="AB318" s="551"/>
      <c r="AC318" s="551"/>
      <c r="AD318" s="551"/>
      <c r="AE318" s="551"/>
      <c r="AF318" s="551"/>
      <c r="AG318" s="551"/>
      <c r="AH318" s="551"/>
      <c r="AI318" s="551"/>
      <c r="AJ318" s="551"/>
      <c r="AK318" s="551"/>
      <c r="AL318" s="551"/>
      <c r="AM318" s="551"/>
      <c r="AN318" s="551"/>
      <c r="AO318" s="551"/>
      <c r="AP318" s="551"/>
      <c r="AQ318" s="551"/>
      <c r="AR318" s="551"/>
      <c r="AS318" s="551"/>
      <c r="AT318" s="551"/>
      <c r="AU318" s="551"/>
      <c r="AV318" s="551"/>
      <c r="AW318" s="551"/>
      <c r="AX318" s="551"/>
      <c r="AY318" s="551"/>
      <c r="AZ318" s="551"/>
      <c r="BA318" s="551"/>
      <c r="BB318" s="551"/>
      <c r="BC318" s="551"/>
      <c r="BD318" s="551"/>
      <c r="BE318" s="551"/>
      <c r="BF318" s="551"/>
    </row>
    <row r="319" spans="1:58" ht="12.75" customHeight="1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1"/>
      <c r="P319" s="551"/>
      <c r="Q319" s="551"/>
      <c r="R319" s="551"/>
      <c r="S319" s="551"/>
      <c r="T319" s="551"/>
      <c r="U319" s="551"/>
      <c r="V319" s="551"/>
      <c r="W319" s="551"/>
      <c r="X319" s="551"/>
      <c r="Y319" s="551"/>
      <c r="Z319" s="551"/>
      <c r="AA319" s="551"/>
      <c r="AB319" s="551"/>
      <c r="AC319" s="551"/>
      <c r="AD319" s="551"/>
      <c r="AE319" s="551"/>
      <c r="AF319" s="551"/>
      <c r="AG319" s="551"/>
      <c r="AH319" s="551"/>
      <c r="AI319" s="551"/>
      <c r="AJ319" s="551"/>
      <c r="AK319" s="551"/>
      <c r="AL319" s="551"/>
      <c r="AM319" s="551"/>
      <c r="AN319" s="551"/>
      <c r="AO319" s="551"/>
      <c r="AP319" s="551"/>
      <c r="AQ319" s="551"/>
      <c r="AR319" s="551"/>
      <c r="AS319" s="551"/>
      <c r="AT319" s="551"/>
      <c r="AU319" s="551"/>
      <c r="AV319" s="551"/>
      <c r="AW319" s="551"/>
      <c r="AX319" s="551"/>
      <c r="AY319" s="551"/>
      <c r="AZ319" s="551"/>
      <c r="BA319" s="551"/>
      <c r="BB319" s="551"/>
      <c r="BC319" s="551"/>
      <c r="BD319" s="551"/>
      <c r="BE319" s="551"/>
      <c r="BF319" s="551"/>
    </row>
    <row r="320" spans="1:58" ht="12.75" customHeight="1">
      <c r="A320" s="551"/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51"/>
      <c r="AB320" s="551"/>
      <c r="AC320" s="551"/>
      <c r="AD320" s="551"/>
      <c r="AE320" s="551"/>
      <c r="AF320" s="551"/>
      <c r="AG320" s="551"/>
      <c r="AH320" s="551"/>
      <c r="AI320" s="551"/>
      <c r="AJ320" s="551"/>
      <c r="AK320" s="551"/>
      <c r="AL320" s="551"/>
      <c r="AM320" s="551"/>
      <c r="AN320" s="551"/>
      <c r="AO320" s="551"/>
      <c r="AP320" s="551"/>
      <c r="AQ320" s="551"/>
      <c r="AR320" s="551"/>
      <c r="AS320" s="551"/>
      <c r="AT320" s="551"/>
      <c r="AU320" s="551"/>
      <c r="AV320" s="551"/>
      <c r="AW320" s="551"/>
      <c r="AX320" s="551"/>
      <c r="AY320" s="551"/>
      <c r="AZ320" s="551"/>
      <c r="BA320" s="551"/>
      <c r="BB320" s="551"/>
      <c r="BC320" s="551"/>
      <c r="BD320" s="551"/>
      <c r="BE320" s="551"/>
      <c r="BF320" s="551"/>
    </row>
    <row r="321" spans="1:58" ht="12.75" customHeight="1">
      <c r="A321" s="551"/>
      <c r="B321" s="551"/>
      <c r="C321" s="551"/>
      <c r="D321" s="551"/>
      <c r="E321" s="551"/>
      <c r="F321" s="551"/>
      <c r="G321" s="551"/>
      <c r="H321" s="551"/>
      <c r="I321" s="551"/>
      <c r="J321" s="551"/>
      <c r="K321" s="551"/>
      <c r="L321" s="551"/>
      <c r="M321" s="551"/>
      <c r="N321" s="551"/>
      <c r="O321" s="551"/>
      <c r="P321" s="551"/>
      <c r="Q321" s="551"/>
      <c r="R321" s="551"/>
      <c r="S321" s="551"/>
      <c r="T321" s="551"/>
      <c r="U321" s="551"/>
      <c r="V321" s="551"/>
      <c r="W321" s="551"/>
      <c r="X321" s="551"/>
      <c r="Y321" s="551"/>
      <c r="Z321" s="551"/>
      <c r="AA321" s="551"/>
      <c r="AB321" s="551"/>
      <c r="AC321" s="551"/>
      <c r="AD321" s="551"/>
      <c r="AE321" s="551"/>
      <c r="AF321" s="551"/>
      <c r="AG321" s="551"/>
      <c r="AH321" s="551"/>
      <c r="AI321" s="551"/>
      <c r="AJ321" s="551"/>
      <c r="AK321" s="551"/>
      <c r="AL321" s="551"/>
      <c r="AM321" s="551"/>
      <c r="AN321" s="551"/>
      <c r="AO321" s="551"/>
      <c r="AP321" s="551"/>
      <c r="AQ321" s="551"/>
      <c r="AR321" s="551"/>
      <c r="AS321" s="551"/>
      <c r="AT321" s="551"/>
      <c r="AU321" s="551"/>
      <c r="AV321" s="551"/>
      <c r="AW321" s="551"/>
      <c r="AX321" s="551"/>
      <c r="AY321" s="551"/>
      <c r="AZ321" s="551"/>
      <c r="BA321" s="551"/>
      <c r="BB321" s="551"/>
      <c r="BC321" s="551"/>
      <c r="BD321" s="551"/>
      <c r="BE321" s="551"/>
      <c r="BF321" s="551"/>
    </row>
    <row r="322" spans="1:58" ht="12.75" customHeight="1">
      <c r="A322" s="551"/>
      <c r="B322" s="551"/>
      <c r="C322" s="551"/>
      <c r="D322" s="551"/>
      <c r="E322" s="551"/>
      <c r="F322" s="551"/>
      <c r="G322" s="551"/>
      <c r="H322" s="551"/>
      <c r="I322" s="551"/>
      <c r="J322" s="551"/>
      <c r="K322" s="551"/>
      <c r="L322" s="551"/>
      <c r="M322" s="551"/>
      <c r="N322" s="551"/>
      <c r="O322" s="551"/>
      <c r="P322" s="551"/>
      <c r="Q322" s="551"/>
      <c r="R322" s="551"/>
      <c r="S322" s="551"/>
      <c r="T322" s="551"/>
      <c r="U322" s="551"/>
      <c r="V322" s="551"/>
      <c r="W322" s="551"/>
      <c r="X322" s="551"/>
      <c r="Y322" s="551"/>
      <c r="Z322" s="551"/>
      <c r="AA322" s="551"/>
      <c r="AB322" s="551"/>
      <c r="AC322" s="551"/>
      <c r="AD322" s="551"/>
      <c r="AE322" s="551"/>
      <c r="AF322" s="551"/>
      <c r="AG322" s="551"/>
      <c r="AH322" s="551"/>
      <c r="AI322" s="551"/>
      <c r="AJ322" s="551"/>
      <c r="AK322" s="551"/>
      <c r="AL322" s="551"/>
      <c r="AM322" s="551"/>
      <c r="AN322" s="551"/>
      <c r="AO322" s="551"/>
      <c r="AP322" s="551"/>
      <c r="AQ322" s="551"/>
      <c r="AR322" s="551"/>
      <c r="AS322" s="551"/>
      <c r="AT322" s="551"/>
      <c r="AU322" s="551"/>
      <c r="AV322" s="551"/>
      <c r="AW322" s="551"/>
      <c r="AX322" s="551"/>
      <c r="AY322" s="551"/>
      <c r="AZ322" s="551"/>
      <c r="BA322" s="551"/>
      <c r="BB322" s="551"/>
      <c r="BC322" s="551"/>
      <c r="BD322" s="551"/>
      <c r="BE322" s="551"/>
      <c r="BF322" s="551"/>
    </row>
    <row r="323" spans="1:58" ht="12.75" customHeight="1">
      <c r="A323" s="551"/>
      <c r="B323" s="551"/>
      <c r="C323" s="551"/>
      <c r="D323" s="551"/>
      <c r="E323" s="551"/>
      <c r="F323" s="551"/>
      <c r="G323" s="551"/>
      <c r="H323" s="551"/>
      <c r="I323" s="551"/>
      <c r="J323" s="551"/>
      <c r="K323" s="551"/>
      <c r="L323" s="551"/>
      <c r="M323" s="551"/>
      <c r="N323" s="551"/>
      <c r="O323" s="551"/>
      <c r="P323" s="551"/>
      <c r="Q323" s="551"/>
      <c r="R323" s="551"/>
      <c r="S323" s="551"/>
      <c r="T323" s="551"/>
      <c r="U323" s="551"/>
      <c r="V323" s="551"/>
      <c r="W323" s="551"/>
      <c r="X323" s="551"/>
      <c r="Y323" s="551"/>
      <c r="Z323" s="551"/>
      <c r="AA323" s="551"/>
      <c r="AB323" s="551"/>
      <c r="AC323" s="551"/>
      <c r="AD323" s="551"/>
      <c r="AE323" s="551"/>
      <c r="AF323" s="551"/>
      <c r="AG323" s="551"/>
      <c r="AH323" s="551"/>
      <c r="AI323" s="551"/>
      <c r="AJ323" s="551"/>
      <c r="AK323" s="551"/>
      <c r="AL323" s="551"/>
      <c r="AM323" s="551"/>
      <c r="AN323" s="551"/>
      <c r="AO323" s="551"/>
      <c r="AP323" s="551"/>
      <c r="AQ323" s="551"/>
      <c r="AR323" s="551"/>
      <c r="AS323" s="551"/>
      <c r="AT323" s="551"/>
      <c r="AU323" s="551"/>
      <c r="AV323" s="551"/>
      <c r="AW323" s="551"/>
      <c r="AX323" s="551"/>
      <c r="AY323" s="551"/>
      <c r="AZ323" s="551"/>
      <c r="BA323" s="551"/>
      <c r="BB323" s="551"/>
      <c r="BC323" s="551"/>
      <c r="BD323" s="551"/>
      <c r="BE323" s="551"/>
      <c r="BF323" s="551"/>
    </row>
    <row r="324" spans="1:58" ht="12.75" customHeight="1">
      <c r="A324" s="551"/>
      <c r="B324" s="551"/>
      <c r="C324" s="551"/>
      <c r="D324" s="551"/>
      <c r="E324" s="551"/>
      <c r="F324" s="551"/>
      <c r="G324" s="551"/>
      <c r="H324" s="551"/>
      <c r="I324" s="551"/>
      <c r="J324" s="551"/>
      <c r="K324" s="551"/>
      <c r="L324" s="551"/>
      <c r="M324" s="551"/>
      <c r="N324" s="551"/>
      <c r="O324" s="551"/>
      <c r="P324" s="551"/>
      <c r="Q324" s="551"/>
      <c r="R324" s="551"/>
      <c r="S324" s="551"/>
      <c r="T324" s="551"/>
      <c r="U324" s="551"/>
      <c r="V324" s="551"/>
      <c r="W324" s="551"/>
      <c r="X324" s="551"/>
      <c r="Y324" s="551"/>
      <c r="Z324" s="551"/>
      <c r="AA324" s="551"/>
      <c r="AB324" s="551"/>
      <c r="AC324" s="551"/>
      <c r="AD324" s="551"/>
      <c r="AE324" s="551"/>
      <c r="AF324" s="551"/>
      <c r="AG324" s="551"/>
      <c r="AH324" s="551"/>
      <c r="AI324" s="551"/>
      <c r="AJ324" s="551"/>
      <c r="AK324" s="551"/>
      <c r="AL324" s="551"/>
      <c r="AM324" s="551"/>
      <c r="AN324" s="551"/>
      <c r="AO324" s="551"/>
      <c r="AP324" s="551"/>
      <c r="AQ324" s="551"/>
      <c r="AR324" s="551"/>
      <c r="AS324" s="551"/>
      <c r="AT324" s="551"/>
      <c r="AU324" s="551"/>
      <c r="AV324" s="551"/>
      <c r="AW324" s="551"/>
      <c r="AX324" s="551"/>
      <c r="AY324" s="551"/>
      <c r="AZ324" s="551"/>
      <c r="BA324" s="551"/>
      <c r="BB324" s="551"/>
      <c r="BC324" s="551"/>
      <c r="BD324" s="551"/>
      <c r="BE324" s="551"/>
      <c r="BF324" s="551"/>
    </row>
    <row r="325" spans="1:58" ht="12.75" customHeight="1">
      <c r="A325" s="551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1"/>
      <c r="P325" s="551"/>
      <c r="Q325" s="551"/>
      <c r="R325" s="551"/>
      <c r="S325" s="551"/>
      <c r="T325" s="551"/>
      <c r="U325" s="551"/>
      <c r="V325" s="551"/>
      <c r="W325" s="551"/>
      <c r="X325" s="551"/>
      <c r="Y325" s="551"/>
      <c r="Z325" s="551"/>
      <c r="AA325" s="551"/>
      <c r="AB325" s="551"/>
      <c r="AC325" s="551"/>
      <c r="AD325" s="551"/>
      <c r="AE325" s="551"/>
      <c r="AF325" s="551"/>
      <c r="AG325" s="551"/>
      <c r="AH325" s="551"/>
      <c r="AI325" s="551"/>
      <c r="AJ325" s="551"/>
      <c r="AK325" s="551"/>
      <c r="AL325" s="551"/>
      <c r="AM325" s="551"/>
      <c r="AN325" s="551"/>
      <c r="AO325" s="551"/>
      <c r="AP325" s="551"/>
      <c r="AQ325" s="551"/>
      <c r="AR325" s="551"/>
      <c r="AS325" s="551"/>
      <c r="AT325" s="551"/>
      <c r="AU325" s="551"/>
      <c r="AV325" s="551"/>
      <c r="AW325" s="551"/>
      <c r="AX325" s="551"/>
      <c r="AY325" s="551"/>
      <c r="AZ325" s="551"/>
      <c r="BA325" s="551"/>
      <c r="BB325" s="551"/>
      <c r="BC325" s="551"/>
      <c r="BD325" s="551"/>
      <c r="BE325" s="551"/>
      <c r="BF325" s="551"/>
    </row>
    <row r="326" spans="1:58" ht="12.75" customHeight="1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1"/>
      <c r="P326" s="551"/>
      <c r="Q326" s="551"/>
      <c r="R326" s="551"/>
      <c r="S326" s="551"/>
      <c r="T326" s="551"/>
      <c r="U326" s="551"/>
      <c r="V326" s="551"/>
      <c r="W326" s="551"/>
      <c r="X326" s="551"/>
      <c r="Y326" s="551"/>
      <c r="Z326" s="551"/>
      <c r="AA326" s="551"/>
      <c r="AB326" s="551"/>
      <c r="AC326" s="551"/>
      <c r="AD326" s="551"/>
      <c r="AE326" s="551"/>
      <c r="AF326" s="551"/>
      <c r="AG326" s="551"/>
      <c r="AH326" s="551"/>
      <c r="AI326" s="551"/>
      <c r="AJ326" s="551"/>
      <c r="AK326" s="551"/>
      <c r="AL326" s="551"/>
      <c r="AM326" s="551"/>
      <c r="AN326" s="551"/>
      <c r="AO326" s="551"/>
      <c r="AP326" s="551"/>
      <c r="AQ326" s="551"/>
      <c r="AR326" s="551"/>
      <c r="AS326" s="551"/>
      <c r="AT326" s="551"/>
      <c r="AU326" s="551"/>
      <c r="AV326" s="551"/>
      <c r="AW326" s="551"/>
      <c r="AX326" s="551"/>
      <c r="AY326" s="551"/>
      <c r="AZ326" s="551"/>
      <c r="BA326" s="551"/>
      <c r="BB326" s="551"/>
      <c r="BC326" s="551"/>
      <c r="BD326" s="551"/>
      <c r="BE326" s="551"/>
      <c r="BF326" s="551"/>
    </row>
    <row r="327" spans="1:58" ht="12.75" customHeight="1">
      <c r="A327" s="551"/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51"/>
      <c r="AB327" s="551"/>
      <c r="AC327" s="551"/>
      <c r="AD327" s="551"/>
      <c r="AE327" s="551"/>
      <c r="AF327" s="551"/>
      <c r="AG327" s="551"/>
      <c r="AH327" s="551"/>
      <c r="AI327" s="551"/>
      <c r="AJ327" s="551"/>
      <c r="AK327" s="551"/>
      <c r="AL327" s="551"/>
      <c r="AM327" s="551"/>
      <c r="AN327" s="551"/>
      <c r="AO327" s="551"/>
      <c r="AP327" s="551"/>
      <c r="AQ327" s="551"/>
      <c r="AR327" s="551"/>
      <c r="AS327" s="551"/>
      <c r="AT327" s="551"/>
      <c r="AU327" s="551"/>
      <c r="AV327" s="551"/>
      <c r="AW327" s="551"/>
      <c r="AX327" s="551"/>
      <c r="AY327" s="551"/>
      <c r="AZ327" s="551"/>
      <c r="BA327" s="551"/>
      <c r="BB327" s="551"/>
      <c r="BC327" s="551"/>
      <c r="BD327" s="551"/>
      <c r="BE327" s="551"/>
      <c r="BF327" s="551"/>
    </row>
    <row r="328" spans="1:58" ht="12.75" customHeight="1">
      <c r="A328" s="551"/>
      <c r="B328" s="551"/>
      <c r="C328" s="551"/>
      <c r="D328" s="551"/>
      <c r="E328" s="551"/>
      <c r="F328" s="551"/>
      <c r="G328" s="551"/>
      <c r="H328" s="551"/>
      <c r="I328" s="551"/>
      <c r="J328" s="551"/>
      <c r="K328" s="551"/>
      <c r="L328" s="551"/>
      <c r="M328" s="551"/>
      <c r="N328" s="551"/>
      <c r="O328" s="551"/>
      <c r="P328" s="551"/>
      <c r="Q328" s="551"/>
      <c r="R328" s="551"/>
      <c r="S328" s="551"/>
      <c r="T328" s="551"/>
      <c r="U328" s="551"/>
      <c r="V328" s="551"/>
      <c r="W328" s="551"/>
      <c r="X328" s="551"/>
      <c r="Y328" s="551"/>
      <c r="Z328" s="551"/>
      <c r="AA328" s="551"/>
      <c r="AB328" s="551"/>
      <c r="AC328" s="551"/>
      <c r="AD328" s="551"/>
      <c r="AE328" s="551"/>
      <c r="AF328" s="551"/>
      <c r="AG328" s="551"/>
      <c r="AH328" s="551"/>
      <c r="AI328" s="551"/>
      <c r="AJ328" s="551"/>
      <c r="AK328" s="551"/>
      <c r="AL328" s="551"/>
      <c r="AM328" s="551"/>
      <c r="AN328" s="551"/>
      <c r="AO328" s="551"/>
      <c r="AP328" s="551"/>
      <c r="AQ328" s="551"/>
      <c r="AR328" s="551"/>
      <c r="AS328" s="551"/>
      <c r="AT328" s="551"/>
      <c r="AU328" s="551"/>
      <c r="AV328" s="551"/>
      <c r="AW328" s="551"/>
      <c r="AX328" s="551"/>
      <c r="AY328" s="551"/>
      <c r="AZ328" s="551"/>
      <c r="BA328" s="551"/>
      <c r="BB328" s="551"/>
      <c r="BC328" s="551"/>
      <c r="BD328" s="551"/>
      <c r="BE328" s="551"/>
      <c r="BF328" s="551"/>
    </row>
    <row r="329" spans="1:58" ht="12.75" customHeight="1">
      <c r="A329" s="551"/>
      <c r="B329" s="551"/>
      <c r="C329" s="551"/>
      <c r="D329" s="551"/>
      <c r="E329" s="551"/>
      <c r="F329" s="551"/>
      <c r="G329" s="551"/>
      <c r="H329" s="551"/>
      <c r="I329" s="551"/>
      <c r="J329" s="551"/>
      <c r="K329" s="551"/>
      <c r="L329" s="551"/>
      <c r="M329" s="551"/>
      <c r="N329" s="551"/>
      <c r="O329" s="551"/>
      <c r="P329" s="551"/>
      <c r="Q329" s="551"/>
      <c r="R329" s="551"/>
      <c r="S329" s="551"/>
      <c r="T329" s="551"/>
      <c r="U329" s="551"/>
      <c r="V329" s="551"/>
      <c r="W329" s="551"/>
      <c r="X329" s="551"/>
      <c r="Y329" s="551"/>
      <c r="Z329" s="551"/>
      <c r="AA329" s="551"/>
      <c r="AB329" s="551"/>
      <c r="AC329" s="551"/>
      <c r="AD329" s="551"/>
      <c r="AE329" s="551"/>
      <c r="AF329" s="551"/>
      <c r="AG329" s="551"/>
      <c r="AH329" s="551"/>
      <c r="AI329" s="551"/>
      <c r="AJ329" s="551"/>
      <c r="AK329" s="551"/>
      <c r="AL329" s="551"/>
      <c r="AM329" s="551"/>
      <c r="AN329" s="551"/>
      <c r="AO329" s="551"/>
      <c r="AP329" s="551"/>
      <c r="AQ329" s="551"/>
      <c r="AR329" s="551"/>
      <c r="AS329" s="551"/>
      <c r="AT329" s="551"/>
      <c r="AU329" s="551"/>
      <c r="AV329" s="551"/>
      <c r="AW329" s="551"/>
      <c r="AX329" s="551"/>
      <c r="AY329" s="551"/>
      <c r="AZ329" s="551"/>
      <c r="BA329" s="551"/>
      <c r="BB329" s="551"/>
      <c r="BC329" s="551"/>
      <c r="BD329" s="551"/>
      <c r="BE329" s="551"/>
      <c r="BF329" s="551"/>
    </row>
    <row r="330" spans="1:58" ht="12.75" customHeight="1">
      <c r="A330" s="551"/>
      <c r="B330" s="551"/>
      <c r="C330" s="551"/>
      <c r="D330" s="551"/>
      <c r="E330" s="551"/>
      <c r="F330" s="551"/>
      <c r="G330" s="551"/>
      <c r="H330" s="551"/>
      <c r="I330" s="551"/>
      <c r="J330" s="551"/>
      <c r="K330" s="551"/>
      <c r="L330" s="551"/>
      <c r="M330" s="551"/>
      <c r="N330" s="551"/>
      <c r="O330" s="551"/>
      <c r="P330" s="551"/>
      <c r="Q330" s="551"/>
      <c r="R330" s="551"/>
      <c r="S330" s="551"/>
      <c r="T330" s="551"/>
      <c r="U330" s="551"/>
      <c r="V330" s="551"/>
      <c r="W330" s="551"/>
      <c r="X330" s="551"/>
      <c r="Y330" s="551"/>
      <c r="Z330" s="551"/>
      <c r="AA330" s="551"/>
      <c r="AB330" s="551"/>
      <c r="AC330" s="551"/>
      <c r="AD330" s="551"/>
      <c r="AE330" s="551"/>
      <c r="AF330" s="551"/>
      <c r="AG330" s="551"/>
      <c r="AH330" s="551"/>
      <c r="AI330" s="551"/>
      <c r="AJ330" s="551"/>
      <c r="AK330" s="551"/>
      <c r="AL330" s="551"/>
      <c r="AM330" s="551"/>
      <c r="AN330" s="551"/>
      <c r="AO330" s="551"/>
      <c r="AP330" s="551"/>
      <c r="AQ330" s="551"/>
      <c r="AR330" s="551"/>
      <c r="AS330" s="551"/>
      <c r="AT330" s="551"/>
      <c r="AU330" s="551"/>
      <c r="AV330" s="551"/>
      <c r="AW330" s="551"/>
      <c r="AX330" s="551"/>
      <c r="AY330" s="551"/>
      <c r="AZ330" s="551"/>
      <c r="BA330" s="551"/>
      <c r="BB330" s="551"/>
      <c r="BC330" s="551"/>
      <c r="BD330" s="551"/>
      <c r="BE330" s="551"/>
      <c r="BF330" s="551"/>
    </row>
    <row r="331" spans="1:58" ht="12.75" customHeight="1">
      <c r="A331" s="551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1"/>
      <c r="P331" s="551"/>
      <c r="Q331" s="551"/>
      <c r="R331" s="551"/>
      <c r="S331" s="551"/>
      <c r="T331" s="551"/>
      <c r="U331" s="551"/>
      <c r="V331" s="551"/>
      <c r="W331" s="551"/>
      <c r="X331" s="551"/>
      <c r="Y331" s="551"/>
      <c r="Z331" s="551"/>
      <c r="AA331" s="551"/>
      <c r="AB331" s="551"/>
      <c r="AC331" s="551"/>
      <c r="AD331" s="551"/>
      <c r="AE331" s="551"/>
      <c r="AF331" s="551"/>
      <c r="AG331" s="551"/>
      <c r="AH331" s="551"/>
      <c r="AI331" s="551"/>
      <c r="AJ331" s="551"/>
      <c r="AK331" s="551"/>
      <c r="AL331" s="551"/>
      <c r="AM331" s="551"/>
      <c r="AN331" s="551"/>
      <c r="AO331" s="551"/>
      <c r="AP331" s="551"/>
      <c r="AQ331" s="551"/>
      <c r="AR331" s="551"/>
      <c r="AS331" s="551"/>
      <c r="AT331" s="551"/>
      <c r="AU331" s="551"/>
      <c r="AV331" s="551"/>
      <c r="AW331" s="551"/>
      <c r="AX331" s="551"/>
      <c r="AY331" s="551"/>
      <c r="AZ331" s="551"/>
      <c r="BA331" s="551"/>
      <c r="BB331" s="551"/>
      <c r="BC331" s="551"/>
      <c r="BD331" s="551"/>
      <c r="BE331" s="551"/>
      <c r="BF331" s="551"/>
    </row>
    <row r="332" spans="1:58" ht="12.75" customHeight="1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1"/>
      <c r="P332" s="551"/>
      <c r="Q332" s="551"/>
      <c r="R332" s="551"/>
      <c r="S332" s="551"/>
      <c r="T332" s="551"/>
      <c r="U332" s="551"/>
      <c r="V332" s="551"/>
      <c r="W332" s="551"/>
      <c r="X332" s="551"/>
      <c r="Y332" s="551"/>
      <c r="Z332" s="551"/>
      <c r="AA332" s="551"/>
      <c r="AB332" s="551"/>
      <c r="AC332" s="551"/>
      <c r="AD332" s="551"/>
      <c r="AE332" s="551"/>
      <c r="AF332" s="551"/>
      <c r="AG332" s="551"/>
      <c r="AH332" s="551"/>
      <c r="AI332" s="551"/>
      <c r="AJ332" s="551"/>
      <c r="AK332" s="551"/>
      <c r="AL332" s="551"/>
      <c r="AM332" s="551"/>
      <c r="AN332" s="551"/>
      <c r="AO332" s="551"/>
      <c r="AP332" s="551"/>
      <c r="AQ332" s="551"/>
      <c r="AR332" s="551"/>
      <c r="AS332" s="551"/>
      <c r="AT332" s="551"/>
      <c r="AU332" s="551"/>
      <c r="AV332" s="551"/>
      <c r="AW332" s="551"/>
      <c r="AX332" s="551"/>
      <c r="AY332" s="551"/>
      <c r="AZ332" s="551"/>
      <c r="BA332" s="551"/>
      <c r="BB332" s="551"/>
      <c r="BC332" s="551"/>
      <c r="BD332" s="551"/>
      <c r="BE332" s="551"/>
      <c r="BF332" s="551"/>
    </row>
    <row r="333" spans="1:58" ht="12.75" customHeight="1">
      <c r="A333" s="551"/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51"/>
      <c r="AB333" s="551"/>
      <c r="AC333" s="551"/>
      <c r="AD333" s="551"/>
      <c r="AE333" s="551"/>
      <c r="AF333" s="551"/>
      <c r="AG333" s="551"/>
      <c r="AH333" s="551"/>
      <c r="AI333" s="551"/>
      <c r="AJ333" s="551"/>
      <c r="AK333" s="551"/>
      <c r="AL333" s="551"/>
      <c r="AM333" s="551"/>
      <c r="AN333" s="551"/>
      <c r="AO333" s="551"/>
      <c r="AP333" s="551"/>
      <c r="AQ333" s="551"/>
      <c r="AR333" s="551"/>
      <c r="AS333" s="551"/>
      <c r="AT333" s="551"/>
      <c r="AU333" s="551"/>
      <c r="AV333" s="551"/>
      <c r="AW333" s="551"/>
      <c r="AX333" s="551"/>
      <c r="AY333" s="551"/>
      <c r="AZ333" s="551"/>
      <c r="BA333" s="551"/>
      <c r="BB333" s="551"/>
      <c r="BC333" s="551"/>
      <c r="BD333" s="551"/>
      <c r="BE333" s="551"/>
      <c r="BF333" s="551"/>
    </row>
    <row r="334" spans="1:58" ht="12.75" customHeight="1">
      <c r="A334" s="551"/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51"/>
      <c r="AB334" s="551"/>
      <c r="AC334" s="551"/>
      <c r="AD334" s="551"/>
      <c r="AE334" s="551"/>
      <c r="AF334" s="551"/>
      <c r="AG334" s="551"/>
      <c r="AH334" s="551"/>
      <c r="AI334" s="551"/>
      <c r="AJ334" s="551"/>
      <c r="AK334" s="551"/>
      <c r="AL334" s="551"/>
      <c r="AM334" s="551"/>
      <c r="AN334" s="551"/>
      <c r="AO334" s="551"/>
      <c r="AP334" s="551"/>
      <c r="AQ334" s="551"/>
      <c r="AR334" s="551"/>
      <c r="AS334" s="551"/>
      <c r="AT334" s="551"/>
      <c r="AU334" s="551"/>
      <c r="AV334" s="551"/>
      <c r="AW334" s="551"/>
      <c r="AX334" s="551"/>
      <c r="AY334" s="551"/>
      <c r="AZ334" s="551"/>
      <c r="BA334" s="551"/>
      <c r="BB334" s="551"/>
      <c r="BC334" s="551"/>
      <c r="BD334" s="551"/>
      <c r="BE334" s="551"/>
      <c r="BF334" s="551"/>
    </row>
    <row r="335" spans="1:58" ht="12.75" customHeight="1">
      <c r="A335" s="551"/>
      <c r="B335" s="551"/>
      <c r="C335" s="551"/>
      <c r="D335" s="551"/>
      <c r="E335" s="551"/>
      <c r="F335" s="551"/>
      <c r="G335" s="551"/>
      <c r="H335" s="551"/>
      <c r="I335" s="551"/>
      <c r="J335" s="551"/>
      <c r="K335" s="551"/>
      <c r="L335" s="551"/>
      <c r="M335" s="551"/>
      <c r="N335" s="551"/>
      <c r="O335" s="551"/>
      <c r="P335" s="551"/>
      <c r="Q335" s="551"/>
      <c r="R335" s="551"/>
      <c r="S335" s="551"/>
      <c r="T335" s="551"/>
      <c r="U335" s="551"/>
      <c r="V335" s="551"/>
      <c r="W335" s="551"/>
      <c r="X335" s="551"/>
      <c r="Y335" s="551"/>
      <c r="Z335" s="551"/>
      <c r="AA335" s="551"/>
      <c r="AB335" s="551"/>
      <c r="AC335" s="551"/>
      <c r="AD335" s="551"/>
      <c r="AE335" s="551"/>
      <c r="AF335" s="551"/>
      <c r="AG335" s="551"/>
      <c r="AH335" s="551"/>
      <c r="AI335" s="551"/>
      <c r="AJ335" s="551"/>
      <c r="AK335" s="551"/>
      <c r="AL335" s="551"/>
      <c r="AM335" s="551"/>
      <c r="AN335" s="551"/>
      <c r="AO335" s="551"/>
      <c r="AP335" s="551"/>
      <c r="AQ335" s="551"/>
      <c r="AR335" s="551"/>
      <c r="AS335" s="551"/>
      <c r="AT335" s="551"/>
      <c r="AU335" s="551"/>
      <c r="AV335" s="551"/>
      <c r="AW335" s="551"/>
      <c r="AX335" s="551"/>
      <c r="AY335" s="551"/>
      <c r="AZ335" s="551"/>
      <c r="BA335" s="551"/>
      <c r="BB335" s="551"/>
      <c r="BC335" s="551"/>
      <c r="BD335" s="551"/>
      <c r="BE335" s="551"/>
      <c r="BF335" s="551"/>
    </row>
    <row r="336" spans="1:58" ht="12.75" customHeight="1">
      <c r="A336" s="551"/>
      <c r="B336" s="551"/>
      <c r="C336" s="551"/>
      <c r="D336" s="551"/>
      <c r="E336" s="551"/>
      <c r="F336" s="551"/>
      <c r="G336" s="551"/>
      <c r="H336" s="551"/>
      <c r="I336" s="551"/>
      <c r="J336" s="551"/>
      <c r="K336" s="551"/>
      <c r="L336" s="551"/>
      <c r="M336" s="551"/>
      <c r="N336" s="551"/>
      <c r="O336" s="551"/>
      <c r="P336" s="551"/>
      <c r="Q336" s="551"/>
      <c r="R336" s="551"/>
      <c r="S336" s="551"/>
      <c r="T336" s="551"/>
      <c r="U336" s="551"/>
      <c r="V336" s="551"/>
      <c r="W336" s="551"/>
      <c r="X336" s="551"/>
      <c r="Y336" s="551"/>
      <c r="Z336" s="551"/>
      <c r="AA336" s="551"/>
      <c r="AB336" s="551"/>
      <c r="AC336" s="551"/>
      <c r="AD336" s="551"/>
      <c r="AE336" s="551"/>
      <c r="AF336" s="551"/>
      <c r="AG336" s="551"/>
      <c r="AH336" s="551"/>
      <c r="AI336" s="551"/>
      <c r="AJ336" s="551"/>
      <c r="AK336" s="551"/>
      <c r="AL336" s="551"/>
      <c r="AM336" s="551"/>
      <c r="AN336" s="551"/>
      <c r="AO336" s="551"/>
      <c r="AP336" s="551"/>
      <c r="AQ336" s="551"/>
      <c r="AR336" s="551"/>
      <c r="AS336" s="551"/>
      <c r="AT336" s="551"/>
      <c r="AU336" s="551"/>
      <c r="AV336" s="551"/>
      <c r="AW336" s="551"/>
      <c r="AX336" s="551"/>
      <c r="AY336" s="551"/>
      <c r="AZ336" s="551"/>
      <c r="BA336" s="551"/>
      <c r="BB336" s="551"/>
      <c r="BC336" s="551"/>
      <c r="BD336" s="551"/>
      <c r="BE336" s="551"/>
      <c r="BF336" s="551"/>
    </row>
    <row r="337" spans="1:58" ht="12.75" customHeight="1">
      <c r="A337" s="551"/>
      <c r="B337" s="551"/>
      <c r="C337" s="551"/>
      <c r="D337" s="551"/>
      <c r="E337" s="551"/>
      <c r="F337" s="551"/>
      <c r="G337" s="551"/>
      <c r="H337" s="551"/>
      <c r="I337" s="551"/>
      <c r="J337" s="551"/>
      <c r="K337" s="551"/>
      <c r="L337" s="551"/>
      <c r="M337" s="551"/>
      <c r="N337" s="551"/>
      <c r="O337" s="551"/>
      <c r="P337" s="551"/>
      <c r="Q337" s="551"/>
      <c r="R337" s="551"/>
      <c r="S337" s="551"/>
      <c r="T337" s="551"/>
      <c r="U337" s="551"/>
      <c r="V337" s="551"/>
      <c r="W337" s="551"/>
      <c r="X337" s="551"/>
      <c r="Y337" s="551"/>
      <c r="Z337" s="551"/>
      <c r="AA337" s="551"/>
      <c r="AB337" s="551"/>
      <c r="AC337" s="551"/>
      <c r="AD337" s="551"/>
      <c r="AE337" s="551"/>
      <c r="AF337" s="551"/>
      <c r="AG337" s="551"/>
      <c r="AH337" s="551"/>
      <c r="AI337" s="551"/>
      <c r="AJ337" s="551"/>
      <c r="AK337" s="551"/>
      <c r="AL337" s="551"/>
      <c r="AM337" s="551"/>
      <c r="AN337" s="551"/>
      <c r="AO337" s="551"/>
      <c r="AP337" s="551"/>
      <c r="AQ337" s="551"/>
      <c r="AR337" s="551"/>
      <c r="AS337" s="551"/>
      <c r="AT337" s="551"/>
      <c r="AU337" s="551"/>
      <c r="AV337" s="551"/>
      <c r="AW337" s="551"/>
      <c r="AX337" s="551"/>
      <c r="AY337" s="551"/>
      <c r="AZ337" s="551"/>
      <c r="BA337" s="551"/>
      <c r="BB337" s="551"/>
      <c r="BC337" s="551"/>
      <c r="BD337" s="551"/>
      <c r="BE337" s="551"/>
      <c r="BF337" s="551"/>
    </row>
    <row r="338" spans="1:58" ht="12.75" customHeight="1">
      <c r="A338" s="551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1"/>
      <c r="P338" s="551"/>
      <c r="Q338" s="551"/>
      <c r="R338" s="551"/>
      <c r="S338" s="551"/>
      <c r="T338" s="551"/>
      <c r="U338" s="551"/>
      <c r="V338" s="551"/>
      <c r="W338" s="551"/>
      <c r="X338" s="551"/>
      <c r="Y338" s="551"/>
      <c r="Z338" s="551"/>
      <c r="AA338" s="551"/>
      <c r="AB338" s="551"/>
      <c r="AC338" s="551"/>
      <c r="AD338" s="551"/>
      <c r="AE338" s="551"/>
      <c r="AF338" s="551"/>
      <c r="AG338" s="551"/>
      <c r="AH338" s="551"/>
      <c r="AI338" s="551"/>
      <c r="AJ338" s="551"/>
      <c r="AK338" s="551"/>
      <c r="AL338" s="551"/>
      <c r="AM338" s="551"/>
      <c r="AN338" s="551"/>
      <c r="AO338" s="551"/>
      <c r="AP338" s="551"/>
      <c r="AQ338" s="551"/>
      <c r="AR338" s="551"/>
      <c r="AS338" s="551"/>
      <c r="AT338" s="551"/>
      <c r="AU338" s="551"/>
      <c r="AV338" s="551"/>
      <c r="AW338" s="551"/>
      <c r="AX338" s="551"/>
      <c r="AY338" s="551"/>
      <c r="AZ338" s="551"/>
      <c r="BA338" s="551"/>
      <c r="BB338" s="551"/>
      <c r="BC338" s="551"/>
      <c r="BD338" s="551"/>
      <c r="BE338" s="551"/>
      <c r="BF338" s="551"/>
    </row>
    <row r="339" spans="1:58" ht="12.75" customHeight="1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1"/>
      <c r="P339" s="551"/>
      <c r="Q339" s="551"/>
      <c r="R339" s="551"/>
      <c r="S339" s="551"/>
      <c r="T339" s="551"/>
      <c r="U339" s="551"/>
      <c r="V339" s="551"/>
      <c r="W339" s="551"/>
      <c r="X339" s="551"/>
      <c r="Y339" s="551"/>
      <c r="Z339" s="551"/>
      <c r="AA339" s="551"/>
      <c r="AB339" s="551"/>
      <c r="AC339" s="551"/>
      <c r="AD339" s="551"/>
      <c r="AE339" s="551"/>
      <c r="AF339" s="551"/>
      <c r="AG339" s="551"/>
      <c r="AH339" s="551"/>
      <c r="AI339" s="551"/>
      <c r="AJ339" s="551"/>
      <c r="AK339" s="551"/>
      <c r="AL339" s="551"/>
      <c r="AM339" s="551"/>
      <c r="AN339" s="551"/>
      <c r="AO339" s="551"/>
      <c r="AP339" s="551"/>
      <c r="AQ339" s="551"/>
      <c r="AR339" s="551"/>
      <c r="AS339" s="551"/>
      <c r="AT339" s="551"/>
      <c r="AU339" s="551"/>
      <c r="AV339" s="551"/>
      <c r="AW339" s="551"/>
      <c r="AX339" s="551"/>
      <c r="AY339" s="551"/>
      <c r="AZ339" s="551"/>
      <c r="BA339" s="551"/>
      <c r="BB339" s="551"/>
      <c r="BC339" s="551"/>
      <c r="BD339" s="551"/>
      <c r="BE339" s="551"/>
      <c r="BF339" s="551"/>
    </row>
    <row r="340" spans="1:58" ht="12.75" customHeight="1">
      <c r="A340" s="551"/>
      <c r="B340" s="551"/>
      <c r="C340" s="551"/>
      <c r="D340" s="551"/>
      <c r="E340" s="551"/>
      <c r="F340" s="551"/>
      <c r="G340" s="551"/>
      <c r="H340" s="551"/>
      <c r="I340" s="551"/>
      <c r="J340" s="551"/>
      <c r="K340" s="551"/>
      <c r="L340" s="551"/>
      <c r="M340" s="551"/>
      <c r="N340" s="551"/>
      <c r="O340" s="551"/>
      <c r="P340" s="551"/>
      <c r="Q340" s="551"/>
      <c r="R340" s="551"/>
      <c r="S340" s="551"/>
      <c r="T340" s="551"/>
      <c r="U340" s="551"/>
      <c r="V340" s="551"/>
      <c r="W340" s="551"/>
      <c r="X340" s="551"/>
      <c r="Y340" s="551"/>
      <c r="Z340" s="551"/>
      <c r="AA340" s="551"/>
      <c r="AB340" s="551"/>
      <c r="AC340" s="551"/>
      <c r="AD340" s="551"/>
      <c r="AE340" s="551"/>
      <c r="AF340" s="551"/>
      <c r="AG340" s="551"/>
      <c r="AH340" s="551"/>
      <c r="AI340" s="551"/>
      <c r="AJ340" s="551"/>
      <c r="AK340" s="551"/>
      <c r="AL340" s="551"/>
      <c r="AM340" s="551"/>
      <c r="AN340" s="551"/>
      <c r="AO340" s="551"/>
      <c r="AP340" s="551"/>
      <c r="AQ340" s="551"/>
      <c r="AR340" s="551"/>
      <c r="AS340" s="551"/>
      <c r="AT340" s="551"/>
      <c r="AU340" s="551"/>
      <c r="AV340" s="551"/>
      <c r="AW340" s="551"/>
      <c r="AX340" s="551"/>
      <c r="AY340" s="551"/>
      <c r="AZ340" s="551"/>
      <c r="BA340" s="551"/>
      <c r="BB340" s="551"/>
      <c r="BC340" s="551"/>
      <c r="BD340" s="551"/>
      <c r="BE340" s="551"/>
      <c r="BF340" s="551"/>
    </row>
    <row r="341" spans="1:58" ht="12.75" customHeight="1">
      <c r="A341" s="551"/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51"/>
      <c r="AB341" s="551"/>
      <c r="AC341" s="551"/>
      <c r="AD341" s="551"/>
      <c r="AE341" s="551"/>
      <c r="AF341" s="551"/>
      <c r="AG341" s="551"/>
      <c r="AH341" s="551"/>
      <c r="AI341" s="551"/>
      <c r="AJ341" s="551"/>
      <c r="AK341" s="551"/>
      <c r="AL341" s="551"/>
      <c r="AM341" s="551"/>
      <c r="AN341" s="551"/>
      <c r="AO341" s="551"/>
      <c r="AP341" s="551"/>
      <c r="AQ341" s="551"/>
      <c r="AR341" s="551"/>
      <c r="AS341" s="551"/>
      <c r="AT341" s="551"/>
      <c r="AU341" s="551"/>
      <c r="AV341" s="551"/>
      <c r="AW341" s="551"/>
      <c r="AX341" s="551"/>
      <c r="AY341" s="551"/>
      <c r="AZ341" s="551"/>
      <c r="BA341" s="551"/>
      <c r="BB341" s="551"/>
      <c r="BC341" s="551"/>
      <c r="BD341" s="551"/>
      <c r="BE341" s="551"/>
      <c r="BF341" s="551"/>
    </row>
    <row r="342" spans="1:58" ht="12.75" customHeight="1">
      <c r="A342" s="551"/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51"/>
      <c r="AB342" s="551"/>
      <c r="AC342" s="551"/>
      <c r="AD342" s="551"/>
      <c r="AE342" s="551"/>
      <c r="AF342" s="551"/>
      <c r="AG342" s="551"/>
      <c r="AH342" s="551"/>
      <c r="AI342" s="551"/>
      <c r="AJ342" s="551"/>
      <c r="AK342" s="551"/>
      <c r="AL342" s="551"/>
      <c r="AM342" s="551"/>
      <c r="AN342" s="551"/>
      <c r="AO342" s="551"/>
      <c r="AP342" s="551"/>
      <c r="AQ342" s="551"/>
      <c r="AR342" s="551"/>
      <c r="AS342" s="551"/>
      <c r="AT342" s="551"/>
      <c r="AU342" s="551"/>
      <c r="AV342" s="551"/>
      <c r="AW342" s="551"/>
      <c r="AX342" s="551"/>
      <c r="AY342" s="551"/>
      <c r="AZ342" s="551"/>
      <c r="BA342" s="551"/>
      <c r="BB342" s="551"/>
      <c r="BC342" s="551"/>
      <c r="BD342" s="551"/>
      <c r="BE342" s="551"/>
      <c r="BF342" s="551"/>
    </row>
    <row r="343" spans="1:58" ht="12.75" customHeight="1">
      <c r="A343" s="551"/>
      <c r="B343" s="551"/>
      <c r="C343" s="551"/>
      <c r="D343" s="551"/>
      <c r="E343" s="551"/>
      <c r="F343" s="551"/>
      <c r="G343" s="551"/>
      <c r="H343" s="551"/>
      <c r="I343" s="551"/>
      <c r="J343" s="551"/>
      <c r="K343" s="551"/>
      <c r="L343" s="551"/>
      <c r="M343" s="551"/>
      <c r="N343" s="551"/>
      <c r="O343" s="551"/>
      <c r="P343" s="551"/>
      <c r="Q343" s="551"/>
      <c r="R343" s="551"/>
      <c r="S343" s="551"/>
      <c r="T343" s="551"/>
      <c r="U343" s="551"/>
      <c r="V343" s="551"/>
      <c r="W343" s="551"/>
      <c r="X343" s="551"/>
      <c r="Y343" s="551"/>
      <c r="Z343" s="551"/>
      <c r="AA343" s="551"/>
      <c r="AB343" s="551"/>
      <c r="AC343" s="551"/>
      <c r="AD343" s="551"/>
      <c r="AE343" s="551"/>
      <c r="AF343" s="551"/>
      <c r="AG343" s="551"/>
      <c r="AH343" s="551"/>
      <c r="AI343" s="551"/>
      <c r="AJ343" s="551"/>
      <c r="AK343" s="551"/>
      <c r="AL343" s="551"/>
      <c r="AM343" s="551"/>
      <c r="AN343" s="551"/>
      <c r="AO343" s="551"/>
      <c r="AP343" s="551"/>
      <c r="AQ343" s="551"/>
      <c r="AR343" s="551"/>
      <c r="AS343" s="551"/>
      <c r="AT343" s="551"/>
      <c r="AU343" s="551"/>
      <c r="AV343" s="551"/>
      <c r="AW343" s="551"/>
      <c r="AX343" s="551"/>
      <c r="AY343" s="551"/>
      <c r="AZ343" s="551"/>
      <c r="BA343" s="551"/>
      <c r="BB343" s="551"/>
      <c r="BC343" s="551"/>
      <c r="BD343" s="551"/>
      <c r="BE343" s="551"/>
      <c r="BF343" s="551"/>
    </row>
    <row r="344" spans="1:58" ht="12.75" customHeight="1">
      <c r="A344" s="551"/>
      <c r="B344" s="551"/>
      <c r="C344" s="551"/>
      <c r="D344" s="551"/>
      <c r="E344" s="551"/>
      <c r="F344" s="551"/>
      <c r="G344" s="551"/>
      <c r="H344" s="551"/>
      <c r="I344" s="551"/>
      <c r="J344" s="551"/>
      <c r="K344" s="551"/>
      <c r="L344" s="551"/>
      <c r="M344" s="551"/>
      <c r="N344" s="551"/>
      <c r="O344" s="551"/>
      <c r="P344" s="551"/>
      <c r="Q344" s="551"/>
      <c r="R344" s="551"/>
      <c r="S344" s="551"/>
      <c r="T344" s="551"/>
      <c r="U344" s="551"/>
      <c r="V344" s="551"/>
      <c r="W344" s="551"/>
      <c r="X344" s="551"/>
      <c r="Y344" s="551"/>
      <c r="Z344" s="551"/>
      <c r="AA344" s="551"/>
      <c r="AB344" s="551"/>
      <c r="AC344" s="551"/>
      <c r="AD344" s="551"/>
      <c r="AE344" s="551"/>
      <c r="AF344" s="551"/>
      <c r="AG344" s="551"/>
      <c r="AH344" s="551"/>
      <c r="AI344" s="551"/>
      <c r="AJ344" s="551"/>
      <c r="AK344" s="551"/>
      <c r="AL344" s="551"/>
      <c r="AM344" s="551"/>
      <c r="AN344" s="551"/>
      <c r="AO344" s="551"/>
      <c r="AP344" s="551"/>
      <c r="AQ344" s="551"/>
      <c r="AR344" s="551"/>
      <c r="AS344" s="551"/>
      <c r="AT344" s="551"/>
      <c r="AU344" s="551"/>
      <c r="AV344" s="551"/>
      <c r="AW344" s="551"/>
      <c r="AX344" s="551"/>
      <c r="AY344" s="551"/>
      <c r="AZ344" s="551"/>
      <c r="BA344" s="551"/>
      <c r="BB344" s="551"/>
      <c r="BC344" s="551"/>
      <c r="BD344" s="551"/>
      <c r="BE344" s="551"/>
      <c r="BF344" s="551"/>
    </row>
    <row r="345" spans="1:58" ht="12.75" customHeight="1">
      <c r="A345" s="551"/>
      <c r="B345" s="551"/>
      <c r="C345" s="551"/>
      <c r="D345" s="551"/>
      <c r="E345" s="551"/>
      <c r="F345" s="551"/>
      <c r="G345" s="551"/>
      <c r="H345" s="551"/>
      <c r="I345" s="551"/>
      <c r="J345" s="551"/>
      <c r="K345" s="551"/>
      <c r="L345" s="551"/>
      <c r="M345" s="551"/>
      <c r="N345" s="551"/>
      <c r="O345" s="551"/>
      <c r="P345" s="551"/>
      <c r="Q345" s="551"/>
      <c r="R345" s="551"/>
      <c r="S345" s="551"/>
      <c r="T345" s="551"/>
      <c r="U345" s="551"/>
      <c r="V345" s="551"/>
      <c r="W345" s="551"/>
      <c r="X345" s="551"/>
      <c r="Y345" s="551"/>
      <c r="Z345" s="551"/>
      <c r="AA345" s="551"/>
      <c r="AB345" s="551"/>
      <c r="AC345" s="551"/>
      <c r="AD345" s="551"/>
      <c r="AE345" s="551"/>
      <c r="AF345" s="551"/>
      <c r="AG345" s="551"/>
      <c r="AH345" s="551"/>
      <c r="AI345" s="551"/>
      <c r="AJ345" s="551"/>
      <c r="AK345" s="551"/>
      <c r="AL345" s="551"/>
      <c r="AM345" s="551"/>
      <c r="AN345" s="551"/>
      <c r="AO345" s="551"/>
      <c r="AP345" s="551"/>
      <c r="AQ345" s="551"/>
      <c r="AR345" s="551"/>
      <c r="AS345" s="551"/>
      <c r="AT345" s="551"/>
      <c r="AU345" s="551"/>
      <c r="AV345" s="551"/>
      <c r="AW345" s="551"/>
      <c r="AX345" s="551"/>
      <c r="AY345" s="551"/>
      <c r="AZ345" s="551"/>
      <c r="BA345" s="551"/>
      <c r="BB345" s="551"/>
      <c r="BC345" s="551"/>
      <c r="BD345" s="551"/>
      <c r="BE345" s="551"/>
      <c r="BF345" s="551"/>
    </row>
    <row r="346" spans="1:58" ht="12.75" customHeight="1">
      <c r="A346" s="551"/>
      <c r="B346" s="551"/>
      <c r="C346" s="551"/>
      <c r="D346" s="551"/>
      <c r="E346" s="551"/>
      <c r="F346" s="551"/>
      <c r="G346" s="551"/>
      <c r="H346" s="551"/>
      <c r="I346" s="551"/>
      <c r="J346" s="551"/>
      <c r="K346" s="551"/>
      <c r="L346" s="551"/>
      <c r="M346" s="551"/>
      <c r="N346" s="551"/>
      <c r="O346" s="551"/>
      <c r="P346" s="551"/>
      <c r="Q346" s="551"/>
      <c r="R346" s="551"/>
      <c r="S346" s="551"/>
      <c r="T346" s="551"/>
      <c r="U346" s="551"/>
      <c r="V346" s="551"/>
      <c r="W346" s="551"/>
      <c r="X346" s="551"/>
      <c r="Y346" s="551"/>
      <c r="Z346" s="551"/>
      <c r="AA346" s="551"/>
      <c r="AB346" s="551"/>
      <c r="AC346" s="551"/>
      <c r="AD346" s="551"/>
      <c r="AE346" s="551"/>
      <c r="AF346" s="551"/>
      <c r="AG346" s="551"/>
      <c r="AH346" s="551"/>
      <c r="AI346" s="551"/>
      <c r="AJ346" s="551"/>
      <c r="AK346" s="551"/>
      <c r="AL346" s="551"/>
      <c r="AM346" s="551"/>
      <c r="AN346" s="551"/>
      <c r="AO346" s="551"/>
      <c r="AP346" s="551"/>
      <c r="AQ346" s="551"/>
      <c r="AR346" s="551"/>
      <c r="AS346" s="551"/>
      <c r="AT346" s="551"/>
      <c r="AU346" s="551"/>
      <c r="AV346" s="551"/>
      <c r="AW346" s="551"/>
      <c r="AX346" s="551"/>
      <c r="AY346" s="551"/>
      <c r="AZ346" s="551"/>
      <c r="BA346" s="551"/>
      <c r="BB346" s="551"/>
      <c r="BC346" s="551"/>
      <c r="BD346" s="551"/>
      <c r="BE346" s="551"/>
      <c r="BF346" s="551"/>
    </row>
    <row r="347" spans="1:58" ht="12.75" customHeight="1">
      <c r="A347" s="551"/>
      <c r="B347" s="551"/>
      <c r="C347" s="551"/>
      <c r="D347" s="551"/>
      <c r="E347" s="551"/>
      <c r="F347" s="551"/>
      <c r="G347" s="551"/>
      <c r="H347" s="551"/>
      <c r="I347" s="551"/>
      <c r="J347" s="551"/>
      <c r="K347" s="551"/>
      <c r="L347" s="551"/>
      <c r="M347" s="551"/>
      <c r="N347" s="551"/>
      <c r="O347" s="551"/>
      <c r="P347" s="551"/>
      <c r="Q347" s="551"/>
      <c r="R347" s="551"/>
      <c r="S347" s="551"/>
      <c r="T347" s="551"/>
      <c r="U347" s="551"/>
      <c r="V347" s="551"/>
      <c r="W347" s="551"/>
      <c r="X347" s="551"/>
      <c r="Y347" s="551"/>
      <c r="Z347" s="551"/>
      <c r="AA347" s="551"/>
      <c r="AB347" s="551"/>
      <c r="AC347" s="551"/>
      <c r="AD347" s="551"/>
      <c r="AE347" s="551"/>
      <c r="AF347" s="551"/>
      <c r="AG347" s="551"/>
      <c r="AH347" s="551"/>
      <c r="AI347" s="551"/>
      <c r="AJ347" s="551"/>
      <c r="AK347" s="551"/>
      <c r="AL347" s="551"/>
      <c r="AM347" s="551"/>
      <c r="AN347" s="551"/>
      <c r="AO347" s="551"/>
      <c r="AP347" s="551"/>
      <c r="AQ347" s="551"/>
      <c r="AR347" s="551"/>
      <c r="AS347" s="551"/>
      <c r="AT347" s="551"/>
      <c r="AU347" s="551"/>
      <c r="AV347" s="551"/>
      <c r="AW347" s="551"/>
      <c r="AX347" s="551"/>
      <c r="AY347" s="551"/>
      <c r="AZ347" s="551"/>
      <c r="BA347" s="551"/>
      <c r="BB347" s="551"/>
      <c r="BC347" s="551"/>
      <c r="BD347" s="551"/>
      <c r="BE347" s="551"/>
      <c r="BF347" s="551"/>
    </row>
    <row r="348" spans="1:58" ht="12.75" customHeight="1">
      <c r="A348" s="551"/>
      <c r="B348" s="551"/>
      <c r="C348" s="551"/>
      <c r="D348" s="551"/>
      <c r="E348" s="551"/>
      <c r="F348" s="551"/>
      <c r="G348" s="551"/>
      <c r="H348" s="551"/>
      <c r="I348" s="551"/>
      <c r="J348" s="551"/>
      <c r="K348" s="551"/>
      <c r="L348" s="551"/>
      <c r="M348" s="551"/>
      <c r="N348" s="551"/>
      <c r="O348" s="551"/>
      <c r="P348" s="551"/>
      <c r="Q348" s="551"/>
      <c r="R348" s="551"/>
      <c r="S348" s="551"/>
      <c r="T348" s="551"/>
      <c r="U348" s="551"/>
      <c r="V348" s="551"/>
      <c r="W348" s="551"/>
      <c r="X348" s="551"/>
      <c r="Y348" s="551"/>
      <c r="Z348" s="551"/>
      <c r="AA348" s="551"/>
      <c r="AB348" s="551"/>
      <c r="AC348" s="551"/>
      <c r="AD348" s="551"/>
      <c r="AE348" s="551"/>
      <c r="AF348" s="551"/>
      <c r="AG348" s="551"/>
      <c r="AH348" s="551"/>
      <c r="AI348" s="551"/>
      <c r="AJ348" s="551"/>
      <c r="AK348" s="551"/>
      <c r="AL348" s="551"/>
      <c r="AM348" s="551"/>
      <c r="AN348" s="551"/>
      <c r="AO348" s="551"/>
      <c r="AP348" s="551"/>
      <c r="AQ348" s="551"/>
      <c r="AR348" s="551"/>
      <c r="AS348" s="551"/>
      <c r="AT348" s="551"/>
      <c r="AU348" s="551"/>
      <c r="AV348" s="551"/>
      <c r="AW348" s="551"/>
      <c r="AX348" s="551"/>
      <c r="AY348" s="551"/>
      <c r="AZ348" s="551"/>
      <c r="BA348" s="551"/>
      <c r="BB348" s="551"/>
      <c r="BC348" s="551"/>
      <c r="BD348" s="551"/>
      <c r="BE348" s="551"/>
      <c r="BF348" s="551"/>
    </row>
    <row r="349" spans="1:58" ht="12.75" customHeight="1">
      <c r="A349" s="551"/>
      <c r="B349" s="551"/>
      <c r="C349" s="551"/>
      <c r="D349" s="551"/>
      <c r="E349" s="551"/>
      <c r="F349" s="551"/>
      <c r="G349" s="551"/>
      <c r="H349" s="551"/>
      <c r="I349" s="551"/>
      <c r="J349" s="551"/>
      <c r="K349" s="551"/>
      <c r="L349" s="551"/>
      <c r="M349" s="551"/>
      <c r="N349" s="551"/>
      <c r="O349" s="551"/>
      <c r="P349" s="551"/>
      <c r="Q349" s="551"/>
      <c r="R349" s="551"/>
      <c r="S349" s="551"/>
      <c r="T349" s="551"/>
      <c r="U349" s="551"/>
      <c r="V349" s="551"/>
      <c r="W349" s="551"/>
      <c r="X349" s="551"/>
      <c r="Y349" s="551"/>
      <c r="Z349" s="551"/>
      <c r="AA349" s="551"/>
      <c r="AB349" s="551"/>
      <c r="AC349" s="551"/>
      <c r="AD349" s="551"/>
      <c r="AE349" s="551"/>
      <c r="AF349" s="551"/>
      <c r="AG349" s="551"/>
      <c r="AH349" s="551"/>
      <c r="AI349" s="551"/>
      <c r="AJ349" s="551"/>
      <c r="AK349" s="551"/>
      <c r="AL349" s="551"/>
      <c r="AM349" s="551"/>
      <c r="AN349" s="551"/>
      <c r="AO349" s="551"/>
      <c r="AP349" s="551"/>
      <c r="AQ349" s="551"/>
      <c r="AR349" s="551"/>
      <c r="AS349" s="551"/>
      <c r="AT349" s="551"/>
      <c r="AU349" s="551"/>
      <c r="AV349" s="551"/>
      <c r="AW349" s="551"/>
      <c r="AX349" s="551"/>
      <c r="AY349" s="551"/>
      <c r="AZ349" s="551"/>
      <c r="BA349" s="551"/>
      <c r="BB349" s="551"/>
      <c r="BC349" s="551"/>
      <c r="BD349" s="551"/>
      <c r="BE349" s="551"/>
      <c r="BF349" s="551"/>
    </row>
    <row r="350" spans="1:58" ht="12.75" customHeight="1">
      <c r="A350" s="551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1"/>
      <c r="P350" s="551"/>
      <c r="Q350" s="551"/>
      <c r="R350" s="551"/>
      <c r="S350" s="551"/>
      <c r="T350" s="551"/>
      <c r="U350" s="551"/>
      <c r="V350" s="551"/>
      <c r="W350" s="551"/>
      <c r="X350" s="551"/>
      <c r="Y350" s="551"/>
      <c r="Z350" s="551"/>
      <c r="AA350" s="551"/>
      <c r="AB350" s="551"/>
      <c r="AC350" s="551"/>
      <c r="AD350" s="551"/>
      <c r="AE350" s="551"/>
      <c r="AF350" s="551"/>
      <c r="AG350" s="551"/>
      <c r="AH350" s="551"/>
      <c r="AI350" s="551"/>
      <c r="AJ350" s="551"/>
      <c r="AK350" s="551"/>
      <c r="AL350" s="551"/>
      <c r="AM350" s="551"/>
      <c r="AN350" s="551"/>
      <c r="AO350" s="551"/>
      <c r="AP350" s="551"/>
      <c r="AQ350" s="551"/>
      <c r="AR350" s="551"/>
      <c r="AS350" s="551"/>
      <c r="AT350" s="551"/>
      <c r="AU350" s="551"/>
      <c r="AV350" s="551"/>
      <c r="AW350" s="551"/>
      <c r="AX350" s="551"/>
      <c r="AY350" s="551"/>
      <c r="AZ350" s="551"/>
      <c r="BA350" s="551"/>
      <c r="BB350" s="551"/>
      <c r="BC350" s="551"/>
      <c r="BD350" s="551"/>
      <c r="BE350" s="551"/>
      <c r="BF350" s="551"/>
    </row>
    <row r="351" spans="1:58" ht="12.75" customHeight="1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1"/>
      <c r="P351" s="551"/>
      <c r="Q351" s="551"/>
      <c r="R351" s="551"/>
      <c r="S351" s="551"/>
      <c r="T351" s="551"/>
      <c r="U351" s="551"/>
      <c r="V351" s="551"/>
      <c r="W351" s="551"/>
      <c r="X351" s="551"/>
      <c r="Y351" s="551"/>
      <c r="Z351" s="551"/>
      <c r="AA351" s="551"/>
      <c r="AB351" s="551"/>
      <c r="AC351" s="551"/>
      <c r="AD351" s="551"/>
      <c r="AE351" s="551"/>
      <c r="AF351" s="551"/>
      <c r="AG351" s="551"/>
      <c r="AH351" s="551"/>
      <c r="AI351" s="551"/>
      <c r="AJ351" s="551"/>
      <c r="AK351" s="551"/>
      <c r="AL351" s="551"/>
      <c r="AM351" s="551"/>
      <c r="AN351" s="551"/>
      <c r="AO351" s="551"/>
      <c r="AP351" s="551"/>
      <c r="AQ351" s="551"/>
      <c r="AR351" s="551"/>
      <c r="AS351" s="551"/>
      <c r="AT351" s="551"/>
      <c r="AU351" s="551"/>
      <c r="AV351" s="551"/>
      <c r="AW351" s="551"/>
      <c r="AX351" s="551"/>
      <c r="AY351" s="551"/>
      <c r="AZ351" s="551"/>
      <c r="BA351" s="551"/>
      <c r="BB351" s="551"/>
      <c r="BC351" s="551"/>
      <c r="BD351" s="551"/>
      <c r="BE351" s="551"/>
      <c r="BF351" s="551"/>
    </row>
    <row r="352" spans="1:58" ht="12.75" customHeight="1">
      <c r="A352" s="551"/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51"/>
      <c r="AB352" s="551"/>
      <c r="AC352" s="551"/>
      <c r="AD352" s="551"/>
      <c r="AE352" s="551"/>
      <c r="AF352" s="551"/>
      <c r="AG352" s="551"/>
      <c r="AH352" s="551"/>
      <c r="AI352" s="551"/>
      <c r="AJ352" s="551"/>
      <c r="AK352" s="551"/>
      <c r="AL352" s="551"/>
      <c r="AM352" s="551"/>
      <c r="AN352" s="551"/>
      <c r="AO352" s="551"/>
      <c r="AP352" s="551"/>
      <c r="AQ352" s="551"/>
      <c r="AR352" s="551"/>
      <c r="AS352" s="551"/>
      <c r="AT352" s="551"/>
      <c r="AU352" s="551"/>
      <c r="AV352" s="551"/>
      <c r="AW352" s="551"/>
      <c r="AX352" s="551"/>
      <c r="AY352" s="551"/>
      <c r="AZ352" s="551"/>
      <c r="BA352" s="551"/>
      <c r="BB352" s="551"/>
      <c r="BC352" s="551"/>
      <c r="BD352" s="551"/>
      <c r="BE352" s="551"/>
      <c r="BF352" s="551"/>
    </row>
    <row r="353" spans="1:58" ht="12.75" customHeight="1">
      <c r="A353" s="551"/>
      <c r="B353" s="551"/>
      <c r="C353" s="551"/>
      <c r="D353" s="551"/>
      <c r="E353" s="551"/>
      <c r="F353" s="551"/>
      <c r="G353" s="551"/>
      <c r="H353" s="551"/>
      <c r="I353" s="551"/>
      <c r="J353" s="551"/>
      <c r="K353" s="551"/>
      <c r="L353" s="551"/>
      <c r="M353" s="551"/>
      <c r="N353" s="551"/>
      <c r="O353" s="551"/>
      <c r="P353" s="551"/>
      <c r="Q353" s="551"/>
      <c r="R353" s="551"/>
      <c r="S353" s="551"/>
      <c r="T353" s="551"/>
      <c r="U353" s="551"/>
      <c r="V353" s="551"/>
      <c r="W353" s="551"/>
      <c r="X353" s="551"/>
      <c r="Y353" s="551"/>
      <c r="Z353" s="551"/>
      <c r="AA353" s="551"/>
      <c r="AB353" s="551"/>
      <c r="AC353" s="551"/>
      <c r="AD353" s="551"/>
      <c r="AE353" s="551"/>
      <c r="AF353" s="551"/>
      <c r="AG353" s="551"/>
      <c r="AH353" s="551"/>
      <c r="AI353" s="551"/>
      <c r="AJ353" s="551"/>
      <c r="AK353" s="551"/>
      <c r="AL353" s="551"/>
      <c r="AM353" s="551"/>
      <c r="AN353" s="551"/>
      <c r="AO353" s="551"/>
      <c r="AP353" s="551"/>
      <c r="AQ353" s="551"/>
      <c r="AR353" s="551"/>
      <c r="AS353" s="551"/>
      <c r="AT353" s="551"/>
      <c r="AU353" s="551"/>
      <c r="AV353" s="551"/>
      <c r="AW353" s="551"/>
      <c r="AX353" s="551"/>
      <c r="AY353" s="551"/>
      <c r="AZ353" s="551"/>
      <c r="BA353" s="551"/>
      <c r="BB353" s="551"/>
      <c r="BC353" s="551"/>
      <c r="BD353" s="551"/>
      <c r="BE353" s="551"/>
      <c r="BF353" s="551"/>
    </row>
    <row r="354" spans="1:58" ht="12.75" customHeight="1">
      <c r="A354" s="551"/>
      <c r="B354" s="551"/>
      <c r="C354" s="551"/>
      <c r="D354" s="551"/>
      <c r="E354" s="551"/>
      <c r="F354" s="551"/>
      <c r="G354" s="551"/>
      <c r="H354" s="551"/>
      <c r="I354" s="551"/>
      <c r="J354" s="551"/>
      <c r="K354" s="551"/>
      <c r="L354" s="551"/>
      <c r="M354" s="551"/>
      <c r="N354" s="551"/>
      <c r="O354" s="551"/>
      <c r="P354" s="551"/>
      <c r="Q354" s="551"/>
      <c r="R354" s="551"/>
      <c r="S354" s="551"/>
      <c r="T354" s="551"/>
      <c r="U354" s="551"/>
      <c r="V354" s="551"/>
      <c r="W354" s="551"/>
      <c r="X354" s="551"/>
      <c r="Y354" s="551"/>
      <c r="Z354" s="551"/>
      <c r="AA354" s="551"/>
      <c r="AB354" s="551"/>
      <c r="AC354" s="551"/>
      <c r="AD354" s="551"/>
      <c r="AE354" s="551"/>
      <c r="AF354" s="551"/>
      <c r="AG354" s="551"/>
      <c r="AH354" s="551"/>
      <c r="AI354" s="551"/>
      <c r="AJ354" s="551"/>
      <c r="AK354" s="551"/>
      <c r="AL354" s="551"/>
      <c r="AM354" s="551"/>
      <c r="AN354" s="551"/>
      <c r="AO354" s="551"/>
      <c r="AP354" s="551"/>
      <c r="AQ354" s="551"/>
      <c r="AR354" s="551"/>
      <c r="AS354" s="551"/>
      <c r="AT354" s="551"/>
      <c r="AU354" s="551"/>
      <c r="AV354" s="551"/>
      <c r="AW354" s="551"/>
      <c r="AX354" s="551"/>
      <c r="AY354" s="551"/>
      <c r="AZ354" s="551"/>
      <c r="BA354" s="551"/>
      <c r="BB354" s="551"/>
      <c r="BC354" s="551"/>
      <c r="BD354" s="551"/>
      <c r="BE354" s="551"/>
      <c r="BF354" s="551"/>
    </row>
    <row r="355" spans="1:58" ht="12.75" customHeight="1">
      <c r="A355" s="551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1"/>
      <c r="P355" s="551"/>
      <c r="Q355" s="551"/>
      <c r="R355" s="551"/>
      <c r="S355" s="551"/>
      <c r="T355" s="551"/>
      <c r="U355" s="551"/>
      <c r="V355" s="551"/>
      <c r="W355" s="551"/>
      <c r="X355" s="551"/>
      <c r="Y355" s="551"/>
      <c r="Z355" s="551"/>
      <c r="AA355" s="551"/>
      <c r="AB355" s="551"/>
      <c r="AC355" s="551"/>
      <c r="AD355" s="551"/>
      <c r="AE355" s="551"/>
      <c r="AF355" s="551"/>
      <c r="AG355" s="551"/>
      <c r="AH355" s="551"/>
      <c r="AI355" s="551"/>
      <c r="AJ355" s="551"/>
      <c r="AK355" s="551"/>
      <c r="AL355" s="551"/>
      <c r="AM355" s="551"/>
      <c r="AN355" s="551"/>
      <c r="AO355" s="551"/>
      <c r="AP355" s="551"/>
      <c r="AQ355" s="551"/>
      <c r="AR355" s="551"/>
      <c r="AS355" s="551"/>
      <c r="AT355" s="551"/>
      <c r="AU355" s="551"/>
      <c r="AV355" s="551"/>
      <c r="AW355" s="551"/>
      <c r="AX355" s="551"/>
      <c r="AY355" s="551"/>
      <c r="AZ355" s="551"/>
      <c r="BA355" s="551"/>
      <c r="BB355" s="551"/>
      <c r="BC355" s="551"/>
      <c r="BD355" s="551"/>
      <c r="BE355" s="551"/>
      <c r="BF355" s="551"/>
    </row>
    <row r="356" spans="1:58" ht="12.75" customHeight="1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1"/>
      <c r="P356" s="551"/>
      <c r="Q356" s="551"/>
      <c r="R356" s="551"/>
      <c r="S356" s="551"/>
      <c r="T356" s="551"/>
      <c r="U356" s="551"/>
      <c r="V356" s="551"/>
      <c r="W356" s="551"/>
      <c r="X356" s="551"/>
      <c r="Y356" s="551"/>
      <c r="Z356" s="551"/>
      <c r="AA356" s="551"/>
      <c r="AB356" s="551"/>
      <c r="AC356" s="551"/>
      <c r="AD356" s="551"/>
      <c r="AE356" s="551"/>
      <c r="AF356" s="551"/>
      <c r="AG356" s="551"/>
      <c r="AH356" s="551"/>
      <c r="AI356" s="551"/>
      <c r="AJ356" s="551"/>
      <c r="AK356" s="551"/>
      <c r="AL356" s="551"/>
      <c r="AM356" s="551"/>
      <c r="AN356" s="551"/>
      <c r="AO356" s="551"/>
      <c r="AP356" s="551"/>
      <c r="AQ356" s="551"/>
      <c r="AR356" s="551"/>
      <c r="AS356" s="551"/>
      <c r="AT356" s="551"/>
      <c r="AU356" s="551"/>
      <c r="AV356" s="551"/>
      <c r="AW356" s="551"/>
      <c r="AX356" s="551"/>
      <c r="AY356" s="551"/>
      <c r="AZ356" s="551"/>
      <c r="BA356" s="551"/>
      <c r="BB356" s="551"/>
      <c r="BC356" s="551"/>
      <c r="BD356" s="551"/>
      <c r="BE356" s="551"/>
      <c r="BF356" s="551"/>
    </row>
    <row r="357" spans="1:58" ht="12.75" customHeight="1">
      <c r="A357" s="551"/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51"/>
      <c r="AB357" s="551"/>
      <c r="AC357" s="551"/>
      <c r="AD357" s="551"/>
      <c r="AE357" s="551"/>
      <c r="AF357" s="551"/>
      <c r="AG357" s="551"/>
      <c r="AH357" s="551"/>
      <c r="AI357" s="551"/>
      <c r="AJ357" s="551"/>
      <c r="AK357" s="551"/>
      <c r="AL357" s="551"/>
      <c r="AM357" s="551"/>
      <c r="AN357" s="551"/>
      <c r="AO357" s="551"/>
      <c r="AP357" s="551"/>
      <c r="AQ357" s="551"/>
      <c r="AR357" s="551"/>
      <c r="AS357" s="551"/>
      <c r="AT357" s="551"/>
      <c r="AU357" s="551"/>
      <c r="AV357" s="551"/>
      <c r="AW357" s="551"/>
      <c r="AX357" s="551"/>
      <c r="AY357" s="551"/>
      <c r="AZ357" s="551"/>
      <c r="BA357" s="551"/>
      <c r="BB357" s="551"/>
      <c r="BC357" s="551"/>
      <c r="BD357" s="551"/>
      <c r="BE357" s="551"/>
      <c r="BF357" s="551"/>
    </row>
    <row r="358" spans="1:58" ht="12.75" customHeight="1">
      <c r="A358" s="551"/>
      <c r="B358" s="551"/>
      <c r="C358" s="551"/>
      <c r="D358" s="551"/>
      <c r="E358" s="551"/>
      <c r="F358" s="551"/>
      <c r="G358" s="551"/>
      <c r="H358" s="551"/>
      <c r="I358" s="551"/>
      <c r="J358" s="551"/>
      <c r="K358" s="551"/>
      <c r="L358" s="551"/>
      <c r="M358" s="551"/>
      <c r="N358" s="551"/>
      <c r="O358" s="551"/>
      <c r="P358" s="551"/>
      <c r="Q358" s="551"/>
      <c r="R358" s="551"/>
      <c r="S358" s="551"/>
      <c r="T358" s="551"/>
      <c r="U358" s="551"/>
      <c r="V358" s="551"/>
      <c r="W358" s="551"/>
      <c r="X358" s="551"/>
      <c r="Y358" s="551"/>
      <c r="Z358" s="551"/>
      <c r="AA358" s="551"/>
      <c r="AB358" s="551"/>
      <c r="AC358" s="551"/>
      <c r="AD358" s="551"/>
      <c r="AE358" s="551"/>
      <c r="AF358" s="551"/>
      <c r="AG358" s="551"/>
      <c r="AH358" s="551"/>
      <c r="AI358" s="551"/>
      <c r="AJ358" s="551"/>
      <c r="AK358" s="551"/>
      <c r="AL358" s="551"/>
      <c r="AM358" s="551"/>
      <c r="AN358" s="551"/>
      <c r="AO358" s="551"/>
      <c r="AP358" s="551"/>
      <c r="AQ358" s="551"/>
      <c r="AR358" s="551"/>
      <c r="AS358" s="551"/>
      <c r="AT358" s="551"/>
      <c r="AU358" s="551"/>
      <c r="AV358" s="551"/>
      <c r="AW358" s="551"/>
      <c r="AX358" s="551"/>
      <c r="AY358" s="551"/>
      <c r="AZ358" s="551"/>
      <c r="BA358" s="551"/>
      <c r="BB358" s="551"/>
      <c r="BC358" s="551"/>
      <c r="BD358" s="551"/>
      <c r="BE358" s="551"/>
      <c r="BF358" s="551"/>
    </row>
    <row r="359" spans="1:58" ht="12.75" customHeight="1">
      <c r="A359" s="551"/>
      <c r="B359" s="551"/>
      <c r="C359" s="551"/>
      <c r="D359" s="551"/>
      <c r="E359" s="551"/>
      <c r="F359" s="551"/>
      <c r="G359" s="551"/>
      <c r="H359" s="551"/>
      <c r="I359" s="551"/>
      <c r="J359" s="551"/>
      <c r="K359" s="551"/>
      <c r="L359" s="551"/>
      <c r="M359" s="551"/>
      <c r="N359" s="551"/>
      <c r="O359" s="551"/>
      <c r="P359" s="551"/>
      <c r="Q359" s="551"/>
      <c r="R359" s="551"/>
      <c r="S359" s="551"/>
      <c r="T359" s="551"/>
      <c r="U359" s="551"/>
      <c r="V359" s="551"/>
      <c r="W359" s="551"/>
      <c r="X359" s="551"/>
      <c r="Y359" s="551"/>
      <c r="Z359" s="551"/>
      <c r="AA359" s="551"/>
      <c r="AB359" s="551"/>
      <c r="AC359" s="551"/>
      <c r="AD359" s="551"/>
      <c r="AE359" s="551"/>
      <c r="AF359" s="551"/>
      <c r="AG359" s="551"/>
      <c r="AH359" s="551"/>
      <c r="AI359" s="551"/>
      <c r="AJ359" s="551"/>
      <c r="AK359" s="551"/>
      <c r="AL359" s="551"/>
      <c r="AM359" s="551"/>
      <c r="AN359" s="551"/>
      <c r="AO359" s="551"/>
      <c r="AP359" s="551"/>
      <c r="AQ359" s="551"/>
      <c r="AR359" s="551"/>
      <c r="AS359" s="551"/>
      <c r="AT359" s="551"/>
      <c r="AU359" s="551"/>
      <c r="AV359" s="551"/>
      <c r="AW359" s="551"/>
      <c r="AX359" s="551"/>
      <c r="AY359" s="551"/>
      <c r="AZ359" s="551"/>
      <c r="BA359" s="551"/>
      <c r="BB359" s="551"/>
      <c r="BC359" s="551"/>
      <c r="BD359" s="551"/>
      <c r="BE359" s="551"/>
      <c r="BF359" s="551"/>
    </row>
    <row r="360" spans="1:58" ht="12.75" customHeight="1">
      <c r="A360" s="551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1"/>
      <c r="P360" s="551"/>
      <c r="Q360" s="551"/>
      <c r="R360" s="551"/>
      <c r="S360" s="551"/>
      <c r="T360" s="551"/>
      <c r="U360" s="551"/>
      <c r="V360" s="551"/>
      <c r="W360" s="551"/>
      <c r="X360" s="551"/>
      <c r="Y360" s="551"/>
      <c r="Z360" s="551"/>
      <c r="AA360" s="551"/>
      <c r="AB360" s="551"/>
      <c r="AC360" s="551"/>
      <c r="AD360" s="551"/>
      <c r="AE360" s="551"/>
      <c r="AF360" s="551"/>
      <c r="AG360" s="551"/>
      <c r="AH360" s="551"/>
      <c r="AI360" s="551"/>
      <c r="AJ360" s="551"/>
      <c r="AK360" s="551"/>
      <c r="AL360" s="551"/>
      <c r="AM360" s="551"/>
      <c r="AN360" s="551"/>
      <c r="AO360" s="551"/>
      <c r="AP360" s="551"/>
      <c r="AQ360" s="551"/>
      <c r="AR360" s="551"/>
      <c r="AS360" s="551"/>
      <c r="AT360" s="551"/>
      <c r="AU360" s="551"/>
      <c r="AV360" s="551"/>
      <c r="AW360" s="551"/>
      <c r="AX360" s="551"/>
      <c r="AY360" s="551"/>
      <c r="AZ360" s="551"/>
      <c r="BA360" s="551"/>
      <c r="BB360" s="551"/>
      <c r="BC360" s="551"/>
      <c r="BD360" s="551"/>
      <c r="BE360" s="551"/>
      <c r="BF360" s="551"/>
    </row>
    <row r="361" spans="1:58" ht="12.75" customHeight="1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1"/>
      <c r="P361" s="551"/>
      <c r="Q361" s="551"/>
      <c r="R361" s="551"/>
      <c r="S361" s="551"/>
      <c r="T361" s="551"/>
      <c r="U361" s="551"/>
      <c r="V361" s="551"/>
      <c r="W361" s="551"/>
      <c r="X361" s="551"/>
      <c r="Y361" s="551"/>
      <c r="Z361" s="551"/>
      <c r="AA361" s="551"/>
      <c r="AB361" s="551"/>
      <c r="AC361" s="551"/>
      <c r="AD361" s="551"/>
      <c r="AE361" s="551"/>
      <c r="AF361" s="551"/>
      <c r="AG361" s="551"/>
      <c r="AH361" s="551"/>
      <c r="AI361" s="551"/>
      <c r="AJ361" s="551"/>
      <c r="AK361" s="551"/>
      <c r="AL361" s="551"/>
      <c r="AM361" s="551"/>
      <c r="AN361" s="551"/>
      <c r="AO361" s="551"/>
      <c r="AP361" s="551"/>
      <c r="AQ361" s="551"/>
      <c r="AR361" s="551"/>
      <c r="AS361" s="551"/>
      <c r="AT361" s="551"/>
      <c r="AU361" s="551"/>
      <c r="AV361" s="551"/>
      <c r="AW361" s="551"/>
      <c r="AX361" s="551"/>
      <c r="AY361" s="551"/>
      <c r="AZ361" s="551"/>
      <c r="BA361" s="551"/>
      <c r="BB361" s="551"/>
      <c r="BC361" s="551"/>
      <c r="BD361" s="551"/>
      <c r="BE361" s="551"/>
      <c r="BF361" s="551"/>
    </row>
    <row r="362" spans="1:58" ht="12.75" customHeight="1">
      <c r="A362" s="551"/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51"/>
      <c r="AB362" s="551"/>
      <c r="AC362" s="551"/>
      <c r="AD362" s="551"/>
      <c r="AE362" s="551"/>
      <c r="AF362" s="551"/>
      <c r="AG362" s="551"/>
      <c r="AH362" s="551"/>
      <c r="AI362" s="551"/>
      <c r="AJ362" s="551"/>
      <c r="AK362" s="551"/>
      <c r="AL362" s="551"/>
      <c r="AM362" s="551"/>
      <c r="AN362" s="551"/>
      <c r="AO362" s="551"/>
      <c r="AP362" s="551"/>
      <c r="AQ362" s="551"/>
      <c r="AR362" s="551"/>
      <c r="AS362" s="551"/>
      <c r="AT362" s="551"/>
      <c r="AU362" s="551"/>
      <c r="AV362" s="551"/>
      <c r="AW362" s="551"/>
      <c r="AX362" s="551"/>
      <c r="AY362" s="551"/>
      <c r="AZ362" s="551"/>
      <c r="BA362" s="551"/>
      <c r="BB362" s="551"/>
      <c r="BC362" s="551"/>
      <c r="BD362" s="551"/>
      <c r="BE362" s="551"/>
      <c r="BF362" s="551"/>
    </row>
    <row r="363" spans="1:58" ht="12.75" customHeight="1">
      <c r="A363" s="551"/>
      <c r="B363" s="551"/>
      <c r="C363" s="551"/>
      <c r="D363" s="551"/>
      <c r="E363" s="551"/>
      <c r="F363" s="551"/>
      <c r="G363" s="551"/>
      <c r="H363" s="551"/>
      <c r="I363" s="551"/>
      <c r="J363" s="551"/>
      <c r="K363" s="551"/>
      <c r="L363" s="551"/>
      <c r="M363" s="551"/>
      <c r="N363" s="551"/>
      <c r="O363" s="551"/>
      <c r="P363" s="551"/>
      <c r="Q363" s="551"/>
      <c r="R363" s="551"/>
      <c r="S363" s="551"/>
      <c r="T363" s="551"/>
      <c r="U363" s="551"/>
      <c r="V363" s="551"/>
      <c r="W363" s="551"/>
      <c r="X363" s="551"/>
      <c r="Y363" s="551"/>
      <c r="Z363" s="551"/>
      <c r="AA363" s="551"/>
      <c r="AB363" s="551"/>
      <c r="AC363" s="551"/>
      <c r="AD363" s="551"/>
      <c r="AE363" s="551"/>
      <c r="AF363" s="551"/>
      <c r="AG363" s="551"/>
      <c r="AH363" s="551"/>
      <c r="AI363" s="551"/>
      <c r="AJ363" s="551"/>
      <c r="AK363" s="551"/>
      <c r="AL363" s="551"/>
      <c r="AM363" s="551"/>
      <c r="AN363" s="551"/>
      <c r="AO363" s="551"/>
      <c r="AP363" s="551"/>
      <c r="AQ363" s="551"/>
      <c r="AR363" s="551"/>
      <c r="AS363" s="551"/>
      <c r="AT363" s="551"/>
      <c r="AU363" s="551"/>
      <c r="AV363" s="551"/>
      <c r="AW363" s="551"/>
      <c r="AX363" s="551"/>
      <c r="AY363" s="551"/>
      <c r="AZ363" s="551"/>
      <c r="BA363" s="551"/>
      <c r="BB363" s="551"/>
      <c r="BC363" s="551"/>
      <c r="BD363" s="551"/>
      <c r="BE363" s="551"/>
      <c r="BF363" s="551"/>
    </row>
    <row r="364" spans="1:58" ht="12.75" customHeight="1">
      <c r="A364" s="551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1"/>
      <c r="P364" s="551"/>
      <c r="Q364" s="551"/>
      <c r="R364" s="551"/>
      <c r="S364" s="551"/>
      <c r="T364" s="551"/>
      <c r="U364" s="551"/>
      <c r="V364" s="551"/>
      <c r="W364" s="551"/>
      <c r="X364" s="551"/>
      <c r="Y364" s="551"/>
      <c r="Z364" s="551"/>
      <c r="AA364" s="551"/>
      <c r="AB364" s="551"/>
      <c r="AC364" s="551"/>
      <c r="AD364" s="551"/>
      <c r="AE364" s="551"/>
      <c r="AF364" s="551"/>
      <c r="AG364" s="551"/>
      <c r="AH364" s="551"/>
      <c r="AI364" s="551"/>
      <c r="AJ364" s="551"/>
      <c r="AK364" s="551"/>
      <c r="AL364" s="551"/>
      <c r="AM364" s="551"/>
      <c r="AN364" s="551"/>
      <c r="AO364" s="551"/>
      <c r="AP364" s="551"/>
      <c r="AQ364" s="551"/>
      <c r="AR364" s="551"/>
      <c r="AS364" s="551"/>
      <c r="AT364" s="551"/>
      <c r="AU364" s="551"/>
      <c r="AV364" s="551"/>
      <c r="AW364" s="551"/>
      <c r="AX364" s="551"/>
      <c r="AY364" s="551"/>
      <c r="AZ364" s="551"/>
      <c r="BA364" s="551"/>
      <c r="BB364" s="551"/>
      <c r="BC364" s="551"/>
      <c r="BD364" s="551"/>
      <c r="BE364" s="551"/>
      <c r="BF364" s="551"/>
    </row>
    <row r="365" spans="1:58" ht="12.75" customHeight="1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1"/>
      <c r="P365" s="551"/>
      <c r="Q365" s="551"/>
      <c r="R365" s="551"/>
      <c r="S365" s="551"/>
      <c r="T365" s="551"/>
      <c r="U365" s="551"/>
      <c r="V365" s="551"/>
      <c r="W365" s="551"/>
      <c r="X365" s="551"/>
      <c r="Y365" s="551"/>
      <c r="Z365" s="551"/>
      <c r="AA365" s="551"/>
      <c r="AB365" s="551"/>
      <c r="AC365" s="551"/>
      <c r="AD365" s="551"/>
      <c r="AE365" s="551"/>
      <c r="AF365" s="551"/>
      <c r="AG365" s="551"/>
      <c r="AH365" s="551"/>
      <c r="AI365" s="551"/>
      <c r="AJ365" s="551"/>
      <c r="AK365" s="551"/>
      <c r="AL365" s="551"/>
      <c r="AM365" s="551"/>
      <c r="AN365" s="551"/>
      <c r="AO365" s="551"/>
      <c r="AP365" s="551"/>
      <c r="AQ365" s="551"/>
      <c r="AR365" s="551"/>
      <c r="AS365" s="551"/>
      <c r="AT365" s="551"/>
      <c r="AU365" s="551"/>
      <c r="AV365" s="551"/>
      <c r="AW365" s="551"/>
      <c r="AX365" s="551"/>
      <c r="AY365" s="551"/>
      <c r="AZ365" s="551"/>
      <c r="BA365" s="551"/>
      <c r="BB365" s="551"/>
      <c r="BC365" s="551"/>
      <c r="BD365" s="551"/>
      <c r="BE365" s="551"/>
      <c r="BF365" s="551"/>
    </row>
    <row r="366" spans="1:58" ht="12.75" customHeight="1">
      <c r="A366" s="551"/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51"/>
      <c r="AB366" s="551"/>
      <c r="AC366" s="551"/>
      <c r="AD366" s="551"/>
      <c r="AE366" s="551"/>
      <c r="AF366" s="551"/>
      <c r="AG366" s="551"/>
      <c r="AH366" s="551"/>
      <c r="AI366" s="551"/>
      <c r="AJ366" s="551"/>
      <c r="AK366" s="551"/>
      <c r="AL366" s="551"/>
      <c r="AM366" s="551"/>
      <c r="AN366" s="551"/>
      <c r="AO366" s="551"/>
      <c r="AP366" s="551"/>
      <c r="AQ366" s="551"/>
      <c r="AR366" s="551"/>
      <c r="AS366" s="551"/>
      <c r="AT366" s="551"/>
      <c r="AU366" s="551"/>
      <c r="AV366" s="551"/>
      <c r="AW366" s="551"/>
      <c r="AX366" s="551"/>
      <c r="AY366" s="551"/>
      <c r="AZ366" s="551"/>
      <c r="BA366" s="551"/>
      <c r="BB366" s="551"/>
      <c r="BC366" s="551"/>
      <c r="BD366" s="551"/>
      <c r="BE366" s="551"/>
      <c r="BF366" s="551"/>
    </row>
    <row r="367" spans="1:58" ht="12.75" customHeight="1">
      <c r="A367" s="551"/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51"/>
      <c r="AB367" s="551"/>
      <c r="AC367" s="551"/>
      <c r="AD367" s="551"/>
      <c r="AE367" s="551"/>
      <c r="AF367" s="551"/>
      <c r="AG367" s="551"/>
      <c r="AH367" s="551"/>
      <c r="AI367" s="551"/>
      <c r="AJ367" s="551"/>
      <c r="AK367" s="551"/>
      <c r="AL367" s="551"/>
      <c r="AM367" s="551"/>
      <c r="AN367" s="551"/>
      <c r="AO367" s="551"/>
      <c r="AP367" s="551"/>
      <c r="AQ367" s="551"/>
      <c r="AR367" s="551"/>
      <c r="AS367" s="551"/>
      <c r="AT367" s="551"/>
      <c r="AU367" s="551"/>
      <c r="AV367" s="551"/>
      <c r="AW367" s="551"/>
      <c r="AX367" s="551"/>
      <c r="AY367" s="551"/>
      <c r="AZ367" s="551"/>
      <c r="BA367" s="551"/>
      <c r="BB367" s="551"/>
      <c r="BC367" s="551"/>
      <c r="BD367" s="551"/>
      <c r="BE367" s="551"/>
      <c r="BF367" s="551"/>
    </row>
    <row r="368" spans="1:58" ht="12.75" customHeight="1">
      <c r="A368" s="551"/>
      <c r="B368" s="551"/>
      <c r="C368" s="551"/>
      <c r="D368" s="551"/>
      <c r="E368" s="551"/>
      <c r="F368" s="551"/>
      <c r="G368" s="551"/>
      <c r="H368" s="551"/>
      <c r="I368" s="551"/>
      <c r="J368" s="551"/>
      <c r="K368" s="551"/>
      <c r="L368" s="551"/>
      <c r="M368" s="551"/>
      <c r="N368" s="551"/>
      <c r="O368" s="551"/>
      <c r="P368" s="551"/>
      <c r="Q368" s="551"/>
      <c r="R368" s="551"/>
      <c r="S368" s="551"/>
      <c r="T368" s="551"/>
      <c r="U368" s="551"/>
      <c r="V368" s="551"/>
      <c r="W368" s="551"/>
      <c r="X368" s="551"/>
      <c r="Y368" s="551"/>
      <c r="Z368" s="551"/>
      <c r="AA368" s="551"/>
      <c r="AB368" s="551"/>
      <c r="AC368" s="551"/>
      <c r="AD368" s="551"/>
      <c r="AE368" s="551"/>
      <c r="AF368" s="551"/>
      <c r="AG368" s="551"/>
      <c r="AH368" s="551"/>
      <c r="AI368" s="551"/>
      <c r="AJ368" s="551"/>
      <c r="AK368" s="551"/>
      <c r="AL368" s="551"/>
      <c r="AM368" s="551"/>
      <c r="AN368" s="551"/>
      <c r="AO368" s="551"/>
      <c r="AP368" s="551"/>
      <c r="AQ368" s="551"/>
      <c r="AR368" s="551"/>
      <c r="AS368" s="551"/>
      <c r="AT368" s="551"/>
      <c r="AU368" s="551"/>
      <c r="AV368" s="551"/>
      <c r="AW368" s="551"/>
      <c r="AX368" s="551"/>
      <c r="AY368" s="551"/>
      <c r="AZ368" s="551"/>
      <c r="BA368" s="551"/>
      <c r="BB368" s="551"/>
      <c r="BC368" s="551"/>
      <c r="BD368" s="551"/>
      <c r="BE368" s="551"/>
      <c r="BF368" s="551"/>
    </row>
    <row r="369" spans="1:58" ht="12.75" customHeight="1">
      <c r="A369" s="551"/>
      <c r="B369" s="551"/>
      <c r="C369" s="551"/>
      <c r="D369" s="551"/>
      <c r="E369" s="551"/>
      <c r="F369" s="551"/>
      <c r="G369" s="551"/>
      <c r="H369" s="551"/>
      <c r="I369" s="551"/>
      <c r="J369" s="551"/>
      <c r="K369" s="551"/>
      <c r="L369" s="551"/>
      <c r="M369" s="551"/>
      <c r="N369" s="551"/>
      <c r="O369" s="551"/>
      <c r="P369" s="551"/>
      <c r="Q369" s="551"/>
      <c r="R369" s="551"/>
      <c r="S369" s="551"/>
      <c r="T369" s="551"/>
      <c r="U369" s="551"/>
      <c r="V369" s="551"/>
      <c r="W369" s="551"/>
      <c r="X369" s="551"/>
      <c r="Y369" s="551"/>
      <c r="Z369" s="551"/>
      <c r="AA369" s="551"/>
      <c r="AB369" s="551"/>
      <c r="AC369" s="551"/>
      <c r="AD369" s="551"/>
      <c r="AE369" s="551"/>
      <c r="AF369" s="551"/>
      <c r="AG369" s="551"/>
      <c r="AH369" s="551"/>
      <c r="AI369" s="551"/>
      <c r="AJ369" s="551"/>
      <c r="AK369" s="551"/>
      <c r="AL369" s="551"/>
      <c r="AM369" s="551"/>
      <c r="AN369" s="551"/>
      <c r="AO369" s="551"/>
      <c r="AP369" s="551"/>
      <c r="AQ369" s="551"/>
      <c r="AR369" s="551"/>
      <c r="AS369" s="551"/>
      <c r="AT369" s="551"/>
      <c r="AU369" s="551"/>
      <c r="AV369" s="551"/>
      <c r="AW369" s="551"/>
      <c r="AX369" s="551"/>
      <c r="AY369" s="551"/>
      <c r="AZ369" s="551"/>
      <c r="BA369" s="551"/>
      <c r="BB369" s="551"/>
      <c r="BC369" s="551"/>
      <c r="BD369" s="551"/>
      <c r="BE369" s="551"/>
      <c r="BF369" s="551"/>
    </row>
    <row r="370" spans="1:58" ht="12.75" customHeight="1">
      <c r="A370" s="551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1"/>
      <c r="P370" s="551"/>
      <c r="Q370" s="551"/>
      <c r="R370" s="551"/>
      <c r="S370" s="551"/>
      <c r="T370" s="551"/>
      <c r="U370" s="551"/>
      <c r="V370" s="551"/>
      <c r="W370" s="551"/>
      <c r="X370" s="551"/>
      <c r="Y370" s="551"/>
      <c r="Z370" s="551"/>
      <c r="AA370" s="551"/>
      <c r="AB370" s="551"/>
      <c r="AC370" s="551"/>
      <c r="AD370" s="551"/>
      <c r="AE370" s="551"/>
      <c r="AF370" s="551"/>
      <c r="AG370" s="551"/>
      <c r="AH370" s="551"/>
      <c r="AI370" s="551"/>
      <c r="AJ370" s="551"/>
      <c r="AK370" s="551"/>
      <c r="AL370" s="551"/>
      <c r="AM370" s="551"/>
      <c r="AN370" s="551"/>
      <c r="AO370" s="551"/>
      <c r="AP370" s="551"/>
      <c r="AQ370" s="551"/>
      <c r="AR370" s="551"/>
      <c r="AS370" s="551"/>
      <c r="AT370" s="551"/>
      <c r="AU370" s="551"/>
      <c r="AV370" s="551"/>
      <c r="AW370" s="551"/>
      <c r="AX370" s="551"/>
      <c r="AY370" s="551"/>
      <c r="AZ370" s="551"/>
      <c r="BA370" s="551"/>
      <c r="BB370" s="551"/>
      <c r="BC370" s="551"/>
      <c r="BD370" s="551"/>
      <c r="BE370" s="551"/>
      <c r="BF370" s="551"/>
    </row>
    <row r="371" spans="1:58" ht="12.75" customHeight="1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1"/>
      <c r="P371" s="551"/>
      <c r="Q371" s="551"/>
      <c r="R371" s="551"/>
      <c r="S371" s="551"/>
      <c r="T371" s="551"/>
      <c r="U371" s="551"/>
      <c r="V371" s="551"/>
      <c r="W371" s="551"/>
      <c r="X371" s="551"/>
      <c r="Y371" s="551"/>
      <c r="Z371" s="551"/>
      <c r="AA371" s="551"/>
      <c r="AB371" s="551"/>
      <c r="AC371" s="551"/>
      <c r="AD371" s="551"/>
      <c r="AE371" s="551"/>
      <c r="AF371" s="551"/>
      <c r="AG371" s="551"/>
      <c r="AH371" s="551"/>
      <c r="AI371" s="551"/>
      <c r="AJ371" s="551"/>
      <c r="AK371" s="551"/>
      <c r="AL371" s="551"/>
      <c r="AM371" s="551"/>
      <c r="AN371" s="551"/>
      <c r="AO371" s="551"/>
      <c r="AP371" s="551"/>
      <c r="AQ371" s="551"/>
      <c r="AR371" s="551"/>
      <c r="AS371" s="551"/>
      <c r="AT371" s="551"/>
      <c r="AU371" s="551"/>
      <c r="AV371" s="551"/>
      <c r="AW371" s="551"/>
      <c r="AX371" s="551"/>
      <c r="AY371" s="551"/>
      <c r="AZ371" s="551"/>
      <c r="BA371" s="551"/>
      <c r="BB371" s="551"/>
      <c r="BC371" s="551"/>
      <c r="BD371" s="551"/>
      <c r="BE371" s="551"/>
      <c r="BF371" s="551"/>
    </row>
    <row r="372" spans="1:58" ht="12.75" customHeight="1">
      <c r="A372" s="551"/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51"/>
      <c r="AB372" s="551"/>
      <c r="AC372" s="551"/>
      <c r="AD372" s="551"/>
      <c r="AE372" s="551"/>
      <c r="AF372" s="551"/>
      <c r="AG372" s="551"/>
      <c r="AH372" s="551"/>
      <c r="AI372" s="551"/>
      <c r="AJ372" s="551"/>
      <c r="AK372" s="551"/>
      <c r="AL372" s="551"/>
      <c r="AM372" s="551"/>
      <c r="AN372" s="551"/>
      <c r="AO372" s="551"/>
      <c r="AP372" s="551"/>
      <c r="AQ372" s="551"/>
      <c r="AR372" s="551"/>
      <c r="AS372" s="551"/>
      <c r="AT372" s="551"/>
      <c r="AU372" s="551"/>
      <c r="AV372" s="551"/>
      <c r="AW372" s="551"/>
      <c r="AX372" s="551"/>
      <c r="AY372" s="551"/>
      <c r="AZ372" s="551"/>
      <c r="BA372" s="551"/>
      <c r="BB372" s="551"/>
      <c r="BC372" s="551"/>
      <c r="BD372" s="551"/>
      <c r="BE372" s="551"/>
      <c r="BF372" s="551"/>
    </row>
    <row r="373" spans="1:58" ht="12.75" customHeight="1">
      <c r="A373" s="551"/>
      <c r="B373" s="551"/>
      <c r="C373" s="551"/>
      <c r="D373" s="551"/>
      <c r="E373" s="551"/>
      <c r="F373" s="551"/>
      <c r="G373" s="551"/>
      <c r="H373" s="551"/>
      <c r="I373" s="551"/>
      <c r="J373" s="551"/>
      <c r="K373" s="551"/>
      <c r="L373" s="551"/>
      <c r="M373" s="551"/>
      <c r="N373" s="551"/>
      <c r="O373" s="551"/>
      <c r="P373" s="551"/>
      <c r="Q373" s="551"/>
      <c r="R373" s="551"/>
      <c r="S373" s="551"/>
      <c r="T373" s="551"/>
      <c r="U373" s="551"/>
      <c r="V373" s="551"/>
      <c r="W373" s="551"/>
      <c r="X373" s="551"/>
      <c r="Y373" s="551"/>
      <c r="Z373" s="551"/>
      <c r="AA373" s="551"/>
      <c r="AB373" s="551"/>
      <c r="AC373" s="551"/>
      <c r="AD373" s="551"/>
      <c r="AE373" s="551"/>
      <c r="AF373" s="551"/>
      <c r="AG373" s="551"/>
      <c r="AH373" s="551"/>
      <c r="AI373" s="551"/>
      <c r="AJ373" s="551"/>
      <c r="AK373" s="551"/>
      <c r="AL373" s="551"/>
      <c r="AM373" s="551"/>
      <c r="AN373" s="551"/>
      <c r="AO373" s="551"/>
      <c r="AP373" s="551"/>
      <c r="AQ373" s="551"/>
      <c r="AR373" s="551"/>
      <c r="AS373" s="551"/>
      <c r="AT373" s="551"/>
      <c r="AU373" s="551"/>
      <c r="AV373" s="551"/>
      <c r="AW373" s="551"/>
      <c r="AX373" s="551"/>
      <c r="AY373" s="551"/>
      <c r="AZ373" s="551"/>
      <c r="BA373" s="551"/>
      <c r="BB373" s="551"/>
      <c r="BC373" s="551"/>
      <c r="BD373" s="551"/>
      <c r="BE373" s="551"/>
      <c r="BF373" s="551"/>
    </row>
    <row r="374" spans="1:58" ht="12.75" customHeight="1">
      <c r="A374" s="551"/>
      <c r="B374" s="551"/>
      <c r="C374" s="551"/>
      <c r="D374" s="551"/>
      <c r="E374" s="551"/>
      <c r="F374" s="551"/>
      <c r="G374" s="551"/>
      <c r="H374" s="551"/>
      <c r="I374" s="551"/>
      <c r="J374" s="551"/>
      <c r="K374" s="551"/>
      <c r="L374" s="551"/>
      <c r="M374" s="551"/>
      <c r="N374" s="551"/>
      <c r="O374" s="551"/>
      <c r="P374" s="551"/>
      <c r="Q374" s="551"/>
      <c r="R374" s="551"/>
      <c r="S374" s="551"/>
      <c r="T374" s="551"/>
      <c r="U374" s="551"/>
      <c r="V374" s="551"/>
      <c r="W374" s="551"/>
      <c r="X374" s="551"/>
      <c r="Y374" s="551"/>
      <c r="Z374" s="551"/>
      <c r="AA374" s="551"/>
      <c r="AB374" s="551"/>
      <c r="AC374" s="551"/>
      <c r="AD374" s="551"/>
      <c r="AE374" s="551"/>
      <c r="AF374" s="551"/>
      <c r="AG374" s="551"/>
      <c r="AH374" s="551"/>
      <c r="AI374" s="551"/>
      <c r="AJ374" s="551"/>
      <c r="AK374" s="551"/>
      <c r="AL374" s="551"/>
      <c r="AM374" s="551"/>
      <c r="AN374" s="551"/>
      <c r="AO374" s="551"/>
      <c r="AP374" s="551"/>
      <c r="AQ374" s="551"/>
      <c r="AR374" s="551"/>
      <c r="AS374" s="551"/>
      <c r="AT374" s="551"/>
      <c r="AU374" s="551"/>
      <c r="AV374" s="551"/>
      <c r="AW374" s="551"/>
      <c r="AX374" s="551"/>
      <c r="AY374" s="551"/>
      <c r="AZ374" s="551"/>
      <c r="BA374" s="551"/>
      <c r="BB374" s="551"/>
      <c r="BC374" s="551"/>
      <c r="BD374" s="551"/>
      <c r="BE374" s="551"/>
      <c r="BF374" s="551"/>
    </row>
    <row r="375" spans="1:58" ht="12.75" customHeight="1">
      <c r="A375" s="551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1"/>
      <c r="P375" s="551"/>
      <c r="Q375" s="551"/>
      <c r="R375" s="551"/>
      <c r="S375" s="551"/>
      <c r="T375" s="551"/>
      <c r="U375" s="551"/>
      <c r="V375" s="551"/>
      <c r="W375" s="551"/>
      <c r="X375" s="551"/>
      <c r="Y375" s="551"/>
      <c r="Z375" s="551"/>
      <c r="AA375" s="551"/>
      <c r="AB375" s="551"/>
      <c r="AC375" s="551"/>
      <c r="AD375" s="551"/>
      <c r="AE375" s="551"/>
      <c r="AF375" s="551"/>
      <c r="AG375" s="551"/>
      <c r="AH375" s="551"/>
      <c r="AI375" s="551"/>
      <c r="AJ375" s="551"/>
      <c r="AK375" s="551"/>
      <c r="AL375" s="551"/>
      <c r="AM375" s="551"/>
      <c r="AN375" s="551"/>
      <c r="AO375" s="551"/>
      <c r="AP375" s="551"/>
      <c r="AQ375" s="551"/>
      <c r="AR375" s="551"/>
      <c r="AS375" s="551"/>
      <c r="AT375" s="551"/>
      <c r="AU375" s="551"/>
      <c r="AV375" s="551"/>
      <c r="AW375" s="551"/>
      <c r="AX375" s="551"/>
      <c r="AY375" s="551"/>
      <c r="AZ375" s="551"/>
      <c r="BA375" s="551"/>
      <c r="BB375" s="551"/>
      <c r="BC375" s="551"/>
      <c r="BD375" s="551"/>
      <c r="BE375" s="551"/>
      <c r="BF375" s="551"/>
    </row>
    <row r="376" spans="1:58" ht="12.75" customHeight="1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1"/>
      <c r="P376" s="551"/>
      <c r="Q376" s="551"/>
      <c r="R376" s="551"/>
      <c r="S376" s="551"/>
      <c r="T376" s="551"/>
      <c r="U376" s="551"/>
      <c r="V376" s="551"/>
      <c r="W376" s="551"/>
      <c r="X376" s="551"/>
      <c r="Y376" s="551"/>
      <c r="Z376" s="551"/>
      <c r="AA376" s="551"/>
      <c r="AB376" s="551"/>
      <c r="AC376" s="551"/>
      <c r="AD376" s="551"/>
      <c r="AE376" s="551"/>
      <c r="AF376" s="551"/>
      <c r="AG376" s="551"/>
      <c r="AH376" s="551"/>
      <c r="AI376" s="551"/>
      <c r="AJ376" s="551"/>
      <c r="AK376" s="551"/>
      <c r="AL376" s="551"/>
      <c r="AM376" s="551"/>
      <c r="AN376" s="551"/>
      <c r="AO376" s="551"/>
      <c r="AP376" s="551"/>
      <c r="AQ376" s="551"/>
      <c r="AR376" s="551"/>
      <c r="AS376" s="551"/>
      <c r="AT376" s="551"/>
      <c r="AU376" s="551"/>
      <c r="AV376" s="551"/>
      <c r="AW376" s="551"/>
      <c r="AX376" s="551"/>
      <c r="AY376" s="551"/>
      <c r="AZ376" s="551"/>
      <c r="BA376" s="551"/>
      <c r="BB376" s="551"/>
      <c r="BC376" s="551"/>
      <c r="BD376" s="551"/>
      <c r="BE376" s="551"/>
      <c r="BF376" s="551"/>
    </row>
    <row r="377" spans="1:58" ht="12.75" customHeight="1">
      <c r="A377" s="551"/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51"/>
      <c r="AB377" s="551"/>
      <c r="AC377" s="551"/>
      <c r="AD377" s="551"/>
      <c r="AE377" s="551"/>
      <c r="AF377" s="551"/>
      <c r="AG377" s="551"/>
      <c r="AH377" s="551"/>
      <c r="AI377" s="551"/>
      <c r="AJ377" s="551"/>
      <c r="AK377" s="551"/>
      <c r="AL377" s="551"/>
      <c r="AM377" s="551"/>
      <c r="AN377" s="551"/>
      <c r="AO377" s="551"/>
      <c r="AP377" s="551"/>
      <c r="AQ377" s="551"/>
      <c r="AR377" s="551"/>
      <c r="AS377" s="551"/>
      <c r="AT377" s="551"/>
      <c r="AU377" s="551"/>
      <c r="AV377" s="551"/>
      <c r="AW377" s="551"/>
      <c r="AX377" s="551"/>
      <c r="AY377" s="551"/>
      <c r="AZ377" s="551"/>
      <c r="BA377" s="551"/>
      <c r="BB377" s="551"/>
      <c r="BC377" s="551"/>
      <c r="BD377" s="551"/>
      <c r="BE377" s="551"/>
      <c r="BF377" s="551"/>
    </row>
    <row r="378" spans="1:58" ht="12.75" customHeight="1">
      <c r="A378" s="551"/>
      <c r="B378" s="551"/>
      <c r="C378" s="551"/>
      <c r="D378" s="551"/>
      <c r="E378" s="551"/>
      <c r="F378" s="551"/>
      <c r="G378" s="551"/>
      <c r="H378" s="551"/>
      <c r="I378" s="551"/>
      <c r="J378" s="551"/>
      <c r="K378" s="551"/>
      <c r="L378" s="551"/>
      <c r="M378" s="551"/>
      <c r="N378" s="551"/>
      <c r="O378" s="551"/>
      <c r="P378" s="551"/>
      <c r="Q378" s="551"/>
      <c r="R378" s="551"/>
      <c r="S378" s="551"/>
      <c r="T378" s="551"/>
      <c r="U378" s="551"/>
      <c r="V378" s="551"/>
      <c r="W378" s="551"/>
      <c r="X378" s="551"/>
      <c r="Y378" s="551"/>
      <c r="Z378" s="551"/>
      <c r="AA378" s="551"/>
      <c r="AB378" s="551"/>
      <c r="AC378" s="551"/>
      <c r="AD378" s="551"/>
      <c r="AE378" s="551"/>
      <c r="AF378" s="551"/>
      <c r="AG378" s="551"/>
      <c r="AH378" s="551"/>
      <c r="AI378" s="551"/>
      <c r="AJ378" s="551"/>
      <c r="AK378" s="551"/>
      <c r="AL378" s="551"/>
      <c r="AM378" s="551"/>
      <c r="AN378" s="551"/>
      <c r="AO378" s="551"/>
      <c r="AP378" s="551"/>
      <c r="AQ378" s="551"/>
      <c r="AR378" s="551"/>
      <c r="AS378" s="551"/>
      <c r="AT378" s="551"/>
      <c r="AU378" s="551"/>
      <c r="AV378" s="551"/>
      <c r="AW378" s="551"/>
      <c r="AX378" s="551"/>
      <c r="AY378" s="551"/>
      <c r="AZ378" s="551"/>
      <c r="BA378" s="551"/>
      <c r="BB378" s="551"/>
      <c r="BC378" s="551"/>
      <c r="BD378" s="551"/>
      <c r="BE378" s="551"/>
      <c r="BF378" s="551"/>
    </row>
    <row r="379" spans="1:58" ht="12.75" customHeight="1">
      <c r="A379" s="551"/>
      <c r="B379" s="551"/>
      <c r="C379" s="551"/>
      <c r="D379" s="551"/>
      <c r="E379" s="551"/>
      <c r="F379" s="551"/>
      <c r="G379" s="551"/>
      <c r="H379" s="551"/>
      <c r="I379" s="551"/>
      <c r="J379" s="551"/>
      <c r="K379" s="551"/>
      <c r="L379" s="551"/>
      <c r="M379" s="551"/>
      <c r="N379" s="551"/>
      <c r="O379" s="551"/>
      <c r="P379" s="551"/>
      <c r="Q379" s="551"/>
      <c r="R379" s="551"/>
      <c r="S379" s="551"/>
      <c r="T379" s="551"/>
      <c r="U379" s="551"/>
      <c r="V379" s="551"/>
      <c r="W379" s="551"/>
      <c r="X379" s="551"/>
      <c r="Y379" s="551"/>
      <c r="Z379" s="551"/>
      <c r="AA379" s="551"/>
      <c r="AB379" s="551"/>
      <c r="AC379" s="551"/>
      <c r="AD379" s="551"/>
      <c r="AE379" s="551"/>
      <c r="AF379" s="551"/>
      <c r="AG379" s="551"/>
      <c r="AH379" s="551"/>
      <c r="AI379" s="551"/>
      <c r="AJ379" s="551"/>
      <c r="AK379" s="551"/>
      <c r="AL379" s="551"/>
      <c r="AM379" s="551"/>
      <c r="AN379" s="551"/>
      <c r="AO379" s="551"/>
      <c r="AP379" s="551"/>
      <c r="AQ379" s="551"/>
      <c r="AR379" s="551"/>
      <c r="AS379" s="551"/>
      <c r="AT379" s="551"/>
      <c r="AU379" s="551"/>
      <c r="AV379" s="551"/>
      <c r="AW379" s="551"/>
      <c r="AX379" s="551"/>
      <c r="AY379" s="551"/>
      <c r="AZ379" s="551"/>
      <c r="BA379" s="551"/>
      <c r="BB379" s="551"/>
      <c r="BC379" s="551"/>
      <c r="BD379" s="551"/>
      <c r="BE379" s="551"/>
      <c r="BF379" s="551"/>
    </row>
    <row r="380" spans="1:58" ht="12.75" customHeight="1">
      <c r="A380" s="551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1"/>
      <c r="P380" s="551"/>
      <c r="Q380" s="551"/>
      <c r="R380" s="551"/>
      <c r="S380" s="551"/>
      <c r="T380" s="551"/>
      <c r="U380" s="551"/>
      <c r="V380" s="551"/>
      <c r="W380" s="551"/>
      <c r="X380" s="551"/>
      <c r="Y380" s="551"/>
      <c r="Z380" s="551"/>
      <c r="AA380" s="551"/>
      <c r="AB380" s="551"/>
      <c r="AC380" s="551"/>
      <c r="AD380" s="551"/>
      <c r="AE380" s="551"/>
      <c r="AF380" s="551"/>
      <c r="AG380" s="551"/>
      <c r="AH380" s="551"/>
      <c r="AI380" s="551"/>
      <c r="AJ380" s="551"/>
      <c r="AK380" s="551"/>
      <c r="AL380" s="551"/>
      <c r="AM380" s="551"/>
      <c r="AN380" s="551"/>
      <c r="AO380" s="551"/>
      <c r="AP380" s="551"/>
      <c r="AQ380" s="551"/>
      <c r="AR380" s="551"/>
      <c r="AS380" s="551"/>
      <c r="AT380" s="551"/>
      <c r="AU380" s="551"/>
      <c r="AV380" s="551"/>
      <c r="AW380" s="551"/>
      <c r="AX380" s="551"/>
      <c r="AY380" s="551"/>
      <c r="AZ380" s="551"/>
      <c r="BA380" s="551"/>
      <c r="BB380" s="551"/>
      <c r="BC380" s="551"/>
      <c r="BD380" s="551"/>
      <c r="BE380" s="551"/>
      <c r="BF380" s="551"/>
    </row>
    <row r="381" spans="1:58" ht="12.75" customHeight="1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1"/>
      <c r="P381" s="551"/>
      <c r="Q381" s="551"/>
      <c r="R381" s="551"/>
      <c r="S381" s="551"/>
      <c r="T381" s="551"/>
      <c r="U381" s="551"/>
      <c r="V381" s="551"/>
      <c r="W381" s="551"/>
      <c r="X381" s="551"/>
      <c r="Y381" s="551"/>
      <c r="Z381" s="551"/>
      <c r="AA381" s="551"/>
      <c r="AB381" s="551"/>
      <c r="AC381" s="551"/>
      <c r="AD381" s="551"/>
      <c r="AE381" s="551"/>
      <c r="AF381" s="551"/>
      <c r="AG381" s="551"/>
      <c r="AH381" s="551"/>
      <c r="AI381" s="551"/>
      <c r="AJ381" s="551"/>
      <c r="AK381" s="551"/>
      <c r="AL381" s="551"/>
      <c r="AM381" s="551"/>
      <c r="AN381" s="551"/>
      <c r="AO381" s="551"/>
      <c r="AP381" s="551"/>
      <c r="AQ381" s="551"/>
      <c r="AR381" s="551"/>
      <c r="AS381" s="551"/>
      <c r="AT381" s="551"/>
      <c r="AU381" s="551"/>
      <c r="AV381" s="551"/>
      <c r="AW381" s="551"/>
      <c r="AX381" s="551"/>
      <c r="AY381" s="551"/>
      <c r="AZ381" s="551"/>
      <c r="BA381" s="551"/>
      <c r="BB381" s="551"/>
      <c r="BC381" s="551"/>
      <c r="BD381" s="551"/>
      <c r="BE381" s="551"/>
      <c r="BF381" s="551"/>
    </row>
    <row r="382" spans="1:58" ht="12.75" customHeight="1">
      <c r="A382" s="551"/>
      <c r="B382" s="551"/>
      <c r="C382" s="551"/>
      <c r="D382" s="551"/>
      <c r="E382" s="551"/>
      <c r="F382" s="551"/>
      <c r="G382" s="551"/>
      <c r="H382" s="551"/>
      <c r="I382" s="551"/>
      <c r="J382" s="551"/>
      <c r="K382" s="551"/>
      <c r="L382" s="551"/>
      <c r="M382" s="551"/>
      <c r="N382" s="551"/>
      <c r="O382" s="551"/>
      <c r="P382" s="551"/>
      <c r="Q382" s="551"/>
      <c r="R382" s="551"/>
      <c r="S382" s="551"/>
      <c r="T382" s="551"/>
      <c r="U382" s="551"/>
      <c r="V382" s="551"/>
      <c r="W382" s="551"/>
      <c r="X382" s="551"/>
      <c r="Y382" s="551"/>
      <c r="Z382" s="551"/>
      <c r="AA382" s="551"/>
      <c r="AB382" s="551"/>
      <c r="AC382" s="551"/>
      <c r="AD382" s="551"/>
      <c r="AE382" s="551"/>
      <c r="AF382" s="551"/>
      <c r="AG382" s="551"/>
      <c r="AH382" s="551"/>
      <c r="AI382" s="551"/>
      <c r="AJ382" s="551"/>
      <c r="AK382" s="551"/>
      <c r="AL382" s="551"/>
      <c r="AM382" s="551"/>
      <c r="AN382" s="551"/>
      <c r="AO382" s="551"/>
      <c r="AP382" s="551"/>
      <c r="AQ382" s="551"/>
      <c r="AR382" s="551"/>
      <c r="AS382" s="551"/>
      <c r="AT382" s="551"/>
      <c r="AU382" s="551"/>
      <c r="AV382" s="551"/>
      <c r="AW382" s="551"/>
      <c r="AX382" s="551"/>
      <c r="AY382" s="551"/>
      <c r="AZ382" s="551"/>
      <c r="BA382" s="551"/>
      <c r="BB382" s="551"/>
      <c r="BC382" s="551"/>
      <c r="BD382" s="551"/>
      <c r="BE382" s="551"/>
      <c r="BF382" s="551"/>
    </row>
    <row r="383" spans="1:58" ht="12.75" customHeight="1">
      <c r="A383" s="551"/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51"/>
      <c r="AB383" s="551"/>
      <c r="AC383" s="551"/>
      <c r="AD383" s="551"/>
      <c r="AE383" s="551"/>
      <c r="AF383" s="551"/>
      <c r="AG383" s="551"/>
      <c r="AH383" s="551"/>
      <c r="AI383" s="551"/>
      <c r="AJ383" s="551"/>
      <c r="AK383" s="551"/>
      <c r="AL383" s="551"/>
      <c r="AM383" s="551"/>
      <c r="AN383" s="551"/>
      <c r="AO383" s="551"/>
      <c r="AP383" s="551"/>
      <c r="AQ383" s="551"/>
      <c r="AR383" s="551"/>
      <c r="AS383" s="551"/>
      <c r="AT383" s="551"/>
      <c r="AU383" s="551"/>
      <c r="AV383" s="551"/>
      <c r="AW383" s="551"/>
      <c r="AX383" s="551"/>
      <c r="AY383" s="551"/>
      <c r="AZ383" s="551"/>
      <c r="BA383" s="551"/>
      <c r="BB383" s="551"/>
      <c r="BC383" s="551"/>
      <c r="BD383" s="551"/>
      <c r="BE383" s="551"/>
      <c r="BF383" s="551"/>
    </row>
    <row r="384" spans="1:58" ht="12.75" customHeight="1">
      <c r="A384" s="551"/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51"/>
      <c r="AB384" s="551"/>
      <c r="AC384" s="551"/>
      <c r="AD384" s="551"/>
      <c r="AE384" s="551"/>
      <c r="AF384" s="551"/>
      <c r="AG384" s="551"/>
      <c r="AH384" s="551"/>
      <c r="AI384" s="551"/>
      <c r="AJ384" s="551"/>
      <c r="AK384" s="551"/>
      <c r="AL384" s="551"/>
      <c r="AM384" s="551"/>
      <c r="AN384" s="551"/>
      <c r="AO384" s="551"/>
      <c r="AP384" s="551"/>
      <c r="AQ384" s="551"/>
      <c r="AR384" s="551"/>
      <c r="AS384" s="551"/>
      <c r="AT384" s="551"/>
      <c r="AU384" s="551"/>
      <c r="AV384" s="551"/>
      <c r="AW384" s="551"/>
      <c r="AX384" s="551"/>
      <c r="AY384" s="551"/>
      <c r="AZ384" s="551"/>
      <c r="BA384" s="551"/>
      <c r="BB384" s="551"/>
      <c r="BC384" s="551"/>
      <c r="BD384" s="551"/>
      <c r="BE384" s="551"/>
      <c r="BF384" s="551"/>
    </row>
    <row r="385" spans="1:58" ht="12.75" customHeight="1">
      <c r="A385" s="551"/>
      <c r="B385" s="551"/>
      <c r="C385" s="551"/>
      <c r="D385" s="551"/>
      <c r="E385" s="551"/>
      <c r="F385" s="551"/>
      <c r="G385" s="551"/>
      <c r="H385" s="551"/>
      <c r="I385" s="551"/>
      <c r="J385" s="551"/>
      <c r="K385" s="551"/>
      <c r="L385" s="551"/>
      <c r="M385" s="551"/>
      <c r="N385" s="551"/>
      <c r="O385" s="551"/>
      <c r="P385" s="551"/>
      <c r="Q385" s="551"/>
      <c r="R385" s="551"/>
      <c r="S385" s="551"/>
      <c r="T385" s="551"/>
      <c r="U385" s="551"/>
      <c r="V385" s="551"/>
      <c r="W385" s="551"/>
      <c r="X385" s="551"/>
      <c r="Y385" s="551"/>
      <c r="Z385" s="551"/>
      <c r="AA385" s="551"/>
      <c r="AB385" s="551"/>
      <c r="AC385" s="551"/>
      <c r="AD385" s="551"/>
      <c r="AE385" s="551"/>
      <c r="AF385" s="551"/>
      <c r="AG385" s="551"/>
      <c r="AH385" s="551"/>
      <c r="AI385" s="551"/>
      <c r="AJ385" s="551"/>
      <c r="AK385" s="551"/>
      <c r="AL385" s="551"/>
      <c r="AM385" s="551"/>
      <c r="AN385" s="551"/>
      <c r="AO385" s="551"/>
      <c r="AP385" s="551"/>
      <c r="AQ385" s="551"/>
      <c r="AR385" s="551"/>
      <c r="AS385" s="551"/>
      <c r="AT385" s="551"/>
      <c r="AU385" s="551"/>
      <c r="AV385" s="551"/>
      <c r="AW385" s="551"/>
      <c r="AX385" s="551"/>
      <c r="AY385" s="551"/>
      <c r="AZ385" s="551"/>
      <c r="BA385" s="551"/>
      <c r="BB385" s="551"/>
      <c r="BC385" s="551"/>
      <c r="BD385" s="551"/>
      <c r="BE385" s="551"/>
      <c r="BF385" s="551"/>
    </row>
    <row r="386" spans="1:58" ht="12.75" customHeight="1">
      <c r="A386" s="551"/>
      <c r="B386" s="551"/>
      <c r="C386" s="551"/>
      <c r="D386" s="551"/>
      <c r="E386" s="551"/>
      <c r="F386" s="551"/>
      <c r="G386" s="551"/>
      <c r="H386" s="551"/>
      <c r="I386" s="551"/>
      <c r="J386" s="551"/>
      <c r="K386" s="551"/>
      <c r="L386" s="551"/>
      <c r="M386" s="551"/>
      <c r="N386" s="551"/>
      <c r="O386" s="551"/>
      <c r="P386" s="551"/>
      <c r="Q386" s="551"/>
      <c r="R386" s="551"/>
      <c r="S386" s="551"/>
      <c r="T386" s="551"/>
      <c r="U386" s="551"/>
      <c r="V386" s="551"/>
      <c r="W386" s="551"/>
      <c r="X386" s="551"/>
      <c r="Y386" s="551"/>
      <c r="Z386" s="551"/>
      <c r="AA386" s="551"/>
      <c r="AB386" s="551"/>
      <c r="AC386" s="551"/>
      <c r="AD386" s="551"/>
      <c r="AE386" s="551"/>
      <c r="AF386" s="551"/>
      <c r="AG386" s="551"/>
      <c r="AH386" s="551"/>
      <c r="AI386" s="551"/>
      <c r="AJ386" s="551"/>
      <c r="AK386" s="551"/>
      <c r="AL386" s="551"/>
      <c r="AM386" s="551"/>
      <c r="AN386" s="551"/>
      <c r="AO386" s="551"/>
      <c r="AP386" s="551"/>
      <c r="AQ386" s="551"/>
      <c r="AR386" s="551"/>
      <c r="AS386" s="551"/>
      <c r="AT386" s="551"/>
      <c r="AU386" s="551"/>
      <c r="AV386" s="551"/>
      <c r="AW386" s="551"/>
      <c r="AX386" s="551"/>
      <c r="AY386" s="551"/>
      <c r="AZ386" s="551"/>
      <c r="BA386" s="551"/>
      <c r="BB386" s="551"/>
      <c r="BC386" s="551"/>
      <c r="BD386" s="551"/>
      <c r="BE386" s="551"/>
      <c r="BF386" s="551"/>
    </row>
    <row r="387" spans="1:58" ht="12.75" customHeight="1">
      <c r="A387" s="551"/>
      <c r="B387" s="551"/>
      <c r="C387" s="551"/>
      <c r="D387" s="551"/>
      <c r="E387" s="551"/>
      <c r="F387" s="551"/>
      <c r="G387" s="551"/>
      <c r="H387" s="551"/>
      <c r="I387" s="551"/>
      <c r="J387" s="551"/>
      <c r="K387" s="551"/>
      <c r="L387" s="551"/>
      <c r="M387" s="551"/>
      <c r="N387" s="551"/>
      <c r="O387" s="551"/>
      <c r="P387" s="551"/>
      <c r="Q387" s="551"/>
      <c r="R387" s="551"/>
      <c r="S387" s="551"/>
      <c r="T387" s="551"/>
      <c r="U387" s="551"/>
      <c r="V387" s="551"/>
      <c r="W387" s="551"/>
      <c r="X387" s="551"/>
      <c r="Y387" s="551"/>
      <c r="Z387" s="551"/>
      <c r="AA387" s="551"/>
      <c r="AB387" s="551"/>
      <c r="AC387" s="551"/>
      <c r="AD387" s="551"/>
      <c r="AE387" s="551"/>
      <c r="AF387" s="551"/>
      <c r="AG387" s="551"/>
      <c r="AH387" s="551"/>
      <c r="AI387" s="551"/>
      <c r="AJ387" s="551"/>
      <c r="AK387" s="551"/>
      <c r="AL387" s="551"/>
      <c r="AM387" s="551"/>
      <c r="AN387" s="551"/>
      <c r="AO387" s="551"/>
      <c r="AP387" s="551"/>
      <c r="AQ387" s="551"/>
      <c r="AR387" s="551"/>
      <c r="AS387" s="551"/>
      <c r="AT387" s="551"/>
      <c r="AU387" s="551"/>
      <c r="AV387" s="551"/>
      <c r="AW387" s="551"/>
      <c r="AX387" s="551"/>
      <c r="AY387" s="551"/>
      <c r="AZ387" s="551"/>
      <c r="BA387" s="551"/>
      <c r="BB387" s="551"/>
      <c r="BC387" s="551"/>
      <c r="BD387" s="551"/>
      <c r="BE387" s="551"/>
      <c r="BF387" s="551"/>
    </row>
    <row r="388" spans="1:58" ht="12.75" customHeight="1">
      <c r="A388" s="551"/>
      <c r="B388" s="551"/>
      <c r="C388" s="551"/>
      <c r="D388" s="551"/>
      <c r="E388" s="551"/>
      <c r="F388" s="551"/>
      <c r="G388" s="551"/>
      <c r="H388" s="551"/>
      <c r="I388" s="551"/>
      <c r="J388" s="551"/>
      <c r="K388" s="551"/>
      <c r="L388" s="551"/>
      <c r="M388" s="551"/>
      <c r="N388" s="551"/>
      <c r="O388" s="551"/>
      <c r="P388" s="551"/>
      <c r="Q388" s="551"/>
      <c r="R388" s="551"/>
      <c r="S388" s="551"/>
      <c r="T388" s="551"/>
      <c r="U388" s="551"/>
      <c r="V388" s="551"/>
      <c r="W388" s="551"/>
      <c r="X388" s="551"/>
      <c r="Y388" s="551"/>
      <c r="Z388" s="551"/>
      <c r="AA388" s="551"/>
      <c r="AB388" s="551"/>
      <c r="AC388" s="551"/>
      <c r="AD388" s="551"/>
      <c r="AE388" s="551"/>
      <c r="AF388" s="551"/>
      <c r="AG388" s="551"/>
      <c r="AH388" s="551"/>
      <c r="AI388" s="551"/>
      <c r="AJ388" s="551"/>
      <c r="AK388" s="551"/>
      <c r="AL388" s="551"/>
      <c r="AM388" s="551"/>
      <c r="AN388" s="551"/>
      <c r="AO388" s="551"/>
      <c r="AP388" s="551"/>
      <c r="AQ388" s="551"/>
      <c r="AR388" s="551"/>
      <c r="AS388" s="551"/>
      <c r="AT388" s="551"/>
      <c r="AU388" s="551"/>
      <c r="AV388" s="551"/>
      <c r="AW388" s="551"/>
      <c r="AX388" s="551"/>
      <c r="AY388" s="551"/>
      <c r="AZ388" s="551"/>
      <c r="BA388" s="551"/>
      <c r="BB388" s="551"/>
      <c r="BC388" s="551"/>
      <c r="BD388" s="551"/>
      <c r="BE388" s="551"/>
      <c r="BF388" s="551"/>
    </row>
    <row r="389" spans="1:58" ht="12.75" customHeight="1">
      <c r="A389" s="551"/>
      <c r="B389" s="551"/>
      <c r="C389" s="551"/>
      <c r="D389" s="551"/>
      <c r="E389" s="551"/>
      <c r="F389" s="551"/>
      <c r="G389" s="551"/>
      <c r="H389" s="551"/>
      <c r="I389" s="551"/>
      <c r="J389" s="551"/>
      <c r="K389" s="551"/>
      <c r="L389" s="551"/>
      <c r="M389" s="551"/>
      <c r="N389" s="551"/>
      <c r="O389" s="551"/>
      <c r="P389" s="551"/>
      <c r="Q389" s="551"/>
      <c r="R389" s="551"/>
      <c r="S389" s="551"/>
      <c r="T389" s="551"/>
      <c r="U389" s="551"/>
      <c r="V389" s="551"/>
      <c r="W389" s="551"/>
      <c r="X389" s="551"/>
      <c r="Y389" s="551"/>
      <c r="Z389" s="551"/>
      <c r="AA389" s="551"/>
      <c r="AB389" s="551"/>
      <c r="AC389" s="551"/>
      <c r="AD389" s="551"/>
      <c r="AE389" s="551"/>
      <c r="AF389" s="551"/>
      <c r="AG389" s="551"/>
      <c r="AH389" s="551"/>
      <c r="AI389" s="551"/>
      <c r="AJ389" s="551"/>
      <c r="AK389" s="551"/>
      <c r="AL389" s="551"/>
      <c r="AM389" s="551"/>
      <c r="AN389" s="551"/>
      <c r="AO389" s="551"/>
      <c r="AP389" s="551"/>
      <c r="AQ389" s="551"/>
      <c r="AR389" s="551"/>
      <c r="AS389" s="551"/>
      <c r="AT389" s="551"/>
      <c r="AU389" s="551"/>
      <c r="AV389" s="551"/>
      <c r="AW389" s="551"/>
      <c r="AX389" s="551"/>
      <c r="AY389" s="551"/>
      <c r="AZ389" s="551"/>
      <c r="BA389" s="551"/>
      <c r="BB389" s="551"/>
      <c r="BC389" s="551"/>
      <c r="BD389" s="551"/>
      <c r="BE389" s="551"/>
      <c r="BF389" s="551"/>
    </row>
    <row r="390" spans="1:58" ht="12.75" customHeight="1">
      <c r="A390" s="551"/>
      <c r="B390" s="551"/>
      <c r="C390" s="551"/>
      <c r="D390" s="551"/>
      <c r="E390" s="551"/>
      <c r="F390" s="551"/>
      <c r="G390" s="551"/>
      <c r="H390" s="551"/>
      <c r="I390" s="551"/>
      <c r="J390" s="551"/>
      <c r="K390" s="551"/>
      <c r="L390" s="551"/>
      <c r="M390" s="551"/>
      <c r="N390" s="551"/>
      <c r="O390" s="551"/>
      <c r="P390" s="551"/>
      <c r="Q390" s="551"/>
      <c r="R390" s="551"/>
      <c r="S390" s="551"/>
      <c r="T390" s="551"/>
      <c r="U390" s="551"/>
      <c r="V390" s="551"/>
      <c r="W390" s="551"/>
      <c r="X390" s="551"/>
      <c r="Y390" s="551"/>
      <c r="Z390" s="551"/>
      <c r="AA390" s="551"/>
      <c r="AB390" s="551"/>
      <c r="AC390" s="551"/>
      <c r="AD390" s="551"/>
      <c r="AE390" s="551"/>
      <c r="AF390" s="551"/>
      <c r="AG390" s="551"/>
      <c r="AH390" s="551"/>
      <c r="AI390" s="551"/>
      <c r="AJ390" s="551"/>
      <c r="AK390" s="551"/>
      <c r="AL390" s="551"/>
      <c r="AM390" s="551"/>
      <c r="AN390" s="551"/>
      <c r="AO390" s="551"/>
      <c r="AP390" s="551"/>
      <c r="AQ390" s="551"/>
      <c r="AR390" s="551"/>
      <c r="AS390" s="551"/>
      <c r="AT390" s="551"/>
      <c r="AU390" s="551"/>
      <c r="AV390" s="551"/>
      <c r="AW390" s="551"/>
      <c r="AX390" s="551"/>
      <c r="AY390" s="551"/>
      <c r="AZ390" s="551"/>
      <c r="BA390" s="551"/>
      <c r="BB390" s="551"/>
      <c r="BC390" s="551"/>
      <c r="BD390" s="551"/>
      <c r="BE390" s="551"/>
      <c r="BF390" s="551"/>
    </row>
    <row r="391" spans="1:58" ht="12.75" customHeight="1">
      <c r="A391" s="551"/>
      <c r="B391" s="551"/>
      <c r="C391" s="551"/>
      <c r="D391" s="551"/>
      <c r="E391" s="551"/>
      <c r="F391" s="551"/>
      <c r="G391" s="551"/>
      <c r="H391" s="551"/>
      <c r="I391" s="551"/>
      <c r="J391" s="551"/>
      <c r="K391" s="551"/>
      <c r="L391" s="551"/>
      <c r="M391" s="551"/>
      <c r="N391" s="551"/>
      <c r="O391" s="551"/>
      <c r="P391" s="551"/>
      <c r="Q391" s="551"/>
      <c r="R391" s="551"/>
      <c r="S391" s="551"/>
      <c r="T391" s="551"/>
      <c r="U391" s="551"/>
      <c r="V391" s="551"/>
      <c r="W391" s="551"/>
      <c r="X391" s="551"/>
      <c r="Y391" s="551"/>
      <c r="Z391" s="551"/>
      <c r="AA391" s="551"/>
      <c r="AB391" s="551"/>
      <c r="AC391" s="551"/>
      <c r="AD391" s="551"/>
      <c r="AE391" s="551"/>
      <c r="AF391" s="551"/>
      <c r="AG391" s="551"/>
      <c r="AH391" s="551"/>
      <c r="AI391" s="551"/>
      <c r="AJ391" s="551"/>
      <c r="AK391" s="551"/>
      <c r="AL391" s="551"/>
      <c r="AM391" s="551"/>
      <c r="AN391" s="551"/>
      <c r="AO391" s="551"/>
      <c r="AP391" s="551"/>
      <c r="AQ391" s="551"/>
      <c r="AR391" s="551"/>
      <c r="AS391" s="551"/>
      <c r="AT391" s="551"/>
      <c r="AU391" s="551"/>
      <c r="AV391" s="551"/>
      <c r="AW391" s="551"/>
      <c r="AX391" s="551"/>
      <c r="AY391" s="551"/>
      <c r="AZ391" s="551"/>
      <c r="BA391" s="551"/>
      <c r="BB391" s="551"/>
      <c r="BC391" s="551"/>
      <c r="BD391" s="551"/>
      <c r="BE391" s="551"/>
      <c r="BF391" s="551"/>
    </row>
    <row r="392" spans="1:58" ht="12.75" customHeight="1">
      <c r="A392" s="551"/>
      <c r="B392" s="551"/>
      <c r="C392" s="551"/>
      <c r="D392" s="551"/>
      <c r="E392" s="551"/>
      <c r="F392" s="551"/>
      <c r="G392" s="551"/>
      <c r="H392" s="551"/>
      <c r="I392" s="551"/>
      <c r="J392" s="551"/>
      <c r="K392" s="551"/>
      <c r="L392" s="551"/>
      <c r="M392" s="551"/>
      <c r="N392" s="551"/>
      <c r="O392" s="551"/>
      <c r="P392" s="551"/>
      <c r="Q392" s="551"/>
      <c r="R392" s="551"/>
      <c r="S392" s="551"/>
      <c r="T392" s="551"/>
      <c r="U392" s="551"/>
      <c r="V392" s="551"/>
      <c r="W392" s="551"/>
      <c r="X392" s="551"/>
      <c r="Y392" s="551"/>
      <c r="Z392" s="551"/>
      <c r="AA392" s="551"/>
      <c r="AB392" s="551"/>
      <c r="AC392" s="551"/>
      <c r="AD392" s="551"/>
      <c r="AE392" s="551"/>
      <c r="AF392" s="551"/>
      <c r="AG392" s="551"/>
      <c r="AH392" s="551"/>
      <c r="AI392" s="551"/>
      <c r="AJ392" s="551"/>
      <c r="AK392" s="551"/>
      <c r="AL392" s="551"/>
      <c r="AM392" s="551"/>
      <c r="AN392" s="551"/>
      <c r="AO392" s="551"/>
      <c r="AP392" s="551"/>
      <c r="AQ392" s="551"/>
      <c r="AR392" s="551"/>
      <c r="AS392" s="551"/>
      <c r="AT392" s="551"/>
      <c r="AU392" s="551"/>
      <c r="AV392" s="551"/>
      <c r="AW392" s="551"/>
      <c r="AX392" s="551"/>
      <c r="AY392" s="551"/>
      <c r="AZ392" s="551"/>
      <c r="BA392" s="551"/>
      <c r="BB392" s="551"/>
      <c r="BC392" s="551"/>
      <c r="BD392" s="551"/>
      <c r="BE392" s="551"/>
      <c r="BF392" s="551"/>
    </row>
    <row r="393" spans="1:58" ht="12.75" customHeight="1">
      <c r="A393" s="551"/>
      <c r="B393" s="551"/>
      <c r="C393" s="551"/>
      <c r="D393" s="551"/>
      <c r="E393" s="551"/>
      <c r="F393" s="551"/>
      <c r="G393" s="551"/>
      <c r="H393" s="551"/>
      <c r="I393" s="551"/>
      <c r="J393" s="551"/>
      <c r="K393" s="551"/>
      <c r="L393" s="551"/>
      <c r="M393" s="551"/>
      <c r="N393" s="551"/>
      <c r="O393" s="551"/>
      <c r="P393" s="551"/>
      <c r="Q393" s="551"/>
      <c r="R393" s="551"/>
      <c r="S393" s="551"/>
      <c r="T393" s="551"/>
      <c r="U393" s="551"/>
      <c r="V393" s="551"/>
      <c r="W393" s="551"/>
      <c r="X393" s="551"/>
      <c r="Y393" s="551"/>
      <c r="Z393" s="551"/>
      <c r="AA393" s="551"/>
      <c r="AB393" s="551"/>
      <c r="AC393" s="551"/>
      <c r="AD393" s="551"/>
      <c r="AE393" s="551"/>
      <c r="AF393" s="551"/>
      <c r="AG393" s="551"/>
      <c r="AH393" s="551"/>
      <c r="AI393" s="551"/>
      <c r="AJ393" s="551"/>
      <c r="AK393" s="551"/>
      <c r="AL393" s="551"/>
      <c r="AM393" s="551"/>
      <c r="AN393" s="551"/>
      <c r="AO393" s="551"/>
      <c r="AP393" s="551"/>
      <c r="AQ393" s="551"/>
      <c r="AR393" s="551"/>
      <c r="AS393" s="551"/>
      <c r="AT393" s="551"/>
      <c r="AU393" s="551"/>
      <c r="AV393" s="551"/>
      <c r="AW393" s="551"/>
      <c r="AX393" s="551"/>
      <c r="AY393" s="551"/>
      <c r="AZ393" s="551"/>
      <c r="BA393" s="551"/>
      <c r="BB393" s="551"/>
      <c r="BC393" s="551"/>
      <c r="BD393" s="551"/>
      <c r="BE393" s="551"/>
      <c r="BF393" s="551"/>
    </row>
    <row r="394" spans="1:58" ht="12.75" customHeight="1">
      <c r="A394" s="551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1"/>
      <c r="P394" s="551"/>
      <c r="Q394" s="551"/>
      <c r="R394" s="551"/>
      <c r="S394" s="551"/>
      <c r="T394" s="551"/>
      <c r="U394" s="551"/>
      <c r="V394" s="551"/>
      <c r="W394" s="551"/>
      <c r="X394" s="551"/>
      <c r="Y394" s="551"/>
      <c r="Z394" s="551"/>
      <c r="AA394" s="551"/>
      <c r="AB394" s="551"/>
      <c r="AC394" s="551"/>
      <c r="AD394" s="551"/>
      <c r="AE394" s="551"/>
      <c r="AF394" s="551"/>
      <c r="AG394" s="551"/>
      <c r="AH394" s="551"/>
      <c r="AI394" s="551"/>
      <c r="AJ394" s="551"/>
      <c r="AK394" s="551"/>
      <c r="AL394" s="551"/>
      <c r="AM394" s="551"/>
      <c r="AN394" s="551"/>
      <c r="AO394" s="551"/>
      <c r="AP394" s="551"/>
      <c r="AQ394" s="551"/>
      <c r="AR394" s="551"/>
      <c r="AS394" s="551"/>
      <c r="AT394" s="551"/>
      <c r="AU394" s="551"/>
      <c r="AV394" s="551"/>
      <c r="AW394" s="551"/>
      <c r="AX394" s="551"/>
      <c r="AY394" s="551"/>
      <c r="AZ394" s="551"/>
      <c r="BA394" s="551"/>
      <c r="BB394" s="551"/>
      <c r="BC394" s="551"/>
      <c r="BD394" s="551"/>
      <c r="BE394" s="551"/>
      <c r="BF394" s="551"/>
    </row>
    <row r="395" spans="1:58" ht="12.75" customHeight="1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1"/>
      <c r="P395" s="551"/>
      <c r="Q395" s="551"/>
      <c r="R395" s="551"/>
      <c r="S395" s="551"/>
      <c r="T395" s="551"/>
      <c r="U395" s="551"/>
      <c r="V395" s="551"/>
      <c r="W395" s="551"/>
      <c r="X395" s="551"/>
      <c r="Y395" s="551"/>
      <c r="Z395" s="551"/>
      <c r="AA395" s="551"/>
      <c r="AB395" s="551"/>
      <c r="AC395" s="551"/>
      <c r="AD395" s="551"/>
      <c r="AE395" s="551"/>
      <c r="AF395" s="551"/>
      <c r="AG395" s="551"/>
      <c r="AH395" s="551"/>
      <c r="AI395" s="551"/>
      <c r="AJ395" s="551"/>
      <c r="AK395" s="551"/>
      <c r="AL395" s="551"/>
      <c r="AM395" s="551"/>
      <c r="AN395" s="551"/>
      <c r="AO395" s="551"/>
      <c r="AP395" s="551"/>
      <c r="AQ395" s="551"/>
      <c r="AR395" s="551"/>
      <c r="AS395" s="551"/>
      <c r="AT395" s="551"/>
      <c r="AU395" s="551"/>
      <c r="AV395" s="551"/>
      <c r="AW395" s="551"/>
      <c r="AX395" s="551"/>
      <c r="AY395" s="551"/>
      <c r="AZ395" s="551"/>
      <c r="BA395" s="551"/>
      <c r="BB395" s="551"/>
      <c r="BC395" s="551"/>
      <c r="BD395" s="551"/>
      <c r="BE395" s="551"/>
      <c r="BF395" s="551"/>
    </row>
    <row r="396" spans="1:58" ht="12.75" customHeight="1">
      <c r="A396" s="551"/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51"/>
      <c r="AB396" s="551"/>
      <c r="AC396" s="551"/>
      <c r="AD396" s="551"/>
      <c r="AE396" s="551"/>
      <c r="AF396" s="551"/>
      <c r="AG396" s="551"/>
      <c r="AH396" s="551"/>
      <c r="AI396" s="551"/>
      <c r="AJ396" s="551"/>
      <c r="AK396" s="551"/>
      <c r="AL396" s="551"/>
      <c r="AM396" s="551"/>
      <c r="AN396" s="551"/>
      <c r="AO396" s="551"/>
      <c r="AP396" s="551"/>
      <c r="AQ396" s="551"/>
      <c r="AR396" s="551"/>
      <c r="AS396" s="551"/>
      <c r="AT396" s="551"/>
      <c r="AU396" s="551"/>
      <c r="AV396" s="551"/>
      <c r="AW396" s="551"/>
      <c r="AX396" s="551"/>
      <c r="AY396" s="551"/>
      <c r="AZ396" s="551"/>
      <c r="BA396" s="551"/>
      <c r="BB396" s="551"/>
      <c r="BC396" s="551"/>
      <c r="BD396" s="551"/>
      <c r="BE396" s="551"/>
      <c r="BF396" s="551"/>
    </row>
    <row r="397" spans="1:58" ht="12.75" customHeight="1">
      <c r="A397" s="551"/>
      <c r="B397" s="551"/>
      <c r="C397" s="551"/>
      <c r="D397" s="551"/>
      <c r="E397" s="551"/>
      <c r="F397" s="551"/>
      <c r="G397" s="551"/>
      <c r="H397" s="551"/>
      <c r="I397" s="551"/>
      <c r="J397" s="551"/>
      <c r="K397" s="551"/>
      <c r="L397" s="551"/>
      <c r="M397" s="551"/>
      <c r="N397" s="551"/>
      <c r="O397" s="551"/>
      <c r="P397" s="551"/>
      <c r="Q397" s="551"/>
      <c r="R397" s="551"/>
      <c r="S397" s="551"/>
      <c r="T397" s="551"/>
      <c r="U397" s="551"/>
      <c r="V397" s="551"/>
      <c r="W397" s="551"/>
      <c r="X397" s="551"/>
      <c r="Y397" s="551"/>
      <c r="Z397" s="551"/>
      <c r="AA397" s="551"/>
      <c r="AB397" s="551"/>
      <c r="AC397" s="551"/>
      <c r="AD397" s="551"/>
      <c r="AE397" s="551"/>
      <c r="AF397" s="551"/>
      <c r="AG397" s="551"/>
      <c r="AH397" s="551"/>
      <c r="AI397" s="551"/>
      <c r="AJ397" s="551"/>
      <c r="AK397" s="551"/>
      <c r="AL397" s="551"/>
      <c r="AM397" s="551"/>
      <c r="AN397" s="551"/>
      <c r="AO397" s="551"/>
      <c r="AP397" s="551"/>
      <c r="AQ397" s="551"/>
      <c r="AR397" s="551"/>
      <c r="AS397" s="551"/>
      <c r="AT397" s="551"/>
      <c r="AU397" s="551"/>
      <c r="AV397" s="551"/>
      <c r="AW397" s="551"/>
      <c r="AX397" s="551"/>
      <c r="AY397" s="551"/>
      <c r="AZ397" s="551"/>
      <c r="BA397" s="551"/>
      <c r="BB397" s="551"/>
      <c r="BC397" s="551"/>
      <c r="BD397" s="551"/>
      <c r="BE397" s="551"/>
      <c r="BF397" s="551"/>
    </row>
    <row r="398" spans="1:58" ht="12.75" customHeight="1">
      <c r="A398" s="551"/>
      <c r="B398" s="551"/>
      <c r="C398" s="551"/>
      <c r="D398" s="551"/>
      <c r="E398" s="551"/>
      <c r="F398" s="551"/>
      <c r="G398" s="551"/>
      <c r="H398" s="551"/>
      <c r="I398" s="551"/>
      <c r="J398" s="551"/>
      <c r="K398" s="551"/>
      <c r="L398" s="551"/>
      <c r="M398" s="551"/>
      <c r="N398" s="551"/>
      <c r="O398" s="551"/>
      <c r="P398" s="551"/>
      <c r="Q398" s="551"/>
      <c r="R398" s="551"/>
      <c r="S398" s="551"/>
      <c r="T398" s="551"/>
      <c r="U398" s="551"/>
      <c r="V398" s="551"/>
      <c r="W398" s="551"/>
      <c r="X398" s="551"/>
      <c r="Y398" s="551"/>
      <c r="Z398" s="551"/>
      <c r="AA398" s="551"/>
      <c r="AB398" s="551"/>
      <c r="AC398" s="551"/>
      <c r="AD398" s="551"/>
      <c r="AE398" s="551"/>
      <c r="AF398" s="551"/>
      <c r="AG398" s="551"/>
      <c r="AH398" s="551"/>
      <c r="AI398" s="551"/>
      <c r="AJ398" s="551"/>
      <c r="AK398" s="551"/>
      <c r="AL398" s="551"/>
      <c r="AM398" s="551"/>
      <c r="AN398" s="551"/>
      <c r="AO398" s="551"/>
      <c r="AP398" s="551"/>
      <c r="AQ398" s="551"/>
      <c r="AR398" s="551"/>
      <c r="AS398" s="551"/>
      <c r="AT398" s="551"/>
      <c r="AU398" s="551"/>
      <c r="AV398" s="551"/>
      <c r="AW398" s="551"/>
      <c r="AX398" s="551"/>
      <c r="AY398" s="551"/>
      <c r="AZ398" s="551"/>
      <c r="BA398" s="551"/>
      <c r="BB398" s="551"/>
      <c r="BC398" s="551"/>
      <c r="BD398" s="551"/>
      <c r="BE398" s="551"/>
      <c r="BF398" s="551"/>
    </row>
    <row r="399" spans="1:58" ht="12.75" customHeight="1">
      <c r="A399" s="551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1"/>
      <c r="P399" s="551"/>
      <c r="Q399" s="551"/>
      <c r="R399" s="551"/>
      <c r="S399" s="551"/>
      <c r="T399" s="551"/>
      <c r="U399" s="551"/>
      <c r="V399" s="551"/>
      <c r="W399" s="551"/>
      <c r="X399" s="551"/>
      <c r="Y399" s="551"/>
      <c r="Z399" s="551"/>
      <c r="AA399" s="551"/>
      <c r="AB399" s="551"/>
      <c r="AC399" s="551"/>
      <c r="AD399" s="551"/>
      <c r="AE399" s="551"/>
      <c r="AF399" s="551"/>
      <c r="AG399" s="551"/>
      <c r="AH399" s="551"/>
      <c r="AI399" s="551"/>
      <c r="AJ399" s="551"/>
      <c r="AK399" s="551"/>
      <c r="AL399" s="551"/>
      <c r="AM399" s="551"/>
      <c r="AN399" s="551"/>
      <c r="AO399" s="551"/>
      <c r="AP399" s="551"/>
      <c r="AQ399" s="551"/>
      <c r="AR399" s="551"/>
      <c r="AS399" s="551"/>
      <c r="AT399" s="551"/>
      <c r="AU399" s="551"/>
      <c r="AV399" s="551"/>
      <c r="AW399" s="551"/>
      <c r="AX399" s="551"/>
      <c r="AY399" s="551"/>
      <c r="AZ399" s="551"/>
      <c r="BA399" s="551"/>
      <c r="BB399" s="551"/>
      <c r="BC399" s="551"/>
      <c r="BD399" s="551"/>
      <c r="BE399" s="551"/>
      <c r="BF399" s="551"/>
    </row>
    <row r="400" spans="1:58" ht="12.75" customHeight="1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1"/>
      <c r="P400" s="551"/>
      <c r="Q400" s="551"/>
      <c r="R400" s="551"/>
      <c r="S400" s="551"/>
      <c r="T400" s="551"/>
      <c r="U400" s="551"/>
      <c r="V400" s="551"/>
      <c r="W400" s="551"/>
      <c r="X400" s="551"/>
      <c r="Y400" s="551"/>
      <c r="Z400" s="551"/>
      <c r="AA400" s="551"/>
      <c r="AB400" s="551"/>
      <c r="AC400" s="551"/>
      <c r="AD400" s="551"/>
      <c r="AE400" s="551"/>
      <c r="AF400" s="551"/>
      <c r="AG400" s="551"/>
      <c r="AH400" s="551"/>
      <c r="AI400" s="551"/>
      <c r="AJ400" s="551"/>
      <c r="AK400" s="551"/>
      <c r="AL400" s="551"/>
      <c r="AM400" s="551"/>
      <c r="AN400" s="551"/>
      <c r="AO400" s="551"/>
      <c r="AP400" s="551"/>
      <c r="AQ400" s="551"/>
      <c r="AR400" s="551"/>
      <c r="AS400" s="551"/>
      <c r="AT400" s="551"/>
      <c r="AU400" s="551"/>
      <c r="AV400" s="551"/>
      <c r="AW400" s="551"/>
      <c r="AX400" s="551"/>
      <c r="AY400" s="551"/>
      <c r="AZ400" s="551"/>
      <c r="BA400" s="551"/>
      <c r="BB400" s="551"/>
      <c r="BC400" s="551"/>
      <c r="BD400" s="551"/>
      <c r="BE400" s="551"/>
      <c r="BF400" s="551"/>
    </row>
    <row r="401" spans="1:58" ht="12.75" customHeight="1">
      <c r="A401" s="551"/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51"/>
      <c r="AB401" s="551"/>
      <c r="AC401" s="551"/>
      <c r="AD401" s="551"/>
      <c r="AE401" s="551"/>
      <c r="AF401" s="551"/>
      <c r="AG401" s="551"/>
      <c r="AH401" s="551"/>
      <c r="AI401" s="551"/>
      <c r="AJ401" s="551"/>
      <c r="AK401" s="551"/>
      <c r="AL401" s="551"/>
      <c r="AM401" s="551"/>
      <c r="AN401" s="551"/>
      <c r="AO401" s="551"/>
      <c r="AP401" s="551"/>
      <c r="AQ401" s="551"/>
      <c r="AR401" s="551"/>
      <c r="AS401" s="551"/>
      <c r="AT401" s="551"/>
      <c r="AU401" s="551"/>
      <c r="AV401" s="551"/>
      <c r="AW401" s="551"/>
      <c r="AX401" s="551"/>
      <c r="AY401" s="551"/>
      <c r="AZ401" s="551"/>
      <c r="BA401" s="551"/>
      <c r="BB401" s="551"/>
      <c r="BC401" s="551"/>
      <c r="BD401" s="551"/>
      <c r="BE401" s="551"/>
      <c r="BF401" s="551"/>
    </row>
    <row r="402" spans="1:58" ht="12.75" customHeight="1">
      <c r="A402" s="551"/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51"/>
      <c r="AB402" s="551"/>
      <c r="AC402" s="551"/>
      <c r="AD402" s="551"/>
      <c r="AE402" s="551"/>
      <c r="AF402" s="551"/>
      <c r="AG402" s="551"/>
      <c r="AH402" s="551"/>
      <c r="AI402" s="551"/>
      <c r="AJ402" s="551"/>
      <c r="AK402" s="551"/>
      <c r="AL402" s="551"/>
      <c r="AM402" s="551"/>
      <c r="AN402" s="551"/>
      <c r="AO402" s="551"/>
      <c r="AP402" s="551"/>
      <c r="AQ402" s="551"/>
      <c r="AR402" s="551"/>
      <c r="AS402" s="551"/>
      <c r="AT402" s="551"/>
      <c r="AU402" s="551"/>
      <c r="AV402" s="551"/>
      <c r="AW402" s="551"/>
      <c r="AX402" s="551"/>
      <c r="AY402" s="551"/>
      <c r="AZ402" s="551"/>
      <c r="BA402" s="551"/>
      <c r="BB402" s="551"/>
      <c r="BC402" s="551"/>
      <c r="BD402" s="551"/>
      <c r="BE402" s="551"/>
      <c r="BF402" s="551"/>
    </row>
    <row r="403" spans="1:58" ht="12.75" customHeight="1">
      <c r="A403" s="551"/>
      <c r="B403" s="551"/>
      <c r="C403" s="551"/>
      <c r="D403" s="551"/>
      <c r="E403" s="551"/>
      <c r="F403" s="551"/>
      <c r="G403" s="551"/>
      <c r="H403" s="551"/>
      <c r="I403" s="551"/>
      <c r="J403" s="551"/>
      <c r="K403" s="551"/>
      <c r="L403" s="551"/>
      <c r="M403" s="551"/>
      <c r="N403" s="551"/>
      <c r="O403" s="551"/>
      <c r="P403" s="551"/>
      <c r="Q403" s="551"/>
      <c r="R403" s="551"/>
      <c r="S403" s="551"/>
      <c r="T403" s="551"/>
      <c r="U403" s="551"/>
      <c r="V403" s="551"/>
      <c r="W403" s="551"/>
      <c r="X403" s="551"/>
      <c r="Y403" s="551"/>
      <c r="Z403" s="551"/>
      <c r="AA403" s="551"/>
      <c r="AB403" s="551"/>
      <c r="AC403" s="551"/>
      <c r="AD403" s="551"/>
      <c r="AE403" s="551"/>
      <c r="AF403" s="551"/>
      <c r="AG403" s="551"/>
      <c r="AH403" s="551"/>
      <c r="AI403" s="551"/>
      <c r="AJ403" s="551"/>
      <c r="AK403" s="551"/>
      <c r="AL403" s="551"/>
      <c r="AM403" s="551"/>
      <c r="AN403" s="551"/>
      <c r="AO403" s="551"/>
      <c r="AP403" s="551"/>
      <c r="AQ403" s="551"/>
      <c r="AR403" s="551"/>
      <c r="AS403" s="551"/>
      <c r="AT403" s="551"/>
      <c r="AU403" s="551"/>
      <c r="AV403" s="551"/>
      <c r="AW403" s="551"/>
      <c r="AX403" s="551"/>
      <c r="AY403" s="551"/>
      <c r="AZ403" s="551"/>
      <c r="BA403" s="551"/>
      <c r="BB403" s="551"/>
      <c r="BC403" s="551"/>
      <c r="BD403" s="551"/>
      <c r="BE403" s="551"/>
      <c r="BF403" s="551"/>
    </row>
    <row r="404" spans="1:58" ht="12.75" customHeight="1">
      <c r="A404" s="551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1"/>
      <c r="P404" s="551"/>
      <c r="Q404" s="551"/>
      <c r="R404" s="551"/>
      <c r="S404" s="551"/>
      <c r="T404" s="551"/>
      <c r="U404" s="551"/>
      <c r="V404" s="551"/>
      <c r="W404" s="551"/>
      <c r="X404" s="551"/>
      <c r="Y404" s="551"/>
      <c r="Z404" s="551"/>
      <c r="AA404" s="551"/>
      <c r="AB404" s="551"/>
      <c r="AC404" s="551"/>
      <c r="AD404" s="551"/>
      <c r="AE404" s="551"/>
      <c r="AF404" s="551"/>
      <c r="AG404" s="551"/>
      <c r="AH404" s="551"/>
      <c r="AI404" s="551"/>
      <c r="AJ404" s="551"/>
      <c r="AK404" s="551"/>
      <c r="AL404" s="551"/>
      <c r="AM404" s="551"/>
      <c r="AN404" s="551"/>
      <c r="AO404" s="551"/>
      <c r="AP404" s="551"/>
      <c r="AQ404" s="551"/>
      <c r="AR404" s="551"/>
      <c r="AS404" s="551"/>
      <c r="AT404" s="551"/>
      <c r="AU404" s="551"/>
      <c r="AV404" s="551"/>
      <c r="AW404" s="551"/>
      <c r="AX404" s="551"/>
      <c r="AY404" s="551"/>
      <c r="AZ404" s="551"/>
      <c r="BA404" s="551"/>
      <c r="BB404" s="551"/>
      <c r="BC404" s="551"/>
      <c r="BD404" s="551"/>
      <c r="BE404" s="551"/>
      <c r="BF404" s="551"/>
    </row>
    <row r="405" spans="1:58" ht="12.75" customHeight="1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1"/>
      <c r="P405" s="551"/>
      <c r="Q405" s="551"/>
      <c r="R405" s="551"/>
      <c r="S405" s="551"/>
      <c r="T405" s="551"/>
      <c r="U405" s="551"/>
      <c r="V405" s="551"/>
      <c r="W405" s="551"/>
      <c r="X405" s="551"/>
      <c r="Y405" s="551"/>
      <c r="Z405" s="551"/>
      <c r="AA405" s="551"/>
      <c r="AB405" s="551"/>
      <c r="AC405" s="551"/>
      <c r="AD405" s="551"/>
      <c r="AE405" s="551"/>
      <c r="AF405" s="551"/>
      <c r="AG405" s="551"/>
      <c r="AH405" s="551"/>
      <c r="AI405" s="551"/>
      <c r="AJ405" s="551"/>
      <c r="AK405" s="551"/>
      <c r="AL405" s="551"/>
      <c r="AM405" s="551"/>
      <c r="AN405" s="551"/>
      <c r="AO405" s="551"/>
      <c r="AP405" s="551"/>
      <c r="AQ405" s="551"/>
      <c r="AR405" s="551"/>
      <c r="AS405" s="551"/>
      <c r="AT405" s="551"/>
      <c r="AU405" s="551"/>
      <c r="AV405" s="551"/>
      <c r="AW405" s="551"/>
      <c r="AX405" s="551"/>
      <c r="AY405" s="551"/>
      <c r="AZ405" s="551"/>
      <c r="BA405" s="551"/>
      <c r="BB405" s="551"/>
      <c r="BC405" s="551"/>
      <c r="BD405" s="551"/>
      <c r="BE405" s="551"/>
      <c r="BF405" s="551"/>
    </row>
    <row r="406" spans="1:58" ht="12.75" customHeight="1">
      <c r="A406" s="551"/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51"/>
      <c r="AB406" s="551"/>
      <c r="AC406" s="551"/>
      <c r="AD406" s="551"/>
      <c r="AE406" s="551"/>
      <c r="AF406" s="551"/>
      <c r="AG406" s="551"/>
      <c r="AH406" s="551"/>
      <c r="AI406" s="551"/>
      <c r="AJ406" s="551"/>
      <c r="AK406" s="551"/>
      <c r="AL406" s="551"/>
      <c r="AM406" s="551"/>
      <c r="AN406" s="551"/>
      <c r="AO406" s="551"/>
      <c r="AP406" s="551"/>
      <c r="AQ406" s="551"/>
      <c r="AR406" s="551"/>
      <c r="AS406" s="551"/>
      <c r="AT406" s="551"/>
      <c r="AU406" s="551"/>
      <c r="AV406" s="551"/>
      <c r="AW406" s="551"/>
      <c r="AX406" s="551"/>
      <c r="AY406" s="551"/>
      <c r="AZ406" s="551"/>
      <c r="BA406" s="551"/>
      <c r="BB406" s="551"/>
      <c r="BC406" s="551"/>
      <c r="BD406" s="551"/>
      <c r="BE406" s="551"/>
      <c r="BF406" s="551"/>
    </row>
    <row r="407" spans="1:58" ht="12.75" customHeight="1">
      <c r="A407" s="551"/>
      <c r="B407" s="551"/>
      <c r="C407" s="551"/>
      <c r="D407" s="551"/>
      <c r="E407" s="551"/>
      <c r="F407" s="551"/>
      <c r="G407" s="551"/>
      <c r="H407" s="551"/>
      <c r="I407" s="551"/>
      <c r="J407" s="551"/>
      <c r="K407" s="551"/>
      <c r="L407" s="551"/>
      <c r="M407" s="551"/>
      <c r="N407" s="551"/>
      <c r="O407" s="551"/>
      <c r="P407" s="551"/>
      <c r="Q407" s="551"/>
      <c r="R407" s="551"/>
      <c r="S407" s="551"/>
      <c r="T407" s="551"/>
      <c r="U407" s="551"/>
      <c r="V407" s="551"/>
      <c r="W407" s="551"/>
      <c r="X407" s="551"/>
      <c r="Y407" s="551"/>
      <c r="Z407" s="551"/>
      <c r="AA407" s="551"/>
      <c r="AB407" s="551"/>
      <c r="AC407" s="551"/>
      <c r="AD407" s="551"/>
      <c r="AE407" s="551"/>
      <c r="AF407" s="551"/>
      <c r="AG407" s="551"/>
      <c r="AH407" s="551"/>
      <c r="AI407" s="551"/>
      <c r="AJ407" s="551"/>
      <c r="AK407" s="551"/>
      <c r="AL407" s="551"/>
      <c r="AM407" s="551"/>
      <c r="AN407" s="551"/>
      <c r="AO407" s="551"/>
      <c r="AP407" s="551"/>
      <c r="AQ407" s="551"/>
      <c r="AR407" s="551"/>
      <c r="AS407" s="551"/>
      <c r="AT407" s="551"/>
      <c r="AU407" s="551"/>
      <c r="AV407" s="551"/>
      <c r="AW407" s="551"/>
      <c r="AX407" s="551"/>
      <c r="AY407" s="551"/>
      <c r="AZ407" s="551"/>
      <c r="BA407" s="551"/>
      <c r="BB407" s="551"/>
      <c r="BC407" s="551"/>
      <c r="BD407" s="551"/>
      <c r="BE407" s="551"/>
      <c r="BF407" s="551"/>
    </row>
    <row r="408" spans="1:58" ht="12.75" customHeight="1">
      <c r="A408" s="551"/>
      <c r="B408" s="551"/>
      <c r="C408" s="551"/>
      <c r="D408" s="551"/>
      <c r="E408" s="551"/>
      <c r="F408" s="551"/>
      <c r="G408" s="551"/>
      <c r="H408" s="551"/>
      <c r="I408" s="551"/>
      <c r="J408" s="551"/>
      <c r="K408" s="551"/>
      <c r="L408" s="551"/>
      <c r="M408" s="551"/>
      <c r="N408" s="551"/>
      <c r="O408" s="551"/>
      <c r="P408" s="551"/>
      <c r="Q408" s="551"/>
      <c r="R408" s="551"/>
      <c r="S408" s="551"/>
      <c r="T408" s="551"/>
      <c r="U408" s="551"/>
      <c r="V408" s="551"/>
      <c r="W408" s="551"/>
      <c r="X408" s="551"/>
      <c r="Y408" s="551"/>
      <c r="Z408" s="551"/>
      <c r="AA408" s="551"/>
      <c r="AB408" s="551"/>
      <c r="AC408" s="551"/>
      <c r="AD408" s="551"/>
      <c r="AE408" s="551"/>
      <c r="AF408" s="551"/>
      <c r="AG408" s="551"/>
      <c r="AH408" s="551"/>
      <c r="AI408" s="551"/>
      <c r="AJ408" s="551"/>
      <c r="AK408" s="551"/>
      <c r="AL408" s="551"/>
      <c r="AM408" s="551"/>
      <c r="AN408" s="551"/>
      <c r="AO408" s="551"/>
      <c r="AP408" s="551"/>
      <c r="AQ408" s="551"/>
      <c r="AR408" s="551"/>
      <c r="AS408" s="551"/>
      <c r="AT408" s="551"/>
      <c r="AU408" s="551"/>
      <c r="AV408" s="551"/>
      <c r="AW408" s="551"/>
      <c r="AX408" s="551"/>
      <c r="AY408" s="551"/>
      <c r="AZ408" s="551"/>
      <c r="BA408" s="551"/>
      <c r="BB408" s="551"/>
      <c r="BC408" s="551"/>
      <c r="BD408" s="551"/>
      <c r="BE408" s="551"/>
      <c r="BF408" s="551"/>
    </row>
    <row r="409" spans="1:58" ht="12.75" customHeight="1">
      <c r="A409" s="551"/>
      <c r="B409" s="551"/>
      <c r="C409" s="551"/>
      <c r="D409" s="551"/>
      <c r="E409" s="551"/>
      <c r="F409" s="551"/>
      <c r="G409" s="551"/>
      <c r="H409" s="551"/>
      <c r="I409" s="551"/>
      <c r="J409" s="551"/>
      <c r="K409" s="551"/>
      <c r="L409" s="551"/>
      <c r="M409" s="551"/>
      <c r="N409" s="551"/>
      <c r="O409" s="551"/>
      <c r="P409" s="551"/>
      <c r="Q409" s="551"/>
      <c r="R409" s="551"/>
      <c r="S409" s="551"/>
      <c r="T409" s="551"/>
      <c r="U409" s="551"/>
      <c r="V409" s="551"/>
      <c r="W409" s="551"/>
      <c r="X409" s="551"/>
      <c r="Y409" s="551"/>
      <c r="Z409" s="551"/>
      <c r="AA409" s="551"/>
      <c r="AB409" s="551"/>
      <c r="AC409" s="551"/>
      <c r="AD409" s="551"/>
      <c r="AE409" s="551"/>
      <c r="AF409" s="551"/>
      <c r="AG409" s="551"/>
      <c r="AH409" s="551"/>
      <c r="AI409" s="551"/>
      <c r="AJ409" s="551"/>
      <c r="AK409" s="551"/>
      <c r="AL409" s="551"/>
      <c r="AM409" s="551"/>
      <c r="AN409" s="551"/>
      <c r="AO409" s="551"/>
      <c r="AP409" s="551"/>
      <c r="AQ409" s="551"/>
      <c r="AR409" s="551"/>
      <c r="AS409" s="551"/>
      <c r="AT409" s="551"/>
      <c r="AU409" s="551"/>
      <c r="AV409" s="551"/>
      <c r="AW409" s="551"/>
      <c r="AX409" s="551"/>
      <c r="AY409" s="551"/>
      <c r="AZ409" s="551"/>
      <c r="BA409" s="551"/>
      <c r="BB409" s="551"/>
      <c r="BC409" s="551"/>
      <c r="BD409" s="551"/>
      <c r="BE409" s="551"/>
      <c r="BF409" s="551"/>
    </row>
    <row r="410" spans="1:58" ht="12.75" customHeight="1">
      <c r="A410" s="551"/>
      <c r="B410" s="551"/>
      <c r="C410" s="551"/>
      <c r="D410" s="551"/>
      <c r="E410" s="551"/>
      <c r="F410" s="551"/>
      <c r="G410" s="551"/>
      <c r="H410" s="551"/>
      <c r="I410" s="551"/>
      <c r="J410" s="551"/>
      <c r="K410" s="551"/>
      <c r="L410" s="551"/>
      <c r="M410" s="551"/>
      <c r="N410" s="551"/>
      <c r="O410" s="551"/>
      <c r="P410" s="551"/>
      <c r="Q410" s="551"/>
      <c r="R410" s="551"/>
      <c r="S410" s="551"/>
      <c r="T410" s="551"/>
      <c r="U410" s="551"/>
      <c r="V410" s="551"/>
      <c r="W410" s="551"/>
      <c r="X410" s="551"/>
      <c r="Y410" s="551"/>
      <c r="Z410" s="551"/>
      <c r="AA410" s="551"/>
      <c r="AB410" s="551"/>
      <c r="AC410" s="551"/>
      <c r="AD410" s="551"/>
      <c r="AE410" s="551"/>
      <c r="AF410" s="551"/>
      <c r="AG410" s="551"/>
      <c r="AH410" s="551"/>
      <c r="AI410" s="551"/>
      <c r="AJ410" s="551"/>
      <c r="AK410" s="551"/>
      <c r="AL410" s="551"/>
      <c r="AM410" s="551"/>
      <c r="AN410" s="551"/>
      <c r="AO410" s="551"/>
      <c r="AP410" s="551"/>
      <c r="AQ410" s="551"/>
      <c r="AR410" s="551"/>
      <c r="AS410" s="551"/>
      <c r="AT410" s="551"/>
      <c r="AU410" s="551"/>
      <c r="AV410" s="551"/>
      <c r="AW410" s="551"/>
      <c r="AX410" s="551"/>
      <c r="AY410" s="551"/>
      <c r="AZ410" s="551"/>
      <c r="BA410" s="551"/>
      <c r="BB410" s="551"/>
      <c r="BC410" s="551"/>
      <c r="BD410" s="551"/>
      <c r="BE410" s="551"/>
      <c r="BF410" s="551"/>
    </row>
    <row r="411" spans="1:58" ht="12.75" customHeight="1">
      <c r="A411" s="551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1"/>
      <c r="P411" s="551"/>
      <c r="Q411" s="551"/>
      <c r="R411" s="551"/>
      <c r="S411" s="551"/>
      <c r="T411" s="551"/>
      <c r="U411" s="551"/>
      <c r="V411" s="551"/>
      <c r="W411" s="551"/>
      <c r="X411" s="551"/>
      <c r="Y411" s="551"/>
      <c r="Z411" s="551"/>
      <c r="AA411" s="551"/>
      <c r="AB411" s="551"/>
      <c r="AC411" s="551"/>
      <c r="AD411" s="551"/>
      <c r="AE411" s="551"/>
      <c r="AF411" s="551"/>
      <c r="AG411" s="551"/>
      <c r="AH411" s="551"/>
      <c r="AI411" s="551"/>
      <c r="AJ411" s="551"/>
      <c r="AK411" s="551"/>
      <c r="AL411" s="551"/>
      <c r="AM411" s="551"/>
      <c r="AN411" s="551"/>
      <c r="AO411" s="551"/>
      <c r="AP411" s="551"/>
      <c r="AQ411" s="551"/>
      <c r="AR411" s="551"/>
      <c r="AS411" s="551"/>
      <c r="AT411" s="551"/>
      <c r="AU411" s="551"/>
      <c r="AV411" s="551"/>
      <c r="AW411" s="551"/>
      <c r="AX411" s="551"/>
      <c r="AY411" s="551"/>
      <c r="AZ411" s="551"/>
      <c r="BA411" s="551"/>
      <c r="BB411" s="551"/>
      <c r="BC411" s="551"/>
      <c r="BD411" s="551"/>
      <c r="BE411" s="551"/>
      <c r="BF411" s="551"/>
    </row>
    <row r="412" spans="1:58" ht="12.75" customHeight="1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1"/>
      <c r="P412" s="551"/>
      <c r="Q412" s="551"/>
      <c r="R412" s="551"/>
      <c r="S412" s="551"/>
      <c r="T412" s="551"/>
      <c r="U412" s="551"/>
      <c r="V412" s="551"/>
      <c r="W412" s="551"/>
      <c r="X412" s="551"/>
      <c r="Y412" s="551"/>
      <c r="Z412" s="551"/>
      <c r="AA412" s="551"/>
      <c r="AB412" s="551"/>
      <c r="AC412" s="551"/>
      <c r="AD412" s="551"/>
      <c r="AE412" s="551"/>
      <c r="AF412" s="551"/>
      <c r="AG412" s="551"/>
      <c r="AH412" s="551"/>
      <c r="AI412" s="551"/>
      <c r="AJ412" s="551"/>
      <c r="AK412" s="551"/>
      <c r="AL412" s="551"/>
      <c r="AM412" s="551"/>
      <c r="AN412" s="551"/>
      <c r="AO412" s="551"/>
      <c r="AP412" s="551"/>
      <c r="AQ412" s="551"/>
      <c r="AR412" s="551"/>
      <c r="AS412" s="551"/>
      <c r="AT412" s="551"/>
      <c r="AU412" s="551"/>
      <c r="AV412" s="551"/>
      <c r="AW412" s="551"/>
      <c r="AX412" s="551"/>
      <c r="AY412" s="551"/>
      <c r="AZ412" s="551"/>
      <c r="BA412" s="551"/>
      <c r="BB412" s="551"/>
      <c r="BC412" s="551"/>
      <c r="BD412" s="551"/>
      <c r="BE412" s="551"/>
      <c r="BF412" s="551"/>
    </row>
    <row r="413" spans="1:58" ht="12.75" customHeight="1">
      <c r="A413" s="551"/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51"/>
      <c r="AB413" s="551"/>
      <c r="AC413" s="551"/>
      <c r="AD413" s="551"/>
      <c r="AE413" s="551"/>
      <c r="AF413" s="551"/>
      <c r="AG413" s="551"/>
      <c r="AH413" s="551"/>
      <c r="AI413" s="551"/>
      <c r="AJ413" s="551"/>
      <c r="AK413" s="551"/>
      <c r="AL413" s="551"/>
      <c r="AM413" s="551"/>
      <c r="AN413" s="551"/>
      <c r="AO413" s="551"/>
      <c r="AP413" s="551"/>
      <c r="AQ413" s="551"/>
      <c r="AR413" s="551"/>
      <c r="AS413" s="551"/>
      <c r="AT413" s="551"/>
      <c r="AU413" s="551"/>
      <c r="AV413" s="551"/>
      <c r="AW413" s="551"/>
      <c r="AX413" s="551"/>
      <c r="AY413" s="551"/>
      <c r="AZ413" s="551"/>
      <c r="BA413" s="551"/>
      <c r="BB413" s="551"/>
      <c r="BC413" s="551"/>
      <c r="BD413" s="551"/>
      <c r="BE413" s="551"/>
      <c r="BF413" s="551"/>
    </row>
    <row r="414" spans="1:58" ht="12.75" customHeight="1">
      <c r="A414" s="551"/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51"/>
      <c r="AB414" s="551"/>
      <c r="AC414" s="551"/>
      <c r="AD414" s="551"/>
      <c r="AE414" s="551"/>
      <c r="AF414" s="551"/>
      <c r="AG414" s="551"/>
      <c r="AH414" s="551"/>
      <c r="AI414" s="551"/>
      <c r="AJ414" s="551"/>
      <c r="AK414" s="551"/>
      <c r="AL414" s="551"/>
      <c r="AM414" s="551"/>
      <c r="AN414" s="551"/>
      <c r="AO414" s="551"/>
      <c r="AP414" s="551"/>
      <c r="AQ414" s="551"/>
      <c r="AR414" s="551"/>
      <c r="AS414" s="551"/>
      <c r="AT414" s="551"/>
      <c r="AU414" s="551"/>
      <c r="AV414" s="551"/>
      <c r="AW414" s="551"/>
      <c r="AX414" s="551"/>
      <c r="AY414" s="551"/>
      <c r="AZ414" s="551"/>
      <c r="BA414" s="551"/>
      <c r="BB414" s="551"/>
      <c r="BC414" s="551"/>
      <c r="BD414" s="551"/>
      <c r="BE414" s="551"/>
      <c r="BF414" s="551"/>
    </row>
    <row r="415" spans="1:58" ht="12.75" customHeight="1">
      <c r="A415" s="551"/>
      <c r="B415" s="551"/>
      <c r="C415" s="551"/>
      <c r="D415" s="551"/>
      <c r="E415" s="551"/>
      <c r="F415" s="551"/>
      <c r="G415" s="551"/>
      <c r="H415" s="551"/>
      <c r="I415" s="551"/>
      <c r="J415" s="551"/>
      <c r="K415" s="551"/>
      <c r="L415" s="551"/>
      <c r="M415" s="551"/>
      <c r="N415" s="551"/>
      <c r="O415" s="551"/>
      <c r="P415" s="551"/>
      <c r="Q415" s="551"/>
      <c r="R415" s="551"/>
      <c r="S415" s="551"/>
      <c r="T415" s="551"/>
      <c r="U415" s="551"/>
      <c r="V415" s="551"/>
      <c r="W415" s="551"/>
      <c r="X415" s="551"/>
      <c r="Y415" s="551"/>
      <c r="Z415" s="551"/>
      <c r="AA415" s="551"/>
      <c r="AB415" s="551"/>
      <c r="AC415" s="551"/>
      <c r="AD415" s="551"/>
      <c r="AE415" s="551"/>
      <c r="AF415" s="551"/>
      <c r="AG415" s="551"/>
      <c r="AH415" s="551"/>
      <c r="AI415" s="551"/>
      <c r="AJ415" s="551"/>
      <c r="AK415" s="551"/>
      <c r="AL415" s="551"/>
      <c r="AM415" s="551"/>
      <c r="AN415" s="551"/>
      <c r="AO415" s="551"/>
      <c r="AP415" s="551"/>
      <c r="AQ415" s="551"/>
      <c r="AR415" s="551"/>
      <c r="AS415" s="551"/>
      <c r="AT415" s="551"/>
      <c r="AU415" s="551"/>
      <c r="AV415" s="551"/>
      <c r="AW415" s="551"/>
      <c r="AX415" s="551"/>
      <c r="AY415" s="551"/>
      <c r="AZ415" s="551"/>
      <c r="BA415" s="551"/>
      <c r="BB415" s="551"/>
      <c r="BC415" s="551"/>
      <c r="BD415" s="551"/>
      <c r="BE415" s="551"/>
      <c r="BF415" s="551"/>
    </row>
    <row r="416" spans="1:58" ht="12.75" customHeight="1">
      <c r="A416" s="551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1"/>
      <c r="P416" s="551"/>
      <c r="Q416" s="551"/>
      <c r="R416" s="551"/>
      <c r="S416" s="551"/>
      <c r="T416" s="551"/>
      <c r="U416" s="551"/>
      <c r="V416" s="551"/>
      <c r="W416" s="551"/>
      <c r="X416" s="551"/>
      <c r="Y416" s="551"/>
      <c r="Z416" s="551"/>
      <c r="AA416" s="551"/>
      <c r="AB416" s="551"/>
      <c r="AC416" s="551"/>
      <c r="AD416" s="551"/>
      <c r="AE416" s="551"/>
      <c r="AF416" s="551"/>
      <c r="AG416" s="551"/>
      <c r="AH416" s="551"/>
      <c r="AI416" s="551"/>
      <c r="AJ416" s="551"/>
      <c r="AK416" s="551"/>
      <c r="AL416" s="551"/>
      <c r="AM416" s="551"/>
      <c r="AN416" s="551"/>
      <c r="AO416" s="551"/>
      <c r="AP416" s="551"/>
      <c r="AQ416" s="551"/>
      <c r="AR416" s="551"/>
      <c r="AS416" s="551"/>
      <c r="AT416" s="551"/>
      <c r="AU416" s="551"/>
      <c r="AV416" s="551"/>
      <c r="AW416" s="551"/>
      <c r="AX416" s="551"/>
      <c r="AY416" s="551"/>
      <c r="AZ416" s="551"/>
      <c r="BA416" s="551"/>
      <c r="BB416" s="551"/>
      <c r="BC416" s="551"/>
      <c r="BD416" s="551"/>
      <c r="BE416" s="551"/>
      <c r="BF416" s="551"/>
    </row>
    <row r="417" spans="1:58" ht="12.75" customHeight="1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1"/>
      <c r="P417" s="551"/>
      <c r="Q417" s="551"/>
      <c r="R417" s="551"/>
      <c r="S417" s="551"/>
      <c r="T417" s="551"/>
      <c r="U417" s="551"/>
      <c r="V417" s="551"/>
      <c r="W417" s="551"/>
      <c r="X417" s="551"/>
      <c r="Y417" s="551"/>
      <c r="Z417" s="551"/>
      <c r="AA417" s="551"/>
      <c r="AB417" s="551"/>
      <c r="AC417" s="551"/>
      <c r="AD417" s="551"/>
      <c r="AE417" s="551"/>
      <c r="AF417" s="551"/>
      <c r="AG417" s="551"/>
      <c r="AH417" s="551"/>
      <c r="AI417" s="551"/>
      <c r="AJ417" s="551"/>
      <c r="AK417" s="551"/>
      <c r="AL417" s="551"/>
      <c r="AM417" s="551"/>
      <c r="AN417" s="551"/>
      <c r="AO417" s="551"/>
      <c r="AP417" s="551"/>
      <c r="AQ417" s="551"/>
      <c r="AR417" s="551"/>
      <c r="AS417" s="551"/>
      <c r="AT417" s="551"/>
      <c r="AU417" s="551"/>
      <c r="AV417" s="551"/>
      <c r="AW417" s="551"/>
      <c r="AX417" s="551"/>
      <c r="AY417" s="551"/>
      <c r="AZ417" s="551"/>
      <c r="BA417" s="551"/>
      <c r="BB417" s="551"/>
      <c r="BC417" s="551"/>
      <c r="BD417" s="551"/>
      <c r="BE417" s="551"/>
      <c r="BF417" s="551"/>
    </row>
    <row r="418" spans="1:58" ht="12.75" customHeight="1">
      <c r="A418" s="551"/>
      <c r="B418" s="551"/>
      <c r="C418" s="551"/>
      <c r="D418" s="551"/>
      <c r="E418" s="551"/>
      <c r="F418" s="551"/>
      <c r="G418" s="551"/>
      <c r="H418" s="551"/>
      <c r="I418" s="551"/>
      <c r="J418" s="551"/>
      <c r="K418" s="551"/>
      <c r="L418" s="551"/>
      <c r="M418" s="551"/>
      <c r="N418" s="551"/>
      <c r="O418" s="551"/>
      <c r="P418" s="551"/>
      <c r="Q418" s="551"/>
      <c r="R418" s="551"/>
      <c r="S418" s="551"/>
      <c r="T418" s="551"/>
      <c r="U418" s="551"/>
      <c r="V418" s="551"/>
      <c r="W418" s="551"/>
      <c r="X418" s="551"/>
      <c r="Y418" s="551"/>
      <c r="Z418" s="551"/>
      <c r="AA418" s="551"/>
      <c r="AB418" s="551"/>
      <c r="AC418" s="551"/>
      <c r="AD418" s="551"/>
      <c r="AE418" s="551"/>
      <c r="AF418" s="551"/>
      <c r="AG418" s="551"/>
      <c r="AH418" s="551"/>
      <c r="AI418" s="551"/>
      <c r="AJ418" s="551"/>
      <c r="AK418" s="551"/>
      <c r="AL418" s="551"/>
      <c r="AM418" s="551"/>
      <c r="AN418" s="551"/>
      <c r="AO418" s="551"/>
      <c r="AP418" s="551"/>
      <c r="AQ418" s="551"/>
      <c r="AR418" s="551"/>
      <c r="AS418" s="551"/>
      <c r="AT418" s="551"/>
      <c r="AU418" s="551"/>
      <c r="AV418" s="551"/>
      <c r="AW418" s="551"/>
      <c r="AX418" s="551"/>
      <c r="AY418" s="551"/>
      <c r="AZ418" s="551"/>
      <c r="BA418" s="551"/>
      <c r="BB418" s="551"/>
      <c r="BC418" s="551"/>
      <c r="BD418" s="551"/>
      <c r="BE418" s="551"/>
      <c r="BF418" s="551"/>
    </row>
    <row r="419" spans="1:58" ht="12.75" customHeight="1">
      <c r="A419" s="551"/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51"/>
      <c r="AB419" s="551"/>
      <c r="AC419" s="551"/>
      <c r="AD419" s="551"/>
      <c r="AE419" s="551"/>
      <c r="AF419" s="551"/>
      <c r="AG419" s="551"/>
      <c r="AH419" s="551"/>
      <c r="AI419" s="551"/>
      <c r="AJ419" s="551"/>
      <c r="AK419" s="551"/>
      <c r="AL419" s="551"/>
      <c r="AM419" s="551"/>
      <c r="AN419" s="551"/>
      <c r="AO419" s="551"/>
      <c r="AP419" s="551"/>
      <c r="AQ419" s="551"/>
      <c r="AR419" s="551"/>
      <c r="AS419" s="551"/>
      <c r="AT419" s="551"/>
      <c r="AU419" s="551"/>
      <c r="AV419" s="551"/>
      <c r="AW419" s="551"/>
      <c r="AX419" s="551"/>
      <c r="AY419" s="551"/>
      <c r="AZ419" s="551"/>
      <c r="BA419" s="551"/>
      <c r="BB419" s="551"/>
      <c r="BC419" s="551"/>
      <c r="BD419" s="551"/>
      <c r="BE419" s="551"/>
      <c r="BF419" s="551"/>
    </row>
    <row r="420" spans="1:58" ht="12.75" customHeight="1">
      <c r="A420" s="551"/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51"/>
      <c r="AB420" s="551"/>
      <c r="AC420" s="551"/>
      <c r="AD420" s="551"/>
      <c r="AE420" s="551"/>
      <c r="AF420" s="551"/>
      <c r="AG420" s="551"/>
      <c r="AH420" s="551"/>
      <c r="AI420" s="551"/>
      <c r="AJ420" s="551"/>
      <c r="AK420" s="551"/>
      <c r="AL420" s="551"/>
      <c r="AM420" s="551"/>
      <c r="AN420" s="551"/>
      <c r="AO420" s="551"/>
      <c r="AP420" s="551"/>
      <c r="AQ420" s="551"/>
      <c r="AR420" s="551"/>
      <c r="AS420" s="551"/>
      <c r="AT420" s="551"/>
      <c r="AU420" s="551"/>
      <c r="AV420" s="551"/>
      <c r="AW420" s="551"/>
      <c r="AX420" s="551"/>
      <c r="AY420" s="551"/>
      <c r="AZ420" s="551"/>
      <c r="BA420" s="551"/>
      <c r="BB420" s="551"/>
      <c r="BC420" s="551"/>
      <c r="BD420" s="551"/>
      <c r="BE420" s="551"/>
      <c r="BF420" s="551"/>
    </row>
    <row r="421" spans="1:58" ht="12.75" customHeight="1">
      <c r="A421" s="551"/>
      <c r="B421" s="551"/>
      <c r="C421" s="551"/>
      <c r="D421" s="551"/>
      <c r="E421" s="551"/>
      <c r="F421" s="551"/>
      <c r="G421" s="551"/>
      <c r="H421" s="551"/>
      <c r="I421" s="551"/>
      <c r="J421" s="551"/>
      <c r="K421" s="551"/>
      <c r="L421" s="551"/>
      <c r="M421" s="551"/>
      <c r="N421" s="551"/>
      <c r="O421" s="551"/>
      <c r="P421" s="551"/>
      <c r="Q421" s="551"/>
      <c r="R421" s="551"/>
      <c r="S421" s="551"/>
      <c r="T421" s="551"/>
      <c r="U421" s="551"/>
      <c r="V421" s="551"/>
      <c r="W421" s="551"/>
      <c r="X421" s="551"/>
      <c r="Y421" s="551"/>
      <c r="Z421" s="551"/>
      <c r="AA421" s="551"/>
      <c r="AB421" s="551"/>
      <c r="AC421" s="551"/>
      <c r="AD421" s="551"/>
      <c r="AE421" s="551"/>
      <c r="AF421" s="551"/>
      <c r="AG421" s="551"/>
      <c r="AH421" s="551"/>
      <c r="AI421" s="551"/>
      <c r="AJ421" s="551"/>
      <c r="AK421" s="551"/>
      <c r="AL421" s="551"/>
      <c r="AM421" s="551"/>
      <c r="AN421" s="551"/>
      <c r="AO421" s="551"/>
      <c r="AP421" s="551"/>
      <c r="AQ421" s="551"/>
      <c r="AR421" s="551"/>
      <c r="AS421" s="551"/>
      <c r="AT421" s="551"/>
      <c r="AU421" s="551"/>
      <c r="AV421" s="551"/>
      <c r="AW421" s="551"/>
      <c r="AX421" s="551"/>
      <c r="AY421" s="551"/>
      <c r="AZ421" s="551"/>
      <c r="BA421" s="551"/>
      <c r="BB421" s="551"/>
      <c r="BC421" s="551"/>
      <c r="BD421" s="551"/>
      <c r="BE421" s="551"/>
      <c r="BF421" s="551"/>
    </row>
    <row r="422" spans="1:58" ht="12.75" customHeight="1">
      <c r="A422" s="551"/>
      <c r="B422" s="551"/>
      <c r="C422" s="551"/>
      <c r="D422" s="551"/>
      <c r="E422" s="551"/>
      <c r="F422" s="551"/>
      <c r="G422" s="551"/>
      <c r="H422" s="551"/>
      <c r="I422" s="551"/>
      <c r="J422" s="551"/>
      <c r="K422" s="551"/>
      <c r="L422" s="551"/>
      <c r="M422" s="551"/>
      <c r="N422" s="551"/>
      <c r="O422" s="551"/>
      <c r="P422" s="551"/>
      <c r="Q422" s="551"/>
      <c r="R422" s="551"/>
      <c r="S422" s="551"/>
      <c r="T422" s="551"/>
      <c r="U422" s="551"/>
      <c r="V422" s="551"/>
      <c r="W422" s="551"/>
      <c r="X422" s="551"/>
      <c r="Y422" s="551"/>
      <c r="Z422" s="551"/>
      <c r="AA422" s="551"/>
      <c r="AB422" s="551"/>
      <c r="AC422" s="551"/>
      <c r="AD422" s="551"/>
      <c r="AE422" s="551"/>
      <c r="AF422" s="551"/>
      <c r="AG422" s="551"/>
      <c r="AH422" s="551"/>
      <c r="AI422" s="551"/>
      <c r="AJ422" s="551"/>
      <c r="AK422" s="551"/>
      <c r="AL422" s="551"/>
      <c r="AM422" s="551"/>
      <c r="AN422" s="551"/>
      <c r="AO422" s="551"/>
      <c r="AP422" s="551"/>
      <c r="AQ422" s="551"/>
      <c r="AR422" s="551"/>
      <c r="AS422" s="551"/>
      <c r="AT422" s="551"/>
      <c r="AU422" s="551"/>
      <c r="AV422" s="551"/>
      <c r="AW422" s="551"/>
      <c r="AX422" s="551"/>
      <c r="AY422" s="551"/>
      <c r="AZ422" s="551"/>
      <c r="BA422" s="551"/>
      <c r="BB422" s="551"/>
      <c r="BC422" s="551"/>
      <c r="BD422" s="551"/>
      <c r="BE422" s="551"/>
      <c r="BF422" s="551"/>
    </row>
    <row r="423" spans="1:58" ht="12.75" customHeight="1">
      <c r="A423" s="551"/>
      <c r="B423" s="551"/>
      <c r="C423" s="551"/>
      <c r="D423" s="551"/>
      <c r="E423" s="551"/>
      <c r="F423" s="551"/>
      <c r="G423" s="551"/>
      <c r="H423" s="551"/>
      <c r="I423" s="551"/>
      <c r="J423" s="551"/>
      <c r="K423" s="551"/>
      <c r="L423" s="551"/>
      <c r="M423" s="551"/>
      <c r="N423" s="551"/>
      <c r="O423" s="551"/>
      <c r="P423" s="551"/>
      <c r="Q423" s="551"/>
      <c r="R423" s="551"/>
      <c r="S423" s="551"/>
      <c r="T423" s="551"/>
      <c r="U423" s="551"/>
      <c r="V423" s="551"/>
      <c r="W423" s="551"/>
      <c r="X423" s="551"/>
      <c r="Y423" s="551"/>
      <c r="Z423" s="551"/>
      <c r="AA423" s="551"/>
      <c r="AB423" s="551"/>
      <c r="AC423" s="551"/>
      <c r="AD423" s="551"/>
      <c r="AE423" s="551"/>
      <c r="AF423" s="551"/>
      <c r="AG423" s="551"/>
      <c r="AH423" s="551"/>
      <c r="AI423" s="551"/>
      <c r="AJ423" s="551"/>
      <c r="AK423" s="551"/>
      <c r="AL423" s="551"/>
      <c r="AM423" s="551"/>
      <c r="AN423" s="551"/>
      <c r="AO423" s="551"/>
      <c r="AP423" s="551"/>
      <c r="AQ423" s="551"/>
      <c r="AR423" s="551"/>
      <c r="AS423" s="551"/>
      <c r="AT423" s="551"/>
      <c r="AU423" s="551"/>
      <c r="AV423" s="551"/>
      <c r="AW423" s="551"/>
      <c r="AX423" s="551"/>
      <c r="AY423" s="551"/>
      <c r="AZ423" s="551"/>
      <c r="BA423" s="551"/>
      <c r="BB423" s="551"/>
      <c r="BC423" s="551"/>
      <c r="BD423" s="551"/>
      <c r="BE423" s="551"/>
      <c r="BF423" s="551"/>
    </row>
    <row r="424" spans="1:58" ht="12.75" customHeight="1">
      <c r="A424" s="551"/>
      <c r="B424" s="551"/>
      <c r="C424" s="551"/>
      <c r="D424" s="551"/>
      <c r="E424" s="551"/>
      <c r="F424" s="551"/>
      <c r="G424" s="551"/>
      <c r="H424" s="551"/>
      <c r="I424" s="551"/>
      <c r="J424" s="551"/>
      <c r="K424" s="551"/>
      <c r="L424" s="551"/>
      <c r="M424" s="551"/>
      <c r="N424" s="551"/>
      <c r="O424" s="551"/>
      <c r="P424" s="551"/>
      <c r="Q424" s="551"/>
      <c r="R424" s="551"/>
      <c r="S424" s="551"/>
      <c r="T424" s="551"/>
      <c r="U424" s="551"/>
      <c r="V424" s="551"/>
      <c r="W424" s="551"/>
      <c r="X424" s="551"/>
      <c r="Y424" s="551"/>
      <c r="Z424" s="551"/>
      <c r="AA424" s="551"/>
      <c r="AB424" s="551"/>
      <c r="AC424" s="551"/>
      <c r="AD424" s="551"/>
      <c r="AE424" s="551"/>
      <c r="AF424" s="551"/>
      <c r="AG424" s="551"/>
      <c r="AH424" s="551"/>
      <c r="AI424" s="551"/>
      <c r="AJ424" s="551"/>
      <c r="AK424" s="551"/>
      <c r="AL424" s="551"/>
      <c r="AM424" s="551"/>
      <c r="AN424" s="551"/>
      <c r="AO424" s="551"/>
      <c r="AP424" s="551"/>
      <c r="AQ424" s="551"/>
      <c r="AR424" s="551"/>
      <c r="AS424" s="551"/>
      <c r="AT424" s="551"/>
      <c r="AU424" s="551"/>
      <c r="AV424" s="551"/>
      <c r="AW424" s="551"/>
      <c r="AX424" s="551"/>
      <c r="AY424" s="551"/>
      <c r="AZ424" s="551"/>
      <c r="BA424" s="551"/>
      <c r="BB424" s="551"/>
      <c r="BC424" s="551"/>
      <c r="BD424" s="551"/>
      <c r="BE424" s="551"/>
      <c r="BF424" s="551"/>
    </row>
    <row r="425" spans="1:58" ht="12.75" customHeight="1">
      <c r="A425" s="551"/>
      <c r="B425" s="551"/>
      <c r="C425" s="551"/>
      <c r="D425" s="551"/>
      <c r="E425" s="551"/>
      <c r="F425" s="551"/>
      <c r="G425" s="551"/>
      <c r="H425" s="551"/>
      <c r="I425" s="551"/>
      <c r="J425" s="551"/>
      <c r="K425" s="551"/>
      <c r="L425" s="551"/>
      <c r="M425" s="551"/>
      <c r="N425" s="551"/>
      <c r="O425" s="551"/>
      <c r="P425" s="551"/>
      <c r="Q425" s="551"/>
      <c r="R425" s="551"/>
      <c r="S425" s="551"/>
      <c r="T425" s="551"/>
      <c r="U425" s="551"/>
      <c r="V425" s="551"/>
      <c r="W425" s="551"/>
      <c r="X425" s="551"/>
      <c r="Y425" s="551"/>
      <c r="Z425" s="551"/>
      <c r="AA425" s="551"/>
      <c r="AB425" s="551"/>
      <c r="AC425" s="551"/>
      <c r="AD425" s="551"/>
      <c r="AE425" s="551"/>
      <c r="AF425" s="551"/>
      <c r="AG425" s="551"/>
      <c r="AH425" s="551"/>
      <c r="AI425" s="551"/>
      <c r="AJ425" s="551"/>
      <c r="AK425" s="551"/>
      <c r="AL425" s="551"/>
      <c r="AM425" s="551"/>
      <c r="AN425" s="551"/>
      <c r="AO425" s="551"/>
      <c r="AP425" s="551"/>
      <c r="AQ425" s="551"/>
      <c r="AR425" s="551"/>
      <c r="AS425" s="551"/>
      <c r="AT425" s="551"/>
      <c r="AU425" s="551"/>
      <c r="AV425" s="551"/>
      <c r="AW425" s="551"/>
      <c r="AX425" s="551"/>
      <c r="AY425" s="551"/>
      <c r="AZ425" s="551"/>
      <c r="BA425" s="551"/>
      <c r="BB425" s="551"/>
      <c r="BC425" s="551"/>
      <c r="BD425" s="551"/>
      <c r="BE425" s="551"/>
      <c r="BF425" s="551"/>
    </row>
    <row r="426" spans="1:58" ht="12.75" customHeight="1">
      <c r="A426" s="551"/>
      <c r="B426" s="551"/>
      <c r="C426" s="551"/>
      <c r="D426" s="551"/>
      <c r="E426" s="551"/>
      <c r="F426" s="551"/>
      <c r="G426" s="551"/>
      <c r="H426" s="551"/>
      <c r="I426" s="551"/>
      <c r="J426" s="551"/>
      <c r="K426" s="551"/>
      <c r="L426" s="551"/>
      <c r="M426" s="551"/>
      <c r="N426" s="551"/>
      <c r="O426" s="551"/>
      <c r="P426" s="551"/>
      <c r="Q426" s="551"/>
      <c r="R426" s="551"/>
      <c r="S426" s="551"/>
      <c r="T426" s="551"/>
      <c r="U426" s="551"/>
      <c r="V426" s="551"/>
      <c r="W426" s="551"/>
      <c r="X426" s="551"/>
      <c r="Y426" s="551"/>
      <c r="Z426" s="551"/>
      <c r="AA426" s="551"/>
      <c r="AB426" s="551"/>
      <c r="AC426" s="551"/>
      <c r="AD426" s="551"/>
      <c r="AE426" s="551"/>
      <c r="AF426" s="551"/>
      <c r="AG426" s="551"/>
      <c r="AH426" s="551"/>
      <c r="AI426" s="551"/>
      <c r="AJ426" s="551"/>
      <c r="AK426" s="551"/>
      <c r="AL426" s="551"/>
      <c r="AM426" s="551"/>
      <c r="AN426" s="551"/>
      <c r="AO426" s="551"/>
      <c r="AP426" s="551"/>
      <c r="AQ426" s="551"/>
      <c r="AR426" s="551"/>
      <c r="AS426" s="551"/>
      <c r="AT426" s="551"/>
      <c r="AU426" s="551"/>
      <c r="AV426" s="551"/>
      <c r="AW426" s="551"/>
      <c r="AX426" s="551"/>
      <c r="AY426" s="551"/>
      <c r="AZ426" s="551"/>
      <c r="BA426" s="551"/>
      <c r="BB426" s="551"/>
      <c r="BC426" s="551"/>
      <c r="BD426" s="551"/>
      <c r="BE426" s="551"/>
      <c r="BF426" s="551"/>
    </row>
    <row r="427" spans="1:58" ht="12.75" customHeight="1">
      <c r="A427" s="551"/>
      <c r="B427" s="551"/>
      <c r="C427" s="551"/>
      <c r="D427" s="551"/>
      <c r="E427" s="551"/>
      <c r="F427" s="551"/>
      <c r="G427" s="551"/>
      <c r="H427" s="551"/>
      <c r="I427" s="551"/>
      <c r="J427" s="551"/>
      <c r="K427" s="551"/>
      <c r="L427" s="551"/>
      <c r="M427" s="551"/>
      <c r="N427" s="551"/>
      <c r="O427" s="551"/>
      <c r="P427" s="551"/>
      <c r="Q427" s="551"/>
      <c r="R427" s="551"/>
      <c r="S427" s="551"/>
      <c r="T427" s="551"/>
      <c r="U427" s="551"/>
      <c r="V427" s="551"/>
      <c r="W427" s="551"/>
      <c r="X427" s="551"/>
      <c r="Y427" s="551"/>
      <c r="Z427" s="551"/>
      <c r="AA427" s="551"/>
      <c r="AB427" s="551"/>
      <c r="AC427" s="551"/>
      <c r="AD427" s="551"/>
      <c r="AE427" s="551"/>
      <c r="AF427" s="551"/>
      <c r="AG427" s="551"/>
      <c r="AH427" s="551"/>
      <c r="AI427" s="551"/>
      <c r="AJ427" s="551"/>
      <c r="AK427" s="551"/>
      <c r="AL427" s="551"/>
      <c r="AM427" s="551"/>
      <c r="AN427" s="551"/>
      <c r="AO427" s="551"/>
      <c r="AP427" s="551"/>
      <c r="AQ427" s="551"/>
      <c r="AR427" s="551"/>
      <c r="AS427" s="551"/>
      <c r="AT427" s="551"/>
      <c r="AU427" s="551"/>
      <c r="AV427" s="551"/>
      <c r="AW427" s="551"/>
      <c r="AX427" s="551"/>
      <c r="AY427" s="551"/>
      <c r="AZ427" s="551"/>
      <c r="BA427" s="551"/>
      <c r="BB427" s="551"/>
      <c r="BC427" s="551"/>
      <c r="BD427" s="551"/>
      <c r="BE427" s="551"/>
      <c r="BF427" s="551"/>
    </row>
    <row r="428" spans="1:58" ht="12.75" customHeight="1">
      <c r="A428" s="551"/>
      <c r="B428" s="551"/>
      <c r="C428" s="551"/>
      <c r="D428" s="551"/>
      <c r="E428" s="551"/>
      <c r="F428" s="551"/>
      <c r="G428" s="551"/>
      <c r="H428" s="551"/>
      <c r="I428" s="551"/>
      <c r="J428" s="551"/>
      <c r="K428" s="551"/>
      <c r="L428" s="551"/>
      <c r="M428" s="551"/>
      <c r="N428" s="551"/>
      <c r="O428" s="551"/>
      <c r="P428" s="551"/>
      <c r="Q428" s="551"/>
      <c r="R428" s="551"/>
      <c r="S428" s="551"/>
      <c r="T428" s="551"/>
      <c r="U428" s="551"/>
      <c r="V428" s="551"/>
      <c r="W428" s="551"/>
      <c r="X428" s="551"/>
      <c r="Y428" s="551"/>
      <c r="Z428" s="551"/>
      <c r="AA428" s="551"/>
      <c r="AB428" s="551"/>
      <c r="AC428" s="551"/>
      <c r="AD428" s="551"/>
      <c r="AE428" s="551"/>
      <c r="AF428" s="551"/>
      <c r="AG428" s="551"/>
      <c r="AH428" s="551"/>
      <c r="AI428" s="551"/>
      <c r="AJ428" s="551"/>
      <c r="AK428" s="551"/>
      <c r="AL428" s="551"/>
      <c r="AM428" s="551"/>
      <c r="AN428" s="551"/>
      <c r="AO428" s="551"/>
      <c r="AP428" s="551"/>
      <c r="AQ428" s="551"/>
      <c r="AR428" s="551"/>
      <c r="AS428" s="551"/>
      <c r="AT428" s="551"/>
      <c r="AU428" s="551"/>
      <c r="AV428" s="551"/>
      <c r="AW428" s="551"/>
      <c r="AX428" s="551"/>
      <c r="AY428" s="551"/>
      <c r="AZ428" s="551"/>
      <c r="BA428" s="551"/>
      <c r="BB428" s="551"/>
      <c r="BC428" s="551"/>
      <c r="BD428" s="551"/>
      <c r="BE428" s="551"/>
      <c r="BF428" s="551"/>
    </row>
    <row r="429" spans="1:58" ht="12.75" customHeight="1">
      <c r="A429" s="551"/>
      <c r="B429" s="551"/>
      <c r="C429" s="551"/>
      <c r="D429" s="551"/>
      <c r="E429" s="551"/>
      <c r="F429" s="551"/>
      <c r="G429" s="551"/>
      <c r="H429" s="551"/>
      <c r="I429" s="551"/>
      <c r="J429" s="551"/>
      <c r="K429" s="551"/>
      <c r="L429" s="551"/>
      <c r="M429" s="551"/>
      <c r="N429" s="551"/>
      <c r="O429" s="551"/>
      <c r="P429" s="551"/>
      <c r="Q429" s="551"/>
      <c r="R429" s="551"/>
      <c r="S429" s="551"/>
      <c r="T429" s="551"/>
      <c r="U429" s="551"/>
      <c r="V429" s="551"/>
      <c r="W429" s="551"/>
      <c r="X429" s="551"/>
      <c r="Y429" s="551"/>
      <c r="Z429" s="551"/>
      <c r="AA429" s="551"/>
      <c r="AB429" s="551"/>
      <c r="AC429" s="551"/>
      <c r="AD429" s="551"/>
      <c r="AE429" s="551"/>
      <c r="AF429" s="551"/>
      <c r="AG429" s="551"/>
      <c r="AH429" s="551"/>
      <c r="AI429" s="551"/>
      <c r="AJ429" s="551"/>
      <c r="AK429" s="551"/>
      <c r="AL429" s="551"/>
      <c r="AM429" s="551"/>
      <c r="AN429" s="551"/>
      <c r="AO429" s="551"/>
      <c r="AP429" s="551"/>
      <c r="AQ429" s="551"/>
      <c r="AR429" s="551"/>
      <c r="AS429" s="551"/>
      <c r="AT429" s="551"/>
      <c r="AU429" s="551"/>
      <c r="AV429" s="551"/>
      <c r="AW429" s="551"/>
      <c r="AX429" s="551"/>
      <c r="AY429" s="551"/>
      <c r="AZ429" s="551"/>
      <c r="BA429" s="551"/>
      <c r="BB429" s="551"/>
      <c r="BC429" s="551"/>
      <c r="BD429" s="551"/>
      <c r="BE429" s="551"/>
      <c r="BF429" s="551"/>
    </row>
    <row r="430" spans="1:58" ht="12.75" customHeight="1">
      <c r="A430" s="551"/>
      <c r="B430" s="551"/>
      <c r="C430" s="551"/>
      <c r="D430" s="551"/>
      <c r="E430" s="551"/>
      <c r="F430" s="551"/>
      <c r="G430" s="551"/>
      <c r="H430" s="551"/>
      <c r="I430" s="551"/>
      <c r="J430" s="551"/>
      <c r="K430" s="551"/>
      <c r="L430" s="551"/>
      <c r="M430" s="551"/>
      <c r="N430" s="551"/>
      <c r="O430" s="551"/>
      <c r="P430" s="551"/>
      <c r="Q430" s="551"/>
      <c r="R430" s="551"/>
      <c r="S430" s="551"/>
      <c r="T430" s="551"/>
      <c r="U430" s="551"/>
      <c r="V430" s="551"/>
      <c r="W430" s="551"/>
      <c r="X430" s="551"/>
      <c r="Y430" s="551"/>
      <c r="Z430" s="551"/>
      <c r="AA430" s="551"/>
      <c r="AB430" s="551"/>
      <c r="AC430" s="551"/>
      <c r="AD430" s="551"/>
      <c r="AE430" s="551"/>
      <c r="AF430" s="551"/>
      <c r="AG430" s="551"/>
      <c r="AH430" s="551"/>
      <c r="AI430" s="551"/>
      <c r="AJ430" s="551"/>
      <c r="AK430" s="551"/>
      <c r="AL430" s="551"/>
      <c r="AM430" s="551"/>
      <c r="AN430" s="551"/>
      <c r="AO430" s="551"/>
      <c r="AP430" s="551"/>
      <c r="AQ430" s="551"/>
      <c r="AR430" s="551"/>
      <c r="AS430" s="551"/>
      <c r="AT430" s="551"/>
      <c r="AU430" s="551"/>
      <c r="AV430" s="551"/>
      <c r="AW430" s="551"/>
      <c r="AX430" s="551"/>
      <c r="AY430" s="551"/>
      <c r="AZ430" s="551"/>
      <c r="BA430" s="551"/>
      <c r="BB430" s="551"/>
      <c r="BC430" s="551"/>
      <c r="BD430" s="551"/>
      <c r="BE430" s="551"/>
      <c r="BF430" s="551"/>
    </row>
    <row r="431" spans="1:58" ht="12.75" customHeight="1">
      <c r="A431" s="551"/>
      <c r="B431" s="551"/>
      <c r="C431" s="551"/>
      <c r="D431" s="551"/>
      <c r="E431" s="551"/>
      <c r="F431" s="551"/>
      <c r="G431" s="551"/>
      <c r="H431" s="551"/>
      <c r="I431" s="551"/>
      <c r="J431" s="551"/>
      <c r="K431" s="551"/>
      <c r="L431" s="551"/>
      <c r="M431" s="551"/>
      <c r="N431" s="551"/>
      <c r="O431" s="551"/>
      <c r="P431" s="551"/>
      <c r="Q431" s="551"/>
      <c r="R431" s="551"/>
      <c r="S431" s="551"/>
      <c r="T431" s="551"/>
      <c r="U431" s="551"/>
      <c r="V431" s="551"/>
      <c r="W431" s="551"/>
      <c r="X431" s="551"/>
      <c r="Y431" s="551"/>
      <c r="Z431" s="551"/>
      <c r="AA431" s="551"/>
      <c r="AB431" s="551"/>
      <c r="AC431" s="551"/>
      <c r="AD431" s="551"/>
      <c r="AE431" s="551"/>
      <c r="AF431" s="551"/>
      <c r="AG431" s="551"/>
      <c r="AH431" s="551"/>
      <c r="AI431" s="551"/>
      <c r="AJ431" s="551"/>
      <c r="AK431" s="551"/>
      <c r="AL431" s="551"/>
      <c r="AM431" s="551"/>
      <c r="AN431" s="551"/>
      <c r="AO431" s="551"/>
      <c r="AP431" s="551"/>
      <c r="AQ431" s="551"/>
      <c r="AR431" s="551"/>
      <c r="AS431" s="551"/>
      <c r="AT431" s="551"/>
      <c r="AU431" s="551"/>
      <c r="AV431" s="551"/>
      <c r="AW431" s="551"/>
      <c r="AX431" s="551"/>
      <c r="AY431" s="551"/>
      <c r="AZ431" s="551"/>
      <c r="BA431" s="551"/>
      <c r="BB431" s="551"/>
      <c r="BC431" s="551"/>
      <c r="BD431" s="551"/>
      <c r="BE431" s="551"/>
      <c r="BF431" s="551"/>
    </row>
    <row r="432" spans="1:58" ht="12.75" customHeight="1">
      <c r="A432" s="551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1"/>
      <c r="P432" s="551"/>
      <c r="Q432" s="551"/>
      <c r="R432" s="551"/>
      <c r="S432" s="551"/>
      <c r="T432" s="551"/>
      <c r="U432" s="551"/>
      <c r="V432" s="551"/>
      <c r="W432" s="551"/>
      <c r="X432" s="551"/>
      <c r="Y432" s="551"/>
      <c r="Z432" s="551"/>
      <c r="AA432" s="551"/>
      <c r="AB432" s="551"/>
      <c r="AC432" s="551"/>
      <c r="AD432" s="551"/>
      <c r="AE432" s="551"/>
      <c r="AF432" s="551"/>
      <c r="AG432" s="551"/>
      <c r="AH432" s="551"/>
      <c r="AI432" s="551"/>
      <c r="AJ432" s="551"/>
      <c r="AK432" s="551"/>
      <c r="AL432" s="551"/>
      <c r="AM432" s="551"/>
      <c r="AN432" s="551"/>
      <c r="AO432" s="551"/>
      <c r="AP432" s="551"/>
      <c r="AQ432" s="551"/>
      <c r="AR432" s="551"/>
      <c r="AS432" s="551"/>
      <c r="AT432" s="551"/>
      <c r="AU432" s="551"/>
      <c r="AV432" s="551"/>
      <c r="AW432" s="551"/>
      <c r="AX432" s="551"/>
      <c r="AY432" s="551"/>
      <c r="AZ432" s="551"/>
      <c r="BA432" s="551"/>
      <c r="BB432" s="551"/>
      <c r="BC432" s="551"/>
      <c r="BD432" s="551"/>
      <c r="BE432" s="551"/>
      <c r="BF432" s="551"/>
    </row>
    <row r="433" spans="1:58" ht="12.75" customHeight="1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1"/>
      <c r="P433" s="551"/>
      <c r="Q433" s="551"/>
      <c r="R433" s="551"/>
      <c r="S433" s="551"/>
      <c r="T433" s="551"/>
      <c r="U433" s="551"/>
      <c r="V433" s="551"/>
      <c r="W433" s="551"/>
      <c r="X433" s="551"/>
      <c r="Y433" s="551"/>
      <c r="Z433" s="551"/>
      <c r="AA433" s="551"/>
      <c r="AB433" s="551"/>
      <c r="AC433" s="551"/>
      <c r="AD433" s="551"/>
      <c r="AE433" s="551"/>
      <c r="AF433" s="551"/>
      <c r="AG433" s="551"/>
      <c r="AH433" s="551"/>
      <c r="AI433" s="551"/>
      <c r="AJ433" s="551"/>
      <c r="AK433" s="551"/>
      <c r="AL433" s="551"/>
      <c r="AM433" s="551"/>
      <c r="AN433" s="551"/>
      <c r="AO433" s="551"/>
      <c r="AP433" s="551"/>
      <c r="AQ433" s="551"/>
      <c r="AR433" s="551"/>
      <c r="AS433" s="551"/>
      <c r="AT433" s="551"/>
      <c r="AU433" s="551"/>
      <c r="AV433" s="551"/>
      <c r="AW433" s="551"/>
      <c r="AX433" s="551"/>
      <c r="AY433" s="551"/>
      <c r="AZ433" s="551"/>
      <c r="BA433" s="551"/>
      <c r="BB433" s="551"/>
      <c r="BC433" s="551"/>
      <c r="BD433" s="551"/>
      <c r="BE433" s="551"/>
      <c r="BF433" s="551"/>
    </row>
    <row r="434" spans="1:58" ht="12.75" customHeight="1">
      <c r="A434" s="551"/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51"/>
      <c r="AB434" s="551"/>
      <c r="AC434" s="551"/>
      <c r="AD434" s="551"/>
      <c r="AE434" s="551"/>
      <c r="AF434" s="551"/>
      <c r="AG434" s="551"/>
      <c r="AH434" s="551"/>
      <c r="AI434" s="551"/>
      <c r="AJ434" s="551"/>
      <c r="AK434" s="551"/>
      <c r="AL434" s="551"/>
      <c r="AM434" s="551"/>
      <c r="AN434" s="551"/>
      <c r="AO434" s="551"/>
      <c r="AP434" s="551"/>
      <c r="AQ434" s="551"/>
      <c r="AR434" s="551"/>
      <c r="AS434" s="551"/>
      <c r="AT434" s="551"/>
      <c r="AU434" s="551"/>
      <c r="AV434" s="551"/>
      <c r="AW434" s="551"/>
      <c r="AX434" s="551"/>
      <c r="AY434" s="551"/>
      <c r="AZ434" s="551"/>
      <c r="BA434" s="551"/>
      <c r="BB434" s="551"/>
      <c r="BC434" s="551"/>
      <c r="BD434" s="551"/>
      <c r="BE434" s="551"/>
      <c r="BF434" s="551"/>
    </row>
    <row r="435" spans="1:58" ht="12.75" customHeight="1">
      <c r="A435" s="551"/>
      <c r="B435" s="551"/>
      <c r="C435" s="551"/>
      <c r="D435" s="551"/>
      <c r="E435" s="551"/>
      <c r="F435" s="551"/>
      <c r="G435" s="551"/>
      <c r="H435" s="551"/>
      <c r="I435" s="551"/>
      <c r="J435" s="551"/>
      <c r="K435" s="551"/>
      <c r="L435" s="551"/>
      <c r="M435" s="551"/>
      <c r="N435" s="551"/>
      <c r="O435" s="551"/>
      <c r="P435" s="551"/>
      <c r="Q435" s="551"/>
      <c r="R435" s="551"/>
      <c r="S435" s="551"/>
      <c r="T435" s="551"/>
      <c r="U435" s="551"/>
      <c r="V435" s="551"/>
      <c r="W435" s="551"/>
      <c r="X435" s="551"/>
      <c r="Y435" s="551"/>
      <c r="Z435" s="551"/>
      <c r="AA435" s="551"/>
      <c r="AB435" s="551"/>
      <c r="AC435" s="551"/>
      <c r="AD435" s="551"/>
      <c r="AE435" s="551"/>
      <c r="AF435" s="551"/>
      <c r="AG435" s="551"/>
      <c r="AH435" s="551"/>
      <c r="AI435" s="551"/>
      <c r="AJ435" s="551"/>
      <c r="AK435" s="551"/>
      <c r="AL435" s="551"/>
      <c r="AM435" s="551"/>
      <c r="AN435" s="551"/>
      <c r="AO435" s="551"/>
      <c r="AP435" s="551"/>
      <c r="AQ435" s="551"/>
      <c r="AR435" s="551"/>
      <c r="AS435" s="551"/>
      <c r="AT435" s="551"/>
      <c r="AU435" s="551"/>
      <c r="AV435" s="551"/>
      <c r="AW435" s="551"/>
      <c r="AX435" s="551"/>
      <c r="AY435" s="551"/>
      <c r="AZ435" s="551"/>
      <c r="BA435" s="551"/>
      <c r="BB435" s="551"/>
      <c r="BC435" s="551"/>
      <c r="BD435" s="551"/>
      <c r="BE435" s="551"/>
      <c r="BF435" s="551"/>
    </row>
    <row r="436" spans="1:58" ht="12.75" customHeight="1">
      <c r="A436" s="551"/>
      <c r="B436" s="551"/>
      <c r="C436" s="551"/>
      <c r="D436" s="551"/>
      <c r="E436" s="551"/>
      <c r="F436" s="551"/>
      <c r="G436" s="551"/>
      <c r="H436" s="551"/>
      <c r="I436" s="551"/>
      <c r="J436" s="551"/>
      <c r="K436" s="551"/>
      <c r="L436" s="551"/>
      <c r="M436" s="551"/>
      <c r="N436" s="551"/>
      <c r="O436" s="551"/>
      <c r="P436" s="551"/>
      <c r="Q436" s="551"/>
      <c r="R436" s="551"/>
      <c r="S436" s="551"/>
      <c r="T436" s="551"/>
      <c r="U436" s="551"/>
      <c r="V436" s="551"/>
      <c r="W436" s="551"/>
      <c r="X436" s="551"/>
      <c r="Y436" s="551"/>
      <c r="Z436" s="551"/>
      <c r="AA436" s="551"/>
      <c r="AB436" s="551"/>
      <c r="AC436" s="551"/>
      <c r="AD436" s="551"/>
      <c r="AE436" s="551"/>
      <c r="AF436" s="551"/>
      <c r="AG436" s="551"/>
      <c r="AH436" s="551"/>
      <c r="AI436" s="551"/>
      <c r="AJ436" s="551"/>
      <c r="AK436" s="551"/>
      <c r="AL436" s="551"/>
      <c r="AM436" s="551"/>
      <c r="AN436" s="551"/>
      <c r="AO436" s="551"/>
      <c r="AP436" s="551"/>
      <c r="AQ436" s="551"/>
      <c r="AR436" s="551"/>
      <c r="AS436" s="551"/>
      <c r="AT436" s="551"/>
      <c r="AU436" s="551"/>
      <c r="AV436" s="551"/>
      <c r="AW436" s="551"/>
      <c r="AX436" s="551"/>
      <c r="AY436" s="551"/>
      <c r="AZ436" s="551"/>
      <c r="BA436" s="551"/>
      <c r="BB436" s="551"/>
      <c r="BC436" s="551"/>
      <c r="BD436" s="551"/>
      <c r="BE436" s="551"/>
      <c r="BF436" s="551"/>
    </row>
    <row r="437" spans="1:58" ht="12.75" customHeight="1">
      <c r="A437" s="551"/>
      <c r="B437" s="551"/>
      <c r="C437" s="551"/>
      <c r="D437" s="551"/>
      <c r="E437" s="551"/>
      <c r="F437" s="551"/>
      <c r="G437" s="551"/>
      <c r="H437" s="551"/>
      <c r="I437" s="551"/>
      <c r="J437" s="551"/>
      <c r="K437" s="551"/>
      <c r="L437" s="551"/>
      <c r="M437" s="551"/>
      <c r="N437" s="551"/>
      <c r="O437" s="551"/>
      <c r="P437" s="551"/>
      <c r="Q437" s="551"/>
      <c r="R437" s="551"/>
      <c r="S437" s="551"/>
      <c r="T437" s="551"/>
      <c r="U437" s="551"/>
      <c r="V437" s="551"/>
      <c r="W437" s="551"/>
      <c r="X437" s="551"/>
      <c r="Y437" s="551"/>
      <c r="Z437" s="551"/>
      <c r="AA437" s="551"/>
      <c r="AB437" s="551"/>
      <c r="AC437" s="551"/>
      <c r="AD437" s="551"/>
      <c r="AE437" s="551"/>
      <c r="AF437" s="551"/>
      <c r="AG437" s="551"/>
      <c r="AH437" s="551"/>
      <c r="AI437" s="551"/>
      <c r="AJ437" s="551"/>
      <c r="AK437" s="551"/>
      <c r="AL437" s="551"/>
      <c r="AM437" s="551"/>
      <c r="AN437" s="551"/>
      <c r="AO437" s="551"/>
      <c r="AP437" s="551"/>
      <c r="AQ437" s="551"/>
      <c r="AR437" s="551"/>
      <c r="AS437" s="551"/>
      <c r="AT437" s="551"/>
      <c r="AU437" s="551"/>
      <c r="AV437" s="551"/>
      <c r="AW437" s="551"/>
      <c r="AX437" s="551"/>
      <c r="AY437" s="551"/>
      <c r="AZ437" s="551"/>
      <c r="BA437" s="551"/>
      <c r="BB437" s="551"/>
      <c r="BC437" s="551"/>
      <c r="BD437" s="551"/>
      <c r="BE437" s="551"/>
      <c r="BF437" s="551"/>
    </row>
    <row r="438" spans="1:58" ht="12.75" customHeight="1">
      <c r="A438" s="551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1"/>
      <c r="P438" s="551"/>
      <c r="Q438" s="551"/>
      <c r="R438" s="551"/>
      <c r="S438" s="551"/>
      <c r="T438" s="551"/>
      <c r="U438" s="551"/>
      <c r="V438" s="551"/>
      <c r="W438" s="551"/>
      <c r="X438" s="551"/>
      <c r="Y438" s="551"/>
      <c r="Z438" s="551"/>
      <c r="AA438" s="551"/>
      <c r="AB438" s="551"/>
      <c r="AC438" s="551"/>
      <c r="AD438" s="551"/>
      <c r="AE438" s="551"/>
      <c r="AF438" s="551"/>
      <c r="AG438" s="551"/>
      <c r="AH438" s="551"/>
      <c r="AI438" s="551"/>
      <c r="AJ438" s="551"/>
      <c r="AK438" s="551"/>
      <c r="AL438" s="551"/>
      <c r="AM438" s="551"/>
      <c r="AN438" s="551"/>
      <c r="AO438" s="551"/>
      <c r="AP438" s="551"/>
      <c r="AQ438" s="551"/>
      <c r="AR438" s="551"/>
      <c r="AS438" s="551"/>
      <c r="AT438" s="551"/>
      <c r="AU438" s="551"/>
      <c r="AV438" s="551"/>
      <c r="AW438" s="551"/>
      <c r="AX438" s="551"/>
      <c r="AY438" s="551"/>
      <c r="AZ438" s="551"/>
      <c r="BA438" s="551"/>
      <c r="BB438" s="551"/>
      <c r="BC438" s="551"/>
      <c r="BD438" s="551"/>
      <c r="BE438" s="551"/>
      <c r="BF438" s="551"/>
    </row>
    <row r="439" spans="1:58" ht="12.75" customHeight="1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1"/>
      <c r="P439" s="551"/>
      <c r="Q439" s="551"/>
      <c r="R439" s="551"/>
      <c r="S439" s="551"/>
      <c r="T439" s="551"/>
      <c r="U439" s="551"/>
      <c r="V439" s="551"/>
      <c r="W439" s="551"/>
      <c r="X439" s="551"/>
      <c r="Y439" s="551"/>
      <c r="Z439" s="551"/>
      <c r="AA439" s="551"/>
      <c r="AB439" s="551"/>
      <c r="AC439" s="551"/>
      <c r="AD439" s="551"/>
      <c r="AE439" s="551"/>
      <c r="AF439" s="551"/>
      <c r="AG439" s="551"/>
      <c r="AH439" s="551"/>
      <c r="AI439" s="551"/>
      <c r="AJ439" s="551"/>
      <c r="AK439" s="551"/>
      <c r="AL439" s="551"/>
      <c r="AM439" s="551"/>
      <c r="AN439" s="551"/>
      <c r="AO439" s="551"/>
      <c r="AP439" s="551"/>
      <c r="AQ439" s="551"/>
      <c r="AR439" s="551"/>
      <c r="AS439" s="551"/>
      <c r="AT439" s="551"/>
      <c r="AU439" s="551"/>
      <c r="AV439" s="551"/>
      <c r="AW439" s="551"/>
      <c r="AX439" s="551"/>
      <c r="AY439" s="551"/>
      <c r="AZ439" s="551"/>
      <c r="BA439" s="551"/>
      <c r="BB439" s="551"/>
      <c r="BC439" s="551"/>
      <c r="BD439" s="551"/>
      <c r="BE439" s="551"/>
      <c r="BF439" s="551"/>
    </row>
    <row r="440" spans="1:58" ht="12.75" customHeight="1">
      <c r="A440" s="551"/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51"/>
      <c r="AB440" s="551"/>
      <c r="AC440" s="551"/>
      <c r="AD440" s="551"/>
      <c r="AE440" s="551"/>
      <c r="AF440" s="551"/>
      <c r="AG440" s="551"/>
      <c r="AH440" s="551"/>
      <c r="AI440" s="551"/>
      <c r="AJ440" s="551"/>
      <c r="AK440" s="551"/>
      <c r="AL440" s="551"/>
      <c r="AM440" s="551"/>
      <c r="AN440" s="551"/>
      <c r="AO440" s="551"/>
      <c r="AP440" s="551"/>
      <c r="AQ440" s="551"/>
      <c r="AR440" s="551"/>
      <c r="AS440" s="551"/>
      <c r="AT440" s="551"/>
      <c r="AU440" s="551"/>
      <c r="AV440" s="551"/>
      <c r="AW440" s="551"/>
      <c r="AX440" s="551"/>
      <c r="AY440" s="551"/>
      <c r="AZ440" s="551"/>
      <c r="BA440" s="551"/>
      <c r="BB440" s="551"/>
      <c r="BC440" s="551"/>
      <c r="BD440" s="551"/>
      <c r="BE440" s="551"/>
      <c r="BF440" s="551"/>
    </row>
    <row r="441" spans="1:58" ht="12.75" customHeight="1">
      <c r="A441" s="551"/>
      <c r="B441" s="551"/>
      <c r="C441" s="551"/>
      <c r="D441" s="551"/>
      <c r="E441" s="551"/>
      <c r="F441" s="551"/>
      <c r="G441" s="551"/>
      <c r="H441" s="551"/>
      <c r="I441" s="551"/>
      <c r="J441" s="551"/>
      <c r="K441" s="551"/>
      <c r="L441" s="551"/>
      <c r="M441" s="551"/>
      <c r="N441" s="551"/>
      <c r="O441" s="551"/>
      <c r="P441" s="551"/>
      <c r="Q441" s="551"/>
      <c r="R441" s="551"/>
      <c r="S441" s="551"/>
      <c r="T441" s="551"/>
      <c r="U441" s="551"/>
      <c r="V441" s="551"/>
      <c r="W441" s="551"/>
      <c r="X441" s="551"/>
      <c r="Y441" s="551"/>
      <c r="Z441" s="551"/>
      <c r="AA441" s="551"/>
      <c r="AB441" s="551"/>
      <c r="AC441" s="551"/>
      <c r="AD441" s="551"/>
      <c r="AE441" s="551"/>
      <c r="AF441" s="551"/>
      <c r="AG441" s="551"/>
      <c r="AH441" s="551"/>
      <c r="AI441" s="551"/>
      <c r="AJ441" s="551"/>
      <c r="AK441" s="551"/>
      <c r="AL441" s="551"/>
      <c r="AM441" s="551"/>
      <c r="AN441" s="551"/>
      <c r="AO441" s="551"/>
      <c r="AP441" s="551"/>
      <c r="AQ441" s="551"/>
      <c r="AR441" s="551"/>
      <c r="AS441" s="551"/>
      <c r="AT441" s="551"/>
      <c r="AU441" s="551"/>
      <c r="AV441" s="551"/>
      <c r="AW441" s="551"/>
      <c r="AX441" s="551"/>
      <c r="AY441" s="551"/>
      <c r="AZ441" s="551"/>
      <c r="BA441" s="551"/>
      <c r="BB441" s="551"/>
      <c r="BC441" s="551"/>
      <c r="BD441" s="551"/>
      <c r="BE441" s="551"/>
      <c r="BF441" s="551"/>
    </row>
    <row r="442" spans="1:58" ht="12.75" customHeight="1">
      <c r="A442" s="551"/>
      <c r="B442" s="551"/>
      <c r="C442" s="551"/>
      <c r="D442" s="551"/>
      <c r="E442" s="551"/>
      <c r="F442" s="551"/>
      <c r="G442" s="551"/>
      <c r="H442" s="551"/>
      <c r="I442" s="551"/>
      <c r="J442" s="551"/>
      <c r="K442" s="551"/>
      <c r="L442" s="551"/>
      <c r="M442" s="551"/>
      <c r="N442" s="551"/>
      <c r="O442" s="551"/>
      <c r="P442" s="551"/>
      <c r="Q442" s="551"/>
      <c r="R442" s="551"/>
      <c r="S442" s="551"/>
      <c r="T442" s="551"/>
      <c r="U442" s="551"/>
      <c r="V442" s="551"/>
      <c r="W442" s="551"/>
      <c r="X442" s="551"/>
      <c r="Y442" s="551"/>
      <c r="Z442" s="551"/>
      <c r="AA442" s="551"/>
      <c r="AB442" s="551"/>
      <c r="AC442" s="551"/>
      <c r="AD442" s="551"/>
      <c r="AE442" s="551"/>
      <c r="AF442" s="551"/>
      <c r="AG442" s="551"/>
      <c r="AH442" s="551"/>
      <c r="AI442" s="551"/>
      <c r="AJ442" s="551"/>
      <c r="AK442" s="551"/>
      <c r="AL442" s="551"/>
      <c r="AM442" s="551"/>
      <c r="AN442" s="551"/>
      <c r="AO442" s="551"/>
      <c r="AP442" s="551"/>
      <c r="AQ442" s="551"/>
      <c r="AR442" s="551"/>
      <c r="AS442" s="551"/>
      <c r="AT442" s="551"/>
      <c r="AU442" s="551"/>
      <c r="AV442" s="551"/>
      <c r="AW442" s="551"/>
      <c r="AX442" s="551"/>
      <c r="AY442" s="551"/>
      <c r="AZ442" s="551"/>
      <c r="BA442" s="551"/>
      <c r="BB442" s="551"/>
      <c r="BC442" s="551"/>
      <c r="BD442" s="551"/>
      <c r="BE442" s="551"/>
      <c r="BF442" s="551"/>
    </row>
    <row r="443" spans="1:58" ht="12.75" customHeight="1">
      <c r="A443" s="551"/>
      <c r="B443" s="551"/>
      <c r="C443" s="551"/>
      <c r="D443" s="551"/>
      <c r="E443" s="551"/>
      <c r="F443" s="551"/>
      <c r="G443" s="551"/>
      <c r="H443" s="551"/>
      <c r="I443" s="551"/>
      <c r="J443" s="551"/>
      <c r="K443" s="551"/>
      <c r="L443" s="551"/>
      <c r="M443" s="551"/>
      <c r="N443" s="551"/>
      <c r="O443" s="551"/>
      <c r="P443" s="551"/>
      <c r="Q443" s="551"/>
      <c r="R443" s="551"/>
      <c r="S443" s="551"/>
      <c r="T443" s="551"/>
      <c r="U443" s="551"/>
      <c r="V443" s="551"/>
      <c r="W443" s="551"/>
      <c r="X443" s="551"/>
      <c r="Y443" s="551"/>
      <c r="Z443" s="551"/>
      <c r="AA443" s="551"/>
      <c r="AB443" s="551"/>
      <c r="AC443" s="551"/>
      <c r="AD443" s="551"/>
      <c r="AE443" s="551"/>
      <c r="AF443" s="551"/>
      <c r="AG443" s="551"/>
      <c r="AH443" s="551"/>
      <c r="AI443" s="551"/>
      <c r="AJ443" s="551"/>
      <c r="AK443" s="551"/>
      <c r="AL443" s="551"/>
      <c r="AM443" s="551"/>
      <c r="AN443" s="551"/>
      <c r="AO443" s="551"/>
      <c r="AP443" s="551"/>
      <c r="AQ443" s="551"/>
      <c r="AR443" s="551"/>
      <c r="AS443" s="551"/>
      <c r="AT443" s="551"/>
      <c r="AU443" s="551"/>
      <c r="AV443" s="551"/>
      <c r="AW443" s="551"/>
      <c r="AX443" s="551"/>
      <c r="AY443" s="551"/>
      <c r="AZ443" s="551"/>
      <c r="BA443" s="551"/>
      <c r="BB443" s="551"/>
      <c r="BC443" s="551"/>
      <c r="BD443" s="551"/>
      <c r="BE443" s="551"/>
      <c r="BF443" s="551"/>
    </row>
    <row r="444" spans="1:58" ht="12.75" customHeight="1">
      <c r="A444" s="551"/>
      <c r="B444" s="551"/>
      <c r="C444" s="551"/>
      <c r="D444" s="551"/>
      <c r="E444" s="551"/>
      <c r="F444" s="551"/>
      <c r="G444" s="551"/>
      <c r="H444" s="551"/>
      <c r="I444" s="551"/>
      <c r="J444" s="551"/>
      <c r="K444" s="551"/>
      <c r="L444" s="551"/>
      <c r="M444" s="551"/>
      <c r="N444" s="551"/>
      <c r="O444" s="551"/>
      <c r="P444" s="551"/>
      <c r="Q444" s="551"/>
      <c r="R444" s="551"/>
      <c r="S444" s="551"/>
      <c r="T444" s="551"/>
      <c r="U444" s="551"/>
      <c r="V444" s="551"/>
      <c r="W444" s="551"/>
      <c r="X444" s="551"/>
      <c r="Y444" s="551"/>
      <c r="Z444" s="551"/>
      <c r="AA444" s="551"/>
      <c r="AB444" s="551"/>
      <c r="AC444" s="551"/>
      <c r="AD444" s="551"/>
      <c r="AE444" s="551"/>
      <c r="AF444" s="551"/>
      <c r="AG444" s="551"/>
      <c r="AH444" s="551"/>
      <c r="AI444" s="551"/>
      <c r="AJ444" s="551"/>
      <c r="AK444" s="551"/>
      <c r="AL444" s="551"/>
      <c r="AM444" s="551"/>
      <c r="AN444" s="551"/>
      <c r="AO444" s="551"/>
      <c r="AP444" s="551"/>
      <c r="AQ444" s="551"/>
      <c r="AR444" s="551"/>
      <c r="AS444" s="551"/>
      <c r="AT444" s="551"/>
      <c r="AU444" s="551"/>
      <c r="AV444" s="551"/>
      <c r="AW444" s="551"/>
      <c r="AX444" s="551"/>
      <c r="AY444" s="551"/>
      <c r="AZ444" s="551"/>
      <c r="BA444" s="551"/>
      <c r="BB444" s="551"/>
      <c r="BC444" s="551"/>
      <c r="BD444" s="551"/>
      <c r="BE444" s="551"/>
      <c r="BF444" s="551"/>
    </row>
    <row r="445" spans="1:58" ht="12.75" customHeight="1">
      <c r="A445" s="551"/>
      <c r="B445" s="551"/>
      <c r="C445" s="551"/>
      <c r="D445" s="551"/>
      <c r="E445" s="551"/>
      <c r="F445" s="551"/>
      <c r="G445" s="551"/>
      <c r="H445" s="551"/>
      <c r="I445" s="551"/>
      <c r="J445" s="551"/>
      <c r="K445" s="551"/>
      <c r="L445" s="551"/>
      <c r="M445" s="551"/>
      <c r="N445" s="551"/>
      <c r="O445" s="551"/>
      <c r="P445" s="551"/>
      <c r="Q445" s="551"/>
      <c r="R445" s="551"/>
      <c r="S445" s="551"/>
      <c r="T445" s="551"/>
      <c r="U445" s="551"/>
      <c r="V445" s="551"/>
      <c r="W445" s="551"/>
      <c r="X445" s="551"/>
      <c r="Y445" s="551"/>
      <c r="Z445" s="551"/>
      <c r="AA445" s="551"/>
      <c r="AB445" s="551"/>
      <c r="AC445" s="551"/>
      <c r="AD445" s="551"/>
      <c r="AE445" s="551"/>
      <c r="AF445" s="551"/>
      <c r="AG445" s="551"/>
      <c r="AH445" s="551"/>
      <c r="AI445" s="551"/>
      <c r="AJ445" s="551"/>
      <c r="AK445" s="551"/>
      <c r="AL445" s="551"/>
      <c r="AM445" s="551"/>
      <c r="AN445" s="551"/>
      <c r="AO445" s="551"/>
      <c r="AP445" s="551"/>
      <c r="AQ445" s="551"/>
      <c r="AR445" s="551"/>
      <c r="AS445" s="551"/>
      <c r="AT445" s="551"/>
      <c r="AU445" s="551"/>
      <c r="AV445" s="551"/>
      <c r="AW445" s="551"/>
      <c r="AX445" s="551"/>
      <c r="AY445" s="551"/>
      <c r="AZ445" s="551"/>
      <c r="BA445" s="551"/>
      <c r="BB445" s="551"/>
      <c r="BC445" s="551"/>
      <c r="BD445" s="551"/>
      <c r="BE445" s="551"/>
      <c r="BF445" s="551"/>
    </row>
    <row r="446" spans="1:58" ht="12.75" customHeight="1">
      <c r="A446" s="551"/>
      <c r="B446" s="551"/>
      <c r="C446" s="551"/>
      <c r="D446" s="551"/>
      <c r="E446" s="551"/>
      <c r="F446" s="551"/>
      <c r="G446" s="551"/>
      <c r="H446" s="551"/>
      <c r="I446" s="551"/>
      <c r="J446" s="551"/>
      <c r="K446" s="551"/>
      <c r="L446" s="551"/>
      <c r="M446" s="551"/>
      <c r="N446" s="551"/>
      <c r="O446" s="551"/>
      <c r="P446" s="551"/>
      <c r="Q446" s="551"/>
      <c r="R446" s="551"/>
      <c r="S446" s="551"/>
      <c r="T446" s="551"/>
      <c r="U446" s="551"/>
      <c r="V446" s="551"/>
      <c r="W446" s="551"/>
      <c r="X446" s="551"/>
      <c r="Y446" s="551"/>
      <c r="Z446" s="551"/>
      <c r="AA446" s="551"/>
      <c r="AB446" s="551"/>
      <c r="AC446" s="551"/>
      <c r="AD446" s="551"/>
      <c r="AE446" s="551"/>
      <c r="AF446" s="551"/>
      <c r="AG446" s="551"/>
      <c r="AH446" s="551"/>
      <c r="AI446" s="551"/>
      <c r="AJ446" s="551"/>
      <c r="AK446" s="551"/>
      <c r="AL446" s="551"/>
      <c r="AM446" s="551"/>
      <c r="AN446" s="551"/>
      <c r="AO446" s="551"/>
      <c r="AP446" s="551"/>
      <c r="AQ446" s="551"/>
      <c r="AR446" s="551"/>
      <c r="AS446" s="551"/>
      <c r="AT446" s="551"/>
      <c r="AU446" s="551"/>
      <c r="AV446" s="551"/>
      <c r="AW446" s="551"/>
      <c r="AX446" s="551"/>
      <c r="AY446" s="551"/>
      <c r="AZ446" s="551"/>
      <c r="BA446" s="551"/>
      <c r="BB446" s="551"/>
      <c r="BC446" s="551"/>
      <c r="BD446" s="551"/>
      <c r="BE446" s="551"/>
      <c r="BF446" s="551"/>
    </row>
    <row r="447" spans="1:58" ht="12.75" customHeight="1">
      <c r="A447" s="551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1"/>
      <c r="P447" s="551"/>
      <c r="Q447" s="551"/>
      <c r="R447" s="551"/>
      <c r="S447" s="551"/>
      <c r="T447" s="551"/>
      <c r="U447" s="551"/>
      <c r="V447" s="551"/>
      <c r="W447" s="551"/>
      <c r="X447" s="551"/>
      <c r="Y447" s="551"/>
      <c r="Z447" s="551"/>
      <c r="AA447" s="551"/>
      <c r="AB447" s="551"/>
      <c r="AC447" s="551"/>
      <c r="AD447" s="551"/>
      <c r="AE447" s="551"/>
      <c r="AF447" s="551"/>
      <c r="AG447" s="551"/>
      <c r="AH447" s="551"/>
      <c r="AI447" s="551"/>
      <c r="AJ447" s="551"/>
      <c r="AK447" s="551"/>
      <c r="AL447" s="551"/>
      <c r="AM447" s="551"/>
      <c r="AN447" s="551"/>
      <c r="AO447" s="551"/>
      <c r="AP447" s="551"/>
      <c r="AQ447" s="551"/>
      <c r="AR447" s="551"/>
      <c r="AS447" s="551"/>
      <c r="AT447" s="551"/>
      <c r="AU447" s="551"/>
      <c r="AV447" s="551"/>
      <c r="AW447" s="551"/>
      <c r="AX447" s="551"/>
      <c r="AY447" s="551"/>
      <c r="AZ447" s="551"/>
      <c r="BA447" s="551"/>
      <c r="BB447" s="551"/>
      <c r="BC447" s="551"/>
      <c r="BD447" s="551"/>
      <c r="BE447" s="551"/>
      <c r="BF447" s="551"/>
    </row>
    <row r="448" spans="1:58" ht="12.75" customHeight="1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1"/>
      <c r="P448" s="551"/>
      <c r="Q448" s="551"/>
      <c r="R448" s="551"/>
      <c r="S448" s="551"/>
      <c r="T448" s="551"/>
      <c r="U448" s="551"/>
      <c r="V448" s="551"/>
      <c r="W448" s="551"/>
      <c r="X448" s="551"/>
      <c r="Y448" s="551"/>
      <c r="Z448" s="551"/>
      <c r="AA448" s="551"/>
      <c r="AB448" s="551"/>
      <c r="AC448" s="551"/>
      <c r="AD448" s="551"/>
      <c r="AE448" s="551"/>
      <c r="AF448" s="551"/>
      <c r="AG448" s="551"/>
      <c r="AH448" s="551"/>
      <c r="AI448" s="551"/>
      <c r="AJ448" s="551"/>
      <c r="AK448" s="551"/>
      <c r="AL448" s="551"/>
      <c r="AM448" s="551"/>
      <c r="AN448" s="551"/>
      <c r="AO448" s="551"/>
      <c r="AP448" s="551"/>
      <c r="AQ448" s="551"/>
      <c r="AR448" s="551"/>
      <c r="AS448" s="551"/>
      <c r="AT448" s="551"/>
      <c r="AU448" s="551"/>
      <c r="AV448" s="551"/>
      <c r="AW448" s="551"/>
      <c r="AX448" s="551"/>
      <c r="AY448" s="551"/>
      <c r="AZ448" s="551"/>
      <c r="BA448" s="551"/>
      <c r="BB448" s="551"/>
      <c r="BC448" s="551"/>
      <c r="BD448" s="551"/>
      <c r="BE448" s="551"/>
      <c r="BF448" s="551"/>
    </row>
    <row r="449" spans="1:58" ht="12.75" customHeight="1">
      <c r="A449" s="551"/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51"/>
      <c r="AB449" s="551"/>
      <c r="AC449" s="551"/>
      <c r="AD449" s="551"/>
      <c r="AE449" s="551"/>
      <c r="AF449" s="551"/>
      <c r="AG449" s="551"/>
      <c r="AH449" s="551"/>
      <c r="AI449" s="551"/>
      <c r="AJ449" s="551"/>
      <c r="AK449" s="551"/>
      <c r="AL449" s="551"/>
      <c r="AM449" s="551"/>
      <c r="AN449" s="551"/>
      <c r="AO449" s="551"/>
      <c r="AP449" s="551"/>
      <c r="AQ449" s="551"/>
      <c r="AR449" s="551"/>
      <c r="AS449" s="551"/>
      <c r="AT449" s="551"/>
      <c r="AU449" s="551"/>
      <c r="AV449" s="551"/>
      <c r="AW449" s="551"/>
      <c r="AX449" s="551"/>
      <c r="AY449" s="551"/>
      <c r="AZ449" s="551"/>
      <c r="BA449" s="551"/>
      <c r="BB449" s="551"/>
      <c r="BC449" s="551"/>
      <c r="BD449" s="551"/>
      <c r="BE449" s="551"/>
      <c r="BF449" s="551"/>
    </row>
    <row r="450" spans="1:58" ht="12.75" customHeight="1">
      <c r="A450" s="551"/>
      <c r="B450" s="551"/>
      <c r="C450" s="551"/>
      <c r="D450" s="551"/>
      <c r="E450" s="551"/>
      <c r="F450" s="551"/>
      <c r="G450" s="551"/>
      <c r="H450" s="551"/>
      <c r="I450" s="551"/>
      <c r="J450" s="551"/>
      <c r="K450" s="551"/>
      <c r="L450" s="551"/>
      <c r="M450" s="551"/>
      <c r="N450" s="551"/>
      <c r="O450" s="551"/>
      <c r="P450" s="551"/>
      <c r="Q450" s="551"/>
      <c r="R450" s="551"/>
      <c r="S450" s="551"/>
      <c r="T450" s="551"/>
      <c r="U450" s="551"/>
      <c r="V450" s="551"/>
      <c r="W450" s="551"/>
      <c r="X450" s="551"/>
      <c r="Y450" s="551"/>
      <c r="Z450" s="551"/>
      <c r="AA450" s="551"/>
      <c r="AB450" s="551"/>
      <c r="AC450" s="551"/>
      <c r="AD450" s="551"/>
      <c r="AE450" s="551"/>
      <c r="AF450" s="551"/>
      <c r="AG450" s="551"/>
      <c r="AH450" s="551"/>
      <c r="AI450" s="551"/>
      <c r="AJ450" s="551"/>
      <c r="AK450" s="551"/>
      <c r="AL450" s="551"/>
      <c r="AM450" s="551"/>
      <c r="AN450" s="551"/>
      <c r="AO450" s="551"/>
      <c r="AP450" s="551"/>
      <c r="AQ450" s="551"/>
      <c r="AR450" s="551"/>
      <c r="AS450" s="551"/>
      <c r="AT450" s="551"/>
      <c r="AU450" s="551"/>
      <c r="AV450" s="551"/>
      <c r="AW450" s="551"/>
      <c r="AX450" s="551"/>
      <c r="AY450" s="551"/>
      <c r="AZ450" s="551"/>
      <c r="BA450" s="551"/>
      <c r="BB450" s="551"/>
      <c r="BC450" s="551"/>
      <c r="BD450" s="551"/>
      <c r="BE450" s="551"/>
      <c r="BF450" s="551"/>
    </row>
    <row r="451" spans="1:58" ht="12.75" customHeight="1">
      <c r="A451" s="551"/>
      <c r="B451" s="551"/>
      <c r="C451" s="551"/>
      <c r="D451" s="551"/>
      <c r="E451" s="551"/>
      <c r="F451" s="551"/>
      <c r="G451" s="551"/>
      <c r="H451" s="551"/>
      <c r="I451" s="551"/>
      <c r="J451" s="551"/>
      <c r="K451" s="551"/>
      <c r="L451" s="551"/>
      <c r="M451" s="551"/>
      <c r="N451" s="551"/>
      <c r="O451" s="551"/>
      <c r="P451" s="551"/>
      <c r="Q451" s="551"/>
      <c r="R451" s="551"/>
      <c r="S451" s="551"/>
      <c r="T451" s="551"/>
      <c r="U451" s="551"/>
      <c r="V451" s="551"/>
      <c r="W451" s="551"/>
      <c r="X451" s="551"/>
      <c r="Y451" s="551"/>
      <c r="Z451" s="551"/>
      <c r="AA451" s="551"/>
      <c r="AB451" s="551"/>
      <c r="AC451" s="551"/>
      <c r="AD451" s="551"/>
      <c r="AE451" s="551"/>
      <c r="AF451" s="551"/>
      <c r="AG451" s="551"/>
      <c r="AH451" s="551"/>
      <c r="AI451" s="551"/>
      <c r="AJ451" s="551"/>
      <c r="AK451" s="551"/>
      <c r="AL451" s="551"/>
      <c r="AM451" s="551"/>
      <c r="AN451" s="551"/>
      <c r="AO451" s="551"/>
      <c r="AP451" s="551"/>
      <c r="AQ451" s="551"/>
      <c r="AR451" s="551"/>
      <c r="AS451" s="551"/>
      <c r="AT451" s="551"/>
      <c r="AU451" s="551"/>
      <c r="AV451" s="551"/>
      <c r="AW451" s="551"/>
      <c r="AX451" s="551"/>
      <c r="AY451" s="551"/>
      <c r="AZ451" s="551"/>
      <c r="BA451" s="551"/>
      <c r="BB451" s="551"/>
      <c r="BC451" s="551"/>
      <c r="BD451" s="551"/>
      <c r="BE451" s="551"/>
      <c r="BF451" s="551"/>
    </row>
    <row r="452" spans="1:58" ht="12.75" customHeight="1">
      <c r="A452" s="551"/>
      <c r="B452" s="551"/>
      <c r="C452" s="551"/>
      <c r="D452" s="551"/>
      <c r="E452" s="551"/>
      <c r="F452" s="551"/>
      <c r="G452" s="551"/>
      <c r="H452" s="551"/>
      <c r="I452" s="551"/>
      <c r="J452" s="551"/>
      <c r="K452" s="551"/>
      <c r="L452" s="551"/>
      <c r="M452" s="551"/>
      <c r="N452" s="551"/>
      <c r="O452" s="551"/>
      <c r="P452" s="551"/>
      <c r="Q452" s="551"/>
      <c r="R452" s="551"/>
      <c r="S452" s="551"/>
      <c r="T452" s="551"/>
      <c r="U452" s="551"/>
      <c r="V452" s="551"/>
      <c r="W452" s="551"/>
      <c r="X452" s="551"/>
      <c r="Y452" s="551"/>
      <c r="Z452" s="551"/>
      <c r="AA452" s="551"/>
      <c r="AB452" s="551"/>
      <c r="AC452" s="551"/>
      <c r="AD452" s="551"/>
      <c r="AE452" s="551"/>
      <c r="AF452" s="551"/>
      <c r="AG452" s="551"/>
      <c r="AH452" s="551"/>
      <c r="AI452" s="551"/>
      <c r="AJ452" s="551"/>
      <c r="AK452" s="551"/>
      <c r="AL452" s="551"/>
      <c r="AM452" s="551"/>
      <c r="AN452" s="551"/>
      <c r="AO452" s="551"/>
      <c r="AP452" s="551"/>
      <c r="AQ452" s="551"/>
      <c r="AR452" s="551"/>
      <c r="AS452" s="551"/>
      <c r="AT452" s="551"/>
      <c r="AU452" s="551"/>
      <c r="AV452" s="551"/>
      <c r="AW452" s="551"/>
      <c r="AX452" s="551"/>
      <c r="AY452" s="551"/>
      <c r="AZ452" s="551"/>
      <c r="BA452" s="551"/>
      <c r="BB452" s="551"/>
      <c r="BC452" s="551"/>
      <c r="BD452" s="551"/>
      <c r="BE452" s="551"/>
      <c r="BF452" s="551"/>
    </row>
    <row r="453" spans="1:58" ht="12.75" customHeight="1">
      <c r="A453" s="551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1"/>
      <c r="P453" s="551"/>
      <c r="Q453" s="551"/>
      <c r="R453" s="551"/>
      <c r="S453" s="551"/>
      <c r="T453" s="551"/>
      <c r="U453" s="551"/>
      <c r="V453" s="551"/>
      <c r="W453" s="551"/>
      <c r="X453" s="551"/>
      <c r="Y453" s="551"/>
      <c r="Z453" s="551"/>
      <c r="AA453" s="551"/>
      <c r="AB453" s="551"/>
      <c r="AC453" s="551"/>
      <c r="AD453" s="551"/>
      <c r="AE453" s="551"/>
      <c r="AF453" s="551"/>
      <c r="AG453" s="551"/>
      <c r="AH453" s="551"/>
      <c r="AI453" s="551"/>
      <c r="AJ453" s="551"/>
      <c r="AK453" s="551"/>
      <c r="AL453" s="551"/>
      <c r="AM453" s="551"/>
      <c r="AN453" s="551"/>
      <c r="AO453" s="551"/>
      <c r="AP453" s="551"/>
      <c r="AQ453" s="551"/>
      <c r="AR453" s="551"/>
      <c r="AS453" s="551"/>
      <c r="AT453" s="551"/>
      <c r="AU453" s="551"/>
      <c r="AV453" s="551"/>
      <c r="AW453" s="551"/>
      <c r="AX453" s="551"/>
      <c r="AY453" s="551"/>
      <c r="AZ453" s="551"/>
      <c r="BA453" s="551"/>
      <c r="BB453" s="551"/>
      <c r="BC453" s="551"/>
      <c r="BD453" s="551"/>
      <c r="BE453" s="551"/>
      <c r="BF453" s="551"/>
    </row>
    <row r="454" spans="1:58" ht="12.75" customHeight="1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1"/>
      <c r="P454" s="551"/>
      <c r="Q454" s="551"/>
      <c r="R454" s="551"/>
      <c r="S454" s="551"/>
      <c r="T454" s="551"/>
      <c r="U454" s="551"/>
      <c r="V454" s="551"/>
      <c r="W454" s="551"/>
      <c r="X454" s="551"/>
      <c r="Y454" s="551"/>
      <c r="Z454" s="551"/>
      <c r="AA454" s="551"/>
      <c r="AB454" s="551"/>
      <c r="AC454" s="551"/>
      <c r="AD454" s="551"/>
      <c r="AE454" s="551"/>
      <c r="AF454" s="551"/>
      <c r="AG454" s="551"/>
      <c r="AH454" s="551"/>
      <c r="AI454" s="551"/>
      <c r="AJ454" s="551"/>
      <c r="AK454" s="551"/>
      <c r="AL454" s="551"/>
      <c r="AM454" s="551"/>
      <c r="AN454" s="551"/>
      <c r="AO454" s="551"/>
      <c r="AP454" s="551"/>
      <c r="AQ454" s="551"/>
      <c r="AR454" s="551"/>
      <c r="AS454" s="551"/>
      <c r="AT454" s="551"/>
      <c r="AU454" s="551"/>
      <c r="AV454" s="551"/>
      <c r="AW454" s="551"/>
      <c r="AX454" s="551"/>
      <c r="AY454" s="551"/>
      <c r="AZ454" s="551"/>
      <c r="BA454" s="551"/>
      <c r="BB454" s="551"/>
      <c r="BC454" s="551"/>
      <c r="BD454" s="551"/>
      <c r="BE454" s="551"/>
      <c r="BF454" s="551"/>
    </row>
    <row r="455" spans="1:58" ht="12.75" customHeight="1">
      <c r="A455" s="551"/>
      <c r="B455" s="551"/>
      <c r="C455" s="551"/>
      <c r="D455" s="551"/>
      <c r="E455" s="551"/>
      <c r="F455" s="551"/>
      <c r="G455" s="551"/>
      <c r="H455" s="551"/>
      <c r="I455" s="551"/>
      <c r="J455" s="551"/>
      <c r="K455" s="551"/>
      <c r="L455" s="551"/>
      <c r="M455" s="551"/>
      <c r="N455" s="551"/>
      <c r="O455" s="551"/>
      <c r="P455" s="551"/>
      <c r="Q455" s="551"/>
      <c r="R455" s="551"/>
      <c r="S455" s="551"/>
      <c r="T455" s="551"/>
      <c r="U455" s="551"/>
      <c r="V455" s="551"/>
      <c r="W455" s="551"/>
      <c r="X455" s="551"/>
      <c r="Y455" s="551"/>
      <c r="Z455" s="551"/>
      <c r="AA455" s="551"/>
      <c r="AB455" s="551"/>
      <c r="AC455" s="551"/>
      <c r="AD455" s="551"/>
      <c r="AE455" s="551"/>
      <c r="AF455" s="551"/>
      <c r="AG455" s="551"/>
      <c r="AH455" s="551"/>
      <c r="AI455" s="551"/>
      <c r="AJ455" s="551"/>
      <c r="AK455" s="551"/>
      <c r="AL455" s="551"/>
      <c r="AM455" s="551"/>
      <c r="AN455" s="551"/>
      <c r="AO455" s="551"/>
      <c r="AP455" s="551"/>
      <c r="AQ455" s="551"/>
      <c r="AR455" s="551"/>
      <c r="AS455" s="551"/>
      <c r="AT455" s="551"/>
      <c r="AU455" s="551"/>
      <c r="AV455" s="551"/>
      <c r="AW455" s="551"/>
      <c r="AX455" s="551"/>
      <c r="AY455" s="551"/>
      <c r="AZ455" s="551"/>
      <c r="BA455" s="551"/>
      <c r="BB455" s="551"/>
      <c r="BC455" s="551"/>
      <c r="BD455" s="551"/>
      <c r="BE455" s="551"/>
      <c r="BF455" s="551"/>
    </row>
    <row r="456" spans="1:58" ht="12.75" customHeight="1">
      <c r="A456" s="551"/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51"/>
      <c r="AB456" s="551"/>
      <c r="AC456" s="551"/>
      <c r="AD456" s="551"/>
      <c r="AE456" s="551"/>
      <c r="AF456" s="551"/>
      <c r="AG456" s="551"/>
      <c r="AH456" s="551"/>
      <c r="AI456" s="551"/>
      <c r="AJ456" s="551"/>
      <c r="AK456" s="551"/>
      <c r="AL456" s="551"/>
      <c r="AM456" s="551"/>
      <c r="AN456" s="551"/>
      <c r="AO456" s="551"/>
      <c r="AP456" s="551"/>
      <c r="AQ456" s="551"/>
      <c r="AR456" s="551"/>
      <c r="AS456" s="551"/>
      <c r="AT456" s="551"/>
      <c r="AU456" s="551"/>
      <c r="AV456" s="551"/>
      <c r="AW456" s="551"/>
      <c r="AX456" s="551"/>
      <c r="AY456" s="551"/>
      <c r="AZ456" s="551"/>
      <c r="BA456" s="551"/>
      <c r="BB456" s="551"/>
      <c r="BC456" s="551"/>
      <c r="BD456" s="551"/>
      <c r="BE456" s="551"/>
      <c r="BF456" s="551"/>
    </row>
    <row r="457" spans="1:58" ht="12.75" customHeight="1">
      <c r="A457" s="551"/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51"/>
      <c r="AB457" s="551"/>
      <c r="AC457" s="551"/>
      <c r="AD457" s="551"/>
      <c r="AE457" s="551"/>
      <c r="AF457" s="551"/>
      <c r="AG457" s="551"/>
      <c r="AH457" s="551"/>
      <c r="AI457" s="551"/>
      <c r="AJ457" s="551"/>
      <c r="AK457" s="551"/>
      <c r="AL457" s="551"/>
      <c r="AM457" s="551"/>
      <c r="AN457" s="551"/>
      <c r="AO457" s="551"/>
      <c r="AP457" s="551"/>
      <c r="AQ457" s="551"/>
      <c r="AR457" s="551"/>
      <c r="AS457" s="551"/>
      <c r="AT457" s="551"/>
      <c r="AU457" s="551"/>
      <c r="AV457" s="551"/>
      <c r="AW457" s="551"/>
      <c r="AX457" s="551"/>
      <c r="AY457" s="551"/>
      <c r="AZ457" s="551"/>
      <c r="BA457" s="551"/>
      <c r="BB457" s="551"/>
      <c r="BC457" s="551"/>
      <c r="BD457" s="551"/>
      <c r="BE457" s="551"/>
      <c r="BF457" s="551"/>
    </row>
    <row r="458" spans="1:58" ht="12.75" customHeight="1">
      <c r="A458" s="551"/>
      <c r="B458" s="551"/>
      <c r="C458" s="551"/>
      <c r="D458" s="551"/>
      <c r="E458" s="551"/>
      <c r="F458" s="551"/>
      <c r="G458" s="551"/>
      <c r="H458" s="551"/>
      <c r="I458" s="551"/>
      <c r="J458" s="551"/>
      <c r="K458" s="551"/>
      <c r="L458" s="551"/>
      <c r="M458" s="551"/>
      <c r="N458" s="551"/>
      <c r="O458" s="551"/>
      <c r="P458" s="551"/>
      <c r="Q458" s="551"/>
      <c r="R458" s="551"/>
      <c r="S458" s="551"/>
      <c r="T458" s="551"/>
      <c r="U458" s="551"/>
      <c r="V458" s="551"/>
      <c r="W458" s="551"/>
      <c r="X458" s="551"/>
      <c r="Y458" s="551"/>
      <c r="Z458" s="551"/>
      <c r="AA458" s="551"/>
      <c r="AB458" s="551"/>
      <c r="AC458" s="551"/>
      <c r="AD458" s="551"/>
      <c r="AE458" s="551"/>
      <c r="AF458" s="551"/>
      <c r="AG458" s="551"/>
      <c r="AH458" s="551"/>
      <c r="AI458" s="551"/>
      <c r="AJ458" s="551"/>
      <c r="AK458" s="551"/>
      <c r="AL458" s="551"/>
      <c r="AM458" s="551"/>
      <c r="AN458" s="551"/>
      <c r="AO458" s="551"/>
      <c r="AP458" s="551"/>
      <c r="AQ458" s="551"/>
      <c r="AR458" s="551"/>
      <c r="AS458" s="551"/>
      <c r="AT458" s="551"/>
      <c r="AU458" s="551"/>
      <c r="AV458" s="551"/>
      <c r="AW458" s="551"/>
      <c r="AX458" s="551"/>
      <c r="AY458" s="551"/>
      <c r="AZ458" s="551"/>
      <c r="BA458" s="551"/>
      <c r="BB458" s="551"/>
      <c r="BC458" s="551"/>
      <c r="BD458" s="551"/>
      <c r="BE458" s="551"/>
      <c r="BF458" s="551"/>
    </row>
    <row r="459" spans="1:58" ht="12.75" customHeight="1">
      <c r="A459" s="551"/>
      <c r="B459" s="551"/>
      <c r="C459" s="551"/>
      <c r="D459" s="551"/>
      <c r="E459" s="551"/>
      <c r="F459" s="551"/>
      <c r="G459" s="551"/>
      <c r="H459" s="551"/>
      <c r="I459" s="551"/>
      <c r="J459" s="551"/>
      <c r="K459" s="551"/>
      <c r="L459" s="551"/>
      <c r="M459" s="551"/>
      <c r="N459" s="551"/>
      <c r="O459" s="551"/>
      <c r="P459" s="551"/>
      <c r="Q459" s="551"/>
      <c r="R459" s="551"/>
      <c r="S459" s="551"/>
      <c r="T459" s="551"/>
      <c r="U459" s="551"/>
      <c r="V459" s="551"/>
      <c r="W459" s="551"/>
      <c r="X459" s="551"/>
      <c r="Y459" s="551"/>
      <c r="Z459" s="551"/>
      <c r="AA459" s="551"/>
      <c r="AB459" s="551"/>
      <c r="AC459" s="551"/>
      <c r="AD459" s="551"/>
      <c r="AE459" s="551"/>
      <c r="AF459" s="551"/>
      <c r="AG459" s="551"/>
      <c r="AH459" s="551"/>
      <c r="AI459" s="551"/>
      <c r="AJ459" s="551"/>
      <c r="AK459" s="551"/>
      <c r="AL459" s="551"/>
      <c r="AM459" s="551"/>
      <c r="AN459" s="551"/>
      <c r="AO459" s="551"/>
      <c r="AP459" s="551"/>
      <c r="AQ459" s="551"/>
      <c r="AR459" s="551"/>
      <c r="AS459" s="551"/>
      <c r="AT459" s="551"/>
      <c r="AU459" s="551"/>
      <c r="AV459" s="551"/>
      <c r="AW459" s="551"/>
      <c r="AX459" s="551"/>
      <c r="AY459" s="551"/>
      <c r="AZ459" s="551"/>
      <c r="BA459" s="551"/>
      <c r="BB459" s="551"/>
      <c r="BC459" s="551"/>
      <c r="BD459" s="551"/>
      <c r="BE459" s="551"/>
      <c r="BF459" s="551"/>
    </row>
    <row r="460" spans="1:58" ht="12.75" customHeight="1">
      <c r="A460" s="551"/>
      <c r="B460" s="551"/>
      <c r="C460" s="551"/>
      <c r="D460" s="551"/>
      <c r="E460" s="551"/>
      <c r="F460" s="551"/>
      <c r="G460" s="551"/>
      <c r="H460" s="551"/>
      <c r="I460" s="551"/>
      <c r="J460" s="551"/>
      <c r="K460" s="551"/>
      <c r="L460" s="551"/>
      <c r="M460" s="551"/>
      <c r="N460" s="551"/>
      <c r="O460" s="551"/>
      <c r="P460" s="551"/>
      <c r="Q460" s="551"/>
      <c r="R460" s="551"/>
      <c r="S460" s="551"/>
      <c r="T460" s="551"/>
      <c r="U460" s="551"/>
      <c r="V460" s="551"/>
      <c r="W460" s="551"/>
      <c r="X460" s="551"/>
      <c r="Y460" s="551"/>
      <c r="Z460" s="551"/>
      <c r="AA460" s="551"/>
      <c r="AB460" s="551"/>
      <c r="AC460" s="551"/>
      <c r="AD460" s="551"/>
      <c r="AE460" s="551"/>
      <c r="AF460" s="551"/>
      <c r="AG460" s="551"/>
      <c r="AH460" s="551"/>
      <c r="AI460" s="551"/>
      <c r="AJ460" s="551"/>
      <c r="AK460" s="551"/>
      <c r="AL460" s="551"/>
      <c r="AM460" s="551"/>
      <c r="AN460" s="551"/>
      <c r="AO460" s="551"/>
      <c r="AP460" s="551"/>
      <c r="AQ460" s="551"/>
      <c r="AR460" s="551"/>
      <c r="AS460" s="551"/>
      <c r="AT460" s="551"/>
      <c r="AU460" s="551"/>
      <c r="AV460" s="551"/>
      <c r="AW460" s="551"/>
      <c r="AX460" s="551"/>
      <c r="AY460" s="551"/>
      <c r="AZ460" s="551"/>
      <c r="BA460" s="551"/>
      <c r="BB460" s="551"/>
      <c r="BC460" s="551"/>
      <c r="BD460" s="551"/>
      <c r="BE460" s="551"/>
      <c r="BF460" s="551"/>
    </row>
    <row r="461" spans="1:58" ht="12.75" customHeight="1">
      <c r="A461" s="551"/>
      <c r="B461" s="551"/>
      <c r="C461" s="551"/>
      <c r="D461" s="551"/>
      <c r="E461" s="551"/>
      <c r="F461" s="551"/>
      <c r="G461" s="551"/>
      <c r="H461" s="551"/>
      <c r="I461" s="551"/>
      <c r="J461" s="551"/>
      <c r="K461" s="551"/>
      <c r="L461" s="551"/>
      <c r="M461" s="551"/>
      <c r="N461" s="551"/>
      <c r="O461" s="551"/>
      <c r="P461" s="551"/>
      <c r="Q461" s="551"/>
      <c r="R461" s="551"/>
      <c r="S461" s="551"/>
      <c r="T461" s="551"/>
      <c r="U461" s="551"/>
      <c r="V461" s="551"/>
      <c r="W461" s="551"/>
      <c r="X461" s="551"/>
      <c r="Y461" s="551"/>
      <c r="Z461" s="551"/>
      <c r="AA461" s="551"/>
      <c r="AB461" s="551"/>
      <c r="AC461" s="551"/>
      <c r="AD461" s="551"/>
      <c r="AE461" s="551"/>
      <c r="AF461" s="551"/>
      <c r="AG461" s="551"/>
      <c r="AH461" s="551"/>
      <c r="AI461" s="551"/>
      <c r="AJ461" s="551"/>
      <c r="AK461" s="551"/>
      <c r="AL461" s="551"/>
      <c r="AM461" s="551"/>
      <c r="AN461" s="551"/>
      <c r="AO461" s="551"/>
      <c r="AP461" s="551"/>
      <c r="AQ461" s="551"/>
      <c r="AR461" s="551"/>
      <c r="AS461" s="551"/>
      <c r="AT461" s="551"/>
      <c r="AU461" s="551"/>
      <c r="AV461" s="551"/>
      <c r="AW461" s="551"/>
      <c r="AX461" s="551"/>
      <c r="AY461" s="551"/>
      <c r="AZ461" s="551"/>
      <c r="BA461" s="551"/>
      <c r="BB461" s="551"/>
      <c r="BC461" s="551"/>
      <c r="BD461" s="551"/>
      <c r="BE461" s="551"/>
      <c r="BF461" s="551"/>
    </row>
    <row r="462" spans="1:58" ht="12.75" customHeight="1">
      <c r="A462" s="551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1"/>
      <c r="P462" s="551"/>
      <c r="Q462" s="551"/>
      <c r="R462" s="551"/>
      <c r="S462" s="551"/>
      <c r="T462" s="551"/>
      <c r="U462" s="551"/>
      <c r="V462" s="551"/>
      <c r="W462" s="551"/>
      <c r="X462" s="551"/>
      <c r="Y462" s="551"/>
      <c r="Z462" s="551"/>
      <c r="AA462" s="551"/>
      <c r="AB462" s="551"/>
      <c r="AC462" s="551"/>
      <c r="AD462" s="551"/>
      <c r="AE462" s="551"/>
      <c r="AF462" s="551"/>
      <c r="AG462" s="551"/>
      <c r="AH462" s="551"/>
      <c r="AI462" s="551"/>
      <c r="AJ462" s="551"/>
      <c r="AK462" s="551"/>
      <c r="AL462" s="551"/>
      <c r="AM462" s="551"/>
      <c r="AN462" s="551"/>
      <c r="AO462" s="551"/>
      <c r="AP462" s="551"/>
      <c r="AQ462" s="551"/>
      <c r="AR462" s="551"/>
      <c r="AS462" s="551"/>
      <c r="AT462" s="551"/>
      <c r="AU462" s="551"/>
      <c r="AV462" s="551"/>
      <c r="AW462" s="551"/>
      <c r="AX462" s="551"/>
      <c r="AY462" s="551"/>
      <c r="AZ462" s="551"/>
      <c r="BA462" s="551"/>
      <c r="BB462" s="551"/>
      <c r="BC462" s="551"/>
      <c r="BD462" s="551"/>
      <c r="BE462" s="551"/>
      <c r="BF462" s="551"/>
    </row>
    <row r="463" spans="1:58" ht="12.75" customHeight="1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1"/>
      <c r="P463" s="551"/>
      <c r="Q463" s="551"/>
      <c r="R463" s="551"/>
      <c r="S463" s="551"/>
      <c r="T463" s="551"/>
      <c r="U463" s="551"/>
      <c r="V463" s="551"/>
      <c r="W463" s="551"/>
      <c r="X463" s="551"/>
      <c r="Y463" s="551"/>
      <c r="Z463" s="551"/>
      <c r="AA463" s="551"/>
      <c r="AB463" s="551"/>
      <c r="AC463" s="551"/>
      <c r="AD463" s="551"/>
      <c r="AE463" s="551"/>
      <c r="AF463" s="551"/>
      <c r="AG463" s="551"/>
      <c r="AH463" s="551"/>
      <c r="AI463" s="551"/>
      <c r="AJ463" s="551"/>
      <c r="AK463" s="551"/>
      <c r="AL463" s="551"/>
      <c r="AM463" s="551"/>
      <c r="AN463" s="551"/>
      <c r="AO463" s="551"/>
      <c r="AP463" s="551"/>
      <c r="AQ463" s="551"/>
      <c r="AR463" s="551"/>
      <c r="AS463" s="551"/>
      <c r="AT463" s="551"/>
      <c r="AU463" s="551"/>
      <c r="AV463" s="551"/>
      <c r="AW463" s="551"/>
      <c r="AX463" s="551"/>
      <c r="AY463" s="551"/>
      <c r="AZ463" s="551"/>
      <c r="BA463" s="551"/>
      <c r="BB463" s="551"/>
      <c r="BC463" s="551"/>
      <c r="BD463" s="551"/>
      <c r="BE463" s="551"/>
      <c r="BF463" s="551"/>
    </row>
    <row r="464" spans="1:58" ht="12.75" customHeight="1">
      <c r="A464" s="551"/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51"/>
      <c r="AB464" s="551"/>
      <c r="AC464" s="551"/>
      <c r="AD464" s="551"/>
      <c r="AE464" s="551"/>
      <c r="AF464" s="551"/>
      <c r="AG464" s="551"/>
      <c r="AH464" s="551"/>
      <c r="AI464" s="551"/>
      <c r="AJ464" s="551"/>
      <c r="AK464" s="551"/>
      <c r="AL464" s="551"/>
      <c r="AM464" s="551"/>
      <c r="AN464" s="551"/>
      <c r="AO464" s="551"/>
      <c r="AP464" s="551"/>
      <c r="AQ464" s="551"/>
      <c r="AR464" s="551"/>
      <c r="AS464" s="551"/>
      <c r="AT464" s="551"/>
      <c r="AU464" s="551"/>
      <c r="AV464" s="551"/>
      <c r="AW464" s="551"/>
      <c r="AX464" s="551"/>
      <c r="AY464" s="551"/>
      <c r="AZ464" s="551"/>
      <c r="BA464" s="551"/>
      <c r="BB464" s="551"/>
      <c r="BC464" s="551"/>
      <c r="BD464" s="551"/>
      <c r="BE464" s="551"/>
      <c r="BF464" s="551"/>
    </row>
    <row r="465" spans="1:58" ht="12.75" customHeight="1">
      <c r="A465" s="551"/>
      <c r="B465" s="551"/>
      <c r="C465" s="551"/>
      <c r="D465" s="551"/>
      <c r="E465" s="551"/>
      <c r="F465" s="551"/>
      <c r="G465" s="551"/>
      <c r="H465" s="551"/>
      <c r="I465" s="551"/>
      <c r="J465" s="551"/>
      <c r="K465" s="551"/>
      <c r="L465" s="551"/>
      <c r="M465" s="551"/>
      <c r="N465" s="551"/>
      <c r="O465" s="551"/>
      <c r="P465" s="551"/>
      <c r="Q465" s="551"/>
      <c r="R465" s="551"/>
      <c r="S465" s="551"/>
      <c r="T465" s="551"/>
      <c r="U465" s="551"/>
      <c r="V465" s="551"/>
      <c r="W465" s="551"/>
      <c r="X465" s="551"/>
      <c r="Y465" s="551"/>
      <c r="Z465" s="551"/>
      <c r="AA465" s="551"/>
      <c r="AB465" s="551"/>
      <c r="AC465" s="551"/>
      <c r="AD465" s="551"/>
      <c r="AE465" s="551"/>
      <c r="AF465" s="551"/>
      <c r="AG465" s="551"/>
      <c r="AH465" s="551"/>
      <c r="AI465" s="551"/>
      <c r="AJ465" s="551"/>
      <c r="AK465" s="551"/>
      <c r="AL465" s="551"/>
      <c r="AM465" s="551"/>
      <c r="AN465" s="551"/>
      <c r="AO465" s="551"/>
      <c r="AP465" s="551"/>
      <c r="AQ465" s="551"/>
      <c r="AR465" s="551"/>
      <c r="AS465" s="551"/>
      <c r="AT465" s="551"/>
      <c r="AU465" s="551"/>
      <c r="AV465" s="551"/>
      <c r="AW465" s="551"/>
      <c r="AX465" s="551"/>
      <c r="AY465" s="551"/>
      <c r="AZ465" s="551"/>
      <c r="BA465" s="551"/>
      <c r="BB465" s="551"/>
      <c r="BC465" s="551"/>
      <c r="BD465" s="551"/>
      <c r="BE465" s="551"/>
      <c r="BF465" s="551"/>
    </row>
    <row r="466" spans="1:58" ht="12.75" customHeight="1">
      <c r="A466" s="551"/>
      <c r="B466" s="551"/>
      <c r="C466" s="551"/>
      <c r="D466" s="551"/>
      <c r="E466" s="551"/>
      <c r="F466" s="551"/>
      <c r="G466" s="551"/>
      <c r="H466" s="551"/>
      <c r="I466" s="551"/>
      <c r="J466" s="551"/>
      <c r="K466" s="551"/>
      <c r="L466" s="551"/>
      <c r="M466" s="551"/>
      <c r="N466" s="551"/>
      <c r="O466" s="551"/>
      <c r="P466" s="551"/>
      <c r="Q466" s="551"/>
      <c r="R466" s="551"/>
      <c r="S466" s="551"/>
      <c r="T466" s="551"/>
      <c r="U466" s="551"/>
      <c r="V466" s="551"/>
      <c r="W466" s="551"/>
      <c r="X466" s="551"/>
      <c r="Y466" s="551"/>
      <c r="Z466" s="551"/>
      <c r="AA466" s="551"/>
      <c r="AB466" s="551"/>
      <c r="AC466" s="551"/>
      <c r="AD466" s="551"/>
      <c r="AE466" s="551"/>
      <c r="AF466" s="551"/>
      <c r="AG466" s="551"/>
      <c r="AH466" s="551"/>
      <c r="AI466" s="551"/>
      <c r="AJ466" s="551"/>
      <c r="AK466" s="551"/>
      <c r="AL466" s="551"/>
      <c r="AM466" s="551"/>
      <c r="AN466" s="551"/>
      <c r="AO466" s="551"/>
      <c r="AP466" s="551"/>
      <c r="AQ466" s="551"/>
      <c r="AR466" s="551"/>
      <c r="AS466" s="551"/>
      <c r="AT466" s="551"/>
      <c r="AU466" s="551"/>
      <c r="AV466" s="551"/>
      <c r="AW466" s="551"/>
      <c r="AX466" s="551"/>
      <c r="AY466" s="551"/>
      <c r="AZ466" s="551"/>
      <c r="BA466" s="551"/>
      <c r="BB466" s="551"/>
      <c r="BC466" s="551"/>
      <c r="BD466" s="551"/>
      <c r="BE466" s="551"/>
      <c r="BF466" s="551"/>
    </row>
    <row r="467" spans="1:58" ht="12.75" customHeight="1">
      <c r="A467" s="551"/>
      <c r="B467" s="551"/>
      <c r="C467" s="551"/>
      <c r="D467" s="551"/>
      <c r="E467" s="551"/>
      <c r="F467" s="551"/>
      <c r="G467" s="551"/>
      <c r="H467" s="551"/>
      <c r="I467" s="551"/>
      <c r="J467" s="551"/>
      <c r="K467" s="551"/>
      <c r="L467" s="551"/>
      <c r="M467" s="551"/>
      <c r="N467" s="551"/>
      <c r="O467" s="551"/>
      <c r="P467" s="551"/>
      <c r="Q467" s="551"/>
      <c r="R467" s="551"/>
      <c r="S467" s="551"/>
      <c r="T467" s="551"/>
      <c r="U467" s="551"/>
      <c r="V467" s="551"/>
      <c r="W467" s="551"/>
      <c r="X467" s="551"/>
      <c r="Y467" s="551"/>
      <c r="Z467" s="551"/>
      <c r="AA467" s="551"/>
      <c r="AB467" s="551"/>
      <c r="AC467" s="551"/>
      <c r="AD467" s="551"/>
      <c r="AE467" s="551"/>
      <c r="AF467" s="551"/>
      <c r="AG467" s="551"/>
      <c r="AH467" s="551"/>
      <c r="AI467" s="551"/>
      <c r="AJ467" s="551"/>
      <c r="AK467" s="551"/>
      <c r="AL467" s="551"/>
      <c r="AM467" s="551"/>
      <c r="AN467" s="551"/>
      <c r="AO467" s="551"/>
      <c r="AP467" s="551"/>
      <c r="AQ467" s="551"/>
      <c r="AR467" s="551"/>
      <c r="AS467" s="551"/>
      <c r="AT467" s="551"/>
      <c r="AU467" s="551"/>
      <c r="AV467" s="551"/>
      <c r="AW467" s="551"/>
      <c r="AX467" s="551"/>
      <c r="AY467" s="551"/>
      <c r="AZ467" s="551"/>
      <c r="BA467" s="551"/>
      <c r="BB467" s="551"/>
      <c r="BC467" s="551"/>
      <c r="BD467" s="551"/>
      <c r="BE467" s="551"/>
      <c r="BF467" s="551"/>
    </row>
    <row r="468" spans="1:58" ht="12.75" customHeight="1">
      <c r="A468" s="551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1"/>
      <c r="P468" s="551"/>
      <c r="Q468" s="551"/>
      <c r="R468" s="551"/>
      <c r="S468" s="551"/>
      <c r="T468" s="551"/>
      <c r="U468" s="551"/>
      <c r="V468" s="551"/>
      <c r="W468" s="551"/>
      <c r="X468" s="551"/>
      <c r="Y468" s="551"/>
      <c r="Z468" s="551"/>
      <c r="AA468" s="551"/>
      <c r="AB468" s="551"/>
      <c r="AC468" s="551"/>
      <c r="AD468" s="551"/>
      <c r="AE468" s="551"/>
      <c r="AF468" s="551"/>
      <c r="AG468" s="551"/>
      <c r="AH468" s="551"/>
      <c r="AI468" s="551"/>
      <c r="AJ468" s="551"/>
      <c r="AK468" s="551"/>
      <c r="AL468" s="551"/>
      <c r="AM468" s="551"/>
      <c r="AN468" s="551"/>
      <c r="AO468" s="551"/>
      <c r="AP468" s="551"/>
      <c r="AQ468" s="551"/>
      <c r="AR468" s="551"/>
      <c r="AS468" s="551"/>
      <c r="AT468" s="551"/>
      <c r="AU468" s="551"/>
      <c r="AV468" s="551"/>
      <c r="AW468" s="551"/>
      <c r="AX468" s="551"/>
      <c r="AY468" s="551"/>
      <c r="AZ468" s="551"/>
      <c r="BA468" s="551"/>
      <c r="BB468" s="551"/>
      <c r="BC468" s="551"/>
      <c r="BD468" s="551"/>
      <c r="BE468" s="551"/>
      <c r="BF468" s="551"/>
    </row>
    <row r="469" spans="1:58" ht="12.75" customHeight="1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1"/>
      <c r="P469" s="551"/>
      <c r="Q469" s="551"/>
      <c r="R469" s="551"/>
      <c r="S469" s="551"/>
      <c r="T469" s="551"/>
      <c r="U469" s="551"/>
      <c r="V469" s="551"/>
      <c r="W469" s="551"/>
      <c r="X469" s="551"/>
      <c r="Y469" s="551"/>
      <c r="Z469" s="551"/>
      <c r="AA469" s="551"/>
      <c r="AB469" s="551"/>
      <c r="AC469" s="551"/>
      <c r="AD469" s="551"/>
      <c r="AE469" s="551"/>
      <c r="AF469" s="551"/>
      <c r="AG469" s="551"/>
      <c r="AH469" s="551"/>
      <c r="AI469" s="551"/>
      <c r="AJ469" s="551"/>
      <c r="AK469" s="551"/>
      <c r="AL469" s="551"/>
      <c r="AM469" s="551"/>
      <c r="AN469" s="551"/>
      <c r="AO469" s="551"/>
      <c r="AP469" s="551"/>
      <c r="AQ469" s="551"/>
      <c r="AR469" s="551"/>
      <c r="AS469" s="551"/>
      <c r="AT469" s="551"/>
      <c r="AU469" s="551"/>
      <c r="AV469" s="551"/>
      <c r="AW469" s="551"/>
      <c r="AX469" s="551"/>
      <c r="AY469" s="551"/>
      <c r="AZ469" s="551"/>
      <c r="BA469" s="551"/>
      <c r="BB469" s="551"/>
      <c r="BC469" s="551"/>
      <c r="BD469" s="551"/>
      <c r="BE469" s="551"/>
      <c r="BF469" s="551"/>
    </row>
    <row r="470" spans="1:58" ht="12.75" customHeight="1">
      <c r="A470" s="551"/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51"/>
      <c r="AB470" s="551"/>
      <c r="AC470" s="551"/>
      <c r="AD470" s="551"/>
      <c r="AE470" s="551"/>
      <c r="AF470" s="551"/>
      <c r="AG470" s="551"/>
      <c r="AH470" s="551"/>
      <c r="AI470" s="551"/>
      <c r="AJ470" s="551"/>
      <c r="AK470" s="551"/>
      <c r="AL470" s="551"/>
      <c r="AM470" s="551"/>
      <c r="AN470" s="551"/>
      <c r="AO470" s="551"/>
      <c r="AP470" s="551"/>
      <c r="AQ470" s="551"/>
      <c r="AR470" s="551"/>
      <c r="AS470" s="551"/>
      <c r="AT470" s="551"/>
      <c r="AU470" s="551"/>
      <c r="AV470" s="551"/>
      <c r="AW470" s="551"/>
      <c r="AX470" s="551"/>
      <c r="AY470" s="551"/>
      <c r="AZ470" s="551"/>
      <c r="BA470" s="551"/>
      <c r="BB470" s="551"/>
      <c r="BC470" s="551"/>
      <c r="BD470" s="551"/>
      <c r="BE470" s="551"/>
      <c r="BF470" s="551"/>
    </row>
    <row r="471" spans="1:58" ht="12.75" customHeight="1">
      <c r="A471" s="551"/>
      <c r="B471" s="551"/>
      <c r="C471" s="551"/>
      <c r="D471" s="551"/>
      <c r="E471" s="551"/>
      <c r="F471" s="551"/>
      <c r="G471" s="551"/>
      <c r="H471" s="551"/>
      <c r="I471" s="551"/>
      <c r="J471" s="551"/>
      <c r="K471" s="551"/>
      <c r="L471" s="551"/>
      <c r="M471" s="551"/>
      <c r="N471" s="551"/>
      <c r="O471" s="551"/>
      <c r="P471" s="551"/>
      <c r="Q471" s="551"/>
      <c r="R471" s="551"/>
      <c r="S471" s="551"/>
      <c r="T471" s="551"/>
      <c r="U471" s="551"/>
      <c r="V471" s="551"/>
      <c r="W471" s="551"/>
      <c r="X471" s="551"/>
      <c r="Y471" s="551"/>
      <c r="Z471" s="551"/>
      <c r="AA471" s="551"/>
      <c r="AB471" s="551"/>
      <c r="AC471" s="551"/>
      <c r="AD471" s="551"/>
      <c r="AE471" s="551"/>
      <c r="AF471" s="551"/>
      <c r="AG471" s="551"/>
      <c r="AH471" s="551"/>
      <c r="AI471" s="551"/>
      <c r="AJ471" s="551"/>
      <c r="AK471" s="551"/>
      <c r="AL471" s="551"/>
      <c r="AM471" s="551"/>
      <c r="AN471" s="551"/>
      <c r="AO471" s="551"/>
      <c r="AP471" s="551"/>
      <c r="AQ471" s="551"/>
      <c r="AR471" s="551"/>
      <c r="AS471" s="551"/>
      <c r="AT471" s="551"/>
      <c r="AU471" s="551"/>
      <c r="AV471" s="551"/>
      <c r="AW471" s="551"/>
      <c r="AX471" s="551"/>
      <c r="AY471" s="551"/>
      <c r="AZ471" s="551"/>
      <c r="BA471" s="551"/>
      <c r="BB471" s="551"/>
      <c r="BC471" s="551"/>
      <c r="BD471" s="551"/>
      <c r="BE471" s="551"/>
      <c r="BF471" s="551"/>
    </row>
    <row r="472" spans="1:58" ht="12.75" customHeight="1">
      <c r="A472" s="551"/>
      <c r="B472" s="551"/>
      <c r="C472" s="551"/>
      <c r="D472" s="551"/>
      <c r="E472" s="551"/>
      <c r="F472" s="551"/>
      <c r="G472" s="551"/>
      <c r="H472" s="551"/>
      <c r="I472" s="551"/>
      <c r="J472" s="551"/>
      <c r="K472" s="551"/>
      <c r="L472" s="551"/>
      <c r="M472" s="551"/>
      <c r="N472" s="551"/>
      <c r="O472" s="551"/>
      <c r="P472" s="551"/>
      <c r="Q472" s="551"/>
      <c r="R472" s="551"/>
      <c r="S472" s="551"/>
      <c r="T472" s="551"/>
      <c r="U472" s="551"/>
      <c r="V472" s="551"/>
      <c r="W472" s="551"/>
      <c r="X472" s="551"/>
      <c r="Y472" s="551"/>
      <c r="Z472" s="551"/>
      <c r="AA472" s="551"/>
      <c r="AB472" s="551"/>
      <c r="AC472" s="551"/>
      <c r="AD472" s="551"/>
      <c r="AE472" s="551"/>
      <c r="AF472" s="551"/>
      <c r="AG472" s="551"/>
      <c r="AH472" s="551"/>
      <c r="AI472" s="551"/>
      <c r="AJ472" s="551"/>
      <c r="AK472" s="551"/>
      <c r="AL472" s="551"/>
      <c r="AM472" s="551"/>
      <c r="AN472" s="551"/>
      <c r="AO472" s="551"/>
      <c r="AP472" s="551"/>
      <c r="AQ472" s="551"/>
      <c r="AR472" s="551"/>
      <c r="AS472" s="551"/>
      <c r="AT472" s="551"/>
      <c r="AU472" s="551"/>
      <c r="AV472" s="551"/>
      <c r="AW472" s="551"/>
      <c r="AX472" s="551"/>
      <c r="AY472" s="551"/>
      <c r="AZ472" s="551"/>
      <c r="BA472" s="551"/>
      <c r="BB472" s="551"/>
      <c r="BC472" s="551"/>
      <c r="BD472" s="551"/>
      <c r="BE472" s="551"/>
      <c r="BF472" s="551"/>
    </row>
    <row r="473" spans="1:58" ht="12.75" customHeight="1">
      <c r="A473" s="551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1"/>
      <c r="P473" s="551"/>
      <c r="Q473" s="551"/>
      <c r="R473" s="551"/>
      <c r="S473" s="551"/>
      <c r="T473" s="551"/>
      <c r="U473" s="551"/>
      <c r="V473" s="551"/>
      <c r="W473" s="551"/>
      <c r="X473" s="551"/>
      <c r="Y473" s="551"/>
      <c r="Z473" s="551"/>
      <c r="AA473" s="551"/>
      <c r="AB473" s="551"/>
      <c r="AC473" s="551"/>
      <c r="AD473" s="551"/>
      <c r="AE473" s="551"/>
      <c r="AF473" s="551"/>
      <c r="AG473" s="551"/>
      <c r="AH473" s="551"/>
      <c r="AI473" s="551"/>
      <c r="AJ473" s="551"/>
      <c r="AK473" s="551"/>
      <c r="AL473" s="551"/>
      <c r="AM473" s="551"/>
      <c r="AN473" s="551"/>
      <c r="AO473" s="551"/>
      <c r="AP473" s="551"/>
      <c r="AQ473" s="551"/>
      <c r="AR473" s="551"/>
      <c r="AS473" s="551"/>
      <c r="AT473" s="551"/>
      <c r="AU473" s="551"/>
      <c r="AV473" s="551"/>
      <c r="AW473" s="551"/>
      <c r="AX473" s="551"/>
      <c r="AY473" s="551"/>
      <c r="AZ473" s="551"/>
      <c r="BA473" s="551"/>
      <c r="BB473" s="551"/>
      <c r="BC473" s="551"/>
      <c r="BD473" s="551"/>
      <c r="BE473" s="551"/>
      <c r="BF473" s="551"/>
    </row>
    <row r="474" spans="1:58" ht="12.75" customHeight="1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1"/>
      <c r="P474" s="551"/>
      <c r="Q474" s="551"/>
      <c r="R474" s="551"/>
      <c r="S474" s="551"/>
      <c r="T474" s="551"/>
      <c r="U474" s="551"/>
      <c r="V474" s="551"/>
      <c r="W474" s="551"/>
      <c r="X474" s="551"/>
      <c r="Y474" s="551"/>
      <c r="Z474" s="551"/>
      <c r="AA474" s="551"/>
      <c r="AB474" s="551"/>
      <c r="AC474" s="551"/>
      <c r="AD474" s="551"/>
      <c r="AE474" s="551"/>
      <c r="AF474" s="551"/>
      <c r="AG474" s="551"/>
      <c r="AH474" s="551"/>
      <c r="AI474" s="551"/>
      <c r="AJ474" s="551"/>
      <c r="AK474" s="551"/>
      <c r="AL474" s="551"/>
      <c r="AM474" s="551"/>
      <c r="AN474" s="551"/>
      <c r="AO474" s="551"/>
      <c r="AP474" s="551"/>
      <c r="AQ474" s="551"/>
      <c r="AR474" s="551"/>
      <c r="AS474" s="551"/>
      <c r="AT474" s="551"/>
      <c r="AU474" s="551"/>
      <c r="AV474" s="551"/>
      <c r="AW474" s="551"/>
      <c r="AX474" s="551"/>
      <c r="AY474" s="551"/>
      <c r="AZ474" s="551"/>
      <c r="BA474" s="551"/>
      <c r="BB474" s="551"/>
      <c r="BC474" s="551"/>
      <c r="BD474" s="551"/>
      <c r="BE474" s="551"/>
      <c r="BF474" s="551"/>
    </row>
    <row r="475" spans="1:58" ht="12.75" customHeight="1">
      <c r="A475" s="551"/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51"/>
      <c r="AB475" s="551"/>
      <c r="AC475" s="551"/>
      <c r="AD475" s="551"/>
      <c r="AE475" s="551"/>
      <c r="AF475" s="551"/>
      <c r="AG475" s="551"/>
      <c r="AH475" s="551"/>
      <c r="AI475" s="551"/>
      <c r="AJ475" s="551"/>
      <c r="AK475" s="551"/>
      <c r="AL475" s="551"/>
      <c r="AM475" s="551"/>
      <c r="AN475" s="551"/>
      <c r="AO475" s="551"/>
      <c r="AP475" s="551"/>
      <c r="AQ475" s="551"/>
      <c r="AR475" s="551"/>
      <c r="AS475" s="551"/>
      <c r="AT475" s="551"/>
      <c r="AU475" s="551"/>
      <c r="AV475" s="551"/>
      <c r="AW475" s="551"/>
      <c r="AX475" s="551"/>
      <c r="AY475" s="551"/>
      <c r="AZ475" s="551"/>
      <c r="BA475" s="551"/>
      <c r="BB475" s="551"/>
      <c r="BC475" s="551"/>
      <c r="BD475" s="551"/>
      <c r="BE475" s="551"/>
      <c r="BF475" s="551"/>
    </row>
    <row r="476" spans="1:58" ht="12.75" customHeight="1">
      <c r="A476" s="551"/>
      <c r="B476" s="551"/>
      <c r="C476" s="551"/>
      <c r="D476" s="551"/>
      <c r="E476" s="551"/>
      <c r="F476" s="551"/>
      <c r="G476" s="551"/>
      <c r="H476" s="551"/>
      <c r="I476" s="551"/>
      <c r="J476" s="551"/>
      <c r="K476" s="551"/>
      <c r="L476" s="551"/>
      <c r="M476" s="551"/>
      <c r="N476" s="551"/>
      <c r="O476" s="551"/>
      <c r="P476" s="551"/>
      <c r="Q476" s="551"/>
      <c r="R476" s="551"/>
      <c r="S476" s="551"/>
      <c r="T476" s="551"/>
      <c r="U476" s="551"/>
      <c r="V476" s="551"/>
      <c r="W476" s="551"/>
      <c r="X476" s="551"/>
      <c r="Y476" s="551"/>
      <c r="Z476" s="551"/>
      <c r="AA476" s="551"/>
      <c r="AB476" s="551"/>
      <c r="AC476" s="551"/>
      <c r="AD476" s="551"/>
      <c r="AE476" s="551"/>
      <c r="AF476" s="551"/>
      <c r="AG476" s="551"/>
      <c r="AH476" s="551"/>
      <c r="AI476" s="551"/>
      <c r="AJ476" s="551"/>
      <c r="AK476" s="551"/>
      <c r="AL476" s="551"/>
      <c r="AM476" s="551"/>
      <c r="AN476" s="551"/>
      <c r="AO476" s="551"/>
      <c r="AP476" s="551"/>
      <c r="AQ476" s="551"/>
      <c r="AR476" s="551"/>
      <c r="AS476" s="551"/>
      <c r="AT476" s="551"/>
      <c r="AU476" s="551"/>
      <c r="AV476" s="551"/>
      <c r="AW476" s="551"/>
      <c r="AX476" s="551"/>
      <c r="AY476" s="551"/>
      <c r="AZ476" s="551"/>
      <c r="BA476" s="551"/>
      <c r="BB476" s="551"/>
      <c r="BC476" s="551"/>
      <c r="BD476" s="551"/>
      <c r="BE476" s="551"/>
      <c r="BF476" s="551"/>
    </row>
    <row r="477" spans="1:58" ht="12.75" customHeight="1">
      <c r="A477" s="551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1"/>
      <c r="P477" s="551"/>
      <c r="Q477" s="551"/>
      <c r="R477" s="551"/>
      <c r="S477" s="551"/>
      <c r="T477" s="551"/>
      <c r="U477" s="551"/>
      <c r="V477" s="551"/>
      <c r="W477" s="551"/>
      <c r="X477" s="551"/>
      <c r="Y477" s="551"/>
      <c r="Z477" s="551"/>
      <c r="AA477" s="551"/>
      <c r="AB477" s="551"/>
      <c r="AC477" s="551"/>
      <c r="AD477" s="551"/>
      <c r="AE477" s="551"/>
      <c r="AF477" s="551"/>
      <c r="AG477" s="551"/>
      <c r="AH477" s="551"/>
      <c r="AI477" s="551"/>
      <c r="AJ477" s="551"/>
      <c r="AK477" s="551"/>
      <c r="AL477" s="551"/>
      <c r="AM477" s="551"/>
      <c r="AN477" s="551"/>
      <c r="AO477" s="551"/>
      <c r="AP477" s="551"/>
      <c r="AQ477" s="551"/>
      <c r="AR477" s="551"/>
      <c r="AS477" s="551"/>
      <c r="AT477" s="551"/>
      <c r="AU477" s="551"/>
      <c r="AV477" s="551"/>
      <c r="AW477" s="551"/>
      <c r="AX477" s="551"/>
      <c r="AY477" s="551"/>
      <c r="AZ477" s="551"/>
      <c r="BA477" s="551"/>
      <c r="BB477" s="551"/>
      <c r="BC477" s="551"/>
      <c r="BD477" s="551"/>
      <c r="BE477" s="551"/>
      <c r="BF477" s="551"/>
    </row>
    <row r="478" spans="1:58" ht="12.75" customHeight="1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1"/>
      <c r="P478" s="551"/>
      <c r="Q478" s="551"/>
      <c r="R478" s="551"/>
      <c r="S478" s="551"/>
      <c r="T478" s="551"/>
      <c r="U478" s="551"/>
      <c r="V478" s="551"/>
      <c r="W478" s="551"/>
      <c r="X478" s="551"/>
      <c r="Y478" s="551"/>
      <c r="Z478" s="551"/>
      <c r="AA478" s="551"/>
      <c r="AB478" s="551"/>
      <c r="AC478" s="551"/>
      <c r="AD478" s="551"/>
      <c r="AE478" s="551"/>
      <c r="AF478" s="551"/>
      <c r="AG478" s="551"/>
      <c r="AH478" s="551"/>
      <c r="AI478" s="551"/>
      <c r="AJ478" s="551"/>
      <c r="AK478" s="551"/>
      <c r="AL478" s="551"/>
      <c r="AM478" s="551"/>
      <c r="AN478" s="551"/>
      <c r="AO478" s="551"/>
      <c r="AP478" s="551"/>
      <c r="AQ478" s="551"/>
      <c r="AR478" s="551"/>
      <c r="AS478" s="551"/>
      <c r="AT478" s="551"/>
      <c r="AU478" s="551"/>
      <c r="AV478" s="551"/>
      <c r="AW478" s="551"/>
      <c r="AX478" s="551"/>
      <c r="AY478" s="551"/>
      <c r="AZ478" s="551"/>
      <c r="BA478" s="551"/>
      <c r="BB478" s="551"/>
      <c r="BC478" s="551"/>
      <c r="BD478" s="551"/>
      <c r="BE478" s="551"/>
      <c r="BF478" s="551"/>
    </row>
    <row r="479" spans="1:58" ht="12.75" customHeight="1">
      <c r="A479" s="551"/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51"/>
      <c r="AB479" s="551"/>
      <c r="AC479" s="551"/>
      <c r="AD479" s="551"/>
      <c r="AE479" s="551"/>
      <c r="AF479" s="551"/>
      <c r="AG479" s="551"/>
      <c r="AH479" s="551"/>
      <c r="AI479" s="551"/>
      <c r="AJ479" s="551"/>
      <c r="AK479" s="551"/>
      <c r="AL479" s="551"/>
      <c r="AM479" s="551"/>
      <c r="AN479" s="551"/>
      <c r="AO479" s="551"/>
      <c r="AP479" s="551"/>
      <c r="AQ479" s="551"/>
      <c r="AR479" s="551"/>
      <c r="AS479" s="551"/>
      <c r="AT479" s="551"/>
      <c r="AU479" s="551"/>
      <c r="AV479" s="551"/>
      <c r="AW479" s="551"/>
      <c r="AX479" s="551"/>
      <c r="AY479" s="551"/>
      <c r="AZ479" s="551"/>
      <c r="BA479" s="551"/>
      <c r="BB479" s="551"/>
      <c r="BC479" s="551"/>
      <c r="BD479" s="551"/>
      <c r="BE479" s="551"/>
      <c r="BF479" s="551"/>
    </row>
    <row r="480" spans="1:58" ht="12.75" customHeight="1">
      <c r="A480" s="551"/>
      <c r="B480" s="551"/>
      <c r="C480" s="551"/>
      <c r="D480" s="551"/>
      <c r="E480" s="551"/>
      <c r="F480" s="551"/>
      <c r="G480" s="551"/>
      <c r="H480" s="551"/>
      <c r="I480" s="551"/>
      <c r="J480" s="551"/>
      <c r="K480" s="551"/>
      <c r="L480" s="551"/>
      <c r="M480" s="551"/>
      <c r="N480" s="551"/>
      <c r="O480" s="551"/>
      <c r="P480" s="551"/>
      <c r="Q480" s="551"/>
      <c r="R480" s="551"/>
      <c r="S480" s="551"/>
      <c r="T480" s="551"/>
      <c r="U480" s="551"/>
      <c r="V480" s="551"/>
      <c r="W480" s="551"/>
      <c r="X480" s="551"/>
      <c r="Y480" s="551"/>
      <c r="Z480" s="551"/>
      <c r="AA480" s="551"/>
      <c r="AB480" s="551"/>
      <c r="AC480" s="551"/>
      <c r="AD480" s="551"/>
      <c r="AE480" s="551"/>
      <c r="AF480" s="551"/>
      <c r="AG480" s="551"/>
      <c r="AH480" s="551"/>
      <c r="AI480" s="551"/>
      <c r="AJ480" s="551"/>
      <c r="AK480" s="551"/>
      <c r="AL480" s="551"/>
      <c r="AM480" s="551"/>
      <c r="AN480" s="551"/>
      <c r="AO480" s="551"/>
      <c r="AP480" s="551"/>
      <c r="AQ480" s="551"/>
      <c r="AR480" s="551"/>
      <c r="AS480" s="551"/>
      <c r="AT480" s="551"/>
      <c r="AU480" s="551"/>
      <c r="AV480" s="551"/>
      <c r="AW480" s="551"/>
      <c r="AX480" s="551"/>
      <c r="AY480" s="551"/>
      <c r="AZ480" s="551"/>
      <c r="BA480" s="551"/>
      <c r="BB480" s="551"/>
      <c r="BC480" s="551"/>
      <c r="BD480" s="551"/>
      <c r="BE480" s="551"/>
      <c r="BF480" s="551"/>
    </row>
    <row r="481" spans="1:58" ht="12.75" customHeight="1">
      <c r="A481" s="551"/>
      <c r="B481" s="551"/>
      <c r="C481" s="551"/>
      <c r="D481" s="551"/>
      <c r="E481" s="551"/>
      <c r="F481" s="551"/>
      <c r="G481" s="551"/>
      <c r="H481" s="551"/>
      <c r="I481" s="551"/>
      <c r="J481" s="551"/>
      <c r="K481" s="551"/>
      <c r="L481" s="551"/>
      <c r="M481" s="551"/>
      <c r="N481" s="551"/>
      <c r="O481" s="551"/>
      <c r="P481" s="551"/>
      <c r="Q481" s="551"/>
      <c r="R481" s="551"/>
      <c r="S481" s="551"/>
      <c r="T481" s="551"/>
      <c r="U481" s="551"/>
      <c r="V481" s="551"/>
      <c r="W481" s="551"/>
      <c r="X481" s="551"/>
      <c r="Y481" s="551"/>
      <c r="Z481" s="551"/>
      <c r="AA481" s="551"/>
      <c r="AB481" s="551"/>
      <c r="AC481" s="551"/>
      <c r="AD481" s="551"/>
      <c r="AE481" s="551"/>
      <c r="AF481" s="551"/>
      <c r="AG481" s="551"/>
      <c r="AH481" s="551"/>
      <c r="AI481" s="551"/>
      <c r="AJ481" s="551"/>
      <c r="AK481" s="551"/>
      <c r="AL481" s="551"/>
      <c r="AM481" s="551"/>
      <c r="AN481" s="551"/>
      <c r="AO481" s="551"/>
      <c r="AP481" s="551"/>
      <c r="AQ481" s="551"/>
      <c r="AR481" s="551"/>
      <c r="AS481" s="551"/>
      <c r="AT481" s="551"/>
      <c r="AU481" s="551"/>
      <c r="AV481" s="551"/>
      <c r="AW481" s="551"/>
      <c r="AX481" s="551"/>
      <c r="AY481" s="551"/>
      <c r="AZ481" s="551"/>
      <c r="BA481" s="551"/>
      <c r="BB481" s="551"/>
      <c r="BC481" s="551"/>
      <c r="BD481" s="551"/>
      <c r="BE481" s="551"/>
      <c r="BF481" s="551"/>
    </row>
    <row r="482" spans="1:58" ht="12.75" customHeight="1">
      <c r="A482" s="551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1"/>
      <c r="P482" s="551"/>
      <c r="Q482" s="551"/>
      <c r="R482" s="551"/>
      <c r="S482" s="551"/>
      <c r="T482" s="551"/>
      <c r="U482" s="551"/>
      <c r="V482" s="551"/>
      <c r="W482" s="551"/>
      <c r="X482" s="551"/>
      <c r="Y482" s="551"/>
      <c r="Z482" s="551"/>
      <c r="AA482" s="551"/>
      <c r="AB482" s="551"/>
      <c r="AC482" s="551"/>
      <c r="AD482" s="551"/>
      <c r="AE482" s="551"/>
      <c r="AF482" s="551"/>
      <c r="AG482" s="551"/>
      <c r="AH482" s="551"/>
      <c r="AI482" s="551"/>
      <c r="AJ482" s="551"/>
      <c r="AK482" s="551"/>
      <c r="AL482" s="551"/>
      <c r="AM482" s="551"/>
      <c r="AN482" s="551"/>
      <c r="AO482" s="551"/>
      <c r="AP482" s="551"/>
      <c r="AQ482" s="551"/>
      <c r="AR482" s="551"/>
      <c r="AS482" s="551"/>
      <c r="AT482" s="551"/>
      <c r="AU482" s="551"/>
      <c r="AV482" s="551"/>
      <c r="AW482" s="551"/>
      <c r="AX482" s="551"/>
      <c r="AY482" s="551"/>
      <c r="AZ482" s="551"/>
      <c r="BA482" s="551"/>
      <c r="BB482" s="551"/>
      <c r="BC482" s="551"/>
      <c r="BD482" s="551"/>
      <c r="BE482" s="551"/>
      <c r="BF482" s="551"/>
    </row>
    <row r="483" spans="1:58" ht="12.75" customHeight="1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1"/>
      <c r="P483" s="551"/>
      <c r="Q483" s="551"/>
      <c r="R483" s="551"/>
      <c r="S483" s="551"/>
      <c r="T483" s="551"/>
      <c r="U483" s="551"/>
      <c r="V483" s="551"/>
      <c r="W483" s="551"/>
      <c r="X483" s="551"/>
      <c r="Y483" s="551"/>
      <c r="Z483" s="551"/>
      <c r="AA483" s="551"/>
      <c r="AB483" s="551"/>
      <c r="AC483" s="551"/>
      <c r="AD483" s="551"/>
      <c r="AE483" s="551"/>
      <c r="AF483" s="551"/>
      <c r="AG483" s="551"/>
      <c r="AH483" s="551"/>
      <c r="AI483" s="551"/>
      <c r="AJ483" s="551"/>
      <c r="AK483" s="551"/>
      <c r="AL483" s="551"/>
      <c r="AM483" s="551"/>
      <c r="AN483" s="551"/>
      <c r="AO483" s="551"/>
      <c r="AP483" s="551"/>
      <c r="AQ483" s="551"/>
      <c r="AR483" s="551"/>
      <c r="AS483" s="551"/>
      <c r="AT483" s="551"/>
      <c r="AU483" s="551"/>
      <c r="AV483" s="551"/>
      <c r="AW483" s="551"/>
      <c r="AX483" s="551"/>
      <c r="AY483" s="551"/>
      <c r="AZ483" s="551"/>
      <c r="BA483" s="551"/>
      <c r="BB483" s="551"/>
      <c r="BC483" s="551"/>
      <c r="BD483" s="551"/>
      <c r="BE483" s="551"/>
      <c r="BF483" s="551"/>
    </row>
    <row r="484" spans="1:58" ht="12.75" customHeight="1">
      <c r="A484" s="551"/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51"/>
      <c r="AB484" s="551"/>
      <c r="AC484" s="551"/>
      <c r="AD484" s="551"/>
      <c r="AE484" s="551"/>
      <c r="AF484" s="551"/>
      <c r="AG484" s="551"/>
      <c r="AH484" s="551"/>
      <c r="AI484" s="551"/>
      <c r="AJ484" s="551"/>
      <c r="AK484" s="551"/>
      <c r="AL484" s="551"/>
      <c r="AM484" s="551"/>
      <c r="AN484" s="551"/>
      <c r="AO484" s="551"/>
      <c r="AP484" s="551"/>
      <c r="AQ484" s="551"/>
      <c r="AR484" s="551"/>
      <c r="AS484" s="551"/>
      <c r="AT484" s="551"/>
      <c r="AU484" s="551"/>
      <c r="AV484" s="551"/>
      <c r="AW484" s="551"/>
      <c r="AX484" s="551"/>
      <c r="AY484" s="551"/>
      <c r="AZ484" s="551"/>
      <c r="BA484" s="551"/>
      <c r="BB484" s="551"/>
      <c r="BC484" s="551"/>
      <c r="BD484" s="551"/>
      <c r="BE484" s="551"/>
      <c r="BF484" s="551"/>
    </row>
    <row r="485" spans="1:58" ht="12.75" customHeight="1">
      <c r="A485" s="551"/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51"/>
      <c r="AB485" s="551"/>
      <c r="AC485" s="551"/>
      <c r="AD485" s="551"/>
      <c r="AE485" s="551"/>
      <c r="AF485" s="551"/>
      <c r="AG485" s="551"/>
      <c r="AH485" s="551"/>
      <c r="AI485" s="551"/>
      <c r="AJ485" s="551"/>
      <c r="AK485" s="551"/>
      <c r="AL485" s="551"/>
      <c r="AM485" s="551"/>
      <c r="AN485" s="551"/>
      <c r="AO485" s="551"/>
      <c r="AP485" s="551"/>
      <c r="AQ485" s="551"/>
      <c r="AR485" s="551"/>
      <c r="AS485" s="551"/>
      <c r="AT485" s="551"/>
      <c r="AU485" s="551"/>
      <c r="AV485" s="551"/>
      <c r="AW485" s="551"/>
      <c r="AX485" s="551"/>
      <c r="AY485" s="551"/>
      <c r="AZ485" s="551"/>
      <c r="BA485" s="551"/>
      <c r="BB485" s="551"/>
      <c r="BC485" s="551"/>
      <c r="BD485" s="551"/>
      <c r="BE485" s="551"/>
      <c r="BF485" s="551"/>
    </row>
    <row r="486" spans="1:58" ht="12.75" customHeight="1">
      <c r="A486" s="551"/>
      <c r="B486" s="551"/>
      <c r="C486" s="551"/>
      <c r="D486" s="551"/>
      <c r="E486" s="551"/>
      <c r="F486" s="551"/>
      <c r="G486" s="551"/>
      <c r="H486" s="551"/>
      <c r="I486" s="551"/>
      <c r="J486" s="551"/>
      <c r="K486" s="551"/>
      <c r="L486" s="551"/>
      <c r="M486" s="551"/>
      <c r="N486" s="551"/>
      <c r="O486" s="551"/>
      <c r="P486" s="551"/>
      <c r="Q486" s="551"/>
      <c r="R486" s="551"/>
      <c r="S486" s="551"/>
      <c r="T486" s="551"/>
      <c r="U486" s="551"/>
      <c r="V486" s="551"/>
      <c r="W486" s="551"/>
      <c r="X486" s="551"/>
      <c r="Y486" s="551"/>
      <c r="Z486" s="551"/>
      <c r="AA486" s="551"/>
      <c r="AB486" s="551"/>
      <c r="AC486" s="551"/>
      <c r="AD486" s="551"/>
      <c r="AE486" s="551"/>
      <c r="AF486" s="551"/>
      <c r="AG486" s="551"/>
      <c r="AH486" s="551"/>
      <c r="AI486" s="551"/>
      <c r="AJ486" s="551"/>
      <c r="AK486" s="551"/>
      <c r="AL486" s="551"/>
      <c r="AM486" s="551"/>
      <c r="AN486" s="551"/>
      <c r="AO486" s="551"/>
      <c r="AP486" s="551"/>
      <c r="AQ486" s="551"/>
      <c r="AR486" s="551"/>
      <c r="AS486" s="551"/>
      <c r="AT486" s="551"/>
      <c r="AU486" s="551"/>
      <c r="AV486" s="551"/>
      <c r="AW486" s="551"/>
      <c r="AX486" s="551"/>
      <c r="AY486" s="551"/>
      <c r="AZ486" s="551"/>
      <c r="BA486" s="551"/>
      <c r="BB486" s="551"/>
      <c r="BC486" s="551"/>
      <c r="BD486" s="551"/>
      <c r="BE486" s="551"/>
      <c r="BF486" s="551"/>
    </row>
    <row r="487" spans="1:58" ht="12.75" customHeight="1">
      <c r="A487" s="551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1"/>
      <c r="P487" s="551"/>
      <c r="Q487" s="551"/>
      <c r="R487" s="551"/>
      <c r="S487" s="551"/>
      <c r="T487" s="551"/>
      <c r="U487" s="551"/>
      <c r="V487" s="551"/>
      <c r="W487" s="551"/>
      <c r="X487" s="551"/>
      <c r="Y487" s="551"/>
      <c r="Z487" s="551"/>
      <c r="AA487" s="551"/>
      <c r="AB487" s="551"/>
      <c r="AC487" s="551"/>
      <c r="AD487" s="551"/>
      <c r="AE487" s="551"/>
      <c r="AF487" s="551"/>
      <c r="AG487" s="551"/>
      <c r="AH487" s="551"/>
      <c r="AI487" s="551"/>
      <c r="AJ487" s="551"/>
      <c r="AK487" s="551"/>
      <c r="AL487" s="551"/>
      <c r="AM487" s="551"/>
      <c r="AN487" s="551"/>
      <c r="AO487" s="551"/>
      <c r="AP487" s="551"/>
      <c r="AQ487" s="551"/>
      <c r="AR487" s="551"/>
      <c r="AS487" s="551"/>
      <c r="AT487" s="551"/>
      <c r="AU487" s="551"/>
      <c r="AV487" s="551"/>
      <c r="AW487" s="551"/>
      <c r="AX487" s="551"/>
      <c r="AY487" s="551"/>
      <c r="AZ487" s="551"/>
      <c r="BA487" s="551"/>
      <c r="BB487" s="551"/>
      <c r="BC487" s="551"/>
      <c r="BD487" s="551"/>
      <c r="BE487" s="551"/>
      <c r="BF487" s="551"/>
    </row>
    <row r="488" spans="1:58" ht="12.75" customHeight="1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1"/>
      <c r="P488" s="551"/>
      <c r="Q488" s="551"/>
      <c r="R488" s="551"/>
      <c r="S488" s="551"/>
      <c r="T488" s="551"/>
      <c r="U488" s="551"/>
      <c r="V488" s="551"/>
      <c r="W488" s="551"/>
      <c r="X488" s="551"/>
      <c r="Y488" s="551"/>
      <c r="Z488" s="551"/>
      <c r="AA488" s="551"/>
      <c r="AB488" s="551"/>
      <c r="AC488" s="551"/>
      <c r="AD488" s="551"/>
      <c r="AE488" s="551"/>
      <c r="AF488" s="551"/>
      <c r="AG488" s="551"/>
      <c r="AH488" s="551"/>
      <c r="AI488" s="551"/>
      <c r="AJ488" s="551"/>
      <c r="AK488" s="551"/>
      <c r="AL488" s="551"/>
      <c r="AM488" s="551"/>
      <c r="AN488" s="551"/>
      <c r="AO488" s="551"/>
      <c r="AP488" s="551"/>
      <c r="AQ488" s="551"/>
      <c r="AR488" s="551"/>
      <c r="AS488" s="551"/>
      <c r="AT488" s="551"/>
      <c r="AU488" s="551"/>
      <c r="AV488" s="551"/>
      <c r="AW488" s="551"/>
      <c r="AX488" s="551"/>
      <c r="AY488" s="551"/>
      <c r="AZ488" s="551"/>
      <c r="BA488" s="551"/>
      <c r="BB488" s="551"/>
      <c r="BC488" s="551"/>
      <c r="BD488" s="551"/>
      <c r="BE488" s="551"/>
      <c r="BF488" s="551"/>
    </row>
    <row r="489" spans="1:58" ht="12.75" customHeight="1">
      <c r="A489" s="551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551"/>
      <c r="P489" s="551"/>
      <c r="Q489" s="551"/>
      <c r="R489" s="551"/>
      <c r="S489" s="551"/>
      <c r="T489" s="551"/>
      <c r="U489" s="551"/>
      <c r="V489" s="551"/>
      <c r="W489" s="551"/>
      <c r="X489" s="551"/>
      <c r="Y489" s="551"/>
      <c r="Z489" s="551"/>
      <c r="AA489" s="551"/>
      <c r="AB489" s="551"/>
      <c r="AC489" s="551"/>
      <c r="AD489" s="551"/>
      <c r="AE489" s="551"/>
      <c r="AF489" s="551"/>
      <c r="AG489" s="551"/>
      <c r="AH489" s="551"/>
      <c r="AI489" s="551"/>
      <c r="AJ489" s="551"/>
      <c r="AK489" s="551"/>
      <c r="AL489" s="551"/>
      <c r="AM489" s="551"/>
      <c r="AN489" s="551"/>
      <c r="AO489" s="551"/>
      <c r="AP489" s="551"/>
      <c r="AQ489" s="551"/>
      <c r="AR489" s="551"/>
      <c r="AS489" s="551"/>
      <c r="AT489" s="551"/>
      <c r="AU489" s="551"/>
      <c r="AV489" s="551"/>
      <c r="AW489" s="551"/>
      <c r="AX489" s="551"/>
      <c r="AY489" s="551"/>
      <c r="AZ489" s="551"/>
      <c r="BA489" s="551"/>
      <c r="BB489" s="551"/>
      <c r="BC489" s="551"/>
      <c r="BD489" s="551"/>
      <c r="BE489" s="551"/>
      <c r="BF489" s="551"/>
    </row>
    <row r="490" spans="1:58" ht="12.75" customHeight="1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551"/>
      <c r="P490" s="551"/>
      <c r="Q490" s="551"/>
      <c r="R490" s="551"/>
      <c r="S490" s="551"/>
      <c r="T490" s="551"/>
      <c r="U490" s="551"/>
      <c r="V490" s="551"/>
      <c r="W490" s="551"/>
      <c r="X490" s="551"/>
      <c r="Y490" s="551"/>
      <c r="Z490" s="551"/>
      <c r="AA490" s="551"/>
      <c r="AB490" s="551"/>
      <c r="AC490" s="551"/>
      <c r="AD490" s="551"/>
      <c r="AE490" s="551"/>
      <c r="AF490" s="551"/>
      <c r="AG490" s="551"/>
      <c r="AH490" s="551"/>
      <c r="AI490" s="551"/>
      <c r="AJ490" s="551"/>
      <c r="AK490" s="551"/>
      <c r="AL490" s="551"/>
      <c r="AM490" s="551"/>
      <c r="AN490" s="551"/>
      <c r="AO490" s="551"/>
      <c r="AP490" s="551"/>
      <c r="AQ490" s="551"/>
      <c r="AR490" s="551"/>
      <c r="AS490" s="551"/>
      <c r="AT490" s="551"/>
      <c r="AU490" s="551"/>
      <c r="AV490" s="551"/>
      <c r="AW490" s="551"/>
      <c r="AX490" s="551"/>
      <c r="AY490" s="551"/>
      <c r="AZ490" s="551"/>
      <c r="BA490" s="551"/>
      <c r="BB490" s="551"/>
      <c r="BC490" s="551"/>
      <c r="BD490" s="551"/>
      <c r="BE490" s="551"/>
      <c r="BF490" s="551"/>
    </row>
    <row r="491" spans="1:58" ht="12.75" customHeight="1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551"/>
      <c r="P491" s="551"/>
      <c r="Q491" s="551"/>
      <c r="R491" s="551"/>
      <c r="S491" s="551"/>
      <c r="T491" s="551"/>
      <c r="U491" s="551"/>
      <c r="V491" s="551"/>
      <c r="W491" s="551"/>
      <c r="X491" s="551"/>
      <c r="Y491" s="551"/>
      <c r="Z491" s="551"/>
      <c r="AA491" s="551"/>
      <c r="AB491" s="551"/>
      <c r="AC491" s="551"/>
      <c r="AD491" s="551"/>
      <c r="AE491" s="551"/>
      <c r="AF491" s="551"/>
      <c r="AG491" s="551"/>
      <c r="AH491" s="551"/>
      <c r="AI491" s="551"/>
      <c r="AJ491" s="551"/>
      <c r="AK491" s="551"/>
      <c r="AL491" s="551"/>
      <c r="AM491" s="551"/>
      <c r="AN491" s="551"/>
      <c r="AO491" s="551"/>
      <c r="AP491" s="551"/>
      <c r="AQ491" s="551"/>
      <c r="AR491" s="551"/>
      <c r="AS491" s="551"/>
      <c r="AT491" s="551"/>
      <c r="AU491" s="551"/>
      <c r="AV491" s="551"/>
      <c r="AW491" s="551"/>
      <c r="AX491" s="551"/>
      <c r="AY491" s="551"/>
      <c r="AZ491" s="551"/>
      <c r="BA491" s="551"/>
      <c r="BB491" s="551"/>
      <c r="BC491" s="551"/>
      <c r="BD491" s="551"/>
      <c r="BE491" s="551"/>
      <c r="BF491" s="551"/>
    </row>
    <row r="492" spans="1:58" ht="12.75" customHeight="1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551"/>
      <c r="P492" s="551"/>
      <c r="Q492" s="551"/>
      <c r="R492" s="551"/>
      <c r="S492" s="551"/>
      <c r="T492" s="551"/>
      <c r="U492" s="551"/>
      <c r="V492" s="551"/>
      <c r="W492" s="551"/>
      <c r="X492" s="551"/>
      <c r="Y492" s="551"/>
      <c r="Z492" s="551"/>
      <c r="AA492" s="551"/>
      <c r="AB492" s="551"/>
      <c r="AC492" s="551"/>
      <c r="AD492" s="551"/>
      <c r="AE492" s="551"/>
      <c r="AF492" s="551"/>
      <c r="AG492" s="551"/>
      <c r="AH492" s="551"/>
      <c r="AI492" s="551"/>
      <c r="AJ492" s="551"/>
      <c r="AK492" s="551"/>
      <c r="AL492" s="551"/>
      <c r="AM492" s="551"/>
      <c r="AN492" s="551"/>
      <c r="AO492" s="551"/>
      <c r="AP492" s="551"/>
      <c r="AQ492" s="551"/>
      <c r="AR492" s="551"/>
      <c r="AS492" s="551"/>
      <c r="AT492" s="551"/>
      <c r="AU492" s="551"/>
      <c r="AV492" s="551"/>
      <c r="AW492" s="551"/>
      <c r="AX492" s="551"/>
      <c r="AY492" s="551"/>
      <c r="AZ492" s="551"/>
      <c r="BA492" s="551"/>
      <c r="BB492" s="551"/>
      <c r="BC492" s="551"/>
      <c r="BD492" s="551"/>
      <c r="BE492" s="551"/>
      <c r="BF492" s="551"/>
    </row>
    <row r="493" spans="1:58" ht="12.75" customHeight="1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551"/>
      <c r="P493" s="551"/>
      <c r="Q493" s="551"/>
      <c r="R493" s="551"/>
      <c r="S493" s="551"/>
      <c r="T493" s="551"/>
      <c r="U493" s="551"/>
      <c r="V493" s="551"/>
      <c r="W493" s="551"/>
      <c r="X493" s="551"/>
      <c r="Y493" s="551"/>
      <c r="Z493" s="551"/>
      <c r="AA493" s="551"/>
      <c r="AB493" s="551"/>
      <c r="AC493" s="551"/>
      <c r="AD493" s="551"/>
      <c r="AE493" s="551"/>
      <c r="AF493" s="551"/>
      <c r="AG493" s="551"/>
      <c r="AH493" s="551"/>
      <c r="AI493" s="551"/>
      <c r="AJ493" s="551"/>
      <c r="AK493" s="551"/>
      <c r="AL493" s="551"/>
      <c r="AM493" s="551"/>
      <c r="AN493" s="551"/>
      <c r="AO493" s="551"/>
      <c r="AP493" s="551"/>
      <c r="AQ493" s="551"/>
      <c r="AR493" s="551"/>
      <c r="AS493" s="551"/>
      <c r="AT493" s="551"/>
      <c r="AU493" s="551"/>
      <c r="AV493" s="551"/>
      <c r="AW493" s="551"/>
      <c r="AX493" s="551"/>
      <c r="AY493" s="551"/>
      <c r="AZ493" s="551"/>
      <c r="BA493" s="551"/>
      <c r="BB493" s="551"/>
      <c r="BC493" s="551"/>
      <c r="BD493" s="551"/>
      <c r="BE493" s="551"/>
      <c r="BF493" s="551"/>
    </row>
    <row r="494" spans="1:58" ht="12.75" customHeight="1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551"/>
      <c r="P494" s="551"/>
      <c r="Q494" s="551"/>
      <c r="R494" s="551"/>
      <c r="S494" s="551"/>
      <c r="T494" s="551"/>
      <c r="U494" s="551"/>
      <c r="V494" s="551"/>
      <c r="W494" s="551"/>
      <c r="X494" s="551"/>
      <c r="Y494" s="551"/>
      <c r="Z494" s="551"/>
      <c r="AA494" s="551"/>
      <c r="AB494" s="551"/>
      <c r="AC494" s="551"/>
      <c r="AD494" s="551"/>
      <c r="AE494" s="551"/>
      <c r="AF494" s="551"/>
      <c r="AG494" s="551"/>
      <c r="AH494" s="551"/>
      <c r="AI494" s="551"/>
      <c r="AJ494" s="551"/>
      <c r="AK494" s="551"/>
      <c r="AL494" s="551"/>
      <c r="AM494" s="551"/>
      <c r="AN494" s="551"/>
      <c r="AO494" s="551"/>
      <c r="AP494" s="551"/>
      <c r="AQ494" s="551"/>
      <c r="AR494" s="551"/>
      <c r="AS494" s="551"/>
      <c r="AT494" s="551"/>
      <c r="AU494" s="551"/>
      <c r="AV494" s="551"/>
      <c r="AW494" s="551"/>
      <c r="AX494" s="551"/>
      <c r="AY494" s="551"/>
      <c r="AZ494" s="551"/>
      <c r="BA494" s="551"/>
      <c r="BB494" s="551"/>
      <c r="BC494" s="551"/>
      <c r="BD494" s="551"/>
      <c r="BE494" s="551"/>
      <c r="BF494" s="551"/>
    </row>
    <row r="495" spans="1:58" ht="12.75" customHeight="1">
      <c r="A495" s="551"/>
      <c r="B495" s="551"/>
      <c r="C495" s="551"/>
      <c r="D495" s="551"/>
      <c r="E495" s="551"/>
      <c r="F495" s="551"/>
      <c r="G495" s="551"/>
      <c r="H495" s="551"/>
      <c r="I495" s="551"/>
      <c r="J495" s="551"/>
      <c r="K495" s="551"/>
      <c r="L495" s="551"/>
      <c r="M495" s="551"/>
      <c r="N495" s="551"/>
      <c r="O495" s="551"/>
      <c r="P495" s="551"/>
      <c r="Q495" s="551"/>
      <c r="R495" s="551"/>
      <c r="S495" s="551"/>
      <c r="T495" s="551"/>
      <c r="U495" s="551"/>
      <c r="V495" s="551"/>
      <c r="W495" s="551"/>
      <c r="X495" s="551"/>
      <c r="Y495" s="551"/>
      <c r="Z495" s="551"/>
      <c r="AA495" s="551"/>
      <c r="AB495" s="551"/>
      <c r="AC495" s="551"/>
      <c r="AD495" s="551"/>
      <c r="AE495" s="551"/>
      <c r="AF495" s="551"/>
      <c r="AG495" s="551"/>
      <c r="AH495" s="551"/>
      <c r="AI495" s="551"/>
      <c r="AJ495" s="551"/>
      <c r="AK495" s="551"/>
      <c r="AL495" s="551"/>
      <c r="AM495" s="551"/>
      <c r="AN495" s="551"/>
      <c r="AO495" s="551"/>
      <c r="AP495" s="551"/>
      <c r="AQ495" s="551"/>
      <c r="AR495" s="551"/>
      <c r="AS495" s="551"/>
      <c r="AT495" s="551"/>
      <c r="AU495" s="551"/>
      <c r="AV495" s="551"/>
      <c r="AW495" s="551"/>
      <c r="AX495" s="551"/>
      <c r="AY495" s="551"/>
      <c r="AZ495" s="551"/>
      <c r="BA495" s="551"/>
      <c r="BB495" s="551"/>
      <c r="BC495" s="551"/>
      <c r="BD495" s="551"/>
      <c r="BE495" s="551"/>
      <c r="BF495" s="551"/>
    </row>
    <row r="496" spans="1:58" ht="12.75" customHeight="1">
      <c r="A496" s="551"/>
      <c r="B496" s="551"/>
      <c r="C496" s="551"/>
      <c r="D496" s="551"/>
      <c r="E496" s="551"/>
      <c r="F496" s="551"/>
      <c r="G496" s="551"/>
      <c r="H496" s="551"/>
      <c r="I496" s="551"/>
      <c r="J496" s="551"/>
      <c r="K496" s="551"/>
      <c r="L496" s="551"/>
      <c r="M496" s="551"/>
      <c r="N496" s="551"/>
      <c r="O496" s="551"/>
      <c r="P496" s="551"/>
      <c r="Q496" s="551"/>
      <c r="R496" s="551"/>
      <c r="S496" s="551"/>
      <c r="T496" s="551"/>
      <c r="U496" s="551"/>
      <c r="V496" s="551"/>
      <c r="W496" s="551"/>
      <c r="X496" s="551"/>
      <c r="Y496" s="551"/>
      <c r="Z496" s="551"/>
      <c r="AA496" s="551"/>
      <c r="AB496" s="551"/>
      <c r="AC496" s="551"/>
      <c r="AD496" s="551"/>
      <c r="AE496" s="551"/>
      <c r="AF496" s="551"/>
      <c r="AG496" s="551"/>
      <c r="AH496" s="551"/>
      <c r="AI496" s="551"/>
      <c r="AJ496" s="551"/>
      <c r="AK496" s="551"/>
      <c r="AL496" s="551"/>
      <c r="AM496" s="551"/>
      <c r="AN496" s="551"/>
      <c r="AO496" s="551"/>
      <c r="AP496" s="551"/>
      <c r="AQ496" s="551"/>
      <c r="AR496" s="551"/>
      <c r="AS496" s="551"/>
      <c r="AT496" s="551"/>
      <c r="AU496" s="551"/>
      <c r="AV496" s="551"/>
      <c r="AW496" s="551"/>
      <c r="AX496" s="551"/>
      <c r="AY496" s="551"/>
      <c r="AZ496" s="551"/>
      <c r="BA496" s="551"/>
      <c r="BB496" s="551"/>
      <c r="BC496" s="551"/>
      <c r="BD496" s="551"/>
      <c r="BE496" s="551"/>
      <c r="BF496" s="551"/>
    </row>
    <row r="497" spans="1:58" ht="12.75" customHeight="1">
      <c r="A497" s="551"/>
      <c r="B497" s="551"/>
      <c r="C497" s="551"/>
      <c r="D497" s="551"/>
      <c r="E497" s="551"/>
      <c r="F497" s="551"/>
      <c r="G497" s="551"/>
      <c r="H497" s="551"/>
      <c r="I497" s="551"/>
      <c r="J497" s="551"/>
      <c r="K497" s="551"/>
      <c r="L497" s="551"/>
      <c r="M497" s="551"/>
      <c r="N497" s="551"/>
      <c r="O497" s="551"/>
      <c r="P497" s="551"/>
      <c r="Q497" s="551"/>
      <c r="R497" s="551"/>
      <c r="S497" s="551"/>
      <c r="T497" s="551"/>
      <c r="U497" s="551"/>
      <c r="V497" s="551"/>
      <c r="W497" s="551"/>
      <c r="X497" s="551"/>
      <c r="Y497" s="551"/>
      <c r="Z497" s="551"/>
      <c r="AA497" s="551"/>
      <c r="AB497" s="551"/>
      <c r="AC497" s="551"/>
      <c r="AD497" s="551"/>
      <c r="AE497" s="551"/>
      <c r="AF497" s="551"/>
      <c r="AG497" s="551"/>
      <c r="AH497" s="551"/>
      <c r="AI497" s="551"/>
      <c r="AJ497" s="551"/>
      <c r="AK497" s="551"/>
      <c r="AL497" s="551"/>
      <c r="AM497" s="551"/>
      <c r="AN497" s="551"/>
      <c r="AO497" s="551"/>
      <c r="AP497" s="551"/>
      <c r="AQ497" s="551"/>
      <c r="AR497" s="551"/>
      <c r="AS497" s="551"/>
      <c r="AT497" s="551"/>
      <c r="AU497" s="551"/>
      <c r="AV497" s="551"/>
      <c r="AW497" s="551"/>
      <c r="AX497" s="551"/>
      <c r="AY497" s="551"/>
      <c r="AZ497" s="551"/>
      <c r="BA497" s="551"/>
      <c r="BB497" s="551"/>
      <c r="BC497" s="551"/>
      <c r="BD497" s="551"/>
      <c r="BE497" s="551"/>
      <c r="BF497" s="551"/>
    </row>
    <row r="498" spans="1:58" ht="12.75" customHeight="1">
      <c r="A498" s="551"/>
      <c r="B498" s="551"/>
      <c r="C498" s="551"/>
      <c r="D498" s="551"/>
      <c r="E498" s="551"/>
      <c r="F498" s="551"/>
      <c r="G498" s="551"/>
      <c r="H498" s="551"/>
      <c r="I498" s="551"/>
      <c r="J498" s="551"/>
      <c r="K498" s="551"/>
      <c r="L498" s="551"/>
      <c r="M498" s="551"/>
      <c r="N498" s="551"/>
      <c r="O498" s="551"/>
      <c r="P498" s="551"/>
      <c r="Q498" s="551"/>
      <c r="R498" s="551"/>
      <c r="S498" s="551"/>
      <c r="T498" s="551"/>
      <c r="U498" s="551"/>
      <c r="V498" s="551"/>
      <c r="W498" s="551"/>
      <c r="X498" s="551"/>
      <c r="Y498" s="551"/>
      <c r="Z498" s="551"/>
      <c r="AA498" s="551"/>
      <c r="AB498" s="551"/>
      <c r="AC498" s="551"/>
      <c r="AD498" s="551"/>
      <c r="AE498" s="551"/>
      <c r="AF498" s="551"/>
      <c r="AG498" s="551"/>
      <c r="AH498" s="551"/>
      <c r="AI498" s="551"/>
      <c r="AJ498" s="551"/>
      <c r="AK498" s="551"/>
      <c r="AL498" s="551"/>
      <c r="AM498" s="551"/>
      <c r="AN498" s="551"/>
      <c r="AO498" s="551"/>
      <c r="AP498" s="551"/>
      <c r="AQ498" s="551"/>
      <c r="AR498" s="551"/>
      <c r="AS498" s="551"/>
      <c r="AT498" s="551"/>
      <c r="AU498" s="551"/>
      <c r="AV498" s="551"/>
      <c r="AW498" s="551"/>
      <c r="AX498" s="551"/>
      <c r="AY498" s="551"/>
      <c r="AZ498" s="551"/>
      <c r="BA498" s="551"/>
      <c r="BB498" s="551"/>
      <c r="BC498" s="551"/>
      <c r="BD498" s="551"/>
      <c r="BE498" s="551"/>
      <c r="BF498" s="551"/>
    </row>
    <row r="499" spans="1:58" ht="12.75" customHeight="1">
      <c r="A499" s="551"/>
      <c r="B499" s="551"/>
      <c r="C499" s="551"/>
      <c r="D499" s="551"/>
      <c r="E499" s="551"/>
      <c r="F499" s="551"/>
      <c r="G499" s="551"/>
      <c r="H499" s="551"/>
      <c r="I499" s="551"/>
      <c r="J499" s="551"/>
      <c r="K499" s="551"/>
      <c r="L499" s="551"/>
      <c r="M499" s="551"/>
      <c r="N499" s="551"/>
      <c r="O499" s="551"/>
      <c r="P499" s="551"/>
      <c r="Q499" s="551"/>
      <c r="R499" s="551"/>
      <c r="S499" s="551"/>
      <c r="T499" s="551"/>
      <c r="U499" s="551"/>
      <c r="V499" s="551"/>
      <c r="W499" s="551"/>
      <c r="X499" s="551"/>
      <c r="Y499" s="551"/>
      <c r="Z499" s="551"/>
      <c r="AA499" s="551"/>
      <c r="AB499" s="551"/>
      <c r="AC499" s="551"/>
      <c r="AD499" s="551"/>
      <c r="AE499" s="551"/>
      <c r="AF499" s="551"/>
      <c r="AG499" s="551"/>
      <c r="AH499" s="551"/>
      <c r="AI499" s="551"/>
      <c r="AJ499" s="551"/>
      <c r="AK499" s="551"/>
      <c r="AL499" s="551"/>
      <c r="AM499" s="551"/>
      <c r="AN499" s="551"/>
      <c r="AO499" s="551"/>
      <c r="AP499" s="551"/>
      <c r="AQ499" s="551"/>
      <c r="AR499" s="551"/>
      <c r="AS499" s="551"/>
      <c r="AT499" s="551"/>
      <c r="AU499" s="551"/>
      <c r="AV499" s="551"/>
      <c r="AW499" s="551"/>
      <c r="AX499" s="551"/>
      <c r="AY499" s="551"/>
      <c r="AZ499" s="551"/>
      <c r="BA499" s="551"/>
      <c r="BB499" s="551"/>
      <c r="BC499" s="551"/>
      <c r="BD499" s="551"/>
      <c r="BE499" s="551"/>
      <c r="BF499" s="551"/>
    </row>
    <row r="500" spans="1:58" ht="12.75" customHeight="1">
      <c r="A500" s="551"/>
      <c r="B500" s="551"/>
      <c r="C500" s="551"/>
      <c r="D500" s="551"/>
      <c r="E500" s="551"/>
      <c r="F500" s="551"/>
      <c r="G500" s="551"/>
      <c r="H500" s="551"/>
      <c r="I500" s="551"/>
      <c r="J500" s="551"/>
      <c r="K500" s="551"/>
      <c r="L500" s="551"/>
      <c r="M500" s="551"/>
      <c r="N500" s="551"/>
      <c r="O500" s="551"/>
      <c r="P500" s="551"/>
      <c r="Q500" s="551"/>
      <c r="R500" s="551"/>
      <c r="S500" s="551"/>
      <c r="T500" s="551"/>
      <c r="U500" s="551"/>
      <c r="V500" s="551"/>
      <c r="W500" s="551"/>
      <c r="X500" s="551"/>
      <c r="Y500" s="551"/>
      <c r="Z500" s="551"/>
      <c r="AA500" s="551"/>
      <c r="AB500" s="551"/>
      <c r="AC500" s="551"/>
      <c r="AD500" s="551"/>
      <c r="AE500" s="551"/>
      <c r="AF500" s="551"/>
      <c r="AG500" s="551"/>
      <c r="AH500" s="551"/>
      <c r="AI500" s="551"/>
      <c r="AJ500" s="551"/>
      <c r="AK500" s="551"/>
      <c r="AL500" s="551"/>
      <c r="AM500" s="551"/>
      <c r="AN500" s="551"/>
      <c r="AO500" s="551"/>
      <c r="AP500" s="551"/>
      <c r="AQ500" s="551"/>
      <c r="AR500" s="551"/>
      <c r="AS500" s="551"/>
      <c r="AT500" s="551"/>
      <c r="AU500" s="551"/>
      <c r="AV500" s="551"/>
      <c r="AW500" s="551"/>
      <c r="AX500" s="551"/>
      <c r="AY500" s="551"/>
      <c r="AZ500" s="551"/>
      <c r="BA500" s="551"/>
      <c r="BB500" s="551"/>
      <c r="BC500" s="551"/>
      <c r="BD500" s="551"/>
      <c r="BE500" s="551"/>
      <c r="BF500" s="551"/>
    </row>
    <row r="501" spans="1:58" ht="12.75" customHeight="1">
      <c r="A501" s="551"/>
      <c r="B501" s="551"/>
      <c r="C501" s="551"/>
      <c r="D501" s="551"/>
      <c r="E501" s="551"/>
      <c r="F501" s="551"/>
      <c r="G501" s="551"/>
      <c r="H501" s="551"/>
      <c r="I501" s="551"/>
      <c r="J501" s="551"/>
      <c r="K501" s="551"/>
      <c r="L501" s="551"/>
      <c r="M501" s="551"/>
      <c r="N501" s="551"/>
      <c r="O501" s="551"/>
      <c r="P501" s="551"/>
      <c r="Q501" s="551"/>
      <c r="R501" s="551"/>
      <c r="S501" s="551"/>
      <c r="T501" s="551"/>
      <c r="U501" s="551"/>
      <c r="V501" s="551"/>
      <c r="W501" s="551"/>
      <c r="X501" s="551"/>
      <c r="Y501" s="551"/>
      <c r="Z501" s="551"/>
      <c r="AA501" s="551"/>
      <c r="AB501" s="551"/>
      <c r="AC501" s="551"/>
      <c r="AD501" s="551"/>
      <c r="AE501" s="551"/>
      <c r="AF501" s="551"/>
      <c r="AG501" s="551"/>
      <c r="AH501" s="551"/>
      <c r="AI501" s="551"/>
      <c r="AJ501" s="551"/>
      <c r="AK501" s="551"/>
      <c r="AL501" s="551"/>
      <c r="AM501" s="551"/>
      <c r="AN501" s="551"/>
      <c r="AO501" s="551"/>
      <c r="AP501" s="551"/>
      <c r="AQ501" s="551"/>
      <c r="AR501" s="551"/>
      <c r="AS501" s="551"/>
      <c r="AT501" s="551"/>
      <c r="AU501" s="551"/>
      <c r="AV501" s="551"/>
      <c r="AW501" s="551"/>
      <c r="AX501" s="551"/>
      <c r="AY501" s="551"/>
      <c r="AZ501" s="551"/>
      <c r="BA501" s="551"/>
      <c r="BB501" s="551"/>
      <c r="BC501" s="551"/>
      <c r="BD501" s="551"/>
      <c r="BE501" s="551"/>
      <c r="BF501" s="551"/>
    </row>
    <row r="502" spans="1:58" ht="12.75" customHeight="1">
      <c r="A502" s="551"/>
      <c r="B502" s="551"/>
      <c r="C502" s="551"/>
      <c r="D502" s="551"/>
      <c r="E502" s="551"/>
      <c r="F502" s="551"/>
      <c r="G502" s="551"/>
      <c r="H502" s="551"/>
      <c r="I502" s="551"/>
      <c r="J502" s="551"/>
      <c r="K502" s="551"/>
      <c r="L502" s="551"/>
      <c r="M502" s="551"/>
      <c r="N502" s="551"/>
      <c r="O502" s="551"/>
      <c r="P502" s="551"/>
      <c r="Q502" s="551"/>
      <c r="R502" s="551"/>
      <c r="S502" s="551"/>
      <c r="T502" s="551"/>
      <c r="U502" s="551"/>
      <c r="V502" s="551"/>
      <c r="W502" s="551"/>
      <c r="X502" s="551"/>
      <c r="Y502" s="551"/>
      <c r="Z502" s="551"/>
      <c r="AA502" s="551"/>
      <c r="AB502" s="551"/>
      <c r="AC502" s="551"/>
      <c r="AD502" s="551"/>
      <c r="AE502" s="551"/>
      <c r="AF502" s="551"/>
      <c r="AG502" s="551"/>
      <c r="AH502" s="551"/>
      <c r="AI502" s="551"/>
      <c r="AJ502" s="551"/>
      <c r="AK502" s="551"/>
      <c r="AL502" s="551"/>
      <c r="AM502" s="551"/>
      <c r="AN502" s="551"/>
      <c r="AO502" s="551"/>
      <c r="AP502" s="551"/>
      <c r="AQ502" s="551"/>
      <c r="AR502" s="551"/>
      <c r="AS502" s="551"/>
      <c r="AT502" s="551"/>
      <c r="AU502" s="551"/>
      <c r="AV502" s="551"/>
      <c r="AW502" s="551"/>
      <c r="AX502" s="551"/>
      <c r="AY502" s="551"/>
      <c r="AZ502" s="551"/>
      <c r="BA502" s="551"/>
      <c r="BB502" s="551"/>
      <c r="BC502" s="551"/>
      <c r="BD502" s="551"/>
      <c r="BE502" s="551"/>
      <c r="BF502" s="551"/>
    </row>
    <row r="503" spans="1:58" ht="12.75" customHeight="1">
      <c r="A503" s="551"/>
      <c r="B503" s="551"/>
      <c r="C503" s="551"/>
      <c r="D503" s="551"/>
      <c r="E503" s="551"/>
      <c r="F503" s="551"/>
      <c r="G503" s="551"/>
      <c r="H503" s="551"/>
      <c r="I503" s="551"/>
      <c r="J503" s="551"/>
      <c r="K503" s="551"/>
      <c r="L503" s="551"/>
      <c r="M503" s="551"/>
      <c r="N503" s="551"/>
      <c r="O503" s="551"/>
      <c r="P503" s="551"/>
      <c r="Q503" s="551"/>
      <c r="R503" s="551"/>
      <c r="S503" s="551"/>
      <c r="T503" s="551"/>
      <c r="U503" s="551"/>
      <c r="V503" s="551"/>
      <c r="W503" s="551"/>
      <c r="X503" s="551"/>
      <c r="Y503" s="551"/>
      <c r="Z503" s="551"/>
      <c r="AA503" s="551"/>
      <c r="AB503" s="551"/>
      <c r="AC503" s="551"/>
      <c r="AD503" s="551"/>
      <c r="AE503" s="551"/>
      <c r="AF503" s="551"/>
      <c r="AG503" s="551"/>
      <c r="AH503" s="551"/>
      <c r="AI503" s="551"/>
      <c r="AJ503" s="551"/>
      <c r="AK503" s="551"/>
      <c r="AL503" s="551"/>
      <c r="AM503" s="551"/>
      <c r="AN503" s="551"/>
      <c r="AO503" s="551"/>
      <c r="AP503" s="551"/>
      <c r="AQ503" s="551"/>
      <c r="AR503" s="551"/>
      <c r="AS503" s="551"/>
      <c r="AT503" s="551"/>
      <c r="AU503" s="551"/>
      <c r="AV503" s="551"/>
      <c r="AW503" s="551"/>
      <c r="AX503" s="551"/>
      <c r="AY503" s="551"/>
      <c r="AZ503" s="551"/>
      <c r="BA503" s="551"/>
      <c r="BB503" s="551"/>
      <c r="BC503" s="551"/>
      <c r="BD503" s="551"/>
      <c r="BE503" s="551"/>
      <c r="BF503" s="551"/>
    </row>
    <row r="504" spans="1:58" ht="12.75" customHeight="1">
      <c r="A504" s="551"/>
      <c r="B504" s="551"/>
      <c r="C504" s="551"/>
      <c r="D504" s="551"/>
      <c r="E504" s="551"/>
      <c r="F504" s="551"/>
      <c r="G504" s="551"/>
      <c r="H504" s="551"/>
      <c r="I504" s="551"/>
      <c r="J504" s="551"/>
      <c r="K504" s="551"/>
      <c r="L504" s="551"/>
      <c r="M504" s="551"/>
      <c r="N504" s="551"/>
      <c r="O504" s="551"/>
      <c r="P504" s="551"/>
      <c r="Q504" s="551"/>
      <c r="R504" s="551"/>
      <c r="S504" s="551"/>
      <c r="T504" s="551"/>
      <c r="U504" s="551"/>
      <c r="V504" s="551"/>
      <c r="W504" s="551"/>
      <c r="X504" s="551"/>
      <c r="Y504" s="551"/>
      <c r="Z504" s="551"/>
      <c r="AA504" s="551"/>
      <c r="AB504" s="551"/>
      <c r="AC504" s="551"/>
      <c r="AD504" s="551"/>
      <c r="AE504" s="551"/>
      <c r="AF504" s="551"/>
      <c r="AG504" s="551"/>
      <c r="AH504" s="551"/>
      <c r="AI504" s="551"/>
      <c r="AJ504" s="551"/>
      <c r="AK504" s="551"/>
      <c r="AL504" s="551"/>
      <c r="AM504" s="551"/>
      <c r="AN504" s="551"/>
      <c r="AO504" s="551"/>
      <c r="AP504" s="551"/>
      <c r="AQ504" s="551"/>
      <c r="AR504" s="551"/>
      <c r="AS504" s="551"/>
      <c r="AT504" s="551"/>
      <c r="AU504" s="551"/>
      <c r="AV504" s="551"/>
      <c r="AW504" s="551"/>
      <c r="AX504" s="551"/>
      <c r="AY504" s="551"/>
      <c r="AZ504" s="551"/>
      <c r="BA504" s="551"/>
      <c r="BB504" s="551"/>
      <c r="BC504" s="551"/>
      <c r="BD504" s="551"/>
      <c r="BE504" s="551"/>
      <c r="BF504" s="551"/>
    </row>
    <row r="505" spans="1:58" ht="12.75" customHeight="1">
      <c r="A505" s="551"/>
      <c r="B505" s="551"/>
      <c r="C505" s="551"/>
      <c r="D505" s="551"/>
      <c r="E505" s="551"/>
      <c r="F505" s="551"/>
      <c r="G505" s="551"/>
      <c r="H505" s="551"/>
      <c r="I505" s="551"/>
      <c r="J505" s="551"/>
      <c r="K505" s="551"/>
      <c r="L505" s="551"/>
      <c r="M505" s="551"/>
      <c r="N505" s="551"/>
      <c r="O505" s="551"/>
      <c r="P505" s="551"/>
      <c r="Q505" s="551"/>
      <c r="R505" s="551"/>
      <c r="S505" s="551"/>
      <c r="T505" s="551"/>
      <c r="U505" s="551"/>
      <c r="V505" s="551"/>
      <c r="W505" s="551"/>
      <c r="X505" s="551"/>
      <c r="Y505" s="551"/>
      <c r="Z505" s="551"/>
      <c r="AA505" s="551"/>
      <c r="AB505" s="551"/>
      <c r="AC505" s="551"/>
      <c r="AD505" s="551"/>
      <c r="AE505" s="551"/>
      <c r="AF505" s="551"/>
      <c r="AG505" s="551"/>
      <c r="AH505" s="551"/>
      <c r="AI505" s="551"/>
      <c r="AJ505" s="551"/>
      <c r="AK505" s="551"/>
      <c r="AL505" s="551"/>
      <c r="AM505" s="551"/>
      <c r="AN505" s="551"/>
      <c r="AO505" s="551"/>
      <c r="AP505" s="551"/>
      <c r="AQ505" s="551"/>
      <c r="AR505" s="551"/>
      <c r="AS505" s="551"/>
      <c r="AT505" s="551"/>
      <c r="AU505" s="551"/>
      <c r="AV505" s="551"/>
      <c r="AW505" s="551"/>
      <c r="AX505" s="551"/>
      <c r="AY505" s="551"/>
      <c r="AZ505" s="551"/>
      <c r="BA505" s="551"/>
      <c r="BB505" s="551"/>
      <c r="BC505" s="551"/>
      <c r="BD505" s="551"/>
      <c r="BE505" s="551"/>
      <c r="BF505" s="551"/>
    </row>
    <row r="506" spans="1:58" ht="12.75" customHeight="1">
      <c r="A506" s="551"/>
      <c r="B506" s="551"/>
      <c r="C506" s="551"/>
      <c r="D506" s="551"/>
      <c r="E506" s="551"/>
      <c r="F506" s="551"/>
      <c r="G506" s="551"/>
      <c r="H506" s="551"/>
      <c r="I506" s="551"/>
      <c r="J506" s="551"/>
      <c r="K506" s="551"/>
      <c r="L506" s="551"/>
      <c r="M506" s="551"/>
      <c r="N506" s="551"/>
      <c r="O506" s="551"/>
      <c r="P506" s="551"/>
      <c r="Q506" s="551"/>
      <c r="R506" s="551"/>
      <c r="S506" s="551"/>
      <c r="T506" s="551"/>
      <c r="U506" s="551"/>
      <c r="V506" s="551"/>
      <c r="W506" s="551"/>
      <c r="X506" s="551"/>
      <c r="Y506" s="551"/>
      <c r="Z506" s="551"/>
      <c r="AA506" s="551"/>
      <c r="AB506" s="551"/>
      <c r="AC506" s="551"/>
      <c r="AD506" s="551"/>
      <c r="AE506" s="551"/>
      <c r="AF506" s="551"/>
      <c r="AG506" s="551"/>
      <c r="AH506" s="551"/>
      <c r="AI506" s="551"/>
      <c r="AJ506" s="551"/>
      <c r="AK506" s="551"/>
      <c r="AL506" s="551"/>
      <c r="AM506" s="551"/>
      <c r="AN506" s="551"/>
      <c r="AO506" s="551"/>
      <c r="AP506" s="551"/>
      <c r="AQ506" s="551"/>
      <c r="AR506" s="551"/>
      <c r="AS506" s="551"/>
      <c r="AT506" s="551"/>
      <c r="AU506" s="551"/>
      <c r="AV506" s="551"/>
      <c r="AW506" s="551"/>
      <c r="AX506" s="551"/>
      <c r="AY506" s="551"/>
      <c r="AZ506" s="551"/>
      <c r="BA506" s="551"/>
      <c r="BB506" s="551"/>
      <c r="BC506" s="551"/>
      <c r="BD506" s="551"/>
      <c r="BE506" s="551"/>
      <c r="BF506" s="551"/>
    </row>
    <row r="507" spans="1:58" ht="12.75" customHeight="1">
      <c r="A507" s="551"/>
      <c r="B507" s="551"/>
      <c r="C507" s="551"/>
      <c r="D507" s="551"/>
      <c r="E507" s="551"/>
      <c r="F507" s="551"/>
      <c r="G507" s="551"/>
      <c r="H507" s="551"/>
      <c r="I507" s="551"/>
      <c r="J507" s="551"/>
      <c r="K507" s="551"/>
      <c r="L507" s="551"/>
      <c r="M507" s="551"/>
      <c r="N507" s="551"/>
      <c r="O507" s="551"/>
      <c r="P507" s="551"/>
      <c r="Q507" s="551"/>
      <c r="R507" s="551"/>
      <c r="S507" s="551"/>
      <c r="T507" s="551"/>
      <c r="U507" s="551"/>
      <c r="V507" s="551"/>
      <c r="W507" s="551"/>
      <c r="X507" s="551"/>
      <c r="Y507" s="551"/>
      <c r="Z507" s="551"/>
      <c r="AA507" s="551"/>
      <c r="AB507" s="551"/>
      <c r="AC507" s="551"/>
      <c r="AD507" s="551"/>
      <c r="AE507" s="551"/>
      <c r="AF507" s="551"/>
      <c r="AG507" s="551"/>
      <c r="AH507" s="551"/>
      <c r="AI507" s="551"/>
      <c r="AJ507" s="551"/>
      <c r="AK507" s="551"/>
      <c r="AL507" s="551"/>
      <c r="AM507" s="551"/>
      <c r="AN507" s="551"/>
      <c r="AO507" s="551"/>
      <c r="AP507" s="551"/>
      <c r="AQ507" s="551"/>
      <c r="AR507" s="551"/>
      <c r="AS507" s="551"/>
      <c r="AT507" s="551"/>
      <c r="AU507" s="551"/>
      <c r="AV507" s="551"/>
      <c r="AW507" s="551"/>
      <c r="AX507" s="551"/>
      <c r="AY507" s="551"/>
      <c r="AZ507" s="551"/>
      <c r="BA507" s="551"/>
      <c r="BB507" s="551"/>
      <c r="BC507" s="551"/>
      <c r="BD507" s="551"/>
      <c r="BE507" s="551"/>
      <c r="BF507" s="551"/>
    </row>
    <row r="508" spans="1:58" ht="12.75" customHeight="1">
      <c r="A508" s="551"/>
      <c r="B508" s="551"/>
      <c r="C508" s="551"/>
      <c r="D508" s="551"/>
      <c r="E508" s="551"/>
      <c r="F508" s="551"/>
      <c r="G508" s="551"/>
      <c r="H508" s="551"/>
      <c r="I508" s="551"/>
      <c r="J508" s="551"/>
      <c r="K508" s="551"/>
      <c r="L508" s="551"/>
      <c r="M508" s="551"/>
      <c r="N508" s="551"/>
      <c r="O508" s="551"/>
      <c r="P508" s="551"/>
      <c r="Q508" s="551"/>
      <c r="R508" s="551"/>
      <c r="S508" s="551"/>
      <c r="T508" s="551"/>
      <c r="U508" s="551"/>
      <c r="V508" s="551"/>
      <c r="W508" s="551"/>
      <c r="X508" s="551"/>
      <c r="Y508" s="551"/>
      <c r="Z508" s="551"/>
      <c r="AA508" s="551"/>
      <c r="AB508" s="551"/>
      <c r="AC508" s="551"/>
      <c r="AD508" s="551"/>
      <c r="AE508" s="551"/>
      <c r="AF508" s="551"/>
      <c r="AG508" s="551"/>
      <c r="AH508" s="551"/>
      <c r="AI508" s="551"/>
      <c r="AJ508" s="551"/>
      <c r="AK508" s="551"/>
      <c r="AL508" s="551"/>
      <c r="AM508" s="551"/>
      <c r="AN508" s="551"/>
      <c r="AO508" s="551"/>
      <c r="AP508" s="551"/>
      <c r="AQ508" s="551"/>
      <c r="AR508" s="551"/>
      <c r="AS508" s="551"/>
      <c r="AT508" s="551"/>
      <c r="AU508" s="551"/>
      <c r="AV508" s="551"/>
      <c r="AW508" s="551"/>
      <c r="AX508" s="551"/>
      <c r="AY508" s="551"/>
      <c r="AZ508" s="551"/>
      <c r="BA508" s="551"/>
      <c r="BB508" s="551"/>
      <c r="BC508" s="551"/>
      <c r="BD508" s="551"/>
      <c r="BE508" s="551"/>
      <c r="BF508" s="551"/>
    </row>
    <row r="509" spans="1:58" ht="12.75" customHeight="1">
      <c r="A509" s="551"/>
      <c r="B509" s="551"/>
      <c r="C509" s="551"/>
      <c r="D509" s="551"/>
      <c r="E509" s="551"/>
      <c r="F509" s="551"/>
      <c r="G509" s="551"/>
      <c r="H509" s="551"/>
      <c r="I509" s="551"/>
      <c r="J509" s="551"/>
      <c r="K509" s="551"/>
      <c r="L509" s="551"/>
      <c r="M509" s="551"/>
      <c r="N509" s="551"/>
      <c r="O509" s="551"/>
      <c r="P509" s="551"/>
      <c r="Q509" s="551"/>
      <c r="R509" s="551"/>
      <c r="S509" s="551"/>
      <c r="T509" s="551"/>
      <c r="U509" s="551"/>
      <c r="V509" s="551"/>
      <c r="W509" s="551"/>
      <c r="X509" s="551"/>
      <c r="Y509" s="551"/>
      <c r="Z509" s="551"/>
      <c r="AA509" s="551"/>
      <c r="AB509" s="551"/>
      <c r="AC509" s="551"/>
      <c r="AD509" s="551"/>
      <c r="AE509" s="551"/>
      <c r="AF509" s="551"/>
      <c r="AG509" s="551"/>
      <c r="AH509" s="551"/>
      <c r="AI509" s="551"/>
      <c r="AJ509" s="551"/>
      <c r="AK509" s="551"/>
      <c r="AL509" s="551"/>
      <c r="AM509" s="551"/>
      <c r="AN509" s="551"/>
      <c r="AO509" s="551"/>
      <c r="AP509" s="551"/>
      <c r="AQ509" s="551"/>
      <c r="AR509" s="551"/>
      <c r="AS509" s="551"/>
      <c r="AT509" s="551"/>
      <c r="AU509" s="551"/>
      <c r="AV509" s="551"/>
      <c r="AW509" s="551"/>
      <c r="AX509" s="551"/>
      <c r="AY509" s="551"/>
      <c r="AZ509" s="551"/>
      <c r="BA509" s="551"/>
      <c r="BB509" s="551"/>
      <c r="BC509" s="551"/>
      <c r="BD509" s="551"/>
      <c r="BE509" s="551"/>
      <c r="BF509" s="551"/>
    </row>
    <row r="510" spans="1:58" ht="12.75" customHeight="1">
      <c r="A510" s="551"/>
      <c r="B510" s="551"/>
      <c r="C510" s="551"/>
      <c r="D510" s="551"/>
      <c r="E510" s="551"/>
      <c r="F510" s="551"/>
      <c r="G510" s="551"/>
      <c r="H510" s="551"/>
      <c r="I510" s="551"/>
      <c r="J510" s="551"/>
      <c r="K510" s="551"/>
      <c r="L510" s="551"/>
      <c r="M510" s="551"/>
      <c r="N510" s="551"/>
      <c r="O510" s="551"/>
      <c r="P510" s="551"/>
      <c r="Q510" s="551"/>
      <c r="R510" s="551"/>
      <c r="S510" s="551"/>
      <c r="T510" s="551"/>
      <c r="U510" s="551"/>
      <c r="V510" s="551"/>
      <c r="W510" s="551"/>
      <c r="X510" s="551"/>
      <c r="Y510" s="551"/>
      <c r="Z510" s="551"/>
      <c r="AA510" s="551"/>
      <c r="AB510" s="551"/>
      <c r="AC510" s="551"/>
      <c r="AD510" s="551"/>
      <c r="AE510" s="551"/>
      <c r="AF510" s="551"/>
      <c r="AG510" s="551"/>
      <c r="AH510" s="551"/>
      <c r="AI510" s="551"/>
      <c r="AJ510" s="551"/>
      <c r="AK510" s="551"/>
      <c r="AL510" s="551"/>
      <c r="AM510" s="551"/>
      <c r="AN510" s="551"/>
      <c r="AO510" s="551"/>
      <c r="AP510" s="551"/>
      <c r="AQ510" s="551"/>
      <c r="AR510" s="551"/>
      <c r="AS510" s="551"/>
      <c r="AT510" s="551"/>
      <c r="AU510" s="551"/>
      <c r="AV510" s="551"/>
      <c r="AW510" s="551"/>
      <c r="AX510" s="551"/>
      <c r="AY510" s="551"/>
      <c r="AZ510" s="551"/>
      <c r="BA510" s="551"/>
      <c r="BB510" s="551"/>
      <c r="BC510" s="551"/>
      <c r="BD510" s="551"/>
      <c r="BE510" s="551"/>
      <c r="BF510" s="551"/>
    </row>
    <row r="511" spans="1:58" ht="12.75" customHeight="1">
      <c r="A511" s="551"/>
      <c r="B511" s="551"/>
      <c r="C511" s="551"/>
      <c r="D511" s="551"/>
      <c r="E511" s="551"/>
      <c r="F511" s="551"/>
      <c r="G511" s="551"/>
      <c r="H511" s="551"/>
      <c r="I511" s="551"/>
      <c r="J511" s="551"/>
      <c r="K511" s="551"/>
      <c r="L511" s="551"/>
      <c r="M511" s="551"/>
      <c r="N511" s="551"/>
      <c r="O511" s="551"/>
      <c r="P511" s="551"/>
      <c r="Q511" s="551"/>
      <c r="R511" s="551"/>
      <c r="S511" s="551"/>
      <c r="T511" s="551"/>
      <c r="U511" s="551"/>
      <c r="V511" s="551"/>
      <c r="W511" s="551"/>
      <c r="X511" s="551"/>
      <c r="Y511" s="551"/>
      <c r="Z511" s="551"/>
      <c r="AA511" s="551"/>
      <c r="AB511" s="551"/>
      <c r="AC511" s="551"/>
      <c r="AD511" s="551"/>
      <c r="AE511" s="551"/>
      <c r="AF511" s="551"/>
      <c r="AG511" s="551"/>
      <c r="AH511" s="551"/>
      <c r="AI511" s="551"/>
      <c r="AJ511" s="551"/>
      <c r="AK511" s="551"/>
      <c r="AL511" s="551"/>
      <c r="AM511" s="551"/>
      <c r="AN511" s="551"/>
      <c r="AO511" s="551"/>
      <c r="AP511" s="551"/>
      <c r="AQ511" s="551"/>
      <c r="AR511" s="551"/>
      <c r="AS511" s="551"/>
      <c r="AT511" s="551"/>
      <c r="AU511" s="551"/>
      <c r="AV511" s="551"/>
      <c r="AW511" s="551"/>
      <c r="AX511" s="551"/>
      <c r="AY511" s="551"/>
      <c r="AZ511" s="551"/>
      <c r="BA511" s="551"/>
      <c r="BB511" s="551"/>
      <c r="BC511" s="551"/>
      <c r="BD511" s="551"/>
      <c r="BE511" s="551"/>
      <c r="BF511" s="551"/>
    </row>
    <row r="512" spans="1:58" ht="12.75" customHeight="1">
      <c r="A512" s="551"/>
      <c r="B512" s="551"/>
      <c r="C512" s="551"/>
      <c r="D512" s="551"/>
      <c r="E512" s="551"/>
      <c r="F512" s="551"/>
      <c r="G512" s="551"/>
      <c r="H512" s="551"/>
      <c r="I512" s="551"/>
      <c r="J512" s="551"/>
      <c r="K512" s="551"/>
      <c r="L512" s="551"/>
      <c r="M512" s="551"/>
      <c r="N512" s="551"/>
      <c r="O512" s="551"/>
      <c r="P512" s="551"/>
      <c r="Q512" s="551"/>
      <c r="R512" s="551"/>
      <c r="S512" s="551"/>
      <c r="T512" s="551"/>
      <c r="U512" s="551"/>
      <c r="V512" s="551"/>
      <c r="W512" s="551"/>
      <c r="X512" s="551"/>
      <c r="Y512" s="551"/>
      <c r="Z512" s="551"/>
      <c r="AA512" s="551"/>
      <c r="AB512" s="551"/>
      <c r="AC512" s="551"/>
      <c r="AD512" s="551"/>
      <c r="AE512" s="551"/>
      <c r="AF512" s="551"/>
      <c r="AG512" s="551"/>
      <c r="AH512" s="551"/>
      <c r="AI512" s="551"/>
      <c r="AJ512" s="551"/>
      <c r="AK512" s="551"/>
      <c r="AL512" s="551"/>
      <c r="AM512" s="551"/>
      <c r="AN512" s="551"/>
      <c r="AO512" s="551"/>
      <c r="AP512" s="551"/>
      <c r="AQ512" s="551"/>
      <c r="AR512" s="551"/>
      <c r="AS512" s="551"/>
      <c r="AT512" s="551"/>
      <c r="AU512" s="551"/>
      <c r="AV512" s="551"/>
      <c r="AW512" s="551"/>
      <c r="AX512" s="551"/>
      <c r="AY512" s="551"/>
      <c r="AZ512" s="551"/>
      <c r="BA512" s="551"/>
      <c r="BB512" s="551"/>
      <c r="BC512" s="551"/>
      <c r="BD512" s="551"/>
      <c r="BE512" s="551"/>
      <c r="BF512" s="551"/>
    </row>
    <row r="513" spans="1:58" ht="12.75" customHeight="1">
      <c r="A513" s="551"/>
      <c r="B513" s="551"/>
      <c r="C513" s="551"/>
      <c r="D513" s="551"/>
      <c r="E513" s="551"/>
      <c r="F513" s="551"/>
      <c r="G513" s="551"/>
      <c r="H513" s="551"/>
      <c r="I513" s="551"/>
      <c r="J513" s="551"/>
      <c r="K513" s="551"/>
      <c r="L513" s="551"/>
      <c r="M513" s="551"/>
      <c r="N513" s="551"/>
      <c r="O513" s="551"/>
      <c r="P513" s="551"/>
      <c r="Q513" s="551"/>
      <c r="R513" s="551"/>
      <c r="S513" s="551"/>
      <c r="T513" s="551"/>
      <c r="U513" s="551"/>
      <c r="V513" s="551"/>
      <c r="W513" s="551"/>
      <c r="X513" s="551"/>
      <c r="Y513" s="551"/>
      <c r="Z513" s="551"/>
      <c r="AA513" s="551"/>
      <c r="AB513" s="551"/>
      <c r="AC513" s="551"/>
      <c r="AD513" s="551"/>
      <c r="AE513" s="551"/>
      <c r="AF513" s="551"/>
      <c r="AG513" s="551"/>
      <c r="AH513" s="551"/>
      <c r="AI513" s="551"/>
      <c r="AJ513" s="551"/>
      <c r="AK513" s="551"/>
      <c r="AL513" s="551"/>
      <c r="AM513" s="551"/>
      <c r="AN513" s="551"/>
      <c r="AO513" s="551"/>
      <c r="AP513" s="551"/>
      <c r="AQ513" s="551"/>
      <c r="AR513" s="551"/>
      <c r="AS513" s="551"/>
      <c r="AT513" s="551"/>
      <c r="AU513" s="551"/>
      <c r="AV513" s="551"/>
      <c r="AW513" s="551"/>
      <c r="AX513" s="551"/>
      <c r="AY513" s="551"/>
      <c r="AZ513" s="551"/>
      <c r="BA513" s="551"/>
      <c r="BB513" s="551"/>
      <c r="BC513" s="551"/>
      <c r="BD513" s="551"/>
      <c r="BE513" s="551"/>
      <c r="BF513" s="551"/>
    </row>
    <row r="514" spans="1:58" ht="12.75" customHeight="1">
      <c r="A514" s="551"/>
      <c r="B514" s="551"/>
      <c r="C514" s="551"/>
      <c r="D514" s="551"/>
      <c r="E514" s="551"/>
      <c r="F514" s="551"/>
      <c r="G514" s="551"/>
      <c r="H514" s="551"/>
      <c r="I514" s="551"/>
      <c r="J514" s="551"/>
      <c r="K514" s="551"/>
      <c r="L514" s="551"/>
      <c r="M514" s="551"/>
      <c r="N514" s="551"/>
      <c r="O514" s="551"/>
      <c r="P514" s="551"/>
      <c r="Q514" s="551"/>
      <c r="R514" s="551"/>
      <c r="S514" s="551"/>
      <c r="T514" s="551"/>
      <c r="U514" s="551"/>
      <c r="V514" s="551"/>
      <c r="W514" s="551"/>
      <c r="X514" s="551"/>
      <c r="Y514" s="551"/>
      <c r="Z514" s="551"/>
      <c r="AA514" s="551"/>
      <c r="AB514" s="551"/>
      <c r="AC514" s="551"/>
      <c r="AD514" s="551"/>
      <c r="AE514" s="551"/>
      <c r="AF514" s="551"/>
      <c r="AG514" s="551"/>
      <c r="AH514" s="551"/>
      <c r="AI514" s="551"/>
      <c r="AJ514" s="551"/>
      <c r="AK514" s="551"/>
      <c r="AL514" s="551"/>
      <c r="AM514" s="551"/>
      <c r="AN514" s="551"/>
      <c r="AO514" s="551"/>
      <c r="AP514" s="551"/>
      <c r="AQ514" s="551"/>
      <c r="AR514" s="551"/>
      <c r="AS514" s="551"/>
      <c r="AT514" s="551"/>
      <c r="AU514" s="551"/>
      <c r="AV514" s="551"/>
      <c r="AW514" s="551"/>
      <c r="AX514" s="551"/>
      <c r="AY514" s="551"/>
      <c r="AZ514" s="551"/>
      <c r="BA514" s="551"/>
      <c r="BB514" s="551"/>
      <c r="BC514" s="551"/>
      <c r="BD514" s="551"/>
      <c r="BE514" s="551"/>
      <c r="BF514" s="551"/>
    </row>
    <row r="515" spans="1:58" ht="12.75" customHeight="1">
      <c r="A515" s="551"/>
      <c r="B515" s="551"/>
      <c r="C515" s="551"/>
      <c r="D515" s="551"/>
      <c r="E515" s="551"/>
      <c r="F515" s="551"/>
      <c r="G515" s="551"/>
      <c r="H515" s="551"/>
      <c r="I515" s="551"/>
      <c r="J515" s="551"/>
      <c r="K515" s="551"/>
      <c r="L515" s="551"/>
      <c r="M515" s="551"/>
      <c r="N515" s="551"/>
      <c r="O515" s="551"/>
      <c r="P515" s="551"/>
      <c r="Q515" s="551"/>
      <c r="R515" s="551"/>
      <c r="S515" s="551"/>
      <c r="T515" s="551"/>
      <c r="U515" s="551"/>
      <c r="V515" s="551"/>
      <c r="W515" s="551"/>
      <c r="X515" s="551"/>
      <c r="Y515" s="551"/>
      <c r="Z515" s="551"/>
      <c r="AA515" s="551"/>
      <c r="AB515" s="551"/>
      <c r="AC515" s="551"/>
      <c r="AD515" s="551"/>
      <c r="AE515" s="551"/>
      <c r="AF515" s="551"/>
      <c r="AG515" s="551"/>
      <c r="AH515" s="551"/>
      <c r="AI515" s="551"/>
      <c r="AJ515" s="551"/>
      <c r="AK515" s="551"/>
      <c r="AL515" s="551"/>
      <c r="AM515" s="551"/>
      <c r="AN515" s="551"/>
      <c r="AO515" s="551"/>
      <c r="AP515" s="551"/>
      <c r="AQ515" s="551"/>
      <c r="AR515" s="551"/>
      <c r="AS515" s="551"/>
      <c r="AT515" s="551"/>
      <c r="AU515" s="551"/>
      <c r="AV515" s="551"/>
      <c r="AW515" s="551"/>
      <c r="AX515" s="551"/>
      <c r="AY515" s="551"/>
      <c r="AZ515" s="551"/>
      <c r="BA515" s="551"/>
      <c r="BB515" s="551"/>
      <c r="BC515" s="551"/>
      <c r="BD515" s="551"/>
      <c r="BE515" s="551"/>
      <c r="BF515" s="551"/>
    </row>
    <row r="516" spans="1:58" ht="12.75" customHeight="1">
      <c r="A516" s="551"/>
      <c r="B516" s="551"/>
      <c r="C516" s="551"/>
      <c r="D516" s="551"/>
      <c r="E516" s="551"/>
      <c r="F516" s="551"/>
      <c r="G516" s="551"/>
      <c r="H516" s="551"/>
      <c r="I516" s="551"/>
      <c r="J516" s="551"/>
      <c r="K516" s="551"/>
      <c r="L516" s="551"/>
      <c r="M516" s="551"/>
      <c r="N516" s="551"/>
      <c r="O516" s="551"/>
      <c r="P516" s="551"/>
      <c r="Q516" s="551"/>
      <c r="R516" s="551"/>
      <c r="S516" s="551"/>
      <c r="T516" s="551"/>
      <c r="U516" s="551"/>
      <c r="V516" s="551"/>
      <c r="W516" s="551"/>
      <c r="X516" s="551"/>
      <c r="Y516" s="551"/>
      <c r="Z516" s="551"/>
      <c r="AA516" s="551"/>
      <c r="AB516" s="551"/>
      <c r="AC516" s="551"/>
      <c r="AD516" s="551"/>
      <c r="AE516" s="551"/>
      <c r="AF516" s="551"/>
      <c r="AG516" s="551"/>
      <c r="AH516" s="551"/>
      <c r="AI516" s="551"/>
      <c r="AJ516" s="551"/>
      <c r="AK516" s="551"/>
      <c r="AL516" s="551"/>
      <c r="AM516" s="551"/>
      <c r="AN516" s="551"/>
      <c r="AO516" s="551"/>
      <c r="AP516" s="551"/>
      <c r="AQ516" s="551"/>
      <c r="AR516" s="551"/>
      <c r="AS516" s="551"/>
      <c r="AT516" s="551"/>
      <c r="AU516" s="551"/>
      <c r="AV516" s="551"/>
      <c r="AW516" s="551"/>
      <c r="AX516" s="551"/>
      <c r="AY516" s="551"/>
      <c r="AZ516" s="551"/>
      <c r="BA516" s="551"/>
      <c r="BB516" s="551"/>
      <c r="BC516" s="551"/>
      <c r="BD516" s="551"/>
      <c r="BE516" s="551"/>
      <c r="BF516" s="551"/>
    </row>
    <row r="517" spans="1:58" ht="12.75" customHeight="1">
      <c r="A517" s="551"/>
      <c r="B517" s="551"/>
      <c r="C517" s="551"/>
      <c r="D517" s="551"/>
      <c r="E517" s="551"/>
      <c r="F517" s="551"/>
      <c r="G517" s="551"/>
      <c r="H517" s="551"/>
      <c r="I517" s="551"/>
      <c r="J517" s="551"/>
      <c r="K517" s="551"/>
      <c r="L517" s="551"/>
      <c r="M517" s="551"/>
      <c r="N517" s="551"/>
      <c r="O517" s="551"/>
      <c r="P517" s="551"/>
      <c r="Q517" s="551"/>
      <c r="R517" s="551"/>
      <c r="S517" s="551"/>
      <c r="T517" s="551"/>
      <c r="U517" s="551"/>
      <c r="V517" s="551"/>
      <c r="W517" s="551"/>
      <c r="X517" s="551"/>
      <c r="Y517" s="551"/>
      <c r="Z517" s="551"/>
      <c r="AA517" s="551"/>
      <c r="AB517" s="551"/>
      <c r="AC517" s="551"/>
      <c r="AD517" s="551"/>
      <c r="AE517" s="551"/>
      <c r="AF517" s="551"/>
      <c r="AG517" s="551"/>
      <c r="AH517" s="551"/>
      <c r="AI517" s="551"/>
      <c r="AJ517" s="551"/>
      <c r="AK517" s="551"/>
      <c r="AL517" s="551"/>
      <c r="AM517" s="551"/>
      <c r="AN517" s="551"/>
      <c r="AO517" s="551"/>
      <c r="AP517" s="551"/>
      <c r="AQ517" s="551"/>
      <c r="AR517" s="551"/>
      <c r="AS517" s="551"/>
      <c r="AT517" s="551"/>
      <c r="AU517" s="551"/>
      <c r="AV517" s="551"/>
      <c r="AW517" s="551"/>
      <c r="AX517" s="551"/>
      <c r="AY517" s="551"/>
      <c r="AZ517" s="551"/>
      <c r="BA517" s="551"/>
      <c r="BB517" s="551"/>
      <c r="BC517" s="551"/>
      <c r="BD517" s="551"/>
      <c r="BE517" s="551"/>
      <c r="BF517" s="551"/>
    </row>
    <row r="518" spans="1:58" ht="12.75" customHeight="1">
      <c r="A518" s="551"/>
      <c r="B518" s="551"/>
      <c r="C518" s="551"/>
      <c r="D518" s="551"/>
      <c r="E518" s="551"/>
      <c r="F518" s="551"/>
      <c r="G518" s="551"/>
      <c r="H518" s="551"/>
      <c r="I518" s="551"/>
      <c r="J518" s="551"/>
      <c r="K518" s="551"/>
      <c r="L518" s="551"/>
      <c r="M518" s="551"/>
      <c r="N518" s="551"/>
      <c r="O518" s="551"/>
      <c r="P518" s="551"/>
      <c r="Q518" s="551"/>
      <c r="R518" s="551"/>
      <c r="S518" s="551"/>
      <c r="T518" s="551"/>
      <c r="U518" s="551"/>
      <c r="V518" s="551"/>
      <c r="W518" s="551"/>
      <c r="X518" s="551"/>
      <c r="Y518" s="551"/>
      <c r="Z518" s="551"/>
      <c r="AA518" s="551"/>
      <c r="AB518" s="551"/>
      <c r="AC518" s="551"/>
      <c r="AD518" s="551"/>
      <c r="AE518" s="551"/>
      <c r="AF518" s="551"/>
      <c r="AG518" s="551"/>
      <c r="AH518" s="551"/>
      <c r="AI518" s="551"/>
      <c r="AJ518" s="551"/>
      <c r="AK518" s="551"/>
      <c r="AL518" s="551"/>
      <c r="AM518" s="551"/>
      <c r="AN518" s="551"/>
      <c r="AO518" s="551"/>
      <c r="AP518" s="551"/>
      <c r="AQ518" s="551"/>
      <c r="AR518" s="551"/>
      <c r="AS518" s="551"/>
      <c r="AT518" s="551"/>
      <c r="AU518" s="551"/>
      <c r="AV518" s="551"/>
      <c r="AW518" s="551"/>
      <c r="AX518" s="551"/>
      <c r="AY518" s="551"/>
      <c r="AZ518" s="551"/>
      <c r="BA518" s="551"/>
      <c r="BB518" s="551"/>
      <c r="BC518" s="551"/>
      <c r="BD518" s="551"/>
      <c r="BE518" s="551"/>
      <c r="BF518" s="551"/>
    </row>
    <row r="519" spans="1:58" ht="12.75" customHeight="1">
      <c r="A519" s="551"/>
      <c r="B519" s="551"/>
      <c r="C519" s="551"/>
      <c r="D519" s="551"/>
      <c r="E519" s="551"/>
      <c r="F519" s="551"/>
      <c r="G519" s="551"/>
      <c r="H519" s="551"/>
      <c r="I519" s="551"/>
      <c r="J519" s="551"/>
      <c r="K519" s="551"/>
      <c r="L519" s="551"/>
      <c r="M519" s="551"/>
      <c r="N519" s="551"/>
      <c r="O519" s="551"/>
      <c r="P519" s="551"/>
      <c r="Q519" s="551"/>
      <c r="R519" s="551"/>
      <c r="S519" s="551"/>
      <c r="T519" s="551"/>
      <c r="U519" s="551"/>
      <c r="V519" s="551"/>
      <c r="W519" s="551"/>
      <c r="X519" s="551"/>
      <c r="Y519" s="551"/>
      <c r="Z519" s="551"/>
      <c r="AA519" s="551"/>
      <c r="AB519" s="551"/>
      <c r="AC519" s="551"/>
      <c r="AD519" s="551"/>
      <c r="AE519" s="551"/>
      <c r="AF519" s="551"/>
      <c r="AG519" s="551"/>
      <c r="AH519" s="551"/>
      <c r="AI519" s="551"/>
      <c r="AJ519" s="551"/>
      <c r="AK519" s="551"/>
      <c r="AL519" s="551"/>
      <c r="AM519" s="551"/>
      <c r="AN519" s="551"/>
      <c r="AO519" s="551"/>
      <c r="AP519" s="551"/>
      <c r="AQ519" s="551"/>
      <c r="AR519" s="551"/>
      <c r="AS519" s="551"/>
      <c r="AT519" s="551"/>
      <c r="AU519" s="551"/>
      <c r="AV519" s="551"/>
      <c r="AW519" s="551"/>
      <c r="AX519" s="551"/>
      <c r="AY519" s="551"/>
      <c r="AZ519" s="551"/>
      <c r="BA519" s="551"/>
      <c r="BB519" s="551"/>
      <c r="BC519" s="551"/>
      <c r="BD519" s="551"/>
      <c r="BE519" s="551"/>
      <c r="BF519" s="551"/>
    </row>
    <row r="520" spans="1:58" ht="12.75" customHeight="1">
      <c r="A520" s="551"/>
      <c r="B520" s="551"/>
      <c r="C520" s="551"/>
      <c r="D520" s="551"/>
      <c r="E520" s="551"/>
      <c r="F520" s="551"/>
      <c r="G520" s="551"/>
      <c r="H520" s="551"/>
      <c r="I520" s="551"/>
      <c r="J520" s="551"/>
      <c r="K520" s="551"/>
      <c r="L520" s="551"/>
      <c r="M520" s="551"/>
      <c r="N520" s="551"/>
      <c r="O520" s="551"/>
      <c r="P520" s="551"/>
      <c r="Q520" s="551"/>
      <c r="R520" s="551"/>
      <c r="S520" s="551"/>
      <c r="T520" s="551"/>
      <c r="U520" s="551"/>
      <c r="V520" s="551"/>
      <c r="W520" s="551"/>
      <c r="X520" s="551"/>
      <c r="Y520" s="551"/>
      <c r="Z520" s="551"/>
      <c r="AA520" s="551"/>
      <c r="AB520" s="551"/>
      <c r="AC520" s="551"/>
      <c r="AD520" s="551"/>
      <c r="AE520" s="551"/>
      <c r="AF520" s="551"/>
      <c r="AG520" s="551"/>
      <c r="AH520" s="551"/>
      <c r="AI520" s="551"/>
      <c r="AJ520" s="551"/>
      <c r="AK520" s="551"/>
      <c r="AL520" s="551"/>
      <c r="AM520" s="551"/>
      <c r="AN520" s="551"/>
      <c r="AO520" s="551"/>
      <c r="AP520" s="551"/>
      <c r="AQ520" s="551"/>
      <c r="AR520" s="551"/>
      <c r="AS520" s="551"/>
      <c r="AT520" s="551"/>
      <c r="AU520" s="551"/>
      <c r="AV520" s="551"/>
      <c r="AW520" s="551"/>
      <c r="AX520" s="551"/>
      <c r="AY520" s="551"/>
      <c r="AZ520" s="551"/>
      <c r="BA520" s="551"/>
      <c r="BB520" s="551"/>
      <c r="BC520" s="551"/>
      <c r="BD520" s="551"/>
      <c r="BE520" s="551"/>
      <c r="BF520" s="551"/>
    </row>
    <row r="521" spans="1:58" ht="12.75" customHeight="1">
      <c r="A521" s="551"/>
      <c r="B521" s="551"/>
      <c r="C521" s="551"/>
      <c r="D521" s="551"/>
      <c r="E521" s="551"/>
      <c r="F521" s="551"/>
      <c r="G521" s="551"/>
      <c r="H521" s="551"/>
      <c r="I521" s="551"/>
      <c r="J521" s="551"/>
      <c r="K521" s="551"/>
      <c r="L521" s="551"/>
      <c r="M521" s="551"/>
      <c r="N521" s="551"/>
      <c r="O521" s="551"/>
      <c r="P521" s="551"/>
      <c r="Q521" s="551"/>
      <c r="R521" s="551"/>
      <c r="S521" s="551"/>
      <c r="T521" s="551"/>
      <c r="U521" s="551"/>
      <c r="V521" s="551"/>
      <c r="W521" s="551"/>
      <c r="X521" s="551"/>
      <c r="Y521" s="551"/>
      <c r="Z521" s="551"/>
      <c r="AA521" s="551"/>
      <c r="AB521" s="551"/>
      <c r="AC521" s="551"/>
      <c r="AD521" s="551"/>
      <c r="AE521" s="551"/>
      <c r="AF521" s="551"/>
      <c r="AG521" s="551"/>
      <c r="AH521" s="551"/>
      <c r="AI521" s="551"/>
      <c r="AJ521" s="551"/>
      <c r="AK521" s="551"/>
      <c r="AL521" s="551"/>
      <c r="AM521" s="551"/>
      <c r="AN521" s="551"/>
      <c r="AO521" s="551"/>
      <c r="AP521" s="551"/>
      <c r="AQ521" s="551"/>
      <c r="AR521" s="551"/>
      <c r="AS521" s="551"/>
      <c r="AT521" s="551"/>
      <c r="AU521" s="551"/>
      <c r="AV521" s="551"/>
      <c r="AW521" s="551"/>
      <c r="AX521" s="551"/>
      <c r="AY521" s="551"/>
      <c r="AZ521" s="551"/>
      <c r="BA521" s="551"/>
      <c r="BB521" s="551"/>
      <c r="BC521" s="551"/>
      <c r="BD521" s="551"/>
      <c r="BE521" s="551"/>
      <c r="BF521" s="551"/>
    </row>
    <row r="522" spans="1:58" ht="12.75" customHeight="1">
      <c r="A522" s="551"/>
      <c r="B522" s="551"/>
      <c r="C522" s="551"/>
      <c r="D522" s="551"/>
      <c r="E522" s="551"/>
      <c r="F522" s="551"/>
      <c r="G522" s="551"/>
      <c r="H522" s="551"/>
      <c r="I522" s="551"/>
      <c r="J522" s="551"/>
      <c r="K522" s="551"/>
      <c r="L522" s="551"/>
      <c r="M522" s="551"/>
      <c r="N522" s="551"/>
      <c r="O522" s="551"/>
      <c r="P522" s="551"/>
      <c r="Q522" s="551"/>
      <c r="R522" s="551"/>
      <c r="S522" s="551"/>
      <c r="T522" s="551"/>
      <c r="U522" s="551"/>
      <c r="V522" s="551"/>
      <c r="W522" s="551"/>
      <c r="X522" s="551"/>
      <c r="Y522" s="551"/>
      <c r="Z522" s="551"/>
      <c r="AA522" s="551"/>
      <c r="AB522" s="551"/>
      <c r="AC522" s="551"/>
      <c r="AD522" s="551"/>
      <c r="AE522" s="551"/>
      <c r="AF522" s="551"/>
      <c r="AG522" s="551"/>
      <c r="AH522" s="551"/>
      <c r="AI522" s="551"/>
      <c r="AJ522" s="551"/>
      <c r="AK522" s="551"/>
      <c r="AL522" s="551"/>
      <c r="AM522" s="551"/>
      <c r="AN522" s="551"/>
      <c r="AO522" s="551"/>
      <c r="AP522" s="551"/>
      <c r="AQ522" s="551"/>
      <c r="AR522" s="551"/>
      <c r="AS522" s="551"/>
      <c r="AT522" s="551"/>
      <c r="AU522" s="551"/>
      <c r="AV522" s="551"/>
      <c r="AW522" s="551"/>
      <c r="AX522" s="551"/>
      <c r="AY522" s="551"/>
      <c r="AZ522" s="551"/>
      <c r="BA522" s="551"/>
      <c r="BB522" s="551"/>
      <c r="BC522" s="551"/>
      <c r="BD522" s="551"/>
      <c r="BE522" s="551"/>
      <c r="BF522" s="551"/>
    </row>
    <row r="523" spans="1:58" ht="12.75" customHeight="1">
      <c r="A523" s="551"/>
      <c r="B523" s="551"/>
      <c r="C523" s="551"/>
      <c r="D523" s="551"/>
      <c r="E523" s="551"/>
      <c r="F523" s="551"/>
      <c r="G523" s="551"/>
      <c r="H523" s="551"/>
      <c r="I523" s="551"/>
      <c r="J523" s="551"/>
      <c r="K523" s="551"/>
      <c r="L523" s="551"/>
      <c r="M523" s="551"/>
      <c r="N523" s="551"/>
      <c r="O523" s="551"/>
      <c r="P523" s="551"/>
      <c r="Q523" s="551"/>
      <c r="R523" s="551"/>
      <c r="S523" s="551"/>
      <c r="T523" s="551"/>
      <c r="U523" s="551"/>
      <c r="V523" s="551"/>
      <c r="W523" s="551"/>
      <c r="X523" s="551"/>
      <c r="Y523" s="551"/>
      <c r="Z523" s="551"/>
      <c r="AA523" s="551"/>
      <c r="AB523" s="551"/>
      <c r="AC523" s="551"/>
      <c r="AD523" s="551"/>
      <c r="AE523" s="551"/>
      <c r="AF523" s="551"/>
      <c r="AG523" s="551"/>
      <c r="AH523" s="551"/>
      <c r="AI523" s="551"/>
      <c r="AJ523" s="551"/>
      <c r="AK523" s="551"/>
      <c r="AL523" s="551"/>
      <c r="AM523" s="551"/>
      <c r="AN523" s="551"/>
      <c r="AO523" s="551"/>
      <c r="AP523" s="551"/>
      <c r="AQ523" s="551"/>
      <c r="AR523" s="551"/>
      <c r="AS523" s="551"/>
      <c r="AT523" s="551"/>
      <c r="AU523" s="551"/>
      <c r="AV523" s="551"/>
      <c r="AW523" s="551"/>
      <c r="AX523" s="551"/>
      <c r="AY523" s="551"/>
      <c r="AZ523" s="551"/>
      <c r="BA523" s="551"/>
      <c r="BB523" s="551"/>
      <c r="BC523" s="551"/>
      <c r="BD523" s="551"/>
      <c r="BE523" s="551"/>
      <c r="BF523" s="551"/>
    </row>
    <row r="524" spans="1:58" ht="12.75" customHeight="1">
      <c r="A524" s="551"/>
      <c r="B524" s="551"/>
      <c r="C524" s="551"/>
      <c r="D524" s="551"/>
      <c r="E524" s="551"/>
      <c r="F524" s="551"/>
      <c r="G524" s="551"/>
      <c r="H524" s="551"/>
      <c r="I524" s="551"/>
      <c r="J524" s="551"/>
      <c r="K524" s="551"/>
      <c r="L524" s="551"/>
      <c r="M524" s="551"/>
      <c r="N524" s="551"/>
      <c r="O524" s="551"/>
      <c r="P524" s="551"/>
      <c r="Q524" s="551"/>
      <c r="R524" s="551"/>
      <c r="S524" s="551"/>
      <c r="T524" s="551"/>
      <c r="U524" s="551"/>
      <c r="V524" s="551"/>
      <c r="W524" s="551"/>
      <c r="X524" s="551"/>
      <c r="Y524" s="551"/>
      <c r="Z524" s="551"/>
      <c r="AA524" s="551"/>
      <c r="AB524" s="551"/>
      <c r="AC524" s="551"/>
      <c r="AD524" s="551"/>
      <c r="AE524" s="551"/>
      <c r="AF524" s="551"/>
      <c r="AG524" s="551"/>
      <c r="AH524" s="551"/>
      <c r="AI524" s="551"/>
      <c r="AJ524" s="551"/>
      <c r="AK524" s="551"/>
      <c r="AL524" s="551"/>
      <c r="AM524" s="551"/>
      <c r="AN524" s="551"/>
      <c r="AO524" s="551"/>
      <c r="AP524" s="551"/>
      <c r="AQ524" s="551"/>
      <c r="AR524" s="551"/>
      <c r="AS524" s="551"/>
      <c r="AT524" s="551"/>
      <c r="AU524" s="551"/>
      <c r="AV524" s="551"/>
      <c r="AW524" s="551"/>
      <c r="AX524" s="551"/>
      <c r="AY524" s="551"/>
      <c r="AZ524" s="551"/>
      <c r="BA524" s="551"/>
      <c r="BB524" s="551"/>
      <c r="BC524" s="551"/>
      <c r="BD524" s="551"/>
      <c r="BE524" s="551"/>
      <c r="BF524" s="551"/>
    </row>
    <row r="525" spans="1:58" ht="12.75" customHeight="1">
      <c r="A525" s="551"/>
      <c r="B525" s="551"/>
      <c r="C525" s="551"/>
      <c r="D525" s="551"/>
      <c r="E525" s="551"/>
      <c r="F525" s="551"/>
      <c r="G525" s="551"/>
      <c r="H525" s="551"/>
      <c r="I525" s="551"/>
      <c r="J525" s="551"/>
      <c r="K525" s="551"/>
      <c r="L525" s="551"/>
      <c r="M525" s="551"/>
      <c r="N525" s="551"/>
      <c r="O525" s="551"/>
      <c r="P525" s="551"/>
      <c r="Q525" s="551"/>
      <c r="R525" s="551"/>
      <c r="S525" s="551"/>
      <c r="T525" s="551"/>
      <c r="U525" s="551"/>
      <c r="V525" s="551"/>
      <c r="W525" s="551"/>
      <c r="X525" s="551"/>
      <c r="Y525" s="551"/>
      <c r="Z525" s="551"/>
      <c r="AA525" s="551"/>
      <c r="AB525" s="551"/>
      <c r="AC525" s="551"/>
      <c r="AD525" s="551"/>
      <c r="AE525" s="551"/>
      <c r="AF525" s="551"/>
      <c r="AG525" s="551"/>
      <c r="AH525" s="551"/>
      <c r="AI525" s="551"/>
      <c r="AJ525" s="551"/>
      <c r="AK525" s="551"/>
      <c r="AL525" s="551"/>
      <c r="AM525" s="551"/>
      <c r="AN525" s="551"/>
      <c r="AO525" s="551"/>
      <c r="AP525" s="551"/>
      <c r="AQ525" s="551"/>
      <c r="AR525" s="551"/>
      <c r="AS525" s="551"/>
      <c r="AT525" s="551"/>
      <c r="AU525" s="551"/>
      <c r="AV525" s="551"/>
      <c r="AW525" s="551"/>
      <c r="AX525" s="551"/>
      <c r="AY525" s="551"/>
      <c r="AZ525" s="551"/>
      <c r="BA525" s="551"/>
      <c r="BB525" s="551"/>
      <c r="BC525" s="551"/>
      <c r="BD525" s="551"/>
      <c r="BE525" s="551"/>
      <c r="BF525" s="551"/>
    </row>
    <row r="526" spans="1:58" ht="12.75" customHeight="1">
      <c r="A526" s="551"/>
      <c r="B526" s="551"/>
      <c r="C526" s="551"/>
      <c r="D526" s="551"/>
      <c r="E526" s="551"/>
      <c r="F526" s="551"/>
      <c r="G526" s="551"/>
      <c r="H526" s="551"/>
      <c r="I526" s="551"/>
      <c r="J526" s="551"/>
      <c r="K526" s="551"/>
      <c r="L526" s="551"/>
      <c r="M526" s="551"/>
      <c r="N526" s="551"/>
      <c r="O526" s="551"/>
      <c r="P526" s="551"/>
      <c r="Q526" s="551"/>
      <c r="R526" s="551"/>
      <c r="S526" s="551"/>
      <c r="T526" s="551"/>
      <c r="U526" s="551"/>
      <c r="V526" s="551"/>
      <c r="W526" s="551"/>
      <c r="X526" s="551"/>
      <c r="Y526" s="551"/>
      <c r="Z526" s="551"/>
      <c r="AA526" s="551"/>
      <c r="AB526" s="551"/>
      <c r="AC526" s="551"/>
      <c r="AD526" s="551"/>
      <c r="AE526" s="551"/>
      <c r="AF526" s="551"/>
      <c r="AG526" s="551"/>
      <c r="AH526" s="551"/>
      <c r="AI526" s="551"/>
      <c r="AJ526" s="551"/>
      <c r="AK526" s="551"/>
      <c r="AL526" s="551"/>
      <c r="AM526" s="551"/>
      <c r="AN526" s="551"/>
      <c r="AO526" s="551"/>
      <c r="AP526" s="551"/>
      <c r="AQ526" s="551"/>
      <c r="AR526" s="551"/>
      <c r="AS526" s="551"/>
      <c r="AT526" s="551"/>
      <c r="AU526" s="551"/>
      <c r="AV526" s="551"/>
      <c r="AW526" s="551"/>
      <c r="AX526" s="551"/>
      <c r="AY526" s="551"/>
      <c r="AZ526" s="551"/>
      <c r="BA526" s="551"/>
      <c r="BB526" s="551"/>
      <c r="BC526" s="551"/>
      <c r="BD526" s="551"/>
      <c r="BE526" s="551"/>
      <c r="BF526" s="551"/>
    </row>
    <row r="527" spans="1:58" ht="12.75" customHeight="1">
      <c r="A527" s="551"/>
      <c r="B527" s="551"/>
      <c r="C527" s="551"/>
      <c r="D527" s="551"/>
      <c r="E527" s="551"/>
      <c r="F527" s="551"/>
      <c r="G527" s="551"/>
      <c r="H527" s="551"/>
      <c r="I527" s="551"/>
      <c r="J527" s="551"/>
      <c r="K527" s="551"/>
      <c r="L527" s="551"/>
      <c r="M527" s="551"/>
      <c r="N527" s="551"/>
      <c r="O527" s="551"/>
      <c r="P527" s="551"/>
      <c r="Q527" s="551"/>
      <c r="R527" s="551"/>
      <c r="S527" s="551"/>
      <c r="T527" s="551"/>
      <c r="U527" s="551"/>
      <c r="V527" s="551"/>
      <c r="W527" s="551"/>
      <c r="X527" s="551"/>
      <c r="Y527" s="551"/>
      <c r="Z527" s="551"/>
      <c r="AA527" s="551"/>
      <c r="AB527" s="551"/>
      <c r="AC527" s="551"/>
      <c r="AD527" s="551"/>
      <c r="AE527" s="551"/>
      <c r="AF527" s="551"/>
      <c r="AG527" s="551"/>
      <c r="AH527" s="551"/>
      <c r="AI527" s="551"/>
      <c r="AJ527" s="551"/>
      <c r="AK527" s="551"/>
      <c r="AL527" s="551"/>
      <c r="AM527" s="551"/>
      <c r="AN527" s="551"/>
      <c r="AO527" s="551"/>
      <c r="AP527" s="551"/>
      <c r="AQ527" s="551"/>
      <c r="AR527" s="551"/>
      <c r="AS527" s="551"/>
      <c r="AT527" s="551"/>
      <c r="AU527" s="551"/>
      <c r="AV527" s="551"/>
      <c r="AW527" s="551"/>
      <c r="AX527" s="551"/>
      <c r="AY527" s="551"/>
      <c r="AZ527" s="551"/>
      <c r="BA527" s="551"/>
      <c r="BB527" s="551"/>
      <c r="BC527" s="551"/>
      <c r="BD527" s="551"/>
      <c r="BE527" s="551"/>
      <c r="BF527" s="551"/>
    </row>
    <row r="528" spans="1:58" ht="12.75" customHeight="1">
      <c r="A528" s="551"/>
      <c r="B528" s="551"/>
      <c r="C528" s="551"/>
      <c r="D528" s="551"/>
      <c r="E528" s="551"/>
      <c r="F528" s="551"/>
      <c r="G528" s="551"/>
      <c r="H528" s="551"/>
      <c r="I528" s="551"/>
      <c r="J528" s="551"/>
      <c r="K528" s="551"/>
      <c r="L528" s="551"/>
      <c r="M528" s="551"/>
      <c r="N528" s="551"/>
      <c r="O528" s="551"/>
      <c r="P528" s="551"/>
      <c r="Q528" s="551"/>
      <c r="R528" s="551"/>
      <c r="S528" s="551"/>
      <c r="T528" s="551"/>
      <c r="U528" s="551"/>
      <c r="V528" s="551"/>
      <c r="W528" s="551"/>
      <c r="X528" s="551"/>
      <c r="Y528" s="551"/>
      <c r="Z528" s="551"/>
      <c r="AA528" s="551"/>
      <c r="AB528" s="551"/>
      <c r="AC528" s="551"/>
      <c r="AD528" s="551"/>
      <c r="AE528" s="551"/>
      <c r="AF528" s="551"/>
      <c r="AG528" s="551"/>
      <c r="AH528" s="551"/>
      <c r="AI528" s="551"/>
      <c r="AJ528" s="551"/>
      <c r="AK528" s="551"/>
      <c r="AL528" s="551"/>
      <c r="AM528" s="551"/>
      <c r="AN528" s="551"/>
      <c r="AO528" s="551"/>
      <c r="AP528" s="551"/>
      <c r="AQ528" s="551"/>
      <c r="AR528" s="551"/>
      <c r="AS528" s="551"/>
      <c r="AT528" s="551"/>
      <c r="AU528" s="551"/>
      <c r="AV528" s="551"/>
      <c r="AW528" s="551"/>
      <c r="AX528" s="551"/>
      <c r="AY528" s="551"/>
      <c r="AZ528" s="551"/>
      <c r="BA528" s="551"/>
      <c r="BB528" s="551"/>
      <c r="BC528" s="551"/>
      <c r="BD528" s="551"/>
      <c r="BE528" s="551"/>
      <c r="BF528" s="551"/>
    </row>
    <row r="529" spans="1:58" ht="12.75" customHeight="1">
      <c r="A529" s="551"/>
      <c r="B529" s="551"/>
      <c r="C529" s="551"/>
      <c r="D529" s="551"/>
      <c r="E529" s="551"/>
      <c r="F529" s="551"/>
      <c r="G529" s="551"/>
      <c r="H529" s="551"/>
      <c r="I529" s="551"/>
      <c r="J529" s="551"/>
      <c r="K529" s="551"/>
      <c r="L529" s="551"/>
      <c r="M529" s="551"/>
      <c r="N529" s="551"/>
      <c r="O529" s="551"/>
      <c r="P529" s="551"/>
      <c r="Q529" s="551"/>
      <c r="R529" s="551"/>
      <c r="S529" s="551"/>
      <c r="T529" s="551"/>
      <c r="U529" s="551"/>
      <c r="V529" s="551"/>
      <c r="W529" s="551"/>
      <c r="X529" s="551"/>
      <c r="Y529" s="551"/>
      <c r="Z529" s="551"/>
      <c r="AA529" s="551"/>
      <c r="AB529" s="551"/>
      <c r="AC529" s="551"/>
      <c r="AD529" s="551"/>
      <c r="AE529" s="551"/>
      <c r="AF529" s="551"/>
      <c r="AG529" s="551"/>
      <c r="AH529" s="551"/>
      <c r="AI529" s="551"/>
      <c r="AJ529" s="551"/>
      <c r="AK529" s="551"/>
      <c r="AL529" s="551"/>
      <c r="AM529" s="551"/>
      <c r="AN529" s="551"/>
      <c r="AO529" s="551"/>
      <c r="AP529" s="551"/>
      <c r="AQ529" s="551"/>
      <c r="AR529" s="551"/>
      <c r="AS529" s="551"/>
      <c r="AT529" s="551"/>
      <c r="AU529" s="551"/>
      <c r="AV529" s="551"/>
      <c r="AW529" s="551"/>
      <c r="AX529" s="551"/>
      <c r="AY529" s="551"/>
      <c r="AZ529" s="551"/>
      <c r="BA529" s="551"/>
      <c r="BB529" s="551"/>
      <c r="BC529" s="551"/>
      <c r="BD529" s="551"/>
      <c r="BE529" s="551"/>
      <c r="BF529" s="551"/>
    </row>
    <row r="530" spans="1:58" ht="12.75" customHeight="1">
      <c r="A530" s="551"/>
      <c r="B530" s="551"/>
      <c r="C530" s="551"/>
      <c r="D530" s="551"/>
      <c r="E530" s="551"/>
      <c r="F530" s="551"/>
      <c r="G530" s="551"/>
      <c r="H530" s="551"/>
      <c r="I530" s="551"/>
      <c r="J530" s="551"/>
      <c r="K530" s="551"/>
      <c r="L530" s="551"/>
      <c r="M530" s="551"/>
      <c r="N530" s="551"/>
      <c r="O530" s="551"/>
      <c r="P530" s="551"/>
      <c r="Q530" s="551"/>
      <c r="R530" s="551"/>
      <c r="S530" s="551"/>
      <c r="T530" s="551"/>
      <c r="U530" s="551"/>
      <c r="V530" s="551"/>
      <c r="W530" s="551"/>
      <c r="X530" s="551"/>
      <c r="Y530" s="551"/>
      <c r="Z530" s="551"/>
      <c r="AA530" s="551"/>
      <c r="AB530" s="551"/>
      <c r="AC530" s="551"/>
      <c r="AD530" s="551"/>
      <c r="AE530" s="551"/>
      <c r="AF530" s="551"/>
      <c r="AG530" s="551"/>
      <c r="AH530" s="551"/>
      <c r="AI530" s="551"/>
      <c r="AJ530" s="551"/>
      <c r="AK530" s="551"/>
      <c r="AL530" s="551"/>
      <c r="AM530" s="551"/>
      <c r="AN530" s="551"/>
      <c r="AO530" s="551"/>
      <c r="AP530" s="551"/>
      <c r="AQ530" s="551"/>
      <c r="AR530" s="551"/>
      <c r="AS530" s="551"/>
      <c r="AT530" s="551"/>
      <c r="AU530" s="551"/>
      <c r="AV530" s="551"/>
      <c r="AW530" s="551"/>
      <c r="AX530" s="551"/>
      <c r="AY530" s="551"/>
      <c r="AZ530" s="551"/>
      <c r="BA530" s="551"/>
      <c r="BB530" s="551"/>
      <c r="BC530" s="551"/>
      <c r="BD530" s="551"/>
      <c r="BE530" s="551"/>
      <c r="BF530" s="551"/>
    </row>
    <row r="531" spans="1:58" ht="12.75" customHeight="1">
      <c r="A531" s="551"/>
      <c r="B531" s="551"/>
      <c r="C531" s="551"/>
      <c r="D531" s="551"/>
      <c r="E531" s="551"/>
      <c r="F531" s="551"/>
      <c r="G531" s="551"/>
      <c r="H531" s="551"/>
      <c r="I531" s="551"/>
      <c r="J531" s="551"/>
      <c r="K531" s="551"/>
      <c r="L531" s="551"/>
      <c r="M531" s="551"/>
      <c r="N531" s="551"/>
      <c r="O531" s="551"/>
      <c r="P531" s="551"/>
      <c r="Q531" s="551"/>
      <c r="R531" s="551"/>
      <c r="S531" s="551"/>
      <c r="T531" s="551"/>
      <c r="U531" s="551"/>
      <c r="V531" s="551"/>
      <c r="W531" s="551"/>
      <c r="X531" s="551"/>
      <c r="Y531" s="551"/>
      <c r="Z531" s="551"/>
      <c r="AA531" s="551"/>
      <c r="AB531" s="551"/>
      <c r="AC531" s="551"/>
      <c r="AD531" s="551"/>
      <c r="AE531" s="551"/>
      <c r="AF531" s="551"/>
      <c r="AG531" s="551"/>
      <c r="AH531" s="551"/>
      <c r="AI531" s="551"/>
      <c r="AJ531" s="551"/>
      <c r="AK531" s="551"/>
      <c r="AL531" s="551"/>
      <c r="AM531" s="551"/>
      <c r="AN531" s="551"/>
      <c r="AO531" s="551"/>
      <c r="AP531" s="551"/>
      <c r="AQ531" s="551"/>
      <c r="AR531" s="551"/>
      <c r="AS531" s="551"/>
      <c r="AT531" s="551"/>
      <c r="AU531" s="551"/>
      <c r="AV531" s="551"/>
      <c r="AW531" s="551"/>
      <c r="AX531" s="551"/>
      <c r="AY531" s="551"/>
      <c r="AZ531" s="551"/>
      <c r="BA531" s="551"/>
      <c r="BB531" s="551"/>
      <c r="BC531" s="551"/>
      <c r="BD531" s="551"/>
      <c r="BE531" s="551"/>
      <c r="BF531" s="551"/>
    </row>
    <row r="532" spans="1:58" ht="12.75" customHeight="1">
      <c r="A532" s="551"/>
      <c r="B532" s="551"/>
      <c r="C532" s="551"/>
      <c r="D532" s="551"/>
      <c r="E532" s="551"/>
      <c r="F532" s="551"/>
      <c r="G532" s="551"/>
      <c r="H532" s="551"/>
      <c r="I532" s="551"/>
      <c r="J532" s="551"/>
      <c r="K532" s="551"/>
      <c r="L532" s="551"/>
      <c r="M532" s="551"/>
      <c r="N532" s="551"/>
      <c r="O532" s="551"/>
      <c r="P532" s="551"/>
      <c r="Q532" s="551"/>
      <c r="R532" s="551"/>
      <c r="S532" s="551"/>
      <c r="T532" s="551"/>
      <c r="U532" s="551"/>
      <c r="V532" s="551"/>
      <c r="W532" s="551"/>
      <c r="X532" s="551"/>
      <c r="Y532" s="551"/>
      <c r="Z532" s="551"/>
      <c r="AA532" s="551"/>
      <c r="AB532" s="551"/>
      <c r="AC532" s="551"/>
      <c r="AD532" s="551"/>
      <c r="AE532" s="551"/>
      <c r="AF532" s="551"/>
      <c r="AG532" s="551"/>
      <c r="AH532" s="551"/>
      <c r="AI532" s="551"/>
      <c r="AJ532" s="551"/>
      <c r="AK532" s="551"/>
      <c r="AL532" s="551"/>
      <c r="AM532" s="551"/>
      <c r="AN532" s="551"/>
      <c r="AO532" s="551"/>
      <c r="AP532" s="551"/>
      <c r="AQ532" s="551"/>
      <c r="AR532" s="551"/>
      <c r="AS532" s="551"/>
      <c r="AT532" s="551"/>
      <c r="AU532" s="551"/>
      <c r="AV532" s="551"/>
      <c r="AW532" s="551"/>
      <c r="AX532" s="551"/>
      <c r="AY532" s="551"/>
      <c r="AZ532" s="551"/>
      <c r="BA532" s="551"/>
      <c r="BB532" s="551"/>
      <c r="BC532" s="551"/>
      <c r="BD532" s="551"/>
      <c r="BE532" s="551"/>
      <c r="BF532" s="551"/>
    </row>
    <row r="533" spans="1:58" ht="12.75" customHeight="1">
      <c r="A533" s="551"/>
      <c r="B533" s="551"/>
      <c r="C533" s="551"/>
      <c r="D533" s="551"/>
      <c r="E533" s="551"/>
      <c r="F533" s="551"/>
      <c r="G533" s="551"/>
      <c r="H533" s="551"/>
      <c r="I533" s="551"/>
      <c r="J533" s="551"/>
      <c r="K533" s="551"/>
      <c r="L533" s="551"/>
      <c r="M533" s="551"/>
      <c r="N533" s="551"/>
      <c r="O533" s="551"/>
      <c r="P533" s="551"/>
      <c r="Q533" s="551"/>
      <c r="R533" s="551"/>
      <c r="S533" s="551"/>
      <c r="T533" s="551"/>
      <c r="U533" s="551"/>
      <c r="V533" s="551"/>
      <c r="W533" s="551"/>
      <c r="X533" s="551"/>
      <c r="Y533" s="551"/>
      <c r="Z533" s="551"/>
      <c r="AA533" s="551"/>
      <c r="AB533" s="551"/>
      <c r="AC533" s="551"/>
      <c r="AD533" s="551"/>
      <c r="AE533" s="551"/>
      <c r="AF533" s="551"/>
      <c r="AG533" s="551"/>
      <c r="AH533" s="551"/>
      <c r="AI533" s="551"/>
      <c r="AJ533" s="551"/>
      <c r="AK533" s="551"/>
      <c r="AL533" s="551"/>
      <c r="AM533" s="551"/>
      <c r="AN533" s="551"/>
      <c r="AO533" s="551"/>
      <c r="AP533" s="551"/>
      <c r="AQ533" s="551"/>
      <c r="AR533" s="551"/>
      <c r="AS533" s="551"/>
      <c r="AT533" s="551"/>
      <c r="AU533" s="551"/>
      <c r="AV533" s="551"/>
      <c r="AW533" s="551"/>
      <c r="AX533" s="551"/>
      <c r="AY533" s="551"/>
      <c r="AZ533" s="551"/>
      <c r="BA533" s="551"/>
      <c r="BB533" s="551"/>
      <c r="BC533" s="551"/>
      <c r="BD533" s="551"/>
      <c r="BE533" s="551"/>
      <c r="BF533" s="551"/>
    </row>
    <row r="534" spans="1:58" ht="12.75" customHeight="1">
      <c r="A534" s="551"/>
      <c r="B534" s="551"/>
      <c r="C534" s="551"/>
      <c r="D534" s="551"/>
      <c r="E534" s="551"/>
      <c r="F534" s="551"/>
      <c r="G534" s="551"/>
      <c r="H534" s="551"/>
      <c r="I534" s="551"/>
      <c r="J534" s="551"/>
      <c r="K534" s="551"/>
      <c r="L534" s="551"/>
      <c r="M534" s="551"/>
      <c r="N534" s="551"/>
      <c r="O534" s="551"/>
      <c r="P534" s="551"/>
      <c r="Q534" s="551"/>
      <c r="R534" s="551"/>
      <c r="S534" s="551"/>
      <c r="T534" s="551"/>
      <c r="U534" s="551"/>
      <c r="V534" s="551"/>
      <c r="W534" s="551"/>
      <c r="X534" s="551"/>
      <c r="Y534" s="551"/>
      <c r="Z534" s="551"/>
      <c r="AA534" s="551"/>
      <c r="AB534" s="551"/>
      <c r="AC534" s="551"/>
      <c r="AD534" s="551"/>
      <c r="AE534" s="551"/>
      <c r="AF534" s="551"/>
      <c r="AG534" s="551"/>
      <c r="AH534" s="551"/>
      <c r="AI534" s="551"/>
      <c r="AJ534" s="551"/>
      <c r="AK534" s="551"/>
      <c r="AL534" s="551"/>
      <c r="AM534" s="551"/>
      <c r="AN534" s="551"/>
      <c r="AO534" s="551"/>
      <c r="AP534" s="551"/>
      <c r="AQ534" s="551"/>
      <c r="AR534" s="551"/>
      <c r="AS534" s="551"/>
      <c r="AT534" s="551"/>
      <c r="AU534" s="551"/>
      <c r="AV534" s="551"/>
      <c r="AW534" s="551"/>
      <c r="AX534" s="551"/>
      <c r="AY534" s="551"/>
      <c r="AZ534" s="551"/>
      <c r="BA534" s="551"/>
      <c r="BB534" s="551"/>
      <c r="BC534" s="551"/>
      <c r="BD534" s="551"/>
      <c r="BE534" s="551"/>
      <c r="BF534" s="551"/>
    </row>
    <row r="535" spans="1:58" ht="12.75" customHeight="1">
      <c r="A535" s="551"/>
      <c r="B535" s="551"/>
      <c r="C535" s="551"/>
      <c r="D535" s="551"/>
      <c r="E535" s="551"/>
      <c r="F535" s="551"/>
      <c r="G535" s="551"/>
      <c r="H535" s="551"/>
      <c r="I535" s="551"/>
      <c r="J535" s="551"/>
      <c r="K535" s="551"/>
      <c r="L535" s="551"/>
      <c r="M535" s="551"/>
      <c r="N535" s="551"/>
      <c r="O535" s="551"/>
      <c r="P535" s="551"/>
      <c r="Q535" s="551"/>
      <c r="R535" s="551"/>
      <c r="S535" s="551"/>
      <c r="T535" s="551"/>
      <c r="U535" s="551"/>
      <c r="V535" s="551"/>
      <c r="W535" s="551"/>
      <c r="X535" s="551"/>
      <c r="Y535" s="551"/>
      <c r="Z535" s="551"/>
      <c r="AA535" s="551"/>
      <c r="AB535" s="551"/>
      <c r="AC535" s="551"/>
      <c r="AD535" s="551"/>
      <c r="AE535" s="551"/>
      <c r="AF535" s="551"/>
      <c r="AG535" s="551"/>
      <c r="AH535" s="551"/>
      <c r="AI535" s="551"/>
      <c r="AJ535" s="551"/>
      <c r="AK535" s="551"/>
      <c r="AL535" s="551"/>
      <c r="AM535" s="551"/>
      <c r="AN535" s="551"/>
      <c r="AO535" s="551"/>
      <c r="AP535" s="551"/>
      <c r="AQ535" s="551"/>
      <c r="AR535" s="551"/>
      <c r="AS535" s="551"/>
      <c r="AT535" s="551"/>
      <c r="AU535" s="551"/>
      <c r="AV535" s="551"/>
      <c r="AW535" s="551"/>
      <c r="AX535" s="551"/>
      <c r="AY535" s="551"/>
      <c r="AZ535" s="551"/>
      <c r="BA535" s="551"/>
      <c r="BB535" s="551"/>
      <c r="BC535" s="551"/>
      <c r="BD535" s="551"/>
      <c r="BE535" s="551"/>
      <c r="BF535" s="551"/>
    </row>
    <row r="536" spans="1:58" ht="12.75" customHeight="1">
      <c r="A536" s="551"/>
      <c r="B536" s="551"/>
      <c r="C536" s="551"/>
      <c r="D536" s="551"/>
      <c r="E536" s="551"/>
      <c r="F536" s="551"/>
      <c r="G536" s="551"/>
      <c r="H536" s="551"/>
      <c r="I536" s="551"/>
      <c r="J536" s="551"/>
      <c r="K536" s="551"/>
      <c r="L536" s="551"/>
      <c r="M536" s="551"/>
      <c r="N536" s="551"/>
      <c r="O536" s="551"/>
      <c r="P536" s="551"/>
      <c r="Q536" s="551"/>
      <c r="R536" s="551"/>
      <c r="S536" s="551"/>
      <c r="T536" s="551"/>
      <c r="U536" s="551"/>
      <c r="V536" s="551"/>
      <c r="W536" s="551"/>
      <c r="X536" s="551"/>
      <c r="Y536" s="551"/>
      <c r="Z536" s="551"/>
      <c r="AA536" s="551"/>
      <c r="AB536" s="551"/>
      <c r="AC536" s="551"/>
      <c r="AD536" s="551"/>
      <c r="AE536" s="551"/>
      <c r="AF536" s="551"/>
      <c r="AG536" s="551"/>
      <c r="AH536" s="551"/>
      <c r="AI536" s="551"/>
      <c r="AJ536" s="551"/>
      <c r="AK536" s="551"/>
      <c r="AL536" s="551"/>
      <c r="AM536" s="551"/>
      <c r="AN536" s="551"/>
      <c r="AO536" s="551"/>
      <c r="AP536" s="551"/>
      <c r="AQ536" s="551"/>
      <c r="AR536" s="551"/>
      <c r="AS536" s="551"/>
      <c r="AT536" s="551"/>
      <c r="AU536" s="551"/>
      <c r="AV536" s="551"/>
      <c r="AW536" s="551"/>
      <c r="AX536" s="551"/>
      <c r="AY536" s="551"/>
      <c r="AZ536" s="551"/>
      <c r="BA536" s="551"/>
      <c r="BB536" s="551"/>
      <c r="BC536" s="551"/>
      <c r="BD536" s="551"/>
      <c r="BE536" s="551"/>
      <c r="BF536" s="551"/>
    </row>
    <row r="537" spans="1:58" ht="12.75" customHeight="1">
      <c r="A537" s="551"/>
      <c r="B537" s="551"/>
      <c r="C537" s="551"/>
      <c r="D537" s="551"/>
      <c r="E537" s="551"/>
      <c r="F537" s="551"/>
      <c r="G537" s="551"/>
      <c r="H537" s="551"/>
      <c r="I537" s="551"/>
      <c r="J537" s="551"/>
      <c r="K537" s="551"/>
      <c r="L537" s="551"/>
      <c r="M537" s="551"/>
      <c r="N537" s="551"/>
      <c r="O537" s="551"/>
      <c r="P537" s="551"/>
      <c r="Q537" s="551"/>
      <c r="R537" s="551"/>
      <c r="S537" s="551"/>
      <c r="T537" s="551"/>
      <c r="U537" s="551"/>
      <c r="V537" s="551"/>
      <c r="W537" s="551"/>
      <c r="X537" s="551"/>
      <c r="Y537" s="551"/>
      <c r="Z537" s="551"/>
      <c r="AA537" s="551"/>
      <c r="AB537" s="551"/>
      <c r="AC537" s="551"/>
      <c r="AD537" s="551"/>
      <c r="AE537" s="551"/>
      <c r="AF537" s="551"/>
      <c r="AG537" s="551"/>
      <c r="AH537" s="551"/>
      <c r="AI537" s="551"/>
      <c r="AJ537" s="551"/>
      <c r="AK537" s="551"/>
      <c r="AL537" s="551"/>
      <c r="AM537" s="551"/>
      <c r="AN537" s="551"/>
      <c r="AO537" s="551"/>
      <c r="AP537" s="551"/>
      <c r="AQ537" s="551"/>
      <c r="AR537" s="551"/>
      <c r="AS537" s="551"/>
      <c r="AT537" s="551"/>
      <c r="AU537" s="551"/>
      <c r="AV537" s="551"/>
      <c r="AW537" s="551"/>
      <c r="AX537" s="551"/>
      <c r="AY537" s="551"/>
      <c r="AZ537" s="551"/>
      <c r="BA537" s="551"/>
      <c r="BB537" s="551"/>
      <c r="BC537" s="551"/>
      <c r="BD537" s="551"/>
      <c r="BE537" s="551"/>
      <c r="BF537" s="551"/>
    </row>
    <row r="538" spans="1:58" ht="12.75" customHeight="1">
      <c r="A538" s="551"/>
      <c r="B538" s="551"/>
      <c r="C538" s="551"/>
      <c r="D538" s="551"/>
      <c r="E538" s="551"/>
      <c r="F538" s="551"/>
      <c r="G538" s="551"/>
      <c r="H538" s="551"/>
      <c r="I538" s="551"/>
      <c r="J538" s="551"/>
      <c r="K538" s="551"/>
      <c r="L538" s="551"/>
      <c r="M538" s="551"/>
      <c r="N538" s="551"/>
      <c r="O538" s="551"/>
      <c r="P538" s="551"/>
      <c r="Q538" s="551"/>
      <c r="R538" s="551"/>
      <c r="S538" s="551"/>
      <c r="T538" s="551"/>
      <c r="U538" s="551"/>
      <c r="V538" s="551"/>
      <c r="W538" s="551"/>
      <c r="X538" s="551"/>
      <c r="Y538" s="551"/>
      <c r="Z538" s="551"/>
      <c r="AA538" s="551"/>
      <c r="AB538" s="551"/>
      <c r="AC538" s="551"/>
      <c r="AD538" s="551"/>
      <c r="AE538" s="551"/>
      <c r="AF538" s="551"/>
      <c r="AG538" s="551"/>
      <c r="AH538" s="551"/>
      <c r="AI538" s="551"/>
      <c r="AJ538" s="551"/>
      <c r="AK538" s="551"/>
      <c r="AL538" s="551"/>
      <c r="AM538" s="551"/>
      <c r="AN538" s="551"/>
      <c r="AO538" s="551"/>
      <c r="AP538" s="551"/>
      <c r="AQ538" s="551"/>
      <c r="AR538" s="551"/>
      <c r="AS538" s="551"/>
      <c r="AT538" s="551"/>
      <c r="AU538" s="551"/>
      <c r="AV538" s="551"/>
      <c r="AW538" s="551"/>
      <c r="AX538" s="551"/>
      <c r="AY538" s="551"/>
      <c r="AZ538" s="551"/>
      <c r="BA538" s="551"/>
      <c r="BB538" s="551"/>
      <c r="BC538" s="551"/>
      <c r="BD538" s="551"/>
      <c r="BE538" s="551"/>
      <c r="BF538" s="551"/>
    </row>
    <row r="539" spans="1:58" ht="12.75" customHeight="1">
      <c r="A539" s="551"/>
      <c r="B539" s="551"/>
      <c r="C539" s="551"/>
      <c r="D539" s="551"/>
      <c r="E539" s="551"/>
      <c r="F539" s="551"/>
      <c r="G539" s="551"/>
      <c r="H539" s="551"/>
      <c r="I539" s="551"/>
      <c r="J539" s="551"/>
      <c r="K539" s="551"/>
      <c r="L539" s="551"/>
      <c r="M539" s="551"/>
      <c r="N539" s="551"/>
      <c r="O539" s="551"/>
      <c r="P539" s="551"/>
      <c r="Q539" s="551"/>
      <c r="R539" s="551"/>
      <c r="S539" s="551"/>
      <c r="T539" s="551"/>
      <c r="U539" s="551"/>
      <c r="V539" s="551"/>
      <c r="W539" s="551"/>
      <c r="X539" s="551"/>
      <c r="Y539" s="551"/>
      <c r="Z539" s="551"/>
      <c r="AA539" s="551"/>
      <c r="AB539" s="551"/>
      <c r="AC539" s="551"/>
      <c r="AD539" s="551"/>
      <c r="AE539" s="551"/>
      <c r="AF539" s="551"/>
      <c r="AG539" s="551"/>
      <c r="AH539" s="551"/>
      <c r="AI539" s="551"/>
      <c r="AJ539" s="551"/>
      <c r="AK539" s="551"/>
      <c r="AL539" s="551"/>
      <c r="AM539" s="551"/>
      <c r="AN539" s="551"/>
      <c r="AO539" s="551"/>
      <c r="AP539" s="551"/>
      <c r="AQ539" s="551"/>
      <c r="AR539" s="551"/>
      <c r="AS539" s="551"/>
      <c r="AT539" s="551"/>
      <c r="AU539" s="551"/>
      <c r="AV539" s="551"/>
      <c r="AW539" s="551"/>
      <c r="AX539" s="551"/>
      <c r="AY539" s="551"/>
      <c r="AZ539" s="551"/>
      <c r="BA539" s="551"/>
      <c r="BB539" s="551"/>
      <c r="BC539" s="551"/>
      <c r="BD539" s="551"/>
      <c r="BE539" s="551"/>
      <c r="BF539" s="551"/>
    </row>
    <row r="540" spans="1:58" ht="12.75" customHeight="1">
      <c r="A540" s="551"/>
      <c r="B540" s="551"/>
      <c r="C540" s="551"/>
      <c r="D540" s="551"/>
      <c r="E540" s="551"/>
      <c r="F540" s="551"/>
      <c r="G540" s="551"/>
      <c r="H540" s="551"/>
      <c r="I540" s="551"/>
      <c r="J540" s="551"/>
      <c r="K540" s="551"/>
      <c r="L540" s="551"/>
      <c r="M540" s="551"/>
      <c r="N540" s="551"/>
      <c r="O540" s="551"/>
      <c r="P540" s="551"/>
      <c r="Q540" s="551"/>
      <c r="R540" s="551"/>
      <c r="S540" s="551"/>
      <c r="T540" s="551"/>
      <c r="U540" s="551"/>
      <c r="V540" s="551"/>
      <c r="W540" s="551"/>
      <c r="X540" s="551"/>
      <c r="Y540" s="551"/>
      <c r="Z540" s="551"/>
      <c r="AA540" s="551"/>
      <c r="AB540" s="551"/>
      <c r="AC540" s="551"/>
      <c r="AD540" s="551"/>
      <c r="AE540" s="551"/>
      <c r="AF540" s="551"/>
      <c r="AG540" s="551"/>
      <c r="AH540" s="551"/>
      <c r="AI540" s="551"/>
      <c r="AJ540" s="551"/>
      <c r="AK540" s="551"/>
      <c r="AL540" s="551"/>
      <c r="AM540" s="551"/>
      <c r="AN540" s="551"/>
      <c r="AO540" s="551"/>
      <c r="AP540" s="551"/>
      <c r="AQ540" s="551"/>
      <c r="AR540" s="551"/>
      <c r="AS540" s="551"/>
      <c r="AT540" s="551"/>
      <c r="AU540" s="551"/>
      <c r="AV540" s="551"/>
      <c r="AW540" s="551"/>
      <c r="AX540" s="551"/>
      <c r="AY540" s="551"/>
      <c r="AZ540" s="551"/>
      <c r="BA540" s="551"/>
      <c r="BB540" s="551"/>
      <c r="BC540" s="551"/>
      <c r="BD540" s="551"/>
      <c r="BE540" s="551"/>
      <c r="BF540" s="551"/>
    </row>
    <row r="541" spans="1:58" ht="12.75" customHeight="1">
      <c r="A541" s="551"/>
      <c r="B541" s="551"/>
      <c r="C541" s="551"/>
      <c r="D541" s="551"/>
      <c r="E541" s="551"/>
      <c r="F541" s="551"/>
      <c r="G541" s="551"/>
      <c r="H541" s="551"/>
      <c r="I541" s="551"/>
      <c r="J541" s="551"/>
      <c r="K541" s="551"/>
      <c r="L541" s="551"/>
      <c r="M541" s="551"/>
      <c r="N541" s="551"/>
      <c r="O541" s="551"/>
      <c r="P541" s="551"/>
      <c r="Q541" s="551"/>
      <c r="R541" s="551"/>
      <c r="S541" s="551"/>
      <c r="T541" s="551"/>
      <c r="U541" s="551"/>
      <c r="V541" s="551"/>
      <c r="W541" s="551"/>
      <c r="X541" s="551"/>
      <c r="Y541" s="551"/>
      <c r="Z541" s="551"/>
      <c r="AA541" s="551"/>
      <c r="AB541" s="551"/>
      <c r="AC541" s="551"/>
      <c r="AD541" s="551"/>
      <c r="AE541" s="551"/>
      <c r="AF541" s="551"/>
      <c r="AG541" s="551"/>
      <c r="AH541" s="551"/>
      <c r="AI541" s="551"/>
      <c r="AJ541" s="551"/>
      <c r="AK541" s="551"/>
      <c r="AL541" s="551"/>
      <c r="AM541" s="551"/>
      <c r="AN541" s="551"/>
      <c r="AO541" s="551"/>
      <c r="AP541" s="551"/>
      <c r="AQ541" s="551"/>
      <c r="AR541" s="551"/>
      <c r="AS541" s="551"/>
      <c r="AT541" s="551"/>
      <c r="AU541" s="551"/>
      <c r="AV541" s="551"/>
      <c r="AW541" s="551"/>
      <c r="AX541" s="551"/>
      <c r="AY541" s="551"/>
      <c r="AZ541" s="551"/>
      <c r="BA541" s="551"/>
      <c r="BB541" s="551"/>
      <c r="BC541" s="551"/>
      <c r="BD541" s="551"/>
      <c r="BE541" s="551"/>
      <c r="BF541" s="551"/>
    </row>
    <row r="542" spans="1:58" ht="12.75" customHeight="1">
      <c r="A542" s="551"/>
      <c r="B542" s="551"/>
      <c r="C542" s="551"/>
      <c r="D542" s="551"/>
      <c r="E542" s="551"/>
      <c r="F542" s="551"/>
      <c r="G542" s="551"/>
      <c r="H542" s="551"/>
      <c r="I542" s="551"/>
      <c r="J542" s="551"/>
      <c r="K542" s="551"/>
      <c r="L542" s="551"/>
      <c r="M542" s="551"/>
      <c r="N542" s="551"/>
      <c r="O542" s="551"/>
      <c r="P542" s="551"/>
      <c r="Q542" s="551"/>
      <c r="R542" s="551"/>
      <c r="S542" s="551"/>
      <c r="T542" s="551"/>
      <c r="U542" s="551"/>
      <c r="V542" s="551"/>
      <c r="W542" s="551"/>
      <c r="X542" s="551"/>
      <c r="Y542" s="551"/>
      <c r="Z542" s="551"/>
      <c r="AA542" s="551"/>
      <c r="AB542" s="551"/>
      <c r="AC542" s="551"/>
      <c r="AD542" s="551"/>
      <c r="AE542" s="551"/>
      <c r="AF542" s="551"/>
      <c r="AG542" s="551"/>
      <c r="AH542" s="551"/>
      <c r="AI542" s="551"/>
      <c r="AJ542" s="551"/>
      <c r="AK542" s="551"/>
      <c r="AL542" s="551"/>
      <c r="AM542" s="551"/>
      <c r="AN542" s="551"/>
      <c r="AO542" s="551"/>
      <c r="AP542" s="551"/>
      <c r="AQ542" s="551"/>
      <c r="AR542" s="551"/>
      <c r="AS542" s="551"/>
      <c r="AT542" s="551"/>
      <c r="AU542" s="551"/>
      <c r="AV542" s="551"/>
      <c r="AW542" s="551"/>
      <c r="AX542" s="551"/>
      <c r="AY542" s="551"/>
      <c r="AZ542" s="551"/>
      <c r="BA542" s="551"/>
      <c r="BB542" s="551"/>
      <c r="BC542" s="551"/>
      <c r="BD542" s="551"/>
      <c r="BE542" s="551"/>
      <c r="BF542" s="551"/>
    </row>
    <row r="543" spans="1:58" ht="12.75" customHeight="1">
      <c r="A543" s="551"/>
      <c r="B543" s="551"/>
      <c r="C543" s="551"/>
      <c r="D543" s="551"/>
      <c r="E543" s="551"/>
      <c r="F543" s="551"/>
      <c r="G543" s="551"/>
      <c r="H543" s="551"/>
      <c r="I543" s="551"/>
      <c r="J543" s="551"/>
      <c r="K543" s="551"/>
      <c r="L543" s="551"/>
      <c r="M543" s="551"/>
      <c r="N543" s="551"/>
      <c r="O543" s="551"/>
      <c r="P543" s="551"/>
      <c r="Q543" s="551"/>
      <c r="R543" s="551"/>
      <c r="S543" s="551"/>
      <c r="T543" s="551"/>
      <c r="U543" s="551"/>
      <c r="V543" s="551"/>
      <c r="W543" s="551"/>
      <c r="X543" s="551"/>
      <c r="Y543" s="551"/>
      <c r="Z543" s="551"/>
      <c r="AA543" s="551"/>
      <c r="AB543" s="551"/>
      <c r="AC543" s="551"/>
      <c r="AD543" s="551"/>
      <c r="AE543" s="551"/>
      <c r="AF543" s="551"/>
      <c r="AG543" s="551"/>
      <c r="AH543" s="551"/>
      <c r="AI543" s="551"/>
      <c r="AJ543" s="551"/>
      <c r="AK543" s="551"/>
      <c r="AL543" s="551"/>
      <c r="AM543" s="551"/>
      <c r="AN543" s="551"/>
      <c r="AO543" s="551"/>
      <c r="AP543" s="551"/>
      <c r="AQ543" s="551"/>
      <c r="AR543" s="551"/>
      <c r="AS543" s="551"/>
      <c r="AT543" s="551"/>
      <c r="AU543" s="551"/>
      <c r="AV543" s="551"/>
      <c r="AW543" s="551"/>
      <c r="AX543" s="551"/>
      <c r="AY543" s="551"/>
      <c r="AZ543" s="551"/>
      <c r="BA543" s="551"/>
      <c r="BB543" s="551"/>
      <c r="BC543" s="551"/>
      <c r="BD543" s="551"/>
      <c r="BE543" s="551"/>
      <c r="BF543" s="551"/>
    </row>
    <row r="544" spans="1:58" ht="12.75" customHeight="1">
      <c r="A544" s="551"/>
      <c r="B544" s="551"/>
      <c r="C544" s="551"/>
      <c r="D544" s="551"/>
      <c r="E544" s="551"/>
      <c r="F544" s="551"/>
      <c r="G544" s="551"/>
      <c r="H544" s="551"/>
      <c r="I544" s="551"/>
      <c r="J544" s="551"/>
      <c r="K544" s="551"/>
      <c r="L544" s="551"/>
      <c r="M544" s="551"/>
      <c r="N544" s="551"/>
      <c r="O544" s="551"/>
      <c r="P544" s="551"/>
      <c r="Q544" s="551"/>
      <c r="R544" s="551"/>
      <c r="S544" s="551"/>
      <c r="T544" s="551"/>
      <c r="U544" s="551"/>
      <c r="V544" s="551"/>
      <c r="W544" s="551"/>
      <c r="X544" s="551"/>
      <c r="Y544" s="551"/>
      <c r="Z544" s="551"/>
      <c r="AA544" s="551"/>
      <c r="AB544" s="551"/>
      <c r="AC544" s="551"/>
      <c r="AD544" s="551"/>
      <c r="AE544" s="551"/>
      <c r="AF544" s="551"/>
      <c r="AG544" s="551"/>
      <c r="AH544" s="551"/>
      <c r="AI544" s="551"/>
      <c r="AJ544" s="551"/>
      <c r="AK544" s="551"/>
      <c r="AL544" s="551"/>
      <c r="AM544" s="551"/>
      <c r="AN544" s="551"/>
      <c r="AO544" s="551"/>
      <c r="AP544" s="551"/>
      <c r="AQ544" s="551"/>
      <c r="AR544" s="551"/>
      <c r="AS544" s="551"/>
      <c r="AT544" s="551"/>
      <c r="AU544" s="551"/>
      <c r="AV544" s="551"/>
      <c r="AW544" s="551"/>
      <c r="AX544" s="551"/>
      <c r="AY544" s="551"/>
      <c r="AZ544" s="551"/>
      <c r="BA544" s="551"/>
      <c r="BB544" s="551"/>
      <c r="BC544" s="551"/>
      <c r="BD544" s="551"/>
      <c r="BE544" s="551"/>
      <c r="BF544" s="551"/>
    </row>
    <row r="545" spans="1:58" ht="12.75" customHeight="1">
      <c r="A545" s="551"/>
      <c r="B545" s="551"/>
      <c r="C545" s="551"/>
      <c r="D545" s="551"/>
      <c r="E545" s="551"/>
      <c r="F545" s="551"/>
      <c r="G545" s="551"/>
      <c r="H545" s="551"/>
      <c r="I545" s="551"/>
      <c r="J545" s="551"/>
      <c r="K545" s="551"/>
      <c r="L545" s="551"/>
      <c r="M545" s="551"/>
      <c r="N545" s="551"/>
      <c r="O545" s="551"/>
      <c r="P545" s="551"/>
      <c r="Q545" s="551"/>
      <c r="R545" s="551"/>
      <c r="S545" s="551"/>
      <c r="T545" s="551"/>
      <c r="U545" s="551"/>
      <c r="V545" s="551"/>
      <c r="W545" s="551"/>
      <c r="X545" s="551"/>
      <c r="Y545" s="551"/>
      <c r="Z545" s="551"/>
      <c r="AA545" s="551"/>
      <c r="AB545" s="551"/>
      <c r="AC545" s="551"/>
      <c r="AD545" s="551"/>
      <c r="AE545" s="551"/>
      <c r="AF545" s="551"/>
      <c r="AG545" s="551"/>
      <c r="AH545" s="551"/>
      <c r="AI545" s="551"/>
      <c r="AJ545" s="551"/>
      <c r="AK545" s="551"/>
      <c r="AL545" s="551"/>
      <c r="AM545" s="551"/>
      <c r="AN545" s="551"/>
      <c r="AO545" s="551"/>
      <c r="AP545" s="551"/>
      <c r="AQ545" s="551"/>
      <c r="AR545" s="551"/>
      <c r="AS545" s="551"/>
      <c r="AT545" s="551"/>
      <c r="AU545" s="551"/>
      <c r="AV545" s="551"/>
      <c r="AW545" s="551"/>
      <c r="AX545" s="551"/>
      <c r="AY545" s="551"/>
      <c r="AZ545" s="551"/>
      <c r="BA545" s="551"/>
      <c r="BB545" s="551"/>
      <c r="BC545" s="551"/>
      <c r="BD545" s="551"/>
      <c r="BE545" s="551"/>
      <c r="BF545" s="551"/>
    </row>
    <row r="546" spans="1:58" ht="12.75" customHeight="1">
      <c r="A546" s="551"/>
      <c r="B546" s="551"/>
      <c r="C546" s="551"/>
      <c r="D546" s="551"/>
      <c r="E546" s="551"/>
      <c r="F546" s="551"/>
      <c r="G546" s="551"/>
      <c r="H546" s="551"/>
      <c r="I546" s="551"/>
      <c r="J546" s="551"/>
      <c r="K546" s="551"/>
      <c r="L546" s="551"/>
      <c r="M546" s="551"/>
      <c r="N546" s="551"/>
      <c r="O546" s="551"/>
      <c r="P546" s="551"/>
      <c r="Q546" s="551"/>
      <c r="R546" s="551"/>
      <c r="S546" s="551"/>
      <c r="T546" s="551"/>
      <c r="U546" s="551"/>
      <c r="V546" s="551"/>
      <c r="W546" s="551"/>
      <c r="X546" s="551"/>
      <c r="Y546" s="551"/>
      <c r="Z546" s="551"/>
      <c r="AA546" s="551"/>
      <c r="AB546" s="551"/>
      <c r="AC546" s="551"/>
      <c r="AD546" s="551"/>
      <c r="AE546" s="551"/>
      <c r="AF546" s="551"/>
      <c r="AG546" s="551"/>
      <c r="AH546" s="551"/>
      <c r="AI546" s="551"/>
      <c r="AJ546" s="551"/>
      <c r="AK546" s="551"/>
      <c r="AL546" s="551"/>
      <c r="AM546" s="551"/>
      <c r="AN546" s="551"/>
      <c r="AO546" s="551"/>
      <c r="AP546" s="551"/>
      <c r="AQ546" s="551"/>
      <c r="AR546" s="551"/>
      <c r="AS546" s="551"/>
      <c r="AT546" s="551"/>
      <c r="AU546" s="551"/>
      <c r="AV546" s="551"/>
      <c r="AW546" s="551"/>
      <c r="AX546" s="551"/>
      <c r="AY546" s="551"/>
      <c r="AZ546" s="551"/>
      <c r="BA546" s="551"/>
      <c r="BB546" s="551"/>
      <c r="BC546" s="551"/>
      <c r="BD546" s="551"/>
      <c r="BE546" s="551"/>
      <c r="BF546" s="551"/>
    </row>
    <row r="547" spans="1:58" ht="12.75" customHeight="1">
      <c r="A547" s="551"/>
      <c r="B547" s="551"/>
      <c r="C547" s="551"/>
      <c r="D547" s="551"/>
      <c r="E547" s="551"/>
      <c r="F547" s="551"/>
      <c r="G547" s="551"/>
      <c r="H547" s="551"/>
      <c r="I547" s="551"/>
      <c r="J547" s="551"/>
      <c r="K547" s="551"/>
      <c r="L547" s="551"/>
      <c r="M547" s="551"/>
      <c r="N547" s="551"/>
      <c r="O547" s="551"/>
      <c r="P547" s="551"/>
      <c r="Q547" s="551"/>
      <c r="R547" s="551"/>
      <c r="S547" s="551"/>
      <c r="T547" s="551"/>
      <c r="U547" s="551"/>
      <c r="V547" s="551"/>
      <c r="W547" s="551"/>
      <c r="X547" s="551"/>
      <c r="Y547" s="551"/>
      <c r="Z547" s="551"/>
      <c r="AA547" s="551"/>
      <c r="AB547" s="551"/>
      <c r="AC547" s="551"/>
      <c r="AD547" s="551"/>
      <c r="AE547" s="551"/>
      <c r="AF547" s="551"/>
      <c r="AG547" s="551"/>
      <c r="AH547" s="551"/>
      <c r="AI547" s="551"/>
      <c r="AJ547" s="551"/>
      <c r="AK547" s="551"/>
      <c r="AL547" s="551"/>
      <c r="AM547" s="551"/>
      <c r="AN547" s="551"/>
      <c r="AO547" s="551"/>
      <c r="AP547" s="551"/>
      <c r="AQ547" s="551"/>
      <c r="AR547" s="551"/>
      <c r="AS547" s="551"/>
      <c r="AT547" s="551"/>
      <c r="AU547" s="551"/>
      <c r="AV547" s="551"/>
      <c r="AW547" s="551"/>
      <c r="AX547" s="551"/>
      <c r="AY547" s="551"/>
      <c r="AZ547" s="551"/>
      <c r="BA547" s="551"/>
      <c r="BB547" s="551"/>
      <c r="BC547" s="551"/>
      <c r="BD547" s="551"/>
      <c r="BE547" s="551"/>
      <c r="BF547" s="551"/>
    </row>
    <row r="548" spans="1:58" ht="12.75" customHeight="1">
      <c r="A548" s="551"/>
      <c r="B548" s="551"/>
      <c r="C548" s="551"/>
      <c r="D548" s="551"/>
      <c r="E548" s="551"/>
      <c r="F548" s="551"/>
      <c r="G548" s="551"/>
      <c r="H548" s="551"/>
      <c r="I548" s="551"/>
      <c r="J548" s="551"/>
      <c r="K548" s="551"/>
      <c r="L548" s="551"/>
      <c r="M548" s="551"/>
      <c r="N548" s="551"/>
      <c r="O548" s="551"/>
      <c r="P548" s="551"/>
      <c r="Q548" s="551"/>
      <c r="R548" s="551"/>
      <c r="S548" s="551"/>
      <c r="T548" s="551"/>
      <c r="U548" s="551"/>
      <c r="V548" s="551"/>
      <c r="W548" s="551"/>
      <c r="X548" s="551"/>
      <c r="Y548" s="551"/>
      <c r="Z548" s="551"/>
      <c r="AA548" s="551"/>
      <c r="AB548" s="551"/>
      <c r="AC548" s="551"/>
      <c r="AD548" s="551"/>
      <c r="AE548" s="551"/>
      <c r="AF548" s="551"/>
      <c r="AG548" s="551"/>
      <c r="AH548" s="551"/>
      <c r="AI548" s="551"/>
      <c r="AJ548" s="551"/>
      <c r="AK548" s="551"/>
      <c r="AL548" s="551"/>
      <c r="AM548" s="551"/>
      <c r="AN548" s="551"/>
      <c r="AO548" s="551"/>
      <c r="AP548" s="551"/>
      <c r="AQ548" s="551"/>
      <c r="AR548" s="551"/>
      <c r="AS548" s="551"/>
      <c r="AT548" s="551"/>
      <c r="AU548" s="551"/>
      <c r="AV548" s="551"/>
      <c r="AW548" s="551"/>
      <c r="AX548" s="551"/>
      <c r="AY548" s="551"/>
      <c r="AZ548" s="551"/>
      <c r="BA548" s="551"/>
      <c r="BB548" s="551"/>
      <c r="BC548" s="551"/>
      <c r="BD548" s="551"/>
      <c r="BE548" s="551"/>
      <c r="BF548" s="551"/>
    </row>
    <row r="549" spans="1:58" ht="12.75" customHeight="1">
      <c r="A549" s="551"/>
      <c r="B549" s="551"/>
      <c r="C549" s="551"/>
      <c r="D549" s="551"/>
      <c r="E549" s="551"/>
      <c r="F549" s="551"/>
      <c r="G549" s="551"/>
      <c r="H549" s="551"/>
      <c r="I549" s="551"/>
      <c r="J549" s="551"/>
      <c r="K549" s="551"/>
      <c r="L549" s="551"/>
      <c r="M549" s="551"/>
      <c r="N549" s="551"/>
      <c r="O549" s="551"/>
      <c r="P549" s="551"/>
      <c r="Q549" s="551"/>
      <c r="R549" s="551"/>
      <c r="S549" s="551"/>
      <c r="T549" s="551"/>
      <c r="U549" s="551"/>
      <c r="V549" s="551"/>
      <c r="W549" s="551"/>
      <c r="X549" s="551"/>
      <c r="Y549" s="551"/>
      <c r="Z549" s="551"/>
      <c r="AA549" s="551"/>
      <c r="AB549" s="551"/>
      <c r="AC549" s="551"/>
      <c r="AD549" s="551"/>
      <c r="AE549" s="551"/>
      <c r="AF549" s="551"/>
      <c r="AG549" s="551"/>
      <c r="AH549" s="551"/>
      <c r="AI549" s="551"/>
      <c r="AJ549" s="551"/>
      <c r="AK549" s="551"/>
      <c r="AL549" s="551"/>
      <c r="AM549" s="551"/>
      <c r="AN549" s="551"/>
      <c r="AO549" s="551"/>
      <c r="AP549" s="551"/>
      <c r="AQ549" s="551"/>
      <c r="AR549" s="551"/>
      <c r="AS549" s="551"/>
      <c r="AT549" s="551"/>
      <c r="AU549" s="551"/>
      <c r="AV549" s="551"/>
      <c r="AW549" s="551"/>
      <c r="AX549" s="551"/>
      <c r="AY549" s="551"/>
      <c r="AZ549" s="551"/>
      <c r="BA549" s="551"/>
      <c r="BB549" s="551"/>
      <c r="BC549" s="551"/>
      <c r="BD549" s="551"/>
      <c r="BE549" s="551"/>
      <c r="BF549" s="551"/>
    </row>
    <row r="550" spans="1:58" ht="12.75" customHeight="1">
      <c r="A550" s="551"/>
      <c r="B550" s="551"/>
      <c r="C550" s="551"/>
      <c r="D550" s="551"/>
      <c r="E550" s="551"/>
      <c r="F550" s="551"/>
      <c r="G550" s="551"/>
      <c r="H550" s="551"/>
      <c r="I550" s="551"/>
      <c r="J550" s="551"/>
      <c r="K550" s="551"/>
      <c r="L550" s="551"/>
      <c r="M550" s="551"/>
      <c r="N550" s="551"/>
      <c r="O550" s="551"/>
      <c r="P550" s="551"/>
      <c r="Q550" s="551"/>
      <c r="R550" s="551"/>
      <c r="S550" s="551"/>
      <c r="T550" s="551"/>
      <c r="U550" s="551"/>
      <c r="V550" s="551"/>
      <c r="W550" s="551"/>
      <c r="X550" s="551"/>
      <c r="Y550" s="551"/>
      <c r="Z550" s="551"/>
      <c r="AA550" s="551"/>
      <c r="AB550" s="551"/>
      <c r="AC550" s="551"/>
      <c r="AD550" s="551"/>
      <c r="AE550" s="551"/>
      <c r="AF550" s="551"/>
      <c r="AG550" s="551"/>
      <c r="AH550" s="551"/>
      <c r="AI550" s="551"/>
      <c r="AJ550" s="551"/>
      <c r="AK550" s="551"/>
      <c r="AL550" s="551"/>
      <c r="AM550" s="551"/>
      <c r="AN550" s="551"/>
      <c r="AO550" s="551"/>
      <c r="AP550" s="551"/>
      <c r="AQ550" s="551"/>
      <c r="AR550" s="551"/>
      <c r="AS550" s="551"/>
      <c r="AT550" s="551"/>
      <c r="AU550" s="551"/>
      <c r="AV550" s="551"/>
      <c r="AW550" s="551"/>
      <c r="AX550" s="551"/>
      <c r="AY550" s="551"/>
      <c r="AZ550" s="551"/>
      <c r="BA550" s="551"/>
      <c r="BB550" s="551"/>
      <c r="BC550" s="551"/>
      <c r="BD550" s="551"/>
      <c r="BE550" s="551"/>
      <c r="BF550" s="551"/>
    </row>
    <row r="551" spans="1:58" ht="12.75" customHeight="1">
      <c r="A551" s="551"/>
      <c r="B551" s="551"/>
      <c r="C551" s="551"/>
      <c r="D551" s="551"/>
      <c r="E551" s="551"/>
      <c r="F551" s="551"/>
      <c r="G551" s="551"/>
      <c r="H551" s="551"/>
      <c r="I551" s="551"/>
      <c r="J551" s="551"/>
      <c r="K551" s="551"/>
      <c r="L551" s="551"/>
      <c r="M551" s="551"/>
      <c r="N551" s="551"/>
      <c r="O551" s="551"/>
      <c r="P551" s="551"/>
      <c r="Q551" s="551"/>
      <c r="R551" s="551"/>
      <c r="S551" s="551"/>
      <c r="T551" s="551"/>
      <c r="U551" s="551"/>
      <c r="V551" s="551"/>
      <c r="W551" s="551"/>
      <c r="X551" s="551"/>
      <c r="Y551" s="551"/>
      <c r="Z551" s="551"/>
      <c r="AA551" s="551"/>
      <c r="AB551" s="551"/>
      <c r="AC551" s="551"/>
      <c r="AD551" s="551"/>
      <c r="AE551" s="551"/>
      <c r="AF551" s="551"/>
      <c r="AG551" s="551"/>
      <c r="AH551" s="551"/>
      <c r="AI551" s="551"/>
      <c r="AJ551" s="551"/>
      <c r="AK551" s="551"/>
      <c r="AL551" s="551"/>
      <c r="AM551" s="551"/>
      <c r="AN551" s="551"/>
      <c r="AO551" s="551"/>
      <c r="AP551" s="551"/>
      <c r="AQ551" s="551"/>
      <c r="AR551" s="551"/>
      <c r="AS551" s="551"/>
      <c r="AT551" s="551"/>
      <c r="AU551" s="551"/>
      <c r="AV551" s="551"/>
      <c r="AW551" s="551"/>
      <c r="AX551" s="551"/>
      <c r="AY551" s="551"/>
      <c r="AZ551" s="551"/>
      <c r="BA551" s="551"/>
      <c r="BB551" s="551"/>
      <c r="BC551" s="551"/>
      <c r="BD551" s="551"/>
      <c r="BE551" s="551"/>
      <c r="BF551" s="551"/>
    </row>
    <row r="552" spans="1:58" ht="12.75" customHeight="1">
      <c r="A552" s="551"/>
      <c r="B552" s="551"/>
      <c r="C552" s="551"/>
      <c r="D552" s="551"/>
      <c r="E552" s="551"/>
      <c r="F552" s="551"/>
      <c r="G552" s="551"/>
      <c r="H552" s="551"/>
      <c r="I552" s="551"/>
      <c r="J552" s="551"/>
      <c r="K552" s="551"/>
      <c r="L552" s="551"/>
      <c r="M552" s="551"/>
      <c r="N552" s="551"/>
      <c r="O552" s="551"/>
      <c r="P552" s="551"/>
      <c r="Q552" s="551"/>
      <c r="R552" s="551"/>
      <c r="S552" s="551"/>
      <c r="T552" s="551"/>
      <c r="U552" s="551"/>
      <c r="V552" s="551"/>
      <c r="W552" s="551"/>
      <c r="X552" s="551"/>
      <c r="Y552" s="551"/>
      <c r="Z552" s="551"/>
      <c r="AA552" s="551"/>
      <c r="AB552" s="551"/>
      <c r="AC552" s="551"/>
      <c r="AD552" s="551"/>
      <c r="AE552" s="551"/>
      <c r="AF552" s="551"/>
      <c r="AG552" s="551"/>
      <c r="AH552" s="551"/>
      <c r="AI552" s="551"/>
      <c r="AJ552" s="551"/>
      <c r="AK552" s="551"/>
      <c r="AL552" s="551"/>
      <c r="AM552" s="551"/>
      <c r="AN552" s="551"/>
      <c r="AO552" s="551"/>
      <c r="AP552" s="551"/>
      <c r="AQ552" s="551"/>
      <c r="AR552" s="551"/>
      <c r="AS552" s="551"/>
      <c r="AT552" s="551"/>
      <c r="AU552" s="551"/>
      <c r="AV552" s="551"/>
      <c r="AW552" s="551"/>
      <c r="AX552" s="551"/>
      <c r="AY552" s="551"/>
      <c r="AZ552" s="551"/>
      <c r="BA552" s="551"/>
      <c r="BB552" s="551"/>
      <c r="BC552" s="551"/>
      <c r="BD552" s="551"/>
      <c r="BE552" s="551"/>
      <c r="BF552" s="551"/>
    </row>
    <row r="553" spans="1:58" ht="12.75" customHeight="1">
      <c r="A553" s="551"/>
      <c r="B553" s="551"/>
      <c r="C553" s="551"/>
      <c r="D553" s="551"/>
      <c r="E553" s="551"/>
      <c r="F553" s="551"/>
      <c r="G553" s="551"/>
      <c r="H553" s="551"/>
      <c r="I553" s="551"/>
      <c r="J553" s="551"/>
      <c r="K553" s="551"/>
      <c r="L553" s="551"/>
      <c r="M553" s="551"/>
      <c r="N553" s="551"/>
      <c r="O553" s="551"/>
      <c r="P553" s="551"/>
      <c r="Q553" s="551"/>
      <c r="R553" s="551"/>
      <c r="S553" s="551"/>
      <c r="T553" s="551"/>
      <c r="U553" s="551"/>
      <c r="V553" s="551"/>
      <c r="W553" s="551"/>
      <c r="X553" s="551"/>
      <c r="Y553" s="551"/>
      <c r="Z553" s="551"/>
      <c r="AA553" s="551"/>
      <c r="AB553" s="551"/>
      <c r="AC553" s="551"/>
      <c r="AD553" s="551"/>
      <c r="AE553" s="551"/>
      <c r="AF553" s="551"/>
      <c r="AG553" s="551"/>
      <c r="AH553" s="551"/>
      <c r="AI553" s="551"/>
      <c r="AJ553" s="551"/>
      <c r="AK553" s="551"/>
      <c r="AL553" s="551"/>
      <c r="AM553" s="551"/>
      <c r="AN553" s="551"/>
      <c r="AO553" s="551"/>
      <c r="AP553" s="551"/>
      <c r="AQ553" s="551"/>
      <c r="AR553" s="551"/>
      <c r="AS553" s="551"/>
      <c r="AT553" s="551"/>
      <c r="AU553" s="551"/>
      <c r="AV553" s="551"/>
      <c r="AW553" s="551"/>
      <c r="AX553" s="551"/>
      <c r="AY553" s="551"/>
      <c r="AZ553" s="551"/>
      <c r="BA553" s="551"/>
      <c r="BB553" s="551"/>
      <c r="BC553" s="551"/>
      <c r="BD553" s="551"/>
      <c r="BE553" s="551"/>
      <c r="BF553" s="551"/>
    </row>
    <row r="554" spans="1:58" ht="12.75" customHeight="1">
      <c r="A554" s="551"/>
      <c r="B554" s="551"/>
      <c r="C554" s="551"/>
      <c r="D554" s="551"/>
      <c r="E554" s="551"/>
      <c r="F554" s="551"/>
      <c r="G554" s="551"/>
      <c r="H554" s="551"/>
      <c r="I554" s="551"/>
      <c r="J554" s="551"/>
      <c r="K554" s="551"/>
      <c r="L554" s="551"/>
      <c r="M554" s="551"/>
      <c r="N554" s="551"/>
      <c r="O554" s="551"/>
      <c r="P554" s="551"/>
      <c r="Q554" s="551"/>
      <c r="R554" s="551"/>
      <c r="S554" s="551"/>
      <c r="T554" s="551"/>
      <c r="U554" s="551"/>
      <c r="V554" s="551"/>
      <c r="W554" s="551"/>
      <c r="X554" s="551"/>
      <c r="Y554" s="551"/>
      <c r="Z554" s="551"/>
      <c r="AA554" s="551"/>
      <c r="AB554" s="551"/>
      <c r="AC554" s="551"/>
      <c r="AD554" s="551"/>
      <c r="AE554" s="551"/>
      <c r="AF554" s="551"/>
      <c r="AG554" s="551"/>
      <c r="AH554" s="551"/>
      <c r="AI554" s="551"/>
      <c r="AJ554" s="551"/>
      <c r="AK554" s="551"/>
      <c r="AL554" s="551"/>
      <c r="AM554" s="551"/>
      <c r="AN554" s="551"/>
      <c r="AO554" s="551"/>
      <c r="AP554" s="551"/>
      <c r="AQ554" s="551"/>
      <c r="AR554" s="551"/>
      <c r="AS554" s="551"/>
      <c r="AT554" s="551"/>
      <c r="AU554" s="551"/>
      <c r="AV554" s="551"/>
      <c r="AW554" s="551"/>
      <c r="AX554" s="551"/>
      <c r="AY554" s="551"/>
      <c r="AZ554" s="551"/>
      <c r="BA554" s="551"/>
      <c r="BB554" s="551"/>
      <c r="BC554" s="551"/>
      <c r="BD554" s="551"/>
      <c r="BE554" s="551"/>
      <c r="BF554" s="551"/>
    </row>
    <row r="555" spans="1:58" ht="12.75" customHeight="1">
      <c r="A555" s="551"/>
      <c r="B555" s="551"/>
      <c r="C555" s="551"/>
      <c r="D555" s="551"/>
      <c r="E555" s="551"/>
      <c r="F555" s="551"/>
      <c r="G555" s="551"/>
      <c r="H555" s="551"/>
      <c r="I555" s="551"/>
      <c r="J555" s="551"/>
      <c r="K555" s="551"/>
      <c r="L555" s="551"/>
      <c r="M555" s="551"/>
      <c r="N555" s="551"/>
      <c r="O555" s="551"/>
      <c r="P555" s="551"/>
      <c r="Q555" s="551"/>
      <c r="R555" s="551"/>
      <c r="S555" s="551"/>
      <c r="T555" s="551"/>
      <c r="U555" s="551"/>
      <c r="V555" s="551"/>
      <c r="W555" s="551"/>
      <c r="X555" s="551"/>
      <c r="Y555" s="551"/>
      <c r="Z555" s="551"/>
      <c r="AA555" s="551"/>
      <c r="AB555" s="551"/>
      <c r="AC555" s="551"/>
      <c r="AD555" s="551"/>
      <c r="AE555" s="551"/>
      <c r="AF555" s="551"/>
      <c r="AG555" s="551"/>
      <c r="AH555" s="551"/>
      <c r="AI555" s="551"/>
      <c r="AJ555" s="551"/>
      <c r="AK555" s="551"/>
      <c r="AL555" s="551"/>
      <c r="AM555" s="551"/>
      <c r="AN555" s="551"/>
      <c r="AO555" s="551"/>
      <c r="AP555" s="551"/>
      <c r="AQ555" s="551"/>
      <c r="AR555" s="551"/>
      <c r="AS555" s="551"/>
      <c r="AT555" s="551"/>
      <c r="AU555" s="551"/>
      <c r="AV555" s="551"/>
      <c r="AW555" s="551"/>
      <c r="AX555" s="551"/>
      <c r="AY555" s="551"/>
      <c r="AZ555" s="551"/>
      <c r="BA555" s="551"/>
      <c r="BB555" s="551"/>
      <c r="BC555" s="551"/>
      <c r="BD555" s="551"/>
      <c r="BE555" s="551"/>
      <c r="BF555" s="551"/>
    </row>
    <row r="556" spans="1:58" ht="12.75" customHeight="1">
      <c r="A556" s="551"/>
      <c r="B556" s="551"/>
      <c r="C556" s="551"/>
      <c r="D556" s="551"/>
      <c r="E556" s="551"/>
      <c r="F556" s="551"/>
      <c r="G556" s="551"/>
      <c r="H556" s="551"/>
      <c r="I556" s="551"/>
      <c r="J556" s="551"/>
      <c r="K556" s="551"/>
      <c r="L556" s="551"/>
      <c r="M556" s="551"/>
      <c r="N556" s="551"/>
      <c r="O556" s="551"/>
      <c r="P556" s="551"/>
      <c r="Q556" s="551"/>
      <c r="R556" s="551"/>
      <c r="S556" s="551"/>
      <c r="T556" s="551"/>
      <c r="U556" s="551"/>
      <c r="V556" s="551"/>
      <c r="W556" s="551"/>
      <c r="X556" s="551"/>
      <c r="Y556" s="551"/>
      <c r="Z556" s="551"/>
      <c r="AA556" s="551"/>
      <c r="AB556" s="551"/>
      <c r="AC556" s="551"/>
      <c r="AD556" s="551"/>
      <c r="AE556" s="551"/>
      <c r="AF556" s="551"/>
      <c r="AG556" s="551"/>
      <c r="AH556" s="551"/>
      <c r="AI556" s="551"/>
      <c r="AJ556" s="551"/>
      <c r="AK556" s="551"/>
      <c r="AL556" s="551"/>
      <c r="AM556" s="551"/>
      <c r="AN556" s="551"/>
      <c r="AO556" s="551"/>
      <c r="AP556" s="551"/>
      <c r="AQ556" s="551"/>
      <c r="AR556" s="551"/>
      <c r="AS556" s="551"/>
      <c r="AT556" s="551"/>
      <c r="AU556" s="551"/>
      <c r="AV556" s="551"/>
      <c r="AW556" s="551"/>
      <c r="AX556" s="551"/>
      <c r="AY556" s="551"/>
      <c r="AZ556" s="551"/>
      <c r="BA556" s="551"/>
      <c r="BB556" s="551"/>
      <c r="BC556" s="551"/>
      <c r="BD556" s="551"/>
      <c r="BE556" s="551"/>
      <c r="BF556" s="551"/>
    </row>
    <row r="557" spans="1:58" ht="12.75" customHeight="1">
      <c r="A557" s="551"/>
      <c r="B557" s="551"/>
      <c r="C557" s="551"/>
      <c r="D557" s="551"/>
      <c r="E557" s="551"/>
      <c r="F557" s="551"/>
      <c r="G557" s="551"/>
      <c r="H557" s="551"/>
      <c r="I557" s="551"/>
      <c r="J557" s="551"/>
      <c r="K557" s="551"/>
      <c r="L557" s="551"/>
      <c r="M557" s="551"/>
      <c r="N557" s="551"/>
      <c r="O557" s="551"/>
      <c r="P557" s="551"/>
      <c r="Q557" s="551"/>
      <c r="R557" s="551"/>
      <c r="S557" s="551"/>
      <c r="T557" s="551"/>
      <c r="U557" s="551"/>
      <c r="V557" s="551"/>
      <c r="W557" s="551"/>
      <c r="X557" s="551"/>
      <c r="Y557" s="551"/>
      <c r="Z557" s="551"/>
      <c r="AA557" s="551"/>
      <c r="AB557" s="551"/>
      <c r="AC557" s="551"/>
      <c r="AD557" s="551"/>
      <c r="AE557" s="551"/>
      <c r="AF557" s="551"/>
      <c r="AG557" s="551"/>
      <c r="AH557" s="551"/>
      <c r="AI557" s="551"/>
      <c r="AJ557" s="551"/>
      <c r="AK557" s="551"/>
      <c r="AL557" s="551"/>
      <c r="AM557" s="551"/>
      <c r="AN557" s="551"/>
      <c r="AO557" s="551"/>
      <c r="AP557" s="551"/>
      <c r="AQ557" s="551"/>
      <c r="AR557" s="551"/>
      <c r="AS557" s="551"/>
      <c r="AT557" s="551"/>
      <c r="AU557" s="551"/>
      <c r="AV557" s="551"/>
      <c r="AW557" s="551"/>
      <c r="AX557" s="551"/>
      <c r="AY557" s="551"/>
      <c r="AZ557" s="551"/>
      <c r="BA557" s="551"/>
      <c r="BB557" s="551"/>
      <c r="BC557" s="551"/>
      <c r="BD557" s="551"/>
      <c r="BE557" s="551"/>
      <c r="BF557" s="551"/>
    </row>
    <row r="558" spans="1:58" ht="12.75" customHeight="1">
      <c r="A558" s="551"/>
      <c r="B558" s="551"/>
      <c r="C558" s="551"/>
      <c r="D558" s="551"/>
      <c r="E558" s="551"/>
      <c r="F558" s="551"/>
      <c r="G558" s="551"/>
      <c r="H558" s="551"/>
      <c r="I558" s="551"/>
      <c r="J558" s="551"/>
      <c r="K558" s="551"/>
      <c r="L558" s="551"/>
      <c r="M558" s="551"/>
      <c r="N558" s="551"/>
      <c r="O558" s="551"/>
      <c r="P558" s="551"/>
      <c r="Q558" s="551"/>
      <c r="R558" s="551"/>
      <c r="S558" s="551"/>
      <c r="T558" s="551"/>
      <c r="U558" s="551"/>
      <c r="V558" s="551"/>
      <c r="W558" s="551"/>
      <c r="X558" s="551"/>
      <c r="Y558" s="551"/>
      <c r="Z558" s="551"/>
      <c r="AA558" s="551"/>
      <c r="AB558" s="551"/>
      <c r="AC558" s="551"/>
      <c r="AD558" s="551"/>
      <c r="AE558" s="551"/>
      <c r="AF558" s="551"/>
      <c r="AG558" s="551"/>
      <c r="AH558" s="551"/>
      <c r="AI558" s="551"/>
      <c r="AJ558" s="551"/>
      <c r="AK558" s="551"/>
      <c r="AL558" s="551"/>
      <c r="AM558" s="551"/>
      <c r="AN558" s="551"/>
      <c r="AO558" s="551"/>
      <c r="AP558" s="551"/>
      <c r="AQ558" s="551"/>
      <c r="AR558" s="551"/>
      <c r="AS558" s="551"/>
      <c r="AT558" s="551"/>
      <c r="AU558" s="551"/>
      <c r="AV558" s="551"/>
      <c r="AW558" s="551"/>
      <c r="AX558" s="551"/>
      <c r="AY558" s="551"/>
      <c r="AZ558" s="551"/>
      <c r="BA558" s="551"/>
      <c r="BB558" s="551"/>
      <c r="BC558" s="551"/>
      <c r="BD558" s="551"/>
      <c r="BE558" s="551"/>
      <c r="BF558" s="551"/>
    </row>
    <row r="559" spans="1:58" ht="12.75" customHeight="1">
      <c r="A559" s="551"/>
      <c r="B559" s="551"/>
      <c r="C559" s="551"/>
      <c r="D559" s="551"/>
      <c r="E559" s="551"/>
      <c r="F559" s="551"/>
      <c r="G559" s="551"/>
      <c r="H559" s="551"/>
      <c r="I559" s="551"/>
      <c r="J559" s="551"/>
      <c r="K559" s="551"/>
      <c r="L559" s="551"/>
      <c r="M559" s="551"/>
      <c r="N559" s="551"/>
      <c r="O559" s="551"/>
      <c r="P559" s="551"/>
      <c r="Q559" s="551"/>
      <c r="R559" s="551"/>
      <c r="S559" s="551"/>
      <c r="T559" s="551"/>
      <c r="U559" s="551"/>
      <c r="V559" s="551"/>
      <c r="W559" s="551"/>
      <c r="X559" s="551"/>
      <c r="Y559" s="551"/>
      <c r="Z559" s="551"/>
      <c r="AA559" s="551"/>
      <c r="AB559" s="551"/>
      <c r="AC559" s="551"/>
      <c r="AD559" s="551"/>
      <c r="AE559" s="551"/>
      <c r="AF559" s="551"/>
      <c r="AG559" s="551"/>
      <c r="AH559" s="551"/>
      <c r="AI559" s="551"/>
      <c r="AJ559" s="551"/>
      <c r="AK559" s="551"/>
      <c r="AL559" s="551"/>
      <c r="AM559" s="551"/>
      <c r="AN559" s="551"/>
      <c r="AO559" s="551"/>
      <c r="AP559" s="551"/>
      <c r="AQ559" s="551"/>
      <c r="AR559" s="551"/>
      <c r="AS559" s="551"/>
      <c r="AT559" s="551"/>
      <c r="AU559" s="551"/>
      <c r="AV559" s="551"/>
      <c r="AW559" s="551"/>
      <c r="AX559" s="551"/>
      <c r="AY559" s="551"/>
      <c r="AZ559" s="551"/>
      <c r="BA559" s="551"/>
      <c r="BB559" s="551"/>
      <c r="BC559" s="551"/>
      <c r="BD559" s="551"/>
      <c r="BE559" s="551"/>
      <c r="BF559" s="551"/>
    </row>
    <row r="560" spans="1:58" ht="12.75" customHeight="1">
      <c r="A560" s="551"/>
      <c r="B560" s="551"/>
      <c r="C560" s="551"/>
      <c r="D560" s="551"/>
      <c r="E560" s="551"/>
      <c r="F560" s="551"/>
      <c r="G560" s="551"/>
      <c r="H560" s="551"/>
      <c r="I560" s="551"/>
      <c r="J560" s="551"/>
      <c r="K560" s="551"/>
      <c r="L560" s="551"/>
      <c r="M560" s="551"/>
      <c r="N560" s="551"/>
      <c r="O560" s="551"/>
      <c r="P560" s="551"/>
      <c r="Q560" s="551"/>
      <c r="R560" s="551"/>
      <c r="S560" s="551"/>
      <c r="T560" s="551"/>
      <c r="U560" s="551"/>
      <c r="V560" s="551"/>
      <c r="W560" s="551"/>
      <c r="X560" s="551"/>
      <c r="Y560" s="551"/>
      <c r="Z560" s="551"/>
      <c r="AA560" s="551"/>
      <c r="AB560" s="551"/>
      <c r="AC560" s="551"/>
      <c r="AD560" s="551"/>
      <c r="AE560" s="551"/>
      <c r="AF560" s="551"/>
      <c r="AG560" s="551"/>
      <c r="AH560" s="551"/>
      <c r="AI560" s="551"/>
      <c r="AJ560" s="551"/>
      <c r="AK560" s="551"/>
      <c r="AL560" s="551"/>
      <c r="AM560" s="551"/>
      <c r="AN560" s="551"/>
      <c r="AO560" s="551"/>
      <c r="AP560" s="551"/>
      <c r="AQ560" s="551"/>
      <c r="AR560" s="551"/>
      <c r="AS560" s="551"/>
      <c r="AT560" s="551"/>
      <c r="AU560" s="551"/>
      <c r="AV560" s="551"/>
      <c r="AW560" s="551"/>
      <c r="AX560" s="551"/>
      <c r="AY560" s="551"/>
      <c r="AZ560" s="551"/>
      <c r="BA560" s="551"/>
      <c r="BB560" s="551"/>
      <c r="BC560" s="551"/>
      <c r="BD560" s="551"/>
      <c r="BE560" s="551"/>
      <c r="BF560" s="551"/>
    </row>
    <row r="561" spans="1:58" ht="12.75" customHeight="1">
      <c r="A561" s="551"/>
      <c r="B561" s="551"/>
      <c r="C561" s="551"/>
      <c r="D561" s="551"/>
      <c r="E561" s="551"/>
      <c r="F561" s="551"/>
      <c r="G561" s="551"/>
      <c r="H561" s="551"/>
      <c r="I561" s="551"/>
      <c r="J561" s="551"/>
      <c r="K561" s="551"/>
      <c r="L561" s="551"/>
      <c r="M561" s="551"/>
      <c r="N561" s="551"/>
      <c r="O561" s="551"/>
      <c r="P561" s="551"/>
      <c r="Q561" s="551"/>
      <c r="R561" s="551"/>
      <c r="S561" s="551"/>
      <c r="T561" s="551"/>
      <c r="U561" s="551"/>
      <c r="V561" s="551"/>
      <c r="W561" s="551"/>
      <c r="X561" s="551"/>
      <c r="Y561" s="551"/>
      <c r="Z561" s="551"/>
      <c r="AA561" s="551"/>
      <c r="AB561" s="551"/>
      <c r="AC561" s="551"/>
      <c r="AD561" s="551"/>
      <c r="AE561" s="551"/>
      <c r="AF561" s="551"/>
      <c r="AG561" s="551"/>
      <c r="AH561" s="551"/>
      <c r="AI561" s="551"/>
      <c r="AJ561" s="551"/>
      <c r="AK561" s="551"/>
      <c r="AL561" s="551"/>
      <c r="AM561" s="551"/>
      <c r="AN561" s="551"/>
      <c r="AO561" s="551"/>
      <c r="AP561" s="551"/>
      <c r="AQ561" s="551"/>
      <c r="AR561" s="551"/>
      <c r="AS561" s="551"/>
      <c r="AT561" s="551"/>
      <c r="AU561" s="551"/>
      <c r="AV561" s="551"/>
      <c r="AW561" s="551"/>
      <c r="AX561" s="551"/>
      <c r="AY561" s="551"/>
      <c r="AZ561" s="551"/>
      <c r="BA561" s="551"/>
      <c r="BB561" s="551"/>
      <c r="BC561" s="551"/>
      <c r="BD561" s="551"/>
      <c r="BE561" s="551"/>
      <c r="BF561" s="551"/>
    </row>
    <row r="562" spans="1:58" ht="12.75" customHeight="1">
      <c r="A562" s="551"/>
      <c r="B562" s="551"/>
      <c r="C562" s="551"/>
      <c r="D562" s="551"/>
      <c r="E562" s="551"/>
      <c r="F562" s="551"/>
      <c r="G562" s="551"/>
      <c r="H562" s="551"/>
      <c r="I562" s="551"/>
      <c r="J562" s="551"/>
      <c r="K562" s="551"/>
      <c r="L562" s="551"/>
      <c r="M562" s="551"/>
      <c r="N562" s="551"/>
      <c r="O562" s="551"/>
      <c r="P562" s="551"/>
      <c r="Q562" s="551"/>
      <c r="R562" s="551"/>
      <c r="S562" s="551"/>
      <c r="T562" s="551"/>
      <c r="U562" s="551"/>
      <c r="V562" s="551"/>
      <c r="W562" s="551"/>
      <c r="X562" s="551"/>
      <c r="Y562" s="551"/>
      <c r="Z562" s="551"/>
      <c r="AA562" s="551"/>
      <c r="AB562" s="551"/>
      <c r="AC562" s="551"/>
      <c r="AD562" s="551"/>
      <c r="AE562" s="551"/>
      <c r="AF562" s="551"/>
      <c r="AG562" s="551"/>
      <c r="AH562" s="551"/>
      <c r="AI562" s="551"/>
      <c r="AJ562" s="551"/>
      <c r="AK562" s="551"/>
      <c r="AL562" s="551"/>
      <c r="AM562" s="551"/>
      <c r="AN562" s="551"/>
      <c r="AO562" s="551"/>
      <c r="AP562" s="551"/>
      <c r="AQ562" s="551"/>
      <c r="AR562" s="551"/>
      <c r="AS562" s="551"/>
      <c r="AT562" s="551"/>
      <c r="AU562" s="551"/>
      <c r="AV562" s="551"/>
      <c r="AW562" s="551"/>
      <c r="AX562" s="551"/>
      <c r="AY562" s="551"/>
      <c r="AZ562" s="551"/>
      <c r="BA562" s="551"/>
      <c r="BB562" s="551"/>
      <c r="BC562" s="551"/>
      <c r="BD562" s="551"/>
      <c r="BE562" s="551"/>
      <c r="BF562" s="551"/>
    </row>
    <row r="563" spans="1:58" ht="12.75" customHeight="1">
      <c r="A563" s="551"/>
      <c r="B563" s="551"/>
      <c r="C563" s="551"/>
      <c r="D563" s="551"/>
      <c r="E563" s="551"/>
      <c r="F563" s="551"/>
      <c r="G563" s="551"/>
      <c r="H563" s="551"/>
      <c r="I563" s="551"/>
      <c r="J563" s="551"/>
      <c r="K563" s="551"/>
      <c r="L563" s="551"/>
      <c r="M563" s="551"/>
      <c r="N563" s="551"/>
      <c r="O563" s="551"/>
      <c r="P563" s="551"/>
      <c r="Q563" s="551"/>
      <c r="R563" s="551"/>
      <c r="S563" s="551"/>
      <c r="T563" s="551"/>
      <c r="U563" s="551"/>
      <c r="V563" s="551"/>
      <c r="W563" s="551"/>
      <c r="X563" s="551"/>
      <c r="Y563" s="551"/>
      <c r="Z563" s="551"/>
      <c r="AA563" s="551"/>
      <c r="AB563" s="551"/>
      <c r="AC563" s="551"/>
      <c r="AD563" s="551"/>
      <c r="AE563" s="551"/>
      <c r="AF563" s="551"/>
      <c r="AG563" s="551"/>
      <c r="AH563" s="551"/>
      <c r="AI563" s="551"/>
      <c r="AJ563" s="551"/>
      <c r="AK563" s="551"/>
      <c r="AL563" s="551"/>
      <c r="AM563" s="551"/>
      <c r="AN563" s="551"/>
      <c r="AO563" s="551"/>
      <c r="AP563" s="551"/>
      <c r="AQ563" s="551"/>
      <c r="AR563" s="551"/>
      <c r="AS563" s="551"/>
      <c r="AT563" s="551"/>
      <c r="AU563" s="551"/>
      <c r="AV563" s="551"/>
      <c r="AW563" s="551"/>
      <c r="AX563" s="551"/>
      <c r="AY563" s="551"/>
      <c r="AZ563" s="551"/>
      <c r="BA563" s="551"/>
      <c r="BB563" s="551"/>
      <c r="BC563" s="551"/>
      <c r="BD563" s="551"/>
      <c r="BE563" s="551"/>
      <c r="BF563" s="551"/>
    </row>
    <row r="564" spans="1:58" ht="12.75" customHeight="1">
      <c r="A564" s="551"/>
      <c r="B564" s="551"/>
      <c r="C564" s="551"/>
      <c r="D564" s="551"/>
      <c r="E564" s="551"/>
      <c r="F564" s="551"/>
      <c r="G564" s="551"/>
      <c r="H564" s="551"/>
      <c r="I564" s="551"/>
      <c r="J564" s="551"/>
      <c r="K564" s="551"/>
      <c r="L564" s="551"/>
      <c r="M564" s="551"/>
      <c r="N564" s="551"/>
      <c r="O564" s="551"/>
      <c r="P564" s="551"/>
      <c r="Q564" s="551"/>
      <c r="R564" s="551"/>
      <c r="S564" s="551"/>
      <c r="T564" s="551"/>
      <c r="U564" s="551"/>
      <c r="V564" s="551"/>
      <c r="W564" s="551"/>
      <c r="X564" s="551"/>
      <c r="Y564" s="551"/>
      <c r="Z564" s="551"/>
      <c r="AA564" s="551"/>
      <c r="AB564" s="551"/>
      <c r="AC564" s="551"/>
      <c r="AD564" s="551"/>
      <c r="AE564" s="551"/>
      <c r="AF564" s="551"/>
      <c r="AG564" s="551"/>
      <c r="AH564" s="551"/>
      <c r="AI564" s="551"/>
      <c r="AJ564" s="551"/>
      <c r="AK564" s="551"/>
      <c r="AL564" s="551"/>
      <c r="AM564" s="551"/>
      <c r="AN564" s="551"/>
      <c r="AO564" s="551"/>
      <c r="AP564" s="551"/>
      <c r="AQ564" s="551"/>
      <c r="AR564" s="551"/>
      <c r="AS564" s="551"/>
      <c r="AT564" s="551"/>
      <c r="AU564" s="551"/>
      <c r="AV564" s="551"/>
      <c r="AW564" s="551"/>
      <c r="AX564" s="551"/>
      <c r="AY564" s="551"/>
      <c r="AZ564" s="551"/>
      <c r="BA564" s="551"/>
      <c r="BB564" s="551"/>
      <c r="BC564" s="551"/>
      <c r="BD564" s="551"/>
      <c r="BE564" s="551"/>
      <c r="BF564" s="551"/>
    </row>
    <row r="565" spans="1:58" ht="12.75" customHeight="1">
      <c r="A565" s="551"/>
      <c r="B565" s="551"/>
      <c r="C565" s="551"/>
      <c r="D565" s="551"/>
      <c r="E565" s="551"/>
      <c r="F565" s="551"/>
      <c r="G565" s="551"/>
      <c r="H565" s="551"/>
      <c r="I565" s="551"/>
      <c r="J565" s="551"/>
      <c r="K565" s="551"/>
      <c r="L565" s="551"/>
      <c r="M565" s="551"/>
      <c r="N565" s="551"/>
      <c r="O565" s="551"/>
      <c r="P565" s="551"/>
      <c r="Q565" s="551"/>
      <c r="R565" s="551"/>
      <c r="S565" s="551"/>
      <c r="T565" s="551"/>
      <c r="U565" s="551"/>
      <c r="V565" s="551"/>
      <c r="W565" s="551"/>
      <c r="X565" s="551"/>
      <c r="Y565" s="551"/>
      <c r="Z565" s="551"/>
      <c r="AA565" s="551"/>
      <c r="AB565" s="551"/>
      <c r="AC565" s="551"/>
      <c r="AD565" s="551"/>
      <c r="AE565" s="551"/>
      <c r="AF565" s="551"/>
      <c r="AG565" s="551"/>
      <c r="AH565" s="551"/>
      <c r="AI565" s="551"/>
      <c r="AJ565" s="551"/>
      <c r="AK565" s="551"/>
      <c r="AL565" s="551"/>
      <c r="AM565" s="551"/>
      <c r="AN565" s="551"/>
      <c r="AO565" s="551"/>
      <c r="AP565" s="551"/>
      <c r="AQ565" s="551"/>
      <c r="AR565" s="551"/>
      <c r="AS565" s="551"/>
      <c r="AT565" s="551"/>
      <c r="AU565" s="551"/>
      <c r="AV565" s="551"/>
      <c r="AW565" s="551"/>
      <c r="AX565" s="551"/>
      <c r="AY565" s="551"/>
      <c r="AZ565" s="551"/>
      <c r="BA565" s="551"/>
      <c r="BB565" s="551"/>
      <c r="BC565" s="551"/>
      <c r="BD565" s="551"/>
      <c r="BE565" s="551"/>
      <c r="BF565" s="551"/>
    </row>
    <row r="566" spans="1:58" ht="12.75" customHeight="1">
      <c r="A566" s="551"/>
      <c r="B566" s="551"/>
      <c r="C566" s="551"/>
      <c r="D566" s="551"/>
      <c r="E566" s="551"/>
      <c r="F566" s="551"/>
      <c r="G566" s="551"/>
      <c r="H566" s="551"/>
      <c r="I566" s="551"/>
      <c r="J566" s="551"/>
      <c r="K566" s="551"/>
      <c r="L566" s="551"/>
      <c r="M566" s="551"/>
      <c r="N566" s="551"/>
      <c r="O566" s="551"/>
      <c r="P566" s="551"/>
      <c r="Q566" s="551"/>
      <c r="R566" s="551"/>
      <c r="S566" s="551"/>
      <c r="T566" s="551"/>
      <c r="U566" s="551"/>
      <c r="V566" s="551"/>
      <c r="W566" s="551"/>
      <c r="X566" s="551"/>
      <c r="Y566" s="551"/>
      <c r="Z566" s="551"/>
      <c r="AA566" s="551"/>
      <c r="AB566" s="551"/>
      <c r="AC566" s="551"/>
      <c r="AD566" s="551"/>
      <c r="AE566" s="551"/>
      <c r="AF566" s="551"/>
      <c r="AG566" s="551"/>
      <c r="AH566" s="551"/>
      <c r="AI566" s="551"/>
      <c r="AJ566" s="551"/>
      <c r="AK566" s="551"/>
      <c r="AL566" s="551"/>
      <c r="AM566" s="551"/>
      <c r="AN566" s="551"/>
      <c r="AO566" s="551"/>
      <c r="AP566" s="551"/>
      <c r="AQ566" s="551"/>
      <c r="AR566" s="551"/>
      <c r="AS566" s="551"/>
      <c r="AT566" s="551"/>
      <c r="AU566" s="551"/>
      <c r="AV566" s="551"/>
      <c r="AW566" s="551"/>
      <c r="AX566" s="551"/>
      <c r="AY566" s="551"/>
      <c r="AZ566" s="551"/>
      <c r="BA566" s="551"/>
      <c r="BB566" s="551"/>
      <c r="BC566" s="551"/>
      <c r="BD566" s="551"/>
      <c r="BE566" s="551"/>
      <c r="BF566" s="551"/>
    </row>
    <row r="567" spans="1:58" ht="12.75" customHeight="1">
      <c r="A567" s="551"/>
      <c r="B567" s="551"/>
      <c r="C567" s="551"/>
      <c r="D567" s="551"/>
      <c r="E567" s="551"/>
      <c r="F567" s="551"/>
      <c r="G567" s="551"/>
      <c r="H567" s="551"/>
      <c r="I567" s="551"/>
      <c r="J567" s="551"/>
      <c r="K567" s="551"/>
      <c r="L567" s="551"/>
      <c r="M567" s="551"/>
      <c r="N567" s="551"/>
      <c r="O567" s="551"/>
      <c r="P567" s="551"/>
      <c r="Q567" s="551"/>
      <c r="R567" s="551"/>
      <c r="S567" s="551"/>
      <c r="T567" s="551"/>
      <c r="U567" s="551"/>
      <c r="V567" s="551"/>
      <c r="W567" s="551"/>
      <c r="X567" s="551"/>
      <c r="Y567" s="551"/>
      <c r="Z567" s="551"/>
      <c r="AA567" s="551"/>
      <c r="AB567" s="551"/>
      <c r="AC567" s="551"/>
      <c r="AD567" s="551"/>
      <c r="AE567" s="551"/>
      <c r="AF567" s="551"/>
      <c r="AG567" s="551"/>
      <c r="AH567" s="551"/>
      <c r="AI567" s="551"/>
      <c r="AJ567" s="551"/>
      <c r="AK567" s="551"/>
      <c r="AL567" s="551"/>
      <c r="AM567" s="551"/>
      <c r="AN567" s="551"/>
      <c r="AO567" s="551"/>
      <c r="AP567" s="551"/>
      <c r="AQ567" s="551"/>
      <c r="AR567" s="551"/>
      <c r="AS567" s="551"/>
      <c r="AT567" s="551"/>
      <c r="AU567" s="551"/>
      <c r="AV567" s="551"/>
      <c r="AW567" s="551"/>
      <c r="AX567" s="551"/>
      <c r="AY567" s="551"/>
      <c r="AZ567" s="551"/>
      <c r="BA567" s="551"/>
      <c r="BB567" s="551"/>
      <c r="BC567" s="551"/>
      <c r="BD567" s="551"/>
      <c r="BE567" s="551"/>
      <c r="BF567" s="551"/>
    </row>
    <row r="568" spans="1:58" ht="12.75" customHeight="1">
      <c r="A568" s="551"/>
      <c r="B568" s="551"/>
      <c r="C568" s="551"/>
      <c r="D568" s="551"/>
      <c r="E568" s="551"/>
      <c r="F568" s="551"/>
      <c r="G568" s="551"/>
      <c r="H568" s="551"/>
      <c r="I568" s="551"/>
      <c r="J568" s="551"/>
      <c r="K568" s="551"/>
      <c r="L568" s="551"/>
      <c r="M568" s="551"/>
      <c r="N568" s="551"/>
      <c r="O568" s="551"/>
      <c r="P568" s="551"/>
      <c r="Q568" s="551"/>
      <c r="R568" s="551"/>
      <c r="S568" s="551"/>
      <c r="T568" s="551"/>
      <c r="U568" s="551"/>
      <c r="V568" s="551"/>
      <c r="W568" s="551"/>
      <c r="X568" s="551"/>
      <c r="Y568" s="551"/>
      <c r="Z568" s="551"/>
      <c r="AA568" s="551"/>
      <c r="AB568" s="551"/>
      <c r="AC568" s="551"/>
      <c r="AD568" s="551"/>
      <c r="AE568" s="551"/>
      <c r="AF568" s="551"/>
      <c r="AG568" s="551"/>
      <c r="AH568" s="551"/>
      <c r="AI568" s="551"/>
      <c r="AJ568" s="551"/>
      <c r="AK568" s="551"/>
      <c r="AL568" s="551"/>
      <c r="AM568" s="551"/>
      <c r="AN568" s="551"/>
      <c r="AO568" s="551"/>
      <c r="AP568" s="551"/>
      <c r="AQ568" s="551"/>
      <c r="AR568" s="551"/>
      <c r="AS568" s="551"/>
      <c r="AT568" s="551"/>
      <c r="AU568" s="551"/>
      <c r="AV568" s="551"/>
      <c r="AW568" s="551"/>
      <c r="AX568" s="551"/>
      <c r="AY568" s="551"/>
      <c r="AZ568" s="551"/>
      <c r="BA568" s="551"/>
      <c r="BB568" s="551"/>
      <c r="BC568" s="551"/>
      <c r="BD568" s="551"/>
      <c r="BE568" s="551"/>
      <c r="BF568" s="551"/>
    </row>
    <row r="569" spans="1:58" ht="12.75" customHeight="1">
      <c r="A569" s="551"/>
      <c r="B569" s="551"/>
      <c r="C569" s="551"/>
      <c r="D569" s="551"/>
      <c r="E569" s="551"/>
      <c r="F569" s="551"/>
      <c r="G569" s="551"/>
      <c r="H569" s="551"/>
      <c r="I569" s="551"/>
      <c r="J569" s="551"/>
      <c r="K569" s="551"/>
      <c r="L569" s="551"/>
      <c r="M569" s="551"/>
      <c r="N569" s="551"/>
      <c r="O569" s="551"/>
      <c r="P569" s="551"/>
      <c r="Q569" s="551"/>
      <c r="R569" s="551"/>
      <c r="S569" s="551"/>
      <c r="T569" s="551"/>
      <c r="U569" s="551"/>
      <c r="V569" s="551"/>
      <c r="W569" s="551"/>
      <c r="X569" s="551"/>
      <c r="Y569" s="551"/>
      <c r="Z569" s="551"/>
      <c r="AA569" s="551"/>
      <c r="AB569" s="551"/>
      <c r="AC569" s="551"/>
      <c r="AD569" s="551"/>
      <c r="AE569" s="551"/>
      <c r="AF569" s="551"/>
      <c r="AG569" s="551"/>
      <c r="AH569" s="551"/>
      <c r="AI569" s="551"/>
      <c r="AJ569" s="551"/>
      <c r="AK569" s="551"/>
      <c r="AL569" s="551"/>
      <c r="AM569" s="551"/>
      <c r="AN569" s="551"/>
      <c r="AO569" s="551"/>
      <c r="AP569" s="551"/>
      <c r="AQ569" s="551"/>
      <c r="AR569" s="551"/>
      <c r="AS569" s="551"/>
      <c r="AT569" s="551"/>
      <c r="AU569" s="551"/>
      <c r="AV569" s="551"/>
      <c r="AW569" s="551"/>
      <c r="AX569" s="551"/>
      <c r="AY569" s="551"/>
      <c r="AZ569" s="551"/>
      <c r="BA569" s="551"/>
      <c r="BB569" s="551"/>
      <c r="BC569" s="551"/>
      <c r="BD569" s="551"/>
      <c r="BE569" s="551"/>
      <c r="BF569" s="551"/>
    </row>
    <row r="570" spans="1:58" ht="12.75" customHeight="1">
      <c r="A570" s="551"/>
      <c r="B570" s="551"/>
      <c r="C570" s="551"/>
      <c r="D570" s="551"/>
      <c r="E570" s="551"/>
      <c r="F570" s="551"/>
      <c r="G570" s="551"/>
      <c r="H570" s="551"/>
      <c r="I570" s="551"/>
      <c r="J570" s="551"/>
      <c r="K570" s="551"/>
      <c r="L570" s="551"/>
      <c r="M570" s="551"/>
      <c r="N570" s="551"/>
      <c r="O570" s="551"/>
      <c r="P570" s="551"/>
      <c r="Q570" s="551"/>
      <c r="R570" s="551"/>
      <c r="S570" s="551"/>
      <c r="T570" s="551"/>
      <c r="U570" s="551"/>
      <c r="V570" s="551"/>
      <c r="W570" s="551"/>
      <c r="X570" s="551"/>
      <c r="Y570" s="551"/>
      <c r="Z570" s="551"/>
      <c r="AA570" s="551"/>
      <c r="AB570" s="551"/>
      <c r="AC570" s="551"/>
      <c r="AD570" s="551"/>
      <c r="AE570" s="551"/>
      <c r="AF570" s="551"/>
      <c r="AG570" s="551"/>
      <c r="AH570" s="551"/>
      <c r="AI570" s="551"/>
      <c r="AJ570" s="551"/>
      <c r="AK570" s="551"/>
      <c r="AL570" s="551"/>
      <c r="AM570" s="551"/>
      <c r="AN570" s="551"/>
      <c r="AO570" s="551"/>
      <c r="AP570" s="551"/>
      <c r="AQ570" s="551"/>
      <c r="AR570" s="551"/>
      <c r="AS570" s="551"/>
      <c r="AT570" s="551"/>
      <c r="AU570" s="551"/>
      <c r="AV570" s="551"/>
      <c r="AW570" s="551"/>
      <c r="AX570" s="551"/>
      <c r="AY570" s="551"/>
      <c r="AZ570" s="551"/>
      <c r="BA570" s="551"/>
      <c r="BB570" s="551"/>
      <c r="BC570" s="551"/>
      <c r="BD570" s="551"/>
      <c r="BE570" s="551"/>
      <c r="BF570" s="551"/>
    </row>
    <row r="571" spans="1:58" ht="12.75" customHeight="1">
      <c r="A571" s="551"/>
      <c r="B571" s="551"/>
      <c r="C571" s="551"/>
      <c r="D571" s="551"/>
      <c r="E571" s="551"/>
      <c r="F571" s="551"/>
      <c r="G571" s="551"/>
      <c r="H571" s="551"/>
      <c r="I571" s="551"/>
      <c r="J571" s="551"/>
      <c r="K571" s="551"/>
      <c r="L571" s="551"/>
      <c r="M571" s="551"/>
      <c r="N571" s="551"/>
      <c r="O571" s="551"/>
      <c r="P571" s="551"/>
      <c r="Q571" s="551"/>
      <c r="R571" s="551"/>
      <c r="S571" s="551"/>
      <c r="T571" s="551"/>
      <c r="U571" s="551"/>
      <c r="V571" s="551"/>
      <c r="W571" s="551"/>
      <c r="X571" s="551"/>
      <c r="Y571" s="551"/>
      <c r="Z571" s="551"/>
      <c r="AA571" s="551"/>
      <c r="AB571" s="551"/>
      <c r="AC571" s="551"/>
      <c r="AD571" s="551"/>
      <c r="AE571" s="551"/>
      <c r="AF571" s="551"/>
      <c r="AG571" s="551"/>
      <c r="AH571" s="551"/>
      <c r="AI571" s="551"/>
      <c r="AJ571" s="551"/>
      <c r="AK571" s="551"/>
      <c r="AL571" s="551"/>
      <c r="AM571" s="551"/>
      <c r="AN571" s="551"/>
      <c r="AO571" s="551"/>
      <c r="AP571" s="551"/>
      <c r="AQ571" s="551"/>
      <c r="AR571" s="551"/>
      <c r="AS571" s="551"/>
      <c r="AT571" s="551"/>
      <c r="AU571" s="551"/>
      <c r="AV571" s="551"/>
      <c r="AW571" s="551"/>
      <c r="AX571" s="551"/>
      <c r="AY571" s="551"/>
      <c r="AZ571" s="551"/>
      <c r="BA571" s="551"/>
      <c r="BB571" s="551"/>
      <c r="BC571" s="551"/>
      <c r="BD571" s="551"/>
      <c r="BE571" s="551"/>
      <c r="BF571" s="551"/>
    </row>
    <row r="572" spans="1:58" ht="12.75" customHeight="1">
      <c r="A572" s="551"/>
      <c r="B572" s="551"/>
      <c r="C572" s="551"/>
      <c r="D572" s="551"/>
      <c r="E572" s="551"/>
      <c r="F572" s="551"/>
      <c r="G572" s="551"/>
      <c r="H572" s="551"/>
      <c r="I572" s="551"/>
      <c r="J572" s="551"/>
      <c r="K572" s="551"/>
      <c r="L572" s="551"/>
      <c r="M572" s="551"/>
      <c r="N572" s="551"/>
      <c r="O572" s="551"/>
      <c r="P572" s="551"/>
      <c r="Q572" s="551"/>
      <c r="R572" s="551"/>
      <c r="S572" s="551"/>
      <c r="T572" s="551"/>
      <c r="U572" s="551"/>
      <c r="V572" s="551"/>
      <c r="W572" s="551"/>
      <c r="X572" s="551"/>
      <c r="Y572" s="551"/>
      <c r="Z572" s="551"/>
      <c r="AA572" s="551"/>
      <c r="AB572" s="551"/>
      <c r="AC572" s="551"/>
      <c r="AD572" s="551"/>
      <c r="AE572" s="551"/>
      <c r="AF572" s="551"/>
      <c r="AG572" s="551"/>
      <c r="AH572" s="551"/>
      <c r="AI572" s="551"/>
      <c r="AJ572" s="551"/>
      <c r="AK572" s="551"/>
      <c r="AL572" s="551"/>
      <c r="AM572" s="551"/>
      <c r="AN572" s="551"/>
      <c r="AO572" s="551"/>
      <c r="AP572" s="551"/>
      <c r="AQ572" s="551"/>
      <c r="AR572" s="551"/>
      <c r="AS572" s="551"/>
      <c r="AT572" s="551"/>
      <c r="AU572" s="551"/>
      <c r="AV572" s="551"/>
      <c r="AW572" s="551"/>
      <c r="AX572" s="551"/>
      <c r="AY572" s="551"/>
      <c r="AZ572" s="551"/>
      <c r="BA572" s="551"/>
      <c r="BB572" s="551"/>
      <c r="BC572" s="551"/>
      <c r="BD572" s="551"/>
      <c r="BE572" s="551"/>
      <c r="BF572" s="551"/>
    </row>
    <row r="573" spans="1:58" ht="12.75" customHeight="1">
      <c r="A573" s="551"/>
      <c r="B573" s="551"/>
      <c r="C573" s="551"/>
      <c r="D573" s="551"/>
      <c r="E573" s="551"/>
      <c r="F573" s="551"/>
      <c r="G573" s="551"/>
      <c r="H573" s="551"/>
      <c r="I573" s="551"/>
      <c r="J573" s="551"/>
      <c r="K573" s="551"/>
      <c r="L573" s="551"/>
      <c r="M573" s="551"/>
      <c r="N573" s="551"/>
      <c r="O573" s="551"/>
      <c r="P573" s="551"/>
      <c r="Q573" s="551"/>
      <c r="R573" s="551"/>
      <c r="S573" s="551"/>
      <c r="T573" s="551"/>
      <c r="U573" s="551"/>
      <c r="V573" s="551"/>
      <c r="W573" s="551"/>
      <c r="X573" s="551"/>
      <c r="Y573" s="551"/>
      <c r="Z573" s="551"/>
      <c r="AA573" s="551"/>
      <c r="AB573" s="551"/>
      <c r="AC573" s="551"/>
      <c r="AD573" s="551"/>
      <c r="AE573" s="551"/>
      <c r="AF573" s="551"/>
      <c r="AG573" s="551"/>
      <c r="AH573" s="551"/>
      <c r="AI573" s="551"/>
      <c r="AJ573" s="551"/>
      <c r="AK573" s="551"/>
      <c r="AL573" s="551"/>
      <c r="AM573" s="551"/>
      <c r="AN573" s="551"/>
      <c r="AO573" s="551"/>
      <c r="AP573" s="551"/>
      <c r="AQ573" s="551"/>
      <c r="AR573" s="551"/>
      <c r="AS573" s="551"/>
      <c r="AT573" s="551"/>
      <c r="AU573" s="551"/>
      <c r="AV573" s="551"/>
      <c r="AW573" s="551"/>
      <c r="AX573" s="551"/>
      <c r="AY573" s="551"/>
      <c r="AZ573" s="551"/>
      <c r="BA573" s="551"/>
      <c r="BB573" s="551"/>
      <c r="BC573" s="551"/>
      <c r="BD573" s="551"/>
      <c r="BE573" s="551"/>
      <c r="BF573" s="551"/>
    </row>
    <row r="574" spans="1:58" ht="12.75" customHeight="1">
      <c r="A574" s="551"/>
      <c r="B574" s="551"/>
      <c r="C574" s="551"/>
      <c r="D574" s="551"/>
      <c r="E574" s="551"/>
      <c r="F574" s="551"/>
      <c r="G574" s="551"/>
      <c r="H574" s="551"/>
      <c r="I574" s="551"/>
      <c r="J574" s="551"/>
      <c r="K574" s="551"/>
      <c r="L574" s="551"/>
      <c r="M574" s="551"/>
      <c r="N574" s="551"/>
      <c r="O574" s="551"/>
      <c r="P574" s="551"/>
      <c r="Q574" s="551"/>
      <c r="R574" s="551"/>
      <c r="S574" s="551"/>
      <c r="T574" s="551"/>
      <c r="U574" s="551"/>
      <c r="V574" s="551"/>
      <c r="W574" s="551"/>
      <c r="X574" s="551"/>
      <c r="Y574" s="551"/>
      <c r="Z574" s="551"/>
      <c r="AA574" s="551"/>
      <c r="AB574" s="551"/>
      <c r="AC574" s="551"/>
      <c r="AD574" s="551"/>
      <c r="AE574" s="551"/>
      <c r="AF574" s="551"/>
      <c r="AG574" s="551"/>
      <c r="AH574" s="551"/>
      <c r="AI574" s="551"/>
      <c r="AJ574" s="551"/>
      <c r="AK574" s="551"/>
      <c r="AL574" s="551"/>
      <c r="AM574" s="551"/>
      <c r="AN574" s="551"/>
      <c r="AO574" s="551"/>
      <c r="AP574" s="551"/>
      <c r="AQ574" s="551"/>
      <c r="AR574" s="551"/>
      <c r="AS574" s="551"/>
      <c r="AT574" s="551"/>
      <c r="AU574" s="551"/>
      <c r="AV574" s="551"/>
      <c r="AW574" s="551"/>
      <c r="AX574" s="551"/>
      <c r="AY574" s="551"/>
      <c r="AZ574" s="551"/>
      <c r="BA574" s="551"/>
      <c r="BB574" s="551"/>
      <c r="BC574" s="551"/>
      <c r="BD574" s="551"/>
      <c r="BE574" s="551"/>
      <c r="BF574" s="551"/>
    </row>
    <row r="575" spans="1:58" ht="12.75" customHeight="1">
      <c r="A575" s="551"/>
      <c r="B575" s="551"/>
      <c r="C575" s="551"/>
      <c r="D575" s="551"/>
      <c r="E575" s="551"/>
      <c r="F575" s="551"/>
      <c r="G575" s="551"/>
      <c r="H575" s="551"/>
      <c r="I575" s="551"/>
      <c r="J575" s="551"/>
      <c r="K575" s="551"/>
      <c r="L575" s="551"/>
      <c r="M575" s="551"/>
      <c r="N575" s="551"/>
      <c r="O575" s="551"/>
      <c r="P575" s="551"/>
      <c r="Q575" s="551"/>
      <c r="R575" s="551"/>
      <c r="S575" s="551"/>
      <c r="T575" s="551"/>
      <c r="U575" s="551"/>
      <c r="V575" s="551"/>
      <c r="W575" s="551"/>
      <c r="X575" s="551"/>
      <c r="Y575" s="551"/>
      <c r="Z575" s="551"/>
      <c r="AA575" s="551"/>
      <c r="AB575" s="551"/>
      <c r="AC575" s="551"/>
      <c r="AD575" s="551"/>
      <c r="AE575" s="551"/>
      <c r="AF575" s="551"/>
      <c r="AG575" s="551"/>
      <c r="AH575" s="551"/>
      <c r="AI575" s="551"/>
      <c r="AJ575" s="551"/>
      <c r="AK575" s="551"/>
      <c r="AL575" s="551"/>
      <c r="AM575" s="551"/>
      <c r="AN575" s="551"/>
      <c r="AO575" s="551"/>
      <c r="AP575" s="551"/>
      <c r="AQ575" s="551"/>
      <c r="AR575" s="551"/>
      <c r="AS575" s="551"/>
      <c r="AT575" s="551"/>
      <c r="AU575" s="551"/>
      <c r="AV575" s="551"/>
      <c r="AW575" s="551"/>
      <c r="AX575" s="551"/>
      <c r="AY575" s="551"/>
      <c r="AZ575" s="551"/>
      <c r="BA575" s="551"/>
      <c r="BB575" s="551"/>
      <c r="BC575" s="551"/>
      <c r="BD575" s="551"/>
      <c r="BE575" s="551"/>
      <c r="BF575" s="551"/>
    </row>
    <row r="576" spans="1:58" ht="12.75" customHeight="1">
      <c r="A576" s="551"/>
      <c r="B576" s="551"/>
      <c r="C576" s="551"/>
      <c r="D576" s="551"/>
      <c r="E576" s="551"/>
      <c r="F576" s="551"/>
      <c r="G576" s="551"/>
      <c r="H576" s="551"/>
      <c r="I576" s="551"/>
      <c r="J576" s="551"/>
      <c r="K576" s="551"/>
      <c r="L576" s="551"/>
      <c r="M576" s="551"/>
      <c r="N576" s="551"/>
      <c r="O576" s="551"/>
      <c r="P576" s="551"/>
      <c r="Q576" s="551"/>
      <c r="R576" s="551"/>
      <c r="S576" s="551"/>
      <c r="T576" s="551"/>
      <c r="U576" s="551"/>
      <c r="V576" s="551"/>
      <c r="W576" s="551"/>
      <c r="X576" s="551"/>
      <c r="Y576" s="551"/>
      <c r="Z576" s="551"/>
      <c r="AA576" s="551"/>
      <c r="AB576" s="551"/>
      <c r="AC576" s="551"/>
      <c r="AD576" s="551"/>
      <c r="AE576" s="551"/>
      <c r="AF576" s="551"/>
      <c r="AG576" s="551"/>
      <c r="AH576" s="551"/>
      <c r="AI576" s="551"/>
      <c r="AJ576" s="551"/>
      <c r="AK576" s="551"/>
      <c r="AL576" s="551"/>
      <c r="AM576" s="551"/>
      <c r="AN576" s="551"/>
      <c r="AO576" s="551"/>
      <c r="AP576" s="551"/>
      <c r="AQ576" s="551"/>
      <c r="AR576" s="551"/>
      <c r="AS576" s="551"/>
      <c r="AT576" s="551"/>
      <c r="AU576" s="551"/>
      <c r="AV576" s="551"/>
      <c r="AW576" s="551"/>
      <c r="AX576" s="551"/>
      <c r="AY576" s="551"/>
      <c r="AZ576" s="551"/>
      <c r="BA576" s="551"/>
      <c r="BB576" s="551"/>
      <c r="BC576" s="551"/>
      <c r="BD576" s="551"/>
      <c r="BE576" s="551"/>
      <c r="BF576" s="551"/>
    </row>
    <row r="577" spans="1:58" ht="12.75" customHeight="1">
      <c r="A577" s="551"/>
      <c r="B577" s="551"/>
      <c r="C577" s="551"/>
      <c r="D577" s="551"/>
      <c r="E577" s="551"/>
      <c r="F577" s="551"/>
      <c r="G577" s="551"/>
      <c r="H577" s="551"/>
      <c r="I577" s="551"/>
      <c r="J577" s="551"/>
      <c r="K577" s="551"/>
      <c r="L577" s="551"/>
      <c r="M577" s="551"/>
      <c r="N577" s="551"/>
      <c r="O577" s="551"/>
      <c r="P577" s="551"/>
      <c r="Q577" s="551"/>
      <c r="R577" s="551"/>
      <c r="S577" s="551"/>
      <c r="T577" s="551"/>
      <c r="U577" s="551"/>
      <c r="V577" s="551"/>
      <c r="W577" s="551"/>
      <c r="X577" s="551"/>
      <c r="Y577" s="551"/>
      <c r="Z577" s="551"/>
      <c r="AA577" s="551"/>
      <c r="AB577" s="551"/>
      <c r="AC577" s="551"/>
      <c r="AD577" s="551"/>
      <c r="AE577" s="551"/>
      <c r="AF577" s="551"/>
      <c r="AG577" s="551"/>
      <c r="AH577" s="551"/>
      <c r="AI577" s="551"/>
      <c r="AJ577" s="551"/>
      <c r="AK577" s="551"/>
      <c r="AL577" s="551"/>
      <c r="AM577" s="551"/>
      <c r="AN577" s="551"/>
      <c r="AO577" s="551"/>
      <c r="AP577" s="551"/>
      <c r="AQ577" s="551"/>
      <c r="AR577" s="551"/>
      <c r="AS577" s="551"/>
      <c r="AT577" s="551"/>
      <c r="AU577" s="551"/>
      <c r="AV577" s="551"/>
      <c r="AW577" s="551"/>
      <c r="AX577" s="551"/>
      <c r="AY577" s="551"/>
      <c r="AZ577" s="551"/>
      <c r="BA577" s="551"/>
      <c r="BB577" s="551"/>
      <c r="BC577" s="551"/>
      <c r="BD577" s="551"/>
      <c r="BE577" s="551"/>
      <c r="BF577" s="551"/>
    </row>
    <row r="578" spans="1:58" ht="12.75" customHeight="1">
      <c r="A578" s="551"/>
      <c r="B578" s="551"/>
      <c r="C578" s="551"/>
      <c r="D578" s="551"/>
      <c r="E578" s="551"/>
      <c r="F578" s="551"/>
      <c r="G578" s="551"/>
      <c r="H578" s="551"/>
      <c r="I578" s="551"/>
      <c r="J578" s="551"/>
      <c r="K578" s="551"/>
      <c r="L578" s="551"/>
      <c r="M578" s="551"/>
      <c r="N578" s="551"/>
      <c r="O578" s="551"/>
      <c r="P578" s="551"/>
      <c r="Q578" s="551"/>
      <c r="R578" s="551"/>
      <c r="S578" s="551"/>
      <c r="T578" s="551"/>
      <c r="U578" s="551"/>
      <c r="V578" s="551"/>
      <c r="W578" s="551"/>
      <c r="X578" s="551"/>
      <c r="Y578" s="551"/>
      <c r="Z578" s="551"/>
      <c r="AA578" s="551"/>
      <c r="AB578" s="551"/>
      <c r="AC578" s="551"/>
      <c r="AD578" s="551"/>
      <c r="AE578" s="551"/>
      <c r="AF578" s="551"/>
      <c r="AG578" s="551"/>
      <c r="AH578" s="551"/>
      <c r="AI578" s="551"/>
      <c r="AJ578" s="551"/>
      <c r="AK578" s="551"/>
      <c r="AL578" s="551"/>
      <c r="AM578" s="551"/>
      <c r="AN578" s="551"/>
      <c r="AO578" s="551"/>
      <c r="AP578" s="551"/>
      <c r="AQ578" s="551"/>
      <c r="AR578" s="551"/>
      <c r="AS578" s="551"/>
      <c r="AT578" s="551"/>
      <c r="AU578" s="551"/>
      <c r="AV578" s="551"/>
      <c r="AW578" s="551"/>
      <c r="AX578" s="551"/>
      <c r="AY578" s="551"/>
      <c r="AZ578" s="551"/>
      <c r="BA578" s="551"/>
      <c r="BB578" s="551"/>
      <c r="BC578" s="551"/>
      <c r="BD578" s="551"/>
      <c r="BE578" s="551"/>
      <c r="BF578" s="551"/>
    </row>
    <row r="579" spans="1:58" ht="12.75" customHeight="1">
      <c r="A579" s="551"/>
      <c r="B579" s="551"/>
      <c r="C579" s="551"/>
      <c r="D579" s="551"/>
      <c r="E579" s="551"/>
      <c r="F579" s="551"/>
      <c r="G579" s="551"/>
      <c r="H579" s="551"/>
      <c r="I579" s="551"/>
      <c r="J579" s="551"/>
      <c r="K579" s="551"/>
      <c r="L579" s="551"/>
      <c r="M579" s="551"/>
      <c r="N579" s="551"/>
      <c r="O579" s="551"/>
      <c r="P579" s="551"/>
      <c r="Q579" s="551"/>
      <c r="R579" s="551"/>
      <c r="S579" s="551"/>
      <c r="T579" s="551"/>
      <c r="U579" s="551"/>
      <c r="V579" s="551"/>
      <c r="W579" s="551"/>
      <c r="X579" s="551"/>
      <c r="Y579" s="551"/>
      <c r="Z579" s="551"/>
      <c r="AA579" s="551"/>
      <c r="AB579" s="551"/>
      <c r="AC579" s="551"/>
      <c r="AD579" s="551"/>
      <c r="AE579" s="551"/>
      <c r="AF579" s="551"/>
      <c r="AG579" s="551"/>
      <c r="AH579" s="551"/>
      <c r="AI579" s="551"/>
      <c r="AJ579" s="551"/>
      <c r="AK579" s="551"/>
      <c r="AL579" s="551"/>
      <c r="AM579" s="551"/>
      <c r="AN579" s="551"/>
      <c r="AO579" s="551"/>
      <c r="AP579" s="551"/>
      <c r="AQ579" s="551"/>
      <c r="AR579" s="551"/>
      <c r="AS579" s="551"/>
      <c r="AT579" s="551"/>
      <c r="AU579" s="551"/>
      <c r="AV579" s="551"/>
      <c r="AW579" s="551"/>
      <c r="AX579" s="551"/>
      <c r="AY579" s="551"/>
      <c r="AZ579" s="551"/>
      <c r="BA579" s="551"/>
      <c r="BB579" s="551"/>
      <c r="BC579" s="551"/>
      <c r="BD579" s="551"/>
      <c r="BE579" s="551"/>
      <c r="BF579" s="551"/>
    </row>
    <row r="580" spans="1:58" ht="12.75" customHeight="1">
      <c r="A580" s="551"/>
      <c r="B580" s="551"/>
      <c r="C580" s="551"/>
      <c r="D580" s="551"/>
      <c r="E580" s="551"/>
      <c r="F580" s="551"/>
      <c r="G580" s="551"/>
      <c r="H580" s="551"/>
      <c r="I580" s="551"/>
      <c r="J580" s="551"/>
      <c r="K580" s="551"/>
      <c r="L580" s="551"/>
      <c r="M580" s="551"/>
      <c r="N580" s="551"/>
      <c r="O580" s="551"/>
      <c r="P580" s="551"/>
      <c r="Q580" s="551"/>
      <c r="R580" s="551"/>
      <c r="S580" s="551"/>
      <c r="T580" s="551"/>
      <c r="U580" s="551"/>
      <c r="V580" s="551"/>
      <c r="W580" s="551"/>
      <c r="X580" s="551"/>
      <c r="Y580" s="551"/>
      <c r="Z580" s="551"/>
      <c r="AA580" s="551"/>
      <c r="AB580" s="551"/>
      <c r="AC580" s="551"/>
      <c r="AD580" s="551"/>
      <c r="AE580" s="551"/>
      <c r="AF580" s="551"/>
      <c r="AG580" s="551"/>
      <c r="AH580" s="551"/>
      <c r="AI580" s="551"/>
      <c r="AJ580" s="551"/>
      <c r="AK580" s="551"/>
      <c r="AL580" s="551"/>
      <c r="AM580" s="551"/>
      <c r="AN580" s="551"/>
      <c r="AO580" s="551"/>
      <c r="AP580" s="551"/>
      <c r="AQ580" s="551"/>
      <c r="AR580" s="551"/>
      <c r="AS580" s="551"/>
      <c r="AT580" s="551"/>
      <c r="AU580" s="551"/>
      <c r="AV580" s="551"/>
      <c r="AW580" s="551"/>
      <c r="AX580" s="551"/>
      <c r="AY580" s="551"/>
      <c r="AZ580" s="551"/>
      <c r="BA580" s="551"/>
      <c r="BB580" s="551"/>
      <c r="BC580" s="551"/>
      <c r="BD580" s="551"/>
      <c r="BE580" s="551"/>
      <c r="BF580" s="551"/>
    </row>
    <row r="581" spans="1:58" ht="12.75" customHeight="1">
      <c r="A581" s="551"/>
      <c r="B581" s="551"/>
      <c r="C581" s="551"/>
      <c r="D581" s="551"/>
      <c r="E581" s="551"/>
      <c r="F581" s="551"/>
      <c r="G581" s="551"/>
      <c r="H581" s="551"/>
      <c r="I581" s="551"/>
      <c r="J581" s="551"/>
      <c r="K581" s="551"/>
      <c r="L581" s="551"/>
      <c r="M581" s="551"/>
      <c r="N581" s="551"/>
      <c r="O581" s="551"/>
      <c r="P581" s="551"/>
      <c r="Q581" s="551"/>
      <c r="R581" s="551"/>
      <c r="S581" s="551"/>
      <c r="T581" s="551"/>
      <c r="U581" s="551"/>
      <c r="V581" s="551"/>
      <c r="W581" s="551"/>
      <c r="X581" s="551"/>
      <c r="Y581" s="551"/>
      <c r="Z581" s="551"/>
      <c r="AA581" s="551"/>
      <c r="AB581" s="551"/>
      <c r="AC581" s="551"/>
      <c r="AD581" s="551"/>
      <c r="AE581" s="551"/>
      <c r="AF581" s="551"/>
      <c r="AG581" s="551"/>
      <c r="AH581" s="551"/>
      <c r="AI581" s="551"/>
      <c r="AJ581" s="551"/>
      <c r="AK581" s="551"/>
      <c r="AL581" s="551"/>
      <c r="AM581" s="551"/>
      <c r="AN581" s="551"/>
      <c r="AO581" s="551"/>
      <c r="AP581" s="551"/>
      <c r="AQ581" s="551"/>
      <c r="AR581" s="551"/>
      <c r="AS581" s="551"/>
      <c r="AT581" s="551"/>
      <c r="AU581" s="551"/>
      <c r="AV581" s="551"/>
      <c r="AW581" s="551"/>
      <c r="AX581" s="551"/>
      <c r="AY581" s="551"/>
      <c r="AZ581" s="551"/>
      <c r="BA581" s="551"/>
      <c r="BB581" s="551"/>
      <c r="BC581" s="551"/>
      <c r="BD581" s="551"/>
      <c r="BE581" s="551"/>
      <c r="BF581" s="551"/>
    </row>
    <row r="582" spans="1:58" ht="12.75" customHeight="1">
      <c r="A582" s="551"/>
      <c r="B582" s="551"/>
      <c r="C582" s="551"/>
      <c r="D582" s="551"/>
      <c r="E582" s="551"/>
      <c r="F582" s="551"/>
      <c r="G582" s="551"/>
      <c r="H582" s="551"/>
      <c r="I582" s="551"/>
      <c r="J582" s="551"/>
      <c r="K582" s="551"/>
      <c r="L582" s="551"/>
      <c r="M582" s="551"/>
      <c r="N582" s="551"/>
      <c r="O582" s="551"/>
      <c r="P582" s="551"/>
      <c r="Q582" s="551"/>
      <c r="R582" s="551"/>
      <c r="S582" s="551"/>
      <c r="T582" s="551"/>
      <c r="U582" s="551"/>
      <c r="V582" s="551"/>
      <c r="W582" s="551"/>
      <c r="X582" s="551"/>
      <c r="Y582" s="551"/>
      <c r="Z582" s="551"/>
      <c r="AA582" s="551"/>
      <c r="AB582" s="551"/>
      <c r="AC582" s="551"/>
      <c r="AD582" s="551"/>
      <c r="AE582" s="551"/>
      <c r="AF582" s="551"/>
      <c r="AG582" s="551"/>
      <c r="AH582" s="551"/>
      <c r="AI582" s="551"/>
      <c r="AJ582" s="551"/>
      <c r="AK582" s="551"/>
      <c r="AL582" s="551"/>
      <c r="AM582" s="551"/>
      <c r="AN582" s="551"/>
      <c r="AO582" s="551"/>
      <c r="AP582" s="551"/>
      <c r="AQ582" s="551"/>
      <c r="AR582" s="551"/>
      <c r="AS582" s="551"/>
      <c r="AT582" s="551"/>
      <c r="AU582" s="551"/>
      <c r="AV582" s="551"/>
      <c r="AW582" s="551"/>
      <c r="AX582" s="551"/>
      <c r="AY582" s="551"/>
      <c r="AZ582" s="551"/>
      <c r="BA582" s="551"/>
      <c r="BB582" s="551"/>
      <c r="BC582" s="551"/>
      <c r="BD582" s="551"/>
      <c r="BE582" s="551"/>
      <c r="BF582" s="551"/>
    </row>
    <row r="583" spans="1:58" ht="12.75" customHeight="1">
      <c r="A583" s="551"/>
      <c r="B583" s="551"/>
      <c r="C583" s="551"/>
      <c r="D583" s="551"/>
      <c r="E583" s="551"/>
      <c r="F583" s="551"/>
      <c r="G583" s="551"/>
      <c r="H583" s="551"/>
      <c r="I583" s="551"/>
      <c r="J583" s="551"/>
      <c r="K583" s="551"/>
      <c r="L583" s="551"/>
      <c r="M583" s="551"/>
      <c r="N583" s="551"/>
      <c r="O583" s="551"/>
      <c r="P583" s="551"/>
      <c r="Q583" s="551"/>
      <c r="R583" s="551"/>
      <c r="S583" s="551"/>
      <c r="T583" s="551"/>
      <c r="U583" s="551"/>
      <c r="V583" s="551"/>
      <c r="W583" s="551"/>
      <c r="X583" s="551"/>
      <c r="Y583" s="551"/>
      <c r="Z583" s="551"/>
      <c r="AA583" s="551"/>
      <c r="AB583" s="551"/>
      <c r="AC583" s="551"/>
      <c r="AD583" s="551"/>
      <c r="AE583" s="551"/>
      <c r="AF583" s="551"/>
      <c r="AG583" s="551"/>
      <c r="AH583" s="551"/>
      <c r="AI583" s="551"/>
      <c r="AJ583" s="551"/>
      <c r="AK583" s="551"/>
      <c r="AL583" s="551"/>
      <c r="AM583" s="551"/>
      <c r="AN583" s="551"/>
      <c r="AO583" s="551"/>
      <c r="AP583" s="551"/>
      <c r="AQ583" s="551"/>
      <c r="AR583" s="551"/>
      <c r="AS583" s="551"/>
      <c r="AT583" s="551"/>
      <c r="AU583" s="551"/>
      <c r="AV583" s="551"/>
      <c r="AW583" s="551"/>
      <c r="AX583" s="551"/>
      <c r="AY583" s="551"/>
      <c r="AZ583" s="551"/>
      <c r="BA583" s="551"/>
      <c r="BB583" s="551"/>
      <c r="BC583" s="551"/>
      <c r="BD583" s="551"/>
      <c r="BE583" s="551"/>
      <c r="BF583" s="551"/>
    </row>
    <row r="584" spans="1:58" ht="12.75" customHeight="1">
      <c r="A584" s="551"/>
      <c r="B584" s="551"/>
      <c r="C584" s="551"/>
      <c r="D584" s="551"/>
      <c r="E584" s="551"/>
      <c r="F584" s="551"/>
      <c r="G584" s="551"/>
      <c r="H584" s="551"/>
      <c r="I584" s="551"/>
      <c r="J584" s="551"/>
      <c r="K584" s="551"/>
      <c r="L584" s="551"/>
      <c r="M584" s="551"/>
      <c r="N584" s="551"/>
      <c r="O584" s="551"/>
      <c r="P584" s="551"/>
      <c r="Q584" s="551"/>
      <c r="R584" s="551"/>
      <c r="S584" s="551"/>
      <c r="T584" s="551"/>
      <c r="U584" s="551"/>
      <c r="V584" s="551"/>
      <c r="W584" s="551"/>
      <c r="X584" s="551"/>
      <c r="Y584" s="551"/>
      <c r="Z584" s="551"/>
      <c r="AA584" s="551"/>
      <c r="AB584" s="551"/>
      <c r="AC584" s="551"/>
      <c r="AD584" s="551"/>
      <c r="AE584" s="551"/>
      <c r="AF584" s="551"/>
      <c r="AG584" s="551"/>
      <c r="AH584" s="551"/>
      <c r="AI584" s="551"/>
      <c r="AJ584" s="551"/>
      <c r="AK584" s="551"/>
      <c r="AL584" s="551"/>
      <c r="AM584" s="551"/>
      <c r="AN584" s="551"/>
      <c r="AO584" s="551"/>
      <c r="AP584" s="551"/>
      <c r="AQ584" s="551"/>
      <c r="AR584" s="551"/>
      <c r="AS584" s="551"/>
      <c r="AT584" s="551"/>
      <c r="AU584" s="551"/>
      <c r="AV584" s="551"/>
      <c r="AW584" s="551"/>
      <c r="AX584" s="551"/>
      <c r="AY584" s="551"/>
      <c r="AZ584" s="551"/>
      <c r="BA584" s="551"/>
      <c r="BB584" s="551"/>
      <c r="BC584" s="551"/>
      <c r="BD584" s="551"/>
      <c r="BE584" s="551"/>
      <c r="BF584" s="551"/>
    </row>
    <row r="585" spans="1:58" ht="12.75" customHeight="1">
      <c r="A585" s="551"/>
      <c r="B585" s="551"/>
      <c r="C585" s="551"/>
      <c r="D585" s="551"/>
      <c r="E585" s="551"/>
      <c r="F585" s="551"/>
      <c r="G585" s="551"/>
      <c r="H585" s="551"/>
      <c r="I585" s="551"/>
      <c r="J585" s="551"/>
      <c r="K585" s="551"/>
      <c r="L585" s="551"/>
      <c r="M585" s="551"/>
      <c r="N585" s="551"/>
      <c r="O585" s="551"/>
      <c r="P585" s="551"/>
      <c r="Q585" s="551"/>
      <c r="R585" s="551"/>
      <c r="S585" s="551"/>
      <c r="T585" s="551"/>
      <c r="U585" s="551"/>
      <c r="V585" s="551"/>
      <c r="W585" s="551"/>
      <c r="X585" s="551"/>
      <c r="Y585" s="551"/>
      <c r="Z585" s="551"/>
      <c r="AA585" s="551"/>
      <c r="AB585" s="551"/>
      <c r="AC585" s="551"/>
      <c r="AD585" s="551"/>
      <c r="AE585" s="551"/>
      <c r="AF585" s="551"/>
      <c r="AG585" s="551"/>
      <c r="AH585" s="551"/>
      <c r="AI585" s="551"/>
      <c r="AJ585" s="551"/>
      <c r="AK585" s="551"/>
      <c r="AL585" s="551"/>
      <c r="AM585" s="551"/>
      <c r="AN585" s="551"/>
      <c r="AO585" s="551"/>
      <c r="AP585" s="551"/>
      <c r="AQ585" s="551"/>
      <c r="AR585" s="551"/>
      <c r="AS585" s="551"/>
      <c r="AT585" s="551"/>
      <c r="AU585" s="551"/>
      <c r="AV585" s="551"/>
      <c r="AW585" s="551"/>
      <c r="AX585" s="551"/>
      <c r="AY585" s="551"/>
      <c r="AZ585" s="551"/>
      <c r="BA585" s="551"/>
      <c r="BB585" s="551"/>
      <c r="BC585" s="551"/>
      <c r="BD585" s="551"/>
      <c r="BE585" s="551"/>
      <c r="BF585" s="551"/>
    </row>
    <row r="586" spans="1:58" ht="12.75" customHeight="1">
      <c r="A586" s="551"/>
      <c r="B586" s="551"/>
      <c r="C586" s="551"/>
      <c r="D586" s="551"/>
      <c r="E586" s="551"/>
      <c r="F586" s="551"/>
      <c r="G586" s="551"/>
      <c r="H586" s="551"/>
      <c r="I586" s="551"/>
      <c r="J586" s="551"/>
      <c r="K586" s="551"/>
      <c r="L586" s="551"/>
      <c r="M586" s="551"/>
      <c r="N586" s="551"/>
      <c r="O586" s="551"/>
      <c r="P586" s="551"/>
      <c r="Q586" s="551"/>
      <c r="R586" s="551"/>
      <c r="S586" s="551"/>
      <c r="T586" s="551"/>
      <c r="U586" s="551"/>
      <c r="V586" s="551"/>
      <c r="W586" s="551"/>
      <c r="X586" s="551"/>
      <c r="Y586" s="551"/>
      <c r="Z586" s="551"/>
      <c r="AA586" s="551"/>
      <c r="AB586" s="551"/>
      <c r="AC586" s="551"/>
      <c r="AD586" s="551"/>
      <c r="AE586" s="551"/>
      <c r="AF586" s="551"/>
      <c r="AG586" s="551"/>
      <c r="AH586" s="551"/>
      <c r="AI586" s="551"/>
      <c r="AJ586" s="551"/>
      <c r="AK586" s="551"/>
      <c r="AL586" s="551"/>
      <c r="AM586" s="551"/>
      <c r="AN586" s="551"/>
      <c r="AO586" s="551"/>
      <c r="AP586" s="551"/>
      <c r="AQ586" s="551"/>
      <c r="AR586" s="551"/>
      <c r="AS586" s="551"/>
      <c r="AT586" s="551"/>
      <c r="AU586" s="551"/>
      <c r="AV586" s="551"/>
      <c r="AW586" s="551"/>
      <c r="AX586" s="551"/>
      <c r="AY586" s="551"/>
      <c r="AZ586" s="551"/>
      <c r="BA586" s="551"/>
      <c r="BB586" s="551"/>
      <c r="BC586" s="551"/>
      <c r="BD586" s="551"/>
      <c r="BE586" s="551"/>
      <c r="BF586" s="551"/>
    </row>
    <row r="587" spans="1:58" ht="12.75" customHeight="1">
      <c r="A587" s="551"/>
      <c r="B587" s="551"/>
      <c r="C587" s="551"/>
      <c r="D587" s="551"/>
      <c r="E587" s="551"/>
      <c r="F587" s="551"/>
      <c r="G587" s="551"/>
      <c r="H587" s="551"/>
      <c r="I587" s="551"/>
      <c r="J587" s="551"/>
      <c r="K587" s="551"/>
      <c r="L587" s="551"/>
      <c r="M587" s="551"/>
      <c r="N587" s="551"/>
      <c r="O587" s="551"/>
      <c r="P587" s="551"/>
      <c r="Q587" s="551"/>
      <c r="R587" s="551"/>
      <c r="S587" s="551"/>
      <c r="T587" s="551"/>
      <c r="U587" s="551"/>
      <c r="V587" s="551"/>
      <c r="W587" s="551"/>
      <c r="X587" s="551"/>
      <c r="Y587" s="551"/>
      <c r="Z587" s="551"/>
      <c r="AA587" s="551"/>
      <c r="AB587" s="551"/>
      <c r="AC587" s="551"/>
      <c r="AD587" s="551"/>
      <c r="AE587" s="551"/>
      <c r="AF587" s="551"/>
      <c r="AG587" s="551"/>
      <c r="AH587" s="551"/>
      <c r="AI587" s="551"/>
      <c r="AJ587" s="551"/>
      <c r="AK587" s="551"/>
      <c r="AL587" s="551"/>
      <c r="AM587" s="551"/>
      <c r="AN587" s="551"/>
      <c r="AO587" s="551"/>
      <c r="AP587" s="551"/>
      <c r="AQ587" s="551"/>
      <c r="AR587" s="551"/>
      <c r="AS587" s="551"/>
      <c r="AT587" s="551"/>
      <c r="AU587" s="551"/>
      <c r="AV587" s="551"/>
      <c r="AW587" s="551"/>
      <c r="AX587" s="551"/>
      <c r="AY587" s="551"/>
      <c r="AZ587" s="551"/>
      <c r="BA587" s="551"/>
      <c r="BB587" s="551"/>
      <c r="BC587" s="551"/>
      <c r="BD587" s="551"/>
      <c r="BE587" s="551"/>
      <c r="BF587" s="551"/>
    </row>
    <row r="588" spans="1:58" ht="12.75" customHeight="1">
      <c r="A588" s="551"/>
      <c r="B588" s="551"/>
      <c r="C588" s="551"/>
      <c r="D588" s="551"/>
      <c r="E588" s="551"/>
      <c r="F588" s="551"/>
      <c r="G588" s="551"/>
      <c r="H588" s="551"/>
      <c r="I588" s="551"/>
      <c r="J588" s="551"/>
      <c r="K588" s="551"/>
      <c r="L588" s="551"/>
      <c r="M588" s="551"/>
      <c r="N588" s="551"/>
      <c r="O588" s="551"/>
      <c r="P588" s="551"/>
      <c r="Q588" s="551"/>
      <c r="R588" s="551"/>
      <c r="S588" s="551"/>
      <c r="T588" s="551"/>
      <c r="U588" s="551"/>
      <c r="V588" s="551"/>
      <c r="W588" s="551"/>
      <c r="X588" s="551"/>
      <c r="Y588" s="551"/>
      <c r="Z588" s="551"/>
      <c r="AA588" s="551"/>
      <c r="AB588" s="551"/>
      <c r="AC588" s="551"/>
      <c r="AD588" s="551"/>
      <c r="AE588" s="551"/>
      <c r="AF588" s="551"/>
      <c r="AG588" s="551"/>
      <c r="AH588" s="551"/>
      <c r="AI588" s="551"/>
      <c r="AJ588" s="551"/>
      <c r="AK588" s="551"/>
      <c r="AL588" s="551"/>
      <c r="AM588" s="551"/>
      <c r="AN588" s="551"/>
      <c r="AO588" s="551"/>
      <c r="AP588" s="551"/>
      <c r="AQ588" s="551"/>
      <c r="AR588" s="551"/>
      <c r="AS588" s="551"/>
      <c r="AT588" s="551"/>
      <c r="AU588" s="551"/>
      <c r="AV588" s="551"/>
      <c r="AW588" s="551"/>
      <c r="AX588" s="551"/>
      <c r="AY588" s="551"/>
      <c r="AZ588" s="551"/>
      <c r="BA588" s="551"/>
      <c r="BB588" s="551"/>
      <c r="BC588" s="551"/>
      <c r="BD588" s="551"/>
      <c r="BE588" s="551"/>
      <c r="BF588" s="551"/>
    </row>
    <row r="589" spans="1:58" ht="12.75" customHeight="1">
      <c r="A589" s="551"/>
      <c r="B589" s="551"/>
      <c r="C589" s="551"/>
      <c r="D589" s="551"/>
      <c r="E589" s="551"/>
      <c r="F589" s="551"/>
      <c r="G589" s="551"/>
      <c r="H589" s="551"/>
      <c r="I589" s="551"/>
      <c r="J589" s="551"/>
      <c r="K589" s="551"/>
      <c r="L589" s="551"/>
      <c r="M589" s="551"/>
      <c r="N589" s="551"/>
      <c r="O589" s="551"/>
      <c r="P589" s="551"/>
      <c r="Q589" s="551"/>
      <c r="R589" s="551"/>
      <c r="S589" s="551"/>
      <c r="T589" s="551"/>
      <c r="U589" s="551"/>
      <c r="V589" s="551"/>
      <c r="W589" s="551"/>
      <c r="X589" s="551"/>
      <c r="Y589" s="551"/>
      <c r="Z589" s="551"/>
      <c r="AA589" s="551"/>
      <c r="AB589" s="551"/>
      <c r="AC589" s="551"/>
      <c r="AD589" s="551"/>
      <c r="AE589" s="551"/>
      <c r="AF589" s="551"/>
      <c r="AG589" s="551"/>
      <c r="AH589" s="551"/>
      <c r="AI589" s="551"/>
      <c r="AJ589" s="551"/>
      <c r="AK589" s="551"/>
      <c r="AL589" s="551"/>
      <c r="AM589" s="551"/>
      <c r="AN589" s="551"/>
      <c r="AO589" s="551"/>
      <c r="AP589" s="551"/>
      <c r="AQ589" s="551"/>
      <c r="AR589" s="551"/>
      <c r="AS589" s="551"/>
      <c r="AT589" s="551"/>
      <c r="AU589" s="551"/>
      <c r="AV589" s="551"/>
      <c r="AW589" s="551"/>
      <c r="AX589" s="551"/>
      <c r="AY589" s="551"/>
      <c r="AZ589" s="551"/>
      <c r="BA589" s="551"/>
      <c r="BB589" s="551"/>
      <c r="BC589" s="551"/>
      <c r="BD589" s="551"/>
      <c r="BE589" s="551"/>
      <c r="BF589" s="551"/>
    </row>
    <row r="590" spans="1:58" ht="12.75" customHeight="1">
      <c r="A590" s="551"/>
      <c r="B590" s="551"/>
      <c r="C590" s="551"/>
      <c r="D590" s="551"/>
      <c r="E590" s="551"/>
      <c r="F590" s="551"/>
      <c r="G590" s="551"/>
      <c r="H590" s="551"/>
      <c r="I590" s="551"/>
      <c r="J590" s="551"/>
      <c r="K590" s="551"/>
      <c r="L590" s="551"/>
      <c r="M590" s="551"/>
      <c r="N590" s="551"/>
      <c r="O590" s="551"/>
      <c r="P590" s="551"/>
      <c r="Q590" s="551"/>
      <c r="R590" s="551"/>
      <c r="S590" s="551"/>
      <c r="T590" s="551"/>
      <c r="U590" s="551"/>
      <c r="V590" s="551"/>
      <c r="W590" s="551"/>
      <c r="X590" s="551"/>
      <c r="Y590" s="551"/>
      <c r="Z590" s="551"/>
      <c r="AA590" s="551"/>
      <c r="AB590" s="551"/>
      <c r="AC590" s="551"/>
      <c r="AD590" s="551"/>
      <c r="AE590" s="551"/>
      <c r="AF590" s="551"/>
      <c r="AG590" s="551"/>
      <c r="AH590" s="551"/>
      <c r="AI590" s="551"/>
      <c r="AJ590" s="551"/>
      <c r="AK590" s="551"/>
      <c r="AL590" s="551"/>
      <c r="AM590" s="551"/>
      <c r="AN590" s="551"/>
      <c r="AO590" s="551"/>
      <c r="AP590" s="551"/>
      <c r="AQ590" s="551"/>
      <c r="AR590" s="551"/>
      <c r="AS590" s="551"/>
      <c r="AT590" s="551"/>
      <c r="AU590" s="551"/>
      <c r="AV590" s="551"/>
      <c r="AW590" s="551"/>
      <c r="AX590" s="551"/>
      <c r="AY590" s="551"/>
      <c r="AZ590" s="551"/>
      <c r="BA590" s="551"/>
      <c r="BB590" s="551"/>
      <c r="BC590" s="551"/>
      <c r="BD590" s="551"/>
      <c r="BE590" s="551"/>
      <c r="BF590" s="551"/>
    </row>
    <row r="591" spans="1:58" ht="12.75" customHeight="1">
      <c r="A591" s="551"/>
      <c r="B591" s="551"/>
      <c r="C591" s="551"/>
      <c r="D591" s="551"/>
      <c r="E591" s="551"/>
      <c r="F591" s="551"/>
      <c r="G591" s="551"/>
      <c r="H591" s="551"/>
      <c r="I591" s="551"/>
      <c r="J591" s="551"/>
      <c r="K591" s="551"/>
      <c r="L591" s="551"/>
      <c r="M591" s="551"/>
      <c r="N591" s="551"/>
      <c r="O591" s="551"/>
      <c r="P591" s="551"/>
      <c r="Q591" s="551"/>
      <c r="R591" s="551"/>
      <c r="S591" s="551"/>
      <c r="T591" s="551"/>
      <c r="U591" s="551"/>
      <c r="V591" s="551"/>
      <c r="W591" s="551"/>
      <c r="X591" s="551"/>
      <c r="Y591" s="551"/>
      <c r="Z591" s="551"/>
      <c r="AA591" s="551"/>
      <c r="AB591" s="551"/>
      <c r="AC591" s="551"/>
      <c r="AD591" s="551"/>
      <c r="AE591" s="551"/>
      <c r="AF591" s="551"/>
      <c r="AG591" s="551"/>
      <c r="AH591" s="551"/>
      <c r="AI591" s="551"/>
      <c r="AJ591" s="551"/>
      <c r="AK591" s="551"/>
      <c r="AL591" s="551"/>
      <c r="AM591" s="551"/>
      <c r="AN591" s="551"/>
      <c r="AO591" s="551"/>
      <c r="AP591" s="551"/>
      <c r="AQ591" s="551"/>
      <c r="AR591" s="551"/>
      <c r="AS591" s="551"/>
      <c r="AT591" s="551"/>
      <c r="AU591" s="551"/>
      <c r="AV591" s="551"/>
      <c r="AW591" s="551"/>
      <c r="AX591" s="551"/>
      <c r="AY591" s="551"/>
      <c r="AZ591" s="551"/>
      <c r="BA591" s="551"/>
      <c r="BB591" s="551"/>
      <c r="BC591" s="551"/>
      <c r="BD591" s="551"/>
      <c r="BE591" s="551"/>
      <c r="BF591" s="551"/>
    </row>
    <row r="592" spans="1:58" ht="12.75" customHeight="1">
      <c r="A592" s="551"/>
      <c r="B592" s="551"/>
      <c r="C592" s="551"/>
      <c r="D592" s="551"/>
      <c r="E592" s="551"/>
      <c r="F592" s="551"/>
      <c r="G592" s="551"/>
      <c r="H592" s="551"/>
      <c r="I592" s="551"/>
      <c r="J592" s="551"/>
      <c r="K592" s="551"/>
      <c r="L592" s="551"/>
      <c r="M592" s="551"/>
      <c r="N592" s="551"/>
      <c r="O592" s="551"/>
      <c r="P592" s="551"/>
      <c r="Q592" s="551"/>
      <c r="R592" s="551"/>
      <c r="S592" s="551"/>
      <c r="T592" s="551"/>
      <c r="U592" s="551"/>
      <c r="V592" s="551"/>
      <c r="W592" s="551"/>
      <c r="X592" s="551"/>
      <c r="Y592" s="551"/>
      <c r="Z592" s="551"/>
      <c r="AA592" s="551"/>
      <c r="AB592" s="551"/>
      <c r="AC592" s="551"/>
      <c r="AD592" s="551"/>
      <c r="AE592" s="551"/>
      <c r="AF592" s="551"/>
      <c r="AG592" s="551"/>
      <c r="AH592" s="551"/>
      <c r="AI592" s="551"/>
      <c r="AJ592" s="551"/>
      <c r="AK592" s="551"/>
      <c r="AL592" s="551"/>
      <c r="AM592" s="551"/>
      <c r="AN592" s="551"/>
      <c r="AO592" s="551"/>
      <c r="AP592" s="551"/>
      <c r="AQ592" s="551"/>
      <c r="AR592" s="551"/>
      <c r="AS592" s="551"/>
      <c r="AT592" s="551"/>
      <c r="AU592" s="551"/>
      <c r="AV592" s="551"/>
      <c r="AW592" s="551"/>
      <c r="AX592" s="551"/>
      <c r="AY592" s="551"/>
      <c r="AZ592" s="551"/>
      <c r="BA592" s="551"/>
      <c r="BB592" s="551"/>
      <c r="BC592" s="551"/>
      <c r="BD592" s="551"/>
      <c r="BE592" s="551"/>
      <c r="BF592" s="551"/>
    </row>
    <row r="593" spans="1:58" ht="12.75" customHeight="1">
      <c r="A593" s="551"/>
      <c r="B593" s="551"/>
      <c r="C593" s="551"/>
      <c r="D593" s="551"/>
      <c r="E593" s="551"/>
      <c r="F593" s="551"/>
      <c r="G593" s="551"/>
      <c r="H593" s="551"/>
      <c r="I593" s="551"/>
      <c r="J593" s="551"/>
      <c r="K593" s="551"/>
      <c r="L593" s="551"/>
      <c r="M593" s="551"/>
      <c r="N593" s="551"/>
      <c r="O593" s="551"/>
      <c r="P593" s="551"/>
      <c r="Q593" s="551"/>
      <c r="R593" s="551"/>
      <c r="S593" s="551"/>
      <c r="T593" s="551"/>
      <c r="U593" s="551"/>
      <c r="V593" s="551"/>
      <c r="W593" s="551"/>
      <c r="X593" s="551"/>
      <c r="Y593" s="551"/>
      <c r="Z593" s="551"/>
      <c r="AA593" s="551"/>
      <c r="AB593" s="551"/>
      <c r="AC593" s="551"/>
      <c r="AD593" s="551"/>
      <c r="AE593" s="551"/>
      <c r="AF593" s="551"/>
      <c r="AG593" s="551"/>
      <c r="AH593" s="551"/>
      <c r="AI593" s="551"/>
      <c r="AJ593" s="551"/>
      <c r="AK593" s="551"/>
      <c r="AL593" s="551"/>
      <c r="AM593" s="551"/>
      <c r="AN593" s="551"/>
      <c r="AO593" s="551"/>
      <c r="AP593" s="551"/>
      <c r="AQ593" s="551"/>
      <c r="AR593" s="551"/>
      <c r="AS593" s="551"/>
      <c r="AT593" s="551"/>
      <c r="AU593" s="551"/>
      <c r="AV593" s="551"/>
      <c r="AW593" s="551"/>
      <c r="AX593" s="551"/>
      <c r="AY593" s="551"/>
      <c r="AZ593" s="551"/>
      <c r="BA593" s="551"/>
      <c r="BB593" s="551"/>
      <c r="BC593" s="551"/>
      <c r="BD593" s="551"/>
      <c r="BE593" s="551"/>
      <c r="BF593" s="551"/>
    </row>
    <row r="594" spans="1:58" ht="12.75" customHeight="1">
      <c r="A594" s="551"/>
      <c r="B594" s="551"/>
      <c r="C594" s="551"/>
      <c r="D594" s="551"/>
      <c r="E594" s="551"/>
      <c r="F594" s="551"/>
      <c r="G594" s="551"/>
      <c r="H594" s="551"/>
      <c r="I594" s="551"/>
      <c r="J594" s="551"/>
      <c r="K594" s="551"/>
      <c r="L594" s="551"/>
      <c r="M594" s="551"/>
      <c r="N594" s="551"/>
      <c r="O594" s="551"/>
      <c r="P594" s="551"/>
      <c r="Q594" s="551"/>
      <c r="R594" s="551"/>
      <c r="S594" s="551"/>
      <c r="T594" s="551"/>
      <c r="U594" s="551"/>
      <c r="V594" s="551"/>
      <c r="W594" s="551"/>
      <c r="X594" s="551"/>
      <c r="Y594" s="551"/>
      <c r="Z594" s="551"/>
      <c r="AA594" s="551"/>
      <c r="AB594" s="551"/>
      <c r="AC594" s="551"/>
      <c r="AD594" s="551"/>
      <c r="AE594" s="551"/>
      <c r="AF594" s="551"/>
      <c r="AG594" s="551"/>
      <c r="AH594" s="551"/>
      <c r="AI594" s="551"/>
      <c r="AJ594" s="551"/>
      <c r="AK594" s="551"/>
      <c r="AL594" s="551"/>
      <c r="AM594" s="551"/>
      <c r="AN594" s="551"/>
      <c r="AO594" s="551"/>
      <c r="AP594" s="551"/>
      <c r="AQ594" s="551"/>
      <c r="AR594" s="551"/>
      <c r="AS594" s="551"/>
      <c r="AT594" s="551"/>
      <c r="AU594" s="551"/>
      <c r="AV594" s="551"/>
      <c r="AW594" s="551"/>
      <c r="AX594" s="551"/>
      <c r="AY594" s="551"/>
      <c r="AZ594" s="551"/>
      <c r="BA594" s="551"/>
      <c r="BB594" s="551"/>
      <c r="BC594" s="551"/>
      <c r="BD594" s="551"/>
      <c r="BE594" s="551"/>
      <c r="BF594" s="551"/>
    </row>
    <row r="595" spans="1:58" ht="12.75" customHeight="1">
      <c r="A595" s="551"/>
      <c r="B595" s="551"/>
      <c r="C595" s="551"/>
      <c r="D595" s="551"/>
      <c r="E595" s="551"/>
      <c r="F595" s="551"/>
      <c r="G595" s="551"/>
      <c r="H595" s="551"/>
      <c r="I595" s="551"/>
      <c r="J595" s="551"/>
      <c r="K595" s="551"/>
      <c r="L595" s="551"/>
      <c r="M595" s="551"/>
      <c r="N595" s="551"/>
      <c r="O595" s="551"/>
      <c r="P595" s="551"/>
      <c r="Q595" s="551"/>
      <c r="R595" s="551"/>
      <c r="S595" s="551"/>
      <c r="T595" s="551"/>
      <c r="U595" s="551"/>
      <c r="V595" s="551"/>
      <c r="W595" s="551"/>
      <c r="X595" s="551"/>
      <c r="Y595" s="551"/>
      <c r="Z595" s="551"/>
      <c r="AA595" s="551"/>
      <c r="AB595" s="551"/>
      <c r="AC595" s="551"/>
      <c r="AD595" s="551"/>
      <c r="AE595" s="551"/>
      <c r="AF595" s="551"/>
      <c r="AG595" s="551"/>
      <c r="AH595" s="551"/>
      <c r="AI595" s="551"/>
      <c r="AJ595" s="551"/>
      <c r="AK595" s="551"/>
      <c r="AL595" s="551"/>
      <c r="AM595" s="551"/>
      <c r="AN595" s="551"/>
      <c r="AO595" s="551"/>
      <c r="AP595" s="551"/>
      <c r="AQ595" s="551"/>
      <c r="AR595" s="551"/>
      <c r="AS595" s="551"/>
      <c r="AT595" s="551"/>
      <c r="AU595" s="551"/>
      <c r="AV595" s="551"/>
      <c r="AW595" s="551"/>
      <c r="AX595" s="551"/>
      <c r="AY595" s="551"/>
      <c r="AZ595" s="551"/>
      <c r="BA595" s="551"/>
      <c r="BB595" s="551"/>
      <c r="BC595" s="551"/>
      <c r="BD595" s="551"/>
      <c r="BE595" s="551"/>
      <c r="BF595" s="551"/>
    </row>
    <row r="596" spans="1:58" ht="12.75" customHeight="1">
      <c r="A596" s="551"/>
      <c r="B596" s="551"/>
      <c r="C596" s="551"/>
      <c r="D596" s="551"/>
      <c r="E596" s="551"/>
      <c r="F596" s="551"/>
      <c r="G596" s="551"/>
      <c r="H596" s="551"/>
      <c r="I596" s="551"/>
      <c r="J596" s="551"/>
      <c r="K596" s="551"/>
      <c r="L596" s="551"/>
      <c r="M596" s="551"/>
      <c r="N596" s="551"/>
      <c r="O596" s="551"/>
      <c r="P596" s="551"/>
      <c r="Q596" s="551"/>
      <c r="R596" s="551"/>
      <c r="S596" s="551"/>
      <c r="T596" s="551"/>
      <c r="U596" s="551"/>
      <c r="V596" s="551"/>
      <c r="W596" s="551"/>
      <c r="X596" s="551"/>
      <c r="Y596" s="551"/>
      <c r="Z596" s="551"/>
      <c r="AA596" s="551"/>
      <c r="AB596" s="551"/>
      <c r="AC596" s="551"/>
      <c r="AD596" s="551"/>
      <c r="AE596" s="551"/>
      <c r="AF596" s="551"/>
      <c r="AG596" s="551"/>
      <c r="AH596" s="551"/>
      <c r="AI596" s="551"/>
      <c r="AJ596" s="551"/>
      <c r="AK596" s="551"/>
      <c r="AL596" s="551"/>
      <c r="AM596" s="551"/>
      <c r="AN596" s="551"/>
      <c r="AO596" s="551"/>
      <c r="AP596" s="551"/>
      <c r="AQ596" s="551"/>
      <c r="AR596" s="551"/>
      <c r="AS596" s="551"/>
      <c r="AT596" s="551"/>
      <c r="AU596" s="551"/>
      <c r="AV596" s="551"/>
      <c r="AW596" s="551"/>
      <c r="AX596" s="551"/>
      <c r="AY596" s="551"/>
      <c r="AZ596" s="551"/>
      <c r="BA596" s="551"/>
      <c r="BB596" s="551"/>
      <c r="BC596" s="551"/>
      <c r="BD596" s="551"/>
      <c r="BE596" s="551"/>
      <c r="BF596" s="551"/>
    </row>
    <row r="597" spans="1:58" ht="12.75" customHeight="1">
      <c r="A597" s="551"/>
      <c r="B597" s="551"/>
      <c r="C597" s="551"/>
      <c r="D597" s="551"/>
      <c r="E597" s="551"/>
      <c r="F597" s="551"/>
      <c r="G597" s="551"/>
      <c r="H597" s="551"/>
      <c r="I597" s="551"/>
      <c r="J597" s="551"/>
      <c r="K597" s="551"/>
      <c r="L597" s="551"/>
      <c r="M597" s="551"/>
      <c r="N597" s="551"/>
      <c r="O597" s="551"/>
      <c r="P597" s="551"/>
      <c r="Q597" s="551"/>
      <c r="R597" s="551"/>
      <c r="S597" s="551"/>
      <c r="T597" s="551"/>
      <c r="U597" s="551"/>
      <c r="V597" s="551"/>
      <c r="W597" s="551"/>
      <c r="X597" s="551"/>
      <c r="Y597" s="551"/>
      <c r="Z597" s="551"/>
      <c r="AA597" s="551"/>
      <c r="AB597" s="551"/>
      <c r="AC597" s="551"/>
      <c r="AD597" s="551"/>
      <c r="AE597" s="551"/>
      <c r="AF597" s="551"/>
      <c r="AG597" s="551"/>
      <c r="AH597" s="551"/>
      <c r="AI597" s="551"/>
      <c r="AJ597" s="551"/>
      <c r="AK597" s="551"/>
      <c r="AL597" s="551"/>
      <c r="AM597" s="551"/>
      <c r="AN597" s="551"/>
      <c r="AO597" s="551"/>
      <c r="AP597" s="551"/>
      <c r="AQ597" s="551"/>
      <c r="AR597" s="551"/>
      <c r="AS597" s="551"/>
      <c r="AT597" s="551"/>
      <c r="AU597" s="551"/>
      <c r="AV597" s="551"/>
      <c r="AW597" s="551"/>
      <c r="AX597" s="551"/>
      <c r="AY597" s="551"/>
      <c r="AZ597" s="551"/>
      <c r="BA597" s="551"/>
      <c r="BB597" s="551"/>
      <c r="BC597" s="551"/>
      <c r="BD597" s="551"/>
      <c r="BE597" s="551"/>
      <c r="BF597" s="551"/>
    </row>
    <row r="598" spans="1:58" ht="12.75" customHeight="1">
      <c r="A598" s="551"/>
      <c r="B598" s="551"/>
      <c r="C598" s="551"/>
      <c r="D598" s="551"/>
      <c r="E598" s="551"/>
      <c r="F598" s="551"/>
      <c r="G598" s="551"/>
      <c r="H598" s="551"/>
      <c r="I598" s="551"/>
      <c r="J598" s="551"/>
      <c r="K598" s="551"/>
      <c r="L598" s="551"/>
      <c r="M598" s="551"/>
      <c r="N598" s="551"/>
      <c r="O598" s="551"/>
      <c r="P598" s="551"/>
      <c r="Q598" s="551"/>
      <c r="R598" s="551"/>
      <c r="S598" s="551"/>
      <c r="T598" s="551"/>
      <c r="U598" s="551"/>
      <c r="V598" s="551"/>
      <c r="W598" s="551"/>
      <c r="X598" s="551"/>
      <c r="Y598" s="551"/>
      <c r="Z598" s="551"/>
      <c r="AA598" s="551"/>
      <c r="AB598" s="551"/>
      <c r="AC598" s="551"/>
      <c r="AD598" s="551"/>
      <c r="AE598" s="551"/>
      <c r="AF598" s="551"/>
      <c r="AG598" s="551"/>
      <c r="AH598" s="551"/>
      <c r="AI598" s="551"/>
      <c r="AJ598" s="551"/>
      <c r="AK598" s="551"/>
      <c r="AL598" s="551"/>
      <c r="AM598" s="551"/>
      <c r="AN598" s="551"/>
      <c r="AO598" s="551"/>
      <c r="AP598" s="551"/>
      <c r="AQ598" s="551"/>
      <c r="AR598" s="551"/>
      <c r="AS598" s="551"/>
      <c r="AT598" s="551"/>
      <c r="AU598" s="551"/>
      <c r="AV598" s="551"/>
      <c r="AW598" s="551"/>
      <c r="AX598" s="551"/>
      <c r="AY598" s="551"/>
      <c r="AZ598" s="551"/>
      <c r="BA598" s="551"/>
      <c r="BB598" s="551"/>
      <c r="BC598" s="551"/>
      <c r="BD598" s="551"/>
      <c r="BE598" s="551"/>
      <c r="BF598" s="551"/>
    </row>
    <row r="599" spans="1:58" ht="12.75" customHeight="1">
      <c r="A599" s="551"/>
      <c r="B599" s="551"/>
      <c r="C599" s="551"/>
      <c r="D599" s="551"/>
      <c r="E599" s="551"/>
      <c r="F599" s="551"/>
      <c r="G599" s="551"/>
      <c r="H599" s="551"/>
      <c r="I599" s="551"/>
      <c r="J599" s="551"/>
      <c r="K599" s="551"/>
      <c r="L599" s="551"/>
      <c r="M599" s="551"/>
      <c r="N599" s="551"/>
      <c r="O599" s="551"/>
      <c r="P599" s="551"/>
      <c r="Q599" s="551"/>
      <c r="R599" s="551"/>
      <c r="S599" s="551"/>
      <c r="T599" s="551"/>
      <c r="U599" s="551"/>
      <c r="V599" s="551"/>
      <c r="W599" s="551"/>
      <c r="X599" s="551"/>
      <c r="Y599" s="551"/>
      <c r="Z599" s="551"/>
      <c r="AA599" s="551"/>
      <c r="AB599" s="551"/>
      <c r="AC599" s="551"/>
      <c r="AD599" s="551"/>
      <c r="AE599" s="551"/>
      <c r="AF599" s="551"/>
      <c r="AG599" s="551"/>
      <c r="AH599" s="551"/>
      <c r="AI599" s="551"/>
      <c r="AJ599" s="551"/>
      <c r="AK599" s="551"/>
      <c r="AL599" s="551"/>
      <c r="AM599" s="551"/>
      <c r="AN599" s="551"/>
      <c r="AO599" s="551"/>
      <c r="AP599" s="551"/>
      <c r="AQ599" s="551"/>
      <c r="AR599" s="551"/>
      <c r="AS599" s="551"/>
      <c r="AT599" s="551"/>
      <c r="AU599" s="551"/>
      <c r="AV599" s="551"/>
      <c r="AW599" s="551"/>
      <c r="AX599" s="551"/>
      <c r="AY599" s="551"/>
      <c r="AZ599" s="551"/>
      <c r="BA599" s="551"/>
      <c r="BB599" s="551"/>
      <c r="BC599" s="551"/>
      <c r="BD599" s="551"/>
      <c r="BE599" s="551"/>
      <c r="BF599" s="551"/>
    </row>
    <row r="600" spans="1:58" ht="12.75" customHeight="1">
      <c r="A600" s="551"/>
      <c r="B600" s="551"/>
      <c r="C600" s="551"/>
      <c r="D600" s="551"/>
      <c r="E600" s="551"/>
      <c r="F600" s="551"/>
      <c r="G600" s="551"/>
      <c r="H600" s="551"/>
      <c r="I600" s="551"/>
      <c r="J600" s="551"/>
      <c r="K600" s="551"/>
      <c r="L600" s="551"/>
      <c r="M600" s="551"/>
      <c r="N600" s="551"/>
      <c r="O600" s="551"/>
      <c r="P600" s="551"/>
      <c r="Q600" s="551"/>
      <c r="R600" s="551"/>
      <c r="S600" s="551"/>
      <c r="T600" s="551"/>
      <c r="U600" s="551"/>
      <c r="V600" s="551"/>
      <c r="W600" s="551"/>
      <c r="X600" s="551"/>
      <c r="Y600" s="551"/>
      <c r="Z600" s="551"/>
      <c r="AA600" s="551"/>
      <c r="AB600" s="551"/>
      <c r="AC600" s="551"/>
      <c r="AD600" s="551"/>
      <c r="AE600" s="551"/>
      <c r="AF600" s="551"/>
      <c r="AG600" s="551"/>
      <c r="AH600" s="551"/>
      <c r="AI600" s="551"/>
      <c r="AJ600" s="551"/>
      <c r="AK600" s="551"/>
      <c r="AL600" s="551"/>
      <c r="AM600" s="551"/>
      <c r="AN600" s="551"/>
      <c r="AO600" s="551"/>
      <c r="AP600" s="551"/>
      <c r="AQ600" s="551"/>
      <c r="AR600" s="551"/>
      <c r="AS600" s="551"/>
      <c r="AT600" s="551"/>
      <c r="AU600" s="551"/>
      <c r="AV600" s="551"/>
      <c r="AW600" s="551"/>
      <c r="AX600" s="551"/>
      <c r="AY600" s="551"/>
      <c r="AZ600" s="551"/>
      <c r="BA600" s="551"/>
      <c r="BB600" s="551"/>
      <c r="BC600" s="551"/>
      <c r="BD600" s="551"/>
      <c r="BE600" s="551"/>
      <c r="BF600" s="551"/>
    </row>
    <row r="601" spans="1:58" ht="12.75" customHeight="1">
      <c r="A601" s="551"/>
      <c r="B601" s="551"/>
      <c r="C601" s="551"/>
      <c r="D601" s="551"/>
      <c r="E601" s="551"/>
      <c r="F601" s="551"/>
      <c r="G601" s="551"/>
      <c r="H601" s="551"/>
      <c r="I601" s="551"/>
      <c r="J601" s="551"/>
      <c r="K601" s="551"/>
      <c r="L601" s="551"/>
      <c r="M601" s="551"/>
      <c r="N601" s="551"/>
      <c r="O601" s="551"/>
      <c r="P601" s="551"/>
      <c r="Q601" s="551"/>
      <c r="R601" s="551"/>
      <c r="S601" s="551"/>
      <c r="T601" s="551"/>
      <c r="U601" s="551"/>
      <c r="V601" s="551"/>
      <c r="W601" s="551"/>
      <c r="X601" s="551"/>
      <c r="Y601" s="551"/>
      <c r="Z601" s="551"/>
      <c r="AA601" s="551"/>
      <c r="AB601" s="551"/>
      <c r="AC601" s="551"/>
      <c r="AD601" s="551"/>
      <c r="AE601" s="551"/>
      <c r="AF601" s="551"/>
      <c r="AG601" s="551"/>
      <c r="AH601" s="551"/>
      <c r="AI601" s="551"/>
      <c r="AJ601" s="551"/>
      <c r="AK601" s="551"/>
      <c r="AL601" s="551"/>
      <c r="AM601" s="551"/>
      <c r="AN601" s="551"/>
      <c r="AO601" s="551"/>
      <c r="AP601" s="551"/>
      <c r="AQ601" s="551"/>
      <c r="AR601" s="551"/>
      <c r="AS601" s="551"/>
      <c r="AT601" s="551"/>
      <c r="AU601" s="551"/>
      <c r="AV601" s="551"/>
      <c r="AW601" s="551"/>
      <c r="AX601" s="551"/>
      <c r="AY601" s="551"/>
      <c r="AZ601" s="551"/>
      <c r="BA601" s="551"/>
      <c r="BB601" s="551"/>
      <c r="BC601" s="551"/>
      <c r="BD601" s="551"/>
      <c r="BE601" s="551"/>
      <c r="BF601" s="551"/>
    </row>
    <row r="602" spans="1:58" ht="12.75" customHeight="1">
      <c r="A602" s="551"/>
      <c r="B602" s="551"/>
      <c r="C602" s="551"/>
      <c r="D602" s="551"/>
      <c r="E602" s="551"/>
      <c r="F602" s="551"/>
      <c r="G602" s="551"/>
      <c r="H602" s="551"/>
      <c r="I602" s="551"/>
      <c r="J602" s="551"/>
      <c r="K602" s="551"/>
      <c r="L602" s="551"/>
      <c r="M602" s="551"/>
      <c r="N602" s="551"/>
      <c r="O602" s="551"/>
      <c r="P602" s="551"/>
      <c r="Q602" s="551"/>
      <c r="R602" s="551"/>
      <c r="S602" s="551"/>
      <c r="T602" s="551"/>
      <c r="U602" s="551"/>
      <c r="V602" s="551"/>
      <c r="W602" s="551"/>
      <c r="X602" s="551"/>
      <c r="Y602" s="551"/>
      <c r="Z602" s="551"/>
      <c r="AA602" s="551"/>
      <c r="AB602" s="551"/>
      <c r="AC602" s="551"/>
      <c r="AD602" s="551"/>
      <c r="AE602" s="551"/>
      <c r="AF602" s="551"/>
      <c r="AG602" s="551"/>
      <c r="AH602" s="551"/>
      <c r="AI602" s="551"/>
      <c r="AJ602" s="551"/>
      <c r="AK602" s="551"/>
      <c r="AL602" s="551"/>
      <c r="AM602" s="551"/>
      <c r="AN602" s="551"/>
      <c r="AO602" s="551"/>
      <c r="AP602" s="551"/>
      <c r="AQ602" s="551"/>
      <c r="AR602" s="551"/>
      <c r="AS602" s="551"/>
      <c r="AT602" s="551"/>
      <c r="AU602" s="551"/>
      <c r="AV602" s="551"/>
      <c r="AW602" s="551"/>
      <c r="AX602" s="551"/>
      <c r="AY602" s="551"/>
      <c r="AZ602" s="551"/>
      <c r="BA602" s="551"/>
      <c r="BB602" s="551"/>
      <c r="BC602" s="551"/>
      <c r="BD602" s="551"/>
      <c r="BE602" s="551"/>
      <c r="BF602" s="551"/>
    </row>
    <row r="603" spans="1:58" ht="12.75" customHeight="1">
      <c r="A603" s="551"/>
      <c r="B603" s="551"/>
      <c r="C603" s="551"/>
      <c r="D603" s="551"/>
      <c r="E603" s="551"/>
      <c r="F603" s="551"/>
      <c r="G603" s="551"/>
      <c r="H603" s="551"/>
      <c r="I603" s="551"/>
      <c r="J603" s="551"/>
      <c r="K603" s="551"/>
      <c r="L603" s="551"/>
      <c r="M603" s="551"/>
      <c r="N603" s="551"/>
      <c r="O603" s="551"/>
      <c r="P603" s="551"/>
      <c r="Q603" s="551"/>
      <c r="R603" s="551"/>
      <c r="S603" s="551"/>
      <c r="T603" s="551"/>
      <c r="U603" s="551"/>
      <c r="V603" s="551"/>
      <c r="W603" s="551"/>
      <c r="X603" s="551"/>
      <c r="Y603" s="551"/>
      <c r="Z603" s="551"/>
      <c r="AA603" s="551"/>
      <c r="AB603" s="551"/>
      <c r="AC603" s="551"/>
      <c r="AD603" s="551"/>
      <c r="AE603" s="551"/>
      <c r="AF603" s="551"/>
      <c r="AG603" s="551"/>
      <c r="AH603" s="551"/>
      <c r="AI603" s="551"/>
      <c r="AJ603" s="551"/>
      <c r="AK603" s="551"/>
      <c r="AL603" s="551"/>
      <c r="AM603" s="551"/>
      <c r="AN603" s="551"/>
      <c r="AO603" s="551"/>
      <c r="AP603" s="551"/>
      <c r="AQ603" s="551"/>
      <c r="AR603" s="551"/>
      <c r="AS603" s="551"/>
      <c r="AT603" s="551"/>
      <c r="AU603" s="551"/>
      <c r="AV603" s="551"/>
      <c r="AW603" s="551"/>
      <c r="AX603" s="551"/>
      <c r="AY603" s="551"/>
      <c r="AZ603" s="551"/>
      <c r="BA603" s="551"/>
      <c r="BB603" s="551"/>
      <c r="BC603" s="551"/>
      <c r="BD603" s="551"/>
      <c r="BE603" s="551"/>
      <c r="BF603" s="551"/>
    </row>
    <row r="604" spans="1:58" ht="12.75" customHeight="1">
      <c r="A604" s="551"/>
      <c r="B604" s="551"/>
      <c r="C604" s="551"/>
      <c r="D604" s="551"/>
      <c r="E604" s="551"/>
      <c r="F604" s="551"/>
      <c r="G604" s="551"/>
      <c r="H604" s="551"/>
      <c r="I604" s="551"/>
      <c r="J604" s="551"/>
      <c r="K604" s="551"/>
      <c r="L604" s="551"/>
      <c r="M604" s="551"/>
      <c r="N604" s="551"/>
      <c r="O604" s="551"/>
      <c r="P604" s="551"/>
      <c r="Q604" s="551"/>
      <c r="R604" s="551"/>
      <c r="S604" s="551"/>
      <c r="T604" s="551"/>
      <c r="U604" s="551"/>
      <c r="V604" s="551"/>
      <c r="W604" s="551"/>
      <c r="X604" s="551"/>
      <c r="Y604" s="551"/>
      <c r="Z604" s="551"/>
      <c r="AA604" s="551"/>
      <c r="AB604" s="551"/>
      <c r="AC604" s="551"/>
      <c r="AD604" s="551"/>
      <c r="AE604" s="551"/>
      <c r="AF604" s="551"/>
      <c r="AG604" s="551"/>
      <c r="AH604" s="551"/>
      <c r="AI604" s="551"/>
      <c r="AJ604" s="551"/>
      <c r="AK604" s="551"/>
      <c r="AL604" s="551"/>
      <c r="AM604" s="551"/>
      <c r="AN604" s="551"/>
      <c r="AO604" s="551"/>
      <c r="AP604" s="551"/>
      <c r="AQ604" s="551"/>
      <c r="AR604" s="551"/>
      <c r="AS604" s="551"/>
      <c r="AT604" s="551"/>
      <c r="AU604" s="551"/>
      <c r="AV604" s="551"/>
      <c r="AW604" s="551"/>
      <c r="AX604" s="551"/>
      <c r="AY604" s="551"/>
      <c r="AZ604" s="551"/>
      <c r="BA604" s="551"/>
      <c r="BB604" s="551"/>
      <c r="BC604" s="551"/>
      <c r="BD604" s="551"/>
      <c r="BE604" s="551"/>
      <c r="BF604" s="551"/>
    </row>
    <row r="605" spans="1:58" ht="12.75" customHeight="1">
      <c r="A605" s="551"/>
      <c r="B605" s="551"/>
      <c r="C605" s="551"/>
      <c r="D605" s="551"/>
      <c r="E605" s="551"/>
      <c r="F605" s="551"/>
      <c r="G605" s="551"/>
      <c r="H605" s="551"/>
      <c r="I605" s="551"/>
      <c r="J605" s="551"/>
      <c r="K605" s="551"/>
      <c r="L605" s="551"/>
      <c r="M605" s="551"/>
      <c r="N605" s="551"/>
      <c r="O605" s="551"/>
      <c r="P605" s="551"/>
      <c r="Q605" s="551"/>
      <c r="R605" s="551"/>
      <c r="S605" s="551"/>
      <c r="T605" s="551"/>
      <c r="U605" s="551"/>
      <c r="V605" s="551"/>
      <c r="W605" s="551"/>
      <c r="X605" s="551"/>
      <c r="Y605" s="551"/>
      <c r="Z605" s="551"/>
      <c r="AA605" s="551"/>
      <c r="AB605" s="551"/>
      <c r="AC605" s="551"/>
      <c r="AD605" s="551"/>
      <c r="AE605" s="551"/>
      <c r="AF605" s="551"/>
      <c r="AG605" s="551"/>
      <c r="AH605" s="551"/>
      <c r="AI605" s="551"/>
      <c r="AJ605" s="551"/>
      <c r="AK605" s="551"/>
      <c r="AL605" s="551"/>
      <c r="AM605" s="551"/>
      <c r="AN605" s="551"/>
      <c r="AO605" s="551"/>
      <c r="AP605" s="551"/>
      <c r="AQ605" s="551"/>
      <c r="AR605" s="551"/>
      <c r="AS605" s="551"/>
      <c r="AT605" s="551"/>
      <c r="AU605" s="551"/>
      <c r="AV605" s="551"/>
      <c r="AW605" s="551"/>
      <c r="AX605" s="551"/>
      <c r="AY605" s="551"/>
      <c r="AZ605" s="551"/>
      <c r="BA605" s="551"/>
      <c r="BB605" s="551"/>
      <c r="BC605" s="551"/>
      <c r="BD605" s="551"/>
      <c r="BE605" s="551"/>
      <c r="BF605" s="551"/>
    </row>
    <row r="606" spans="1:58" ht="12.75" customHeight="1">
      <c r="A606" s="551"/>
      <c r="B606" s="551"/>
      <c r="C606" s="551"/>
      <c r="D606" s="551"/>
      <c r="E606" s="551"/>
      <c r="F606" s="551"/>
      <c r="G606" s="551"/>
      <c r="H606" s="551"/>
      <c r="I606" s="551"/>
      <c r="J606" s="551"/>
      <c r="K606" s="551"/>
      <c r="L606" s="551"/>
      <c r="M606" s="551"/>
      <c r="N606" s="551"/>
      <c r="O606" s="551"/>
      <c r="P606" s="551"/>
      <c r="Q606" s="551"/>
      <c r="R606" s="551"/>
      <c r="S606" s="551"/>
      <c r="T606" s="551"/>
      <c r="U606" s="551"/>
      <c r="V606" s="551"/>
      <c r="W606" s="551"/>
      <c r="X606" s="551"/>
      <c r="Y606" s="551"/>
      <c r="Z606" s="551"/>
      <c r="AA606" s="551"/>
      <c r="AB606" s="551"/>
      <c r="AC606" s="551"/>
      <c r="AD606" s="551"/>
      <c r="AE606" s="551"/>
      <c r="AF606" s="551"/>
      <c r="AG606" s="551"/>
      <c r="AH606" s="551"/>
      <c r="AI606" s="551"/>
      <c r="AJ606" s="551"/>
      <c r="AK606" s="551"/>
      <c r="AL606" s="551"/>
      <c r="AM606" s="551"/>
      <c r="AN606" s="551"/>
      <c r="AO606" s="551"/>
      <c r="AP606" s="551"/>
      <c r="AQ606" s="551"/>
      <c r="AR606" s="551"/>
      <c r="AS606" s="551"/>
      <c r="AT606" s="551"/>
      <c r="AU606" s="551"/>
      <c r="AV606" s="551"/>
      <c r="AW606" s="551"/>
      <c r="AX606" s="551"/>
      <c r="AY606" s="551"/>
      <c r="AZ606" s="551"/>
      <c r="BA606" s="551"/>
      <c r="BB606" s="551"/>
      <c r="BC606" s="551"/>
      <c r="BD606" s="551"/>
      <c r="BE606" s="551"/>
      <c r="BF606" s="551"/>
    </row>
    <row r="607" spans="1:58" ht="12.75" customHeight="1">
      <c r="A607" s="551"/>
      <c r="B607" s="551"/>
      <c r="C607" s="551"/>
      <c r="D607" s="551"/>
      <c r="E607" s="551"/>
      <c r="F607" s="551"/>
      <c r="G607" s="551"/>
      <c r="H607" s="551"/>
      <c r="I607" s="551"/>
      <c r="J607" s="551"/>
      <c r="K607" s="551"/>
      <c r="L607" s="551"/>
      <c r="M607" s="551"/>
      <c r="N607" s="551"/>
      <c r="O607" s="551"/>
      <c r="P607" s="551"/>
      <c r="Q607" s="551"/>
      <c r="R607" s="551"/>
      <c r="S607" s="551"/>
      <c r="T607" s="551"/>
      <c r="U607" s="551"/>
      <c r="V607" s="551"/>
      <c r="W607" s="551"/>
      <c r="X607" s="551"/>
      <c r="Y607" s="551"/>
      <c r="Z607" s="551"/>
      <c r="AA607" s="551"/>
      <c r="AB607" s="551"/>
      <c r="AC607" s="551"/>
      <c r="AD607" s="551"/>
      <c r="AE607" s="551"/>
      <c r="AF607" s="551"/>
      <c r="AG607" s="551"/>
      <c r="AH607" s="551"/>
      <c r="AI607" s="551"/>
      <c r="AJ607" s="551"/>
      <c r="AK607" s="551"/>
      <c r="AL607" s="551"/>
      <c r="AM607" s="551"/>
      <c r="AN607" s="551"/>
      <c r="AO607" s="551"/>
      <c r="AP607" s="551"/>
      <c r="AQ607" s="551"/>
      <c r="AR607" s="551"/>
      <c r="AS607" s="551"/>
      <c r="AT607" s="551"/>
      <c r="AU607" s="551"/>
      <c r="AV607" s="551"/>
      <c r="AW607" s="551"/>
      <c r="AX607" s="551"/>
      <c r="AY607" s="551"/>
      <c r="AZ607" s="551"/>
      <c r="BA607" s="551"/>
      <c r="BB607" s="551"/>
      <c r="BC607" s="551"/>
      <c r="BD607" s="551"/>
      <c r="BE607" s="551"/>
      <c r="BF607" s="551"/>
    </row>
    <row r="608" spans="1:58" ht="12.75" customHeight="1">
      <c r="A608" s="551"/>
      <c r="B608" s="551"/>
      <c r="C608" s="551"/>
      <c r="D608" s="551"/>
      <c r="E608" s="551"/>
      <c r="F608" s="551"/>
      <c r="G608" s="551"/>
      <c r="H608" s="551"/>
      <c r="I608" s="551"/>
      <c r="J608" s="551"/>
      <c r="K608" s="551"/>
      <c r="L608" s="551"/>
      <c r="M608" s="551"/>
      <c r="N608" s="551"/>
      <c r="O608" s="551"/>
      <c r="P608" s="551"/>
      <c r="Q608" s="551"/>
      <c r="R608" s="551"/>
      <c r="S608" s="551"/>
      <c r="T608" s="551"/>
      <c r="U608" s="551"/>
      <c r="V608" s="551"/>
      <c r="W608" s="551"/>
      <c r="X608" s="551"/>
      <c r="Y608" s="551"/>
      <c r="Z608" s="551"/>
      <c r="AA608" s="551"/>
      <c r="AB608" s="551"/>
      <c r="AC608" s="551"/>
      <c r="AD608" s="551"/>
      <c r="AE608" s="551"/>
      <c r="AF608" s="551"/>
      <c r="AG608" s="551"/>
      <c r="AH608" s="551"/>
      <c r="AI608" s="551"/>
      <c r="AJ608" s="551"/>
      <c r="AK608" s="551"/>
      <c r="AL608" s="551"/>
      <c r="AM608" s="551"/>
      <c r="AN608" s="551"/>
      <c r="AO608" s="551"/>
      <c r="AP608" s="551"/>
      <c r="AQ608" s="551"/>
      <c r="AR608" s="551"/>
      <c r="AS608" s="551"/>
      <c r="AT608" s="551"/>
      <c r="AU608" s="551"/>
      <c r="AV608" s="551"/>
      <c r="AW608" s="551"/>
      <c r="AX608" s="551"/>
      <c r="AY608" s="551"/>
      <c r="AZ608" s="551"/>
      <c r="BA608" s="551"/>
      <c r="BB608" s="551"/>
      <c r="BC608" s="551"/>
      <c r="BD608" s="551"/>
      <c r="BE608" s="551"/>
      <c r="BF608" s="551"/>
    </row>
    <row r="609" spans="1:58" ht="12.75" customHeight="1">
      <c r="A609" s="551"/>
      <c r="B609" s="551"/>
      <c r="C609" s="551"/>
      <c r="D609" s="551"/>
      <c r="E609" s="551"/>
      <c r="F609" s="551"/>
      <c r="G609" s="551"/>
      <c r="H609" s="551"/>
      <c r="I609" s="551"/>
      <c r="J609" s="551"/>
      <c r="K609" s="551"/>
      <c r="L609" s="551"/>
      <c r="M609" s="551"/>
      <c r="N609" s="551"/>
      <c r="O609" s="551"/>
      <c r="P609" s="551"/>
      <c r="Q609" s="551"/>
      <c r="R609" s="551"/>
      <c r="S609" s="551"/>
      <c r="T609" s="551"/>
      <c r="U609" s="551"/>
      <c r="V609" s="551"/>
      <c r="W609" s="551"/>
      <c r="X609" s="551"/>
      <c r="Y609" s="551"/>
      <c r="Z609" s="551"/>
      <c r="AA609" s="551"/>
      <c r="AB609" s="551"/>
      <c r="AC609" s="551"/>
      <c r="AD609" s="551"/>
      <c r="AE609" s="551"/>
      <c r="AF609" s="551"/>
      <c r="AG609" s="551"/>
      <c r="AH609" s="551"/>
      <c r="AI609" s="551"/>
      <c r="AJ609" s="551"/>
      <c r="AK609" s="551"/>
      <c r="AL609" s="551"/>
      <c r="AM609" s="551"/>
      <c r="AN609" s="551"/>
      <c r="AO609" s="551"/>
      <c r="AP609" s="551"/>
      <c r="AQ609" s="551"/>
      <c r="AR609" s="551"/>
      <c r="AS609" s="551"/>
      <c r="AT609" s="551"/>
      <c r="AU609" s="551"/>
      <c r="AV609" s="551"/>
      <c r="AW609" s="551"/>
      <c r="AX609" s="551"/>
      <c r="AY609" s="551"/>
      <c r="AZ609" s="551"/>
      <c r="BA609" s="551"/>
      <c r="BB609" s="551"/>
      <c r="BC609" s="551"/>
      <c r="BD609" s="551"/>
      <c r="BE609" s="551"/>
      <c r="BF609" s="551"/>
    </row>
    <row r="610" spans="1:58" ht="12.75" customHeight="1">
      <c r="A610" s="551"/>
      <c r="B610" s="551"/>
      <c r="C610" s="551"/>
      <c r="D610" s="551"/>
      <c r="E610" s="551"/>
      <c r="F610" s="551"/>
      <c r="G610" s="551"/>
      <c r="H610" s="551"/>
      <c r="I610" s="551"/>
      <c r="J610" s="551"/>
      <c r="K610" s="551"/>
      <c r="L610" s="551"/>
      <c r="M610" s="551"/>
      <c r="N610" s="551"/>
      <c r="O610" s="551"/>
      <c r="P610" s="551"/>
      <c r="Q610" s="551"/>
      <c r="R610" s="551"/>
      <c r="S610" s="551"/>
      <c r="T610" s="551"/>
      <c r="U610" s="551"/>
      <c r="V610" s="551"/>
      <c r="W610" s="551"/>
      <c r="X610" s="551"/>
      <c r="Y610" s="551"/>
      <c r="Z610" s="551"/>
      <c r="AA610" s="551"/>
      <c r="AB610" s="551"/>
      <c r="AC610" s="551"/>
      <c r="AD610" s="551"/>
      <c r="AE610" s="551"/>
      <c r="AF610" s="551"/>
      <c r="AG610" s="551"/>
      <c r="AH610" s="551"/>
      <c r="AI610" s="551"/>
      <c r="AJ610" s="551"/>
      <c r="AK610" s="551"/>
      <c r="AL610" s="551"/>
      <c r="AM610" s="551"/>
      <c r="AN610" s="551"/>
      <c r="AO610" s="551"/>
      <c r="AP610" s="551"/>
      <c r="AQ610" s="551"/>
      <c r="AR610" s="551"/>
      <c r="AS610" s="551"/>
      <c r="AT610" s="551"/>
      <c r="AU610" s="551"/>
      <c r="AV610" s="551"/>
      <c r="AW610" s="551"/>
      <c r="AX610" s="551"/>
      <c r="AY610" s="551"/>
      <c r="AZ610" s="551"/>
      <c r="BA610" s="551"/>
      <c r="BB610" s="551"/>
      <c r="BC610" s="551"/>
      <c r="BD610" s="551"/>
      <c r="BE610" s="551"/>
      <c r="BF610" s="551"/>
    </row>
    <row r="611" spans="1:58" ht="12.75" customHeight="1">
      <c r="A611" s="551"/>
      <c r="B611" s="551"/>
      <c r="C611" s="551"/>
      <c r="D611" s="551"/>
      <c r="E611" s="551"/>
      <c r="F611" s="551"/>
      <c r="G611" s="551"/>
      <c r="H611" s="551"/>
      <c r="I611" s="551"/>
      <c r="J611" s="551"/>
      <c r="K611" s="551"/>
      <c r="L611" s="551"/>
      <c r="M611" s="551"/>
      <c r="N611" s="551"/>
      <c r="O611" s="551"/>
      <c r="P611" s="551"/>
      <c r="Q611" s="551"/>
      <c r="R611" s="551"/>
      <c r="S611" s="551"/>
      <c r="T611" s="551"/>
      <c r="U611" s="551"/>
      <c r="V611" s="551"/>
      <c r="W611" s="551"/>
      <c r="X611" s="551"/>
      <c r="Y611" s="551"/>
      <c r="Z611" s="551"/>
      <c r="AA611" s="551"/>
      <c r="AB611" s="551"/>
      <c r="AC611" s="551"/>
      <c r="AD611" s="551"/>
      <c r="AE611" s="551"/>
      <c r="AF611" s="551"/>
      <c r="AG611" s="551"/>
      <c r="AH611" s="551"/>
      <c r="AI611" s="551"/>
      <c r="AJ611" s="551"/>
      <c r="AK611" s="551"/>
      <c r="AL611" s="551"/>
      <c r="AM611" s="551"/>
      <c r="AN611" s="551"/>
      <c r="AO611" s="551"/>
      <c r="AP611" s="551"/>
      <c r="AQ611" s="551"/>
      <c r="AR611" s="551"/>
      <c r="AS611" s="551"/>
      <c r="AT611" s="551"/>
      <c r="AU611" s="551"/>
      <c r="AV611" s="551"/>
      <c r="AW611" s="551"/>
      <c r="AX611" s="551"/>
      <c r="AY611" s="551"/>
      <c r="AZ611" s="551"/>
      <c r="BA611" s="551"/>
      <c r="BB611" s="551"/>
      <c r="BC611" s="551"/>
      <c r="BD611" s="551"/>
      <c r="BE611" s="551"/>
      <c r="BF611" s="551"/>
    </row>
    <row r="612" spans="1:58" ht="12.75" customHeight="1">
      <c r="A612" s="551"/>
      <c r="B612" s="551"/>
      <c r="C612" s="551"/>
      <c r="D612" s="551"/>
      <c r="E612" s="551"/>
      <c r="F612" s="551"/>
      <c r="G612" s="551"/>
      <c r="H612" s="551"/>
      <c r="I612" s="551"/>
      <c r="J612" s="551"/>
      <c r="K612" s="551"/>
      <c r="L612" s="551"/>
      <c r="M612" s="551"/>
      <c r="N612" s="551"/>
      <c r="O612" s="551"/>
      <c r="P612" s="551"/>
      <c r="Q612" s="551"/>
      <c r="R612" s="551"/>
      <c r="S612" s="551"/>
      <c r="T612" s="551"/>
      <c r="U612" s="551"/>
      <c r="V612" s="551"/>
      <c r="W612" s="551"/>
      <c r="X612" s="551"/>
      <c r="Y612" s="551"/>
      <c r="Z612" s="551"/>
      <c r="AA612" s="551"/>
      <c r="AB612" s="551"/>
      <c r="AC612" s="551"/>
      <c r="AD612" s="551"/>
      <c r="AE612" s="551"/>
      <c r="AF612" s="551"/>
      <c r="AG612" s="551"/>
      <c r="AH612" s="551"/>
      <c r="AI612" s="551"/>
      <c r="AJ612" s="551"/>
      <c r="AK612" s="551"/>
      <c r="AL612" s="551"/>
      <c r="AM612" s="551"/>
      <c r="AN612" s="551"/>
      <c r="AO612" s="551"/>
      <c r="AP612" s="551"/>
      <c r="AQ612" s="551"/>
      <c r="AR612" s="551"/>
      <c r="AS612" s="551"/>
      <c r="AT612" s="551"/>
      <c r="AU612" s="551"/>
      <c r="AV612" s="551"/>
      <c r="AW612" s="551"/>
      <c r="AX612" s="551"/>
      <c r="AY612" s="551"/>
      <c r="AZ612" s="551"/>
      <c r="BA612" s="551"/>
      <c r="BB612" s="551"/>
      <c r="BC612" s="551"/>
      <c r="BD612" s="551"/>
      <c r="BE612" s="551"/>
      <c r="BF612" s="551"/>
    </row>
    <row r="613" spans="1:58" ht="12.75" customHeight="1">
      <c r="A613" s="551"/>
      <c r="B613" s="551"/>
      <c r="C613" s="551"/>
      <c r="D613" s="551"/>
      <c r="E613" s="551"/>
      <c r="F613" s="551"/>
      <c r="G613" s="551"/>
      <c r="H613" s="551"/>
      <c r="I613" s="551"/>
      <c r="J613" s="551"/>
      <c r="K613" s="551"/>
      <c r="L613" s="551"/>
      <c r="M613" s="551"/>
      <c r="N613" s="551"/>
      <c r="O613" s="551"/>
      <c r="P613" s="551"/>
      <c r="Q613" s="551"/>
      <c r="R613" s="551"/>
      <c r="S613" s="551"/>
      <c r="T613" s="551"/>
      <c r="U613" s="551"/>
      <c r="V613" s="551"/>
      <c r="W613" s="551"/>
      <c r="X613" s="551"/>
      <c r="Y613" s="551"/>
      <c r="Z613" s="551"/>
      <c r="AA613" s="551"/>
      <c r="AB613" s="551"/>
      <c r="AC613" s="551"/>
      <c r="AD613" s="551"/>
      <c r="AE613" s="551"/>
      <c r="AF613" s="551"/>
      <c r="AG613" s="551"/>
      <c r="AH613" s="551"/>
      <c r="AI613" s="551"/>
      <c r="AJ613" s="551"/>
      <c r="AK613" s="551"/>
      <c r="AL613" s="551"/>
      <c r="AM613" s="551"/>
      <c r="AN613" s="551"/>
      <c r="AO613" s="551"/>
      <c r="AP613" s="551"/>
      <c r="AQ613" s="551"/>
      <c r="AR613" s="551"/>
      <c r="AS613" s="551"/>
      <c r="AT613" s="551"/>
      <c r="AU613" s="551"/>
      <c r="AV613" s="551"/>
      <c r="AW613" s="551"/>
      <c r="AX613" s="551"/>
      <c r="AY613" s="551"/>
      <c r="AZ613" s="551"/>
      <c r="BA613" s="551"/>
      <c r="BB613" s="551"/>
      <c r="BC613" s="551"/>
      <c r="BD613" s="551"/>
      <c r="BE613" s="551"/>
      <c r="BF613" s="551"/>
    </row>
    <row r="614" spans="1:58" ht="12.75" customHeight="1">
      <c r="A614" s="551"/>
      <c r="B614" s="551"/>
      <c r="C614" s="551"/>
      <c r="D614" s="551"/>
      <c r="E614" s="551"/>
      <c r="F614" s="551"/>
      <c r="G614" s="551"/>
      <c r="H614" s="551"/>
      <c r="I614" s="551"/>
      <c r="J614" s="551"/>
      <c r="K614" s="551"/>
      <c r="L614" s="551"/>
      <c r="M614" s="551"/>
      <c r="N614" s="551"/>
      <c r="O614" s="551"/>
      <c r="P614" s="551"/>
      <c r="Q614" s="551"/>
      <c r="R614" s="551"/>
      <c r="S614" s="551"/>
      <c r="T614" s="551"/>
      <c r="U614" s="551"/>
      <c r="V614" s="551"/>
      <c r="W614" s="551"/>
      <c r="X614" s="551"/>
      <c r="Y614" s="551"/>
      <c r="Z614" s="551"/>
      <c r="AA614" s="551"/>
      <c r="AB614" s="551"/>
      <c r="AC614" s="551"/>
      <c r="AD614" s="551"/>
      <c r="AE614" s="551"/>
      <c r="AF614" s="551"/>
      <c r="AG614" s="551"/>
      <c r="AH614" s="551"/>
      <c r="AI614" s="551"/>
      <c r="AJ614" s="551"/>
      <c r="AK614" s="551"/>
      <c r="AL614" s="551"/>
      <c r="AM614" s="551"/>
      <c r="AN614" s="551"/>
      <c r="AO614" s="551"/>
      <c r="AP614" s="551"/>
      <c r="AQ614" s="551"/>
      <c r="AR614" s="551"/>
      <c r="AS614" s="551"/>
      <c r="AT614" s="551"/>
      <c r="AU614" s="551"/>
      <c r="AV614" s="551"/>
      <c r="AW614" s="551"/>
      <c r="AX614" s="551"/>
      <c r="AY614" s="551"/>
      <c r="AZ614" s="551"/>
      <c r="BA614" s="551"/>
      <c r="BB614" s="551"/>
      <c r="BC614" s="551"/>
      <c r="BD614" s="551"/>
      <c r="BE614" s="551"/>
      <c r="BF614" s="551"/>
    </row>
    <row r="615" spans="1:58" ht="12.75" customHeight="1">
      <c r="A615" s="551"/>
      <c r="B615" s="551"/>
      <c r="C615" s="551"/>
      <c r="D615" s="551"/>
      <c r="E615" s="551"/>
      <c r="F615" s="551"/>
      <c r="G615" s="551"/>
      <c r="H615" s="551"/>
      <c r="I615" s="551"/>
      <c r="J615" s="551"/>
      <c r="K615" s="551"/>
      <c r="L615" s="551"/>
      <c r="M615" s="551"/>
      <c r="N615" s="551"/>
      <c r="O615" s="551"/>
      <c r="P615" s="551"/>
      <c r="Q615" s="551"/>
      <c r="R615" s="551"/>
      <c r="S615" s="551"/>
      <c r="T615" s="551"/>
      <c r="U615" s="551"/>
      <c r="V615" s="551"/>
      <c r="W615" s="551"/>
      <c r="X615" s="551"/>
      <c r="Y615" s="551"/>
      <c r="Z615" s="551"/>
      <c r="AA615" s="551"/>
      <c r="AB615" s="551"/>
      <c r="AC615" s="551"/>
      <c r="AD615" s="551"/>
      <c r="AE615" s="551"/>
      <c r="AF615" s="551"/>
      <c r="AG615" s="551"/>
      <c r="AH615" s="551"/>
      <c r="AI615" s="551"/>
      <c r="AJ615" s="551"/>
      <c r="AK615" s="551"/>
      <c r="AL615" s="551"/>
      <c r="AM615" s="551"/>
      <c r="AN615" s="551"/>
      <c r="AO615" s="551"/>
      <c r="AP615" s="551"/>
      <c r="AQ615" s="551"/>
      <c r="AR615" s="551"/>
      <c r="AS615" s="551"/>
      <c r="AT615" s="551"/>
      <c r="AU615" s="551"/>
      <c r="AV615" s="551"/>
      <c r="AW615" s="551"/>
      <c r="AX615" s="551"/>
      <c r="AY615" s="551"/>
      <c r="AZ615" s="551"/>
      <c r="BA615" s="551"/>
      <c r="BB615" s="551"/>
      <c r="BC615" s="551"/>
      <c r="BD615" s="551"/>
      <c r="BE615" s="551"/>
      <c r="BF615" s="551"/>
    </row>
    <row r="616" spans="1:58" ht="12.75" customHeight="1">
      <c r="A616" s="551"/>
      <c r="B616" s="551"/>
      <c r="C616" s="551"/>
      <c r="D616" s="551"/>
      <c r="E616" s="551"/>
      <c r="F616" s="551"/>
      <c r="G616" s="551"/>
      <c r="H616" s="551"/>
      <c r="I616" s="551"/>
      <c r="J616" s="551"/>
      <c r="K616" s="551"/>
      <c r="L616" s="551"/>
      <c r="M616" s="551"/>
      <c r="N616" s="551"/>
      <c r="O616" s="551"/>
      <c r="P616" s="551"/>
      <c r="Q616" s="551"/>
      <c r="R616" s="551"/>
      <c r="S616" s="551"/>
      <c r="T616" s="551"/>
      <c r="U616" s="551"/>
      <c r="V616" s="551"/>
      <c r="W616" s="551"/>
      <c r="X616" s="551"/>
      <c r="Y616" s="551"/>
      <c r="Z616" s="551"/>
      <c r="AA616" s="551"/>
      <c r="AB616" s="551"/>
      <c r="AC616" s="551"/>
      <c r="AD616" s="551"/>
      <c r="AE616" s="551"/>
      <c r="AF616" s="551"/>
      <c r="AG616" s="551"/>
      <c r="AH616" s="551"/>
      <c r="AI616" s="551"/>
      <c r="AJ616" s="551"/>
      <c r="AK616" s="551"/>
      <c r="AL616" s="551"/>
      <c r="AM616" s="551"/>
      <c r="AN616" s="551"/>
      <c r="AO616" s="551"/>
      <c r="AP616" s="551"/>
      <c r="AQ616" s="551"/>
      <c r="AR616" s="551"/>
      <c r="AS616" s="551"/>
      <c r="AT616" s="551"/>
      <c r="AU616" s="551"/>
      <c r="AV616" s="551"/>
      <c r="AW616" s="551"/>
      <c r="AX616" s="551"/>
      <c r="AY616" s="551"/>
      <c r="AZ616" s="551"/>
      <c r="BA616" s="551"/>
      <c r="BB616" s="551"/>
      <c r="BC616" s="551"/>
      <c r="BD616" s="551"/>
      <c r="BE616" s="551"/>
      <c r="BF616" s="551"/>
    </row>
    <row r="617" spans="1:58" ht="12.75" customHeight="1">
      <c r="A617" s="551"/>
      <c r="B617" s="551"/>
      <c r="C617" s="551"/>
      <c r="D617" s="551"/>
      <c r="E617" s="551"/>
      <c r="F617" s="551"/>
      <c r="G617" s="551"/>
      <c r="H617" s="551"/>
      <c r="I617" s="551"/>
      <c r="J617" s="551"/>
      <c r="K617" s="551"/>
      <c r="L617" s="551"/>
      <c r="M617" s="551"/>
      <c r="N617" s="551"/>
      <c r="O617" s="551"/>
      <c r="P617" s="551"/>
      <c r="Q617" s="551"/>
      <c r="R617" s="551"/>
      <c r="S617" s="551"/>
      <c r="T617" s="551"/>
      <c r="U617" s="551"/>
      <c r="V617" s="551"/>
      <c r="W617" s="551"/>
      <c r="X617" s="551"/>
      <c r="Y617" s="551"/>
      <c r="Z617" s="551"/>
      <c r="AA617" s="551"/>
      <c r="AB617" s="551"/>
      <c r="AC617" s="551"/>
      <c r="AD617" s="551"/>
      <c r="AE617" s="551"/>
      <c r="AF617" s="551"/>
      <c r="AG617" s="551"/>
      <c r="AH617" s="551"/>
      <c r="AI617" s="551"/>
      <c r="AJ617" s="551"/>
      <c r="AK617" s="551"/>
      <c r="AL617" s="551"/>
      <c r="AM617" s="551"/>
      <c r="AN617" s="551"/>
      <c r="AO617" s="551"/>
      <c r="AP617" s="551"/>
      <c r="AQ617" s="551"/>
      <c r="AR617" s="551"/>
      <c r="AS617" s="551"/>
      <c r="AT617" s="551"/>
      <c r="AU617" s="551"/>
      <c r="AV617" s="551"/>
      <c r="AW617" s="551"/>
      <c r="AX617" s="551"/>
      <c r="AY617" s="551"/>
      <c r="AZ617" s="551"/>
      <c r="BA617" s="551"/>
      <c r="BB617" s="551"/>
      <c r="BC617" s="551"/>
      <c r="BD617" s="551"/>
      <c r="BE617" s="551"/>
      <c r="BF617" s="551"/>
    </row>
    <row r="618" spans="1:58" ht="12.75" customHeight="1">
      <c r="A618" s="551"/>
      <c r="B618" s="551"/>
      <c r="C618" s="551"/>
      <c r="D618" s="551"/>
      <c r="E618" s="551"/>
      <c r="F618" s="551"/>
      <c r="G618" s="551"/>
      <c r="H618" s="551"/>
      <c r="I618" s="551"/>
      <c r="J618" s="551"/>
      <c r="K618" s="551"/>
      <c r="L618" s="551"/>
      <c r="M618" s="551"/>
      <c r="N618" s="551"/>
      <c r="O618" s="551"/>
      <c r="P618" s="551"/>
      <c r="Q618" s="551"/>
      <c r="R618" s="551"/>
      <c r="S618" s="551"/>
      <c r="T618" s="551"/>
      <c r="U618" s="551"/>
      <c r="V618" s="551"/>
      <c r="W618" s="551"/>
      <c r="X618" s="551"/>
      <c r="Y618" s="551"/>
      <c r="Z618" s="551"/>
      <c r="AA618" s="551"/>
      <c r="AB618" s="551"/>
      <c r="AC618" s="551"/>
      <c r="AD618" s="551"/>
      <c r="AE618" s="551"/>
      <c r="AF618" s="551"/>
      <c r="AG618" s="551"/>
      <c r="AH618" s="551"/>
      <c r="AI618" s="551"/>
      <c r="AJ618" s="551"/>
      <c r="AK618" s="551"/>
      <c r="AL618" s="551"/>
      <c r="AM618" s="551"/>
      <c r="AN618" s="551"/>
      <c r="AO618" s="551"/>
      <c r="AP618" s="551"/>
      <c r="AQ618" s="551"/>
      <c r="AR618" s="551"/>
      <c r="AS618" s="551"/>
      <c r="AT618" s="551"/>
      <c r="AU618" s="551"/>
      <c r="AV618" s="551"/>
      <c r="AW618" s="551"/>
      <c r="AX618" s="551"/>
      <c r="AY618" s="551"/>
      <c r="AZ618" s="551"/>
      <c r="BA618" s="551"/>
      <c r="BB618" s="551"/>
      <c r="BC618" s="551"/>
      <c r="BD618" s="551"/>
      <c r="BE618" s="551"/>
      <c r="BF618" s="551"/>
    </row>
    <row r="619" spans="1:58" ht="12.75" customHeight="1">
      <c r="A619" s="551"/>
      <c r="B619" s="551"/>
      <c r="C619" s="551"/>
      <c r="D619" s="551"/>
      <c r="E619" s="551"/>
      <c r="F619" s="551"/>
      <c r="G619" s="551"/>
      <c r="H619" s="551"/>
      <c r="I619" s="551"/>
      <c r="J619" s="551"/>
      <c r="K619" s="551"/>
      <c r="L619" s="551"/>
      <c r="M619" s="551"/>
      <c r="N619" s="551"/>
      <c r="O619" s="551"/>
      <c r="P619" s="551"/>
      <c r="Q619" s="551"/>
      <c r="R619" s="551"/>
      <c r="S619" s="551"/>
      <c r="T619" s="551"/>
      <c r="U619" s="551"/>
      <c r="V619" s="551"/>
      <c r="W619" s="551"/>
      <c r="X619" s="551"/>
      <c r="Y619" s="551"/>
      <c r="Z619" s="551"/>
      <c r="AA619" s="551"/>
      <c r="AB619" s="551"/>
      <c r="AC619" s="551"/>
      <c r="AD619" s="551"/>
      <c r="AE619" s="551"/>
      <c r="AF619" s="551"/>
      <c r="AG619" s="551"/>
      <c r="AH619" s="551"/>
      <c r="AI619" s="551"/>
      <c r="AJ619" s="551"/>
      <c r="AK619" s="551"/>
      <c r="AL619" s="551"/>
      <c r="AM619" s="551"/>
      <c r="AN619" s="551"/>
      <c r="AO619" s="551"/>
      <c r="AP619" s="551"/>
      <c r="AQ619" s="551"/>
      <c r="AR619" s="551"/>
      <c r="AS619" s="551"/>
      <c r="AT619" s="551"/>
      <c r="AU619" s="551"/>
      <c r="AV619" s="551"/>
      <c r="AW619" s="551"/>
      <c r="AX619" s="551"/>
      <c r="AY619" s="551"/>
      <c r="AZ619" s="551"/>
      <c r="BA619" s="551"/>
      <c r="BB619" s="551"/>
      <c r="BC619" s="551"/>
      <c r="BD619" s="551"/>
      <c r="BE619" s="551"/>
      <c r="BF619" s="551"/>
    </row>
    <row r="620" spans="1:58" ht="12.75" customHeight="1">
      <c r="A620" s="551"/>
      <c r="B620" s="551"/>
      <c r="C620" s="551"/>
      <c r="D620" s="551"/>
      <c r="E620" s="551"/>
      <c r="F620" s="551"/>
      <c r="G620" s="551"/>
      <c r="H620" s="551"/>
      <c r="I620" s="551"/>
      <c r="J620" s="551"/>
      <c r="K620" s="551"/>
      <c r="L620" s="551"/>
      <c r="M620" s="551"/>
      <c r="N620" s="551"/>
      <c r="O620" s="551"/>
      <c r="P620" s="551"/>
      <c r="Q620" s="551"/>
      <c r="R620" s="551"/>
      <c r="S620" s="551"/>
      <c r="T620" s="551"/>
      <c r="U620" s="551"/>
      <c r="V620" s="551"/>
      <c r="W620" s="551"/>
      <c r="X620" s="551"/>
      <c r="Y620" s="551"/>
      <c r="Z620" s="551"/>
      <c r="AA620" s="551"/>
      <c r="AB620" s="551"/>
      <c r="AC620" s="551"/>
      <c r="AD620" s="551"/>
      <c r="AE620" s="551"/>
      <c r="AF620" s="551"/>
      <c r="AG620" s="551"/>
      <c r="AH620" s="551"/>
      <c r="AI620" s="551"/>
      <c r="AJ620" s="551"/>
      <c r="AK620" s="551"/>
      <c r="AL620" s="551"/>
      <c r="AM620" s="551"/>
      <c r="AN620" s="551"/>
      <c r="AO620" s="551"/>
      <c r="AP620" s="551"/>
      <c r="AQ620" s="551"/>
      <c r="AR620" s="551"/>
      <c r="AS620" s="551"/>
      <c r="AT620" s="551"/>
      <c r="AU620" s="551"/>
      <c r="AV620" s="551"/>
      <c r="AW620" s="551"/>
      <c r="AX620" s="551"/>
      <c r="AY620" s="551"/>
      <c r="AZ620" s="551"/>
      <c r="BA620" s="551"/>
      <c r="BB620" s="551"/>
      <c r="BC620" s="551"/>
      <c r="BD620" s="551"/>
      <c r="BE620" s="551"/>
      <c r="BF620" s="551"/>
    </row>
    <row r="621" spans="1:58" ht="12.75" customHeight="1">
      <c r="A621" s="551"/>
      <c r="B621" s="551"/>
      <c r="C621" s="551"/>
      <c r="D621" s="551"/>
      <c r="E621" s="551"/>
      <c r="F621" s="551"/>
      <c r="G621" s="551"/>
      <c r="H621" s="551"/>
      <c r="I621" s="551"/>
      <c r="J621" s="551"/>
      <c r="K621" s="551"/>
      <c r="L621" s="551"/>
      <c r="M621" s="551"/>
      <c r="N621" s="551"/>
      <c r="O621" s="551"/>
      <c r="P621" s="551"/>
      <c r="Q621" s="551"/>
      <c r="R621" s="551"/>
      <c r="S621" s="551"/>
      <c r="T621" s="551"/>
      <c r="U621" s="551"/>
      <c r="V621" s="551"/>
      <c r="W621" s="551"/>
      <c r="X621" s="551"/>
      <c r="Y621" s="551"/>
      <c r="Z621" s="551"/>
      <c r="AA621" s="551"/>
      <c r="AB621" s="551"/>
      <c r="AC621" s="551"/>
      <c r="AD621" s="551"/>
      <c r="AE621" s="551"/>
      <c r="AF621" s="551"/>
      <c r="AG621" s="551"/>
      <c r="AH621" s="551"/>
      <c r="AI621" s="551"/>
      <c r="AJ621" s="551"/>
      <c r="AK621" s="551"/>
      <c r="AL621" s="551"/>
      <c r="AM621" s="551"/>
      <c r="AN621" s="551"/>
      <c r="AO621" s="551"/>
      <c r="AP621" s="551"/>
      <c r="AQ621" s="551"/>
      <c r="AR621" s="551"/>
      <c r="AS621" s="551"/>
      <c r="AT621" s="551"/>
      <c r="AU621" s="551"/>
      <c r="AV621" s="551"/>
      <c r="AW621" s="551"/>
      <c r="AX621" s="551"/>
      <c r="AY621" s="551"/>
      <c r="AZ621" s="551"/>
      <c r="BA621" s="551"/>
      <c r="BB621" s="551"/>
      <c r="BC621" s="551"/>
      <c r="BD621" s="551"/>
      <c r="BE621" s="551"/>
      <c r="BF621" s="551"/>
    </row>
    <row r="622" spans="1:58" ht="12.75" customHeight="1">
      <c r="A622" s="551"/>
      <c r="B622" s="551"/>
      <c r="C622" s="551"/>
      <c r="D622" s="551"/>
      <c r="E622" s="551"/>
      <c r="F622" s="551"/>
      <c r="G622" s="551"/>
      <c r="H622" s="551"/>
      <c r="I622" s="551"/>
      <c r="J622" s="551"/>
      <c r="K622" s="551"/>
      <c r="L622" s="551"/>
      <c r="M622" s="551"/>
      <c r="N622" s="551"/>
      <c r="O622" s="551"/>
      <c r="P622" s="551"/>
      <c r="Q622" s="551"/>
      <c r="R622" s="551"/>
      <c r="S622" s="551"/>
      <c r="T622" s="551"/>
      <c r="U622" s="551"/>
      <c r="V622" s="551"/>
      <c r="W622" s="551"/>
      <c r="X622" s="551"/>
      <c r="Y622" s="551"/>
      <c r="Z622" s="551"/>
      <c r="AA622" s="551"/>
      <c r="AB622" s="551"/>
      <c r="AC622" s="551"/>
      <c r="AD622" s="551"/>
      <c r="AE622" s="551"/>
      <c r="AF622" s="551"/>
      <c r="AG622" s="551"/>
      <c r="AH622" s="551"/>
      <c r="AI622" s="551"/>
      <c r="AJ622" s="551"/>
      <c r="AK622" s="551"/>
      <c r="AL622" s="551"/>
      <c r="AM622" s="551"/>
      <c r="AN622" s="551"/>
      <c r="AO622" s="551"/>
      <c r="AP622" s="551"/>
      <c r="AQ622" s="551"/>
      <c r="AR622" s="551"/>
      <c r="AS622" s="551"/>
      <c r="AT622" s="551"/>
      <c r="AU622" s="551"/>
      <c r="AV622" s="551"/>
      <c r="AW622" s="551"/>
      <c r="AX622" s="551"/>
      <c r="AY622" s="551"/>
      <c r="AZ622" s="551"/>
      <c r="BA622" s="551"/>
      <c r="BB622" s="551"/>
      <c r="BC622" s="551"/>
      <c r="BD622" s="551"/>
      <c r="BE622" s="551"/>
      <c r="BF622" s="551"/>
    </row>
    <row r="623" spans="1:58" ht="12.75" customHeight="1">
      <c r="A623" s="551"/>
      <c r="B623" s="551"/>
      <c r="C623" s="551"/>
      <c r="D623" s="551"/>
      <c r="E623" s="551"/>
      <c r="F623" s="551"/>
      <c r="G623" s="551"/>
      <c r="H623" s="551"/>
      <c r="I623" s="551"/>
      <c r="J623" s="551"/>
      <c r="K623" s="551"/>
      <c r="L623" s="551"/>
      <c r="M623" s="551"/>
      <c r="N623" s="551"/>
      <c r="O623" s="551"/>
      <c r="P623" s="551"/>
      <c r="Q623" s="551"/>
      <c r="R623" s="551"/>
      <c r="S623" s="551"/>
      <c r="T623" s="551"/>
      <c r="U623" s="551"/>
      <c r="V623" s="551"/>
      <c r="W623" s="551"/>
      <c r="X623" s="551"/>
      <c r="Y623" s="551"/>
      <c r="Z623" s="551"/>
      <c r="AA623" s="551"/>
      <c r="AB623" s="551"/>
      <c r="AC623" s="551"/>
      <c r="AD623" s="551"/>
      <c r="AE623" s="551"/>
      <c r="AF623" s="551"/>
      <c r="AG623" s="551"/>
      <c r="AH623" s="551"/>
      <c r="AI623" s="551"/>
      <c r="AJ623" s="551"/>
      <c r="AK623" s="551"/>
      <c r="AL623" s="551"/>
      <c r="AM623" s="551"/>
      <c r="AN623" s="551"/>
      <c r="AO623" s="551"/>
      <c r="AP623" s="551"/>
      <c r="AQ623" s="551"/>
      <c r="AR623" s="551"/>
      <c r="AS623" s="551"/>
      <c r="AT623" s="551"/>
      <c r="AU623" s="551"/>
      <c r="AV623" s="551"/>
      <c r="AW623" s="551"/>
      <c r="AX623" s="551"/>
      <c r="AY623" s="551"/>
      <c r="AZ623" s="551"/>
      <c r="BA623" s="551"/>
      <c r="BB623" s="551"/>
      <c r="BC623" s="551"/>
      <c r="BD623" s="551"/>
      <c r="BE623" s="551"/>
      <c r="BF623" s="551"/>
    </row>
    <row r="624" spans="1:58" ht="12.75" customHeight="1">
      <c r="A624" s="551"/>
      <c r="B624" s="551"/>
      <c r="C624" s="551"/>
      <c r="D624" s="551"/>
      <c r="E624" s="551"/>
      <c r="F624" s="551"/>
      <c r="G624" s="551"/>
      <c r="H624" s="551"/>
      <c r="I624" s="551"/>
      <c r="J624" s="551"/>
      <c r="K624" s="551"/>
      <c r="L624" s="551"/>
      <c r="M624" s="551"/>
      <c r="N624" s="551"/>
      <c r="O624" s="551"/>
      <c r="P624" s="551"/>
      <c r="Q624" s="551"/>
      <c r="R624" s="551"/>
      <c r="S624" s="551"/>
      <c r="T624" s="551"/>
      <c r="U624" s="551"/>
      <c r="V624" s="551"/>
      <c r="W624" s="551"/>
      <c r="X624" s="551"/>
      <c r="Y624" s="551"/>
      <c r="Z624" s="551"/>
      <c r="AA624" s="551"/>
      <c r="AB624" s="551"/>
      <c r="AC624" s="551"/>
      <c r="AD624" s="551"/>
      <c r="AE624" s="551"/>
      <c r="AF624" s="551"/>
      <c r="AG624" s="551"/>
      <c r="AH624" s="551"/>
      <c r="AI624" s="551"/>
      <c r="AJ624" s="551"/>
      <c r="AK624" s="551"/>
      <c r="AL624" s="551"/>
      <c r="AM624" s="551"/>
      <c r="AN624" s="551"/>
      <c r="AO624" s="551"/>
      <c r="AP624" s="551"/>
      <c r="AQ624" s="551"/>
      <c r="AR624" s="551"/>
      <c r="AS624" s="551"/>
      <c r="AT624" s="551"/>
      <c r="AU624" s="551"/>
      <c r="AV624" s="551"/>
      <c r="AW624" s="551"/>
      <c r="AX624" s="551"/>
      <c r="AY624" s="551"/>
      <c r="AZ624" s="551"/>
      <c r="BA624" s="551"/>
      <c r="BB624" s="551"/>
      <c r="BC624" s="551"/>
      <c r="BD624" s="551"/>
      <c r="BE624" s="551"/>
      <c r="BF624" s="551"/>
    </row>
    <row r="625" spans="1:58" ht="12.75" customHeight="1">
      <c r="A625" s="551"/>
      <c r="B625" s="551"/>
      <c r="C625" s="551"/>
      <c r="D625" s="551"/>
      <c r="E625" s="551"/>
      <c r="F625" s="551"/>
      <c r="G625" s="551"/>
      <c r="H625" s="551"/>
      <c r="I625" s="551"/>
      <c r="J625" s="551"/>
      <c r="K625" s="551"/>
      <c r="L625" s="551"/>
      <c r="M625" s="551"/>
      <c r="N625" s="551"/>
      <c r="O625" s="551"/>
      <c r="P625" s="551"/>
      <c r="Q625" s="551"/>
      <c r="R625" s="551"/>
      <c r="S625" s="551"/>
      <c r="T625" s="551"/>
      <c r="U625" s="551"/>
      <c r="V625" s="551"/>
      <c r="W625" s="551"/>
      <c r="X625" s="551"/>
      <c r="Y625" s="551"/>
      <c r="Z625" s="551"/>
      <c r="AA625" s="551"/>
      <c r="AB625" s="551"/>
      <c r="AC625" s="551"/>
      <c r="AD625" s="551"/>
      <c r="AE625" s="551"/>
      <c r="AF625" s="551"/>
      <c r="AG625" s="551"/>
      <c r="AH625" s="551"/>
      <c r="AI625" s="551"/>
      <c r="AJ625" s="551"/>
      <c r="AK625" s="551"/>
      <c r="AL625" s="551"/>
      <c r="AM625" s="551"/>
      <c r="AN625" s="551"/>
      <c r="AO625" s="551"/>
      <c r="AP625" s="551"/>
      <c r="AQ625" s="551"/>
      <c r="AR625" s="551"/>
      <c r="AS625" s="551"/>
      <c r="AT625" s="551"/>
      <c r="AU625" s="551"/>
      <c r="AV625" s="551"/>
      <c r="AW625" s="551"/>
      <c r="AX625" s="551"/>
      <c r="AY625" s="551"/>
      <c r="AZ625" s="551"/>
      <c r="BA625" s="551"/>
      <c r="BB625" s="551"/>
      <c r="BC625" s="551"/>
      <c r="BD625" s="551"/>
      <c r="BE625" s="551"/>
      <c r="BF625" s="551"/>
    </row>
    <row r="626" spans="1:58" ht="12.75" customHeight="1">
      <c r="A626" s="551"/>
      <c r="B626" s="551"/>
      <c r="C626" s="551"/>
      <c r="D626" s="551"/>
      <c r="E626" s="551"/>
      <c r="F626" s="551"/>
      <c r="G626" s="551"/>
      <c r="H626" s="551"/>
      <c r="I626" s="551"/>
      <c r="J626" s="551"/>
      <c r="K626" s="551"/>
      <c r="L626" s="551"/>
      <c r="M626" s="551"/>
      <c r="N626" s="551"/>
      <c r="O626" s="551"/>
      <c r="P626" s="551"/>
      <c r="Q626" s="551"/>
      <c r="R626" s="551"/>
      <c r="S626" s="551"/>
      <c r="T626" s="551"/>
      <c r="U626" s="551"/>
      <c r="V626" s="551"/>
      <c r="W626" s="551"/>
      <c r="X626" s="551"/>
      <c r="Y626" s="551"/>
      <c r="Z626" s="551"/>
      <c r="AA626" s="551"/>
      <c r="AB626" s="551"/>
      <c r="AC626" s="551"/>
      <c r="AD626" s="551"/>
      <c r="AE626" s="551"/>
      <c r="AF626" s="551"/>
      <c r="AG626" s="551"/>
      <c r="AH626" s="551"/>
      <c r="AI626" s="551"/>
      <c r="AJ626" s="551"/>
      <c r="AK626" s="551"/>
      <c r="AL626" s="551"/>
      <c r="AM626" s="551"/>
      <c r="AN626" s="551"/>
      <c r="AO626" s="551"/>
      <c r="AP626" s="551"/>
      <c r="AQ626" s="551"/>
      <c r="AR626" s="551"/>
      <c r="AS626" s="551"/>
      <c r="AT626" s="551"/>
      <c r="AU626" s="551"/>
      <c r="AV626" s="551"/>
      <c r="AW626" s="551"/>
      <c r="AX626" s="551"/>
      <c r="AY626" s="551"/>
      <c r="AZ626" s="551"/>
      <c r="BA626" s="551"/>
      <c r="BB626" s="551"/>
      <c r="BC626" s="551"/>
      <c r="BD626" s="551"/>
      <c r="BE626" s="551"/>
      <c r="BF626" s="551"/>
    </row>
    <row r="627" spans="1:58" ht="12.75" customHeight="1">
      <c r="A627" s="551"/>
      <c r="B627" s="551"/>
      <c r="C627" s="551"/>
      <c r="D627" s="551"/>
      <c r="E627" s="551"/>
      <c r="F627" s="551"/>
      <c r="G627" s="551"/>
      <c r="H627" s="551"/>
      <c r="I627" s="551"/>
      <c r="J627" s="551"/>
      <c r="K627" s="551"/>
      <c r="L627" s="551"/>
      <c r="M627" s="551"/>
      <c r="N627" s="551"/>
      <c r="O627" s="551"/>
      <c r="P627" s="551"/>
      <c r="Q627" s="551"/>
      <c r="R627" s="551"/>
      <c r="S627" s="551"/>
      <c r="T627" s="551"/>
      <c r="U627" s="551"/>
      <c r="V627" s="551"/>
      <c r="W627" s="551"/>
      <c r="X627" s="551"/>
      <c r="Y627" s="551"/>
      <c r="Z627" s="551"/>
      <c r="AA627" s="551"/>
      <c r="AB627" s="551"/>
      <c r="AC627" s="551"/>
      <c r="AD627" s="551"/>
      <c r="AE627" s="551"/>
      <c r="AF627" s="551"/>
      <c r="AG627" s="551"/>
      <c r="AH627" s="551"/>
      <c r="AI627" s="551"/>
      <c r="AJ627" s="551"/>
      <c r="AK627" s="551"/>
      <c r="AL627" s="551"/>
      <c r="AM627" s="551"/>
      <c r="AN627" s="551"/>
      <c r="AO627" s="551"/>
      <c r="AP627" s="551"/>
      <c r="AQ627" s="551"/>
      <c r="AR627" s="551"/>
      <c r="AS627" s="551"/>
      <c r="AT627" s="551"/>
      <c r="AU627" s="551"/>
      <c r="AV627" s="551"/>
      <c r="AW627" s="551"/>
      <c r="AX627" s="551"/>
      <c r="AY627" s="551"/>
      <c r="AZ627" s="551"/>
      <c r="BA627" s="551"/>
      <c r="BB627" s="551"/>
      <c r="BC627" s="551"/>
      <c r="BD627" s="551"/>
      <c r="BE627" s="551"/>
      <c r="BF627" s="551"/>
    </row>
    <row r="628" spans="1:58" ht="12.75" customHeight="1">
      <c r="A628" s="551"/>
      <c r="B628" s="551"/>
      <c r="C628" s="551"/>
      <c r="D628" s="551"/>
      <c r="E628" s="551"/>
      <c r="F628" s="551"/>
      <c r="G628" s="551"/>
      <c r="H628" s="551"/>
      <c r="I628" s="551"/>
      <c r="J628" s="551"/>
      <c r="K628" s="551"/>
      <c r="L628" s="551"/>
      <c r="M628" s="551"/>
      <c r="N628" s="551"/>
      <c r="O628" s="551"/>
      <c r="P628" s="551"/>
      <c r="Q628" s="551"/>
      <c r="R628" s="551"/>
      <c r="S628" s="551"/>
      <c r="T628" s="551"/>
      <c r="U628" s="551"/>
      <c r="V628" s="551"/>
      <c r="W628" s="551"/>
      <c r="X628" s="551"/>
      <c r="Y628" s="551"/>
      <c r="Z628" s="551"/>
      <c r="AA628" s="551"/>
      <c r="AB628" s="551"/>
      <c r="AC628" s="551"/>
      <c r="AD628" s="551"/>
      <c r="AE628" s="551"/>
      <c r="AF628" s="551"/>
      <c r="AG628" s="551"/>
      <c r="AH628" s="551"/>
      <c r="AI628" s="551"/>
      <c r="AJ628" s="551"/>
      <c r="AK628" s="551"/>
      <c r="AL628" s="551"/>
      <c r="AM628" s="551"/>
      <c r="AN628" s="551"/>
      <c r="AO628" s="551"/>
      <c r="AP628" s="551"/>
      <c r="AQ628" s="551"/>
      <c r="AR628" s="551"/>
      <c r="AS628" s="551"/>
      <c r="AT628" s="551"/>
      <c r="AU628" s="551"/>
      <c r="AV628" s="551"/>
      <c r="AW628" s="551"/>
      <c r="AX628" s="551"/>
      <c r="AY628" s="551"/>
      <c r="AZ628" s="551"/>
      <c r="BA628" s="551"/>
      <c r="BB628" s="551"/>
      <c r="BC628" s="551"/>
      <c r="BD628" s="551"/>
      <c r="BE628" s="551"/>
      <c r="BF628" s="551"/>
    </row>
    <row r="629" spans="1:58" ht="12.75" customHeight="1">
      <c r="A629" s="551"/>
      <c r="B629" s="551"/>
      <c r="C629" s="551"/>
      <c r="D629" s="551"/>
      <c r="E629" s="551"/>
      <c r="F629" s="551"/>
      <c r="G629" s="551"/>
      <c r="H629" s="551"/>
      <c r="I629" s="551"/>
      <c r="J629" s="551"/>
      <c r="K629" s="551"/>
      <c r="L629" s="551"/>
      <c r="M629" s="551"/>
      <c r="N629" s="551"/>
      <c r="O629" s="551"/>
      <c r="P629" s="551"/>
      <c r="Q629" s="551"/>
      <c r="R629" s="551"/>
      <c r="S629" s="551"/>
      <c r="T629" s="551"/>
      <c r="U629" s="551"/>
      <c r="V629" s="551"/>
      <c r="W629" s="551"/>
      <c r="X629" s="551"/>
      <c r="Y629" s="551"/>
      <c r="Z629" s="551"/>
      <c r="AA629" s="551"/>
      <c r="AB629" s="551"/>
      <c r="AC629" s="551"/>
      <c r="AD629" s="551"/>
      <c r="AE629" s="551"/>
      <c r="AF629" s="551"/>
      <c r="AG629" s="551"/>
      <c r="AH629" s="551"/>
      <c r="AI629" s="551"/>
      <c r="AJ629" s="551"/>
      <c r="AK629" s="551"/>
      <c r="AL629" s="551"/>
      <c r="AM629" s="551"/>
      <c r="AN629" s="551"/>
      <c r="AO629" s="551"/>
      <c r="AP629" s="551"/>
      <c r="AQ629" s="551"/>
      <c r="AR629" s="551"/>
      <c r="AS629" s="551"/>
      <c r="AT629" s="551"/>
      <c r="AU629" s="551"/>
      <c r="AV629" s="551"/>
      <c r="AW629" s="551"/>
      <c r="AX629" s="551"/>
      <c r="AY629" s="551"/>
      <c r="AZ629" s="551"/>
      <c r="BA629" s="551"/>
      <c r="BB629" s="551"/>
      <c r="BC629" s="551"/>
      <c r="BD629" s="551"/>
      <c r="BE629" s="551"/>
      <c r="BF629" s="551"/>
    </row>
    <row r="630" spans="1:58" ht="12.75" customHeight="1">
      <c r="A630" s="551"/>
      <c r="B630" s="551"/>
      <c r="C630" s="551"/>
      <c r="D630" s="551"/>
      <c r="E630" s="551"/>
      <c r="F630" s="551"/>
      <c r="G630" s="551"/>
      <c r="H630" s="551"/>
      <c r="I630" s="551"/>
      <c r="J630" s="551"/>
      <c r="K630" s="551"/>
      <c r="L630" s="551"/>
      <c r="M630" s="551"/>
      <c r="N630" s="551"/>
      <c r="O630" s="551"/>
      <c r="P630" s="551"/>
      <c r="Q630" s="551"/>
      <c r="R630" s="551"/>
      <c r="S630" s="551"/>
      <c r="T630" s="551"/>
      <c r="U630" s="551"/>
      <c r="V630" s="551"/>
      <c r="W630" s="551"/>
      <c r="X630" s="551"/>
      <c r="Y630" s="551"/>
      <c r="Z630" s="551"/>
      <c r="AA630" s="551"/>
      <c r="AB630" s="551"/>
      <c r="AC630" s="551"/>
      <c r="AD630" s="551"/>
      <c r="AE630" s="551"/>
      <c r="AF630" s="551"/>
      <c r="AG630" s="551"/>
      <c r="AH630" s="551"/>
      <c r="AI630" s="551"/>
      <c r="AJ630" s="551"/>
      <c r="AK630" s="551"/>
      <c r="AL630" s="551"/>
      <c r="AM630" s="551"/>
      <c r="AN630" s="551"/>
      <c r="AO630" s="551"/>
      <c r="AP630" s="551"/>
      <c r="AQ630" s="551"/>
      <c r="AR630" s="551"/>
      <c r="AS630" s="551"/>
      <c r="AT630" s="551"/>
      <c r="AU630" s="551"/>
      <c r="AV630" s="551"/>
      <c r="AW630" s="551"/>
      <c r="AX630" s="551"/>
      <c r="AY630" s="551"/>
      <c r="AZ630" s="551"/>
      <c r="BA630" s="551"/>
      <c r="BB630" s="551"/>
      <c r="BC630" s="551"/>
      <c r="BD630" s="551"/>
      <c r="BE630" s="551"/>
      <c r="BF630" s="551"/>
    </row>
    <row r="631" spans="1:58" ht="12.75" customHeight="1">
      <c r="A631" s="551"/>
      <c r="B631" s="551"/>
      <c r="C631" s="551"/>
      <c r="D631" s="551"/>
      <c r="E631" s="551"/>
      <c r="F631" s="551"/>
      <c r="G631" s="551"/>
      <c r="H631" s="551"/>
      <c r="I631" s="551"/>
      <c r="J631" s="551"/>
      <c r="K631" s="551"/>
      <c r="L631" s="551"/>
      <c r="M631" s="551"/>
      <c r="N631" s="551"/>
      <c r="O631" s="551"/>
      <c r="P631" s="551"/>
      <c r="Q631" s="551"/>
      <c r="R631" s="551"/>
      <c r="S631" s="551"/>
      <c r="T631" s="551"/>
      <c r="U631" s="551"/>
      <c r="V631" s="551"/>
      <c r="W631" s="551"/>
      <c r="X631" s="551"/>
      <c r="Y631" s="551"/>
      <c r="Z631" s="551"/>
      <c r="AA631" s="551"/>
      <c r="AB631" s="551"/>
      <c r="AC631" s="551"/>
      <c r="AD631" s="551"/>
      <c r="AE631" s="551"/>
      <c r="AF631" s="551"/>
      <c r="AG631" s="551"/>
      <c r="AH631" s="551"/>
      <c r="AI631" s="551"/>
      <c r="AJ631" s="551"/>
      <c r="AK631" s="551"/>
      <c r="AL631" s="551"/>
      <c r="AM631" s="551"/>
      <c r="AN631" s="551"/>
      <c r="AO631" s="551"/>
      <c r="AP631" s="551"/>
      <c r="AQ631" s="551"/>
      <c r="AR631" s="551"/>
      <c r="AS631" s="551"/>
      <c r="AT631" s="551"/>
      <c r="AU631" s="551"/>
      <c r="AV631" s="551"/>
      <c r="AW631" s="551"/>
      <c r="AX631" s="551"/>
      <c r="AY631" s="551"/>
      <c r="AZ631" s="551"/>
      <c r="BA631" s="551"/>
      <c r="BB631" s="551"/>
      <c r="BC631" s="551"/>
      <c r="BD631" s="551"/>
      <c r="BE631" s="551"/>
      <c r="BF631" s="551"/>
    </row>
    <row r="632" spans="1:58" ht="12.75" customHeight="1">
      <c r="A632" s="551"/>
      <c r="B632" s="551"/>
      <c r="C632" s="551"/>
      <c r="D632" s="551"/>
      <c r="E632" s="551"/>
      <c r="F632" s="551"/>
      <c r="G632" s="551"/>
      <c r="H632" s="551"/>
      <c r="I632" s="551"/>
      <c r="J632" s="551"/>
      <c r="K632" s="551"/>
      <c r="L632" s="551"/>
      <c r="M632" s="551"/>
      <c r="N632" s="551"/>
      <c r="O632" s="551"/>
      <c r="P632" s="551"/>
      <c r="Q632" s="551"/>
      <c r="R632" s="551"/>
      <c r="S632" s="551"/>
      <c r="T632" s="551"/>
      <c r="U632" s="551"/>
      <c r="V632" s="551"/>
      <c r="W632" s="551"/>
      <c r="X632" s="551"/>
      <c r="Y632" s="551"/>
      <c r="Z632" s="551"/>
      <c r="AA632" s="551"/>
      <c r="AB632" s="551"/>
      <c r="AC632" s="551"/>
      <c r="AD632" s="551"/>
      <c r="AE632" s="551"/>
      <c r="AF632" s="551"/>
      <c r="AG632" s="551"/>
      <c r="AH632" s="551"/>
      <c r="AI632" s="551"/>
      <c r="AJ632" s="551"/>
      <c r="AK632" s="551"/>
      <c r="AL632" s="551"/>
      <c r="AM632" s="551"/>
      <c r="AN632" s="551"/>
      <c r="AO632" s="551"/>
      <c r="AP632" s="551"/>
      <c r="AQ632" s="551"/>
      <c r="AR632" s="551"/>
      <c r="AS632" s="551"/>
      <c r="AT632" s="551"/>
      <c r="AU632" s="551"/>
      <c r="AV632" s="551"/>
      <c r="AW632" s="551"/>
      <c r="AX632" s="551"/>
      <c r="AY632" s="551"/>
      <c r="AZ632" s="551"/>
      <c r="BA632" s="551"/>
      <c r="BB632" s="551"/>
      <c r="BC632" s="551"/>
      <c r="BD632" s="551"/>
      <c r="BE632" s="551"/>
      <c r="BF632" s="551"/>
    </row>
    <row r="633" spans="1:58" ht="12.75" customHeight="1">
      <c r="A633" s="551"/>
      <c r="B633" s="551"/>
      <c r="C633" s="551"/>
      <c r="D633" s="551"/>
      <c r="E633" s="551"/>
      <c r="F633" s="551"/>
      <c r="G633" s="551"/>
      <c r="H633" s="551"/>
      <c r="I633" s="551"/>
      <c r="J633" s="551"/>
      <c r="K633" s="551"/>
      <c r="L633" s="551"/>
      <c r="M633" s="551"/>
      <c r="N633" s="551"/>
      <c r="O633" s="551"/>
      <c r="P633" s="551"/>
      <c r="Q633" s="551"/>
      <c r="R633" s="551"/>
      <c r="S633" s="551"/>
      <c r="T633" s="551"/>
      <c r="U633" s="551"/>
      <c r="V633" s="551"/>
      <c r="W633" s="551"/>
      <c r="X633" s="551"/>
      <c r="Y633" s="551"/>
      <c r="Z633" s="551"/>
      <c r="AA633" s="551"/>
      <c r="AB633" s="551"/>
      <c r="AC633" s="551"/>
      <c r="AD633" s="551"/>
      <c r="AE633" s="551"/>
      <c r="AF633" s="551"/>
      <c r="AG633" s="551"/>
      <c r="AH633" s="551"/>
      <c r="AI633" s="551"/>
      <c r="AJ633" s="551"/>
      <c r="AK633" s="551"/>
      <c r="AL633" s="551"/>
      <c r="AM633" s="551"/>
      <c r="AN633" s="551"/>
      <c r="AO633" s="551"/>
      <c r="AP633" s="551"/>
      <c r="AQ633" s="551"/>
      <c r="AR633" s="551"/>
      <c r="AS633" s="551"/>
      <c r="AT633" s="551"/>
      <c r="AU633" s="551"/>
      <c r="AV633" s="551"/>
      <c r="AW633" s="551"/>
      <c r="AX633" s="551"/>
      <c r="AY633" s="551"/>
      <c r="AZ633" s="551"/>
      <c r="BA633" s="551"/>
      <c r="BB633" s="551"/>
      <c r="BC633" s="551"/>
      <c r="BD633" s="551"/>
      <c r="BE633" s="551"/>
      <c r="BF633" s="551"/>
    </row>
    <row r="634" spans="1:58" ht="12.75" customHeight="1">
      <c r="A634" s="551"/>
      <c r="B634" s="551"/>
      <c r="C634" s="551"/>
      <c r="D634" s="551"/>
      <c r="E634" s="551"/>
      <c r="F634" s="551"/>
      <c r="G634" s="551"/>
      <c r="H634" s="551"/>
      <c r="I634" s="551"/>
      <c r="J634" s="551"/>
      <c r="K634" s="551"/>
      <c r="L634" s="551"/>
      <c r="M634" s="551"/>
      <c r="N634" s="551"/>
      <c r="O634" s="551"/>
      <c r="P634" s="551"/>
      <c r="Q634" s="551"/>
      <c r="R634" s="551"/>
      <c r="S634" s="551"/>
      <c r="T634" s="551"/>
      <c r="U634" s="551"/>
      <c r="V634" s="551"/>
      <c r="W634" s="551"/>
      <c r="X634" s="551"/>
      <c r="Y634" s="551"/>
      <c r="Z634" s="551"/>
      <c r="AA634" s="551"/>
      <c r="AB634" s="551"/>
      <c r="AC634" s="551"/>
      <c r="AD634" s="551"/>
      <c r="AE634" s="551"/>
      <c r="AF634" s="551"/>
      <c r="AG634" s="551"/>
      <c r="AH634" s="551"/>
      <c r="AI634" s="551"/>
      <c r="AJ634" s="551"/>
      <c r="AK634" s="551"/>
      <c r="AL634" s="551"/>
      <c r="AM634" s="551"/>
      <c r="AN634" s="551"/>
      <c r="AO634" s="551"/>
      <c r="AP634" s="551"/>
      <c r="AQ634" s="551"/>
      <c r="AR634" s="551"/>
      <c r="AS634" s="551"/>
      <c r="AT634" s="551"/>
      <c r="AU634" s="551"/>
      <c r="AV634" s="551"/>
      <c r="AW634" s="551"/>
      <c r="AX634" s="551"/>
      <c r="AY634" s="551"/>
      <c r="AZ634" s="551"/>
      <c r="BA634" s="551"/>
      <c r="BB634" s="551"/>
      <c r="BC634" s="551"/>
      <c r="BD634" s="551"/>
      <c r="BE634" s="551"/>
      <c r="BF634" s="551"/>
    </row>
    <row r="635" spans="1:58" ht="12.75" customHeight="1">
      <c r="A635" s="551"/>
      <c r="B635" s="551"/>
      <c r="C635" s="551"/>
      <c r="D635" s="551"/>
      <c r="E635" s="551"/>
      <c r="F635" s="551"/>
      <c r="G635" s="551"/>
      <c r="H635" s="551"/>
      <c r="I635" s="551"/>
      <c r="J635" s="551"/>
      <c r="K635" s="551"/>
      <c r="L635" s="551"/>
      <c r="M635" s="551"/>
      <c r="N635" s="551"/>
      <c r="O635" s="551"/>
      <c r="P635" s="551"/>
      <c r="Q635" s="551"/>
      <c r="R635" s="551"/>
      <c r="S635" s="551"/>
      <c r="T635" s="551"/>
      <c r="U635" s="551"/>
      <c r="V635" s="551"/>
      <c r="W635" s="551"/>
      <c r="X635" s="551"/>
      <c r="Y635" s="551"/>
      <c r="Z635" s="551"/>
      <c r="AA635" s="551"/>
      <c r="AB635" s="551"/>
      <c r="AC635" s="551"/>
      <c r="AD635" s="551"/>
      <c r="AE635" s="551"/>
      <c r="AF635" s="551"/>
      <c r="AG635" s="551"/>
      <c r="AH635" s="551"/>
      <c r="AI635" s="551"/>
      <c r="AJ635" s="551"/>
      <c r="AK635" s="551"/>
      <c r="AL635" s="551"/>
      <c r="AM635" s="551"/>
      <c r="AN635" s="551"/>
      <c r="AO635" s="551"/>
      <c r="AP635" s="551"/>
      <c r="AQ635" s="551"/>
      <c r="AR635" s="551"/>
      <c r="AS635" s="551"/>
      <c r="AT635" s="551"/>
      <c r="AU635" s="551"/>
      <c r="AV635" s="551"/>
      <c r="AW635" s="551"/>
      <c r="AX635" s="551"/>
      <c r="AY635" s="551"/>
      <c r="AZ635" s="551"/>
      <c r="BA635" s="551"/>
      <c r="BB635" s="551"/>
      <c r="BC635" s="551"/>
      <c r="BD635" s="551"/>
      <c r="BE635" s="551"/>
      <c r="BF635" s="551"/>
    </row>
    <row r="636" spans="1:58" ht="12.75" customHeight="1">
      <c r="A636" s="551"/>
      <c r="B636" s="551"/>
      <c r="C636" s="551"/>
      <c r="D636" s="551"/>
      <c r="E636" s="551"/>
      <c r="F636" s="551"/>
      <c r="G636" s="551"/>
      <c r="H636" s="551"/>
      <c r="I636" s="551"/>
      <c r="J636" s="551"/>
      <c r="K636" s="551"/>
      <c r="L636" s="551"/>
      <c r="M636" s="551"/>
      <c r="N636" s="551"/>
      <c r="O636" s="551"/>
      <c r="P636" s="551"/>
      <c r="Q636" s="551"/>
      <c r="R636" s="551"/>
      <c r="S636" s="551"/>
      <c r="T636" s="551"/>
      <c r="U636" s="551"/>
      <c r="V636" s="551"/>
      <c r="W636" s="551"/>
      <c r="X636" s="551"/>
      <c r="Y636" s="551"/>
      <c r="Z636" s="551"/>
      <c r="AA636" s="551"/>
      <c r="AB636" s="551"/>
      <c r="AC636" s="551"/>
      <c r="AD636" s="551"/>
      <c r="AE636" s="551"/>
      <c r="AF636" s="551"/>
      <c r="AG636" s="551"/>
      <c r="AH636" s="551"/>
      <c r="AI636" s="551"/>
      <c r="AJ636" s="551"/>
      <c r="AK636" s="551"/>
      <c r="AL636" s="551"/>
      <c r="AM636" s="551"/>
      <c r="AN636" s="551"/>
      <c r="AO636" s="551"/>
      <c r="AP636" s="551"/>
      <c r="AQ636" s="551"/>
      <c r="AR636" s="551"/>
      <c r="AS636" s="551"/>
      <c r="AT636" s="551"/>
      <c r="AU636" s="551"/>
      <c r="AV636" s="551"/>
      <c r="AW636" s="551"/>
      <c r="AX636" s="551"/>
      <c r="AY636" s="551"/>
      <c r="AZ636" s="551"/>
      <c r="BA636" s="551"/>
      <c r="BB636" s="551"/>
      <c r="BC636" s="551"/>
      <c r="BD636" s="551"/>
      <c r="BE636" s="551"/>
      <c r="BF636" s="551"/>
    </row>
    <row r="637" spans="1:58" ht="12.75" customHeight="1">
      <c r="A637" s="551"/>
      <c r="B637" s="551"/>
      <c r="C637" s="551"/>
      <c r="D637" s="551"/>
      <c r="E637" s="551"/>
      <c r="F637" s="551"/>
      <c r="G637" s="551"/>
      <c r="H637" s="551"/>
      <c r="I637" s="551"/>
      <c r="J637" s="551"/>
      <c r="K637" s="551"/>
      <c r="L637" s="551"/>
      <c r="M637" s="551"/>
      <c r="N637" s="551"/>
      <c r="O637" s="551"/>
      <c r="P637" s="551"/>
      <c r="Q637" s="551"/>
      <c r="R637" s="551"/>
      <c r="S637" s="551"/>
      <c r="T637" s="551"/>
      <c r="U637" s="551"/>
      <c r="V637" s="551"/>
      <c r="W637" s="551"/>
      <c r="X637" s="551"/>
      <c r="Y637" s="551"/>
      <c r="Z637" s="551"/>
      <c r="AA637" s="551"/>
      <c r="AB637" s="551"/>
      <c r="AC637" s="551"/>
      <c r="AD637" s="551"/>
      <c r="AE637" s="551"/>
      <c r="AF637" s="551"/>
      <c r="AG637" s="551"/>
      <c r="AH637" s="551"/>
      <c r="AI637" s="551"/>
      <c r="AJ637" s="551"/>
      <c r="AK637" s="551"/>
      <c r="AL637" s="551"/>
      <c r="AM637" s="551"/>
      <c r="AN637" s="551"/>
      <c r="AO637" s="551"/>
      <c r="AP637" s="551"/>
      <c r="AQ637" s="551"/>
      <c r="AR637" s="551"/>
      <c r="AS637" s="551"/>
      <c r="AT637" s="551"/>
      <c r="AU637" s="551"/>
      <c r="AV637" s="551"/>
      <c r="AW637" s="551"/>
      <c r="AX637" s="551"/>
      <c r="AY637" s="551"/>
      <c r="AZ637" s="551"/>
      <c r="BA637" s="551"/>
      <c r="BB637" s="551"/>
      <c r="BC637" s="551"/>
      <c r="BD637" s="551"/>
      <c r="BE637" s="551"/>
      <c r="BF637" s="551"/>
    </row>
    <row r="638" spans="1:58" ht="12.75" customHeight="1">
      <c r="A638" s="551"/>
      <c r="B638" s="551"/>
      <c r="C638" s="551"/>
      <c r="D638" s="551"/>
      <c r="E638" s="551"/>
      <c r="F638" s="551"/>
      <c r="G638" s="551"/>
      <c r="H638" s="551"/>
      <c r="I638" s="551"/>
      <c r="J638" s="551"/>
      <c r="K638" s="551"/>
      <c r="L638" s="551"/>
      <c r="M638" s="551"/>
      <c r="N638" s="551"/>
      <c r="O638" s="551"/>
      <c r="P638" s="551"/>
      <c r="Q638" s="551"/>
      <c r="R638" s="551"/>
      <c r="S638" s="551"/>
      <c r="T638" s="551"/>
      <c r="U638" s="551"/>
      <c r="V638" s="551"/>
      <c r="W638" s="551"/>
      <c r="X638" s="551"/>
      <c r="Y638" s="551"/>
      <c r="Z638" s="551"/>
      <c r="AA638" s="551"/>
      <c r="AB638" s="551"/>
      <c r="AC638" s="551"/>
      <c r="AD638" s="551"/>
      <c r="AE638" s="551"/>
      <c r="AF638" s="551"/>
      <c r="AG638" s="551"/>
      <c r="AH638" s="551"/>
      <c r="AI638" s="551"/>
      <c r="AJ638" s="551"/>
      <c r="AK638" s="551"/>
      <c r="AL638" s="551"/>
      <c r="AM638" s="551"/>
      <c r="AN638" s="551"/>
      <c r="AO638" s="551"/>
      <c r="AP638" s="551"/>
      <c r="AQ638" s="551"/>
      <c r="AR638" s="551"/>
      <c r="AS638" s="551"/>
      <c r="AT638" s="551"/>
      <c r="AU638" s="551"/>
      <c r="AV638" s="551"/>
      <c r="AW638" s="551"/>
      <c r="AX638" s="551"/>
      <c r="AY638" s="551"/>
      <c r="AZ638" s="551"/>
      <c r="BA638" s="551"/>
      <c r="BB638" s="551"/>
      <c r="BC638" s="551"/>
      <c r="BD638" s="551"/>
      <c r="BE638" s="551"/>
      <c r="BF638" s="551"/>
    </row>
    <row r="639" spans="1:58" ht="12.75" customHeight="1">
      <c r="A639" s="551"/>
      <c r="B639" s="551"/>
      <c r="C639" s="551"/>
      <c r="D639" s="551"/>
      <c r="E639" s="551"/>
      <c r="F639" s="551"/>
      <c r="G639" s="551"/>
      <c r="H639" s="551"/>
      <c r="I639" s="551"/>
      <c r="J639" s="551"/>
      <c r="K639" s="551"/>
      <c r="L639" s="551"/>
      <c r="M639" s="551"/>
      <c r="N639" s="551"/>
      <c r="O639" s="551"/>
      <c r="P639" s="551"/>
      <c r="Q639" s="551"/>
      <c r="R639" s="551"/>
      <c r="S639" s="551"/>
      <c r="T639" s="551"/>
      <c r="U639" s="551"/>
      <c r="V639" s="551"/>
      <c r="W639" s="551"/>
      <c r="X639" s="551"/>
      <c r="Y639" s="551"/>
      <c r="Z639" s="551"/>
      <c r="AA639" s="551"/>
      <c r="AB639" s="551"/>
      <c r="AC639" s="551"/>
      <c r="AD639" s="551"/>
      <c r="AE639" s="551"/>
      <c r="AF639" s="551"/>
      <c r="AG639" s="551"/>
      <c r="AH639" s="551"/>
      <c r="AI639" s="551"/>
      <c r="AJ639" s="551"/>
      <c r="AK639" s="551"/>
      <c r="AL639" s="551"/>
      <c r="AM639" s="551"/>
      <c r="AN639" s="551"/>
      <c r="AO639" s="551"/>
      <c r="AP639" s="551"/>
      <c r="AQ639" s="551"/>
      <c r="AR639" s="551"/>
      <c r="AS639" s="551"/>
      <c r="AT639" s="551"/>
      <c r="AU639" s="551"/>
      <c r="AV639" s="551"/>
      <c r="AW639" s="551"/>
      <c r="AX639" s="551"/>
      <c r="AY639" s="551"/>
      <c r="AZ639" s="551"/>
      <c r="BA639" s="551"/>
      <c r="BB639" s="551"/>
      <c r="BC639" s="551"/>
      <c r="BD639" s="551"/>
      <c r="BE639" s="551"/>
      <c r="BF639" s="551"/>
    </row>
    <row r="640" spans="1:58" ht="12.75" customHeight="1">
      <c r="A640" s="551"/>
      <c r="B640" s="551"/>
      <c r="C640" s="551"/>
      <c r="D640" s="551"/>
      <c r="E640" s="551"/>
      <c r="F640" s="551"/>
      <c r="G640" s="551"/>
      <c r="H640" s="551"/>
      <c r="I640" s="551"/>
      <c r="J640" s="551"/>
      <c r="K640" s="551"/>
      <c r="L640" s="551"/>
      <c r="M640" s="551"/>
      <c r="N640" s="551"/>
      <c r="O640" s="551"/>
      <c r="P640" s="551"/>
      <c r="Q640" s="551"/>
      <c r="R640" s="551"/>
      <c r="S640" s="551"/>
      <c r="T640" s="551"/>
      <c r="U640" s="551"/>
      <c r="V640" s="551"/>
      <c r="W640" s="551"/>
      <c r="X640" s="551"/>
      <c r="Y640" s="551"/>
      <c r="Z640" s="551"/>
      <c r="AA640" s="551"/>
      <c r="AB640" s="551"/>
      <c r="AC640" s="551"/>
      <c r="AD640" s="551"/>
      <c r="AE640" s="551"/>
      <c r="AF640" s="551"/>
      <c r="AG640" s="551"/>
      <c r="AH640" s="551"/>
      <c r="AI640" s="551"/>
      <c r="AJ640" s="551"/>
      <c r="AK640" s="551"/>
      <c r="AL640" s="551"/>
      <c r="AM640" s="551"/>
      <c r="AN640" s="551"/>
      <c r="AO640" s="551"/>
      <c r="AP640" s="551"/>
      <c r="AQ640" s="551"/>
      <c r="AR640" s="551"/>
      <c r="AS640" s="551"/>
      <c r="AT640" s="551"/>
      <c r="AU640" s="551"/>
      <c r="AV640" s="551"/>
      <c r="AW640" s="551"/>
      <c r="AX640" s="551"/>
      <c r="AY640" s="551"/>
      <c r="AZ640" s="551"/>
      <c r="BA640" s="551"/>
      <c r="BB640" s="551"/>
      <c r="BC640" s="551"/>
      <c r="BD640" s="551"/>
      <c r="BE640" s="551"/>
      <c r="BF640" s="551"/>
    </row>
    <row r="641" spans="1:58" ht="12.75" customHeight="1">
      <c r="A641" s="551"/>
      <c r="B641" s="551"/>
      <c r="C641" s="551"/>
      <c r="D641" s="551"/>
      <c r="E641" s="551"/>
      <c r="F641" s="551"/>
      <c r="G641" s="551"/>
      <c r="H641" s="551"/>
      <c r="I641" s="551"/>
      <c r="J641" s="551"/>
      <c r="K641" s="551"/>
      <c r="L641" s="551"/>
      <c r="M641" s="551"/>
      <c r="N641" s="551"/>
      <c r="O641" s="551"/>
      <c r="P641" s="551"/>
      <c r="Q641" s="551"/>
      <c r="R641" s="551"/>
      <c r="S641" s="551"/>
      <c r="T641" s="551"/>
      <c r="U641" s="551"/>
      <c r="V641" s="551"/>
      <c r="W641" s="551"/>
      <c r="X641" s="551"/>
      <c r="Y641" s="551"/>
      <c r="Z641" s="551"/>
      <c r="AA641" s="551"/>
      <c r="AB641" s="551"/>
      <c r="AC641" s="551"/>
      <c r="AD641" s="551"/>
      <c r="AE641" s="551"/>
      <c r="AF641" s="551"/>
      <c r="AG641" s="551"/>
      <c r="AH641" s="551"/>
      <c r="AI641" s="551"/>
      <c r="AJ641" s="551"/>
      <c r="AK641" s="551"/>
      <c r="AL641" s="551"/>
      <c r="AM641" s="551"/>
      <c r="AN641" s="551"/>
      <c r="AO641" s="551"/>
      <c r="AP641" s="551"/>
      <c r="AQ641" s="551"/>
      <c r="AR641" s="551"/>
      <c r="AS641" s="551"/>
      <c r="AT641" s="551"/>
      <c r="AU641" s="551"/>
      <c r="AV641" s="551"/>
      <c r="AW641" s="551"/>
      <c r="AX641" s="551"/>
      <c r="AY641" s="551"/>
      <c r="AZ641" s="551"/>
      <c r="BA641" s="551"/>
      <c r="BB641" s="551"/>
      <c r="BC641" s="551"/>
      <c r="BD641" s="551"/>
      <c r="BE641" s="551"/>
      <c r="BF641" s="551"/>
    </row>
    <row r="642" spans="1:58" ht="12.75" customHeight="1">
      <c r="A642" s="551"/>
      <c r="B642" s="551"/>
      <c r="C642" s="551"/>
      <c r="D642" s="551"/>
      <c r="E642" s="551"/>
      <c r="F642" s="551"/>
      <c r="G642" s="551"/>
      <c r="H642" s="551"/>
      <c r="I642" s="551"/>
      <c r="J642" s="551"/>
      <c r="K642" s="551"/>
      <c r="L642" s="551"/>
      <c r="M642" s="551"/>
      <c r="N642" s="551"/>
      <c r="O642" s="551"/>
      <c r="P642" s="551"/>
      <c r="Q642" s="551"/>
      <c r="R642" s="551"/>
      <c r="S642" s="551"/>
      <c r="T642" s="551"/>
      <c r="U642" s="551"/>
      <c r="V642" s="551"/>
      <c r="W642" s="551"/>
      <c r="X642" s="551"/>
      <c r="Y642" s="551"/>
      <c r="Z642" s="551"/>
      <c r="AA642" s="551"/>
      <c r="AB642" s="551"/>
      <c r="AC642" s="551"/>
      <c r="AD642" s="551"/>
      <c r="AE642" s="551"/>
      <c r="AF642" s="551"/>
      <c r="AG642" s="551"/>
      <c r="AH642" s="551"/>
      <c r="AI642" s="551"/>
      <c r="AJ642" s="551"/>
      <c r="AK642" s="551"/>
      <c r="AL642" s="551"/>
      <c r="AM642" s="551"/>
      <c r="AN642" s="551"/>
      <c r="AO642" s="551"/>
      <c r="AP642" s="551"/>
      <c r="AQ642" s="551"/>
      <c r="AR642" s="551"/>
      <c r="AS642" s="551"/>
      <c r="AT642" s="551"/>
      <c r="AU642" s="551"/>
      <c r="AV642" s="551"/>
      <c r="AW642" s="551"/>
      <c r="AX642" s="551"/>
      <c r="AY642" s="551"/>
      <c r="AZ642" s="551"/>
      <c r="BA642" s="551"/>
      <c r="BB642" s="551"/>
      <c r="BC642" s="551"/>
      <c r="BD642" s="551"/>
      <c r="BE642" s="551"/>
      <c r="BF642" s="551"/>
    </row>
    <row r="643" spans="1:58" ht="12.75" customHeight="1">
      <c r="A643" s="551"/>
      <c r="B643" s="551"/>
      <c r="C643" s="551"/>
      <c r="D643" s="551"/>
      <c r="E643" s="551"/>
      <c r="F643" s="551"/>
      <c r="G643" s="551"/>
      <c r="H643" s="551"/>
      <c r="I643" s="551"/>
      <c r="J643" s="551"/>
      <c r="K643" s="551"/>
      <c r="L643" s="551"/>
      <c r="M643" s="551"/>
      <c r="N643" s="551"/>
      <c r="O643" s="551"/>
      <c r="P643" s="551"/>
      <c r="Q643" s="551"/>
      <c r="R643" s="551"/>
      <c r="S643" s="551"/>
      <c r="T643" s="551"/>
      <c r="U643" s="551"/>
      <c r="V643" s="551"/>
      <c r="W643" s="551"/>
      <c r="X643" s="551"/>
      <c r="Y643" s="551"/>
      <c r="Z643" s="551"/>
      <c r="AA643" s="551"/>
      <c r="AB643" s="551"/>
      <c r="AC643" s="551"/>
      <c r="AD643" s="551"/>
      <c r="AE643" s="551"/>
      <c r="AF643" s="551"/>
      <c r="AG643" s="551"/>
      <c r="AH643" s="551"/>
      <c r="AI643" s="551"/>
      <c r="AJ643" s="551"/>
      <c r="AK643" s="551"/>
      <c r="AL643" s="551"/>
      <c r="AM643" s="551"/>
      <c r="AN643" s="551"/>
      <c r="AO643" s="551"/>
      <c r="AP643" s="551"/>
      <c r="AQ643" s="551"/>
      <c r="AR643" s="551"/>
      <c r="AS643" s="551"/>
      <c r="AT643" s="551"/>
      <c r="AU643" s="551"/>
      <c r="AV643" s="551"/>
      <c r="AW643" s="551"/>
      <c r="AX643" s="551"/>
      <c r="AY643" s="551"/>
      <c r="AZ643" s="551"/>
      <c r="BA643" s="551"/>
      <c r="BB643" s="551"/>
      <c r="BC643" s="551"/>
      <c r="BD643" s="551"/>
      <c r="BE643" s="551"/>
      <c r="BF643" s="551"/>
    </row>
    <row r="644" spans="1:58" ht="12.75" customHeight="1">
      <c r="A644" s="551"/>
      <c r="B644" s="551"/>
      <c r="C644" s="551"/>
      <c r="D644" s="551"/>
      <c r="E644" s="551"/>
      <c r="F644" s="551"/>
      <c r="G644" s="551"/>
      <c r="H644" s="551"/>
      <c r="I644" s="551"/>
      <c r="J644" s="551"/>
      <c r="K644" s="551"/>
      <c r="L644" s="551"/>
      <c r="M644" s="551"/>
      <c r="N644" s="551"/>
      <c r="O644" s="551"/>
      <c r="P644" s="551"/>
      <c r="Q644" s="551"/>
      <c r="R644" s="551"/>
      <c r="S644" s="551"/>
      <c r="T644" s="551"/>
      <c r="U644" s="551"/>
      <c r="V644" s="551"/>
      <c r="W644" s="551"/>
      <c r="X644" s="551"/>
      <c r="Y644" s="551"/>
      <c r="Z644" s="551"/>
      <c r="AA644" s="551"/>
      <c r="AB644" s="551"/>
      <c r="AC644" s="551"/>
      <c r="AD644" s="551"/>
      <c r="AE644" s="551"/>
      <c r="AF644" s="551"/>
      <c r="AG644" s="551"/>
      <c r="AH644" s="551"/>
      <c r="AI644" s="551"/>
      <c r="AJ644" s="551"/>
      <c r="AK644" s="551"/>
      <c r="AL644" s="551"/>
      <c r="AM644" s="551"/>
      <c r="AN644" s="551"/>
      <c r="AO644" s="551"/>
      <c r="AP644" s="551"/>
      <c r="AQ644" s="551"/>
      <c r="AR644" s="551"/>
      <c r="AS644" s="551"/>
      <c r="AT644" s="551"/>
      <c r="AU644" s="551"/>
      <c r="AV644" s="551"/>
      <c r="AW644" s="551"/>
      <c r="AX644" s="551"/>
      <c r="AY644" s="551"/>
      <c r="AZ644" s="551"/>
      <c r="BA644" s="551"/>
      <c r="BB644" s="551"/>
      <c r="BC644" s="551"/>
      <c r="BD644" s="551"/>
      <c r="BE644" s="551"/>
      <c r="BF644" s="551"/>
    </row>
    <row r="645" spans="1:58" ht="12.75" customHeight="1">
      <c r="A645" s="551"/>
      <c r="B645" s="551"/>
      <c r="C645" s="551"/>
      <c r="D645" s="551"/>
      <c r="E645" s="551"/>
      <c r="F645" s="551"/>
      <c r="G645" s="551"/>
      <c r="H645" s="551"/>
      <c r="I645" s="551"/>
      <c r="J645" s="551"/>
      <c r="K645" s="551"/>
      <c r="L645" s="551"/>
      <c r="M645" s="551"/>
      <c r="N645" s="551"/>
      <c r="O645" s="551"/>
      <c r="P645" s="551"/>
      <c r="Q645" s="551"/>
      <c r="R645" s="551"/>
      <c r="S645" s="551"/>
      <c r="T645" s="551"/>
      <c r="U645" s="551"/>
      <c r="V645" s="551"/>
      <c r="W645" s="551"/>
      <c r="X645" s="551"/>
      <c r="Y645" s="551"/>
      <c r="Z645" s="551"/>
      <c r="AA645" s="551"/>
      <c r="AB645" s="551"/>
      <c r="AC645" s="551"/>
      <c r="AD645" s="551"/>
      <c r="AE645" s="551"/>
      <c r="AF645" s="551"/>
      <c r="AG645" s="551"/>
      <c r="AH645" s="551"/>
      <c r="AI645" s="551"/>
      <c r="AJ645" s="551"/>
      <c r="AK645" s="551"/>
      <c r="AL645" s="551"/>
      <c r="AM645" s="551"/>
      <c r="AN645" s="551"/>
      <c r="AO645" s="551"/>
      <c r="AP645" s="551"/>
      <c r="AQ645" s="551"/>
      <c r="AR645" s="551"/>
      <c r="AS645" s="551"/>
      <c r="AT645" s="551"/>
      <c r="AU645" s="551"/>
      <c r="AV645" s="551"/>
      <c r="AW645" s="551"/>
      <c r="AX645" s="551"/>
      <c r="AY645" s="551"/>
      <c r="AZ645" s="551"/>
      <c r="BA645" s="551"/>
      <c r="BB645" s="551"/>
      <c r="BC645" s="551"/>
      <c r="BD645" s="551"/>
      <c r="BE645" s="551"/>
      <c r="BF645" s="551"/>
    </row>
    <row r="646" spans="1:58" ht="12.75" customHeight="1">
      <c r="A646" s="551"/>
      <c r="B646" s="551"/>
      <c r="C646" s="551"/>
      <c r="D646" s="551"/>
      <c r="E646" s="551"/>
      <c r="F646" s="551"/>
      <c r="G646" s="551"/>
      <c r="H646" s="551"/>
      <c r="I646" s="551"/>
      <c r="J646" s="551"/>
      <c r="K646" s="551"/>
      <c r="L646" s="551"/>
      <c r="M646" s="551"/>
      <c r="N646" s="551"/>
      <c r="O646" s="551"/>
      <c r="P646" s="551"/>
      <c r="Q646" s="551"/>
      <c r="R646" s="551"/>
      <c r="S646" s="551"/>
      <c r="T646" s="551"/>
      <c r="U646" s="551"/>
      <c r="V646" s="551"/>
      <c r="W646" s="551"/>
      <c r="X646" s="551"/>
      <c r="Y646" s="551"/>
      <c r="Z646" s="551"/>
      <c r="AA646" s="551"/>
      <c r="AB646" s="551"/>
      <c r="AC646" s="551"/>
      <c r="AD646" s="551"/>
      <c r="AE646" s="551"/>
      <c r="AF646" s="551"/>
      <c r="AG646" s="551"/>
      <c r="AH646" s="551"/>
      <c r="AI646" s="551"/>
      <c r="AJ646" s="551"/>
      <c r="AK646" s="551"/>
      <c r="AL646" s="551"/>
      <c r="AM646" s="551"/>
      <c r="AN646" s="551"/>
      <c r="AO646" s="551"/>
      <c r="AP646" s="551"/>
      <c r="AQ646" s="551"/>
      <c r="AR646" s="551"/>
      <c r="AS646" s="551"/>
      <c r="AT646" s="551"/>
      <c r="AU646" s="551"/>
      <c r="AV646" s="551"/>
      <c r="AW646" s="551"/>
      <c r="AX646" s="551"/>
      <c r="AY646" s="551"/>
      <c r="AZ646" s="551"/>
      <c r="BA646" s="551"/>
      <c r="BB646" s="551"/>
      <c r="BC646" s="551"/>
      <c r="BD646" s="551"/>
      <c r="BE646" s="551"/>
      <c r="BF646" s="551"/>
    </row>
    <row r="647" spans="1:58" ht="12.75" customHeight="1">
      <c r="A647" s="551"/>
      <c r="B647" s="551"/>
      <c r="C647" s="551"/>
      <c r="D647" s="551"/>
      <c r="E647" s="551"/>
      <c r="F647" s="551"/>
      <c r="G647" s="551"/>
      <c r="H647" s="551"/>
      <c r="I647" s="551"/>
      <c r="J647" s="551"/>
      <c r="K647" s="551"/>
      <c r="L647" s="551"/>
      <c r="M647" s="551"/>
      <c r="N647" s="551"/>
      <c r="O647" s="551"/>
      <c r="P647" s="551"/>
      <c r="Q647" s="551"/>
      <c r="R647" s="551"/>
      <c r="S647" s="551"/>
      <c r="T647" s="551"/>
      <c r="U647" s="551"/>
      <c r="V647" s="551"/>
      <c r="W647" s="551"/>
      <c r="X647" s="551"/>
      <c r="Y647" s="551"/>
      <c r="Z647" s="551"/>
      <c r="AA647" s="551"/>
      <c r="AB647" s="551"/>
      <c r="AC647" s="551"/>
      <c r="AD647" s="551"/>
      <c r="AE647" s="551"/>
      <c r="AF647" s="551"/>
      <c r="AG647" s="551"/>
      <c r="AH647" s="551"/>
      <c r="AI647" s="551"/>
      <c r="AJ647" s="551"/>
      <c r="AK647" s="551"/>
      <c r="AL647" s="551"/>
      <c r="AM647" s="551"/>
      <c r="AN647" s="551"/>
      <c r="AO647" s="551"/>
      <c r="AP647" s="551"/>
      <c r="AQ647" s="551"/>
      <c r="AR647" s="551"/>
      <c r="AS647" s="551"/>
      <c r="AT647" s="551"/>
      <c r="AU647" s="551"/>
      <c r="AV647" s="551"/>
      <c r="AW647" s="551"/>
      <c r="AX647" s="551"/>
      <c r="AY647" s="551"/>
      <c r="AZ647" s="551"/>
      <c r="BA647" s="551"/>
      <c r="BB647" s="551"/>
      <c r="BC647" s="551"/>
      <c r="BD647" s="551"/>
      <c r="BE647" s="551"/>
      <c r="BF647" s="551"/>
    </row>
    <row r="648" spans="1:58" ht="12.75" customHeight="1">
      <c r="A648" s="551"/>
      <c r="B648" s="551"/>
      <c r="C648" s="551"/>
      <c r="D648" s="551"/>
      <c r="E648" s="551"/>
      <c r="F648" s="551"/>
      <c r="G648" s="551"/>
      <c r="H648" s="551"/>
      <c r="I648" s="551"/>
      <c r="J648" s="551"/>
      <c r="K648" s="551"/>
      <c r="L648" s="551"/>
      <c r="M648" s="551"/>
      <c r="N648" s="551"/>
      <c r="O648" s="551"/>
      <c r="P648" s="551"/>
      <c r="Q648" s="551"/>
      <c r="R648" s="551"/>
      <c r="S648" s="551"/>
      <c r="T648" s="551"/>
      <c r="U648" s="551"/>
      <c r="V648" s="551"/>
      <c r="W648" s="551"/>
      <c r="X648" s="551"/>
      <c r="Y648" s="551"/>
      <c r="Z648" s="551"/>
      <c r="AA648" s="551"/>
      <c r="AB648" s="551"/>
      <c r="AC648" s="551"/>
      <c r="AD648" s="551"/>
      <c r="AE648" s="551"/>
      <c r="AF648" s="551"/>
      <c r="AG648" s="551"/>
      <c r="AH648" s="551"/>
      <c r="AI648" s="551"/>
      <c r="AJ648" s="551"/>
      <c r="AK648" s="551"/>
      <c r="AL648" s="551"/>
      <c r="AM648" s="551"/>
      <c r="AN648" s="551"/>
      <c r="AO648" s="551"/>
      <c r="AP648" s="551"/>
      <c r="AQ648" s="551"/>
      <c r="AR648" s="551"/>
      <c r="AS648" s="551"/>
      <c r="AT648" s="551"/>
      <c r="AU648" s="551"/>
      <c r="AV648" s="551"/>
      <c r="AW648" s="551"/>
      <c r="AX648" s="551"/>
      <c r="AY648" s="551"/>
      <c r="AZ648" s="551"/>
      <c r="BA648" s="551"/>
      <c r="BB648" s="551"/>
      <c r="BC648" s="551"/>
      <c r="BD648" s="551"/>
      <c r="BE648" s="551"/>
      <c r="BF648" s="551"/>
    </row>
    <row r="649" spans="1:58" ht="12.75" customHeight="1">
      <c r="A649" s="551"/>
      <c r="B649" s="551"/>
      <c r="C649" s="551"/>
      <c r="D649" s="551"/>
      <c r="E649" s="551"/>
      <c r="F649" s="551"/>
      <c r="G649" s="551"/>
      <c r="H649" s="551"/>
      <c r="I649" s="551"/>
      <c r="J649" s="551"/>
      <c r="K649" s="551"/>
      <c r="L649" s="551"/>
      <c r="M649" s="551"/>
      <c r="N649" s="551"/>
      <c r="O649" s="551"/>
      <c r="P649" s="551"/>
      <c r="Q649" s="551"/>
      <c r="R649" s="551"/>
      <c r="S649" s="551"/>
      <c r="T649" s="551"/>
      <c r="U649" s="551"/>
      <c r="V649" s="551"/>
      <c r="W649" s="551"/>
      <c r="X649" s="551"/>
      <c r="Y649" s="551"/>
      <c r="Z649" s="551"/>
      <c r="AA649" s="551"/>
      <c r="AB649" s="551"/>
      <c r="AC649" s="551"/>
      <c r="AD649" s="551"/>
      <c r="AE649" s="551"/>
      <c r="AF649" s="551"/>
      <c r="AG649" s="551"/>
      <c r="AH649" s="551"/>
      <c r="AI649" s="551"/>
      <c r="AJ649" s="551"/>
      <c r="AK649" s="551"/>
      <c r="AL649" s="551"/>
      <c r="AM649" s="551"/>
      <c r="AN649" s="551"/>
      <c r="AO649" s="551"/>
      <c r="AP649" s="551"/>
      <c r="AQ649" s="551"/>
      <c r="AR649" s="551"/>
      <c r="AS649" s="551"/>
      <c r="AT649" s="551"/>
      <c r="AU649" s="551"/>
      <c r="AV649" s="551"/>
      <c r="AW649" s="551"/>
      <c r="AX649" s="551"/>
      <c r="AY649" s="551"/>
      <c r="AZ649" s="551"/>
      <c r="BA649" s="551"/>
      <c r="BB649" s="551"/>
      <c r="BC649" s="551"/>
      <c r="BD649" s="551"/>
      <c r="BE649" s="551"/>
      <c r="BF649" s="551"/>
    </row>
    <row r="650" spans="1:58" ht="12.75" customHeight="1">
      <c r="A650" s="551"/>
      <c r="B650" s="551"/>
      <c r="C650" s="551"/>
      <c r="D650" s="551"/>
      <c r="E650" s="551"/>
      <c r="F650" s="551"/>
      <c r="G650" s="551"/>
      <c r="H650" s="551"/>
      <c r="I650" s="551"/>
      <c r="J650" s="551"/>
      <c r="K650" s="551"/>
      <c r="L650" s="551"/>
      <c r="M650" s="551"/>
      <c r="N650" s="551"/>
      <c r="O650" s="551"/>
      <c r="P650" s="551"/>
      <c r="Q650" s="551"/>
      <c r="R650" s="551"/>
      <c r="S650" s="551"/>
      <c r="T650" s="551"/>
      <c r="U650" s="551"/>
      <c r="V650" s="551"/>
      <c r="W650" s="551"/>
      <c r="X650" s="551"/>
      <c r="Y650" s="551"/>
      <c r="Z650" s="551"/>
      <c r="AA650" s="551"/>
      <c r="AB650" s="551"/>
      <c r="AC650" s="551"/>
      <c r="AD650" s="551"/>
      <c r="AE650" s="551"/>
      <c r="AF650" s="551"/>
      <c r="AG650" s="551"/>
      <c r="AH650" s="551"/>
      <c r="AI650" s="551"/>
      <c r="AJ650" s="551"/>
      <c r="AK650" s="551"/>
      <c r="AL650" s="551"/>
      <c r="AM650" s="551"/>
      <c r="AN650" s="551"/>
      <c r="AO650" s="551"/>
      <c r="AP650" s="551"/>
      <c r="AQ650" s="551"/>
      <c r="AR650" s="551"/>
      <c r="AS650" s="551"/>
      <c r="AT650" s="551"/>
      <c r="AU650" s="551"/>
      <c r="AV650" s="551"/>
      <c r="AW650" s="551"/>
      <c r="AX650" s="551"/>
      <c r="AY650" s="551"/>
      <c r="AZ650" s="551"/>
      <c r="BA650" s="551"/>
      <c r="BB650" s="551"/>
      <c r="BC650" s="551"/>
      <c r="BD650" s="551"/>
      <c r="BE650" s="551"/>
      <c r="BF650" s="551"/>
    </row>
    <row r="651" spans="1:58" ht="12.75" customHeight="1">
      <c r="A651" s="551"/>
      <c r="B651" s="551"/>
      <c r="C651" s="551"/>
      <c r="D651" s="551"/>
      <c r="E651" s="551"/>
      <c r="F651" s="551"/>
      <c r="G651" s="551"/>
      <c r="H651" s="551"/>
      <c r="I651" s="551"/>
      <c r="J651" s="551"/>
      <c r="K651" s="551"/>
      <c r="L651" s="551"/>
      <c r="M651" s="551"/>
      <c r="N651" s="551"/>
      <c r="O651" s="551"/>
      <c r="P651" s="551"/>
      <c r="Q651" s="551"/>
      <c r="R651" s="551"/>
      <c r="S651" s="551"/>
      <c r="T651" s="551"/>
      <c r="U651" s="551"/>
      <c r="V651" s="551"/>
      <c r="W651" s="551"/>
      <c r="X651" s="551"/>
      <c r="Y651" s="551"/>
      <c r="Z651" s="551"/>
      <c r="AA651" s="551"/>
      <c r="AB651" s="551"/>
      <c r="AC651" s="551"/>
      <c r="AD651" s="551"/>
      <c r="AE651" s="551"/>
      <c r="AF651" s="551"/>
      <c r="AG651" s="551"/>
      <c r="AH651" s="551"/>
      <c r="AI651" s="551"/>
      <c r="AJ651" s="551"/>
      <c r="AK651" s="551"/>
      <c r="AL651" s="551"/>
      <c r="AM651" s="551"/>
      <c r="AN651" s="551"/>
      <c r="AO651" s="551"/>
      <c r="AP651" s="551"/>
      <c r="AQ651" s="551"/>
      <c r="AR651" s="551"/>
      <c r="AS651" s="551"/>
      <c r="AT651" s="551"/>
      <c r="AU651" s="551"/>
      <c r="AV651" s="551"/>
      <c r="AW651" s="551"/>
      <c r="AX651" s="551"/>
      <c r="AY651" s="551"/>
      <c r="AZ651" s="551"/>
      <c r="BA651" s="551"/>
      <c r="BB651" s="551"/>
      <c r="BC651" s="551"/>
      <c r="BD651" s="551"/>
      <c r="BE651" s="551"/>
      <c r="BF651" s="551"/>
    </row>
    <row r="652" spans="1:58" ht="12.75" customHeight="1">
      <c r="A652" s="551"/>
      <c r="B652" s="551"/>
      <c r="C652" s="551"/>
      <c r="D652" s="551"/>
      <c r="E652" s="551"/>
      <c r="F652" s="551"/>
      <c r="G652" s="551"/>
      <c r="H652" s="551"/>
      <c r="I652" s="551"/>
      <c r="J652" s="551"/>
      <c r="K652" s="551"/>
      <c r="L652" s="551"/>
      <c r="M652" s="551"/>
      <c r="N652" s="551"/>
      <c r="O652" s="551"/>
      <c r="P652" s="551"/>
      <c r="Q652" s="551"/>
      <c r="R652" s="551"/>
      <c r="S652" s="551"/>
      <c r="T652" s="551"/>
      <c r="U652" s="551"/>
      <c r="V652" s="551"/>
      <c r="W652" s="551"/>
      <c r="X652" s="551"/>
      <c r="Y652" s="551"/>
      <c r="Z652" s="551"/>
      <c r="AA652" s="551"/>
      <c r="AB652" s="551"/>
      <c r="AC652" s="551"/>
      <c r="AD652" s="551"/>
      <c r="AE652" s="551"/>
      <c r="AF652" s="551"/>
      <c r="AG652" s="551"/>
      <c r="AH652" s="551"/>
      <c r="AI652" s="551"/>
      <c r="AJ652" s="551"/>
      <c r="AK652" s="551"/>
      <c r="AL652" s="551"/>
      <c r="AM652" s="551"/>
      <c r="AN652" s="551"/>
      <c r="AO652" s="551"/>
      <c r="AP652" s="551"/>
      <c r="AQ652" s="551"/>
      <c r="AR652" s="551"/>
      <c r="AS652" s="551"/>
      <c r="AT652" s="551"/>
      <c r="AU652" s="551"/>
      <c r="AV652" s="551"/>
      <c r="AW652" s="551"/>
      <c r="AX652" s="551"/>
      <c r="AY652" s="551"/>
      <c r="AZ652" s="551"/>
      <c r="BA652" s="551"/>
      <c r="BB652" s="551"/>
      <c r="BC652" s="551"/>
      <c r="BD652" s="551"/>
      <c r="BE652" s="551"/>
      <c r="BF652" s="551"/>
    </row>
    <row r="653" spans="1:58" ht="12.75" customHeight="1">
      <c r="A653" s="551"/>
      <c r="B653" s="551"/>
      <c r="C653" s="551"/>
      <c r="D653" s="551"/>
      <c r="E653" s="551"/>
      <c r="F653" s="551"/>
      <c r="G653" s="551"/>
      <c r="H653" s="551"/>
      <c r="I653" s="551"/>
      <c r="J653" s="551"/>
      <c r="K653" s="551"/>
      <c r="L653" s="551"/>
      <c r="M653" s="551"/>
      <c r="N653" s="551"/>
      <c r="O653" s="551"/>
      <c r="P653" s="551"/>
      <c r="Q653" s="551"/>
      <c r="R653" s="551"/>
      <c r="S653" s="551"/>
      <c r="T653" s="551"/>
      <c r="U653" s="551"/>
      <c r="V653" s="551"/>
      <c r="W653" s="551"/>
      <c r="X653" s="551"/>
      <c r="Y653" s="551"/>
      <c r="Z653" s="551"/>
      <c r="AA653" s="551"/>
      <c r="AB653" s="551"/>
      <c r="AC653" s="551"/>
      <c r="AD653" s="551"/>
      <c r="AE653" s="551"/>
      <c r="AF653" s="551"/>
      <c r="AG653" s="551"/>
      <c r="AH653" s="551"/>
      <c r="AI653" s="551"/>
      <c r="AJ653" s="551"/>
      <c r="AK653" s="551"/>
      <c r="AL653" s="551"/>
      <c r="AM653" s="551"/>
      <c r="AN653" s="551"/>
      <c r="AO653" s="551"/>
      <c r="AP653" s="551"/>
      <c r="AQ653" s="551"/>
      <c r="AR653" s="551"/>
      <c r="AS653" s="551"/>
      <c r="AT653" s="551"/>
      <c r="AU653" s="551"/>
      <c r="AV653" s="551"/>
      <c r="AW653" s="551"/>
      <c r="AX653" s="551"/>
      <c r="AY653" s="551"/>
      <c r="AZ653" s="551"/>
      <c r="BA653" s="551"/>
      <c r="BB653" s="551"/>
      <c r="BC653" s="551"/>
      <c r="BD653" s="551"/>
      <c r="BE653" s="551"/>
      <c r="BF653" s="551"/>
    </row>
    <row r="654" spans="1:58" ht="12.75" customHeight="1">
      <c r="A654" s="551"/>
      <c r="B654" s="551"/>
      <c r="C654" s="551"/>
      <c r="D654" s="551"/>
      <c r="E654" s="551"/>
      <c r="F654" s="551"/>
      <c r="G654" s="551"/>
      <c r="H654" s="551"/>
      <c r="I654" s="551"/>
      <c r="J654" s="551"/>
      <c r="K654" s="551"/>
      <c r="L654" s="551"/>
      <c r="M654" s="551"/>
      <c r="N654" s="551"/>
      <c r="O654" s="551"/>
      <c r="P654" s="551"/>
      <c r="Q654" s="551"/>
      <c r="R654" s="551"/>
      <c r="S654" s="551"/>
      <c r="T654" s="551"/>
      <c r="U654" s="551"/>
      <c r="V654" s="551"/>
      <c r="W654" s="551"/>
      <c r="X654" s="551"/>
      <c r="Y654" s="551"/>
      <c r="Z654" s="551"/>
      <c r="AA654" s="551"/>
      <c r="AB654" s="551"/>
      <c r="AC654" s="551"/>
      <c r="AD654" s="551"/>
      <c r="AE654" s="551"/>
      <c r="AF654" s="551"/>
      <c r="AG654" s="551"/>
      <c r="AH654" s="551"/>
      <c r="AI654" s="551"/>
      <c r="AJ654" s="551"/>
      <c r="AK654" s="551"/>
      <c r="AL654" s="551"/>
      <c r="AM654" s="551"/>
      <c r="AN654" s="551"/>
      <c r="AO654" s="551"/>
      <c r="AP654" s="551"/>
      <c r="AQ654" s="551"/>
      <c r="AR654" s="551"/>
      <c r="AS654" s="551"/>
      <c r="AT654" s="551"/>
      <c r="AU654" s="551"/>
      <c r="AV654" s="551"/>
      <c r="AW654" s="551"/>
      <c r="AX654" s="551"/>
      <c r="AY654" s="551"/>
      <c r="AZ654" s="551"/>
      <c r="BA654" s="551"/>
      <c r="BB654" s="551"/>
      <c r="BC654" s="551"/>
      <c r="BD654" s="551"/>
      <c r="BE654" s="551"/>
      <c r="BF654" s="551"/>
    </row>
    <row r="655" spans="1:58" ht="12.75" customHeight="1">
      <c r="A655" s="551"/>
      <c r="B655" s="551"/>
      <c r="C655" s="551"/>
      <c r="D655" s="551"/>
      <c r="E655" s="551"/>
      <c r="F655" s="551"/>
      <c r="G655" s="551"/>
      <c r="H655" s="551"/>
      <c r="I655" s="551"/>
      <c r="J655" s="551"/>
      <c r="K655" s="551"/>
      <c r="L655" s="551"/>
      <c r="M655" s="551"/>
      <c r="N655" s="551"/>
      <c r="O655" s="551"/>
      <c r="P655" s="551"/>
      <c r="Q655" s="551"/>
      <c r="R655" s="551"/>
      <c r="S655" s="551"/>
      <c r="T655" s="551"/>
      <c r="U655" s="551"/>
      <c r="V655" s="551"/>
      <c r="W655" s="551"/>
      <c r="X655" s="551"/>
      <c r="Y655" s="551"/>
      <c r="Z655" s="551"/>
      <c r="AA655" s="551"/>
      <c r="AB655" s="551"/>
      <c r="AC655" s="551"/>
      <c r="AD655" s="551"/>
      <c r="AE655" s="551"/>
      <c r="AF655" s="551"/>
      <c r="AG655" s="551"/>
      <c r="AH655" s="551"/>
      <c r="AI655" s="551"/>
      <c r="AJ655" s="551"/>
      <c r="AK655" s="551"/>
      <c r="AL655" s="551"/>
      <c r="AM655" s="551"/>
      <c r="AN655" s="551"/>
      <c r="AO655" s="551"/>
      <c r="AP655" s="551"/>
      <c r="AQ655" s="551"/>
      <c r="AR655" s="551"/>
      <c r="AS655" s="551"/>
      <c r="AT655" s="551"/>
      <c r="AU655" s="551"/>
      <c r="AV655" s="551"/>
      <c r="AW655" s="551"/>
      <c r="AX655" s="551"/>
      <c r="AY655" s="551"/>
      <c r="AZ655" s="551"/>
      <c r="BA655" s="551"/>
      <c r="BB655" s="551"/>
      <c r="BC655" s="551"/>
      <c r="BD655" s="551"/>
      <c r="BE655" s="551"/>
      <c r="BF655" s="551"/>
    </row>
    <row r="656" spans="1:58" ht="12.75" customHeight="1">
      <c r="A656" s="551"/>
      <c r="B656" s="551"/>
      <c r="C656" s="551"/>
      <c r="D656" s="551"/>
      <c r="E656" s="551"/>
      <c r="F656" s="551"/>
      <c r="G656" s="551"/>
      <c r="H656" s="551"/>
      <c r="I656" s="551"/>
      <c r="J656" s="551"/>
      <c r="K656" s="551"/>
      <c r="L656" s="551"/>
      <c r="M656" s="551"/>
      <c r="N656" s="551"/>
      <c r="O656" s="551"/>
      <c r="P656" s="551"/>
      <c r="Q656" s="551"/>
      <c r="R656" s="551"/>
      <c r="S656" s="551"/>
      <c r="T656" s="551"/>
      <c r="U656" s="551"/>
      <c r="V656" s="551"/>
      <c r="W656" s="551"/>
      <c r="X656" s="551"/>
      <c r="Y656" s="551"/>
      <c r="Z656" s="551"/>
      <c r="AA656" s="551"/>
      <c r="AB656" s="551"/>
      <c r="AC656" s="551"/>
      <c r="AD656" s="551"/>
      <c r="AE656" s="551"/>
      <c r="AF656" s="551"/>
      <c r="AG656" s="551"/>
      <c r="AH656" s="551"/>
      <c r="AI656" s="551"/>
      <c r="AJ656" s="551"/>
      <c r="AK656" s="551"/>
      <c r="AL656" s="551"/>
      <c r="AM656" s="551"/>
      <c r="AN656" s="551"/>
      <c r="AO656" s="551"/>
      <c r="AP656" s="551"/>
      <c r="AQ656" s="551"/>
      <c r="AR656" s="551"/>
      <c r="AS656" s="551"/>
      <c r="AT656" s="551"/>
      <c r="AU656" s="551"/>
      <c r="AV656" s="551"/>
      <c r="AW656" s="551"/>
      <c r="AX656" s="551"/>
      <c r="AY656" s="551"/>
      <c r="AZ656" s="551"/>
      <c r="BA656" s="551"/>
      <c r="BB656" s="551"/>
      <c r="BC656" s="551"/>
      <c r="BD656" s="551"/>
      <c r="BE656" s="551"/>
      <c r="BF656" s="551"/>
    </row>
    <row r="657" spans="1:58" ht="12.75" customHeight="1">
      <c r="A657" s="551"/>
      <c r="B657" s="551"/>
      <c r="C657" s="551"/>
      <c r="D657" s="551"/>
      <c r="E657" s="551"/>
      <c r="F657" s="551"/>
      <c r="G657" s="551"/>
      <c r="H657" s="551"/>
      <c r="I657" s="551"/>
      <c r="J657" s="551"/>
      <c r="K657" s="551"/>
      <c r="L657" s="551"/>
      <c r="M657" s="551"/>
      <c r="N657" s="551"/>
      <c r="O657" s="551"/>
      <c r="P657" s="551"/>
      <c r="Q657" s="551"/>
      <c r="R657" s="551"/>
      <c r="S657" s="551"/>
      <c r="T657" s="551"/>
      <c r="U657" s="551"/>
      <c r="V657" s="551"/>
      <c r="W657" s="551"/>
      <c r="X657" s="551"/>
      <c r="Y657" s="551"/>
      <c r="Z657" s="551"/>
      <c r="AA657" s="551"/>
      <c r="AB657" s="551"/>
      <c r="AC657" s="551"/>
      <c r="AD657" s="551"/>
      <c r="AE657" s="551"/>
      <c r="AF657" s="551"/>
      <c r="AG657" s="551"/>
      <c r="AH657" s="551"/>
      <c r="AI657" s="551"/>
      <c r="AJ657" s="551"/>
      <c r="AK657" s="551"/>
      <c r="AL657" s="551"/>
      <c r="AM657" s="551"/>
      <c r="AN657" s="551"/>
      <c r="AO657" s="551"/>
      <c r="AP657" s="551"/>
      <c r="AQ657" s="551"/>
      <c r="AR657" s="551"/>
      <c r="AS657" s="551"/>
      <c r="AT657" s="551"/>
      <c r="AU657" s="551"/>
      <c r="AV657" s="551"/>
      <c r="AW657" s="551"/>
      <c r="AX657" s="551"/>
      <c r="AY657" s="551"/>
      <c r="AZ657" s="551"/>
      <c r="BA657" s="551"/>
      <c r="BB657" s="551"/>
      <c r="BC657" s="551"/>
      <c r="BD657" s="551"/>
      <c r="BE657" s="551"/>
      <c r="BF657" s="551"/>
    </row>
    <row r="658" spans="1:58" ht="12.75" customHeight="1">
      <c r="A658" s="551"/>
      <c r="B658" s="551"/>
      <c r="C658" s="551"/>
      <c r="D658" s="551"/>
      <c r="E658" s="551"/>
      <c r="F658" s="551"/>
      <c r="G658" s="551"/>
      <c r="H658" s="551"/>
      <c r="I658" s="551"/>
      <c r="J658" s="551"/>
      <c r="K658" s="551"/>
      <c r="L658" s="551"/>
      <c r="M658" s="551"/>
      <c r="N658" s="551"/>
      <c r="O658" s="551"/>
      <c r="P658" s="551"/>
      <c r="Q658" s="551"/>
      <c r="R658" s="551"/>
      <c r="S658" s="551"/>
      <c r="T658" s="551"/>
      <c r="U658" s="551"/>
      <c r="V658" s="551"/>
      <c r="W658" s="551"/>
      <c r="X658" s="551"/>
      <c r="Y658" s="551"/>
      <c r="Z658" s="551"/>
      <c r="AA658" s="551"/>
      <c r="AB658" s="551"/>
      <c r="AC658" s="551"/>
      <c r="AD658" s="551"/>
      <c r="AE658" s="551"/>
      <c r="AF658" s="551"/>
      <c r="AG658" s="551"/>
      <c r="AH658" s="551"/>
      <c r="AI658" s="551"/>
      <c r="AJ658" s="551"/>
      <c r="AK658" s="551"/>
      <c r="AL658" s="551"/>
      <c r="AM658" s="551"/>
      <c r="AN658" s="551"/>
      <c r="AO658" s="551"/>
      <c r="AP658" s="551"/>
      <c r="AQ658" s="551"/>
      <c r="AR658" s="551"/>
      <c r="AS658" s="551"/>
      <c r="AT658" s="551"/>
      <c r="AU658" s="551"/>
      <c r="AV658" s="551"/>
      <c r="AW658" s="551"/>
      <c r="AX658" s="551"/>
      <c r="AY658" s="551"/>
      <c r="AZ658" s="551"/>
      <c r="BA658" s="551"/>
      <c r="BB658" s="551"/>
      <c r="BC658" s="551"/>
      <c r="BD658" s="551"/>
      <c r="BE658" s="551"/>
      <c r="BF658" s="551"/>
    </row>
    <row r="659" spans="1:58" ht="12.75" customHeight="1">
      <c r="A659" s="551"/>
      <c r="B659" s="551"/>
      <c r="C659" s="551"/>
      <c r="D659" s="551"/>
      <c r="E659" s="551"/>
      <c r="F659" s="551"/>
      <c r="G659" s="551"/>
      <c r="H659" s="551"/>
      <c r="I659" s="551"/>
      <c r="J659" s="551"/>
      <c r="K659" s="551"/>
      <c r="L659" s="551"/>
      <c r="M659" s="551"/>
      <c r="N659" s="551"/>
      <c r="O659" s="551"/>
      <c r="P659" s="551"/>
      <c r="Q659" s="551"/>
      <c r="R659" s="551"/>
      <c r="S659" s="551"/>
      <c r="T659" s="551"/>
      <c r="U659" s="551"/>
      <c r="V659" s="551"/>
      <c r="W659" s="551"/>
      <c r="X659" s="551"/>
      <c r="Y659" s="551"/>
      <c r="Z659" s="551"/>
      <c r="AA659" s="551"/>
      <c r="AB659" s="551"/>
      <c r="AC659" s="551"/>
      <c r="AD659" s="551"/>
      <c r="AE659" s="551"/>
      <c r="AF659" s="551"/>
      <c r="AG659" s="551"/>
      <c r="AH659" s="551"/>
      <c r="AI659" s="551"/>
      <c r="AJ659" s="551"/>
      <c r="AK659" s="551"/>
      <c r="AL659" s="551"/>
      <c r="AM659" s="551"/>
      <c r="AN659" s="551"/>
      <c r="AO659" s="551"/>
      <c r="AP659" s="551"/>
      <c r="AQ659" s="551"/>
      <c r="AR659" s="551"/>
      <c r="AS659" s="551"/>
      <c r="AT659" s="551"/>
      <c r="AU659" s="551"/>
      <c r="AV659" s="551"/>
      <c r="AW659" s="551"/>
      <c r="AX659" s="551"/>
      <c r="AY659" s="551"/>
      <c r="AZ659" s="551"/>
      <c r="BA659" s="551"/>
      <c r="BB659" s="551"/>
      <c r="BC659" s="551"/>
      <c r="BD659" s="551"/>
      <c r="BE659" s="551"/>
      <c r="BF659" s="551"/>
    </row>
    <row r="660" spans="1:58" ht="12.75" customHeight="1">
      <c r="A660" s="551"/>
      <c r="B660" s="551"/>
      <c r="C660" s="551"/>
      <c r="D660" s="551"/>
      <c r="E660" s="551"/>
      <c r="F660" s="551"/>
      <c r="G660" s="551"/>
      <c r="H660" s="551"/>
      <c r="I660" s="551"/>
      <c r="J660" s="551"/>
      <c r="K660" s="551"/>
      <c r="L660" s="551"/>
      <c r="M660" s="551"/>
      <c r="N660" s="551"/>
      <c r="O660" s="551"/>
      <c r="P660" s="551"/>
      <c r="Q660" s="551"/>
      <c r="R660" s="551"/>
      <c r="S660" s="551"/>
      <c r="T660" s="551"/>
      <c r="U660" s="551"/>
      <c r="V660" s="551"/>
      <c r="W660" s="551"/>
      <c r="X660" s="551"/>
      <c r="Y660" s="551"/>
      <c r="Z660" s="551"/>
      <c r="AA660" s="551"/>
      <c r="AB660" s="551"/>
      <c r="AC660" s="551"/>
      <c r="AD660" s="551"/>
      <c r="AE660" s="551"/>
      <c r="AF660" s="551"/>
      <c r="AG660" s="551"/>
      <c r="AH660" s="551"/>
      <c r="AI660" s="551"/>
      <c r="AJ660" s="551"/>
      <c r="AK660" s="551"/>
      <c r="AL660" s="551"/>
      <c r="AM660" s="551"/>
      <c r="AN660" s="551"/>
      <c r="AO660" s="551"/>
      <c r="AP660" s="551"/>
      <c r="AQ660" s="551"/>
      <c r="AR660" s="551"/>
      <c r="AS660" s="551"/>
      <c r="AT660" s="551"/>
      <c r="AU660" s="551"/>
      <c r="AV660" s="551"/>
      <c r="AW660" s="551"/>
      <c r="AX660" s="551"/>
      <c r="AY660" s="551"/>
      <c r="AZ660" s="551"/>
      <c r="BA660" s="551"/>
      <c r="BB660" s="551"/>
      <c r="BC660" s="551"/>
      <c r="BD660" s="551"/>
      <c r="BE660" s="551"/>
      <c r="BF660" s="551"/>
    </row>
    <row r="661" spans="1:58" ht="12.75" customHeight="1">
      <c r="A661" s="551"/>
      <c r="B661" s="551"/>
      <c r="C661" s="551"/>
      <c r="D661" s="551"/>
      <c r="E661" s="551"/>
      <c r="F661" s="551"/>
      <c r="G661" s="551"/>
      <c r="H661" s="551"/>
      <c r="I661" s="551"/>
      <c r="J661" s="551"/>
      <c r="K661" s="551"/>
      <c r="L661" s="551"/>
      <c r="M661" s="551"/>
      <c r="N661" s="551"/>
      <c r="O661" s="551"/>
      <c r="P661" s="551"/>
      <c r="Q661" s="551"/>
      <c r="R661" s="551"/>
      <c r="S661" s="551"/>
      <c r="T661" s="551"/>
      <c r="U661" s="551"/>
      <c r="V661" s="551"/>
      <c r="W661" s="551"/>
      <c r="X661" s="551"/>
      <c r="Y661" s="551"/>
      <c r="Z661" s="551"/>
      <c r="AA661" s="551"/>
      <c r="AB661" s="551"/>
      <c r="AC661" s="551"/>
      <c r="AD661" s="551"/>
      <c r="AE661" s="551"/>
      <c r="AF661" s="551"/>
      <c r="AG661" s="551"/>
      <c r="AH661" s="551"/>
      <c r="AI661" s="551"/>
      <c r="AJ661" s="551"/>
      <c r="AK661" s="551"/>
      <c r="AL661" s="551"/>
      <c r="AM661" s="551"/>
      <c r="AN661" s="551"/>
      <c r="AO661" s="551"/>
      <c r="AP661" s="551"/>
      <c r="AQ661" s="551"/>
      <c r="AR661" s="551"/>
      <c r="AS661" s="551"/>
      <c r="AT661" s="551"/>
      <c r="AU661" s="551"/>
      <c r="AV661" s="551"/>
      <c r="AW661" s="551"/>
      <c r="AX661" s="551"/>
      <c r="AY661" s="551"/>
      <c r="AZ661" s="551"/>
      <c r="BA661" s="551"/>
      <c r="BB661" s="551"/>
      <c r="BC661" s="551"/>
      <c r="BD661" s="551"/>
      <c r="BE661" s="551"/>
      <c r="BF661" s="551"/>
    </row>
    <row r="662" spans="1:58" ht="12.75" customHeight="1">
      <c r="A662" s="551"/>
      <c r="B662" s="551"/>
      <c r="C662" s="551"/>
      <c r="D662" s="551"/>
      <c r="E662" s="551"/>
      <c r="F662" s="551"/>
      <c r="G662" s="551"/>
      <c r="H662" s="551"/>
      <c r="I662" s="551"/>
      <c r="J662" s="551"/>
      <c r="K662" s="551"/>
      <c r="L662" s="551"/>
      <c r="M662" s="551"/>
      <c r="N662" s="551"/>
      <c r="O662" s="551"/>
      <c r="P662" s="551"/>
      <c r="Q662" s="551"/>
      <c r="R662" s="551"/>
      <c r="S662" s="551"/>
      <c r="T662" s="551"/>
      <c r="U662" s="551"/>
      <c r="V662" s="551"/>
      <c r="W662" s="551"/>
      <c r="X662" s="551"/>
      <c r="Y662" s="551"/>
      <c r="Z662" s="551"/>
      <c r="AA662" s="551"/>
      <c r="AB662" s="551"/>
      <c r="AC662" s="551"/>
      <c r="AD662" s="551"/>
      <c r="AE662" s="551"/>
      <c r="AF662" s="551"/>
      <c r="AG662" s="551"/>
      <c r="AH662" s="551"/>
      <c r="AI662" s="551"/>
      <c r="AJ662" s="551"/>
      <c r="AK662" s="551"/>
      <c r="AL662" s="551"/>
      <c r="AM662" s="551"/>
      <c r="AN662" s="551"/>
      <c r="AO662" s="551"/>
      <c r="AP662" s="551"/>
      <c r="AQ662" s="551"/>
      <c r="AR662" s="551"/>
      <c r="AS662" s="551"/>
      <c r="AT662" s="551"/>
      <c r="AU662" s="551"/>
      <c r="AV662" s="551"/>
      <c r="AW662" s="551"/>
      <c r="AX662" s="551"/>
      <c r="AY662" s="551"/>
      <c r="AZ662" s="551"/>
      <c r="BA662" s="551"/>
      <c r="BB662" s="551"/>
      <c r="BC662" s="551"/>
      <c r="BD662" s="551"/>
      <c r="BE662" s="551"/>
      <c r="BF662" s="551"/>
    </row>
    <row r="663" spans="1:58" ht="12.75" customHeight="1">
      <c r="A663" s="551"/>
      <c r="B663" s="551"/>
      <c r="C663" s="551"/>
      <c r="D663" s="551"/>
      <c r="E663" s="551"/>
      <c r="F663" s="551"/>
      <c r="G663" s="551"/>
      <c r="H663" s="551"/>
      <c r="I663" s="551"/>
      <c r="J663" s="551"/>
      <c r="K663" s="551"/>
      <c r="L663" s="551"/>
      <c r="M663" s="551"/>
      <c r="N663" s="551"/>
      <c r="O663" s="551"/>
      <c r="P663" s="551"/>
      <c r="Q663" s="551"/>
      <c r="R663" s="551"/>
      <c r="S663" s="551"/>
      <c r="T663" s="551"/>
      <c r="U663" s="551"/>
      <c r="V663" s="551"/>
      <c r="W663" s="551"/>
      <c r="X663" s="551"/>
      <c r="Y663" s="551"/>
      <c r="Z663" s="551"/>
      <c r="AA663" s="551"/>
      <c r="AB663" s="551"/>
      <c r="AC663" s="551"/>
      <c r="AD663" s="551"/>
      <c r="AE663" s="551"/>
      <c r="AF663" s="551"/>
      <c r="AG663" s="551"/>
      <c r="AH663" s="551"/>
      <c r="AI663" s="551"/>
      <c r="AJ663" s="551"/>
      <c r="AK663" s="551"/>
      <c r="AL663" s="551"/>
      <c r="AM663" s="551"/>
      <c r="AN663" s="551"/>
      <c r="AO663" s="551"/>
      <c r="AP663" s="551"/>
      <c r="AQ663" s="551"/>
      <c r="AR663" s="551"/>
      <c r="AS663" s="551"/>
      <c r="AT663" s="551"/>
      <c r="AU663" s="551"/>
      <c r="AV663" s="551"/>
      <c r="AW663" s="551"/>
      <c r="AX663" s="551"/>
      <c r="AY663" s="551"/>
      <c r="AZ663" s="551"/>
      <c r="BA663" s="551"/>
      <c r="BB663" s="551"/>
      <c r="BC663" s="551"/>
      <c r="BD663" s="551"/>
      <c r="BE663" s="551"/>
      <c r="BF663" s="551"/>
    </row>
    <row r="664" spans="1:58" ht="12.75" customHeight="1">
      <c r="A664" s="551"/>
      <c r="B664" s="551"/>
      <c r="C664" s="551"/>
      <c r="D664" s="551"/>
      <c r="E664" s="551"/>
      <c r="F664" s="551"/>
      <c r="G664" s="551"/>
      <c r="H664" s="551"/>
      <c r="I664" s="551"/>
      <c r="J664" s="551"/>
      <c r="K664" s="551"/>
      <c r="L664" s="551"/>
      <c r="M664" s="551"/>
      <c r="N664" s="551"/>
      <c r="O664" s="551"/>
      <c r="P664" s="551"/>
      <c r="Q664" s="551"/>
      <c r="R664" s="551"/>
      <c r="S664" s="551"/>
      <c r="T664" s="551"/>
      <c r="U664" s="551"/>
      <c r="V664" s="551"/>
      <c r="W664" s="551"/>
      <c r="X664" s="551"/>
      <c r="Y664" s="551"/>
      <c r="Z664" s="551"/>
      <c r="AA664" s="551"/>
      <c r="AB664" s="551"/>
      <c r="AC664" s="551"/>
      <c r="AD664" s="551"/>
      <c r="AE664" s="551"/>
      <c r="AF664" s="551"/>
      <c r="AG664" s="551"/>
      <c r="AH664" s="551"/>
      <c r="AI664" s="551"/>
      <c r="AJ664" s="551"/>
      <c r="AK664" s="551"/>
      <c r="AL664" s="551"/>
      <c r="AM664" s="551"/>
      <c r="AN664" s="551"/>
      <c r="AO664" s="551"/>
      <c r="AP664" s="551"/>
      <c r="AQ664" s="551"/>
      <c r="AR664" s="551"/>
      <c r="AS664" s="551"/>
      <c r="AT664" s="551"/>
      <c r="AU664" s="551"/>
      <c r="AV664" s="551"/>
      <c r="AW664" s="551"/>
      <c r="AX664" s="551"/>
      <c r="AY664" s="551"/>
      <c r="AZ664" s="551"/>
      <c r="BA664" s="551"/>
      <c r="BB664" s="551"/>
      <c r="BC664" s="551"/>
      <c r="BD664" s="551"/>
      <c r="BE664" s="551"/>
      <c r="BF664" s="551"/>
    </row>
    <row r="665" spans="1:58" ht="12.75" customHeight="1">
      <c r="A665" s="551"/>
      <c r="B665" s="551"/>
      <c r="C665" s="551"/>
      <c r="D665" s="551"/>
      <c r="E665" s="551"/>
      <c r="F665" s="551"/>
      <c r="G665" s="551"/>
      <c r="H665" s="551"/>
      <c r="I665" s="551"/>
      <c r="J665" s="551"/>
      <c r="K665" s="551"/>
      <c r="L665" s="551"/>
      <c r="M665" s="551"/>
      <c r="N665" s="551"/>
      <c r="O665" s="551"/>
      <c r="P665" s="551"/>
      <c r="Q665" s="551"/>
      <c r="R665" s="551"/>
      <c r="S665" s="551"/>
      <c r="T665" s="551"/>
      <c r="U665" s="551"/>
      <c r="V665" s="551"/>
      <c r="W665" s="551"/>
      <c r="X665" s="551"/>
      <c r="Y665" s="551"/>
      <c r="Z665" s="551"/>
      <c r="AA665" s="551"/>
      <c r="AB665" s="551"/>
      <c r="AC665" s="551"/>
      <c r="AD665" s="551"/>
      <c r="AE665" s="551"/>
      <c r="AF665" s="551"/>
      <c r="AG665" s="551"/>
      <c r="AH665" s="551"/>
      <c r="AI665" s="551"/>
      <c r="AJ665" s="551"/>
      <c r="AK665" s="551"/>
      <c r="AL665" s="551"/>
      <c r="AM665" s="551"/>
      <c r="AN665" s="551"/>
      <c r="AO665" s="551"/>
      <c r="AP665" s="551"/>
      <c r="AQ665" s="551"/>
      <c r="AR665" s="551"/>
      <c r="AS665" s="551"/>
      <c r="AT665" s="551"/>
      <c r="AU665" s="551"/>
      <c r="AV665" s="551"/>
      <c r="AW665" s="551"/>
      <c r="AX665" s="551"/>
      <c r="AY665" s="551"/>
      <c r="AZ665" s="551"/>
      <c r="BA665" s="551"/>
      <c r="BB665" s="551"/>
      <c r="BC665" s="551"/>
      <c r="BD665" s="551"/>
      <c r="BE665" s="551"/>
      <c r="BF665" s="551"/>
    </row>
    <row r="666" spans="1:58" ht="12.75" customHeight="1">
      <c r="A666" s="551"/>
      <c r="B666" s="551"/>
      <c r="C666" s="551"/>
      <c r="D666" s="551"/>
      <c r="E666" s="551"/>
      <c r="F666" s="551"/>
      <c r="G666" s="551"/>
      <c r="H666" s="551"/>
      <c r="I666" s="551"/>
      <c r="J666" s="551"/>
      <c r="K666" s="551"/>
      <c r="L666" s="551"/>
      <c r="M666" s="551"/>
      <c r="N666" s="551"/>
      <c r="O666" s="551"/>
      <c r="P666" s="551"/>
      <c r="Q666" s="551"/>
      <c r="R666" s="551"/>
      <c r="S666" s="551"/>
      <c r="T666" s="551"/>
      <c r="U666" s="551"/>
      <c r="V666" s="551"/>
      <c r="W666" s="551"/>
      <c r="X666" s="551"/>
      <c r="Y666" s="551"/>
      <c r="Z666" s="551"/>
      <c r="AA666" s="551"/>
      <c r="AB666" s="551"/>
      <c r="AC666" s="551"/>
      <c r="AD666" s="551"/>
      <c r="AE666" s="551"/>
      <c r="AF666" s="551"/>
      <c r="AG666" s="551"/>
      <c r="AH666" s="551"/>
      <c r="AI666" s="551"/>
      <c r="AJ666" s="551"/>
      <c r="AK666" s="551"/>
      <c r="AL666" s="551"/>
      <c r="AM666" s="551"/>
      <c r="AN666" s="551"/>
      <c r="AO666" s="551"/>
      <c r="AP666" s="551"/>
      <c r="AQ666" s="551"/>
      <c r="AR666" s="551"/>
      <c r="AS666" s="551"/>
      <c r="AT666" s="551"/>
      <c r="AU666" s="551"/>
      <c r="AV666" s="551"/>
      <c r="AW666" s="551"/>
      <c r="AX666" s="551"/>
      <c r="AY666" s="551"/>
      <c r="AZ666" s="551"/>
      <c r="BA666" s="551"/>
      <c r="BB666" s="551"/>
      <c r="BC666" s="551"/>
      <c r="BD666" s="551"/>
      <c r="BE666" s="551"/>
      <c r="BF666" s="551"/>
    </row>
    <row r="667" spans="1:58" ht="12.75" customHeight="1">
      <c r="A667" s="551"/>
      <c r="B667" s="551"/>
      <c r="C667" s="551"/>
      <c r="D667" s="551"/>
      <c r="E667" s="551"/>
      <c r="F667" s="551"/>
      <c r="G667" s="551"/>
      <c r="H667" s="551"/>
      <c r="I667" s="551"/>
      <c r="J667" s="551"/>
      <c r="K667" s="551"/>
      <c r="L667" s="551"/>
      <c r="M667" s="551"/>
      <c r="N667" s="551"/>
      <c r="O667" s="551"/>
      <c r="P667" s="551"/>
      <c r="Q667" s="551"/>
      <c r="R667" s="551"/>
      <c r="S667" s="551"/>
      <c r="T667" s="551"/>
      <c r="U667" s="551"/>
      <c r="V667" s="551"/>
      <c r="W667" s="551"/>
      <c r="X667" s="551"/>
      <c r="Y667" s="551"/>
      <c r="Z667" s="551"/>
      <c r="AA667" s="551"/>
      <c r="AB667" s="551"/>
      <c r="AC667" s="551"/>
      <c r="AD667" s="551"/>
      <c r="AE667" s="551"/>
      <c r="AF667" s="551"/>
      <c r="AG667" s="551"/>
      <c r="AH667" s="551"/>
      <c r="AI667" s="551"/>
      <c r="AJ667" s="551"/>
      <c r="AK667" s="551"/>
      <c r="AL667" s="551"/>
      <c r="AM667" s="551"/>
      <c r="AN667" s="551"/>
      <c r="AO667" s="551"/>
      <c r="AP667" s="551"/>
      <c r="AQ667" s="551"/>
      <c r="AR667" s="551"/>
      <c r="AS667" s="551"/>
      <c r="AT667" s="551"/>
      <c r="AU667" s="551"/>
      <c r="AV667" s="551"/>
      <c r="AW667" s="551"/>
      <c r="AX667" s="551"/>
      <c r="AY667" s="551"/>
      <c r="AZ667" s="551"/>
      <c r="BA667" s="551"/>
      <c r="BB667" s="551"/>
      <c r="BC667" s="551"/>
      <c r="BD667" s="551"/>
      <c r="BE667" s="551"/>
      <c r="BF667" s="551"/>
    </row>
    <row r="668" spans="1:58" ht="12.75" customHeight="1">
      <c r="A668" s="551"/>
      <c r="B668" s="551"/>
      <c r="C668" s="551"/>
      <c r="D668" s="551"/>
      <c r="E668" s="551"/>
      <c r="F668" s="551"/>
      <c r="G668" s="551"/>
      <c r="H668" s="551"/>
      <c r="I668" s="551"/>
      <c r="J668" s="551"/>
      <c r="K668" s="551"/>
      <c r="L668" s="551"/>
      <c r="M668" s="551"/>
      <c r="N668" s="551"/>
      <c r="O668" s="551"/>
      <c r="P668" s="551"/>
      <c r="Q668" s="551"/>
      <c r="R668" s="551"/>
      <c r="S668" s="551"/>
      <c r="T668" s="551"/>
      <c r="U668" s="551"/>
      <c r="V668" s="551"/>
      <c r="W668" s="551"/>
      <c r="X668" s="551"/>
      <c r="Y668" s="551"/>
      <c r="Z668" s="551"/>
      <c r="AA668" s="551"/>
      <c r="AB668" s="551"/>
      <c r="AC668" s="551"/>
      <c r="AD668" s="551"/>
      <c r="AE668" s="551"/>
      <c r="AF668" s="551"/>
      <c r="AG668" s="551"/>
      <c r="AH668" s="551"/>
      <c r="AI668" s="551"/>
      <c r="AJ668" s="551"/>
      <c r="AK668" s="551"/>
      <c r="AL668" s="551"/>
      <c r="AM668" s="551"/>
      <c r="AN668" s="551"/>
      <c r="AO668" s="551"/>
      <c r="AP668" s="551"/>
      <c r="AQ668" s="551"/>
      <c r="AR668" s="551"/>
      <c r="AS668" s="551"/>
      <c r="AT668" s="551"/>
      <c r="AU668" s="551"/>
      <c r="AV668" s="551"/>
      <c r="AW668" s="551"/>
      <c r="AX668" s="551"/>
      <c r="AY668" s="551"/>
      <c r="AZ668" s="551"/>
      <c r="BA668" s="551"/>
      <c r="BB668" s="551"/>
      <c r="BC668" s="551"/>
      <c r="BD668" s="551"/>
      <c r="BE668" s="551"/>
      <c r="BF668" s="551"/>
    </row>
    <row r="669" spans="1:58" ht="12.75" customHeight="1">
      <c r="A669" s="551"/>
      <c r="B669" s="551"/>
      <c r="C669" s="551"/>
      <c r="D669" s="551"/>
      <c r="E669" s="551"/>
      <c r="F669" s="551"/>
      <c r="G669" s="551"/>
      <c r="H669" s="551"/>
      <c r="I669" s="551"/>
      <c r="J669" s="551"/>
      <c r="K669" s="551"/>
      <c r="L669" s="551"/>
      <c r="M669" s="551"/>
      <c r="N669" s="551"/>
      <c r="O669" s="551"/>
      <c r="P669" s="551"/>
      <c r="Q669" s="551"/>
      <c r="R669" s="551"/>
      <c r="S669" s="551"/>
      <c r="T669" s="551"/>
      <c r="U669" s="551"/>
      <c r="V669" s="551"/>
      <c r="W669" s="551"/>
      <c r="X669" s="551"/>
      <c r="Y669" s="551"/>
      <c r="Z669" s="551"/>
      <c r="AA669" s="551"/>
      <c r="AB669" s="551"/>
      <c r="AC669" s="551"/>
      <c r="AD669" s="551"/>
      <c r="AE669" s="551"/>
      <c r="AF669" s="551"/>
      <c r="AG669" s="551"/>
      <c r="AH669" s="551"/>
      <c r="AI669" s="551"/>
      <c r="AJ669" s="551"/>
      <c r="AK669" s="551"/>
      <c r="AL669" s="551"/>
      <c r="AM669" s="551"/>
      <c r="AN669" s="551"/>
      <c r="AO669" s="551"/>
      <c r="AP669" s="551"/>
      <c r="AQ669" s="551"/>
      <c r="AR669" s="551"/>
      <c r="AS669" s="551"/>
      <c r="AT669" s="551"/>
      <c r="AU669" s="551"/>
      <c r="AV669" s="551"/>
      <c r="AW669" s="551"/>
      <c r="AX669" s="551"/>
      <c r="AY669" s="551"/>
      <c r="AZ669" s="551"/>
      <c r="BA669" s="551"/>
      <c r="BB669" s="551"/>
      <c r="BC669" s="551"/>
      <c r="BD669" s="551"/>
      <c r="BE669" s="551"/>
      <c r="BF669" s="551"/>
    </row>
    <row r="670" spans="1:58" ht="12.75" customHeight="1">
      <c r="A670" s="551"/>
      <c r="B670" s="551"/>
      <c r="C670" s="551"/>
      <c r="D670" s="551"/>
      <c r="E670" s="551"/>
      <c r="F670" s="551"/>
      <c r="G670" s="551"/>
      <c r="H670" s="551"/>
      <c r="I670" s="551"/>
      <c r="J670" s="551"/>
      <c r="K670" s="551"/>
      <c r="L670" s="551"/>
      <c r="M670" s="551"/>
      <c r="N670" s="551"/>
      <c r="O670" s="551"/>
      <c r="P670" s="551"/>
      <c r="Q670" s="551"/>
      <c r="R670" s="551"/>
      <c r="S670" s="551"/>
      <c r="T670" s="551"/>
      <c r="U670" s="551"/>
      <c r="V670" s="551"/>
      <c r="W670" s="551"/>
      <c r="X670" s="551"/>
      <c r="Y670" s="551"/>
      <c r="Z670" s="551"/>
      <c r="AA670" s="551"/>
      <c r="AB670" s="551"/>
      <c r="AC670" s="551"/>
      <c r="AD670" s="551"/>
      <c r="AE670" s="551"/>
      <c r="AF670" s="551"/>
      <c r="AG670" s="551"/>
      <c r="AH670" s="551"/>
      <c r="AI670" s="551"/>
      <c r="AJ670" s="551"/>
      <c r="AK670" s="551"/>
      <c r="AL670" s="551"/>
      <c r="AM670" s="551"/>
      <c r="AN670" s="551"/>
      <c r="AO670" s="551"/>
      <c r="AP670" s="551"/>
      <c r="AQ670" s="551"/>
      <c r="AR670" s="551"/>
      <c r="AS670" s="551"/>
      <c r="AT670" s="551"/>
      <c r="AU670" s="551"/>
      <c r="AV670" s="551"/>
      <c r="AW670" s="551"/>
      <c r="AX670" s="551"/>
      <c r="AY670" s="551"/>
      <c r="AZ670" s="551"/>
      <c r="BA670" s="551"/>
      <c r="BB670" s="551"/>
      <c r="BC670" s="551"/>
      <c r="BD670" s="551"/>
      <c r="BE670" s="551"/>
      <c r="BF670" s="551"/>
    </row>
    <row r="671" spans="1:58" ht="12.75" customHeight="1">
      <c r="A671" s="551"/>
      <c r="B671" s="551"/>
      <c r="C671" s="551"/>
      <c r="D671" s="551"/>
      <c r="E671" s="551"/>
      <c r="F671" s="551"/>
      <c r="G671" s="551"/>
      <c r="H671" s="551"/>
      <c r="I671" s="551"/>
      <c r="J671" s="551"/>
      <c r="K671" s="551"/>
      <c r="L671" s="551"/>
      <c r="M671" s="551"/>
      <c r="N671" s="551"/>
      <c r="O671" s="551"/>
      <c r="P671" s="551"/>
      <c r="Q671" s="551"/>
      <c r="R671" s="551"/>
      <c r="S671" s="551"/>
      <c r="T671" s="551"/>
      <c r="U671" s="551"/>
      <c r="V671" s="551"/>
      <c r="W671" s="551"/>
      <c r="X671" s="551"/>
      <c r="Y671" s="551"/>
      <c r="Z671" s="551"/>
      <c r="AA671" s="551"/>
      <c r="AB671" s="551"/>
      <c r="AC671" s="551"/>
      <c r="AD671" s="551"/>
      <c r="AE671" s="551"/>
      <c r="AF671" s="551"/>
      <c r="AG671" s="551"/>
      <c r="AH671" s="551"/>
      <c r="AI671" s="551"/>
      <c r="AJ671" s="551"/>
      <c r="AK671" s="551"/>
      <c r="AL671" s="551"/>
      <c r="AM671" s="551"/>
      <c r="AN671" s="551"/>
      <c r="AO671" s="551"/>
      <c r="AP671" s="551"/>
      <c r="AQ671" s="551"/>
      <c r="AR671" s="551"/>
      <c r="AS671" s="551"/>
      <c r="AT671" s="551"/>
      <c r="AU671" s="551"/>
      <c r="AV671" s="551"/>
      <c r="AW671" s="551"/>
      <c r="AX671" s="551"/>
      <c r="AY671" s="551"/>
      <c r="AZ671" s="551"/>
      <c r="BA671" s="551"/>
      <c r="BB671" s="551"/>
      <c r="BC671" s="551"/>
      <c r="BD671" s="551"/>
      <c r="BE671" s="551"/>
      <c r="BF671" s="551"/>
    </row>
    <row r="672" spans="1:58" ht="12.75" customHeight="1">
      <c r="A672" s="551"/>
      <c r="B672" s="551"/>
      <c r="C672" s="551"/>
      <c r="D672" s="551"/>
      <c r="E672" s="551"/>
      <c r="F672" s="551"/>
      <c r="G672" s="551"/>
      <c r="H672" s="551"/>
      <c r="I672" s="551"/>
      <c r="J672" s="551"/>
      <c r="K672" s="551"/>
      <c r="L672" s="551"/>
      <c r="M672" s="551"/>
      <c r="N672" s="551"/>
      <c r="O672" s="551"/>
      <c r="P672" s="551"/>
      <c r="Q672" s="551"/>
      <c r="R672" s="551"/>
      <c r="S672" s="551"/>
      <c r="T672" s="551"/>
      <c r="U672" s="551"/>
      <c r="V672" s="551"/>
      <c r="W672" s="551"/>
      <c r="X672" s="551"/>
      <c r="Y672" s="551"/>
      <c r="Z672" s="551"/>
      <c r="AA672" s="551"/>
      <c r="AB672" s="551"/>
      <c r="AC672" s="551"/>
      <c r="AD672" s="551"/>
      <c r="AE672" s="551"/>
      <c r="AF672" s="551"/>
      <c r="AG672" s="551"/>
      <c r="AH672" s="551"/>
      <c r="AI672" s="551"/>
      <c r="AJ672" s="551"/>
      <c r="AK672" s="551"/>
      <c r="AL672" s="551"/>
      <c r="AM672" s="551"/>
      <c r="AN672" s="551"/>
      <c r="AO672" s="551"/>
      <c r="AP672" s="551"/>
      <c r="AQ672" s="551"/>
      <c r="AR672" s="551"/>
      <c r="AS672" s="551"/>
      <c r="AT672" s="551"/>
      <c r="AU672" s="551"/>
      <c r="AV672" s="551"/>
      <c r="AW672" s="551"/>
      <c r="AX672" s="551"/>
      <c r="AY672" s="551"/>
      <c r="AZ672" s="551"/>
      <c r="BA672" s="551"/>
      <c r="BB672" s="551"/>
      <c r="BC672" s="551"/>
      <c r="BD672" s="551"/>
      <c r="BE672" s="551"/>
      <c r="BF672" s="551"/>
    </row>
    <row r="673" spans="1:58" ht="12.75" customHeight="1">
      <c r="A673" s="551"/>
      <c r="B673" s="551"/>
      <c r="C673" s="551"/>
      <c r="D673" s="551"/>
      <c r="E673" s="551"/>
      <c r="F673" s="551"/>
      <c r="G673" s="551"/>
      <c r="H673" s="551"/>
      <c r="I673" s="551"/>
      <c r="J673" s="551"/>
      <c r="K673" s="551"/>
      <c r="L673" s="551"/>
      <c r="M673" s="551"/>
      <c r="N673" s="551"/>
      <c r="O673" s="551"/>
      <c r="P673" s="551"/>
      <c r="Q673" s="551"/>
      <c r="R673" s="551"/>
      <c r="S673" s="551"/>
      <c r="T673" s="551"/>
      <c r="U673" s="551"/>
      <c r="V673" s="551"/>
      <c r="W673" s="551"/>
      <c r="X673" s="551"/>
      <c r="Y673" s="551"/>
      <c r="Z673" s="551"/>
      <c r="AA673" s="551"/>
      <c r="AB673" s="551"/>
      <c r="AC673" s="551"/>
      <c r="AD673" s="551"/>
      <c r="AE673" s="551"/>
      <c r="AF673" s="551"/>
      <c r="AG673" s="551"/>
      <c r="AH673" s="551"/>
      <c r="AI673" s="551"/>
      <c r="AJ673" s="551"/>
      <c r="AK673" s="551"/>
      <c r="AL673" s="551"/>
      <c r="AM673" s="551"/>
      <c r="AN673" s="551"/>
      <c r="AO673" s="551"/>
      <c r="AP673" s="551"/>
      <c r="AQ673" s="551"/>
      <c r="AR673" s="551"/>
      <c r="AS673" s="551"/>
      <c r="AT673" s="551"/>
      <c r="AU673" s="551"/>
      <c r="AV673" s="551"/>
      <c r="AW673" s="551"/>
      <c r="AX673" s="551"/>
      <c r="AY673" s="551"/>
      <c r="AZ673" s="551"/>
      <c r="BA673" s="551"/>
      <c r="BB673" s="551"/>
      <c r="BC673" s="551"/>
      <c r="BD673" s="551"/>
      <c r="BE673" s="551"/>
      <c r="BF673" s="551"/>
    </row>
    <row r="674" spans="1:58" ht="12.75" customHeight="1">
      <c r="A674" s="551"/>
      <c r="B674" s="551"/>
      <c r="C674" s="551"/>
      <c r="D674" s="551"/>
      <c r="E674" s="551"/>
      <c r="F674" s="551"/>
      <c r="G674" s="551"/>
      <c r="H674" s="551"/>
      <c r="I674" s="551"/>
      <c r="J674" s="551"/>
      <c r="K674" s="551"/>
      <c r="L674" s="551"/>
      <c r="M674" s="551"/>
      <c r="N674" s="551"/>
      <c r="O674" s="551"/>
      <c r="P674" s="551"/>
      <c r="Q674" s="551"/>
      <c r="R674" s="551"/>
      <c r="S674" s="551"/>
      <c r="T674" s="551"/>
      <c r="U674" s="551"/>
      <c r="V674" s="551"/>
      <c r="W674" s="551"/>
      <c r="X674" s="551"/>
      <c r="Y674" s="551"/>
      <c r="Z674" s="551"/>
      <c r="AA674" s="551"/>
      <c r="AB674" s="551"/>
      <c r="AC674" s="551"/>
      <c r="AD674" s="551"/>
      <c r="AE674" s="551"/>
      <c r="AF674" s="551"/>
      <c r="AG674" s="551"/>
      <c r="AH674" s="551"/>
      <c r="AI674" s="551"/>
      <c r="AJ674" s="551"/>
      <c r="AK674" s="551"/>
      <c r="AL674" s="551"/>
      <c r="AM674" s="551"/>
      <c r="AN674" s="551"/>
      <c r="AO674" s="551"/>
      <c r="AP674" s="551"/>
      <c r="AQ674" s="551"/>
      <c r="AR674" s="551"/>
      <c r="AS674" s="551"/>
      <c r="AT674" s="551"/>
      <c r="AU674" s="551"/>
      <c r="AV674" s="551"/>
      <c r="AW674" s="551"/>
      <c r="AX674" s="551"/>
      <c r="AY674" s="551"/>
      <c r="AZ674" s="551"/>
      <c r="BA674" s="551"/>
      <c r="BB674" s="551"/>
      <c r="BC674" s="551"/>
      <c r="BD674" s="551"/>
      <c r="BE674" s="551"/>
      <c r="BF674" s="551"/>
    </row>
    <row r="675" spans="1:58" ht="12.75" customHeight="1">
      <c r="A675" s="551"/>
      <c r="B675" s="551"/>
      <c r="C675" s="551"/>
      <c r="D675" s="551"/>
      <c r="E675" s="551"/>
      <c r="F675" s="551"/>
      <c r="G675" s="551"/>
      <c r="H675" s="551"/>
      <c r="I675" s="551"/>
      <c r="J675" s="551"/>
      <c r="K675" s="551"/>
      <c r="L675" s="551"/>
      <c r="M675" s="551"/>
      <c r="N675" s="551"/>
      <c r="O675" s="551"/>
      <c r="P675" s="551"/>
      <c r="Q675" s="551"/>
      <c r="R675" s="551"/>
      <c r="S675" s="551"/>
      <c r="T675" s="551"/>
      <c r="U675" s="551"/>
      <c r="V675" s="551"/>
      <c r="W675" s="551"/>
      <c r="X675" s="551"/>
      <c r="Y675" s="551"/>
      <c r="Z675" s="551"/>
      <c r="AA675" s="551"/>
      <c r="AB675" s="551"/>
      <c r="AC675" s="551"/>
      <c r="AD675" s="551"/>
      <c r="AE675" s="551"/>
      <c r="AF675" s="551"/>
      <c r="AG675" s="551"/>
      <c r="AH675" s="551"/>
      <c r="AI675" s="551"/>
      <c r="AJ675" s="551"/>
      <c r="AK675" s="551"/>
      <c r="AL675" s="551"/>
      <c r="AM675" s="551"/>
      <c r="AN675" s="551"/>
      <c r="AO675" s="551"/>
      <c r="AP675" s="551"/>
      <c r="AQ675" s="551"/>
      <c r="AR675" s="551"/>
      <c r="AS675" s="551"/>
      <c r="AT675" s="551"/>
      <c r="AU675" s="551"/>
      <c r="AV675" s="551"/>
      <c r="AW675" s="551"/>
      <c r="AX675" s="551"/>
      <c r="AY675" s="551"/>
      <c r="AZ675" s="551"/>
      <c r="BA675" s="551"/>
      <c r="BB675" s="551"/>
      <c r="BC675" s="551"/>
      <c r="BD675" s="551"/>
      <c r="BE675" s="551"/>
      <c r="BF675" s="551"/>
    </row>
    <row r="676" spans="1:58" ht="12.75" customHeight="1">
      <c r="A676" s="551"/>
      <c r="B676" s="551"/>
      <c r="C676" s="551"/>
      <c r="D676" s="551"/>
      <c r="E676" s="551"/>
      <c r="F676" s="551"/>
      <c r="G676" s="551"/>
      <c r="H676" s="551"/>
      <c r="I676" s="551"/>
      <c r="J676" s="551"/>
      <c r="K676" s="551"/>
      <c r="L676" s="551"/>
      <c r="M676" s="551"/>
      <c r="N676" s="551"/>
      <c r="O676" s="551"/>
      <c r="P676" s="551"/>
      <c r="Q676" s="551"/>
      <c r="R676" s="551"/>
      <c r="S676" s="551"/>
      <c r="T676" s="551"/>
      <c r="U676" s="551"/>
      <c r="V676" s="551"/>
      <c r="W676" s="551"/>
      <c r="X676" s="551"/>
      <c r="Y676" s="551"/>
      <c r="Z676" s="551"/>
      <c r="AA676" s="551"/>
      <c r="AB676" s="551"/>
      <c r="AC676" s="551"/>
      <c r="AD676" s="551"/>
      <c r="AE676" s="551"/>
      <c r="AF676" s="551"/>
      <c r="AG676" s="551"/>
      <c r="AH676" s="551"/>
      <c r="AI676" s="551"/>
      <c r="AJ676" s="551"/>
      <c r="AK676" s="551"/>
      <c r="AL676" s="551"/>
      <c r="AM676" s="551"/>
      <c r="AN676" s="551"/>
      <c r="AO676" s="551"/>
      <c r="AP676" s="551"/>
      <c r="AQ676" s="551"/>
      <c r="AR676" s="551"/>
      <c r="AS676" s="551"/>
      <c r="AT676" s="551"/>
      <c r="AU676" s="551"/>
      <c r="AV676" s="551"/>
      <c r="AW676" s="551"/>
      <c r="AX676" s="551"/>
      <c r="AY676" s="551"/>
      <c r="AZ676" s="551"/>
      <c r="BA676" s="551"/>
      <c r="BB676" s="551"/>
      <c r="BC676" s="551"/>
      <c r="BD676" s="551"/>
      <c r="BE676" s="551"/>
      <c r="BF676" s="551"/>
    </row>
    <row r="677" spans="1:58" ht="12.75" customHeight="1">
      <c r="A677" s="551"/>
      <c r="B677" s="551"/>
      <c r="C677" s="551"/>
      <c r="D677" s="551"/>
      <c r="E677" s="551"/>
      <c r="F677" s="551"/>
      <c r="G677" s="551"/>
      <c r="H677" s="551"/>
      <c r="I677" s="551"/>
      <c r="J677" s="551"/>
      <c r="K677" s="551"/>
      <c r="L677" s="551"/>
      <c r="M677" s="551"/>
      <c r="N677" s="551"/>
      <c r="O677" s="551"/>
      <c r="P677" s="551"/>
      <c r="Q677" s="551"/>
      <c r="R677" s="551"/>
      <c r="S677" s="551"/>
      <c r="T677" s="551"/>
      <c r="U677" s="551"/>
      <c r="V677" s="551"/>
      <c r="W677" s="551"/>
      <c r="X677" s="551"/>
      <c r="Y677" s="551"/>
      <c r="Z677" s="551"/>
      <c r="AA677" s="551"/>
      <c r="AB677" s="551"/>
      <c r="AC677" s="551"/>
      <c r="AD677" s="551"/>
      <c r="AE677" s="551"/>
      <c r="AF677" s="551"/>
      <c r="AG677" s="551"/>
      <c r="AH677" s="551"/>
      <c r="AI677" s="551"/>
      <c r="AJ677" s="551"/>
      <c r="AK677" s="551"/>
      <c r="AL677" s="551"/>
      <c r="AM677" s="551"/>
      <c r="AN677" s="551"/>
      <c r="AO677" s="551"/>
      <c r="AP677" s="551"/>
      <c r="AQ677" s="551"/>
      <c r="AR677" s="551"/>
      <c r="AS677" s="551"/>
      <c r="AT677" s="551"/>
      <c r="AU677" s="551"/>
      <c r="AV677" s="551"/>
      <c r="AW677" s="551"/>
      <c r="AX677" s="551"/>
      <c r="AY677" s="551"/>
      <c r="AZ677" s="551"/>
      <c r="BA677" s="551"/>
      <c r="BB677" s="551"/>
      <c r="BC677" s="551"/>
      <c r="BD677" s="551"/>
      <c r="BE677" s="551"/>
      <c r="BF677" s="551"/>
    </row>
    <row r="678" spans="1:58" ht="12.75" customHeight="1">
      <c r="A678" s="551"/>
      <c r="B678" s="551"/>
      <c r="C678" s="551"/>
      <c r="D678" s="551"/>
      <c r="E678" s="551"/>
      <c r="F678" s="551"/>
      <c r="G678" s="551"/>
      <c r="H678" s="551"/>
      <c r="I678" s="551"/>
      <c r="J678" s="551"/>
      <c r="K678" s="551"/>
      <c r="L678" s="551"/>
      <c r="M678" s="551"/>
      <c r="N678" s="551"/>
      <c r="O678" s="551"/>
      <c r="P678" s="551"/>
      <c r="Q678" s="551"/>
      <c r="R678" s="551"/>
      <c r="S678" s="551"/>
      <c r="T678" s="551"/>
      <c r="U678" s="551"/>
      <c r="V678" s="551"/>
      <c r="W678" s="551"/>
      <c r="X678" s="551"/>
      <c r="Y678" s="551"/>
      <c r="Z678" s="551"/>
      <c r="AA678" s="551"/>
      <c r="AB678" s="551"/>
      <c r="AC678" s="551"/>
      <c r="AD678" s="551"/>
      <c r="AE678" s="551"/>
      <c r="AF678" s="551"/>
      <c r="AG678" s="551"/>
      <c r="AH678" s="551"/>
      <c r="AI678" s="551"/>
      <c r="AJ678" s="551"/>
      <c r="AK678" s="551"/>
      <c r="AL678" s="551"/>
      <c r="AM678" s="551"/>
      <c r="AN678" s="551"/>
      <c r="AO678" s="551"/>
      <c r="AP678" s="551"/>
      <c r="AQ678" s="551"/>
      <c r="AR678" s="551"/>
      <c r="AS678" s="551"/>
      <c r="AT678" s="551"/>
      <c r="AU678" s="551"/>
      <c r="AV678" s="551"/>
      <c r="AW678" s="551"/>
      <c r="AX678" s="551"/>
      <c r="AY678" s="551"/>
      <c r="AZ678" s="551"/>
      <c r="BA678" s="551"/>
      <c r="BB678" s="551"/>
      <c r="BC678" s="551"/>
      <c r="BD678" s="551"/>
      <c r="BE678" s="551"/>
      <c r="BF678" s="551"/>
    </row>
    <row r="679" spans="1:58" ht="12.75" customHeight="1">
      <c r="A679" s="551"/>
      <c r="B679" s="551"/>
      <c r="C679" s="551"/>
      <c r="D679" s="551"/>
      <c r="E679" s="551"/>
      <c r="F679" s="551"/>
      <c r="G679" s="551"/>
      <c r="H679" s="551"/>
      <c r="I679" s="551"/>
      <c r="J679" s="551"/>
      <c r="K679" s="551"/>
      <c r="L679" s="551"/>
      <c r="M679" s="551"/>
      <c r="N679" s="551"/>
      <c r="O679" s="551"/>
      <c r="P679" s="551"/>
      <c r="Q679" s="551"/>
      <c r="R679" s="551"/>
      <c r="S679" s="551"/>
      <c r="T679" s="551"/>
      <c r="U679" s="551"/>
      <c r="V679" s="551"/>
      <c r="W679" s="551"/>
      <c r="X679" s="551"/>
      <c r="Y679" s="551"/>
      <c r="Z679" s="551"/>
      <c r="AA679" s="551"/>
      <c r="AB679" s="551"/>
      <c r="AC679" s="551"/>
      <c r="AD679" s="551"/>
      <c r="AE679" s="551"/>
      <c r="AF679" s="551"/>
      <c r="AG679" s="551"/>
      <c r="AH679" s="551"/>
      <c r="AI679" s="551"/>
      <c r="AJ679" s="551"/>
      <c r="AK679" s="551"/>
      <c r="AL679" s="551"/>
      <c r="AM679" s="551"/>
      <c r="AN679" s="551"/>
      <c r="AO679" s="551"/>
      <c r="AP679" s="551"/>
      <c r="AQ679" s="551"/>
      <c r="AR679" s="551"/>
      <c r="AS679" s="551"/>
      <c r="AT679" s="551"/>
      <c r="AU679" s="551"/>
      <c r="AV679" s="551"/>
      <c r="AW679" s="551"/>
      <c r="AX679" s="551"/>
      <c r="AY679" s="551"/>
      <c r="AZ679" s="551"/>
      <c r="BA679" s="551"/>
      <c r="BB679" s="551"/>
      <c r="BC679" s="551"/>
      <c r="BD679" s="551"/>
      <c r="BE679" s="551"/>
      <c r="BF679" s="551"/>
    </row>
    <row r="680" spans="1:58" ht="12.75" customHeight="1">
      <c r="A680" s="551"/>
      <c r="B680" s="551"/>
      <c r="C680" s="551"/>
      <c r="D680" s="551"/>
      <c r="E680" s="551"/>
      <c r="F680" s="551"/>
      <c r="G680" s="551"/>
      <c r="H680" s="551"/>
      <c r="I680" s="551"/>
      <c r="J680" s="551"/>
      <c r="K680" s="551"/>
      <c r="L680" s="551"/>
      <c r="M680" s="551"/>
      <c r="N680" s="551"/>
      <c r="O680" s="551"/>
      <c r="P680" s="551"/>
      <c r="Q680" s="551"/>
      <c r="R680" s="551"/>
      <c r="S680" s="551"/>
      <c r="T680" s="551"/>
      <c r="U680" s="551"/>
      <c r="V680" s="551"/>
      <c r="W680" s="551"/>
      <c r="X680" s="551"/>
      <c r="Y680" s="551"/>
      <c r="Z680" s="551"/>
      <c r="AA680" s="551"/>
      <c r="AB680" s="551"/>
      <c r="AC680" s="551"/>
      <c r="AD680" s="551"/>
      <c r="AE680" s="551"/>
      <c r="AF680" s="551"/>
      <c r="AG680" s="551"/>
      <c r="AH680" s="551"/>
      <c r="AI680" s="551"/>
      <c r="AJ680" s="551"/>
      <c r="AK680" s="551"/>
      <c r="AL680" s="551"/>
      <c r="AM680" s="551"/>
      <c r="AN680" s="551"/>
      <c r="AO680" s="551"/>
      <c r="AP680" s="551"/>
      <c r="AQ680" s="551"/>
      <c r="AR680" s="551"/>
      <c r="AS680" s="551"/>
      <c r="AT680" s="551"/>
      <c r="AU680" s="551"/>
      <c r="AV680" s="551"/>
      <c r="AW680" s="551"/>
      <c r="AX680" s="551"/>
      <c r="AY680" s="551"/>
      <c r="AZ680" s="551"/>
      <c r="BA680" s="551"/>
      <c r="BB680" s="551"/>
      <c r="BC680" s="551"/>
      <c r="BD680" s="551"/>
      <c r="BE680" s="551"/>
      <c r="BF680" s="551"/>
    </row>
    <row r="681" spans="1:58" ht="12.75" customHeight="1">
      <c r="A681" s="551"/>
      <c r="B681" s="551"/>
      <c r="C681" s="551"/>
      <c r="D681" s="551"/>
      <c r="E681" s="551"/>
      <c r="F681" s="551"/>
      <c r="G681" s="551"/>
      <c r="H681" s="551"/>
      <c r="I681" s="551"/>
      <c r="J681" s="551"/>
      <c r="K681" s="551"/>
      <c r="L681" s="551"/>
      <c r="M681" s="551"/>
      <c r="N681" s="551"/>
      <c r="O681" s="551"/>
      <c r="P681" s="551"/>
      <c r="Q681" s="551"/>
      <c r="R681" s="551"/>
      <c r="S681" s="551"/>
      <c r="T681" s="551"/>
      <c r="U681" s="551"/>
      <c r="V681" s="551"/>
      <c r="W681" s="551"/>
      <c r="X681" s="551"/>
      <c r="Y681" s="551"/>
      <c r="Z681" s="551"/>
      <c r="AA681" s="551"/>
      <c r="AB681" s="551"/>
      <c r="AC681" s="551"/>
      <c r="AD681" s="551"/>
      <c r="AE681" s="551"/>
      <c r="AF681" s="551"/>
      <c r="AG681" s="551"/>
      <c r="AH681" s="551"/>
      <c r="AI681" s="551"/>
      <c r="AJ681" s="551"/>
      <c r="AK681" s="551"/>
      <c r="AL681" s="551"/>
      <c r="AM681" s="551"/>
      <c r="AN681" s="551"/>
      <c r="AO681" s="551"/>
      <c r="AP681" s="551"/>
      <c r="AQ681" s="551"/>
      <c r="AR681" s="551"/>
      <c r="AS681" s="551"/>
      <c r="AT681" s="551"/>
      <c r="AU681" s="551"/>
      <c r="AV681" s="551"/>
      <c r="AW681" s="551"/>
      <c r="AX681" s="551"/>
      <c r="AY681" s="551"/>
      <c r="AZ681" s="551"/>
      <c r="BA681" s="551"/>
      <c r="BB681" s="551"/>
      <c r="BC681" s="551"/>
      <c r="BD681" s="551"/>
      <c r="BE681" s="551"/>
      <c r="BF681" s="551"/>
    </row>
    <row r="682" spans="1:58" ht="12.75" customHeight="1">
      <c r="A682" s="551"/>
      <c r="B682" s="551"/>
      <c r="C682" s="551"/>
      <c r="D682" s="551"/>
      <c r="E682" s="551"/>
      <c r="F682" s="551"/>
      <c r="G682" s="551"/>
      <c r="H682" s="551"/>
      <c r="I682" s="551"/>
      <c r="J682" s="551"/>
      <c r="K682" s="551"/>
      <c r="L682" s="551"/>
      <c r="M682" s="551"/>
      <c r="N682" s="551"/>
      <c r="O682" s="551"/>
      <c r="P682" s="551"/>
      <c r="Q682" s="551"/>
      <c r="R682" s="551"/>
      <c r="S682" s="551"/>
      <c r="T682" s="551"/>
      <c r="U682" s="551"/>
      <c r="V682" s="551"/>
      <c r="W682" s="551"/>
      <c r="X682" s="551"/>
      <c r="Y682" s="551"/>
      <c r="Z682" s="551"/>
      <c r="AA682" s="551"/>
      <c r="AB682" s="551"/>
      <c r="AC682" s="551"/>
      <c r="AD682" s="551"/>
      <c r="AE682" s="551"/>
      <c r="AF682" s="551"/>
      <c r="AG682" s="551"/>
      <c r="AH682" s="551"/>
      <c r="AI682" s="551"/>
      <c r="AJ682" s="551"/>
      <c r="AK682" s="551"/>
      <c r="AL682" s="551"/>
      <c r="AM682" s="551"/>
      <c r="AN682" s="551"/>
      <c r="AO682" s="551"/>
      <c r="AP682" s="551"/>
      <c r="AQ682" s="551"/>
      <c r="AR682" s="551"/>
      <c r="AS682" s="551"/>
      <c r="AT682" s="551"/>
      <c r="AU682" s="551"/>
      <c r="AV682" s="551"/>
      <c r="AW682" s="551"/>
      <c r="AX682" s="551"/>
      <c r="AY682" s="551"/>
      <c r="AZ682" s="551"/>
      <c r="BA682" s="551"/>
      <c r="BB682" s="551"/>
      <c r="BC682" s="551"/>
      <c r="BD682" s="551"/>
      <c r="BE682" s="551"/>
      <c r="BF682" s="551"/>
    </row>
    <row r="683" spans="1:58" ht="12.75" customHeight="1">
      <c r="A683" s="551"/>
      <c r="B683" s="551"/>
      <c r="C683" s="551"/>
      <c r="D683" s="551"/>
      <c r="E683" s="551"/>
      <c r="F683" s="551"/>
      <c r="G683" s="551"/>
      <c r="H683" s="551"/>
      <c r="I683" s="551"/>
      <c r="J683" s="551"/>
      <c r="K683" s="551"/>
      <c r="L683" s="551"/>
      <c r="M683" s="551"/>
      <c r="N683" s="551"/>
      <c r="O683" s="551"/>
      <c r="P683" s="551"/>
      <c r="Q683" s="551"/>
      <c r="R683" s="551"/>
      <c r="S683" s="551"/>
      <c r="T683" s="551"/>
      <c r="U683" s="551"/>
      <c r="V683" s="551"/>
      <c r="W683" s="551"/>
      <c r="X683" s="551"/>
      <c r="Y683" s="551"/>
      <c r="Z683" s="551"/>
      <c r="AA683" s="551"/>
      <c r="AB683" s="551"/>
      <c r="AC683" s="551"/>
      <c r="AD683" s="551"/>
      <c r="AE683" s="551"/>
      <c r="AF683" s="551"/>
      <c r="AG683" s="551"/>
      <c r="AH683" s="551"/>
      <c r="AI683" s="551"/>
      <c r="AJ683" s="551"/>
      <c r="AK683" s="551"/>
      <c r="AL683" s="551"/>
      <c r="AM683" s="551"/>
      <c r="AN683" s="551"/>
      <c r="AO683" s="551"/>
      <c r="AP683" s="551"/>
      <c r="AQ683" s="551"/>
      <c r="AR683" s="551"/>
      <c r="AS683" s="551"/>
      <c r="AT683" s="551"/>
      <c r="AU683" s="551"/>
      <c r="AV683" s="551"/>
      <c r="AW683" s="551"/>
      <c r="AX683" s="551"/>
      <c r="AY683" s="551"/>
      <c r="AZ683" s="551"/>
      <c r="BA683" s="551"/>
      <c r="BB683" s="551"/>
      <c r="BC683" s="551"/>
      <c r="BD683" s="551"/>
      <c r="BE683" s="551"/>
      <c r="BF683" s="551"/>
    </row>
    <row r="684" spans="1:58" ht="12.75" customHeight="1">
      <c r="A684" s="551"/>
      <c r="B684" s="551"/>
      <c r="C684" s="551"/>
      <c r="D684" s="551"/>
      <c r="E684" s="551"/>
      <c r="F684" s="551"/>
      <c r="G684" s="551"/>
      <c r="H684" s="551"/>
      <c r="I684" s="551"/>
      <c r="J684" s="551"/>
      <c r="K684" s="551"/>
      <c r="L684" s="551"/>
      <c r="M684" s="551"/>
      <c r="N684" s="551"/>
      <c r="O684" s="551"/>
      <c r="P684" s="551"/>
      <c r="Q684" s="551"/>
      <c r="R684" s="551"/>
      <c r="S684" s="551"/>
      <c r="T684" s="551"/>
      <c r="U684" s="551"/>
      <c r="V684" s="551"/>
      <c r="W684" s="551"/>
      <c r="X684" s="551"/>
      <c r="Y684" s="551"/>
      <c r="Z684" s="551"/>
      <c r="AA684" s="551"/>
      <c r="AB684" s="551"/>
      <c r="AC684" s="551"/>
      <c r="AD684" s="551"/>
      <c r="AE684" s="551"/>
      <c r="AF684" s="551"/>
      <c r="AG684" s="551"/>
      <c r="AH684" s="551"/>
      <c r="AI684" s="551"/>
      <c r="AJ684" s="551"/>
      <c r="AK684" s="551"/>
      <c r="AL684" s="551"/>
      <c r="AM684" s="551"/>
      <c r="AN684" s="551"/>
      <c r="AO684" s="551"/>
      <c r="AP684" s="551"/>
      <c r="AQ684" s="551"/>
      <c r="AR684" s="551"/>
      <c r="AS684" s="551"/>
      <c r="AT684" s="551"/>
      <c r="AU684" s="551"/>
      <c r="AV684" s="551"/>
      <c r="AW684" s="551"/>
      <c r="AX684" s="551"/>
      <c r="AY684" s="551"/>
      <c r="AZ684" s="551"/>
      <c r="BA684" s="551"/>
      <c r="BB684" s="551"/>
      <c r="BC684" s="551"/>
      <c r="BD684" s="551"/>
      <c r="BE684" s="551"/>
      <c r="BF684" s="551"/>
    </row>
    <row r="685" spans="1:58" ht="12.75" customHeight="1">
      <c r="A685" s="551"/>
      <c r="B685" s="551"/>
      <c r="C685" s="551"/>
      <c r="D685" s="551"/>
      <c r="E685" s="551"/>
      <c r="F685" s="551"/>
      <c r="G685" s="551"/>
      <c r="H685" s="551"/>
      <c r="I685" s="551"/>
      <c r="J685" s="551"/>
      <c r="K685" s="551"/>
      <c r="L685" s="551"/>
      <c r="M685" s="551"/>
      <c r="N685" s="551"/>
      <c r="O685" s="551"/>
      <c r="P685" s="551"/>
      <c r="Q685" s="551"/>
      <c r="R685" s="551"/>
      <c r="S685" s="551"/>
      <c r="T685" s="551"/>
      <c r="U685" s="551"/>
      <c r="V685" s="551"/>
      <c r="W685" s="551"/>
      <c r="X685" s="551"/>
      <c r="Y685" s="551"/>
      <c r="Z685" s="551"/>
      <c r="AA685" s="551"/>
      <c r="AB685" s="551"/>
      <c r="AC685" s="551"/>
      <c r="AD685" s="551"/>
      <c r="AE685" s="551"/>
      <c r="AF685" s="551"/>
      <c r="AG685" s="551"/>
      <c r="AH685" s="551"/>
      <c r="AI685" s="551"/>
      <c r="AJ685" s="551"/>
      <c r="AK685" s="551"/>
      <c r="AL685" s="551"/>
      <c r="AM685" s="551"/>
      <c r="AN685" s="551"/>
      <c r="AO685" s="551"/>
      <c r="AP685" s="551"/>
      <c r="AQ685" s="551"/>
      <c r="AR685" s="551"/>
      <c r="AS685" s="551"/>
      <c r="AT685" s="551"/>
      <c r="AU685" s="551"/>
      <c r="AV685" s="551"/>
      <c r="AW685" s="551"/>
      <c r="AX685" s="551"/>
      <c r="AY685" s="551"/>
      <c r="AZ685" s="551"/>
      <c r="BA685" s="551"/>
      <c r="BB685" s="551"/>
      <c r="BC685" s="551"/>
      <c r="BD685" s="551"/>
      <c r="BE685" s="551"/>
      <c r="BF685" s="551"/>
    </row>
    <row r="686" spans="1:58" ht="12.75" customHeight="1">
      <c r="A686" s="551"/>
      <c r="B686" s="551"/>
      <c r="C686" s="551"/>
      <c r="D686" s="551"/>
      <c r="E686" s="551"/>
      <c r="F686" s="551"/>
      <c r="G686" s="551"/>
      <c r="H686" s="551"/>
      <c r="I686" s="551"/>
      <c r="J686" s="551"/>
      <c r="K686" s="551"/>
      <c r="L686" s="551"/>
      <c r="M686" s="551"/>
      <c r="N686" s="551"/>
      <c r="O686" s="551"/>
      <c r="P686" s="551"/>
      <c r="Q686" s="551"/>
      <c r="R686" s="551"/>
      <c r="S686" s="551"/>
      <c r="T686" s="551"/>
      <c r="U686" s="551"/>
      <c r="V686" s="551"/>
      <c r="W686" s="551"/>
      <c r="X686" s="551"/>
      <c r="Y686" s="551"/>
      <c r="Z686" s="551"/>
      <c r="AA686" s="551"/>
      <c r="AB686" s="551"/>
      <c r="AC686" s="551"/>
      <c r="AD686" s="551"/>
      <c r="AE686" s="551"/>
      <c r="AF686" s="551"/>
      <c r="AG686" s="551"/>
      <c r="AH686" s="551"/>
      <c r="AI686" s="551"/>
      <c r="AJ686" s="551"/>
      <c r="AK686" s="551"/>
      <c r="AL686" s="551"/>
      <c r="AM686" s="551"/>
      <c r="AN686" s="551"/>
      <c r="AO686" s="551"/>
      <c r="AP686" s="551"/>
      <c r="AQ686" s="551"/>
      <c r="AR686" s="551"/>
      <c r="AS686" s="551"/>
      <c r="AT686" s="551"/>
      <c r="AU686" s="551"/>
      <c r="AV686" s="551"/>
      <c r="AW686" s="551"/>
      <c r="AX686" s="551"/>
      <c r="AY686" s="551"/>
      <c r="AZ686" s="551"/>
      <c r="BA686" s="551"/>
      <c r="BB686" s="551"/>
      <c r="BC686" s="551"/>
      <c r="BD686" s="551"/>
      <c r="BE686" s="551"/>
      <c r="BF686" s="551"/>
    </row>
    <row r="687" spans="1:58" ht="12.75" customHeight="1">
      <c r="A687" s="551"/>
      <c r="B687" s="551"/>
      <c r="C687" s="551"/>
      <c r="D687" s="551"/>
      <c r="E687" s="551"/>
      <c r="F687" s="551"/>
      <c r="G687" s="551"/>
      <c r="H687" s="551"/>
      <c r="I687" s="551"/>
      <c r="J687" s="551"/>
      <c r="K687" s="551"/>
      <c r="L687" s="551"/>
      <c r="M687" s="551"/>
      <c r="N687" s="551"/>
      <c r="O687" s="551"/>
      <c r="P687" s="551"/>
      <c r="Q687" s="551"/>
      <c r="R687" s="551"/>
      <c r="S687" s="551"/>
      <c r="T687" s="551"/>
      <c r="U687" s="551"/>
      <c r="V687" s="551"/>
      <c r="W687" s="551"/>
      <c r="X687" s="551"/>
      <c r="Y687" s="551"/>
      <c r="Z687" s="551"/>
      <c r="AA687" s="551"/>
      <c r="AB687" s="551"/>
      <c r="AC687" s="551"/>
      <c r="AD687" s="551"/>
      <c r="AE687" s="551"/>
      <c r="AF687" s="551"/>
      <c r="AG687" s="551"/>
      <c r="AH687" s="551"/>
      <c r="AI687" s="551"/>
      <c r="AJ687" s="551"/>
      <c r="AK687" s="551"/>
      <c r="AL687" s="551"/>
      <c r="AM687" s="551"/>
      <c r="AN687" s="551"/>
      <c r="AO687" s="551"/>
      <c r="AP687" s="551"/>
      <c r="AQ687" s="551"/>
      <c r="AR687" s="551"/>
      <c r="AS687" s="551"/>
      <c r="AT687" s="551"/>
      <c r="AU687" s="551"/>
      <c r="AV687" s="551"/>
      <c r="AW687" s="551"/>
      <c r="AX687" s="551"/>
      <c r="AY687" s="551"/>
      <c r="AZ687" s="551"/>
      <c r="BA687" s="551"/>
      <c r="BB687" s="551"/>
      <c r="BC687" s="551"/>
      <c r="BD687" s="551"/>
      <c r="BE687" s="551"/>
      <c r="BF687" s="551"/>
    </row>
    <row r="688" spans="1:58" ht="12.75" customHeight="1">
      <c r="A688" s="551"/>
      <c r="B688" s="551"/>
      <c r="C688" s="551"/>
      <c r="D688" s="551"/>
      <c r="E688" s="551"/>
      <c r="F688" s="551"/>
      <c r="G688" s="551"/>
      <c r="H688" s="551"/>
      <c r="I688" s="551"/>
      <c r="J688" s="551"/>
      <c r="K688" s="551"/>
      <c r="L688" s="551"/>
      <c r="M688" s="551"/>
      <c r="N688" s="551"/>
      <c r="O688" s="551"/>
      <c r="P688" s="551"/>
      <c r="Q688" s="551"/>
      <c r="R688" s="551"/>
      <c r="S688" s="551"/>
      <c r="T688" s="551"/>
      <c r="U688" s="551"/>
      <c r="V688" s="551"/>
      <c r="W688" s="551"/>
      <c r="X688" s="551"/>
      <c r="Y688" s="551"/>
      <c r="Z688" s="551"/>
      <c r="AA688" s="551"/>
      <c r="AB688" s="551"/>
      <c r="AC688" s="551"/>
      <c r="AD688" s="551"/>
      <c r="AE688" s="551"/>
      <c r="AF688" s="551"/>
      <c r="AG688" s="551"/>
      <c r="AH688" s="551"/>
      <c r="AI688" s="551"/>
      <c r="AJ688" s="551"/>
      <c r="AK688" s="551"/>
      <c r="AL688" s="551"/>
      <c r="AM688" s="551"/>
      <c r="AN688" s="551"/>
      <c r="AO688" s="551"/>
      <c r="AP688" s="551"/>
      <c r="AQ688" s="551"/>
      <c r="AR688" s="551"/>
      <c r="AS688" s="551"/>
      <c r="AT688" s="551"/>
      <c r="AU688" s="551"/>
      <c r="AV688" s="551"/>
      <c r="AW688" s="551"/>
      <c r="AX688" s="551"/>
      <c r="AY688" s="551"/>
      <c r="AZ688" s="551"/>
      <c r="BA688" s="551"/>
      <c r="BB688" s="551"/>
      <c r="BC688" s="551"/>
      <c r="BD688" s="551"/>
      <c r="BE688" s="551"/>
      <c r="BF688" s="551"/>
    </row>
    <row r="689" spans="1:58" ht="12.75" customHeight="1">
      <c r="A689" s="551"/>
      <c r="B689" s="551"/>
      <c r="C689" s="551"/>
      <c r="D689" s="551"/>
      <c r="E689" s="551"/>
      <c r="F689" s="551"/>
      <c r="G689" s="551"/>
      <c r="H689" s="551"/>
      <c r="I689" s="551"/>
      <c r="J689" s="551"/>
      <c r="K689" s="551"/>
      <c r="L689" s="551"/>
      <c r="M689" s="551"/>
      <c r="N689" s="551"/>
      <c r="O689" s="551"/>
      <c r="P689" s="551"/>
      <c r="Q689" s="551"/>
      <c r="R689" s="551"/>
      <c r="S689" s="551"/>
      <c r="T689" s="551"/>
      <c r="U689" s="551"/>
      <c r="V689" s="551"/>
      <c r="W689" s="551"/>
      <c r="X689" s="551"/>
      <c r="Y689" s="551"/>
      <c r="Z689" s="551"/>
      <c r="AA689" s="551"/>
      <c r="AB689" s="551"/>
      <c r="AC689" s="551"/>
      <c r="AD689" s="551"/>
      <c r="AE689" s="551"/>
      <c r="AF689" s="551"/>
      <c r="AG689" s="551"/>
      <c r="AH689" s="551"/>
      <c r="AI689" s="551"/>
      <c r="AJ689" s="551"/>
      <c r="AK689" s="551"/>
      <c r="AL689" s="551"/>
      <c r="AM689" s="551"/>
      <c r="AN689" s="551"/>
      <c r="AO689" s="551"/>
      <c r="AP689" s="551"/>
      <c r="AQ689" s="551"/>
      <c r="AR689" s="551"/>
      <c r="AS689" s="551"/>
      <c r="AT689" s="551"/>
      <c r="AU689" s="551"/>
      <c r="AV689" s="551"/>
      <c r="AW689" s="551"/>
      <c r="AX689" s="551"/>
      <c r="AY689" s="551"/>
      <c r="AZ689" s="551"/>
      <c r="BA689" s="551"/>
      <c r="BB689" s="551"/>
      <c r="BC689" s="551"/>
      <c r="BD689" s="551"/>
      <c r="BE689" s="551"/>
      <c r="BF689" s="551"/>
    </row>
    <row r="690" spans="1:58" ht="12.75" customHeight="1">
      <c r="A690" s="551"/>
      <c r="B690" s="551"/>
      <c r="C690" s="551"/>
      <c r="D690" s="551"/>
      <c r="E690" s="551"/>
      <c r="F690" s="551"/>
      <c r="G690" s="551"/>
      <c r="H690" s="551"/>
      <c r="I690" s="551"/>
      <c r="J690" s="551"/>
      <c r="K690" s="551"/>
      <c r="L690" s="551"/>
      <c r="M690" s="551"/>
      <c r="N690" s="551"/>
      <c r="O690" s="551"/>
      <c r="P690" s="551"/>
      <c r="Q690" s="551"/>
      <c r="R690" s="551"/>
      <c r="S690" s="551"/>
      <c r="T690" s="551"/>
      <c r="U690" s="551"/>
      <c r="V690" s="551"/>
      <c r="W690" s="551"/>
      <c r="X690" s="551"/>
      <c r="Y690" s="551"/>
      <c r="Z690" s="551"/>
      <c r="AA690" s="551"/>
      <c r="AB690" s="551"/>
      <c r="AC690" s="551"/>
      <c r="AD690" s="551"/>
      <c r="AE690" s="551"/>
      <c r="AF690" s="551"/>
      <c r="AG690" s="551"/>
      <c r="AH690" s="551"/>
      <c r="AI690" s="551"/>
      <c r="AJ690" s="551"/>
      <c r="AK690" s="551"/>
      <c r="AL690" s="551"/>
      <c r="AM690" s="551"/>
      <c r="AN690" s="551"/>
      <c r="AO690" s="551"/>
      <c r="AP690" s="551"/>
      <c r="AQ690" s="551"/>
      <c r="AR690" s="551"/>
      <c r="AS690" s="551"/>
      <c r="AT690" s="551"/>
      <c r="AU690" s="551"/>
      <c r="AV690" s="551"/>
      <c r="AW690" s="551"/>
      <c r="AX690" s="551"/>
      <c r="AY690" s="551"/>
      <c r="AZ690" s="551"/>
      <c r="BA690" s="551"/>
      <c r="BB690" s="551"/>
      <c r="BC690" s="551"/>
      <c r="BD690" s="551"/>
      <c r="BE690" s="551"/>
      <c r="BF690" s="551"/>
    </row>
    <row r="691" spans="1:58" ht="12.75" customHeight="1">
      <c r="A691" s="551"/>
      <c r="B691" s="551"/>
      <c r="C691" s="551"/>
      <c r="D691" s="551"/>
      <c r="E691" s="551"/>
      <c r="F691" s="551"/>
      <c r="G691" s="551"/>
      <c r="H691" s="551"/>
      <c r="I691" s="551"/>
      <c r="J691" s="551"/>
      <c r="K691" s="551"/>
      <c r="L691" s="551"/>
      <c r="M691" s="551"/>
      <c r="N691" s="551"/>
      <c r="O691" s="551"/>
      <c r="P691" s="551"/>
      <c r="Q691" s="551"/>
      <c r="R691" s="551"/>
      <c r="S691" s="551"/>
      <c r="T691" s="551"/>
      <c r="U691" s="551"/>
      <c r="V691" s="551"/>
      <c r="W691" s="551"/>
      <c r="X691" s="551"/>
      <c r="Y691" s="551"/>
      <c r="Z691" s="551"/>
      <c r="AA691" s="551"/>
      <c r="AB691" s="551"/>
      <c r="AC691" s="551"/>
      <c r="AD691" s="551"/>
      <c r="AE691" s="551"/>
      <c r="AF691" s="551"/>
      <c r="AG691" s="551"/>
      <c r="AH691" s="551"/>
      <c r="AI691" s="551"/>
      <c r="AJ691" s="551"/>
      <c r="AK691" s="551"/>
      <c r="AL691" s="551"/>
      <c r="AM691" s="551"/>
      <c r="AN691" s="551"/>
      <c r="AO691" s="551"/>
      <c r="AP691" s="551"/>
      <c r="AQ691" s="551"/>
      <c r="AR691" s="551"/>
      <c r="AS691" s="551"/>
      <c r="AT691" s="551"/>
      <c r="AU691" s="551"/>
      <c r="AV691" s="551"/>
      <c r="AW691" s="551"/>
      <c r="AX691" s="551"/>
      <c r="AY691" s="551"/>
      <c r="AZ691" s="551"/>
      <c r="BA691" s="551"/>
      <c r="BB691" s="551"/>
      <c r="BC691" s="551"/>
      <c r="BD691" s="551"/>
      <c r="BE691" s="551"/>
      <c r="BF691" s="551"/>
    </row>
    <row r="692" spans="1:58" ht="12.75" customHeight="1">
      <c r="A692" s="551"/>
      <c r="B692" s="551"/>
      <c r="C692" s="551"/>
      <c r="D692" s="551"/>
      <c r="E692" s="551"/>
      <c r="F692" s="551"/>
      <c r="G692" s="551"/>
      <c r="H692" s="551"/>
      <c r="I692" s="551"/>
      <c r="J692" s="551"/>
      <c r="K692" s="551"/>
      <c r="L692" s="551"/>
      <c r="M692" s="551"/>
      <c r="N692" s="551"/>
      <c r="O692" s="551"/>
      <c r="P692" s="551"/>
      <c r="Q692" s="551"/>
      <c r="R692" s="551"/>
      <c r="S692" s="551"/>
      <c r="T692" s="551"/>
      <c r="U692" s="551"/>
      <c r="V692" s="551"/>
      <c r="W692" s="551"/>
      <c r="X692" s="551"/>
      <c r="Y692" s="551"/>
      <c r="Z692" s="551"/>
      <c r="AA692" s="551"/>
      <c r="AB692" s="551"/>
      <c r="AC692" s="551"/>
      <c r="AD692" s="551"/>
      <c r="AE692" s="551"/>
      <c r="AF692" s="551"/>
      <c r="AG692" s="551"/>
      <c r="AH692" s="551"/>
      <c r="AI692" s="551"/>
      <c r="AJ692" s="551"/>
      <c r="AK692" s="551"/>
      <c r="AL692" s="551"/>
      <c r="AM692" s="551"/>
      <c r="AN692" s="551"/>
      <c r="AO692" s="551"/>
      <c r="AP692" s="551"/>
      <c r="AQ692" s="551"/>
      <c r="AR692" s="551"/>
      <c r="AS692" s="551"/>
      <c r="AT692" s="551"/>
      <c r="AU692" s="551"/>
      <c r="AV692" s="551"/>
      <c r="AW692" s="551"/>
      <c r="AX692" s="551"/>
      <c r="AY692" s="551"/>
      <c r="AZ692" s="551"/>
      <c r="BA692" s="551"/>
      <c r="BB692" s="551"/>
      <c r="BC692" s="551"/>
      <c r="BD692" s="551"/>
      <c r="BE692" s="551"/>
      <c r="BF692" s="551"/>
    </row>
    <row r="693" spans="1:58" ht="12.75" customHeight="1">
      <c r="A693" s="551"/>
      <c r="B693" s="551"/>
      <c r="C693" s="551"/>
      <c r="D693" s="551"/>
      <c r="E693" s="551"/>
      <c r="F693" s="551"/>
      <c r="G693" s="551"/>
      <c r="H693" s="551"/>
      <c r="I693" s="551"/>
      <c r="J693" s="551"/>
      <c r="K693" s="551"/>
      <c r="L693" s="551"/>
      <c r="M693" s="551"/>
      <c r="N693" s="551"/>
      <c r="O693" s="551"/>
      <c r="P693" s="551"/>
      <c r="Q693" s="551"/>
      <c r="R693" s="551"/>
      <c r="S693" s="551"/>
      <c r="T693" s="551"/>
      <c r="U693" s="551"/>
      <c r="V693" s="551"/>
      <c r="W693" s="551"/>
      <c r="X693" s="551"/>
      <c r="Y693" s="551"/>
      <c r="Z693" s="551"/>
      <c r="AA693" s="551"/>
      <c r="AB693" s="551"/>
      <c r="AC693" s="551"/>
      <c r="AD693" s="551"/>
      <c r="AE693" s="551"/>
      <c r="AF693" s="551"/>
      <c r="AG693" s="551"/>
      <c r="AH693" s="551"/>
      <c r="AI693" s="551"/>
      <c r="AJ693" s="551"/>
      <c r="AK693" s="551"/>
      <c r="AL693" s="551"/>
      <c r="AM693" s="551"/>
      <c r="AN693" s="551"/>
      <c r="AO693" s="551"/>
      <c r="AP693" s="551"/>
      <c r="AQ693" s="551"/>
      <c r="AR693" s="551"/>
      <c r="AS693" s="551"/>
      <c r="AT693" s="551"/>
      <c r="AU693" s="551"/>
      <c r="AV693" s="551"/>
      <c r="AW693" s="551"/>
      <c r="AX693" s="551"/>
      <c r="AY693" s="551"/>
      <c r="AZ693" s="551"/>
      <c r="BA693" s="551"/>
      <c r="BB693" s="551"/>
      <c r="BC693" s="551"/>
      <c r="BD693" s="551"/>
      <c r="BE693" s="551"/>
      <c r="BF693" s="551"/>
    </row>
    <row r="694" spans="1:58" ht="12.75" customHeight="1">
      <c r="A694" s="551"/>
      <c r="B694" s="551"/>
      <c r="C694" s="551"/>
      <c r="D694" s="551"/>
      <c r="E694" s="551"/>
      <c r="F694" s="551"/>
      <c r="G694" s="551"/>
      <c r="H694" s="551"/>
      <c r="I694" s="551"/>
      <c r="J694" s="551"/>
      <c r="K694" s="551"/>
      <c r="L694" s="551"/>
      <c r="M694" s="551"/>
      <c r="N694" s="551"/>
      <c r="O694" s="551"/>
      <c r="P694" s="551"/>
      <c r="Q694" s="551"/>
      <c r="R694" s="551"/>
      <c r="S694" s="551"/>
      <c r="T694" s="551"/>
      <c r="U694" s="551"/>
      <c r="V694" s="551"/>
      <c r="W694" s="551"/>
      <c r="X694" s="551"/>
      <c r="Y694" s="551"/>
      <c r="Z694" s="551"/>
      <c r="AA694" s="551"/>
      <c r="AB694" s="551"/>
      <c r="AC694" s="551"/>
      <c r="AD694" s="551"/>
      <c r="AE694" s="551"/>
      <c r="AF694" s="551"/>
      <c r="AG694" s="551"/>
      <c r="AH694" s="551"/>
      <c r="AI694" s="551"/>
      <c r="AJ694" s="551"/>
      <c r="AK694" s="551"/>
      <c r="AL694" s="551"/>
      <c r="AM694" s="551"/>
      <c r="AN694" s="551"/>
      <c r="AO694" s="551"/>
      <c r="AP694" s="551"/>
      <c r="AQ694" s="551"/>
      <c r="AR694" s="551"/>
      <c r="AS694" s="551"/>
      <c r="AT694" s="551"/>
      <c r="AU694" s="551"/>
      <c r="AV694" s="551"/>
      <c r="AW694" s="551"/>
      <c r="AX694" s="551"/>
      <c r="AY694" s="551"/>
      <c r="AZ694" s="551"/>
      <c r="BA694" s="551"/>
      <c r="BB694" s="551"/>
      <c r="BC694" s="551"/>
      <c r="BD694" s="551"/>
      <c r="BE694" s="551"/>
      <c r="BF694" s="551"/>
    </row>
    <row r="695" spans="1:58" ht="12.75" customHeight="1">
      <c r="A695" s="551"/>
      <c r="B695" s="551"/>
      <c r="C695" s="551"/>
      <c r="D695" s="551"/>
      <c r="E695" s="551"/>
      <c r="F695" s="551"/>
      <c r="G695" s="551"/>
      <c r="H695" s="551"/>
      <c r="I695" s="551"/>
      <c r="J695" s="551"/>
      <c r="K695" s="551"/>
      <c r="L695" s="551"/>
      <c r="M695" s="551"/>
      <c r="N695" s="551"/>
      <c r="O695" s="551"/>
      <c r="P695" s="551"/>
      <c r="Q695" s="551"/>
      <c r="R695" s="551"/>
      <c r="S695" s="551"/>
      <c r="T695" s="551"/>
      <c r="U695" s="551"/>
      <c r="V695" s="551"/>
      <c r="W695" s="551"/>
      <c r="X695" s="551"/>
      <c r="Y695" s="551"/>
      <c r="Z695" s="551"/>
      <c r="AA695" s="551"/>
      <c r="AB695" s="551"/>
      <c r="AC695" s="551"/>
      <c r="AD695" s="551"/>
      <c r="AE695" s="551"/>
      <c r="AF695" s="551"/>
      <c r="AG695" s="551"/>
      <c r="AH695" s="551"/>
      <c r="AI695" s="551"/>
      <c r="AJ695" s="551"/>
      <c r="AK695" s="551"/>
      <c r="AL695" s="551"/>
      <c r="AM695" s="551"/>
      <c r="AN695" s="551"/>
      <c r="AO695" s="551"/>
      <c r="AP695" s="551"/>
      <c r="AQ695" s="551"/>
      <c r="AR695" s="551"/>
      <c r="AS695" s="551"/>
      <c r="AT695" s="551"/>
      <c r="AU695" s="551"/>
      <c r="AV695" s="551"/>
      <c r="AW695" s="551"/>
      <c r="AX695" s="551"/>
      <c r="AY695" s="551"/>
      <c r="AZ695" s="551"/>
      <c r="BA695" s="551"/>
      <c r="BB695" s="551"/>
      <c r="BC695" s="551"/>
      <c r="BD695" s="551"/>
      <c r="BE695" s="551"/>
      <c r="BF695" s="551"/>
    </row>
    <row r="696" spans="1:58" ht="12.75" customHeight="1">
      <c r="A696" s="551"/>
      <c r="B696" s="551"/>
      <c r="C696" s="551"/>
      <c r="D696" s="551"/>
      <c r="E696" s="551"/>
      <c r="F696" s="551"/>
      <c r="G696" s="551"/>
      <c r="H696" s="551"/>
      <c r="I696" s="551"/>
      <c r="J696" s="551"/>
      <c r="K696" s="551"/>
      <c r="L696" s="551"/>
      <c r="M696" s="551"/>
      <c r="N696" s="551"/>
      <c r="O696" s="551"/>
      <c r="P696" s="551"/>
      <c r="Q696" s="551"/>
      <c r="R696" s="551"/>
      <c r="S696" s="551"/>
      <c r="T696" s="551"/>
      <c r="U696" s="551"/>
      <c r="V696" s="551"/>
      <c r="W696" s="551"/>
      <c r="X696" s="551"/>
      <c r="Y696" s="551"/>
      <c r="Z696" s="551"/>
      <c r="AA696" s="551"/>
      <c r="AB696" s="551"/>
      <c r="AC696" s="551"/>
      <c r="AD696" s="551"/>
      <c r="AE696" s="551"/>
      <c r="AF696" s="551"/>
      <c r="AG696" s="551"/>
      <c r="AH696" s="551"/>
      <c r="AI696" s="551"/>
      <c r="AJ696" s="551"/>
      <c r="AK696" s="551"/>
      <c r="AL696" s="551"/>
      <c r="AM696" s="551"/>
      <c r="AN696" s="551"/>
      <c r="AO696" s="551"/>
      <c r="AP696" s="551"/>
      <c r="AQ696" s="551"/>
      <c r="AR696" s="551"/>
      <c r="AS696" s="551"/>
      <c r="AT696" s="551"/>
      <c r="AU696" s="551"/>
      <c r="AV696" s="551"/>
      <c r="AW696" s="551"/>
      <c r="AX696" s="551"/>
      <c r="AY696" s="551"/>
      <c r="AZ696" s="551"/>
      <c r="BA696" s="551"/>
      <c r="BB696" s="551"/>
      <c r="BC696" s="551"/>
      <c r="BD696" s="551"/>
      <c r="BE696" s="551"/>
      <c r="BF696" s="551"/>
    </row>
    <row r="697" spans="1:58" ht="12.75" customHeight="1">
      <c r="A697" s="551"/>
      <c r="B697" s="551"/>
      <c r="C697" s="551"/>
      <c r="D697" s="551"/>
      <c r="E697" s="551"/>
      <c r="F697" s="551"/>
      <c r="G697" s="551"/>
      <c r="H697" s="551"/>
      <c r="I697" s="551"/>
      <c r="J697" s="551"/>
      <c r="K697" s="551"/>
      <c r="L697" s="551"/>
      <c r="M697" s="551"/>
      <c r="N697" s="551"/>
      <c r="O697" s="551"/>
      <c r="P697" s="551"/>
      <c r="Q697" s="551"/>
      <c r="R697" s="551"/>
      <c r="S697" s="551"/>
      <c r="T697" s="551"/>
      <c r="U697" s="551"/>
      <c r="V697" s="551"/>
      <c r="W697" s="551"/>
      <c r="X697" s="551"/>
      <c r="Y697" s="551"/>
      <c r="Z697" s="551"/>
      <c r="AA697" s="551"/>
      <c r="AB697" s="551"/>
      <c r="AC697" s="551"/>
      <c r="AD697" s="551"/>
      <c r="AE697" s="551"/>
      <c r="AF697" s="551"/>
      <c r="AG697" s="551"/>
      <c r="AH697" s="551"/>
      <c r="AI697" s="551"/>
      <c r="AJ697" s="551"/>
      <c r="AK697" s="551"/>
      <c r="AL697" s="551"/>
      <c r="AM697" s="551"/>
      <c r="AN697" s="551"/>
      <c r="AO697" s="551"/>
      <c r="AP697" s="551"/>
      <c r="AQ697" s="551"/>
      <c r="AR697" s="551"/>
      <c r="AS697" s="551"/>
      <c r="AT697" s="551"/>
      <c r="AU697" s="551"/>
      <c r="AV697" s="551"/>
      <c r="AW697" s="551"/>
      <c r="AX697" s="551"/>
      <c r="AY697" s="551"/>
      <c r="AZ697" s="551"/>
      <c r="BA697" s="551"/>
      <c r="BB697" s="551"/>
      <c r="BC697" s="551"/>
      <c r="BD697" s="551"/>
      <c r="BE697" s="551"/>
      <c r="BF697" s="551"/>
    </row>
    <row r="698" spans="1:58" ht="12.75" customHeight="1">
      <c r="A698" s="551"/>
      <c r="B698" s="551"/>
      <c r="C698" s="551"/>
      <c r="D698" s="551"/>
      <c r="E698" s="551"/>
      <c r="F698" s="551"/>
      <c r="G698" s="551"/>
      <c r="H698" s="551"/>
      <c r="I698" s="551"/>
      <c r="J698" s="551"/>
      <c r="K698" s="551"/>
      <c r="L698" s="551"/>
      <c r="M698" s="551"/>
      <c r="N698" s="551"/>
      <c r="O698" s="551"/>
      <c r="P698" s="551"/>
      <c r="Q698" s="551"/>
      <c r="R698" s="551"/>
      <c r="S698" s="551"/>
      <c r="T698" s="551"/>
      <c r="U698" s="551"/>
      <c r="V698" s="551"/>
      <c r="W698" s="551"/>
      <c r="X698" s="551"/>
      <c r="Y698" s="551"/>
      <c r="Z698" s="551"/>
      <c r="AA698" s="551"/>
      <c r="AB698" s="551"/>
      <c r="AC698" s="551"/>
      <c r="AD698" s="551"/>
      <c r="AE698" s="551"/>
      <c r="AF698" s="551"/>
      <c r="AG698" s="551"/>
      <c r="AH698" s="551"/>
      <c r="AI698" s="551"/>
      <c r="AJ698" s="551"/>
      <c r="AK698" s="551"/>
      <c r="AL698" s="551"/>
      <c r="AM698" s="551"/>
      <c r="AN698" s="551"/>
      <c r="AO698" s="551"/>
      <c r="AP698" s="551"/>
      <c r="AQ698" s="551"/>
      <c r="AR698" s="551"/>
      <c r="AS698" s="551"/>
      <c r="AT698" s="551"/>
      <c r="AU698" s="551"/>
      <c r="AV698" s="551"/>
      <c r="AW698" s="551"/>
      <c r="AX698" s="551"/>
      <c r="AY698" s="551"/>
      <c r="AZ698" s="551"/>
      <c r="BA698" s="551"/>
      <c r="BB698" s="551"/>
      <c r="BC698" s="551"/>
      <c r="BD698" s="551"/>
      <c r="BE698" s="551"/>
      <c r="BF698" s="551"/>
    </row>
    <row r="699" spans="1:58" ht="12.75" customHeight="1">
      <c r="A699" s="551"/>
      <c r="B699" s="551"/>
      <c r="C699" s="551"/>
      <c r="D699" s="551"/>
      <c r="E699" s="551"/>
      <c r="F699" s="551"/>
      <c r="G699" s="551"/>
      <c r="H699" s="551"/>
      <c r="I699" s="551"/>
      <c r="J699" s="551"/>
      <c r="K699" s="551"/>
      <c r="L699" s="551"/>
      <c r="M699" s="551"/>
      <c r="N699" s="551"/>
      <c r="O699" s="551"/>
      <c r="P699" s="551"/>
      <c r="Q699" s="551"/>
      <c r="R699" s="551"/>
      <c r="S699" s="551"/>
      <c r="T699" s="551"/>
      <c r="U699" s="551"/>
      <c r="V699" s="551"/>
      <c r="W699" s="551"/>
      <c r="X699" s="551"/>
      <c r="Y699" s="551"/>
      <c r="Z699" s="551"/>
      <c r="AA699" s="551"/>
      <c r="AB699" s="551"/>
      <c r="AC699" s="551"/>
      <c r="AD699" s="551"/>
      <c r="AE699" s="551"/>
      <c r="AF699" s="551"/>
      <c r="AG699" s="551"/>
      <c r="AH699" s="551"/>
      <c r="AI699" s="551"/>
      <c r="AJ699" s="551"/>
      <c r="AK699" s="551"/>
      <c r="AL699" s="551"/>
      <c r="AM699" s="551"/>
      <c r="AN699" s="551"/>
      <c r="AO699" s="551"/>
      <c r="AP699" s="551"/>
      <c r="AQ699" s="551"/>
      <c r="AR699" s="551"/>
      <c r="AS699" s="551"/>
      <c r="AT699" s="551"/>
      <c r="AU699" s="551"/>
      <c r="AV699" s="551"/>
      <c r="AW699" s="551"/>
      <c r="AX699" s="551"/>
      <c r="AY699" s="551"/>
      <c r="AZ699" s="551"/>
      <c r="BA699" s="551"/>
      <c r="BB699" s="551"/>
      <c r="BC699" s="551"/>
      <c r="BD699" s="551"/>
      <c r="BE699" s="551"/>
      <c r="BF699" s="551"/>
    </row>
    <row r="700" spans="1:58" ht="12.75" customHeight="1">
      <c r="A700" s="551"/>
      <c r="B700" s="551"/>
      <c r="C700" s="551"/>
      <c r="D700" s="551"/>
      <c r="E700" s="551"/>
      <c r="F700" s="551"/>
      <c r="G700" s="551"/>
      <c r="H700" s="551"/>
      <c r="I700" s="551"/>
      <c r="J700" s="551"/>
      <c r="K700" s="551"/>
      <c r="L700" s="551"/>
      <c r="M700" s="551"/>
      <c r="N700" s="551"/>
      <c r="O700" s="551"/>
      <c r="P700" s="551"/>
      <c r="Q700" s="551"/>
      <c r="R700" s="551"/>
      <c r="S700" s="551"/>
      <c r="T700" s="551"/>
      <c r="U700" s="551"/>
      <c r="V700" s="551"/>
      <c r="W700" s="551"/>
      <c r="X700" s="551"/>
      <c r="Y700" s="551"/>
      <c r="Z700" s="551"/>
      <c r="AA700" s="551"/>
      <c r="AB700" s="551"/>
      <c r="AC700" s="551"/>
      <c r="AD700" s="551"/>
      <c r="AE700" s="551"/>
      <c r="AF700" s="551"/>
      <c r="AG700" s="551"/>
      <c r="AH700" s="551"/>
      <c r="AI700" s="551"/>
      <c r="AJ700" s="551"/>
      <c r="AK700" s="551"/>
      <c r="AL700" s="551"/>
      <c r="AM700" s="551"/>
      <c r="AN700" s="551"/>
      <c r="AO700" s="551"/>
      <c r="AP700" s="551"/>
      <c r="AQ700" s="551"/>
      <c r="AR700" s="551"/>
      <c r="AS700" s="551"/>
      <c r="AT700" s="551"/>
      <c r="AU700" s="551"/>
      <c r="AV700" s="551"/>
      <c r="AW700" s="551"/>
      <c r="AX700" s="551"/>
      <c r="AY700" s="551"/>
      <c r="AZ700" s="551"/>
      <c r="BA700" s="551"/>
      <c r="BB700" s="551"/>
      <c r="BC700" s="551"/>
      <c r="BD700" s="551"/>
      <c r="BE700" s="551"/>
      <c r="BF700" s="551"/>
    </row>
    <row r="701" spans="1:58" ht="12.75" customHeight="1">
      <c r="A701" s="551"/>
      <c r="B701" s="551"/>
      <c r="C701" s="551"/>
      <c r="D701" s="551"/>
      <c r="E701" s="551"/>
      <c r="F701" s="551"/>
      <c r="G701" s="551"/>
      <c r="H701" s="551"/>
      <c r="I701" s="551"/>
      <c r="J701" s="551"/>
      <c r="K701" s="551"/>
      <c r="L701" s="551"/>
      <c r="M701" s="551"/>
      <c r="N701" s="551"/>
      <c r="O701" s="551"/>
      <c r="P701" s="551"/>
      <c r="Q701" s="551"/>
      <c r="R701" s="551"/>
      <c r="S701" s="551"/>
      <c r="T701" s="551"/>
      <c r="U701" s="551"/>
      <c r="V701" s="551"/>
      <c r="W701" s="551"/>
      <c r="X701" s="551"/>
      <c r="Y701" s="551"/>
      <c r="Z701" s="551"/>
      <c r="AA701" s="551"/>
      <c r="AB701" s="551"/>
      <c r="AC701" s="551"/>
      <c r="AD701" s="551"/>
      <c r="AE701" s="551"/>
      <c r="AF701" s="551"/>
      <c r="AG701" s="551"/>
      <c r="AH701" s="551"/>
      <c r="AI701" s="551"/>
      <c r="AJ701" s="551"/>
      <c r="AK701" s="551"/>
      <c r="AL701" s="551"/>
      <c r="AM701" s="551"/>
      <c r="AN701" s="551"/>
      <c r="AO701" s="551"/>
      <c r="AP701" s="551"/>
      <c r="AQ701" s="551"/>
      <c r="AR701" s="551"/>
      <c r="AS701" s="551"/>
      <c r="AT701" s="551"/>
      <c r="AU701" s="551"/>
      <c r="AV701" s="551"/>
      <c r="AW701" s="551"/>
      <c r="AX701" s="551"/>
      <c r="AY701" s="551"/>
      <c r="AZ701" s="551"/>
      <c r="BA701" s="551"/>
      <c r="BB701" s="551"/>
      <c r="BC701" s="551"/>
      <c r="BD701" s="551"/>
      <c r="BE701" s="551"/>
      <c r="BF701" s="551"/>
    </row>
    <row r="702" spans="1:58" ht="12.75" customHeight="1">
      <c r="A702" s="551"/>
      <c r="B702" s="551"/>
      <c r="C702" s="551"/>
      <c r="D702" s="551"/>
      <c r="E702" s="551"/>
      <c r="F702" s="551"/>
      <c r="G702" s="551"/>
      <c r="H702" s="551"/>
      <c r="I702" s="551"/>
      <c r="J702" s="551"/>
      <c r="K702" s="551"/>
      <c r="L702" s="551"/>
      <c r="M702" s="551"/>
      <c r="N702" s="551"/>
      <c r="O702" s="551"/>
      <c r="P702" s="551"/>
      <c r="Q702" s="551"/>
      <c r="R702" s="551"/>
      <c r="S702" s="551"/>
      <c r="T702" s="551"/>
      <c r="U702" s="551"/>
      <c r="V702" s="551"/>
      <c r="W702" s="551"/>
      <c r="X702" s="551"/>
      <c r="Y702" s="551"/>
      <c r="Z702" s="551"/>
      <c r="AA702" s="551"/>
      <c r="AB702" s="551"/>
      <c r="AC702" s="551"/>
      <c r="AD702" s="551"/>
      <c r="AE702" s="551"/>
      <c r="AF702" s="551"/>
      <c r="AG702" s="551"/>
      <c r="AH702" s="551"/>
      <c r="AI702" s="551"/>
      <c r="AJ702" s="551"/>
      <c r="AK702" s="551"/>
      <c r="AL702" s="551"/>
      <c r="AM702" s="551"/>
      <c r="AN702" s="551"/>
      <c r="AO702" s="551"/>
      <c r="AP702" s="551"/>
      <c r="AQ702" s="551"/>
      <c r="AR702" s="551"/>
      <c r="AS702" s="551"/>
      <c r="AT702" s="551"/>
      <c r="AU702" s="551"/>
      <c r="AV702" s="551"/>
      <c r="AW702" s="551"/>
      <c r="AX702" s="551"/>
      <c r="AY702" s="551"/>
      <c r="AZ702" s="551"/>
      <c r="BA702" s="551"/>
      <c r="BB702" s="551"/>
      <c r="BC702" s="551"/>
      <c r="BD702" s="551"/>
      <c r="BE702" s="551"/>
      <c r="BF702" s="551"/>
    </row>
    <row r="703" spans="1:58" ht="12.75" customHeight="1">
      <c r="A703" s="551"/>
      <c r="B703" s="551"/>
      <c r="C703" s="551"/>
      <c r="D703" s="551"/>
      <c r="E703" s="551"/>
      <c r="F703" s="551"/>
      <c r="G703" s="551"/>
      <c r="H703" s="551"/>
      <c r="I703" s="551"/>
      <c r="J703" s="551"/>
      <c r="K703" s="551"/>
      <c r="L703" s="551"/>
      <c r="M703" s="551"/>
      <c r="N703" s="551"/>
      <c r="O703" s="551"/>
      <c r="P703" s="551"/>
      <c r="Q703" s="551"/>
      <c r="R703" s="551"/>
      <c r="S703" s="551"/>
      <c r="T703" s="551"/>
      <c r="U703" s="551"/>
      <c r="V703" s="551"/>
      <c r="W703" s="551"/>
      <c r="X703" s="551"/>
      <c r="Y703" s="551"/>
      <c r="Z703" s="551"/>
      <c r="AA703" s="551"/>
      <c r="AB703" s="551"/>
      <c r="AC703" s="551"/>
      <c r="AD703" s="551"/>
      <c r="AE703" s="551"/>
      <c r="AF703" s="551"/>
      <c r="AG703" s="551"/>
      <c r="AH703" s="551"/>
      <c r="AI703" s="551"/>
      <c r="AJ703" s="551"/>
      <c r="AK703" s="551"/>
      <c r="AL703" s="551"/>
      <c r="AM703" s="551"/>
      <c r="AN703" s="551"/>
      <c r="AO703" s="551"/>
      <c r="AP703" s="551"/>
      <c r="AQ703" s="551"/>
      <c r="AR703" s="551"/>
      <c r="AS703" s="551"/>
      <c r="AT703" s="551"/>
      <c r="AU703" s="551"/>
      <c r="AV703" s="551"/>
      <c r="AW703" s="551"/>
      <c r="AX703" s="551"/>
      <c r="AY703" s="551"/>
      <c r="AZ703" s="551"/>
      <c r="BA703" s="551"/>
      <c r="BB703" s="551"/>
      <c r="BC703" s="551"/>
      <c r="BD703" s="551"/>
      <c r="BE703" s="551"/>
      <c r="BF703" s="551"/>
    </row>
    <row r="704" spans="1:58" ht="12.75" customHeight="1">
      <c r="A704" s="551"/>
      <c r="B704" s="551"/>
      <c r="C704" s="551"/>
      <c r="D704" s="551"/>
      <c r="E704" s="551"/>
      <c r="F704" s="551"/>
      <c r="G704" s="551"/>
      <c r="H704" s="551"/>
      <c r="I704" s="551"/>
      <c r="J704" s="551"/>
      <c r="K704" s="551"/>
      <c r="L704" s="551"/>
      <c r="M704" s="551"/>
      <c r="N704" s="551"/>
      <c r="O704" s="551"/>
      <c r="P704" s="551"/>
      <c r="Q704" s="551"/>
      <c r="R704" s="551"/>
      <c r="S704" s="551"/>
      <c r="T704" s="551"/>
      <c r="U704" s="551"/>
      <c r="V704" s="551"/>
      <c r="W704" s="551"/>
      <c r="X704" s="551"/>
      <c r="Y704" s="551"/>
      <c r="Z704" s="551"/>
      <c r="AA704" s="551"/>
      <c r="AB704" s="551"/>
      <c r="AC704" s="551"/>
      <c r="AD704" s="551"/>
      <c r="AE704" s="551"/>
      <c r="AF704" s="551"/>
      <c r="AG704" s="551"/>
      <c r="AH704" s="551"/>
      <c r="AI704" s="551"/>
      <c r="AJ704" s="551"/>
      <c r="AK704" s="551"/>
      <c r="AL704" s="551"/>
      <c r="AM704" s="551"/>
      <c r="AN704" s="551"/>
      <c r="AO704" s="551"/>
      <c r="AP704" s="551"/>
      <c r="AQ704" s="551"/>
      <c r="AR704" s="551"/>
      <c r="AS704" s="551"/>
      <c r="AT704" s="551"/>
      <c r="AU704" s="551"/>
      <c r="AV704" s="551"/>
      <c r="AW704" s="551"/>
      <c r="AX704" s="551"/>
      <c r="AY704" s="551"/>
      <c r="AZ704" s="551"/>
      <c r="BA704" s="551"/>
      <c r="BB704" s="551"/>
      <c r="BC704" s="551"/>
      <c r="BD704" s="551"/>
      <c r="BE704" s="551"/>
      <c r="BF704" s="551"/>
    </row>
    <row r="705" spans="1:58" ht="12.75" customHeight="1">
      <c r="A705" s="551"/>
      <c r="B705" s="551"/>
      <c r="C705" s="551"/>
      <c r="D705" s="551"/>
      <c r="E705" s="551"/>
      <c r="F705" s="551"/>
      <c r="G705" s="551"/>
      <c r="H705" s="551"/>
      <c r="I705" s="551"/>
      <c r="J705" s="551"/>
      <c r="K705" s="551"/>
      <c r="L705" s="551"/>
      <c r="M705" s="551"/>
      <c r="N705" s="551"/>
      <c r="O705" s="551"/>
      <c r="P705" s="551"/>
      <c r="Q705" s="551"/>
      <c r="R705" s="551"/>
      <c r="S705" s="551"/>
      <c r="T705" s="551"/>
      <c r="U705" s="551"/>
      <c r="V705" s="551"/>
      <c r="W705" s="551"/>
      <c r="X705" s="551"/>
      <c r="Y705" s="551"/>
      <c r="Z705" s="551"/>
      <c r="AA705" s="551"/>
      <c r="AB705" s="551"/>
      <c r="AC705" s="551"/>
      <c r="AD705" s="551"/>
      <c r="AE705" s="551"/>
      <c r="AF705" s="551"/>
      <c r="AG705" s="551"/>
      <c r="AH705" s="551"/>
      <c r="AI705" s="551"/>
      <c r="AJ705" s="551"/>
      <c r="AK705" s="551"/>
      <c r="AL705" s="551"/>
      <c r="AM705" s="551"/>
      <c r="AN705" s="551"/>
      <c r="AO705" s="551"/>
      <c r="AP705" s="551"/>
      <c r="AQ705" s="551"/>
      <c r="AR705" s="551"/>
      <c r="AS705" s="551"/>
      <c r="AT705" s="551"/>
      <c r="AU705" s="551"/>
      <c r="AV705" s="551"/>
      <c r="AW705" s="551"/>
      <c r="AX705" s="551"/>
      <c r="AY705" s="551"/>
      <c r="AZ705" s="551"/>
      <c r="BA705" s="551"/>
      <c r="BB705" s="551"/>
      <c r="BC705" s="551"/>
      <c r="BD705" s="551"/>
      <c r="BE705" s="551"/>
      <c r="BF705" s="551"/>
    </row>
    <row r="706" spans="1:58" ht="12.75" customHeight="1">
      <c r="A706" s="551"/>
      <c r="B706" s="551"/>
      <c r="C706" s="551"/>
      <c r="D706" s="551"/>
      <c r="E706" s="551"/>
      <c r="F706" s="551"/>
      <c r="G706" s="551"/>
      <c r="H706" s="551"/>
      <c r="I706" s="551"/>
      <c r="J706" s="551"/>
      <c r="K706" s="551"/>
      <c r="L706" s="551"/>
      <c r="M706" s="551"/>
      <c r="N706" s="551"/>
      <c r="O706" s="551"/>
      <c r="P706" s="551"/>
      <c r="Q706" s="551"/>
      <c r="R706" s="551"/>
      <c r="S706" s="551"/>
      <c r="T706" s="551"/>
      <c r="U706" s="551"/>
      <c r="V706" s="551"/>
      <c r="W706" s="551"/>
      <c r="X706" s="551"/>
      <c r="Y706" s="551"/>
      <c r="Z706" s="551"/>
      <c r="AA706" s="551"/>
      <c r="AB706" s="551"/>
      <c r="AC706" s="551"/>
      <c r="AD706" s="551"/>
      <c r="AE706" s="551"/>
      <c r="AF706" s="551"/>
      <c r="AG706" s="551"/>
      <c r="AH706" s="551"/>
      <c r="AI706" s="551"/>
      <c r="AJ706" s="551"/>
      <c r="AK706" s="551"/>
      <c r="AL706" s="551"/>
      <c r="AM706" s="551"/>
      <c r="AN706" s="551"/>
      <c r="AO706" s="551"/>
      <c r="AP706" s="551"/>
      <c r="AQ706" s="551"/>
      <c r="AR706" s="551"/>
      <c r="AS706" s="551"/>
      <c r="AT706" s="551"/>
      <c r="AU706" s="551"/>
      <c r="AV706" s="551"/>
      <c r="AW706" s="551"/>
      <c r="AX706" s="551"/>
      <c r="AY706" s="551"/>
      <c r="AZ706" s="551"/>
      <c r="BA706" s="551"/>
      <c r="BB706" s="551"/>
      <c r="BC706" s="551"/>
      <c r="BD706" s="551"/>
      <c r="BE706" s="551"/>
      <c r="BF706" s="551"/>
    </row>
    <row r="707" spans="1:58" ht="12.75" customHeight="1">
      <c r="A707" s="551"/>
      <c r="B707" s="551"/>
      <c r="C707" s="551"/>
      <c r="D707" s="551"/>
      <c r="E707" s="551"/>
      <c r="F707" s="551"/>
      <c r="G707" s="551"/>
      <c r="H707" s="551"/>
      <c r="I707" s="551"/>
      <c r="J707" s="551"/>
      <c r="K707" s="551"/>
      <c r="L707" s="551"/>
      <c r="M707" s="551"/>
      <c r="N707" s="551"/>
      <c r="O707" s="551"/>
      <c r="P707" s="551"/>
      <c r="Q707" s="551"/>
      <c r="R707" s="551"/>
      <c r="S707" s="551"/>
      <c r="T707" s="551"/>
      <c r="U707" s="551"/>
      <c r="V707" s="551"/>
      <c r="W707" s="551"/>
      <c r="X707" s="551"/>
      <c r="Y707" s="551"/>
      <c r="Z707" s="551"/>
      <c r="AA707" s="551"/>
      <c r="AB707" s="551"/>
      <c r="AC707" s="551"/>
      <c r="AD707" s="551"/>
      <c r="AE707" s="551"/>
      <c r="AF707" s="551"/>
      <c r="AG707" s="551"/>
      <c r="AH707" s="551"/>
      <c r="AI707" s="551"/>
      <c r="AJ707" s="551"/>
      <c r="AK707" s="551"/>
      <c r="AL707" s="551"/>
      <c r="AM707" s="551"/>
      <c r="AN707" s="551"/>
      <c r="AO707" s="551"/>
      <c r="AP707" s="551"/>
      <c r="AQ707" s="551"/>
      <c r="AR707" s="551"/>
      <c r="AS707" s="551"/>
      <c r="AT707" s="551"/>
      <c r="AU707" s="551"/>
      <c r="AV707" s="551"/>
      <c r="AW707" s="551"/>
      <c r="AX707" s="551"/>
      <c r="AY707" s="551"/>
      <c r="AZ707" s="551"/>
      <c r="BA707" s="551"/>
      <c r="BB707" s="551"/>
      <c r="BC707" s="551"/>
      <c r="BD707" s="551"/>
      <c r="BE707" s="551"/>
      <c r="BF707" s="551"/>
    </row>
    <row r="708" spans="1:58" ht="12.75" customHeight="1">
      <c r="A708" s="551"/>
      <c r="B708" s="551"/>
      <c r="C708" s="551"/>
      <c r="D708" s="551"/>
      <c r="E708" s="551"/>
      <c r="F708" s="551"/>
      <c r="G708" s="551"/>
      <c r="H708" s="551"/>
      <c r="I708" s="551"/>
      <c r="J708" s="551"/>
      <c r="K708" s="551"/>
      <c r="L708" s="551"/>
      <c r="M708" s="551"/>
      <c r="N708" s="551"/>
      <c r="O708" s="551"/>
      <c r="P708" s="551"/>
      <c r="Q708" s="551"/>
      <c r="R708" s="551"/>
      <c r="S708" s="551"/>
      <c r="T708" s="551"/>
      <c r="U708" s="551"/>
      <c r="V708" s="551"/>
      <c r="W708" s="551"/>
      <c r="X708" s="551"/>
      <c r="Y708" s="551"/>
      <c r="Z708" s="551"/>
      <c r="AA708" s="551"/>
      <c r="AB708" s="551"/>
      <c r="AC708" s="551"/>
      <c r="AD708" s="551"/>
      <c r="AE708" s="551"/>
      <c r="AF708" s="551"/>
      <c r="AG708" s="551"/>
      <c r="AH708" s="551"/>
      <c r="AI708" s="551"/>
      <c r="AJ708" s="551"/>
      <c r="AK708" s="551"/>
      <c r="AL708" s="551"/>
      <c r="AM708" s="551"/>
      <c r="AN708" s="551"/>
      <c r="AO708" s="551"/>
      <c r="AP708" s="551"/>
      <c r="AQ708" s="551"/>
      <c r="AR708" s="551"/>
      <c r="AS708" s="551"/>
      <c r="AT708" s="551"/>
      <c r="AU708" s="551"/>
      <c r="AV708" s="551"/>
      <c r="AW708" s="551"/>
      <c r="AX708" s="551"/>
      <c r="AY708" s="551"/>
      <c r="AZ708" s="551"/>
      <c r="BA708" s="551"/>
      <c r="BB708" s="551"/>
      <c r="BC708" s="551"/>
      <c r="BD708" s="551"/>
      <c r="BE708" s="551"/>
      <c r="BF708" s="551"/>
    </row>
    <row r="709" spans="1:58" ht="12.75" customHeight="1">
      <c r="A709" s="551"/>
      <c r="B709" s="551"/>
      <c r="C709" s="551"/>
      <c r="D709" s="551"/>
      <c r="E709" s="551"/>
      <c r="F709" s="551"/>
      <c r="G709" s="551"/>
      <c r="H709" s="551"/>
      <c r="I709" s="551"/>
      <c r="J709" s="551"/>
      <c r="K709" s="551"/>
      <c r="L709" s="551"/>
      <c r="M709" s="551"/>
      <c r="N709" s="551"/>
      <c r="O709" s="551"/>
      <c r="P709" s="551"/>
      <c r="Q709" s="551"/>
      <c r="R709" s="551"/>
      <c r="S709" s="551"/>
      <c r="T709" s="551"/>
      <c r="U709" s="551"/>
      <c r="V709" s="551"/>
      <c r="W709" s="551"/>
      <c r="X709" s="551"/>
      <c r="Y709" s="551"/>
      <c r="Z709" s="551"/>
      <c r="AA709" s="551"/>
      <c r="AB709" s="551"/>
      <c r="AC709" s="551"/>
      <c r="AD709" s="551"/>
      <c r="AE709" s="551"/>
      <c r="AF709" s="551"/>
      <c r="AG709" s="551"/>
      <c r="AH709" s="551"/>
      <c r="AI709" s="551"/>
      <c r="AJ709" s="551"/>
      <c r="AK709" s="551"/>
      <c r="AL709" s="551"/>
      <c r="AM709" s="551"/>
      <c r="AN709" s="551"/>
      <c r="AO709" s="551"/>
      <c r="AP709" s="551"/>
      <c r="AQ709" s="551"/>
      <c r="AR709" s="551"/>
      <c r="AS709" s="551"/>
      <c r="AT709" s="551"/>
      <c r="AU709" s="551"/>
      <c r="AV709" s="551"/>
      <c r="AW709" s="551"/>
      <c r="AX709" s="551"/>
      <c r="AY709" s="551"/>
      <c r="AZ709" s="551"/>
      <c r="BA709" s="551"/>
      <c r="BB709" s="551"/>
      <c r="BC709" s="551"/>
      <c r="BD709" s="551"/>
      <c r="BE709" s="551"/>
      <c r="BF709" s="551"/>
    </row>
    <row r="710" spans="1:58" ht="12.75" customHeight="1">
      <c r="A710" s="551"/>
      <c r="B710" s="551"/>
      <c r="C710" s="551"/>
      <c r="D710" s="551"/>
      <c r="E710" s="551"/>
      <c r="F710" s="551"/>
      <c r="G710" s="551"/>
      <c r="H710" s="551"/>
      <c r="I710" s="551"/>
      <c r="J710" s="551"/>
      <c r="K710" s="551"/>
      <c r="L710" s="551"/>
      <c r="M710" s="551"/>
      <c r="N710" s="551"/>
      <c r="O710" s="551"/>
      <c r="P710" s="551"/>
      <c r="Q710" s="551"/>
      <c r="R710" s="551"/>
      <c r="S710" s="551"/>
      <c r="T710" s="551"/>
      <c r="U710" s="551"/>
      <c r="V710" s="551"/>
      <c r="W710" s="551"/>
      <c r="X710" s="551"/>
      <c r="Y710" s="551"/>
      <c r="Z710" s="551"/>
      <c r="AA710" s="551"/>
      <c r="AB710" s="551"/>
      <c r="AC710" s="551"/>
      <c r="AD710" s="551"/>
      <c r="AE710" s="551"/>
      <c r="AF710" s="551"/>
      <c r="AG710" s="551"/>
      <c r="AH710" s="551"/>
      <c r="AI710" s="551"/>
      <c r="AJ710" s="551"/>
      <c r="AK710" s="551"/>
      <c r="AL710" s="551"/>
      <c r="AM710" s="551"/>
      <c r="AN710" s="551"/>
      <c r="AO710" s="551"/>
      <c r="AP710" s="551"/>
      <c r="AQ710" s="551"/>
      <c r="AR710" s="551"/>
      <c r="AS710" s="551"/>
      <c r="AT710" s="551"/>
      <c r="AU710" s="551"/>
      <c r="AV710" s="551"/>
      <c r="AW710" s="551"/>
      <c r="AX710" s="551"/>
      <c r="AY710" s="551"/>
      <c r="AZ710" s="551"/>
      <c r="BA710" s="551"/>
      <c r="BB710" s="551"/>
      <c r="BC710" s="551"/>
      <c r="BD710" s="551"/>
      <c r="BE710" s="551"/>
      <c r="BF710" s="551"/>
    </row>
    <row r="711" spans="1:58" ht="12.75" customHeight="1">
      <c r="A711" s="551"/>
      <c r="B711" s="551"/>
      <c r="C711" s="551"/>
      <c r="D711" s="551"/>
      <c r="E711" s="551"/>
      <c r="F711" s="551"/>
      <c r="G711" s="551"/>
      <c r="H711" s="551"/>
      <c r="I711" s="551"/>
      <c r="J711" s="551"/>
      <c r="K711" s="551"/>
      <c r="L711" s="551"/>
      <c r="M711" s="551"/>
      <c r="N711" s="551"/>
      <c r="O711" s="551"/>
      <c r="P711" s="551"/>
      <c r="Q711" s="551"/>
      <c r="R711" s="551"/>
      <c r="S711" s="551"/>
      <c r="T711" s="551"/>
      <c r="U711" s="551"/>
      <c r="V711" s="551"/>
      <c r="W711" s="551"/>
      <c r="X711" s="551"/>
      <c r="Y711" s="551"/>
      <c r="Z711" s="551"/>
      <c r="AA711" s="551"/>
      <c r="AB711" s="551"/>
      <c r="AC711" s="551"/>
      <c r="AD711" s="551"/>
      <c r="AE711" s="551"/>
      <c r="AF711" s="551"/>
      <c r="AG711" s="551"/>
      <c r="AH711" s="551"/>
      <c r="AI711" s="551"/>
      <c r="AJ711" s="551"/>
      <c r="AK711" s="551"/>
      <c r="AL711" s="551"/>
      <c r="AM711" s="551"/>
      <c r="AN711" s="551"/>
      <c r="AO711" s="551"/>
      <c r="AP711" s="551"/>
      <c r="AQ711" s="551"/>
      <c r="AR711" s="551"/>
      <c r="AS711" s="551"/>
      <c r="AT711" s="551"/>
      <c r="AU711" s="551"/>
      <c r="AV711" s="551"/>
      <c r="AW711" s="551"/>
      <c r="AX711" s="551"/>
      <c r="AY711" s="551"/>
      <c r="AZ711" s="551"/>
      <c r="BA711" s="551"/>
      <c r="BB711" s="551"/>
      <c r="BC711" s="551"/>
      <c r="BD711" s="551"/>
      <c r="BE711" s="551"/>
      <c r="BF711" s="551"/>
    </row>
    <row r="712" spans="1:58" ht="12.75" customHeight="1">
      <c r="A712" s="551"/>
      <c r="B712" s="551"/>
      <c r="C712" s="551"/>
      <c r="D712" s="551"/>
      <c r="E712" s="551"/>
      <c r="F712" s="551"/>
      <c r="G712" s="551"/>
      <c r="H712" s="551"/>
      <c r="I712" s="551"/>
      <c r="J712" s="551"/>
      <c r="K712" s="551"/>
      <c r="L712" s="551"/>
      <c r="M712" s="551"/>
      <c r="N712" s="551"/>
      <c r="O712" s="551"/>
      <c r="P712" s="551"/>
      <c r="Q712" s="551"/>
      <c r="R712" s="551"/>
      <c r="S712" s="551"/>
      <c r="T712" s="551"/>
      <c r="U712" s="551"/>
      <c r="V712" s="551"/>
      <c r="W712" s="551"/>
      <c r="X712" s="551"/>
      <c r="Y712" s="551"/>
      <c r="Z712" s="551"/>
      <c r="AA712" s="551"/>
      <c r="AB712" s="551"/>
      <c r="AC712" s="551"/>
      <c r="AD712" s="551"/>
      <c r="AE712" s="551"/>
      <c r="AF712" s="551"/>
      <c r="AG712" s="551"/>
      <c r="AH712" s="551"/>
      <c r="AI712" s="551"/>
      <c r="AJ712" s="551"/>
      <c r="AK712" s="551"/>
      <c r="AL712" s="551"/>
      <c r="AM712" s="551"/>
      <c r="AN712" s="551"/>
      <c r="AO712" s="551"/>
      <c r="AP712" s="551"/>
      <c r="AQ712" s="551"/>
      <c r="AR712" s="551"/>
      <c r="AS712" s="551"/>
      <c r="AT712" s="551"/>
      <c r="AU712" s="551"/>
      <c r="AV712" s="551"/>
      <c r="AW712" s="551"/>
      <c r="AX712" s="551"/>
      <c r="AY712" s="551"/>
      <c r="AZ712" s="551"/>
      <c r="BA712" s="551"/>
      <c r="BB712" s="551"/>
      <c r="BC712" s="551"/>
      <c r="BD712" s="551"/>
      <c r="BE712" s="551"/>
      <c r="BF712" s="551"/>
    </row>
    <row r="713" spans="1:58" ht="12.75" customHeight="1">
      <c r="A713" s="551"/>
      <c r="B713" s="551"/>
      <c r="C713" s="551"/>
      <c r="D713" s="551"/>
      <c r="E713" s="551"/>
      <c r="F713" s="551"/>
      <c r="G713" s="551"/>
      <c r="H713" s="551"/>
      <c r="I713" s="551"/>
      <c r="J713" s="551"/>
      <c r="K713" s="551"/>
      <c r="L713" s="551"/>
      <c r="M713" s="551"/>
      <c r="N713" s="551"/>
      <c r="O713" s="551"/>
      <c r="P713" s="551"/>
      <c r="Q713" s="551"/>
      <c r="R713" s="551"/>
      <c r="S713" s="551"/>
      <c r="T713" s="551"/>
      <c r="U713" s="551"/>
      <c r="V713" s="551"/>
      <c r="W713" s="551"/>
      <c r="X713" s="551"/>
      <c r="Y713" s="551"/>
      <c r="Z713" s="551"/>
      <c r="AA713" s="551"/>
      <c r="AB713" s="551"/>
      <c r="AC713" s="551"/>
      <c r="AD713" s="551"/>
      <c r="AE713" s="551"/>
      <c r="AF713" s="551"/>
      <c r="AG713" s="551"/>
      <c r="AH713" s="551"/>
      <c r="AI713" s="551"/>
      <c r="AJ713" s="551"/>
      <c r="AK713" s="551"/>
      <c r="AL713" s="551"/>
      <c r="AM713" s="551"/>
      <c r="AN713" s="551"/>
      <c r="AO713" s="551"/>
      <c r="AP713" s="551"/>
      <c r="AQ713" s="551"/>
      <c r="AR713" s="551"/>
      <c r="AS713" s="551"/>
      <c r="AT713" s="551"/>
      <c r="AU713" s="551"/>
      <c r="AV713" s="551"/>
      <c r="AW713" s="551"/>
      <c r="AX713" s="551"/>
      <c r="AY713" s="551"/>
      <c r="AZ713" s="551"/>
      <c r="BA713" s="551"/>
      <c r="BB713" s="551"/>
      <c r="BC713" s="551"/>
      <c r="BD713" s="551"/>
      <c r="BE713" s="551"/>
      <c r="BF713" s="551"/>
    </row>
    <row r="714" spans="1:58" ht="12.75" customHeight="1">
      <c r="A714" s="551"/>
      <c r="B714" s="551"/>
      <c r="C714" s="551"/>
      <c r="D714" s="551"/>
      <c r="E714" s="551"/>
      <c r="F714" s="551"/>
      <c r="G714" s="551"/>
      <c r="H714" s="551"/>
      <c r="I714" s="551"/>
      <c r="J714" s="551"/>
      <c r="K714" s="551"/>
      <c r="L714" s="551"/>
      <c r="M714" s="551"/>
      <c r="N714" s="551"/>
      <c r="O714" s="551"/>
      <c r="P714" s="551"/>
      <c r="Q714" s="551"/>
      <c r="R714" s="551"/>
      <c r="S714" s="551"/>
      <c r="T714" s="551"/>
      <c r="U714" s="551"/>
      <c r="V714" s="551"/>
      <c r="W714" s="551"/>
      <c r="X714" s="551"/>
      <c r="Y714" s="551"/>
      <c r="Z714" s="551"/>
      <c r="AA714" s="551"/>
      <c r="AB714" s="551"/>
      <c r="AC714" s="551"/>
      <c r="AD714" s="551"/>
      <c r="AE714" s="551"/>
      <c r="AF714" s="551"/>
      <c r="AG714" s="551"/>
      <c r="AH714" s="551"/>
      <c r="AI714" s="551"/>
      <c r="AJ714" s="551"/>
      <c r="AK714" s="551"/>
      <c r="AL714" s="551"/>
      <c r="AM714" s="551"/>
      <c r="AN714" s="551"/>
      <c r="AO714" s="551"/>
      <c r="AP714" s="551"/>
      <c r="AQ714" s="551"/>
      <c r="AR714" s="551"/>
      <c r="AS714" s="551"/>
      <c r="AT714" s="551"/>
      <c r="AU714" s="551"/>
      <c r="AV714" s="551"/>
      <c r="AW714" s="551"/>
      <c r="AX714" s="551"/>
      <c r="AY714" s="551"/>
      <c r="AZ714" s="551"/>
      <c r="BA714" s="551"/>
      <c r="BB714" s="551"/>
      <c r="BC714" s="551"/>
      <c r="BD714" s="551"/>
      <c r="BE714" s="551"/>
      <c r="BF714" s="551"/>
    </row>
    <row r="715" spans="1:58" ht="12.75" customHeight="1">
      <c r="A715" s="551"/>
      <c r="B715" s="551"/>
      <c r="C715" s="551"/>
      <c r="D715" s="551"/>
      <c r="E715" s="551"/>
      <c r="F715" s="551"/>
      <c r="G715" s="551"/>
      <c r="H715" s="551"/>
      <c r="I715" s="551"/>
      <c r="J715" s="551"/>
      <c r="K715" s="551"/>
      <c r="L715" s="551"/>
      <c r="M715" s="551"/>
      <c r="N715" s="551"/>
      <c r="O715" s="551"/>
      <c r="P715" s="551"/>
      <c r="Q715" s="551"/>
      <c r="R715" s="551"/>
      <c r="S715" s="551"/>
      <c r="T715" s="551"/>
      <c r="U715" s="551"/>
      <c r="V715" s="551"/>
      <c r="W715" s="551"/>
      <c r="X715" s="551"/>
      <c r="Y715" s="551"/>
      <c r="Z715" s="551"/>
      <c r="AA715" s="551"/>
      <c r="AB715" s="551"/>
      <c r="AC715" s="551"/>
      <c r="AD715" s="551"/>
      <c r="AE715" s="551"/>
      <c r="AF715" s="551"/>
      <c r="AG715" s="551"/>
      <c r="AH715" s="551"/>
      <c r="AI715" s="551"/>
      <c r="AJ715" s="551"/>
      <c r="AK715" s="551"/>
      <c r="AL715" s="551"/>
      <c r="AM715" s="551"/>
      <c r="AN715" s="551"/>
      <c r="AO715" s="551"/>
      <c r="AP715" s="551"/>
      <c r="AQ715" s="551"/>
      <c r="AR715" s="551"/>
      <c r="AS715" s="551"/>
      <c r="AT715" s="551"/>
      <c r="AU715" s="551"/>
      <c r="AV715" s="551"/>
      <c r="AW715" s="551"/>
      <c r="AX715" s="551"/>
      <c r="AY715" s="551"/>
      <c r="AZ715" s="551"/>
      <c r="BA715" s="551"/>
      <c r="BB715" s="551"/>
      <c r="BC715" s="551"/>
      <c r="BD715" s="551"/>
      <c r="BE715" s="551"/>
      <c r="BF715" s="551"/>
    </row>
    <row r="716" spans="1:58" ht="12.75" customHeight="1">
      <c r="A716" s="551"/>
      <c r="B716" s="551"/>
      <c r="C716" s="551"/>
      <c r="D716" s="551"/>
      <c r="E716" s="551"/>
      <c r="F716" s="551"/>
      <c r="G716" s="551"/>
      <c r="H716" s="551"/>
      <c r="I716" s="551"/>
      <c r="J716" s="551"/>
      <c r="K716" s="551"/>
      <c r="L716" s="551"/>
      <c r="M716" s="551"/>
      <c r="N716" s="551"/>
      <c r="O716" s="551"/>
      <c r="P716" s="551"/>
      <c r="Q716" s="551"/>
      <c r="R716" s="551"/>
      <c r="S716" s="551"/>
      <c r="T716" s="551"/>
      <c r="U716" s="551"/>
      <c r="V716" s="551"/>
      <c r="W716" s="551"/>
      <c r="X716" s="551"/>
      <c r="Y716" s="551"/>
      <c r="Z716" s="551"/>
      <c r="AA716" s="551"/>
      <c r="AB716" s="551"/>
      <c r="AC716" s="551"/>
      <c r="AD716" s="551"/>
      <c r="AE716" s="551"/>
      <c r="AF716" s="551"/>
      <c r="AG716" s="551"/>
      <c r="AH716" s="551"/>
      <c r="AI716" s="551"/>
      <c r="AJ716" s="551"/>
      <c r="AK716" s="551"/>
      <c r="AL716" s="551"/>
      <c r="AM716" s="551"/>
      <c r="AN716" s="551"/>
      <c r="AO716" s="551"/>
      <c r="AP716" s="551"/>
      <c r="AQ716" s="551"/>
      <c r="AR716" s="551"/>
      <c r="AS716" s="551"/>
      <c r="AT716" s="551"/>
      <c r="AU716" s="551"/>
      <c r="AV716" s="551"/>
      <c r="AW716" s="551"/>
      <c r="AX716" s="551"/>
      <c r="AY716" s="551"/>
      <c r="AZ716" s="551"/>
      <c r="BA716" s="551"/>
      <c r="BB716" s="551"/>
      <c r="BC716" s="551"/>
      <c r="BD716" s="551"/>
      <c r="BE716" s="551"/>
      <c r="BF716" s="551"/>
    </row>
    <row r="717" spans="1:58" ht="12.75" customHeight="1">
      <c r="A717" s="551"/>
      <c r="B717" s="551"/>
      <c r="C717" s="551"/>
      <c r="D717" s="551"/>
      <c r="E717" s="551"/>
      <c r="F717" s="551"/>
      <c r="G717" s="551"/>
      <c r="H717" s="551"/>
      <c r="I717" s="551"/>
      <c r="J717" s="551"/>
      <c r="K717" s="551"/>
      <c r="L717" s="551"/>
      <c r="M717" s="551"/>
      <c r="N717" s="551"/>
      <c r="O717" s="551"/>
      <c r="P717" s="551"/>
      <c r="Q717" s="551"/>
      <c r="R717" s="551"/>
      <c r="S717" s="551"/>
      <c r="T717" s="551"/>
      <c r="U717" s="551"/>
      <c r="V717" s="551"/>
      <c r="W717" s="551"/>
      <c r="X717" s="551"/>
      <c r="Y717" s="551"/>
      <c r="Z717" s="551"/>
      <c r="AA717" s="551"/>
      <c r="AB717" s="551"/>
      <c r="AC717" s="551"/>
      <c r="AD717" s="551"/>
      <c r="AE717" s="551"/>
      <c r="AF717" s="551"/>
      <c r="AG717" s="551"/>
      <c r="AH717" s="551"/>
      <c r="AI717" s="551"/>
      <c r="AJ717" s="551"/>
      <c r="AK717" s="551"/>
      <c r="AL717" s="551"/>
      <c r="AM717" s="551"/>
      <c r="AN717" s="551"/>
      <c r="AO717" s="551"/>
      <c r="AP717" s="551"/>
      <c r="AQ717" s="551"/>
      <c r="AR717" s="551"/>
      <c r="AS717" s="551"/>
      <c r="AT717" s="551"/>
      <c r="AU717" s="551"/>
      <c r="AV717" s="551"/>
      <c r="AW717" s="551"/>
      <c r="AX717" s="551"/>
      <c r="AY717" s="551"/>
      <c r="AZ717" s="551"/>
      <c r="BA717" s="551"/>
      <c r="BB717" s="551"/>
      <c r="BC717" s="551"/>
      <c r="BD717" s="551"/>
      <c r="BE717" s="551"/>
      <c r="BF717" s="551"/>
    </row>
    <row r="718" spans="1:58" ht="12.75" customHeight="1">
      <c r="A718" s="551"/>
      <c r="B718" s="551"/>
      <c r="C718" s="551"/>
      <c r="D718" s="551"/>
      <c r="E718" s="551"/>
      <c r="F718" s="551"/>
      <c r="G718" s="551"/>
      <c r="H718" s="551"/>
      <c r="I718" s="551"/>
      <c r="J718" s="551"/>
      <c r="K718" s="551"/>
      <c r="L718" s="551"/>
      <c r="M718" s="551"/>
      <c r="N718" s="551"/>
      <c r="O718" s="551"/>
      <c r="P718" s="551"/>
      <c r="Q718" s="551"/>
      <c r="R718" s="551"/>
      <c r="S718" s="551"/>
      <c r="T718" s="551"/>
      <c r="U718" s="551"/>
      <c r="V718" s="551"/>
      <c r="W718" s="551"/>
      <c r="X718" s="551"/>
      <c r="Y718" s="551"/>
      <c r="Z718" s="551"/>
      <c r="AA718" s="551"/>
      <c r="AB718" s="551"/>
      <c r="AC718" s="551"/>
      <c r="AD718" s="551"/>
      <c r="AE718" s="551"/>
      <c r="AF718" s="551"/>
      <c r="AG718" s="551"/>
      <c r="AH718" s="551"/>
      <c r="AI718" s="551"/>
      <c r="AJ718" s="551"/>
      <c r="AK718" s="551"/>
      <c r="AL718" s="551"/>
      <c r="AM718" s="551"/>
      <c r="AN718" s="551"/>
      <c r="AO718" s="551"/>
      <c r="AP718" s="551"/>
      <c r="AQ718" s="551"/>
      <c r="AR718" s="551"/>
      <c r="AS718" s="551"/>
      <c r="AT718" s="551"/>
      <c r="AU718" s="551"/>
      <c r="AV718" s="551"/>
      <c r="AW718" s="551"/>
      <c r="AX718" s="551"/>
      <c r="AY718" s="551"/>
      <c r="AZ718" s="551"/>
      <c r="BA718" s="551"/>
      <c r="BB718" s="551"/>
      <c r="BC718" s="551"/>
      <c r="BD718" s="551"/>
      <c r="BE718" s="551"/>
      <c r="BF718" s="551"/>
    </row>
    <row r="719" spans="1:58" ht="12.75" customHeight="1">
      <c r="A719" s="551"/>
      <c r="B719" s="551"/>
      <c r="C719" s="551"/>
      <c r="D719" s="551"/>
      <c r="E719" s="551"/>
      <c r="F719" s="551"/>
      <c r="G719" s="551"/>
      <c r="H719" s="551"/>
      <c r="I719" s="551"/>
      <c r="J719" s="551"/>
      <c r="K719" s="551"/>
      <c r="L719" s="551"/>
      <c r="M719" s="551"/>
      <c r="N719" s="551"/>
      <c r="O719" s="551"/>
      <c r="P719" s="551"/>
      <c r="Q719" s="551"/>
      <c r="R719" s="551"/>
      <c r="S719" s="551"/>
      <c r="T719" s="551"/>
      <c r="U719" s="551"/>
      <c r="V719" s="551"/>
      <c r="W719" s="551"/>
      <c r="X719" s="551"/>
      <c r="Y719" s="551"/>
      <c r="Z719" s="551"/>
      <c r="AA719" s="551"/>
      <c r="AB719" s="551"/>
      <c r="AC719" s="551"/>
      <c r="AD719" s="551"/>
      <c r="AE719" s="551"/>
      <c r="AF719" s="551"/>
      <c r="AG719" s="551"/>
      <c r="AH719" s="551"/>
      <c r="AI719" s="551"/>
      <c r="AJ719" s="551"/>
      <c r="AK719" s="551"/>
      <c r="AL719" s="551"/>
      <c r="AM719" s="551"/>
      <c r="AN719" s="551"/>
      <c r="AO719" s="551"/>
      <c r="AP719" s="551"/>
      <c r="AQ719" s="551"/>
      <c r="AR719" s="551"/>
      <c r="AS719" s="551"/>
      <c r="AT719" s="551"/>
      <c r="AU719" s="551"/>
      <c r="AV719" s="551"/>
      <c r="AW719" s="551"/>
      <c r="AX719" s="551"/>
      <c r="AY719" s="551"/>
      <c r="AZ719" s="551"/>
      <c r="BA719" s="551"/>
      <c r="BB719" s="551"/>
      <c r="BC719" s="551"/>
      <c r="BD719" s="551"/>
      <c r="BE719" s="551"/>
      <c r="BF719" s="551"/>
    </row>
    <row r="720" spans="1:58" ht="12.75" customHeight="1">
      <c r="A720" s="551"/>
      <c r="B720" s="551"/>
      <c r="C720" s="551"/>
      <c r="D720" s="551"/>
      <c r="E720" s="551"/>
      <c r="F720" s="551"/>
      <c r="G720" s="551"/>
      <c r="H720" s="551"/>
      <c r="I720" s="551"/>
      <c r="J720" s="551"/>
      <c r="K720" s="551"/>
      <c r="L720" s="551"/>
      <c r="M720" s="551"/>
      <c r="N720" s="551"/>
      <c r="O720" s="551"/>
      <c r="P720" s="551"/>
      <c r="Q720" s="551"/>
      <c r="R720" s="551"/>
      <c r="S720" s="551"/>
      <c r="T720" s="551"/>
      <c r="U720" s="551"/>
      <c r="V720" s="551"/>
      <c r="W720" s="551"/>
      <c r="X720" s="551"/>
      <c r="Y720" s="551"/>
      <c r="Z720" s="551"/>
      <c r="AA720" s="551"/>
      <c r="AB720" s="551"/>
      <c r="AC720" s="551"/>
      <c r="AD720" s="551"/>
      <c r="AE720" s="551"/>
      <c r="AF720" s="551"/>
      <c r="AG720" s="551"/>
      <c r="AH720" s="551"/>
      <c r="AI720" s="551"/>
      <c r="AJ720" s="551"/>
      <c r="AK720" s="551"/>
      <c r="AL720" s="551"/>
      <c r="AM720" s="551"/>
      <c r="AN720" s="551"/>
      <c r="AO720" s="551"/>
      <c r="AP720" s="551"/>
      <c r="AQ720" s="551"/>
      <c r="AR720" s="551"/>
      <c r="AS720" s="551"/>
      <c r="AT720" s="551"/>
      <c r="AU720" s="551"/>
      <c r="AV720" s="551"/>
      <c r="AW720" s="551"/>
      <c r="AX720" s="551"/>
      <c r="AY720" s="551"/>
      <c r="AZ720" s="551"/>
      <c r="BA720" s="551"/>
      <c r="BB720" s="551"/>
      <c r="BC720" s="551"/>
      <c r="BD720" s="551"/>
      <c r="BE720" s="551"/>
      <c r="BF720" s="551"/>
    </row>
    <row r="721" spans="1:58" ht="12.75" customHeight="1">
      <c r="A721" s="551"/>
      <c r="B721" s="551"/>
      <c r="C721" s="551"/>
      <c r="D721" s="551"/>
      <c r="E721" s="551"/>
      <c r="F721" s="551"/>
      <c r="G721" s="551"/>
      <c r="H721" s="551"/>
      <c r="I721" s="551"/>
      <c r="J721" s="551"/>
      <c r="K721" s="551"/>
      <c r="L721" s="551"/>
      <c r="M721" s="551"/>
      <c r="N721" s="551"/>
      <c r="O721" s="551"/>
      <c r="P721" s="551"/>
      <c r="Q721" s="551"/>
      <c r="R721" s="551"/>
      <c r="S721" s="551"/>
      <c r="T721" s="551"/>
      <c r="U721" s="551"/>
      <c r="V721" s="551"/>
      <c r="W721" s="551"/>
      <c r="X721" s="551"/>
      <c r="Y721" s="551"/>
      <c r="Z721" s="551"/>
      <c r="AA721" s="551"/>
      <c r="AB721" s="551"/>
      <c r="AC721" s="551"/>
      <c r="AD721" s="551"/>
      <c r="AE721" s="551"/>
      <c r="AF721" s="551"/>
      <c r="AG721" s="551"/>
      <c r="AH721" s="551"/>
      <c r="AI721" s="551"/>
      <c r="AJ721" s="551"/>
      <c r="AK721" s="551"/>
      <c r="AL721" s="551"/>
      <c r="AM721" s="551"/>
      <c r="AN721" s="551"/>
      <c r="AO721" s="551"/>
      <c r="AP721" s="551"/>
      <c r="AQ721" s="551"/>
      <c r="AR721" s="551"/>
      <c r="AS721" s="551"/>
      <c r="AT721" s="551"/>
      <c r="AU721" s="551"/>
      <c r="AV721" s="551"/>
      <c r="AW721" s="551"/>
      <c r="AX721" s="551"/>
      <c r="AY721" s="551"/>
      <c r="AZ721" s="551"/>
      <c r="BA721" s="551"/>
      <c r="BB721" s="551"/>
      <c r="BC721" s="551"/>
      <c r="BD721" s="551"/>
      <c r="BE721" s="551"/>
      <c r="BF721" s="551"/>
    </row>
    <row r="722" spans="1:58" ht="12.75" customHeight="1">
      <c r="A722" s="551"/>
      <c r="B722" s="551"/>
      <c r="C722" s="551"/>
      <c r="D722" s="551"/>
      <c r="E722" s="551"/>
      <c r="F722" s="551"/>
      <c r="G722" s="551"/>
      <c r="H722" s="551"/>
      <c r="I722" s="551"/>
      <c r="J722" s="551"/>
      <c r="K722" s="551"/>
      <c r="L722" s="551"/>
      <c r="M722" s="551"/>
      <c r="N722" s="551"/>
      <c r="O722" s="551"/>
      <c r="P722" s="551"/>
      <c r="Q722" s="551"/>
      <c r="R722" s="551"/>
      <c r="S722" s="551"/>
      <c r="T722" s="551"/>
      <c r="U722" s="551"/>
      <c r="V722" s="551"/>
      <c r="W722" s="551"/>
      <c r="X722" s="551"/>
      <c r="Y722" s="551"/>
      <c r="Z722" s="551"/>
      <c r="AA722" s="551"/>
      <c r="AB722" s="551"/>
      <c r="AC722" s="551"/>
      <c r="AD722" s="551"/>
      <c r="AE722" s="551"/>
      <c r="AF722" s="551"/>
      <c r="AG722" s="551"/>
      <c r="AH722" s="551"/>
      <c r="AI722" s="551"/>
      <c r="AJ722" s="551"/>
      <c r="AK722" s="551"/>
      <c r="AL722" s="551"/>
      <c r="AM722" s="551"/>
      <c r="AN722" s="551"/>
      <c r="AO722" s="551"/>
      <c r="AP722" s="551"/>
      <c r="AQ722" s="551"/>
      <c r="AR722" s="551"/>
      <c r="AS722" s="551"/>
      <c r="AT722" s="551"/>
      <c r="AU722" s="551"/>
      <c r="AV722" s="551"/>
      <c r="AW722" s="551"/>
      <c r="AX722" s="551"/>
      <c r="AY722" s="551"/>
      <c r="AZ722" s="551"/>
      <c r="BA722" s="551"/>
      <c r="BB722" s="551"/>
      <c r="BC722" s="551"/>
      <c r="BD722" s="551"/>
      <c r="BE722" s="551"/>
      <c r="BF722" s="551"/>
    </row>
    <row r="723" spans="1:58" ht="12.75" customHeight="1">
      <c r="A723" s="551"/>
      <c r="B723" s="551"/>
      <c r="C723" s="551"/>
      <c r="D723" s="551"/>
      <c r="E723" s="551"/>
      <c r="F723" s="551"/>
      <c r="G723" s="551"/>
      <c r="H723" s="551"/>
      <c r="I723" s="551"/>
      <c r="J723" s="551"/>
      <c r="K723" s="551"/>
      <c r="L723" s="551"/>
      <c r="M723" s="551"/>
      <c r="N723" s="551"/>
      <c r="O723" s="551"/>
      <c r="P723" s="551"/>
      <c r="Q723" s="551"/>
      <c r="R723" s="551"/>
      <c r="S723" s="551"/>
      <c r="T723" s="551"/>
      <c r="U723" s="551"/>
      <c r="V723" s="551"/>
      <c r="W723" s="551"/>
      <c r="X723" s="551"/>
      <c r="Y723" s="551"/>
      <c r="Z723" s="551"/>
      <c r="AA723" s="551"/>
      <c r="AB723" s="551"/>
      <c r="AC723" s="551"/>
      <c r="AD723" s="551"/>
      <c r="AE723" s="551"/>
      <c r="AF723" s="551"/>
      <c r="AG723" s="551"/>
      <c r="AH723" s="551"/>
      <c r="AI723" s="551"/>
      <c r="AJ723" s="551"/>
      <c r="AK723" s="551"/>
      <c r="AL723" s="551"/>
      <c r="AM723" s="551"/>
      <c r="AN723" s="551"/>
      <c r="AO723" s="551"/>
      <c r="AP723" s="551"/>
      <c r="AQ723" s="551"/>
      <c r="AR723" s="551"/>
      <c r="AS723" s="551"/>
      <c r="AT723" s="551"/>
      <c r="AU723" s="551"/>
      <c r="AV723" s="551"/>
      <c r="AW723" s="551"/>
      <c r="AX723" s="551"/>
      <c r="AY723" s="551"/>
      <c r="AZ723" s="551"/>
      <c r="BA723" s="551"/>
      <c r="BB723" s="551"/>
      <c r="BC723" s="551"/>
      <c r="BD723" s="551"/>
      <c r="BE723" s="551"/>
      <c r="BF723" s="551"/>
    </row>
    <row r="724" spans="1:58" ht="12.75" customHeight="1">
      <c r="A724" s="551"/>
      <c r="B724" s="551"/>
      <c r="C724" s="551"/>
      <c r="D724" s="551"/>
      <c r="E724" s="551"/>
      <c r="F724" s="551"/>
      <c r="G724" s="551"/>
      <c r="H724" s="551"/>
      <c r="I724" s="551"/>
      <c r="J724" s="551"/>
      <c r="K724" s="551"/>
      <c r="L724" s="551"/>
      <c r="M724" s="551"/>
      <c r="N724" s="551"/>
      <c r="O724" s="551"/>
      <c r="P724" s="551"/>
      <c r="Q724" s="551"/>
      <c r="R724" s="551"/>
      <c r="S724" s="551"/>
      <c r="T724" s="551"/>
      <c r="U724" s="551"/>
      <c r="V724" s="551"/>
      <c r="W724" s="551"/>
      <c r="X724" s="551"/>
      <c r="Y724" s="551"/>
      <c r="Z724" s="551"/>
      <c r="AA724" s="551"/>
      <c r="AB724" s="551"/>
      <c r="AC724" s="551"/>
      <c r="AD724" s="551"/>
      <c r="AE724" s="551"/>
      <c r="AF724" s="551"/>
      <c r="AG724" s="551"/>
      <c r="AH724" s="551"/>
      <c r="AI724" s="551"/>
      <c r="AJ724" s="551"/>
      <c r="AK724" s="551"/>
      <c r="AL724" s="551"/>
      <c r="AM724" s="551"/>
      <c r="AN724" s="551"/>
      <c r="AO724" s="551"/>
      <c r="AP724" s="551"/>
      <c r="AQ724" s="551"/>
      <c r="AR724" s="551"/>
      <c r="AS724" s="551"/>
      <c r="AT724" s="551"/>
      <c r="AU724" s="551"/>
      <c r="AV724" s="551"/>
      <c r="AW724" s="551"/>
      <c r="AX724" s="551"/>
      <c r="AY724" s="551"/>
      <c r="AZ724" s="551"/>
      <c r="BA724" s="551"/>
      <c r="BB724" s="551"/>
      <c r="BC724" s="551"/>
      <c r="BD724" s="551"/>
      <c r="BE724" s="551"/>
      <c r="BF724" s="551"/>
    </row>
    <row r="725" spans="1:58" ht="12.75" customHeight="1">
      <c r="A725" s="551"/>
      <c r="B725" s="551"/>
      <c r="C725" s="551"/>
      <c r="D725" s="551"/>
      <c r="E725" s="551"/>
      <c r="F725" s="551"/>
      <c r="G725" s="551"/>
      <c r="H725" s="551"/>
      <c r="I725" s="551"/>
      <c r="J725" s="551"/>
      <c r="K725" s="551"/>
      <c r="L725" s="551"/>
      <c r="M725" s="551"/>
      <c r="N725" s="551"/>
      <c r="O725" s="551"/>
      <c r="P725" s="551"/>
      <c r="Q725" s="551"/>
      <c r="R725" s="551"/>
      <c r="S725" s="551"/>
      <c r="T725" s="551"/>
      <c r="U725" s="551"/>
      <c r="V725" s="551"/>
      <c r="W725" s="551"/>
      <c r="X725" s="551"/>
      <c r="Y725" s="551"/>
      <c r="Z725" s="551"/>
      <c r="AA725" s="551"/>
      <c r="AB725" s="551"/>
      <c r="AC725" s="551"/>
      <c r="AD725" s="551"/>
      <c r="AE725" s="551"/>
      <c r="AF725" s="551"/>
      <c r="AG725" s="551"/>
      <c r="AH725" s="551"/>
      <c r="AI725" s="551"/>
      <c r="AJ725" s="551"/>
      <c r="AK725" s="551"/>
      <c r="AL725" s="551"/>
      <c r="AM725" s="551"/>
      <c r="AN725" s="551"/>
      <c r="AO725" s="551"/>
      <c r="AP725" s="551"/>
      <c r="AQ725" s="551"/>
      <c r="AR725" s="551"/>
      <c r="AS725" s="551"/>
      <c r="AT725" s="551"/>
      <c r="AU725" s="551"/>
      <c r="AV725" s="551"/>
      <c r="AW725" s="551"/>
      <c r="AX725" s="551"/>
      <c r="AY725" s="551"/>
      <c r="AZ725" s="551"/>
      <c r="BA725" s="551"/>
      <c r="BB725" s="551"/>
      <c r="BC725" s="551"/>
      <c r="BD725" s="551"/>
      <c r="BE725" s="551"/>
      <c r="BF725" s="551"/>
    </row>
    <row r="726" spans="1:58" ht="12.75" customHeight="1">
      <c r="A726" s="551"/>
      <c r="B726" s="551"/>
      <c r="C726" s="551"/>
      <c r="D726" s="551"/>
      <c r="E726" s="551"/>
      <c r="F726" s="551"/>
      <c r="G726" s="551"/>
      <c r="H726" s="551"/>
      <c r="I726" s="551"/>
      <c r="J726" s="551"/>
      <c r="K726" s="551"/>
      <c r="L726" s="551"/>
      <c r="M726" s="551"/>
      <c r="N726" s="551"/>
      <c r="O726" s="551"/>
      <c r="P726" s="551"/>
      <c r="Q726" s="551"/>
      <c r="R726" s="551"/>
      <c r="S726" s="551"/>
      <c r="T726" s="551"/>
      <c r="U726" s="551"/>
      <c r="V726" s="551"/>
      <c r="W726" s="551"/>
      <c r="X726" s="551"/>
      <c r="Y726" s="551"/>
      <c r="Z726" s="551"/>
      <c r="AA726" s="551"/>
      <c r="AB726" s="551"/>
      <c r="AC726" s="551"/>
      <c r="AD726" s="551"/>
      <c r="AE726" s="551"/>
      <c r="AF726" s="551"/>
      <c r="AG726" s="551"/>
      <c r="AH726" s="551"/>
      <c r="AI726" s="551"/>
      <c r="AJ726" s="551"/>
      <c r="AK726" s="551"/>
      <c r="AL726" s="551"/>
      <c r="AM726" s="551"/>
      <c r="AN726" s="551"/>
      <c r="AO726" s="551"/>
      <c r="AP726" s="551"/>
      <c r="AQ726" s="551"/>
      <c r="AR726" s="551"/>
      <c r="AS726" s="551"/>
      <c r="AT726" s="551"/>
      <c r="AU726" s="551"/>
      <c r="AV726" s="551"/>
      <c r="AW726" s="551"/>
      <c r="AX726" s="551"/>
      <c r="AY726" s="551"/>
      <c r="AZ726" s="551"/>
      <c r="BA726" s="551"/>
      <c r="BB726" s="551"/>
      <c r="BC726" s="551"/>
      <c r="BD726" s="551"/>
      <c r="BE726" s="551"/>
      <c r="BF726" s="551"/>
    </row>
    <row r="727" spans="1:58" ht="12.75" customHeight="1">
      <c r="A727" s="551"/>
      <c r="B727" s="551"/>
      <c r="C727" s="551"/>
      <c r="D727" s="551"/>
      <c r="E727" s="551"/>
      <c r="F727" s="551"/>
      <c r="G727" s="551"/>
      <c r="H727" s="551"/>
      <c r="I727" s="551"/>
      <c r="J727" s="551"/>
      <c r="K727" s="551"/>
      <c r="L727" s="551"/>
      <c r="M727" s="551"/>
      <c r="N727" s="551"/>
      <c r="O727" s="551"/>
      <c r="P727" s="551"/>
      <c r="Q727" s="551"/>
      <c r="R727" s="551"/>
      <c r="S727" s="551"/>
      <c r="T727" s="551"/>
      <c r="U727" s="551"/>
      <c r="V727" s="551"/>
      <c r="W727" s="551"/>
      <c r="X727" s="551"/>
      <c r="Y727" s="551"/>
      <c r="Z727" s="551"/>
      <c r="AA727" s="551"/>
      <c r="AB727" s="551"/>
      <c r="AC727" s="551"/>
      <c r="AD727" s="551"/>
      <c r="AE727" s="551"/>
      <c r="AF727" s="551"/>
      <c r="AG727" s="551"/>
      <c r="AH727" s="551"/>
      <c r="AI727" s="551"/>
      <c r="AJ727" s="551"/>
      <c r="AK727" s="551"/>
      <c r="AL727" s="551"/>
      <c r="AM727" s="551"/>
      <c r="AN727" s="551"/>
      <c r="AO727" s="551"/>
      <c r="AP727" s="551"/>
      <c r="AQ727" s="551"/>
      <c r="AR727" s="551"/>
      <c r="AS727" s="551"/>
      <c r="AT727" s="551"/>
      <c r="AU727" s="551"/>
      <c r="AV727" s="551"/>
      <c r="AW727" s="551"/>
      <c r="AX727" s="551"/>
      <c r="AY727" s="551"/>
      <c r="AZ727" s="551"/>
      <c r="BA727" s="551"/>
      <c r="BB727" s="551"/>
      <c r="BC727" s="551"/>
      <c r="BD727" s="551"/>
      <c r="BE727" s="551"/>
      <c r="BF727" s="551"/>
    </row>
    <row r="728" spans="1:58" ht="12.75" customHeight="1">
      <c r="A728" s="551"/>
      <c r="B728" s="551"/>
      <c r="C728" s="551"/>
      <c r="D728" s="551"/>
      <c r="E728" s="551"/>
      <c r="F728" s="551"/>
      <c r="G728" s="551"/>
      <c r="H728" s="551"/>
      <c r="I728" s="551"/>
      <c r="J728" s="551"/>
      <c r="K728" s="551"/>
      <c r="L728" s="551"/>
      <c r="M728" s="551"/>
      <c r="N728" s="551"/>
      <c r="O728" s="551"/>
      <c r="P728" s="551"/>
      <c r="Q728" s="551"/>
      <c r="R728" s="551"/>
      <c r="S728" s="551"/>
      <c r="T728" s="551"/>
      <c r="U728" s="551"/>
      <c r="V728" s="551"/>
      <c r="W728" s="551"/>
      <c r="X728" s="551"/>
      <c r="Y728" s="551"/>
      <c r="Z728" s="551"/>
      <c r="AA728" s="551"/>
      <c r="AB728" s="551"/>
      <c r="AC728" s="551"/>
      <c r="AD728" s="551"/>
      <c r="AE728" s="551"/>
      <c r="AF728" s="551"/>
      <c r="AG728" s="551"/>
      <c r="AH728" s="551"/>
      <c r="AI728" s="551"/>
      <c r="AJ728" s="551"/>
      <c r="AK728" s="551"/>
      <c r="AL728" s="551"/>
      <c r="AM728" s="551"/>
      <c r="AN728" s="551"/>
      <c r="AO728" s="551"/>
      <c r="AP728" s="551"/>
      <c r="AQ728" s="551"/>
      <c r="AR728" s="551"/>
      <c r="AS728" s="551"/>
      <c r="AT728" s="551"/>
      <c r="AU728" s="551"/>
      <c r="AV728" s="551"/>
      <c r="AW728" s="551"/>
      <c r="AX728" s="551"/>
      <c r="AY728" s="551"/>
      <c r="AZ728" s="551"/>
      <c r="BA728" s="551"/>
      <c r="BB728" s="551"/>
      <c r="BC728" s="551"/>
      <c r="BD728" s="551"/>
      <c r="BE728" s="551"/>
      <c r="BF728" s="551"/>
    </row>
    <row r="729" spans="1:58" ht="12.75" customHeight="1">
      <c r="A729" s="551"/>
      <c r="B729" s="551"/>
      <c r="C729" s="551"/>
      <c r="D729" s="551"/>
      <c r="E729" s="551"/>
      <c r="F729" s="551"/>
      <c r="G729" s="551"/>
      <c r="H729" s="551"/>
      <c r="I729" s="551"/>
      <c r="J729" s="551"/>
      <c r="K729" s="551"/>
      <c r="L729" s="551"/>
      <c r="M729" s="551"/>
      <c r="N729" s="551"/>
      <c r="O729" s="551"/>
      <c r="P729" s="551"/>
      <c r="Q729" s="551"/>
      <c r="R729" s="551"/>
      <c r="S729" s="551"/>
      <c r="T729" s="551"/>
      <c r="U729" s="551"/>
      <c r="V729" s="551"/>
      <c r="W729" s="551"/>
      <c r="X729" s="551"/>
      <c r="Y729" s="551"/>
      <c r="Z729" s="551"/>
      <c r="AA729" s="551"/>
      <c r="AB729" s="551"/>
      <c r="AC729" s="551"/>
      <c r="AD729" s="551"/>
      <c r="AE729" s="551"/>
      <c r="AF729" s="551"/>
      <c r="AG729" s="551"/>
      <c r="AH729" s="551"/>
      <c r="AI729" s="551"/>
      <c r="AJ729" s="551"/>
      <c r="AK729" s="551"/>
      <c r="AL729" s="551"/>
      <c r="AM729" s="551"/>
      <c r="AN729" s="551"/>
      <c r="AO729" s="551"/>
      <c r="AP729" s="551"/>
      <c r="AQ729" s="551"/>
      <c r="AR729" s="551"/>
      <c r="AS729" s="551"/>
      <c r="AT729" s="551"/>
      <c r="AU729" s="551"/>
      <c r="AV729" s="551"/>
      <c r="AW729" s="551"/>
      <c r="AX729" s="551"/>
      <c r="AY729" s="551"/>
      <c r="AZ729" s="551"/>
      <c r="BA729" s="551"/>
      <c r="BB729" s="551"/>
      <c r="BC729" s="551"/>
      <c r="BD729" s="551"/>
      <c r="BE729" s="551"/>
      <c r="BF729" s="551"/>
    </row>
    <row r="730" spans="1:58" ht="12.75" customHeight="1">
      <c r="A730" s="551"/>
      <c r="B730" s="551"/>
      <c r="C730" s="551"/>
      <c r="D730" s="551"/>
      <c r="E730" s="551"/>
      <c r="F730" s="551"/>
      <c r="G730" s="551"/>
      <c r="H730" s="551"/>
      <c r="I730" s="551"/>
      <c r="J730" s="551"/>
      <c r="K730" s="551"/>
      <c r="L730" s="551"/>
      <c r="M730" s="551"/>
      <c r="N730" s="551"/>
      <c r="O730" s="551"/>
      <c r="P730" s="551"/>
      <c r="Q730" s="551"/>
      <c r="R730" s="551"/>
      <c r="S730" s="551"/>
      <c r="T730" s="551"/>
      <c r="U730" s="551"/>
      <c r="V730" s="551"/>
      <c r="W730" s="551"/>
      <c r="X730" s="551"/>
      <c r="Y730" s="551"/>
      <c r="Z730" s="551"/>
      <c r="AA730" s="551"/>
      <c r="AB730" s="551"/>
      <c r="AC730" s="551"/>
      <c r="AD730" s="551"/>
      <c r="AE730" s="551"/>
      <c r="AF730" s="551"/>
      <c r="AG730" s="551"/>
      <c r="AH730" s="551"/>
      <c r="AI730" s="551"/>
      <c r="AJ730" s="551"/>
      <c r="AK730" s="551"/>
      <c r="AL730" s="551"/>
      <c r="AM730" s="551"/>
      <c r="AN730" s="551"/>
      <c r="AO730" s="551"/>
      <c r="AP730" s="551"/>
      <c r="AQ730" s="551"/>
      <c r="AR730" s="551"/>
      <c r="AS730" s="551"/>
      <c r="AT730" s="551"/>
      <c r="AU730" s="551"/>
      <c r="AV730" s="551"/>
      <c r="AW730" s="551"/>
      <c r="AX730" s="551"/>
      <c r="AY730" s="551"/>
      <c r="AZ730" s="551"/>
      <c r="BA730" s="551"/>
      <c r="BB730" s="551"/>
      <c r="BC730" s="551"/>
      <c r="BD730" s="551"/>
      <c r="BE730" s="551"/>
      <c r="BF730" s="551"/>
    </row>
    <row r="731" spans="1:58" ht="12.75" customHeight="1">
      <c r="A731" s="551"/>
      <c r="B731" s="551"/>
      <c r="C731" s="551"/>
      <c r="D731" s="551"/>
      <c r="E731" s="551"/>
      <c r="F731" s="551"/>
      <c r="G731" s="551"/>
      <c r="H731" s="551"/>
      <c r="I731" s="551"/>
      <c r="J731" s="551"/>
      <c r="K731" s="551"/>
      <c r="L731" s="551"/>
      <c r="M731" s="551"/>
      <c r="N731" s="551"/>
      <c r="O731" s="551"/>
      <c r="P731" s="551"/>
      <c r="Q731" s="551"/>
      <c r="R731" s="551"/>
      <c r="S731" s="551"/>
      <c r="T731" s="551"/>
      <c r="U731" s="551"/>
      <c r="V731" s="551"/>
      <c r="W731" s="551"/>
      <c r="X731" s="551"/>
      <c r="Y731" s="551"/>
      <c r="Z731" s="551"/>
      <c r="AA731" s="551"/>
      <c r="AB731" s="551"/>
      <c r="AC731" s="551"/>
      <c r="AD731" s="551"/>
      <c r="AE731" s="551"/>
      <c r="AF731" s="551"/>
      <c r="AG731" s="551"/>
      <c r="AH731" s="551"/>
      <c r="AI731" s="551"/>
      <c r="AJ731" s="551"/>
      <c r="AK731" s="551"/>
      <c r="AL731" s="551"/>
      <c r="AM731" s="551"/>
      <c r="AN731" s="551"/>
      <c r="AO731" s="551"/>
      <c r="AP731" s="551"/>
      <c r="AQ731" s="551"/>
      <c r="AR731" s="551"/>
      <c r="AS731" s="551"/>
      <c r="AT731" s="551"/>
      <c r="AU731" s="551"/>
      <c r="AV731" s="551"/>
      <c r="AW731" s="551"/>
      <c r="AX731" s="551"/>
      <c r="AY731" s="551"/>
      <c r="AZ731" s="551"/>
      <c r="BA731" s="551"/>
      <c r="BB731" s="551"/>
      <c r="BC731" s="551"/>
      <c r="BD731" s="551"/>
      <c r="BE731" s="551"/>
      <c r="BF731" s="551"/>
    </row>
    <row r="732" spans="1:58" ht="12.75" customHeight="1">
      <c r="A732" s="551"/>
      <c r="B732" s="551"/>
      <c r="C732" s="551"/>
      <c r="D732" s="551"/>
      <c r="E732" s="551"/>
      <c r="F732" s="551"/>
      <c r="G732" s="551"/>
      <c r="H732" s="551"/>
      <c r="I732" s="551"/>
      <c r="J732" s="551"/>
      <c r="K732" s="551"/>
      <c r="L732" s="551"/>
      <c r="M732" s="551"/>
      <c r="N732" s="551"/>
      <c r="O732" s="551"/>
      <c r="P732" s="551"/>
      <c r="Q732" s="551"/>
      <c r="R732" s="551"/>
      <c r="S732" s="551"/>
      <c r="T732" s="551"/>
      <c r="U732" s="551"/>
      <c r="V732" s="551"/>
      <c r="W732" s="551"/>
      <c r="X732" s="551"/>
      <c r="Y732" s="551"/>
      <c r="Z732" s="551"/>
      <c r="AA732" s="551"/>
      <c r="AB732" s="551"/>
      <c r="AC732" s="551"/>
      <c r="AD732" s="551"/>
      <c r="AE732" s="551"/>
      <c r="AF732" s="551"/>
      <c r="AG732" s="551"/>
      <c r="AH732" s="551"/>
      <c r="AI732" s="551"/>
      <c r="AJ732" s="551"/>
      <c r="AK732" s="551"/>
      <c r="AL732" s="551"/>
      <c r="AM732" s="551"/>
      <c r="AN732" s="551"/>
      <c r="AO732" s="551"/>
      <c r="AP732" s="551"/>
      <c r="AQ732" s="551"/>
      <c r="AR732" s="551"/>
      <c r="AS732" s="551"/>
      <c r="AT732" s="551"/>
      <c r="AU732" s="551"/>
      <c r="AV732" s="551"/>
      <c r="AW732" s="551"/>
      <c r="AX732" s="551"/>
      <c r="AY732" s="551"/>
      <c r="AZ732" s="551"/>
      <c r="BA732" s="551"/>
      <c r="BB732" s="551"/>
      <c r="BC732" s="551"/>
      <c r="BD732" s="551"/>
      <c r="BE732" s="551"/>
      <c r="BF732" s="551"/>
    </row>
    <row r="733" spans="1:58" ht="12.75" customHeight="1">
      <c r="A733" s="551"/>
      <c r="B733" s="551"/>
      <c r="C733" s="551"/>
      <c r="D733" s="551"/>
      <c r="E733" s="551"/>
      <c r="F733" s="551"/>
      <c r="G733" s="551"/>
      <c r="H733" s="551"/>
      <c r="I733" s="551"/>
      <c r="J733" s="551"/>
      <c r="K733" s="551"/>
      <c r="L733" s="551"/>
      <c r="M733" s="551"/>
      <c r="N733" s="551"/>
      <c r="O733" s="551"/>
      <c r="P733" s="551"/>
      <c r="Q733" s="551"/>
      <c r="R733" s="551"/>
      <c r="S733" s="551"/>
      <c r="T733" s="551"/>
      <c r="U733" s="551"/>
      <c r="V733" s="551"/>
      <c r="W733" s="551"/>
      <c r="X733" s="551"/>
      <c r="Y733" s="551"/>
      <c r="Z733" s="551"/>
      <c r="AA733" s="551"/>
      <c r="AB733" s="551"/>
      <c r="AC733" s="551"/>
      <c r="AD733" s="551"/>
      <c r="AE733" s="551"/>
      <c r="AF733" s="551"/>
      <c r="AG733" s="551"/>
      <c r="AH733" s="551"/>
      <c r="AI733" s="551"/>
      <c r="AJ733" s="551"/>
      <c r="AK733" s="551"/>
      <c r="AL733" s="551"/>
      <c r="AM733" s="551"/>
      <c r="AN733" s="551"/>
      <c r="AO733" s="551"/>
      <c r="AP733" s="551"/>
      <c r="AQ733" s="551"/>
      <c r="AR733" s="551"/>
      <c r="AS733" s="551"/>
      <c r="AT733" s="551"/>
      <c r="AU733" s="551"/>
      <c r="AV733" s="551"/>
      <c r="AW733" s="551"/>
      <c r="AX733" s="551"/>
      <c r="AY733" s="551"/>
      <c r="AZ733" s="551"/>
      <c r="BA733" s="551"/>
      <c r="BB733" s="551"/>
      <c r="BC733" s="551"/>
      <c r="BD733" s="551"/>
      <c r="BE733" s="551"/>
      <c r="BF733" s="551"/>
    </row>
    <row r="734" spans="1:58" ht="12.75" customHeight="1">
      <c r="A734" s="551"/>
      <c r="B734" s="551"/>
      <c r="C734" s="551"/>
      <c r="D734" s="551"/>
      <c r="E734" s="551"/>
      <c r="F734" s="551"/>
      <c r="G734" s="551"/>
      <c r="H734" s="551"/>
      <c r="I734" s="551"/>
      <c r="J734" s="551"/>
      <c r="K734" s="551"/>
      <c r="L734" s="551"/>
      <c r="M734" s="551"/>
      <c r="N734" s="551"/>
      <c r="O734" s="551"/>
      <c r="P734" s="551"/>
      <c r="Q734" s="551"/>
      <c r="R734" s="551"/>
      <c r="S734" s="551"/>
      <c r="T734" s="551"/>
      <c r="U734" s="551"/>
      <c r="V734" s="551"/>
      <c r="W734" s="551"/>
      <c r="X734" s="551"/>
      <c r="Y734" s="551"/>
      <c r="Z734" s="551"/>
      <c r="AA734" s="551"/>
      <c r="AB734" s="551"/>
      <c r="AC734" s="551"/>
      <c r="AD734" s="551"/>
      <c r="AE734" s="551"/>
      <c r="AF734" s="551"/>
      <c r="AG734" s="551"/>
      <c r="AH734" s="551"/>
      <c r="AI734" s="551"/>
      <c r="AJ734" s="551"/>
      <c r="AK734" s="551"/>
      <c r="AL734" s="551"/>
      <c r="AM734" s="551"/>
      <c r="AN734" s="551"/>
      <c r="AO734" s="551"/>
      <c r="AP734" s="551"/>
      <c r="AQ734" s="551"/>
      <c r="AR734" s="551"/>
      <c r="AS734" s="551"/>
      <c r="AT734" s="551"/>
      <c r="AU734" s="551"/>
      <c r="AV734" s="551"/>
      <c r="AW734" s="551"/>
      <c r="AX734" s="551"/>
      <c r="AY734" s="551"/>
      <c r="AZ734" s="551"/>
      <c r="BA734" s="551"/>
      <c r="BB734" s="551"/>
      <c r="BC734" s="551"/>
      <c r="BD734" s="551"/>
      <c r="BE734" s="551"/>
      <c r="BF734" s="551"/>
    </row>
    <row r="735" spans="1:58" ht="12.75" customHeight="1">
      <c r="A735" s="551"/>
      <c r="B735" s="551"/>
      <c r="C735" s="551"/>
      <c r="D735" s="551"/>
      <c r="E735" s="551"/>
      <c r="F735" s="551"/>
      <c r="G735" s="551"/>
      <c r="H735" s="551"/>
      <c r="I735" s="551"/>
      <c r="J735" s="551"/>
      <c r="K735" s="551"/>
      <c r="L735" s="551"/>
      <c r="M735" s="551"/>
      <c r="N735" s="551"/>
      <c r="O735" s="551"/>
      <c r="P735" s="551"/>
      <c r="Q735" s="551"/>
      <c r="R735" s="551"/>
      <c r="S735" s="551"/>
      <c r="T735" s="551"/>
      <c r="U735" s="551"/>
      <c r="V735" s="551"/>
      <c r="W735" s="551"/>
      <c r="X735" s="551"/>
      <c r="Y735" s="551"/>
      <c r="Z735" s="551"/>
      <c r="AA735" s="551"/>
      <c r="AB735" s="551"/>
      <c r="AC735" s="551"/>
      <c r="AD735" s="551"/>
      <c r="AE735" s="551"/>
      <c r="AF735" s="551"/>
      <c r="AG735" s="551"/>
      <c r="AH735" s="551"/>
      <c r="AI735" s="551"/>
      <c r="AJ735" s="551"/>
      <c r="AK735" s="551"/>
      <c r="AL735" s="551"/>
      <c r="AM735" s="551"/>
      <c r="AN735" s="551"/>
      <c r="AO735" s="551"/>
      <c r="AP735" s="551"/>
      <c r="AQ735" s="551"/>
      <c r="AR735" s="551"/>
      <c r="AS735" s="551"/>
      <c r="AT735" s="551"/>
      <c r="AU735" s="551"/>
      <c r="AV735" s="551"/>
      <c r="AW735" s="551"/>
      <c r="AX735" s="551"/>
      <c r="AY735" s="551"/>
      <c r="AZ735" s="551"/>
      <c r="BA735" s="551"/>
      <c r="BB735" s="551"/>
      <c r="BC735" s="551"/>
      <c r="BD735" s="551"/>
      <c r="BE735" s="551"/>
      <c r="BF735" s="551"/>
    </row>
    <row r="736" spans="1:58" ht="12.75" customHeight="1">
      <c r="A736" s="551"/>
      <c r="B736" s="551"/>
      <c r="C736" s="551"/>
      <c r="D736" s="551"/>
      <c r="E736" s="551"/>
      <c r="F736" s="551"/>
      <c r="G736" s="551"/>
      <c r="H736" s="551"/>
      <c r="I736" s="551"/>
      <c r="J736" s="551"/>
      <c r="K736" s="551"/>
      <c r="L736" s="551"/>
      <c r="M736" s="551"/>
      <c r="N736" s="551"/>
      <c r="O736" s="551"/>
      <c r="P736" s="551"/>
      <c r="Q736" s="551"/>
      <c r="R736" s="551"/>
      <c r="S736" s="551"/>
      <c r="T736" s="551"/>
      <c r="U736" s="551"/>
      <c r="V736" s="551"/>
      <c r="W736" s="551"/>
      <c r="X736" s="551"/>
      <c r="Y736" s="551"/>
      <c r="Z736" s="551"/>
      <c r="AA736" s="551"/>
      <c r="AB736" s="551"/>
      <c r="AC736" s="551"/>
      <c r="AD736" s="551"/>
      <c r="AE736" s="551"/>
      <c r="AF736" s="551"/>
      <c r="AG736" s="551"/>
      <c r="AH736" s="551"/>
      <c r="AI736" s="551"/>
      <c r="AJ736" s="551"/>
      <c r="AK736" s="551"/>
      <c r="AL736" s="551"/>
      <c r="AM736" s="551"/>
      <c r="AN736" s="551"/>
      <c r="AO736" s="551"/>
      <c r="AP736" s="551"/>
      <c r="AQ736" s="551"/>
      <c r="AR736" s="551"/>
      <c r="AS736" s="551"/>
      <c r="AT736" s="551"/>
      <c r="AU736" s="551"/>
      <c r="AV736" s="551"/>
      <c r="AW736" s="551"/>
      <c r="AX736" s="551"/>
      <c r="AY736" s="551"/>
      <c r="AZ736" s="551"/>
      <c r="BA736" s="551"/>
      <c r="BB736" s="551"/>
      <c r="BC736" s="551"/>
      <c r="BD736" s="551"/>
      <c r="BE736" s="551"/>
      <c r="BF736" s="551"/>
    </row>
    <row r="737" spans="1:58" ht="12.75" customHeight="1">
      <c r="A737" s="551"/>
      <c r="B737" s="551"/>
      <c r="C737" s="551"/>
      <c r="D737" s="551"/>
      <c r="E737" s="551"/>
      <c r="F737" s="551"/>
      <c r="G737" s="551"/>
      <c r="H737" s="551"/>
      <c r="I737" s="551"/>
      <c r="J737" s="551"/>
      <c r="K737" s="551"/>
      <c r="L737" s="551"/>
      <c r="M737" s="551"/>
      <c r="N737" s="551"/>
      <c r="O737" s="551"/>
      <c r="P737" s="551"/>
      <c r="Q737" s="551"/>
      <c r="R737" s="551"/>
      <c r="S737" s="551"/>
      <c r="T737" s="551"/>
      <c r="U737" s="551"/>
      <c r="V737" s="551"/>
      <c r="W737" s="551"/>
      <c r="X737" s="551"/>
      <c r="Y737" s="551"/>
      <c r="Z737" s="551"/>
      <c r="AA737" s="551"/>
      <c r="AB737" s="551"/>
      <c r="AC737" s="551"/>
      <c r="AD737" s="551"/>
      <c r="AE737" s="551"/>
      <c r="AF737" s="551"/>
      <c r="AG737" s="551"/>
      <c r="AH737" s="551"/>
      <c r="AI737" s="551"/>
      <c r="AJ737" s="551"/>
      <c r="AK737" s="551"/>
      <c r="AL737" s="551"/>
      <c r="AM737" s="551"/>
      <c r="AN737" s="551"/>
      <c r="AO737" s="551"/>
      <c r="AP737" s="551"/>
      <c r="AQ737" s="551"/>
      <c r="AR737" s="551"/>
      <c r="AS737" s="551"/>
      <c r="AT737" s="551"/>
      <c r="AU737" s="551"/>
      <c r="AV737" s="551"/>
      <c r="AW737" s="551"/>
      <c r="AX737" s="551"/>
      <c r="AY737" s="551"/>
      <c r="AZ737" s="551"/>
      <c r="BA737" s="551"/>
      <c r="BB737" s="551"/>
      <c r="BC737" s="551"/>
      <c r="BD737" s="551"/>
      <c r="BE737" s="551"/>
      <c r="BF737" s="551"/>
    </row>
    <row r="738" spans="1:58" ht="12.75" customHeight="1">
      <c r="A738" s="551"/>
      <c r="B738" s="551"/>
      <c r="C738" s="551"/>
      <c r="D738" s="551"/>
      <c r="E738" s="551"/>
      <c r="F738" s="551"/>
      <c r="G738" s="551"/>
      <c r="H738" s="551"/>
      <c r="I738" s="551"/>
      <c r="J738" s="551"/>
      <c r="K738" s="551"/>
      <c r="L738" s="551"/>
      <c r="M738" s="551"/>
      <c r="N738" s="551"/>
      <c r="O738" s="551"/>
      <c r="P738" s="551"/>
      <c r="Q738" s="551"/>
      <c r="R738" s="551"/>
      <c r="S738" s="551"/>
      <c r="T738" s="551"/>
      <c r="U738" s="551"/>
      <c r="V738" s="551"/>
      <c r="W738" s="551"/>
      <c r="X738" s="551"/>
      <c r="Y738" s="551"/>
      <c r="Z738" s="551"/>
      <c r="AA738" s="551"/>
      <c r="AB738" s="551"/>
      <c r="AC738" s="551"/>
      <c r="AD738" s="551"/>
      <c r="AE738" s="551"/>
      <c r="AF738" s="551"/>
      <c r="AG738" s="551"/>
      <c r="AH738" s="551"/>
      <c r="AI738" s="551"/>
      <c r="AJ738" s="551"/>
      <c r="AK738" s="551"/>
      <c r="AL738" s="551"/>
      <c r="AM738" s="551"/>
      <c r="AN738" s="551"/>
      <c r="AO738" s="551"/>
      <c r="AP738" s="551"/>
      <c r="AQ738" s="551"/>
      <c r="AR738" s="551"/>
      <c r="AS738" s="551"/>
      <c r="AT738" s="551"/>
      <c r="AU738" s="551"/>
      <c r="AV738" s="551"/>
      <c r="AW738" s="551"/>
      <c r="AX738" s="551"/>
      <c r="AY738" s="551"/>
      <c r="AZ738" s="551"/>
      <c r="BA738" s="551"/>
      <c r="BB738" s="551"/>
      <c r="BC738" s="551"/>
      <c r="BD738" s="551"/>
      <c r="BE738" s="551"/>
      <c r="BF738" s="551"/>
    </row>
    <row r="739" spans="1:58" ht="12.75" customHeight="1">
      <c r="A739" s="551"/>
      <c r="B739" s="551"/>
      <c r="C739" s="551"/>
      <c r="D739" s="551"/>
      <c r="E739" s="551"/>
      <c r="F739" s="551"/>
      <c r="G739" s="551"/>
      <c r="H739" s="551"/>
      <c r="I739" s="551"/>
      <c r="J739" s="551"/>
      <c r="K739" s="551"/>
      <c r="L739" s="551"/>
      <c r="M739" s="551"/>
      <c r="N739" s="551"/>
      <c r="O739" s="551"/>
      <c r="P739" s="551"/>
      <c r="Q739" s="551"/>
      <c r="R739" s="551"/>
      <c r="S739" s="551"/>
      <c r="T739" s="551"/>
      <c r="U739" s="551"/>
      <c r="V739" s="551"/>
      <c r="W739" s="551"/>
      <c r="X739" s="551"/>
      <c r="Y739" s="551"/>
      <c r="Z739" s="551"/>
      <c r="AA739" s="551"/>
      <c r="AB739" s="551"/>
      <c r="AC739" s="551"/>
      <c r="AD739" s="551"/>
      <c r="AE739" s="551"/>
      <c r="AF739" s="551"/>
      <c r="AG739" s="551"/>
      <c r="AH739" s="551"/>
      <c r="AI739" s="551"/>
      <c r="AJ739" s="551"/>
      <c r="AK739" s="551"/>
      <c r="AL739" s="551"/>
      <c r="AM739" s="551"/>
      <c r="AN739" s="551"/>
      <c r="AO739" s="551"/>
      <c r="AP739" s="551"/>
      <c r="AQ739" s="551"/>
      <c r="AR739" s="551"/>
      <c r="AS739" s="551"/>
      <c r="AT739" s="551"/>
      <c r="AU739" s="551"/>
      <c r="AV739" s="551"/>
      <c r="AW739" s="551"/>
      <c r="AX739" s="551"/>
      <c r="AY739" s="551"/>
      <c r="AZ739" s="551"/>
      <c r="BA739" s="551"/>
      <c r="BB739" s="551"/>
      <c r="BC739" s="551"/>
      <c r="BD739" s="551"/>
      <c r="BE739" s="551"/>
      <c r="BF739" s="551"/>
    </row>
    <row r="740" spans="1:58" ht="12.75" customHeight="1">
      <c r="A740" s="551"/>
      <c r="B740" s="551"/>
      <c r="C740" s="551"/>
      <c r="D740" s="551"/>
      <c r="E740" s="551"/>
      <c r="F740" s="551"/>
      <c r="G740" s="551"/>
      <c r="H740" s="551"/>
      <c r="I740" s="551"/>
      <c r="J740" s="551"/>
      <c r="K740" s="551"/>
      <c r="L740" s="551"/>
      <c r="M740" s="551"/>
      <c r="N740" s="551"/>
      <c r="O740" s="551"/>
      <c r="P740" s="551"/>
      <c r="Q740" s="551"/>
      <c r="R740" s="551"/>
      <c r="S740" s="551"/>
      <c r="T740" s="551"/>
      <c r="U740" s="551"/>
      <c r="V740" s="551"/>
      <c r="W740" s="551"/>
      <c r="X740" s="551"/>
      <c r="Y740" s="551"/>
      <c r="Z740" s="551"/>
      <c r="AA740" s="551"/>
      <c r="AB740" s="551"/>
      <c r="AC740" s="551"/>
      <c r="AD740" s="551"/>
      <c r="AE740" s="551"/>
      <c r="AF740" s="551"/>
      <c r="AG740" s="551"/>
      <c r="AH740" s="551"/>
      <c r="AI740" s="551"/>
      <c r="AJ740" s="551"/>
      <c r="AK740" s="551"/>
      <c r="AL740" s="551"/>
      <c r="AM740" s="551"/>
      <c r="AN740" s="551"/>
      <c r="AO740" s="551"/>
      <c r="AP740" s="551"/>
      <c r="AQ740" s="551"/>
      <c r="AR740" s="551"/>
      <c r="AS740" s="551"/>
      <c r="AT740" s="551"/>
      <c r="AU740" s="551"/>
      <c r="AV740" s="551"/>
      <c r="AW740" s="551"/>
      <c r="AX740" s="551"/>
      <c r="AY740" s="551"/>
      <c r="AZ740" s="551"/>
      <c r="BA740" s="551"/>
      <c r="BB740" s="551"/>
      <c r="BC740" s="551"/>
      <c r="BD740" s="551"/>
      <c r="BE740" s="551"/>
      <c r="BF740" s="551"/>
    </row>
    <row r="741" spans="1:58" ht="12.75" customHeight="1">
      <c r="A741" s="551"/>
      <c r="B741" s="551"/>
      <c r="C741" s="551"/>
      <c r="D741" s="551"/>
      <c r="E741" s="551"/>
      <c r="F741" s="551"/>
      <c r="G741" s="551"/>
      <c r="H741" s="551"/>
      <c r="I741" s="551"/>
      <c r="J741" s="551"/>
      <c r="K741" s="551"/>
      <c r="L741" s="551"/>
      <c r="M741" s="551"/>
      <c r="N741" s="551"/>
      <c r="O741" s="551"/>
      <c r="P741" s="551"/>
      <c r="Q741" s="551"/>
      <c r="R741" s="551"/>
      <c r="S741" s="551"/>
      <c r="T741" s="551"/>
      <c r="U741" s="551"/>
      <c r="V741" s="551"/>
      <c r="W741" s="551"/>
      <c r="X741" s="551"/>
      <c r="Y741" s="551"/>
      <c r="Z741" s="551"/>
      <c r="AA741" s="551"/>
      <c r="AB741" s="551"/>
      <c r="AC741" s="551"/>
      <c r="AD741" s="551"/>
      <c r="AE741" s="551"/>
      <c r="AF741" s="551"/>
      <c r="AG741" s="551"/>
      <c r="AH741" s="551"/>
      <c r="AI741" s="551"/>
      <c r="AJ741" s="551"/>
      <c r="AK741" s="551"/>
      <c r="AL741" s="551"/>
      <c r="AM741" s="551"/>
      <c r="AN741" s="551"/>
      <c r="AO741" s="551"/>
      <c r="AP741" s="551"/>
      <c r="AQ741" s="551"/>
      <c r="AR741" s="551"/>
      <c r="AS741" s="551"/>
      <c r="AT741" s="551"/>
      <c r="AU741" s="551"/>
      <c r="AV741" s="551"/>
      <c r="AW741" s="551"/>
      <c r="AX741" s="551"/>
      <c r="AY741" s="551"/>
      <c r="AZ741" s="551"/>
      <c r="BA741" s="551"/>
      <c r="BB741" s="551"/>
      <c r="BC741" s="551"/>
      <c r="BD741" s="551"/>
      <c r="BE741" s="551"/>
      <c r="BF741" s="551"/>
    </row>
    <row r="742" spans="1:58" ht="12.75" customHeight="1">
      <c r="A742" s="551"/>
      <c r="B742" s="551"/>
      <c r="C742" s="551"/>
      <c r="D742" s="551"/>
      <c r="E742" s="551"/>
      <c r="F742" s="551"/>
      <c r="G742" s="551"/>
      <c r="H742" s="551"/>
      <c r="I742" s="551"/>
      <c r="J742" s="551"/>
      <c r="K742" s="551"/>
      <c r="L742" s="551"/>
      <c r="M742" s="551"/>
      <c r="N742" s="551"/>
      <c r="O742" s="551"/>
      <c r="P742" s="551"/>
      <c r="Q742" s="551"/>
      <c r="R742" s="551"/>
      <c r="S742" s="551"/>
      <c r="T742" s="551"/>
      <c r="U742" s="551"/>
      <c r="V742" s="551"/>
      <c r="W742" s="551"/>
      <c r="X742" s="551"/>
      <c r="Y742" s="551"/>
      <c r="Z742" s="551"/>
      <c r="AA742" s="551"/>
      <c r="AB742" s="551"/>
      <c r="AC742" s="551"/>
      <c r="AD742" s="551"/>
      <c r="AE742" s="551"/>
      <c r="AF742" s="551"/>
      <c r="AG742" s="551"/>
      <c r="AH742" s="551"/>
      <c r="AI742" s="551"/>
      <c r="AJ742" s="551"/>
      <c r="AK742" s="551"/>
      <c r="AL742" s="551"/>
      <c r="AM742" s="551"/>
      <c r="AN742" s="551"/>
      <c r="AO742" s="551"/>
      <c r="AP742" s="551"/>
      <c r="AQ742" s="551"/>
      <c r="AR742" s="551"/>
      <c r="AS742" s="551"/>
      <c r="AT742" s="551"/>
      <c r="AU742" s="551"/>
      <c r="AV742" s="551"/>
      <c r="AW742" s="551"/>
      <c r="AX742" s="551"/>
      <c r="AY742" s="551"/>
      <c r="AZ742" s="551"/>
      <c r="BA742" s="551"/>
      <c r="BB742" s="551"/>
      <c r="BC742" s="551"/>
      <c r="BD742" s="551"/>
      <c r="BE742" s="551"/>
      <c r="BF742" s="551"/>
    </row>
    <row r="743" spans="1:58" ht="12.75" customHeight="1">
      <c r="A743" s="551"/>
      <c r="B743" s="551"/>
      <c r="C743" s="551"/>
      <c r="D743" s="551"/>
      <c r="E743" s="551"/>
      <c r="F743" s="551"/>
      <c r="G743" s="551"/>
      <c r="H743" s="551"/>
      <c r="I743" s="551"/>
      <c r="J743" s="551"/>
      <c r="K743" s="551"/>
      <c r="L743" s="551"/>
      <c r="M743" s="551"/>
      <c r="N743" s="551"/>
      <c r="O743" s="551"/>
      <c r="P743" s="551"/>
      <c r="Q743" s="551"/>
      <c r="R743" s="551"/>
      <c r="S743" s="551"/>
      <c r="T743" s="551"/>
      <c r="U743" s="551"/>
      <c r="V743" s="551"/>
      <c r="W743" s="551"/>
      <c r="X743" s="551"/>
      <c r="Y743" s="551"/>
      <c r="Z743" s="551"/>
      <c r="AA743" s="551"/>
      <c r="AB743" s="551"/>
      <c r="AC743" s="551"/>
      <c r="AD743" s="551"/>
      <c r="AE743" s="551"/>
      <c r="AF743" s="551"/>
      <c r="AG743" s="551"/>
      <c r="AH743" s="551"/>
      <c r="AI743" s="551"/>
      <c r="AJ743" s="551"/>
      <c r="AK743" s="551"/>
      <c r="AL743" s="551"/>
      <c r="AM743" s="551"/>
      <c r="AN743" s="551"/>
      <c r="AO743" s="551"/>
      <c r="AP743" s="551"/>
      <c r="AQ743" s="551"/>
      <c r="AR743" s="551"/>
      <c r="AS743" s="551"/>
      <c r="AT743" s="551"/>
      <c r="AU743" s="551"/>
      <c r="AV743" s="551"/>
      <c r="AW743" s="551"/>
      <c r="AX743" s="551"/>
      <c r="AY743" s="551"/>
      <c r="AZ743" s="551"/>
      <c r="BA743" s="551"/>
      <c r="BB743" s="551"/>
      <c r="BC743" s="551"/>
      <c r="BD743" s="551"/>
      <c r="BE743" s="551"/>
      <c r="BF743" s="551"/>
    </row>
    <row r="744" spans="1:58" ht="12.75" customHeight="1">
      <c r="A744" s="551"/>
      <c r="B744" s="551"/>
      <c r="C744" s="551"/>
      <c r="D744" s="551"/>
      <c r="E744" s="551"/>
      <c r="F744" s="551"/>
      <c r="G744" s="551"/>
      <c r="H744" s="551"/>
      <c r="I744" s="551"/>
      <c r="J744" s="551"/>
      <c r="K744" s="551"/>
      <c r="L744" s="551"/>
      <c r="M744" s="551"/>
      <c r="N744" s="551"/>
      <c r="O744" s="551"/>
      <c r="P744" s="551"/>
      <c r="Q744" s="551"/>
      <c r="R744" s="551"/>
      <c r="S744" s="551"/>
      <c r="T744" s="551"/>
      <c r="U744" s="551"/>
      <c r="V744" s="551"/>
      <c r="W744" s="551"/>
      <c r="X744" s="551"/>
      <c r="Y744" s="551"/>
      <c r="Z744" s="551"/>
      <c r="AA744" s="551"/>
      <c r="AB744" s="551"/>
      <c r="AC744" s="551"/>
      <c r="AD744" s="551"/>
      <c r="AE744" s="551"/>
      <c r="AF744" s="551"/>
      <c r="AG744" s="551"/>
      <c r="AH744" s="551"/>
      <c r="AI744" s="551"/>
      <c r="AJ744" s="551"/>
      <c r="AK744" s="551"/>
      <c r="AL744" s="551"/>
      <c r="AM744" s="551"/>
      <c r="AN744" s="551"/>
      <c r="AO744" s="551"/>
      <c r="AP744" s="551"/>
      <c r="AQ744" s="551"/>
      <c r="AR744" s="551"/>
      <c r="AS744" s="551"/>
      <c r="AT744" s="551"/>
      <c r="AU744" s="551"/>
      <c r="AV744" s="551"/>
      <c r="AW744" s="551"/>
      <c r="AX744" s="551"/>
      <c r="AY744" s="551"/>
      <c r="AZ744" s="551"/>
      <c r="BA744" s="551"/>
      <c r="BB744" s="551"/>
      <c r="BC744" s="551"/>
      <c r="BD744" s="551"/>
      <c r="BE744" s="551"/>
      <c r="BF744" s="551"/>
    </row>
    <row r="745" spans="1:58" ht="12.75" customHeight="1">
      <c r="A745" s="551"/>
      <c r="B745" s="551"/>
      <c r="C745" s="551"/>
      <c r="D745" s="551"/>
      <c r="E745" s="551"/>
      <c r="F745" s="551"/>
      <c r="G745" s="551"/>
      <c r="H745" s="551"/>
      <c r="I745" s="551"/>
      <c r="J745" s="551"/>
      <c r="K745" s="551"/>
      <c r="L745" s="551"/>
      <c r="M745" s="551"/>
      <c r="N745" s="551"/>
      <c r="O745" s="551"/>
      <c r="P745" s="551"/>
      <c r="Q745" s="551"/>
      <c r="R745" s="551"/>
      <c r="S745" s="551"/>
      <c r="T745" s="551"/>
      <c r="U745" s="551"/>
      <c r="V745" s="551"/>
      <c r="W745" s="551"/>
      <c r="X745" s="551"/>
      <c r="Y745" s="551"/>
      <c r="Z745" s="551"/>
      <c r="AA745" s="551"/>
      <c r="AB745" s="551"/>
      <c r="AC745" s="551"/>
      <c r="AD745" s="551"/>
      <c r="AE745" s="551"/>
      <c r="AF745" s="551"/>
      <c r="AG745" s="551"/>
      <c r="AH745" s="551"/>
      <c r="AI745" s="551"/>
      <c r="AJ745" s="551"/>
      <c r="AK745" s="551"/>
      <c r="AL745" s="551"/>
      <c r="AM745" s="551"/>
      <c r="AN745" s="551"/>
      <c r="AO745" s="551"/>
      <c r="AP745" s="551"/>
      <c r="AQ745" s="551"/>
      <c r="AR745" s="551"/>
      <c r="AS745" s="551"/>
      <c r="AT745" s="551"/>
      <c r="AU745" s="551"/>
      <c r="AV745" s="551"/>
      <c r="AW745" s="551"/>
      <c r="AX745" s="551"/>
      <c r="AY745" s="551"/>
      <c r="AZ745" s="551"/>
      <c r="BA745" s="551"/>
      <c r="BB745" s="551"/>
      <c r="BC745" s="551"/>
      <c r="BD745" s="551"/>
      <c r="BE745" s="551"/>
      <c r="BF745" s="551"/>
    </row>
    <row r="746" spans="1:58" ht="12.75" customHeight="1">
      <c r="A746" s="551"/>
      <c r="B746" s="551"/>
      <c r="C746" s="551"/>
      <c r="D746" s="551"/>
      <c r="E746" s="551"/>
      <c r="F746" s="551"/>
      <c r="G746" s="551"/>
      <c r="H746" s="551"/>
      <c r="I746" s="551"/>
      <c r="J746" s="551"/>
      <c r="K746" s="551"/>
      <c r="L746" s="551"/>
      <c r="M746" s="551"/>
      <c r="N746" s="551"/>
      <c r="O746" s="551"/>
      <c r="P746" s="551"/>
      <c r="Q746" s="551"/>
      <c r="R746" s="551"/>
      <c r="S746" s="551"/>
      <c r="T746" s="551"/>
      <c r="U746" s="551"/>
      <c r="V746" s="551"/>
      <c r="W746" s="551"/>
      <c r="X746" s="551"/>
      <c r="Y746" s="551"/>
      <c r="Z746" s="551"/>
      <c r="AA746" s="551"/>
      <c r="AB746" s="551"/>
      <c r="AC746" s="551"/>
      <c r="AD746" s="551"/>
      <c r="AE746" s="551"/>
      <c r="AF746" s="551"/>
      <c r="AG746" s="551"/>
      <c r="AH746" s="551"/>
      <c r="AI746" s="551"/>
      <c r="AJ746" s="551"/>
      <c r="AK746" s="551"/>
      <c r="AL746" s="551"/>
      <c r="AM746" s="551"/>
      <c r="AN746" s="551"/>
      <c r="AO746" s="551"/>
      <c r="AP746" s="551"/>
      <c r="AQ746" s="551"/>
      <c r="AR746" s="551"/>
      <c r="AS746" s="551"/>
      <c r="AT746" s="551"/>
      <c r="AU746" s="551"/>
      <c r="AV746" s="551"/>
      <c r="AW746" s="551"/>
      <c r="AX746" s="551"/>
      <c r="AY746" s="551"/>
      <c r="AZ746" s="551"/>
      <c r="BA746" s="551"/>
      <c r="BB746" s="551"/>
      <c r="BC746" s="551"/>
      <c r="BD746" s="551"/>
      <c r="BE746" s="551"/>
      <c r="BF746" s="551"/>
    </row>
    <row r="747" spans="1:58" ht="12.75" customHeight="1">
      <c r="A747" s="551"/>
      <c r="B747" s="551"/>
      <c r="C747" s="551"/>
      <c r="D747" s="551"/>
      <c r="E747" s="551"/>
      <c r="F747" s="551"/>
      <c r="G747" s="551"/>
      <c r="H747" s="551"/>
      <c r="I747" s="551"/>
      <c r="J747" s="551"/>
      <c r="K747" s="551"/>
      <c r="L747" s="551"/>
      <c r="M747" s="551"/>
      <c r="N747" s="551"/>
      <c r="O747" s="551"/>
      <c r="P747" s="551"/>
      <c r="Q747" s="551"/>
      <c r="R747" s="551"/>
      <c r="S747" s="551"/>
      <c r="T747" s="551"/>
      <c r="U747" s="551"/>
      <c r="V747" s="551"/>
      <c r="W747" s="551"/>
      <c r="X747" s="551"/>
      <c r="Y747" s="551"/>
      <c r="Z747" s="551"/>
      <c r="AA747" s="551"/>
      <c r="AB747" s="551"/>
      <c r="AC747" s="551"/>
      <c r="AD747" s="551"/>
      <c r="AE747" s="551"/>
      <c r="AF747" s="551"/>
      <c r="AG747" s="551"/>
      <c r="AH747" s="551"/>
      <c r="AI747" s="551"/>
      <c r="AJ747" s="551"/>
      <c r="AK747" s="551"/>
      <c r="AL747" s="551"/>
      <c r="AM747" s="551"/>
      <c r="AN747" s="551"/>
      <c r="AO747" s="551"/>
      <c r="AP747" s="551"/>
      <c r="AQ747" s="551"/>
      <c r="AR747" s="551"/>
      <c r="AS747" s="551"/>
      <c r="AT747" s="551"/>
      <c r="AU747" s="551"/>
      <c r="AV747" s="551"/>
      <c r="AW747" s="551"/>
      <c r="AX747" s="551"/>
      <c r="AY747" s="551"/>
      <c r="AZ747" s="551"/>
      <c r="BA747" s="551"/>
      <c r="BB747" s="551"/>
      <c r="BC747" s="551"/>
      <c r="BD747" s="551"/>
      <c r="BE747" s="551"/>
      <c r="BF747" s="551"/>
    </row>
    <row r="748" spans="1:58" ht="12.75" customHeight="1">
      <c r="A748" s="551"/>
      <c r="B748" s="551"/>
      <c r="C748" s="551"/>
      <c r="D748" s="551"/>
      <c r="E748" s="551"/>
      <c r="F748" s="551"/>
      <c r="G748" s="551"/>
      <c r="H748" s="551"/>
      <c r="I748" s="551"/>
      <c r="J748" s="551"/>
      <c r="K748" s="551"/>
      <c r="L748" s="551"/>
      <c r="M748" s="551"/>
      <c r="N748" s="551"/>
      <c r="O748" s="551"/>
      <c r="P748" s="551"/>
      <c r="Q748" s="551"/>
      <c r="R748" s="551"/>
      <c r="S748" s="551"/>
      <c r="T748" s="551"/>
      <c r="U748" s="551"/>
      <c r="V748" s="551"/>
      <c r="W748" s="551"/>
      <c r="X748" s="551"/>
      <c r="Y748" s="551"/>
      <c r="Z748" s="551"/>
      <c r="AA748" s="551"/>
      <c r="AB748" s="551"/>
      <c r="AC748" s="551"/>
      <c r="AD748" s="551"/>
      <c r="AE748" s="551"/>
      <c r="AF748" s="551"/>
      <c r="AG748" s="551"/>
      <c r="AH748" s="551"/>
      <c r="AI748" s="551"/>
      <c r="AJ748" s="551"/>
      <c r="AK748" s="551"/>
      <c r="AL748" s="551"/>
      <c r="AM748" s="551"/>
      <c r="AN748" s="551"/>
      <c r="AO748" s="551"/>
      <c r="AP748" s="551"/>
      <c r="AQ748" s="551"/>
      <c r="AR748" s="551"/>
      <c r="AS748" s="551"/>
      <c r="AT748" s="551"/>
      <c r="AU748" s="551"/>
      <c r="AV748" s="551"/>
      <c r="AW748" s="551"/>
      <c r="AX748" s="551"/>
      <c r="AY748" s="551"/>
      <c r="AZ748" s="551"/>
      <c r="BA748" s="551"/>
      <c r="BB748" s="551"/>
      <c r="BC748" s="551"/>
      <c r="BD748" s="551"/>
      <c r="BE748" s="551"/>
      <c r="BF748" s="551"/>
    </row>
    <row r="749" spans="1:58" ht="12.75" customHeight="1">
      <c r="A749" s="551"/>
      <c r="B749" s="551"/>
      <c r="C749" s="551"/>
      <c r="D749" s="551"/>
      <c r="E749" s="551"/>
      <c r="F749" s="551"/>
      <c r="G749" s="551"/>
      <c r="H749" s="551"/>
      <c r="I749" s="551"/>
      <c r="J749" s="551"/>
      <c r="K749" s="551"/>
      <c r="L749" s="551"/>
      <c r="M749" s="551"/>
      <c r="N749" s="551"/>
      <c r="O749" s="551"/>
      <c r="P749" s="551"/>
      <c r="Q749" s="551"/>
      <c r="R749" s="551"/>
      <c r="S749" s="551"/>
      <c r="T749" s="551"/>
      <c r="U749" s="551"/>
      <c r="V749" s="551"/>
      <c r="W749" s="551"/>
      <c r="X749" s="551"/>
      <c r="Y749" s="551"/>
      <c r="Z749" s="551"/>
      <c r="AA749" s="551"/>
      <c r="AB749" s="551"/>
      <c r="AC749" s="551"/>
      <c r="AD749" s="551"/>
      <c r="AE749" s="551"/>
      <c r="AF749" s="551"/>
      <c r="AG749" s="551"/>
      <c r="AH749" s="551"/>
      <c r="AI749" s="551"/>
      <c r="AJ749" s="551"/>
      <c r="AK749" s="551"/>
      <c r="AL749" s="551"/>
      <c r="AM749" s="551"/>
      <c r="AN749" s="551"/>
      <c r="AO749" s="551"/>
      <c r="AP749" s="551"/>
      <c r="AQ749" s="551"/>
      <c r="AR749" s="551"/>
      <c r="AS749" s="551"/>
      <c r="AT749" s="551"/>
      <c r="AU749" s="551"/>
      <c r="AV749" s="551"/>
      <c r="AW749" s="551"/>
      <c r="AX749" s="551"/>
      <c r="AY749" s="551"/>
      <c r="AZ749" s="551"/>
      <c r="BA749" s="551"/>
      <c r="BB749" s="551"/>
      <c r="BC749" s="551"/>
      <c r="BD749" s="551"/>
      <c r="BE749" s="551"/>
      <c r="BF749" s="551"/>
    </row>
    <row r="750" spans="1:58" ht="12.75" customHeight="1">
      <c r="A750" s="551"/>
      <c r="B750" s="551"/>
      <c r="C750" s="551"/>
      <c r="D750" s="551"/>
      <c r="E750" s="551"/>
      <c r="F750" s="551"/>
      <c r="G750" s="551"/>
      <c r="H750" s="551"/>
      <c r="I750" s="551"/>
      <c r="J750" s="551"/>
      <c r="K750" s="551"/>
      <c r="L750" s="551"/>
      <c r="M750" s="551"/>
      <c r="N750" s="551"/>
      <c r="O750" s="551"/>
      <c r="P750" s="551"/>
      <c r="Q750" s="551"/>
      <c r="R750" s="551"/>
      <c r="S750" s="551"/>
      <c r="T750" s="551"/>
      <c r="U750" s="551"/>
      <c r="V750" s="551"/>
      <c r="W750" s="551"/>
      <c r="X750" s="551"/>
      <c r="Y750" s="551"/>
      <c r="Z750" s="551"/>
      <c r="AA750" s="551"/>
      <c r="AB750" s="551"/>
      <c r="AC750" s="551"/>
      <c r="AD750" s="551"/>
      <c r="AE750" s="551"/>
      <c r="AF750" s="551"/>
      <c r="AG750" s="551"/>
      <c r="AH750" s="551"/>
      <c r="AI750" s="551"/>
      <c r="AJ750" s="551"/>
      <c r="AK750" s="551"/>
      <c r="AL750" s="551"/>
      <c r="AM750" s="551"/>
      <c r="AN750" s="551"/>
      <c r="AO750" s="551"/>
      <c r="AP750" s="551"/>
      <c r="AQ750" s="551"/>
      <c r="AR750" s="551"/>
      <c r="AS750" s="551"/>
      <c r="AT750" s="551"/>
      <c r="AU750" s="551"/>
      <c r="AV750" s="551"/>
      <c r="AW750" s="551"/>
      <c r="AX750" s="551"/>
      <c r="AY750" s="551"/>
      <c r="AZ750" s="551"/>
      <c r="BA750" s="551"/>
      <c r="BB750" s="551"/>
      <c r="BC750" s="551"/>
      <c r="BD750" s="551"/>
      <c r="BE750" s="551"/>
      <c r="BF750" s="551"/>
    </row>
    <row r="751" spans="1:58" ht="12.75" customHeight="1">
      <c r="A751" s="551"/>
      <c r="B751" s="551"/>
      <c r="C751" s="551"/>
      <c r="D751" s="551"/>
      <c r="E751" s="551"/>
      <c r="F751" s="551"/>
      <c r="G751" s="551"/>
      <c r="H751" s="551"/>
      <c r="I751" s="551"/>
      <c r="J751" s="551"/>
      <c r="K751" s="551"/>
      <c r="L751" s="551"/>
      <c r="M751" s="551"/>
      <c r="N751" s="551"/>
      <c r="O751" s="551"/>
      <c r="P751" s="551"/>
      <c r="Q751" s="551"/>
      <c r="R751" s="551"/>
      <c r="S751" s="551"/>
      <c r="T751" s="551"/>
      <c r="U751" s="551"/>
      <c r="V751" s="551"/>
      <c r="W751" s="551"/>
      <c r="X751" s="551"/>
      <c r="Y751" s="551"/>
      <c r="Z751" s="551"/>
      <c r="AA751" s="551"/>
      <c r="AB751" s="551"/>
      <c r="AC751" s="551"/>
      <c r="AD751" s="551"/>
      <c r="AE751" s="551"/>
      <c r="AF751" s="551"/>
      <c r="AG751" s="551"/>
      <c r="AH751" s="551"/>
      <c r="AI751" s="551"/>
      <c r="AJ751" s="551"/>
      <c r="AK751" s="551"/>
      <c r="AL751" s="551"/>
      <c r="AM751" s="551"/>
      <c r="AN751" s="551"/>
      <c r="AO751" s="551"/>
      <c r="AP751" s="551"/>
      <c r="AQ751" s="551"/>
      <c r="AR751" s="551"/>
      <c r="AS751" s="551"/>
      <c r="AT751" s="551"/>
      <c r="AU751" s="551"/>
      <c r="AV751" s="551"/>
      <c r="AW751" s="551"/>
      <c r="AX751" s="551"/>
      <c r="AY751" s="551"/>
      <c r="AZ751" s="551"/>
      <c r="BA751" s="551"/>
      <c r="BB751" s="551"/>
      <c r="BC751" s="551"/>
      <c r="BD751" s="551"/>
      <c r="BE751" s="551"/>
      <c r="BF751" s="551"/>
    </row>
    <row r="752" spans="1:58" ht="12.75" customHeight="1">
      <c r="A752" s="551"/>
      <c r="B752" s="551"/>
      <c r="C752" s="551"/>
      <c r="D752" s="551"/>
      <c r="E752" s="551"/>
      <c r="F752" s="551"/>
      <c r="G752" s="551"/>
      <c r="H752" s="551"/>
      <c r="I752" s="551"/>
      <c r="J752" s="551"/>
      <c r="K752" s="551"/>
      <c r="L752" s="551"/>
      <c r="M752" s="551"/>
      <c r="N752" s="551"/>
      <c r="O752" s="551"/>
      <c r="P752" s="551"/>
      <c r="Q752" s="551"/>
      <c r="R752" s="551"/>
      <c r="S752" s="551"/>
      <c r="T752" s="551"/>
      <c r="U752" s="551"/>
      <c r="V752" s="551"/>
      <c r="W752" s="551"/>
      <c r="X752" s="551"/>
      <c r="Y752" s="551"/>
      <c r="Z752" s="551"/>
      <c r="AA752" s="551"/>
      <c r="AB752" s="551"/>
      <c r="AC752" s="551"/>
      <c r="AD752" s="551"/>
      <c r="AE752" s="551"/>
      <c r="AF752" s="551"/>
      <c r="AG752" s="551"/>
      <c r="AH752" s="551"/>
      <c r="AI752" s="551"/>
      <c r="AJ752" s="551"/>
      <c r="AK752" s="551"/>
      <c r="AL752" s="551"/>
      <c r="AM752" s="551"/>
      <c r="AN752" s="551"/>
      <c r="AO752" s="551"/>
      <c r="AP752" s="551"/>
      <c r="AQ752" s="551"/>
      <c r="AR752" s="551"/>
      <c r="AS752" s="551"/>
      <c r="AT752" s="551"/>
      <c r="AU752" s="551"/>
      <c r="AV752" s="551"/>
      <c r="AW752" s="551"/>
      <c r="AX752" s="551"/>
      <c r="AY752" s="551"/>
      <c r="AZ752" s="551"/>
      <c r="BA752" s="551"/>
      <c r="BB752" s="551"/>
      <c r="BC752" s="551"/>
      <c r="BD752" s="551"/>
      <c r="BE752" s="551"/>
      <c r="BF752" s="551"/>
    </row>
    <row r="753" spans="1:58" ht="12.75" customHeight="1">
      <c r="A753" s="551"/>
      <c r="B753" s="551"/>
      <c r="C753" s="551"/>
      <c r="D753" s="551"/>
      <c r="E753" s="551"/>
      <c r="F753" s="551"/>
      <c r="G753" s="551"/>
      <c r="H753" s="551"/>
      <c r="I753" s="551"/>
      <c r="J753" s="551"/>
      <c r="K753" s="551"/>
      <c r="L753" s="551"/>
      <c r="M753" s="551"/>
      <c r="N753" s="551"/>
      <c r="O753" s="551"/>
      <c r="P753" s="551"/>
      <c r="Q753" s="551"/>
      <c r="R753" s="551"/>
      <c r="S753" s="551"/>
      <c r="T753" s="551"/>
      <c r="U753" s="551"/>
      <c r="V753" s="551"/>
      <c r="W753" s="551"/>
      <c r="X753" s="551"/>
      <c r="Y753" s="551"/>
      <c r="Z753" s="551"/>
      <c r="AA753" s="551"/>
      <c r="AB753" s="551"/>
      <c r="AC753" s="551"/>
      <c r="AD753" s="551"/>
      <c r="AE753" s="551"/>
      <c r="AF753" s="551"/>
      <c r="AG753" s="551"/>
      <c r="AH753" s="551"/>
      <c r="AI753" s="551"/>
      <c r="AJ753" s="551"/>
      <c r="AK753" s="551"/>
      <c r="AL753" s="551"/>
      <c r="AM753" s="551"/>
      <c r="AN753" s="551"/>
      <c r="AO753" s="551"/>
      <c r="AP753" s="551"/>
      <c r="AQ753" s="551"/>
      <c r="AR753" s="551"/>
      <c r="AS753" s="551"/>
      <c r="AT753" s="551"/>
      <c r="AU753" s="551"/>
      <c r="AV753" s="551"/>
      <c r="AW753" s="551"/>
      <c r="AX753" s="551"/>
      <c r="AY753" s="551"/>
      <c r="AZ753" s="551"/>
      <c r="BA753" s="551"/>
      <c r="BB753" s="551"/>
      <c r="BC753" s="551"/>
      <c r="BD753" s="551"/>
      <c r="BE753" s="551"/>
      <c r="BF753" s="551"/>
    </row>
    <row r="754" spans="1:58" ht="12.75" customHeight="1">
      <c r="A754" s="551"/>
      <c r="B754" s="551"/>
      <c r="C754" s="551"/>
      <c r="D754" s="551"/>
      <c r="E754" s="551"/>
      <c r="F754" s="551"/>
      <c r="G754" s="551"/>
      <c r="H754" s="551"/>
      <c r="I754" s="551"/>
      <c r="J754" s="551"/>
      <c r="K754" s="551"/>
      <c r="L754" s="551"/>
      <c r="M754" s="551"/>
      <c r="N754" s="551"/>
      <c r="O754" s="551"/>
      <c r="P754" s="551"/>
      <c r="Q754" s="551"/>
      <c r="R754" s="551"/>
      <c r="S754" s="551"/>
      <c r="T754" s="551"/>
      <c r="U754" s="551"/>
      <c r="V754" s="551"/>
      <c r="W754" s="551"/>
      <c r="X754" s="551"/>
      <c r="Y754" s="551"/>
      <c r="Z754" s="551"/>
      <c r="AA754" s="551"/>
      <c r="AB754" s="551"/>
      <c r="AC754" s="551"/>
      <c r="AD754" s="551"/>
      <c r="AE754" s="551"/>
      <c r="AF754" s="551"/>
      <c r="AG754" s="551"/>
      <c r="AH754" s="551"/>
      <c r="AI754" s="551"/>
      <c r="AJ754" s="551"/>
      <c r="AK754" s="551"/>
      <c r="AL754" s="551"/>
      <c r="AM754" s="551"/>
      <c r="AN754" s="551"/>
      <c r="AO754" s="551"/>
      <c r="AP754" s="551"/>
      <c r="AQ754" s="551"/>
      <c r="AR754" s="551"/>
      <c r="AS754" s="551"/>
      <c r="AT754" s="551"/>
      <c r="AU754" s="551"/>
      <c r="AV754" s="551"/>
      <c r="AW754" s="551"/>
      <c r="AX754" s="551"/>
      <c r="AY754" s="551"/>
      <c r="AZ754" s="551"/>
      <c r="BA754" s="551"/>
      <c r="BB754" s="551"/>
      <c r="BC754" s="551"/>
      <c r="BD754" s="551"/>
      <c r="BE754" s="551"/>
      <c r="BF754" s="551"/>
    </row>
    <row r="755" spans="1:58" ht="12.75" customHeight="1">
      <c r="A755" s="551"/>
      <c r="B755" s="551"/>
      <c r="C755" s="551"/>
      <c r="D755" s="551"/>
      <c r="E755" s="551"/>
      <c r="F755" s="551"/>
      <c r="G755" s="551"/>
      <c r="H755" s="551"/>
      <c r="I755" s="551"/>
      <c r="J755" s="551"/>
      <c r="K755" s="551"/>
      <c r="L755" s="551"/>
      <c r="M755" s="551"/>
      <c r="N755" s="551"/>
      <c r="O755" s="551"/>
      <c r="P755" s="551"/>
      <c r="Q755" s="551"/>
      <c r="R755" s="551"/>
      <c r="S755" s="551"/>
      <c r="T755" s="551"/>
      <c r="U755" s="551"/>
      <c r="V755" s="551"/>
      <c r="W755" s="551"/>
      <c r="X755" s="551"/>
      <c r="Y755" s="551"/>
      <c r="Z755" s="551"/>
      <c r="AA755" s="551"/>
      <c r="AB755" s="551"/>
      <c r="AC755" s="551"/>
      <c r="AD755" s="551"/>
      <c r="AE755" s="551"/>
      <c r="AF755" s="551"/>
      <c r="AG755" s="551"/>
      <c r="AH755" s="551"/>
      <c r="AI755" s="551"/>
      <c r="AJ755" s="551"/>
      <c r="AK755" s="551"/>
      <c r="AL755" s="551"/>
      <c r="AM755" s="551"/>
      <c r="AN755" s="551"/>
      <c r="AO755" s="551"/>
      <c r="AP755" s="551"/>
      <c r="AQ755" s="551"/>
      <c r="AR755" s="551"/>
      <c r="AS755" s="551"/>
      <c r="AT755" s="551"/>
      <c r="AU755" s="551"/>
      <c r="AV755" s="551"/>
      <c r="AW755" s="551"/>
      <c r="AX755" s="551"/>
      <c r="AY755" s="551"/>
      <c r="AZ755" s="551"/>
      <c r="BA755" s="551"/>
      <c r="BB755" s="551"/>
      <c r="BC755" s="551"/>
      <c r="BD755" s="551"/>
      <c r="BE755" s="551"/>
      <c r="BF755" s="551"/>
    </row>
    <row r="756" spans="1:58" ht="12.75" customHeight="1">
      <c r="A756" s="551"/>
      <c r="B756" s="551"/>
      <c r="C756" s="551"/>
      <c r="D756" s="551"/>
      <c r="E756" s="551"/>
      <c r="F756" s="551"/>
      <c r="G756" s="551"/>
      <c r="H756" s="551"/>
      <c r="I756" s="551"/>
      <c r="J756" s="551"/>
      <c r="K756" s="551"/>
      <c r="L756" s="551"/>
      <c r="M756" s="551"/>
      <c r="N756" s="551"/>
      <c r="O756" s="551"/>
      <c r="P756" s="551"/>
      <c r="Q756" s="551"/>
      <c r="R756" s="551"/>
      <c r="S756" s="551"/>
      <c r="T756" s="551"/>
      <c r="U756" s="551"/>
      <c r="V756" s="551"/>
      <c r="W756" s="551"/>
      <c r="X756" s="551"/>
      <c r="Y756" s="551"/>
      <c r="Z756" s="551"/>
      <c r="AA756" s="551"/>
      <c r="AB756" s="551"/>
      <c r="AC756" s="551"/>
      <c r="AD756" s="551"/>
      <c r="AE756" s="551"/>
      <c r="AF756" s="551"/>
      <c r="AG756" s="551"/>
      <c r="AH756" s="551"/>
      <c r="AI756" s="551"/>
      <c r="AJ756" s="551"/>
      <c r="AK756" s="551"/>
      <c r="AL756" s="551"/>
      <c r="AM756" s="551"/>
      <c r="AN756" s="551"/>
      <c r="AO756" s="551"/>
      <c r="AP756" s="551"/>
      <c r="AQ756" s="551"/>
      <c r="AR756" s="551"/>
      <c r="AS756" s="551"/>
      <c r="AT756" s="551"/>
      <c r="AU756" s="551"/>
      <c r="AV756" s="551"/>
      <c r="AW756" s="551"/>
      <c r="AX756" s="551"/>
      <c r="AY756" s="551"/>
      <c r="AZ756" s="551"/>
      <c r="BA756" s="551"/>
      <c r="BB756" s="551"/>
      <c r="BC756" s="551"/>
      <c r="BD756" s="551"/>
      <c r="BE756" s="551"/>
      <c r="BF756" s="551"/>
    </row>
    <row r="757" spans="1:58" ht="12.75" customHeight="1">
      <c r="A757" s="551"/>
      <c r="B757" s="551"/>
      <c r="C757" s="551"/>
      <c r="D757" s="551"/>
      <c r="E757" s="551"/>
      <c r="F757" s="551"/>
      <c r="G757" s="551"/>
      <c r="H757" s="551"/>
      <c r="I757" s="551"/>
      <c r="J757" s="551"/>
      <c r="K757" s="551"/>
      <c r="L757" s="551"/>
      <c r="M757" s="551"/>
      <c r="N757" s="551"/>
      <c r="O757" s="551"/>
      <c r="P757" s="551"/>
      <c r="Q757" s="551"/>
      <c r="R757" s="551"/>
      <c r="S757" s="551"/>
      <c r="T757" s="551"/>
      <c r="U757" s="551"/>
      <c r="V757" s="551"/>
      <c r="W757" s="551"/>
      <c r="X757" s="551"/>
      <c r="Y757" s="551"/>
      <c r="Z757" s="551"/>
      <c r="AA757" s="551"/>
      <c r="AB757" s="551"/>
      <c r="AC757" s="551"/>
      <c r="AD757" s="551"/>
      <c r="AE757" s="551"/>
      <c r="AF757" s="551"/>
      <c r="AG757" s="551"/>
      <c r="AH757" s="551"/>
      <c r="AI757" s="551"/>
      <c r="AJ757" s="551"/>
      <c r="AK757" s="551"/>
      <c r="AL757" s="551"/>
      <c r="AM757" s="551"/>
      <c r="AN757" s="551"/>
      <c r="AO757" s="551"/>
      <c r="AP757" s="551"/>
      <c r="AQ757" s="551"/>
      <c r="AR757" s="551"/>
      <c r="AS757" s="551"/>
      <c r="AT757" s="551"/>
      <c r="AU757" s="551"/>
      <c r="AV757" s="551"/>
      <c r="AW757" s="551"/>
      <c r="AX757" s="551"/>
      <c r="AY757" s="551"/>
      <c r="AZ757" s="551"/>
      <c r="BA757" s="551"/>
      <c r="BB757" s="551"/>
      <c r="BC757" s="551"/>
      <c r="BD757" s="551"/>
      <c r="BE757" s="551"/>
      <c r="BF757" s="551"/>
    </row>
    <row r="758" spans="1:58" ht="12.75" customHeight="1">
      <c r="A758" s="551"/>
      <c r="B758" s="551"/>
      <c r="C758" s="551"/>
      <c r="D758" s="551"/>
      <c r="E758" s="551"/>
      <c r="F758" s="551"/>
      <c r="G758" s="551"/>
      <c r="H758" s="551"/>
      <c r="I758" s="551"/>
      <c r="J758" s="551"/>
      <c r="K758" s="551"/>
      <c r="L758" s="551"/>
      <c r="M758" s="551"/>
      <c r="N758" s="551"/>
      <c r="O758" s="551"/>
      <c r="P758" s="551"/>
      <c r="Q758" s="551"/>
      <c r="R758" s="551"/>
      <c r="S758" s="551"/>
      <c r="T758" s="551"/>
      <c r="U758" s="551"/>
      <c r="V758" s="551"/>
      <c r="W758" s="551"/>
      <c r="X758" s="551"/>
      <c r="Y758" s="551"/>
      <c r="Z758" s="551"/>
      <c r="AA758" s="551"/>
      <c r="AB758" s="551"/>
      <c r="AC758" s="551"/>
      <c r="AD758" s="551"/>
      <c r="AE758" s="551"/>
      <c r="AF758" s="551"/>
      <c r="AG758" s="551"/>
      <c r="AH758" s="551"/>
      <c r="AI758" s="551"/>
      <c r="AJ758" s="551"/>
      <c r="AK758" s="551"/>
      <c r="AL758" s="551"/>
      <c r="AM758" s="551"/>
      <c r="AN758" s="551"/>
      <c r="AO758" s="551"/>
      <c r="AP758" s="551"/>
      <c r="AQ758" s="551"/>
      <c r="AR758" s="551"/>
      <c r="AS758" s="551"/>
      <c r="AT758" s="551"/>
      <c r="AU758" s="551"/>
      <c r="AV758" s="551"/>
      <c r="AW758" s="551"/>
      <c r="AX758" s="551"/>
      <c r="AY758" s="551"/>
      <c r="AZ758" s="551"/>
      <c r="BA758" s="551"/>
      <c r="BB758" s="551"/>
      <c r="BC758" s="551"/>
      <c r="BD758" s="551"/>
      <c r="BE758" s="551"/>
      <c r="BF758" s="551"/>
    </row>
    <row r="759" spans="1:58" ht="12.75" customHeight="1">
      <c r="A759" s="551"/>
      <c r="B759" s="551"/>
      <c r="C759" s="551"/>
      <c r="D759" s="551"/>
      <c r="E759" s="551"/>
      <c r="F759" s="551"/>
      <c r="G759" s="551"/>
      <c r="H759" s="551"/>
      <c r="I759" s="551"/>
      <c r="J759" s="551"/>
      <c r="K759" s="551"/>
      <c r="L759" s="551"/>
      <c r="M759" s="551"/>
      <c r="N759" s="551"/>
      <c r="O759" s="551"/>
      <c r="P759" s="551"/>
      <c r="Q759" s="551"/>
      <c r="R759" s="551"/>
      <c r="S759" s="551"/>
      <c r="T759" s="551"/>
      <c r="U759" s="551"/>
      <c r="V759" s="551"/>
      <c r="W759" s="551"/>
      <c r="X759" s="551"/>
      <c r="Y759" s="551"/>
      <c r="Z759" s="551"/>
      <c r="AA759" s="551"/>
      <c r="AB759" s="551"/>
      <c r="AC759" s="551"/>
      <c r="AD759" s="551"/>
      <c r="AE759" s="551"/>
      <c r="AF759" s="551"/>
      <c r="AG759" s="551"/>
      <c r="AH759" s="551"/>
      <c r="AI759" s="551"/>
      <c r="AJ759" s="551"/>
      <c r="AK759" s="551"/>
      <c r="AL759" s="551"/>
      <c r="AM759" s="551"/>
      <c r="AN759" s="551"/>
      <c r="AO759" s="551"/>
      <c r="AP759" s="551"/>
      <c r="AQ759" s="551"/>
      <c r="AR759" s="551"/>
      <c r="AS759" s="551"/>
      <c r="AT759" s="551"/>
      <c r="AU759" s="551"/>
      <c r="AV759" s="551"/>
      <c r="AW759" s="551"/>
      <c r="AX759" s="551"/>
      <c r="AY759" s="551"/>
      <c r="AZ759" s="551"/>
      <c r="BA759" s="551"/>
      <c r="BB759" s="551"/>
      <c r="BC759" s="551"/>
      <c r="BD759" s="551"/>
      <c r="BE759" s="551"/>
      <c r="BF759" s="551"/>
    </row>
    <row r="760" spans="1:58" ht="12.75" customHeight="1">
      <c r="A760" s="551"/>
      <c r="B760" s="551"/>
      <c r="C760" s="551"/>
      <c r="D760" s="551"/>
      <c r="E760" s="551"/>
      <c r="F760" s="551"/>
      <c r="G760" s="551"/>
      <c r="H760" s="551"/>
      <c r="I760" s="551"/>
      <c r="J760" s="551"/>
      <c r="K760" s="551"/>
      <c r="L760" s="551"/>
      <c r="M760" s="551"/>
      <c r="N760" s="551"/>
      <c r="O760" s="551"/>
      <c r="P760" s="551"/>
      <c r="Q760" s="551"/>
      <c r="R760" s="551"/>
      <c r="S760" s="551"/>
      <c r="T760" s="551"/>
      <c r="U760" s="551"/>
      <c r="V760" s="551"/>
      <c r="W760" s="551"/>
      <c r="X760" s="551"/>
      <c r="Y760" s="551"/>
      <c r="Z760" s="551"/>
      <c r="AA760" s="551"/>
      <c r="AB760" s="551"/>
      <c r="AC760" s="551"/>
      <c r="AD760" s="551"/>
      <c r="AE760" s="551"/>
      <c r="AF760" s="551"/>
      <c r="AG760" s="551"/>
      <c r="AH760" s="551"/>
      <c r="AI760" s="551"/>
      <c r="AJ760" s="551"/>
      <c r="AK760" s="551"/>
      <c r="AL760" s="551"/>
      <c r="AM760" s="551"/>
      <c r="AN760" s="551"/>
      <c r="AO760" s="551"/>
      <c r="AP760" s="551"/>
      <c r="AQ760" s="551"/>
      <c r="AR760" s="551"/>
      <c r="AS760" s="551"/>
      <c r="AT760" s="551"/>
      <c r="AU760" s="551"/>
      <c r="AV760" s="551"/>
      <c r="AW760" s="551"/>
      <c r="AX760" s="551"/>
      <c r="AY760" s="551"/>
      <c r="AZ760" s="551"/>
      <c r="BA760" s="551"/>
      <c r="BB760" s="551"/>
      <c r="BC760" s="551"/>
      <c r="BD760" s="551"/>
      <c r="BE760" s="551"/>
      <c r="BF760" s="551"/>
    </row>
    <row r="761" spans="1:58" ht="12.75" customHeight="1">
      <c r="A761" s="551"/>
      <c r="B761" s="551"/>
      <c r="C761" s="551"/>
      <c r="D761" s="551"/>
      <c r="E761" s="551"/>
      <c r="F761" s="551"/>
      <c r="G761" s="551"/>
      <c r="H761" s="551"/>
      <c r="I761" s="551"/>
      <c r="J761" s="551"/>
      <c r="K761" s="551"/>
      <c r="L761" s="551"/>
      <c r="M761" s="551"/>
      <c r="N761" s="551"/>
      <c r="O761" s="551"/>
      <c r="P761" s="551"/>
      <c r="Q761" s="551"/>
      <c r="R761" s="551"/>
      <c r="S761" s="551"/>
      <c r="T761" s="551"/>
      <c r="U761" s="551"/>
      <c r="V761" s="551"/>
      <c r="W761" s="551"/>
      <c r="X761" s="551"/>
      <c r="Y761" s="551"/>
      <c r="Z761" s="551"/>
      <c r="AA761" s="551"/>
      <c r="AB761" s="551"/>
      <c r="AC761" s="551"/>
      <c r="AD761" s="551"/>
      <c r="AE761" s="551"/>
      <c r="AF761" s="551"/>
      <c r="AG761" s="551"/>
      <c r="AH761" s="551"/>
      <c r="AI761" s="551"/>
      <c r="AJ761" s="551"/>
      <c r="AK761" s="551"/>
      <c r="AL761" s="551"/>
      <c r="AM761" s="551"/>
      <c r="AN761" s="551"/>
      <c r="AO761" s="551"/>
      <c r="AP761" s="551"/>
      <c r="AQ761" s="551"/>
      <c r="AR761" s="551"/>
      <c r="AS761" s="551"/>
      <c r="AT761" s="551"/>
      <c r="AU761" s="551"/>
      <c r="AV761" s="551"/>
      <c r="AW761" s="551"/>
      <c r="AX761" s="551"/>
      <c r="AY761" s="551"/>
      <c r="AZ761" s="551"/>
      <c r="BA761" s="551"/>
      <c r="BB761" s="551"/>
      <c r="BC761" s="551"/>
      <c r="BD761" s="551"/>
      <c r="BE761" s="551"/>
      <c r="BF761" s="551"/>
    </row>
    <row r="762" spans="1:58" ht="12.75" customHeight="1">
      <c r="A762" s="551"/>
      <c r="B762" s="551"/>
      <c r="C762" s="551"/>
      <c r="D762" s="551"/>
      <c r="E762" s="551"/>
      <c r="F762" s="551"/>
      <c r="G762" s="551"/>
      <c r="H762" s="551"/>
      <c r="I762" s="551"/>
      <c r="J762" s="551"/>
      <c r="K762" s="551"/>
      <c r="L762" s="551"/>
      <c r="M762" s="551"/>
      <c r="N762" s="551"/>
      <c r="O762" s="551"/>
      <c r="P762" s="551"/>
      <c r="Q762" s="551"/>
      <c r="R762" s="551"/>
      <c r="S762" s="551"/>
      <c r="T762" s="551"/>
      <c r="U762" s="551"/>
      <c r="V762" s="551"/>
      <c r="W762" s="551"/>
      <c r="X762" s="551"/>
      <c r="Y762" s="551"/>
      <c r="Z762" s="551"/>
      <c r="AA762" s="551"/>
      <c r="AB762" s="551"/>
      <c r="AC762" s="551"/>
      <c r="AD762" s="551"/>
      <c r="AE762" s="551"/>
      <c r="AF762" s="551"/>
      <c r="AG762" s="551"/>
      <c r="AH762" s="551"/>
      <c r="AI762" s="551"/>
      <c r="AJ762" s="551"/>
      <c r="AK762" s="551"/>
      <c r="AL762" s="551"/>
      <c r="AM762" s="551"/>
      <c r="AN762" s="551"/>
      <c r="AO762" s="551"/>
      <c r="AP762" s="551"/>
      <c r="AQ762" s="551"/>
      <c r="AR762" s="551"/>
      <c r="AS762" s="551"/>
      <c r="AT762" s="551"/>
      <c r="AU762" s="551"/>
      <c r="AV762" s="551"/>
      <c r="AW762" s="551"/>
      <c r="AX762" s="551"/>
      <c r="AY762" s="551"/>
      <c r="AZ762" s="551"/>
      <c r="BA762" s="551"/>
      <c r="BB762" s="551"/>
      <c r="BC762" s="551"/>
      <c r="BD762" s="551"/>
      <c r="BE762" s="551"/>
      <c r="BF762" s="551"/>
    </row>
    <row r="763" spans="1:58" ht="12.75" customHeight="1">
      <c r="A763" s="551"/>
      <c r="B763" s="551"/>
      <c r="C763" s="551"/>
      <c r="D763" s="551"/>
      <c r="E763" s="551"/>
      <c r="F763" s="551"/>
      <c r="G763" s="551"/>
      <c r="H763" s="551"/>
      <c r="I763" s="551"/>
      <c r="J763" s="551"/>
      <c r="K763" s="551"/>
      <c r="L763" s="551"/>
      <c r="M763" s="551"/>
      <c r="N763" s="551"/>
      <c r="O763" s="551"/>
      <c r="P763" s="551"/>
      <c r="Q763" s="551"/>
      <c r="R763" s="551"/>
      <c r="S763" s="551"/>
      <c r="T763" s="551"/>
      <c r="U763" s="551"/>
      <c r="V763" s="551"/>
      <c r="W763" s="551"/>
      <c r="X763" s="551"/>
      <c r="Y763" s="551"/>
      <c r="Z763" s="551"/>
      <c r="AA763" s="551"/>
      <c r="AB763" s="551"/>
      <c r="AC763" s="551"/>
      <c r="AD763" s="551"/>
      <c r="AE763" s="551"/>
      <c r="AF763" s="551"/>
      <c r="AG763" s="551"/>
      <c r="AH763" s="551"/>
      <c r="AI763" s="551"/>
      <c r="AJ763" s="551"/>
      <c r="AK763" s="551"/>
      <c r="AL763" s="551"/>
      <c r="AM763" s="551"/>
      <c r="AN763" s="551"/>
      <c r="AO763" s="551"/>
      <c r="AP763" s="551"/>
      <c r="AQ763" s="551"/>
      <c r="AR763" s="551"/>
      <c r="AS763" s="551"/>
      <c r="AT763" s="551"/>
      <c r="AU763" s="551"/>
      <c r="AV763" s="551"/>
      <c r="AW763" s="551"/>
      <c r="AX763" s="551"/>
      <c r="AY763" s="551"/>
      <c r="AZ763" s="551"/>
      <c r="BA763" s="551"/>
      <c r="BB763" s="551"/>
      <c r="BC763" s="551"/>
      <c r="BD763" s="551"/>
      <c r="BE763" s="551"/>
      <c r="BF763" s="551"/>
    </row>
    <row r="764" spans="1:58" ht="12.75" customHeight="1">
      <c r="A764" s="551"/>
      <c r="B764" s="551"/>
      <c r="C764" s="551"/>
      <c r="D764" s="551"/>
      <c r="E764" s="551"/>
      <c r="F764" s="551"/>
      <c r="G764" s="551"/>
      <c r="H764" s="551"/>
      <c r="I764" s="551"/>
      <c r="J764" s="551"/>
      <c r="K764" s="551"/>
      <c r="L764" s="551"/>
      <c r="M764" s="551"/>
      <c r="N764" s="551"/>
      <c r="O764" s="551"/>
      <c r="P764" s="551"/>
      <c r="Q764" s="551"/>
      <c r="R764" s="551"/>
      <c r="S764" s="551"/>
      <c r="T764" s="551"/>
      <c r="U764" s="551"/>
      <c r="V764" s="551"/>
      <c r="W764" s="551"/>
      <c r="X764" s="551"/>
      <c r="Y764" s="551"/>
      <c r="Z764" s="551"/>
      <c r="AA764" s="551"/>
      <c r="AB764" s="551"/>
      <c r="AC764" s="551"/>
      <c r="AD764" s="551"/>
      <c r="AE764" s="551"/>
      <c r="AF764" s="551"/>
      <c r="AG764" s="551"/>
      <c r="AH764" s="551"/>
      <c r="AI764" s="551"/>
      <c r="AJ764" s="551"/>
      <c r="AK764" s="551"/>
      <c r="AL764" s="551"/>
      <c r="AM764" s="551"/>
      <c r="AN764" s="551"/>
      <c r="AO764" s="551"/>
      <c r="AP764" s="551"/>
      <c r="AQ764" s="551"/>
      <c r="AR764" s="551"/>
      <c r="AS764" s="551"/>
      <c r="AT764" s="551"/>
      <c r="AU764" s="551"/>
      <c r="AV764" s="551"/>
      <c r="AW764" s="551"/>
      <c r="AX764" s="551"/>
      <c r="AY764" s="551"/>
      <c r="AZ764" s="551"/>
      <c r="BA764" s="551"/>
      <c r="BB764" s="551"/>
      <c r="BC764" s="551"/>
      <c r="BD764" s="551"/>
      <c r="BE764" s="551"/>
      <c r="BF764" s="551"/>
    </row>
    <row r="765" spans="1:58" ht="12.75" customHeight="1">
      <c r="A765" s="551"/>
      <c r="B765" s="551"/>
      <c r="C765" s="551"/>
      <c r="D765" s="551"/>
      <c r="E765" s="551"/>
      <c r="F765" s="551"/>
      <c r="G765" s="551"/>
      <c r="H765" s="551"/>
      <c r="I765" s="551"/>
      <c r="J765" s="551"/>
      <c r="K765" s="551"/>
      <c r="L765" s="551"/>
      <c r="M765" s="551"/>
      <c r="N765" s="551"/>
      <c r="O765" s="551"/>
      <c r="P765" s="551"/>
      <c r="Q765" s="551"/>
      <c r="R765" s="551"/>
      <c r="S765" s="551"/>
      <c r="T765" s="551"/>
      <c r="U765" s="551"/>
      <c r="V765" s="551"/>
      <c r="W765" s="551"/>
      <c r="X765" s="551"/>
      <c r="Y765" s="551"/>
      <c r="Z765" s="551"/>
      <c r="AA765" s="551"/>
      <c r="AB765" s="551"/>
      <c r="AC765" s="551"/>
      <c r="AD765" s="551"/>
      <c r="AE765" s="551"/>
      <c r="AF765" s="551"/>
      <c r="AG765" s="551"/>
      <c r="AH765" s="551"/>
      <c r="AI765" s="551"/>
      <c r="AJ765" s="551"/>
      <c r="AK765" s="551"/>
      <c r="AL765" s="551"/>
      <c r="AM765" s="551"/>
      <c r="AN765" s="551"/>
      <c r="AO765" s="551"/>
      <c r="AP765" s="551"/>
      <c r="AQ765" s="551"/>
      <c r="AR765" s="551"/>
      <c r="AS765" s="551"/>
      <c r="AT765" s="551"/>
      <c r="AU765" s="551"/>
      <c r="AV765" s="551"/>
      <c r="AW765" s="551"/>
      <c r="AX765" s="551"/>
      <c r="AY765" s="551"/>
      <c r="AZ765" s="551"/>
      <c r="BA765" s="551"/>
      <c r="BB765" s="551"/>
      <c r="BC765" s="551"/>
      <c r="BD765" s="551"/>
      <c r="BE765" s="551"/>
      <c r="BF765" s="551"/>
    </row>
    <row r="766" spans="1:58" ht="12.75" customHeight="1">
      <c r="A766" s="551"/>
      <c r="B766" s="551"/>
      <c r="C766" s="551"/>
      <c r="D766" s="551"/>
      <c r="E766" s="551"/>
      <c r="F766" s="551"/>
      <c r="G766" s="551"/>
      <c r="H766" s="551"/>
      <c r="I766" s="551"/>
      <c r="J766" s="551"/>
      <c r="K766" s="551"/>
      <c r="L766" s="551"/>
      <c r="M766" s="551"/>
      <c r="N766" s="551"/>
      <c r="O766" s="551"/>
      <c r="P766" s="551"/>
      <c r="Q766" s="551"/>
      <c r="R766" s="551"/>
      <c r="S766" s="551"/>
      <c r="T766" s="551"/>
      <c r="U766" s="551"/>
      <c r="V766" s="551"/>
      <c r="W766" s="551"/>
      <c r="X766" s="551"/>
      <c r="Y766" s="551"/>
      <c r="Z766" s="551"/>
      <c r="AA766" s="551"/>
      <c r="AB766" s="551"/>
      <c r="AC766" s="551"/>
      <c r="AD766" s="551"/>
      <c r="AE766" s="551"/>
      <c r="AF766" s="551"/>
      <c r="AG766" s="551"/>
      <c r="AH766" s="551"/>
      <c r="AI766" s="551"/>
      <c r="AJ766" s="551"/>
      <c r="AK766" s="551"/>
      <c r="AL766" s="551"/>
      <c r="AM766" s="551"/>
      <c r="AN766" s="551"/>
      <c r="AO766" s="551"/>
      <c r="AP766" s="551"/>
      <c r="AQ766" s="551"/>
      <c r="AR766" s="551"/>
      <c r="AS766" s="551"/>
      <c r="AT766" s="551"/>
      <c r="AU766" s="551"/>
      <c r="AV766" s="551"/>
      <c r="AW766" s="551"/>
      <c r="AX766" s="551"/>
      <c r="AY766" s="551"/>
      <c r="AZ766" s="551"/>
      <c r="BA766" s="551"/>
      <c r="BB766" s="551"/>
      <c r="BC766" s="551"/>
      <c r="BD766" s="551"/>
      <c r="BE766" s="551"/>
      <c r="BF766" s="551"/>
    </row>
    <row r="767" spans="1:58" ht="12.75" customHeight="1">
      <c r="A767" s="551"/>
      <c r="B767" s="551"/>
      <c r="C767" s="551"/>
      <c r="D767" s="551"/>
      <c r="E767" s="551"/>
      <c r="F767" s="551"/>
      <c r="G767" s="551"/>
      <c r="H767" s="551"/>
      <c r="I767" s="551"/>
      <c r="J767" s="551"/>
      <c r="K767" s="551"/>
      <c r="L767" s="551"/>
      <c r="M767" s="551"/>
      <c r="N767" s="551"/>
      <c r="O767" s="551"/>
      <c r="P767" s="551"/>
      <c r="Q767" s="551"/>
      <c r="R767" s="551"/>
      <c r="S767" s="551"/>
      <c r="T767" s="551"/>
      <c r="U767" s="551"/>
      <c r="V767" s="551"/>
      <c r="W767" s="551"/>
      <c r="X767" s="551"/>
      <c r="Y767" s="551"/>
      <c r="Z767" s="551"/>
      <c r="AA767" s="551"/>
      <c r="AB767" s="551"/>
      <c r="AC767" s="551"/>
      <c r="AD767" s="551"/>
      <c r="AE767" s="551"/>
      <c r="AF767" s="551"/>
      <c r="AG767" s="551"/>
      <c r="AH767" s="551"/>
      <c r="AI767" s="551"/>
      <c r="AJ767" s="551"/>
      <c r="AK767" s="551"/>
      <c r="AL767" s="551"/>
      <c r="AM767" s="551"/>
      <c r="AN767" s="551"/>
      <c r="AO767" s="551"/>
      <c r="AP767" s="551"/>
      <c r="AQ767" s="551"/>
      <c r="AR767" s="551"/>
      <c r="AS767" s="551"/>
      <c r="AT767" s="551"/>
      <c r="AU767" s="551"/>
      <c r="AV767" s="551"/>
      <c r="AW767" s="551"/>
      <c r="AX767" s="551"/>
      <c r="AY767" s="551"/>
      <c r="AZ767" s="551"/>
      <c r="BA767" s="551"/>
      <c r="BB767" s="551"/>
      <c r="BC767" s="551"/>
      <c r="BD767" s="551"/>
      <c r="BE767" s="551"/>
      <c r="BF767" s="551"/>
    </row>
    <row r="768" spans="1:58" ht="12.75" customHeight="1">
      <c r="A768" s="551"/>
      <c r="B768" s="551"/>
      <c r="C768" s="551"/>
      <c r="D768" s="551"/>
      <c r="E768" s="551"/>
      <c r="F768" s="551"/>
      <c r="G768" s="551"/>
      <c r="H768" s="551"/>
      <c r="I768" s="551"/>
      <c r="J768" s="551"/>
      <c r="K768" s="551"/>
      <c r="L768" s="551"/>
      <c r="M768" s="551"/>
      <c r="N768" s="551"/>
      <c r="O768" s="551"/>
      <c r="P768" s="551"/>
      <c r="Q768" s="551"/>
      <c r="R768" s="551"/>
      <c r="S768" s="551"/>
      <c r="T768" s="551"/>
      <c r="U768" s="551"/>
      <c r="V768" s="551"/>
      <c r="W768" s="551"/>
      <c r="X768" s="551"/>
      <c r="Y768" s="551"/>
      <c r="Z768" s="551"/>
      <c r="AA768" s="551"/>
      <c r="AB768" s="551"/>
      <c r="AC768" s="551"/>
      <c r="AD768" s="551"/>
      <c r="AE768" s="551"/>
      <c r="AF768" s="551"/>
      <c r="AG768" s="551"/>
      <c r="AH768" s="551"/>
      <c r="AI768" s="551"/>
      <c r="AJ768" s="551"/>
      <c r="AK768" s="551"/>
      <c r="AL768" s="551"/>
      <c r="AM768" s="551"/>
      <c r="AN768" s="551"/>
      <c r="AO768" s="551"/>
      <c r="AP768" s="551"/>
      <c r="AQ768" s="551"/>
      <c r="AR768" s="551"/>
      <c r="AS768" s="551"/>
      <c r="AT768" s="551"/>
      <c r="AU768" s="551"/>
      <c r="AV768" s="551"/>
      <c r="AW768" s="551"/>
      <c r="AX768" s="551"/>
      <c r="AY768" s="551"/>
      <c r="AZ768" s="551"/>
      <c r="BA768" s="551"/>
      <c r="BB768" s="551"/>
      <c r="BC768" s="551"/>
      <c r="BD768" s="551"/>
      <c r="BE768" s="551"/>
      <c r="BF768" s="551"/>
    </row>
    <row r="769" spans="1:58" ht="12.75" customHeight="1">
      <c r="A769" s="551"/>
      <c r="B769" s="551"/>
      <c r="C769" s="551"/>
      <c r="D769" s="551"/>
      <c r="E769" s="551"/>
      <c r="F769" s="551"/>
      <c r="G769" s="551"/>
      <c r="H769" s="551"/>
      <c r="I769" s="551"/>
      <c r="J769" s="551"/>
      <c r="K769" s="551"/>
      <c r="L769" s="551"/>
      <c r="M769" s="551"/>
      <c r="N769" s="551"/>
      <c r="O769" s="551"/>
      <c r="P769" s="551"/>
      <c r="Q769" s="551"/>
      <c r="R769" s="551"/>
      <c r="S769" s="551"/>
      <c r="T769" s="551"/>
      <c r="U769" s="551"/>
      <c r="V769" s="551"/>
      <c r="W769" s="551"/>
      <c r="X769" s="551"/>
      <c r="Y769" s="551"/>
      <c r="Z769" s="551"/>
      <c r="AA769" s="551"/>
      <c r="AB769" s="551"/>
      <c r="AC769" s="551"/>
      <c r="AD769" s="551"/>
      <c r="AE769" s="551"/>
      <c r="AF769" s="551"/>
      <c r="AG769" s="551"/>
      <c r="AH769" s="551"/>
      <c r="AI769" s="551"/>
      <c r="AJ769" s="551"/>
      <c r="AK769" s="551"/>
      <c r="AL769" s="551"/>
      <c r="AM769" s="551"/>
      <c r="AN769" s="551"/>
      <c r="AO769" s="551"/>
      <c r="AP769" s="551"/>
      <c r="AQ769" s="551"/>
      <c r="AR769" s="551"/>
      <c r="AS769" s="551"/>
      <c r="AT769" s="551"/>
      <c r="AU769" s="551"/>
      <c r="AV769" s="551"/>
      <c r="AW769" s="551"/>
      <c r="AX769" s="551"/>
      <c r="AY769" s="551"/>
      <c r="AZ769" s="551"/>
      <c r="BA769" s="551"/>
      <c r="BB769" s="551"/>
      <c r="BC769" s="551"/>
      <c r="BD769" s="551"/>
      <c r="BE769" s="551"/>
      <c r="BF769" s="551"/>
    </row>
    <row r="770" spans="1:58" ht="12.75" customHeight="1">
      <c r="A770" s="551"/>
      <c r="B770" s="551"/>
      <c r="C770" s="551"/>
      <c r="D770" s="551"/>
      <c r="E770" s="551"/>
      <c r="F770" s="551"/>
      <c r="G770" s="551"/>
      <c r="H770" s="551"/>
      <c r="I770" s="551"/>
      <c r="J770" s="551"/>
      <c r="K770" s="551"/>
      <c r="L770" s="551"/>
      <c r="M770" s="551"/>
      <c r="N770" s="551"/>
      <c r="O770" s="551"/>
      <c r="P770" s="551"/>
      <c r="Q770" s="551"/>
      <c r="R770" s="551"/>
      <c r="S770" s="551"/>
      <c r="T770" s="551"/>
      <c r="U770" s="551"/>
      <c r="V770" s="551"/>
      <c r="W770" s="551"/>
      <c r="X770" s="551"/>
      <c r="Y770" s="551"/>
      <c r="Z770" s="551"/>
      <c r="AA770" s="551"/>
      <c r="AB770" s="551"/>
      <c r="AC770" s="551"/>
      <c r="AD770" s="551"/>
      <c r="AE770" s="551"/>
      <c r="AF770" s="551"/>
      <c r="AG770" s="551"/>
      <c r="AH770" s="551"/>
      <c r="AI770" s="551"/>
      <c r="AJ770" s="551"/>
      <c r="AK770" s="551"/>
      <c r="AL770" s="551"/>
      <c r="AM770" s="551"/>
      <c r="AN770" s="551"/>
      <c r="AO770" s="551"/>
      <c r="AP770" s="551"/>
      <c r="AQ770" s="551"/>
      <c r="AR770" s="551"/>
      <c r="AS770" s="551"/>
      <c r="AT770" s="551"/>
      <c r="AU770" s="551"/>
      <c r="AV770" s="551"/>
      <c r="AW770" s="551"/>
      <c r="AX770" s="551"/>
      <c r="AY770" s="551"/>
      <c r="AZ770" s="551"/>
      <c r="BA770" s="551"/>
      <c r="BB770" s="551"/>
      <c r="BC770" s="551"/>
      <c r="BD770" s="551"/>
      <c r="BE770" s="551"/>
      <c r="BF770" s="551"/>
    </row>
    <row r="771" spans="1:58" ht="12.75" customHeight="1">
      <c r="A771" s="551"/>
      <c r="B771" s="551"/>
      <c r="C771" s="551"/>
      <c r="D771" s="551"/>
      <c r="E771" s="551"/>
      <c r="F771" s="551"/>
      <c r="G771" s="551"/>
      <c r="H771" s="551"/>
      <c r="I771" s="551"/>
      <c r="J771" s="551"/>
      <c r="K771" s="551"/>
      <c r="L771" s="551"/>
      <c r="M771" s="551"/>
      <c r="N771" s="551"/>
      <c r="O771" s="551"/>
      <c r="P771" s="551"/>
      <c r="Q771" s="551"/>
      <c r="R771" s="551"/>
      <c r="S771" s="551"/>
      <c r="T771" s="551"/>
      <c r="U771" s="551"/>
      <c r="V771" s="551"/>
      <c r="W771" s="551"/>
      <c r="X771" s="551"/>
      <c r="Y771" s="551"/>
      <c r="Z771" s="551"/>
      <c r="AA771" s="551"/>
      <c r="AB771" s="551"/>
      <c r="AC771" s="551"/>
      <c r="AD771" s="551"/>
      <c r="AE771" s="551"/>
      <c r="AF771" s="551"/>
      <c r="AG771" s="551"/>
      <c r="AH771" s="551"/>
      <c r="AI771" s="551"/>
      <c r="AJ771" s="551"/>
      <c r="AK771" s="551"/>
      <c r="AL771" s="551"/>
      <c r="AM771" s="551"/>
      <c r="AN771" s="551"/>
      <c r="AO771" s="551"/>
      <c r="AP771" s="551"/>
      <c r="AQ771" s="551"/>
      <c r="AR771" s="551"/>
      <c r="AS771" s="551"/>
      <c r="AT771" s="551"/>
      <c r="AU771" s="551"/>
      <c r="AV771" s="551"/>
      <c r="AW771" s="551"/>
      <c r="AX771" s="551"/>
      <c r="AY771" s="551"/>
      <c r="AZ771" s="551"/>
      <c r="BA771" s="551"/>
      <c r="BB771" s="551"/>
      <c r="BC771" s="551"/>
      <c r="BD771" s="551"/>
      <c r="BE771" s="551"/>
      <c r="BF771" s="551"/>
    </row>
    <row r="772" spans="1:58" ht="12.75" customHeight="1">
      <c r="A772" s="551"/>
      <c r="B772" s="551"/>
      <c r="C772" s="551"/>
      <c r="D772" s="551"/>
      <c r="E772" s="551"/>
      <c r="F772" s="551"/>
      <c r="G772" s="551"/>
      <c r="H772" s="551"/>
      <c r="I772" s="551"/>
      <c r="J772" s="551"/>
      <c r="K772" s="551"/>
      <c r="L772" s="551"/>
      <c r="M772" s="551"/>
      <c r="N772" s="551"/>
      <c r="O772" s="551"/>
      <c r="P772" s="551"/>
      <c r="Q772" s="551"/>
      <c r="R772" s="551"/>
      <c r="S772" s="551"/>
      <c r="T772" s="551"/>
      <c r="U772" s="551"/>
      <c r="V772" s="551"/>
      <c r="W772" s="551"/>
      <c r="X772" s="551"/>
      <c r="Y772" s="551"/>
      <c r="Z772" s="551"/>
      <c r="AA772" s="551"/>
      <c r="AB772" s="551"/>
      <c r="AC772" s="551"/>
      <c r="AD772" s="551"/>
      <c r="AE772" s="551"/>
      <c r="AF772" s="551"/>
      <c r="AG772" s="551"/>
      <c r="AH772" s="551"/>
      <c r="AI772" s="551"/>
      <c r="AJ772" s="551"/>
      <c r="AK772" s="551"/>
      <c r="AL772" s="551"/>
      <c r="AM772" s="551"/>
      <c r="AN772" s="551"/>
      <c r="AO772" s="551"/>
      <c r="AP772" s="551"/>
      <c r="AQ772" s="551"/>
      <c r="AR772" s="551"/>
      <c r="AS772" s="551"/>
      <c r="AT772" s="551"/>
      <c r="AU772" s="551"/>
      <c r="AV772" s="551"/>
      <c r="AW772" s="551"/>
      <c r="AX772" s="551"/>
      <c r="AY772" s="551"/>
      <c r="AZ772" s="551"/>
      <c r="BA772" s="551"/>
      <c r="BB772" s="551"/>
      <c r="BC772" s="551"/>
      <c r="BD772" s="551"/>
      <c r="BE772" s="551"/>
      <c r="BF772" s="551"/>
    </row>
    <row r="773" spans="1:58" ht="12.75" customHeight="1">
      <c r="A773" s="551"/>
      <c r="B773" s="551"/>
      <c r="C773" s="551"/>
      <c r="D773" s="551"/>
      <c r="E773" s="551"/>
      <c r="F773" s="551"/>
      <c r="G773" s="551"/>
      <c r="H773" s="551"/>
      <c r="I773" s="551"/>
      <c r="J773" s="551"/>
      <c r="K773" s="551"/>
      <c r="L773" s="551"/>
      <c r="M773" s="551"/>
      <c r="N773" s="551"/>
      <c r="O773" s="551"/>
      <c r="P773" s="551"/>
      <c r="Q773" s="551"/>
      <c r="R773" s="551"/>
      <c r="S773" s="551"/>
      <c r="T773" s="551"/>
      <c r="U773" s="551"/>
      <c r="V773" s="551"/>
      <c r="W773" s="551"/>
      <c r="X773" s="551"/>
      <c r="Y773" s="551"/>
      <c r="Z773" s="551"/>
      <c r="AA773" s="551"/>
      <c r="AB773" s="551"/>
      <c r="AC773" s="551"/>
      <c r="AD773" s="551"/>
      <c r="AE773" s="551"/>
      <c r="AF773" s="551"/>
      <c r="AG773" s="551"/>
      <c r="AH773" s="551"/>
      <c r="AI773" s="551"/>
      <c r="AJ773" s="551"/>
      <c r="AK773" s="551"/>
      <c r="AL773" s="551"/>
      <c r="AM773" s="551"/>
      <c r="AN773" s="551"/>
      <c r="AO773" s="551"/>
      <c r="AP773" s="551"/>
      <c r="AQ773" s="551"/>
      <c r="AR773" s="551"/>
      <c r="AS773" s="551"/>
      <c r="AT773" s="551"/>
      <c r="AU773" s="551"/>
      <c r="AV773" s="551"/>
      <c r="AW773" s="551"/>
      <c r="AX773" s="551"/>
      <c r="AY773" s="551"/>
      <c r="AZ773" s="551"/>
      <c r="BA773" s="551"/>
      <c r="BB773" s="551"/>
      <c r="BC773" s="551"/>
      <c r="BD773" s="551"/>
      <c r="BE773" s="551"/>
      <c r="BF773" s="551"/>
    </row>
    <row r="774" spans="1:58" ht="12.75" customHeight="1">
      <c r="A774" s="551"/>
      <c r="B774" s="551"/>
      <c r="C774" s="551"/>
      <c r="D774" s="551"/>
      <c r="E774" s="551"/>
      <c r="F774" s="551"/>
      <c r="G774" s="551"/>
      <c r="H774" s="551"/>
      <c r="I774" s="551"/>
      <c r="J774" s="551"/>
      <c r="K774" s="551"/>
      <c r="L774" s="551"/>
      <c r="M774" s="551"/>
      <c r="N774" s="551"/>
      <c r="O774" s="551"/>
      <c r="P774" s="551"/>
      <c r="Q774" s="551"/>
      <c r="R774" s="551"/>
      <c r="S774" s="551"/>
      <c r="T774" s="551"/>
      <c r="U774" s="551"/>
      <c r="V774" s="551"/>
      <c r="W774" s="551"/>
      <c r="X774" s="551"/>
      <c r="Y774" s="551"/>
      <c r="Z774" s="551"/>
      <c r="AA774" s="551"/>
      <c r="AB774" s="551"/>
      <c r="AC774" s="551"/>
      <c r="AD774" s="551"/>
      <c r="AE774" s="551"/>
      <c r="AF774" s="551"/>
      <c r="AG774" s="551"/>
      <c r="AH774" s="551"/>
      <c r="AI774" s="551"/>
      <c r="AJ774" s="551"/>
      <c r="AK774" s="551"/>
      <c r="AL774" s="551"/>
      <c r="AM774" s="551"/>
      <c r="AN774" s="551"/>
      <c r="AO774" s="551"/>
      <c r="AP774" s="551"/>
      <c r="AQ774" s="551"/>
      <c r="AR774" s="551"/>
      <c r="AS774" s="551"/>
      <c r="AT774" s="551"/>
      <c r="AU774" s="551"/>
      <c r="AV774" s="551"/>
      <c r="AW774" s="551"/>
      <c r="AX774" s="551"/>
      <c r="AY774" s="551"/>
      <c r="AZ774" s="551"/>
      <c r="BA774" s="551"/>
      <c r="BB774" s="551"/>
      <c r="BC774" s="551"/>
      <c r="BD774" s="551"/>
      <c r="BE774" s="551"/>
      <c r="BF774" s="551"/>
    </row>
    <row r="775" spans="1:58" ht="12.75" customHeight="1">
      <c r="A775" s="551"/>
      <c r="B775" s="551"/>
      <c r="C775" s="551"/>
      <c r="D775" s="551"/>
      <c r="E775" s="551"/>
      <c r="F775" s="551"/>
      <c r="G775" s="551"/>
      <c r="H775" s="551"/>
      <c r="I775" s="551"/>
      <c r="J775" s="551"/>
      <c r="K775" s="551"/>
      <c r="L775" s="551"/>
      <c r="M775" s="551"/>
      <c r="N775" s="551"/>
      <c r="O775" s="551"/>
      <c r="P775" s="551"/>
      <c r="Q775" s="551"/>
      <c r="R775" s="551"/>
      <c r="S775" s="551"/>
      <c r="T775" s="551"/>
      <c r="U775" s="551"/>
      <c r="V775" s="551"/>
      <c r="W775" s="551"/>
      <c r="X775" s="551"/>
      <c r="Y775" s="551"/>
      <c r="Z775" s="551"/>
      <c r="AA775" s="551"/>
      <c r="AB775" s="551"/>
      <c r="AC775" s="551"/>
      <c r="AD775" s="551"/>
      <c r="AE775" s="551"/>
      <c r="AF775" s="551"/>
      <c r="AG775" s="551"/>
      <c r="AH775" s="551"/>
      <c r="AI775" s="551"/>
      <c r="AJ775" s="551"/>
      <c r="AK775" s="551"/>
      <c r="AL775" s="551"/>
      <c r="AM775" s="551"/>
      <c r="AN775" s="551"/>
      <c r="AO775" s="551"/>
      <c r="AP775" s="551"/>
      <c r="AQ775" s="551"/>
      <c r="AR775" s="551"/>
      <c r="AS775" s="551"/>
      <c r="AT775" s="551"/>
      <c r="AU775" s="551"/>
      <c r="AV775" s="551"/>
      <c r="AW775" s="551"/>
      <c r="AX775" s="551"/>
      <c r="AY775" s="551"/>
      <c r="AZ775" s="551"/>
      <c r="BA775" s="551"/>
      <c r="BB775" s="551"/>
      <c r="BC775" s="551"/>
      <c r="BD775" s="551"/>
      <c r="BE775" s="551"/>
      <c r="BF775" s="551"/>
    </row>
    <row r="776" spans="1:58" ht="12.75" customHeight="1">
      <c r="A776" s="551"/>
      <c r="B776" s="551"/>
      <c r="C776" s="551"/>
      <c r="D776" s="551"/>
      <c r="E776" s="551"/>
      <c r="F776" s="551"/>
      <c r="G776" s="551"/>
      <c r="H776" s="551"/>
      <c r="I776" s="551"/>
      <c r="J776" s="551"/>
      <c r="K776" s="551"/>
      <c r="L776" s="551"/>
      <c r="M776" s="551"/>
      <c r="N776" s="551"/>
      <c r="O776" s="551"/>
      <c r="P776" s="551"/>
      <c r="Q776" s="551"/>
      <c r="R776" s="551"/>
      <c r="S776" s="551"/>
      <c r="T776" s="551"/>
      <c r="U776" s="551"/>
      <c r="V776" s="551"/>
      <c r="W776" s="551"/>
      <c r="X776" s="551"/>
      <c r="Y776" s="551"/>
      <c r="Z776" s="551"/>
      <c r="AA776" s="551"/>
      <c r="AB776" s="551"/>
      <c r="AC776" s="551"/>
      <c r="AD776" s="551"/>
      <c r="AE776" s="551"/>
      <c r="AF776" s="551"/>
      <c r="AG776" s="551"/>
      <c r="AH776" s="551"/>
      <c r="AI776" s="551"/>
      <c r="AJ776" s="551"/>
      <c r="AK776" s="551"/>
      <c r="AL776" s="551"/>
      <c r="AM776" s="551"/>
      <c r="AN776" s="551"/>
      <c r="AO776" s="551"/>
      <c r="AP776" s="551"/>
      <c r="AQ776" s="551"/>
      <c r="AR776" s="551"/>
      <c r="AS776" s="551"/>
      <c r="AT776" s="551"/>
      <c r="AU776" s="551"/>
      <c r="AV776" s="551"/>
      <c r="AW776" s="551"/>
      <c r="AX776" s="551"/>
      <c r="AY776" s="551"/>
      <c r="AZ776" s="551"/>
      <c r="BA776" s="551"/>
      <c r="BB776" s="551"/>
      <c r="BC776" s="551"/>
      <c r="BD776" s="551"/>
      <c r="BE776" s="551"/>
      <c r="BF776" s="551"/>
    </row>
    <row r="777" spans="1:58" ht="12.75" customHeight="1">
      <c r="A777" s="551"/>
      <c r="B777" s="551"/>
      <c r="C777" s="551"/>
      <c r="D777" s="551"/>
      <c r="E777" s="551"/>
      <c r="F777" s="551"/>
      <c r="G777" s="551"/>
      <c r="H777" s="551"/>
      <c r="I777" s="551"/>
      <c r="J777" s="551"/>
      <c r="K777" s="551"/>
      <c r="L777" s="551"/>
      <c r="M777" s="551"/>
      <c r="N777" s="551"/>
      <c r="O777" s="551"/>
      <c r="P777" s="551"/>
      <c r="Q777" s="551"/>
      <c r="R777" s="551"/>
      <c r="S777" s="551"/>
      <c r="T777" s="551"/>
      <c r="U777" s="551"/>
      <c r="V777" s="551"/>
      <c r="W777" s="551"/>
      <c r="X777" s="551"/>
      <c r="Y777" s="551"/>
      <c r="Z777" s="551"/>
      <c r="AA777" s="551"/>
      <c r="AB777" s="551"/>
      <c r="AC777" s="551"/>
      <c r="AD777" s="551"/>
      <c r="AE777" s="551"/>
      <c r="AF777" s="551"/>
      <c r="AG777" s="551"/>
      <c r="AH777" s="551"/>
      <c r="AI777" s="551"/>
      <c r="AJ777" s="551"/>
      <c r="AK777" s="551"/>
      <c r="AL777" s="551"/>
      <c r="AM777" s="551"/>
      <c r="AN777" s="551"/>
      <c r="AO777" s="551"/>
      <c r="AP777" s="551"/>
      <c r="AQ777" s="551"/>
      <c r="AR777" s="551"/>
      <c r="AS777" s="551"/>
      <c r="AT777" s="551"/>
      <c r="AU777" s="551"/>
      <c r="AV777" s="551"/>
      <c r="AW777" s="551"/>
      <c r="AX777" s="551"/>
      <c r="AY777" s="551"/>
      <c r="AZ777" s="551"/>
      <c r="BA777" s="551"/>
      <c r="BB777" s="551"/>
      <c r="BC777" s="551"/>
      <c r="BD777" s="551"/>
      <c r="BE777" s="551"/>
      <c r="BF777" s="551"/>
    </row>
    <row r="778" spans="1:58" ht="12.75" customHeight="1">
      <c r="A778" s="551"/>
      <c r="B778" s="551"/>
      <c r="C778" s="551"/>
      <c r="D778" s="551"/>
      <c r="E778" s="551"/>
      <c r="F778" s="551"/>
      <c r="G778" s="551"/>
      <c r="H778" s="551"/>
      <c r="I778" s="551"/>
      <c r="J778" s="551"/>
      <c r="K778" s="551"/>
      <c r="L778" s="551"/>
      <c r="M778" s="551"/>
      <c r="N778" s="551"/>
      <c r="O778" s="551"/>
      <c r="P778" s="551"/>
      <c r="Q778" s="551"/>
      <c r="R778" s="551"/>
      <c r="S778" s="551"/>
      <c r="T778" s="551"/>
      <c r="U778" s="551"/>
      <c r="V778" s="551"/>
      <c r="W778" s="551"/>
      <c r="X778" s="551"/>
      <c r="Y778" s="551"/>
      <c r="Z778" s="551"/>
      <c r="AA778" s="551"/>
      <c r="AB778" s="551"/>
      <c r="AC778" s="551"/>
      <c r="AD778" s="551"/>
      <c r="AE778" s="551"/>
      <c r="AF778" s="551"/>
      <c r="AG778" s="551"/>
      <c r="AH778" s="551"/>
      <c r="AI778" s="551"/>
      <c r="AJ778" s="551"/>
      <c r="AK778" s="551"/>
      <c r="AL778" s="551"/>
      <c r="AM778" s="551"/>
      <c r="AN778" s="551"/>
      <c r="AO778" s="551"/>
      <c r="AP778" s="551"/>
      <c r="AQ778" s="551"/>
      <c r="AR778" s="551"/>
      <c r="AS778" s="551"/>
      <c r="AT778" s="551"/>
      <c r="AU778" s="551"/>
      <c r="AV778" s="551"/>
      <c r="AW778" s="551"/>
      <c r="AX778" s="551"/>
      <c r="AY778" s="551"/>
      <c r="AZ778" s="551"/>
      <c r="BA778" s="551"/>
      <c r="BB778" s="551"/>
      <c r="BC778" s="551"/>
      <c r="BD778" s="551"/>
      <c r="BE778" s="551"/>
      <c r="BF778" s="551"/>
    </row>
    <row r="779" spans="1:58" ht="12.75" customHeight="1">
      <c r="A779" s="551"/>
      <c r="B779" s="551"/>
      <c r="C779" s="551"/>
      <c r="D779" s="551"/>
      <c r="E779" s="551"/>
      <c r="F779" s="551"/>
      <c r="G779" s="551"/>
      <c r="H779" s="551"/>
      <c r="I779" s="551"/>
      <c r="J779" s="551"/>
      <c r="K779" s="551"/>
      <c r="L779" s="551"/>
      <c r="M779" s="551"/>
      <c r="N779" s="551"/>
      <c r="O779" s="551"/>
      <c r="P779" s="551"/>
      <c r="Q779" s="551"/>
      <c r="R779" s="551"/>
      <c r="S779" s="551"/>
      <c r="T779" s="551"/>
      <c r="U779" s="551"/>
      <c r="V779" s="551"/>
      <c r="W779" s="551"/>
      <c r="X779" s="551"/>
      <c r="Y779" s="551"/>
      <c r="Z779" s="551"/>
      <c r="AA779" s="551"/>
      <c r="AB779" s="551"/>
      <c r="AC779" s="551"/>
      <c r="AD779" s="551"/>
      <c r="AE779" s="551"/>
      <c r="AF779" s="551"/>
      <c r="AG779" s="551"/>
      <c r="AH779" s="551"/>
      <c r="AI779" s="551"/>
      <c r="AJ779" s="551"/>
      <c r="AK779" s="551"/>
      <c r="AL779" s="551"/>
      <c r="AM779" s="551"/>
      <c r="AN779" s="551"/>
      <c r="AO779" s="551"/>
      <c r="AP779" s="551"/>
      <c r="AQ779" s="551"/>
      <c r="AR779" s="551"/>
      <c r="AS779" s="551"/>
      <c r="AT779" s="551"/>
      <c r="AU779" s="551"/>
      <c r="AV779" s="551"/>
      <c r="AW779" s="551"/>
      <c r="AX779" s="551"/>
      <c r="AY779" s="551"/>
      <c r="AZ779" s="551"/>
      <c r="BA779" s="551"/>
      <c r="BB779" s="551"/>
      <c r="BC779" s="551"/>
      <c r="BD779" s="551"/>
      <c r="BE779" s="551"/>
      <c r="BF779" s="551"/>
    </row>
    <row r="780" spans="1:58" ht="12.75" customHeight="1">
      <c r="A780" s="551"/>
      <c r="B780" s="551"/>
      <c r="C780" s="551"/>
      <c r="D780" s="551"/>
      <c r="E780" s="551"/>
      <c r="F780" s="551"/>
      <c r="G780" s="551"/>
      <c r="H780" s="551"/>
      <c r="I780" s="551"/>
      <c r="J780" s="551"/>
      <c r="K780" s="551"/>
      <c r="L780" s="551"/>
      <c r="M780" s="551"/>
      <c r="N780" s="551"/>
      <c r="O780" s="551"/>
      <c r="P780" s="551"/>
      <c r="Q780" s="551"/>
      <c r="R780" s="551"/>
      <c r="S780" s="551"/>
      <c r="T780" s="551"/>
      <c r="U780" s="551"/>
      <c r="V780" s="551"/>
      <c r="W780" s="551"/>
      <c r="X780" s="551"/>
      <c r="Y780" s="551"/>
      <c r="Z780" s="551"/>
      <c r="AA780" s="551"/>
      <c r="AB780" s="551"/>
      <c r="AC780" s="551"/>
      <c r="AD780" s="551"/>
      <c r="AE780" s="551"/>
      <c r="AF780" s="551"/>
      <c r="AG780" s="551"/>
      <c r="AH780" s="551"/>
      <c r="AI780" s="551"/>
      <c r="AJ780" s="551"/>
      <c r="AK780" s="551"/>
      <c r="AL780" s="551"/>
      <c r="AM780" s="551"/>
      <c r="AN780" s="551"/>
      <c r="AO780" s="551"/>
      <c r="AP780" s="551"/>
      <c r="AQ780" s="551"/>
      <c r="AR780" s="551"/>
      <c r="AS780" s="551"/>
      <c r="AT780" s="551"/>
      <c r="AU780" s="551"/>
      <c r="AV780" s="551"/>
      <c r="AW780" s="551"/>
      <c r="AX780" s="551"/>
      <c r="AY780" s="551"/>
      <c r="AZ780" s="551"/>
      <c r="BA780" s="551"/>
      <c r="BB780" s="551"/>
      <c r="BC780" s="551"/>
      <c r="BD780" s="551"/>
      <c r="BE780" s="551"/>
      <c r="BF780" s="551"/>
    </row>
    <row r="781" spans="1:58" ht="12.75" customHeight="1">
      <c r="A781" s="551"/>
      <c r="B781" s="551"/>
      <c r="C781" s="551"/>
      <c r="D781" s="551"/>
      <c r="E781" s="551"/>
      <c r="F781" s="551"/>
      <c r="G781" s="551"/>
      <c r="H781" s="551"/>
      <c r="I781" s="551"/>
      <c r="J781" s="551"/>
      <c r="K781" s="551"/>
      <c r="L781" s="551"/>
      <c r="M781" s="551"/>
      <c r="N781" s="551"/>
      <c r="O781" s="551"/>
      <c r="P781" s="551"/>
      <c r="Q781" s="551"/>
      <c r="R781" s="551"/>
      <c r="S781" s="551"/>
      <c r="T781" s="551"/>
      <c r="U781" s="551"/>
      <c r="V781" s="551"/>
      <c r="W781" s="551"/>
      <c r="X781" s="551"/>
      <c r="Y781" s="551"/>
      <c r="Z781" s="551"/>
      <c r="AA781" s="551"/>
      <c r="AB781" s="551"/>
      <c r="AC781" s="551"/>
      <c r="AD781" s="551"/>
      <c r="AE781" s="551"/>
      <c r="AF781" s="551"/>
      <c r="AG781" s="551"/>
      <c r="AH781" s="551"/>
      <c r="AI781" s="551"/>
      <c r="AJ781" s="551"/>
      <c r="AK781" s="551"/>
      <c r="AL781" s="551"/>
      <c r="AM781" s="551"/>
      <c r="AN781" s="551"/>
      <c r="AO781" s="551"/>
      <c r="AP781" s="551"/>
      <c r="AQ781" s="551"/>
      <c r="AR781" s="551"/>
      <c r="AS781" s="551"/>
      <c r="AT781" s="551"/>
      <c r="AU781" s="551"/>
      <c r="AV781" s="551"/>
      <c r="AW781" s="551"/>
      <c r="AX781" s="551"/>
      <c r="AY781" s="551"/>
      <c r="AZ781" s="551"/>
      <c r="BA781" s="551"/>
      <c r="BB781" s="551"/>
      <c r="BC781" s="551"/>
      <c r="BD781" s="551"/>
      <c r="BE781" s="551"/>
      <c r="BF781" s="551"/>
    </row>
    <row r="782" spans="1:58" ht="12.75" customHeight="1">
      <c r="A782" s="551"/>
      <c r="B782" s="551"/>
      <c r="C782" s="551"/>
      <c r="D782" s="551"/>
      <c r="E782" s="551"/>
      <c r="F782" s="551"/>
      <c r="G782" s="551"/>
      <c r="H782" s="551"/>
      <c r="I782" s="551"/>
      <c r="J782" s="551"/>
      <c r="K782" s="551"/>
      <c r="L782" s="551"/>
      <c r="M782" s="551"/>
      <c r="N782" s="551"/>
      <c r="O782" s="551"/>
      <c r="P782" s="551"/>
      <c r="Q782" s="551"/>
      <c r="R782" s="551"/>
      <c r="S782" s="551"/>
      <c r="T782" s="551"/>
      <c r="U782" s="551"/>
      <c r="V782" s="551"/>
      <c r="W782" s="551"/>
      <c r="X782" s="551"/>
      <c r="Y782" s="551"/>
      <c r="Z782" s="551"/>
      <c r="AA782" s="551"/>
      <c r="AB782" s="551"/>
      <c r="AC782" s="551"/>
      <c r="AD782" s="551"/>
      <c r="AE782" s="551"/>
      <c r="AF782" s="551"/>
      <c r="AG782" s="551"/>
      <c r="AH782" s="551"/>
      <c r="AI782" s="551"/>
      <c r="AJ782" s="551"/>
      <c r="AK782" s="551"/>
      <c r="AL782" s="551"/>
      <c r="AM782" s="551"/>
      <c r="AN782" s="551"/>
      <c r="AO782" s="551"/>
      <c r="AP782" s="551"/>
      <c r="AQ782" s="551"/>
      <c r="AR782" s="551"/>
      <c r="AS782" s="551"/>
      <c r="AT782" s="551"/>
      <c r="AU782" s="551"/>
      <c r="AV782" s="551"/>
      <c r="AW782" s="551"/>
      <c r="AX782" s="551"/>
      <c r="AY782" s="551"/>
      <c r="AZ782" s="551"/>
      <c r="BA782" s="551"/>
      <c r="BB782" s="551"/>
      <c r="BC782" s="551"/>
      <c r="BD782" s="551"/>
      <c r="BE782" s="551"/>
      <c r="BF782" s="551"/>
    </row>
    <row r="783" spans="1:58" ht="12.75" customHeight="1">
      <c r="A783" s="551"/>
      <c r="B783" s="551"/>
      <c r="C783" s="551"/>
      <c r="D783" s="551"/>
      <c r="E783" s="551"/>
      <c r="F783" s="551"/>
      <c r="G783" s="551"/>
      <c r="H783" s="551"/>
      <c r="I783" s="551"/>
      <c r="J783" s="551"/>
      <c r="K783" s="551"/>
      <c r="L783" s="551"/>
      <c r="M783" s="551"/>
      <c r="N783" s="551"/>
      <c r="O783" s="551"/>
      <c r="P783" s="551"/>
      <c r="Q783" s="551"/>
      <c r="R783" s="551"/>
      <c r="S783" s="551"/>
      <c r="T783" s="551"/>
      <c r="U783" s="551"/>
      <c r="V783" s="551"/>
      <c r="W783" s="551"/>
      <c r="X783" s="551"/>
      <c r="Y783" s="551"/>
      <c r="Z783" s="551"/>
      <c r="AA783" s="551"/>
      <c r="AB783" s="551"/>
      <c r="AC783" s="551"/>
      <c r="AD783" s="551"/>
      <c r="AE783" s="551"/>
      <c r="AF783" s="551"/>
      <c r="AG783" s="551"/>
      <c r="AH783" s="551"/>
      <c r="AI783" s="551"/>
      <c r="AJ783" s="551"/>
      <c r="AK783" s="551"/>
      <c r="AL783" s="551"/>
      <c r="AM783" s="551"/>
      <c r="AN783" s="551"/>
      <c r="AO783" s="551"/>
      <c r="AP783" s="551"/>
      <c r="AQ783" s="551"/>
      <c r="AR783" s="551"/>
      <c r="AS783" s="551"/>
      <c r="AT783" s="551"/>
      <c r="AU783" s="551"/>
      <c r="AV783" s="551"/>
      <c r="AW783" s="551"/>
      <c r="AX783" s="551"/>
      <c r="AY783" s="551"/>
      <c r="AZ783" s="551"/>
      <c r="BA783" s="551"/>
      <c r="BB783" s="551"/>
      <c r="BC783" s="551"/>
      <c r="BD783" s="551"/>
      <c r="BE783" s="551"/>
      <c r="BF783" s="551"/>
    </row>
    <row r="784" spans="1:58" ht="12.75" customHeight="1">
      <c r="A784" s="551"/>
      <c r="B784" s="551"/>
      <c r="C784" s="551"/>
      <c r="D784" s="551"/>
      <c r="E784" s="551"/>
      <c r="F784" s="551"/>
      <c r="G784" s="551"/>
      <c r="H784" s="551"/>
      <c r="I784" s="551"/>
      <c r="J784" s="551"/>
      <c r="K784" s="551"/>
      <c r="L784" s="551"/>
      <c r="M784" s="551"/>
      <c r="N784" s="551"/>
      <c r="O784" s="551"/>
      <c r="P784" s="551"/>
      <c r="Q784" s="551"/>
      <c r="R784" s="551"/>
      <c r="S784" s="551"/>
      <c r="T784" s="551"/>
      <c r="U784" s="551"/>
      <c r="V784" s="551"/>
      <c r="W784" s="551"/>
      <c r="X784" s="551"/>
      <c r="Y784" s="551"/>
      <c r="Z784" s="551"/>
      <c r="AA784" s="551"/>
      <c r="AB784" s="551"/>
      <c r="AC784" s="551"/>
      <c r="AD784" s="551"/>
      <c r="AE784" s="551"/>
      <c r="AF784" s="551"/>
      <c r="AG784" s="551"/>
      <c r="AH784" s="551"/>
      <c r="AI784" s="551"/>
      <c r="AJ784" s="551"/>
      <c r="AK784" s="551"/>
      <c r="AL784" s="551"/>
      <c r="AM784" s="551"/>
      <c r="AN784" s="551"/>
      <c r="AO784" s="551"/>
      <c r="AP784" s="551"/>
      <c r="AQ784" s="551"/>
      <c r="AR784" s="551"/>
      <c r="AS784" s="551"/>
      <c r="AT784" s="551"/>
      <c r="AU784" s="551"/>
      <c r="AV784" s="551"/>
      <c r="AW784" s="551"/>
      <c r="AX784" s="551"/>
      <c r="AY784" s="551"/>
      <c r="AZ784" s="551"/>
      <c r="BA784" s="551"/>
      <c r="BB784" s="551"/>
      <c r="BC784" s="551"/>
      <c r="BD784" s="551"/>
      <c r="BE784" s="551"/>
      <c r="BF784" s="551"/>
    </row>
    <row r="785" spans="1:58" ht="12.75" customHeight="1">
      <c r="A785" s="551"/>
      <c r="B785" s="551"/>
      <c r="C785" s="551"/>
      <c r="D785" s="551"/>
      <c r="E785" s="551"/>
      <c r="F785" s="551"/>
      <c r="G785" s="551"/>
      <c r="H785" s="551"/>
      <c r="I785" s="551"/>
      <c r="J785" s="551"/>
      <c r="K785" s="551"/>
      <c r="L785" s="551"/>
      <c r="M785" s="551"/>
      <c r="N785" s="551"/>
      <c r="O785" s="551"/>
      <c r="P785" s="551"/>
      <c r="Q785" s="551"/>
      <c r="R785" s="551"/>
      <c r="S785" s="551"/>
      <c r="T785" s="551"/>
      <c r="U785" s="551"/>
      <c r="V785" s="551"/>
      <c r="W785" s="551"/>
      <c r="X785" s="551"/>
      <c r="Y785" s="551"/>
      <c r="Z785" s="551"/>
      <c r="AA785" s="551"/>
      <c r="AB785" s="551"/>
      <c r="AC785" s="551"/>
      <c r="AD785" s="551"/>
      <c r="AE785" s="551"/>
      <c r="AF785" s="551"/>
      <c r="AG785" s="551"/>
      <c r="AH785" s="551"/>
      <c r="AI785" s="551"/>
      <c r="AJ785" s="551"/>
      <c r="AK785" s="551"/>
      <c r="AL785" s="551"/>
      <c r="AM785" s="551"/>
      <c r="AN785" s="551"/>
      <c r="AO785" s="551"/>
      <c r="AP785" s="551"/>
      <c r="AQ785" s="551"/>
      <c r="AR785" s="551"/>
      <c r="AS785" s="551"/>
      <c r="AT785" s="551"/>
      <c r="AU785" s="551"/>
      <c r="AV785" s="551"/>
      <c r="AW785" s="551"/>
      <c r="AX785" s="551"/>
      <c r="AY785" s="551"/>
      <c r="AZ785" s="551"/>
      <c r="BA785" s="551"/>
      <c r="BB785" s="551"/>
      <c r="BC785" s="551"/>
      <c r="BD785" s="551"/>
      <c r="BE785" s="551"/>
      <c r="BF785" s="551"/>
    </row>
    <row r="786" spans="1:58" ht="12.75" customHeight="1">
      <c r="A786" s="551"/>
      <c r="B786" s="551"/>
      <c r="C786" s="551"/>
      <c r="D786" s="551"/>
      <c r="E786" s="551"/>
      <c r="F786" s="551"/>
      <c r="G786" s="551"/>
      <c r="H786" s="551"/>
      <c r="I786" s="551"/>
      <c r="J786" s="551"/>
      <c r="K786" s="551"/>
      <c r="L786" s="551"/>
      <c r="M786" s="551"/>
      <c r="N786" s="551"/>
      <c r="O786" s="551"/>
      <c r="P786" s="551"/>
      <c r="Q786" s="551"/>
      <c r="R786" s="551"/>
      <c r="S786" s="551"/>
      <c r="T786" s="551"/>
      <c r="U786" s="551"/>
      <c r="V786" s="551"/>
      <c r="W786" s="551"/>
      <c r="X786" s="551"/>
      <c r="Y786" s="551"/>
      <c r="Z786" s="551"/>
      <c r="AA786" s="551"/>
      <c r="AB786" s="551"/>
      <c r="AC786" s="551"/>
      <c r="AD786" s="551"/>
      <c r="AE786" s="551"/>
      <c r="AF786" s="551"/>
      <c r="AG786" s="551"/>
      <c r="AH786" s="551"/>
      <c r="AI786" s="551"/>
      <c r="AJ786" s="551"/>
      <c r="AK786" s="551"/>
      <c r="AL786" s="551"/>
      <c r="AM786" s="551"/>
      <c r="AN786" s="551"/>
      <c r="AO786" s="551"/>
      <c r="AP786" s="551"/>
      <c r="AQ786" s="551"/>
      <c r="AR786" s="551"/>
      <c r="AS786" s="551"/>
      <c r="AT786" s="551"/>
      <c r="AU786" s="551"/>
      <c r="AV786" s="551"/>
      <c r="AW786" s="551"/>
      <c r="AX786" s="551"/>
      <c r="AY786" s="551"/>
      <c r="AZ786" s="551"/>
      <c r="BA786" s="551"/>
      <c r="BB786" s="551"/>
      <c r="BC786" s="551"/>
      <c r="BD786" s="551"/>
      <c r="BE786" s="551"/>
      <c r="BF786" s="551"/>
    </row>
    <row r="787" spans="1:58" ht="12.75" customHeight="1">
      <c r="A787" s="551"/>
      <c r="B787" s="551"/>
      <c r="C787" s="551"/>
      <c r="D787" s="551"/>
      <c r="E787" s="551"/>
      <c r="F787" s="551"/>
      <c r="G787" s="551"/>
      <c r="H787" s="551"/>
      <c r="I787" s="551"/>
      <c r="J787" s="551"/>
      <c r="K787" s="551"/>
      <c r="L787" s="551"/>
      <c r="M787" s="551"/>
      <c r="N787" s="551"/>
      <c r="O787" s="551"/>
      <c r="P787" s="551"/>
      <c r="Q787" s="551"/>
      <c r="R787" s="551"/>
      <c r="S787" s="551"/>
      <c r="T787" s="551"/>
      <c r="U787" s="551"/>
      <c r="V787" s="551"/>
      <c r="W787" s="551"/>
      <c r="X787" s="551"/>
      <c r="Y787" s="551"/>
      <c r="Z787" s="551"/>
      <c r="AA787" s="551"/>
      <c r="AB787" s="551"/>
      <c r="AC787" s="551"/>
      <c r="AD787" s="551"/>
      <c r="AE787" s="551"/>
      <c r="AF787" s="551"/>
      <c r="AG787" s="551"/>
      <c r="AH787" s="551"/>
      <c r="AI787" s="551"/>
      <c r="AJ787" s="551"/>
      <c r="AK787" s="551"/>
      <c r="AL787" s="551"/>
      <c r="AM787" s="551"/>
      <c r="AN787" s="551"/>
      <c r="AO787" s="551"/>
      <c r="AP787" s="551"/>
      <c r="AQ787" s="551"/>
      <c r="AR787" s="551"/>
      <c r="AS787" s="551"/>
      <c r="AT787" s="551"/>
      <c r="AU787" s="551"/>
      <c r="AV787" s="551"/>
      <c r="AW787" s="551"/>
      <c r="AX787" s="551"/>
      <c r="AY787" s="551"/>
      <c r="AZ787" s="551"/>
      <c r="BA787" s="551"/>
      <c r="BB787" s="551"/>
      <c r="BC787" s="551"/>
      <c r="BD787" s="551"/>
      <c r="BE787" s="551"/>
      <c r="BF787" s="551"/>
    </row>
    <row r="788" spans="1:58" ht="12.75" customHeight="1">
      <c r="A788" s="551"/>
      <c r="B788" s="551"/>
      <c r="C788" s="551"/>
      <c r="D788" s="551"/>
      <c r="E788" s="551"/>
      <c r="F788" s="551"/>
      <c r="G788" s="551"/>
      <c r="H788" s="551"/>
      <c r="I788" s="551"/>
      <c r="J788" s="551"/>
      <c r="K788" s="551"/>
      <c r="L788" s="551"/>
      <c r="M788" s="551"/>
      <c r="N788" s="551"/>
      <c r="O788" s="551"/>
      <c r="P788" s="551"/>
      <c r="Q788" s="551"/>
      <c r="R788" s="551"/>
      <c r="S788" s="551"/>
      <c r="T788" s="551"/>
      <c r="U788" s="551"/>
      <c r="V788" s="551"/>
      <c r="W788" s="551"/>
      <c r="X788" s="551"/>
      <c r="Y788" s="551"/>
      <c r="Z788" s="551"/>
      <c r="AA788" s="551"/>
      <c r="AB788" s="551"/>
      <c r="AC788" s="551"/>
      <c r="AD788" s="551"/>
      <c r="AE788" s="551"/>
      <c r="AF788" s="551"/>
      <c r="AG788" s="551"/>
      <c r="AH788" s="551"/>
      <c r="AI788" s="551"/>
      <c r="AJ788" s="551"/>
      <c r="AK788" s="551"/>
      <c r="AL788" s="551"/>
      <c r="AM788" s="551"/>
      <c r="AN788" s="551"/>
      <c r="AO788" s="551"/>
      <c r="AP788" s="551"/>
      <c r="AQ788" s="551"/>
      <c r="AR788" s="551"/>
      <c r="AS788" s="551"/>
      <c r="AT788" s="551"/>
      <c r="AU788" s="551"/>
      <c r="AV788" s="551"/>
      <c r="AW788" s="551"/>
      <c r="AX788" s="551"/>
      <c r="AY788" s="551"/>
      <c r="AZ788" s="551"/>
      <c r="BA788" s="551"/>
      <c r="BB788" s="551"/>
      <c r="BC788" s="551"/>
      <c r="BD788" s="551"/>
      <c r="BE788" s="551"/>
      <c r="BF788" s="551"/>
    </row>
    <row r="789" spans="1:58" ht="12.75" customHeight="1">
      <c r="A789" s="551"/>
      <c r="B789" s="551"/>
      <c r="C789" s="551"/>
      <c r="D789" s="551"/>
      <c r="E789" s="551"/>
      <c r="F789" s="551"/>
      <c r="G789" s="551"/>
      <c r="H789" s="551"/>
      <c r="I789" s="551"/>
      <c r="J789" s="551"/>
      <c r="K789" s="551"/>
      <c r="L789" s="551"/>
      <c r="M789" s="551"/>
      <c r="N789" s="551"/>
      <c r="O789" s="551"/>
      <c r="P789" s="551"/>
      <c r="Q789" s="551"/>
      <c r="R789" s="551"/>
      <c r="S789" s="551"/>
      <c r="T789" s="551"/>
      <c r="U789" s="551"/>
      <c r="V789" s="551"/>
      <c r="W789" s="551"/>
      <c r="X789" s="551"/>
      <c r="Y789" s="551"/>
      <c r="Z789" s="551"/>
      <c r="AA789" s="551"/>
      <c r="AB789" s="551"/>
      <c r="AC789" s="551"/>
      <c r="AD789" s="551"/>
      <c r="AE789" s="551"/>
      <c r="AF789" s="551"/>
      <c r="AG789" s="551"/>
      <c r="AH789" s="551"/>
      <c r="AI789" s="551"/>
      <c r="AJ789" s="551"/>
      <c r="AK789" s="551"/>
      <c r="AL789" s="551"/>
      <c r="AM789" s="551"/>
      <c r="AN789" s="551"/>
      <c r="AO789" s="551"/>
      <c r="AP789" s="551"/>
      <c r="AQ789" s="551"/>
      <c r="AR789" s="551"/>
      <c r="AS789" s="551"/>
      <c r="AT789" s="551"/>
      <c r="AU789" s="551"/>
      <c r="AV789" s="551"/>
      <c r="AW789" s="551"/>
      <c r="AX789" s="551"/>
      <c r="AY789" s="551"/>
      <c r="AZ789" s="551"/>
      <c r="BA789" s="551"/>
      <c r="BB789" s="551"/>
      <c r="BC789" s="551"/>
      <c r="BD789" s="551"/>
      <c r="BE789" s="551"/>
      <c r="BF789" s="551"/>
    </row>
    <row r="790" spans="1:58" ht="12.75" customHeight="1">
      <c r="A790" s="551"/>
      <c r="B790" s="551"/>
      <c r="C790" s="551"/>
      <c r="D790" s="551"/>
      <c r="E790" s="551"/>
      <c r="F790" s="551"/>
      <c r="G790" s="551"/>
      <c r="H790" s="551"/>
      <c r="I790" s="551"/>
      <c r="J790" s="551"/>
      <c r="K790" s="551"/>
      <c r="L790" s="551"/>
      <c r="M790" s="551"/>
      <c r="N790" s="551"/>
      <c r="O790" s="551"/>
      <c r="P790" s="551"/>
      <c r="Q790" s="551"/>
      <c r="R790" s="551"/>
      <c r="S790" s="551"/>
      <c r="T790" s="551"/>
      <c r="U790" s="551"/>
      <c r="V790" s="551"/>
      <c r="W790" s="551"/>
      <c r="X790" s="551"/>
      <c r="Y790" s="551"/>
      <c r="Z790" s="551"/>
      <c r="AA790" s="551"/>
      <c r="AB790" s="551"/>
      <c r="AC790" s="551"/>
      <c r="AD790" s="551"/>
      <c r="AE790" s="551"/>
      <c r="AF790" s="551"/>
      <c r="AG790" s="551"/>
      <c r="AH790" s="551"/>
      <c r="AI790" s="551"/>
      <c r="AJ790" s="551"/>
      <c r="AK790" s="551"/>
      <c r="AL790" s="551"/>
      <c r="AM790" s="551"/>
      <c r="AN790" s="551"/>
      <c r="AO790" s="551"/>
      <c r="AP790" s="551"/>
      <c r="AQ790" s="551"/>
      <c r="AR790" s="551"/>
      <c r="AS790" s="551"/>
      <c r="AT790" s="551"/>
      <c r="AU790" s="551"/>
      <c r="AV790" s="551"/>
      <c r="AW790" s="551"/>
      <c r="AX790" s="551"/>
      <c r="AY790" s="551"/>
      <c r="AZ790" s="551"/>
      <c r="BA790" s="551"/>
      <c r="BB790" s="551"/>
      <c r="BC790" s="551"/>
      <c r="BD790" s="551"/>
      <c r="BE790" s="551"/>
      <c r="BF790" s="551"/>
    </row>
    <row r="791" spans="1:58" ht="12.75" customHeight="1">
      <c r="A791" s="551"/>
      <c r="B791" s="551"/>
      <c r="C791" s="551"/>
      <c r="D791" s="551"/>
      <c r="E791" s="551"/>
      <c r="F791" s="551"/>
      <c r="G791" s="551"/>
      <c r="H791" s="551"/>
      <c r="I791" s="551"/>
      <c r="J791" s="551"/>
      <c r="K791" s="551"/>
      <c r="L791" s="551"/>
      <c r="M791" s="551"/>
      <c r="N791" s="551"/>
      <c r="O791" s="551"/>
      <c r="P791" s="551"/>
      <c r="Q791" s="551"/>
      <c r="R791" s="551"/>
      <c r="S791" s="551"/>
      <c r="T791" s="551"/>
      <c r="U791" s="551"/>
      <c r="V791" s="551"/>
      <c r="W791" s="551"/>
      <c r="X791" s="551"/>
      <c r="Y791" s="551"/>
      <c r="Z791" s="551"/>
      <c r="AA791" s="551"/>
      <c r="AB791" s="551"/>
      <c r="AC791" s="551"/>
      <c r="AD791" s="551"/>
      <c r="AE791" s="551"/>
      <c r="AF791" s="551"/>
      <c r="AG791" s="551"/>
      <c r="AH791" s="551"/>
      <c r="AI791" s="551"/>
      <c r="AJ791" s="551"/>
      <c r="AK791" s="551"/>
      <c r="AL791" s="551"/>
      <c r="AM791" s="551"/>
      <c r="AN791" s="551"/>
      <c r="AO791" s="551"/>
      <c r="AP791" s="551"/>
      <c r="AQ791" s="551"/>
      <c r="AR791" s="551"/>
      <c r="AS791" s="551"/>
      <c r="AT791" s="551"/>
      <c r="AU791" s="551"/>
      <c r="AV791" s="551"/>
      <c r="AW791" s="551"/>
      <c r="AX791" s="551"/>
      <c r="AY791" s="551"/>
      <c r="AZ791" s="551"/>
      <c r="BA791" s="551"/>
      <c r="BB791" s="551"/>
      <c r="BC791" s="551"/>
      <c r="BD791" s="551"/>
      <c r="BE791" s="551"/>
      <c r="BF791" s="551"/>
    </row>
    <row r="792" spans="1:58" ht="12.75" customHeight="1">
      <c r="A792" s="551"/>
      <c r="B792" s="551"/>
      <c r="C792" s="551"/>
      <c r="D792" s="551"/>
      <c r="E792" s="551"/>
      <c r="F792" s="551"/>
      <c r="G792" s="551"/>
      <c r="H792" s="551"/>
      <c r="I792" s="551"/>
      <c r="J792" s="551"/>
      <c r="K792" s="551"/>
      <c r="L792" s="551"/>
      <c r="M792" s="551"/>
      <c r="N792" s="551"/>
      <c r="O792" s="551"/>
      <c r="P792" s="551"/>
      <c r="Q792" s="551"/>
      <c r="R792" s="551"/>
      <c r="S792" s="551"/>
      <c r="T792" s="551"/>
      <c r="U792" s="551"/>
      <c r="V792" s="551"/>
      <c r="W792" s="551"/>
      <c r="X792" s="551"/>
      <c r="Y792" s="551"/>
      <c r="Z792" s="551"/>
      <c r="AA792" s="551"/>
      <c r="AB792" s="551"/>
      <c r="AC792" s="551"/>
      <c r="AD792" s="551"/>
      <c r="AE792" s="551"/>
      <c r="AF792" s="551"/>
      <c r="AG792" s="551"/>
      <c r="AH792" s="551"/>
      <c r="AI792" s="551"/>
      <c r="AJ792" s="551"/>
      <c r="AK792" s="551"/>
      <c r="AL792" s="551"/>
      <c r="AM792" s="551"/>
      <c r="AN792" s="551"/>
      <c r="AO792" s="551"/>
      <c r="AP792" s="551"/>
      <c r="AQ792" s="551"/>
      <c r="AR792" s="551"/>
      <c r="AS792" s="551"/>
      <c r="AT792" s="551"/>
      <c r="AU792" s="551"/>
      <c r="AV792" s="551"/>
      <c r="AW792" s="551"/>
      <c r="AX792" s="551"/>
      <c r="AY792" s="551"/>
      <c r="AZ792" s="551"/>
      <c r="BA792" s="551"/>
      <c r="BB792" s="551"/>
      <c r="BC792" s="551"/>
      <c r="BD792" s="551"/>
      <c r="BE792" s="551"/>
      <c r="BF792" s="551"/>
    </row>
    <row r="793" spans="1:58" ht="12.75" customHeight="1">
      <c r="A793" s="551"/>
      <c r="B793" s="551"/>
      <c r="C793" s="551"/>
      <c r="D793" s="551"/>
      <c r="E793" s="551"/>
      <c r="F793" s="551"/>
      <c r="G793" s="551"/>
      <c r="H793" s="551"/>
      <c r="I793" s="551"/>
      <c r="J793" s="551"/>
      <c r="K793" s="551"/>
      <c r="L793" s="551"/>
      <c r="M793" s="551"/>
      <c r="N793" s="551"/>
      <c r="O793" s="551"/>
      <c r="P793" s="551"/>
      <c r="Q793" s="551"/>
      <c r="R793" s="551"/>
      <c r="S793" s="551"/>
      <c r="T793" s="551"/>
      <c r="U793" s="551"/>
      <c r="V793" s="551"/>
      <c r="W793" s="551"/>
      <c r="X793" s="551"/>
      <c r="Y793" s="551"/>
      <c r="Z793" s="551"/>
      <c r="AA793" s="551"/>
      <c r="AB793" s="551"/>
      <c r="AC793" s="551"/>
      <c r="AD793" s="551"/>
      <c r="AE793" s="551"/>
      <c r="AF793" s="551"/>
      <c r="AG793" s="551"/>
      <c r="AH793" s="551"/>
      <c r="AI793" s="551"/>
      <c r="AJ793" s="551"/>
      <c r="AK793" s="551"/>
      <c r="AL793" s="551"/>
      <c r="AM793" s="551"/>
      <c r="AN793" s="551"/>
      <c r="AO793" s="551"/>
      <c r="AP793" s="551"/>
      <c r="AQ793" s="551"/>
      <c r="AR793" s="551"/>
      <c r="AS793" s="551"/>
      <c r="AT793" s="551"/>
      <c r="AU793" s="551"/>
      <c r="AV793" s="551"/>
      <c r="AW793" s="551"/>
      <c r="AX793" s="551"/>
      <c r="AY793" s="551"/>
      <c r="AZ793" s="551"/>
      <c r="BA793" s="551"/>
      <c r="BB793" s="551"/>
      <c r="BC793" s="551"/>
      <c r="BD793" s="551"/>
      <c r="BE793" s="551"/>
      <c r="BF793" s="551"/>
    </row>
    <row r="794" spans="1:58" ht="12.75" customHeight="1">
      <c r="A794" s="551"/>
      <c r="B794" s="551"/>
      <c r="C794" s="551"/>
      <c r="D794" s="551"/>
      <c r="E794" s="551"/>
      <c r="F794" s="551"/>
      <c r="G794" s="551"/>
      <c r="H794" s="551"/>
      <c r="I794" s="551"/>
      <c r="J794" s="551"/>
      <c r="K794" s="551"/>
      <c r="L794" s="551"/>
      <c r="M794" s="551"/>
      <c r="N794" s="551"/>
      <c r="O794" s="551"/>
      <c r="P794" s="551"/>
      <c r="Q794" s="551"/>
      <c r="R794" s="551"/>
      <c r="S794" s="551"/>
      <c r="T794" s="551"/>
      <c r="U794" s="551"/>
      <c r="V794" s="551"/>
      <c r="W794" s="551"/>
      <c r="X794" s="551"/>
      <c r="Y794" s="551"/>
      <c r="Z794" s="551"/>
      <c r="AA794" s="551"/>
      <c r="AB794" s="551"/>
      <c r="AC794" s="551"/>
      <c r="AD794" s="551"/>
      <c r="AE794" s="551"/>
      <c r="AF794" s="551"/>
      <c r="AG794" s="551"/>
      <c r="AH794" s="551"/>
      <c r="AI794" s="551"/>
      <c r="AJ794" s="551"/>
      <c r="AK794" s="551"/>
      <c r="AL794" s="551"/>
      <c r="AM794" s="551"/>
      <c r="AN794" s="551"/>
      <c r="AO794" s="551"/>
      <c r="AP794" s="551"/>
      <c r="AQ794" s="551"/>
      <c r="AR794" s="551"/>
      <c r="AS794" s="551"/>
      <c r="AT794" s="551"/>
      <c r="AU794" s="551"/>
      <c r="AV794" s="551"/>
      <c r="AW794" s="551"/>
      <c r="AX794" s="551"/>
      <c r="AY794" s="551"/>
      <c r="AZ794" s="551"/>
      <c r="BA794" s="551"/>
      <c r="BB794" s="551"/>
      <c r="BC794" s="551"/>
      <c r="BD794" s="551"/>
      <c r="BE794" s="551"/>
      <c r="BF794" s="551"/>
    </row>
    <row r="795" spans="1:58" ht="12.75" customHeight="1">
      <c r="A795" s="551"/>
      <c r="B795" s="551"/>
      <c r="C795" s="551"/>
      <c r="D795" s="551"/>
      <c r="E795" s="551"/>
      <c r="F795" s="551"/>
      <c r="G795" s="551"/>
      <c r="H795" s="551"/>
      <c r="I795" s="551"/>
      <c r="J795" s="551"/>
      <c r="K795" s="551"/>
      <c r="L795" s="551"/>
      <c r="M795" s="551"/>
      <c r="N795" s="551"/>
      <c r="O795" s="551"/>
      <c r="P795" s="551"/>
      <c r="Q795" s="551"/>
      <c r="R795" s="551"/>
      <c r="S795" s="551"/>
      <c r="T795" s="551"/>
      <c r="U795" s="551"/>
      <c r="V795" s="551"/>
      <c r="W795" s="551"/>
      <c r="X795" s="551"/>
      <c r="Y795" s="551"/>
      <c r="Z795" s="551"/>
      <c r="AA795" s="551"/>
      <c r="AB795" s="551"/>
      <c r="AC795" s="551"/>
      <c r="AD795" s="551"/>
      <c r="AE795" s="551"/>
      <c r="AF795" s="551"/>
      <c r="AG795" s="551"/>
      <c r="AH795" s="551"/>
      <c r="AI795" s="551"/>
      <c r="AJ795" s="551"/>
      <c r="AK795" s="551"/>
      <c r="AL795" s="551"/>
      <c r="AM795" s="551"/>
      <c r="AN795" s="551"/>
      <c r="AO795" s="551"/>
      <c r="AP795" s="551"/>
      <c r="AQ795" s="551"/>
      <c r="AR795" s="551"/>
      <c r="AS795" s="551"/>
      <c r="AT795" s="551"/>
      <c r="AU795" s="551"/>
      <c r="AV795" s="551"/>
      <c r="AW795" s="551"/>
      <c r="AX795" s="551"/>
      <c r="AY795" s="551"/>
      <c r="AZ795" s="551"/>
      <c r="BA795" s="551"/>
      <c r="BB795" s="551"/>
      <c r="BC795" s="551"/>
      <c r="BD795" s="551"/>
      <c r="BE795" s="551"/>
      <c r="BF795" s="551"/>
    </row>
    <row r="796" spans="1:58" ht="12.75" customHeight="1">
      <c r="A796" s="551"/>
      <c r="B796" s="551"/>
      <c r="C796" s="551"/>
      <c r="D796" s="551"/>
      <c r="E796" s="551"/>
      <c r="F796" s="551"/>
      <c r="G796" s="551"/>
      <c r="H796" s="551"/>
      <c r="I796" s="551"/>
      <c r="J796" s="551"/>
      <c r="K796" s="551"/>
      <c r="L796" s="551"/>
      <c r="M796" s="551"/>
      <c r="N796" s="551"/>
      <c r="O796" s="551"/>
      <c r="P796" s="551"/>
      <c r="Q796" s="551"/>
      <c r="R796" s="551"/>
      <c r="S796" s="551"/>
      <c r="T796" s="551"/>
      <c r="U796" s="551"/>
      <c r="V796" s="551"/>
      <c r="W796" s="551"/>
      <c r="X796" s="551"/>
      <c r="Y796" s="551"/>
      <c r="Z796" s="551"/>
      <c r="AA796" s="551"/>
      <c r="AB796" s="551"/>
      <c r="AC796" s="551"/>
      <c r="AD796" s="551"/>
      <c r="AE796" s="551"/>
      <c r="AF796" s="551"/>
      <c r="AG796" s="551"/>
      <c r="AH796" s="551"/>
      <c r="AI796" s="551"/>
      <c r="AJ796" s="551"/>
      <c r="AK796" s="551"/>
      <c r="AL796" s="551"/>
      <c r="AM796" s="551"/>
      <c r="AN796" s="551"/>
      <c r="AO796" s="551"/>
      <c r="AP796" s="551"/>
      <c r="AQ796" s="551"/>
      <c r="AR796" s="551"/>
      <c r="AS796" s="551"/>
      <c r="AT796" s="551"/>
      <c r="AU796" s="551"/>
      <c r="AV796" s="551"/>
      <c r="AW796" s="551"/>
      <c r="AX796" s="551"/>
      <c r="AY796" s="551"/>
      <c r="AZ796" s="551"/>
      <c r="BA796" s="551"/>
      <c r="BB796" s="551"/>
      <c r="BC796" s="551"/>
      <c r="BD796" s="551"/>
      <c r="BE796" s="551"/>
      <c r="BF796" s="551"/>
    </row>
    <row r="797" spans="1:58" ht="12.75" customHeight="1">
      <c r="A797" s="551"/>
      <c r="B797" s="551"/>
      <c r="C797" s="551"/>
      <c r="D797" s="551"/>
      <c r="E797" s="551"/>
      <c r="F797" s="551"/>
      <c r="G797" s="551"/>
      <c r="H797" s="551"/>
      <c r="I797" s="551"/>
      <c r="J797" s="551"/>
      <c r="K797" s="551"/>
      <c r="L797" s="551"/>
      <c r="M797" s="551"/>
      <c r="N797" s="551"/>
      <c r="O797" s="551"/>
      <c r="P797" s="551"/>
      <c r="Q797" s="551"/>
      <c r="R797" s="551"/>
      <c r="S797" s="551"/>
      <c r="T797" s="551"/>
      <c r="U797" s="551"/>
      <c r="V797" s="551"/>
      <c r="W797" s="551"/>
      <c r="X797" s="551"/>
      <c r="Y797" s="551"/>
      <c r="Z797" s="551"/>
      <c r="AA797" s="551"/>
      <c r="AB797" s="551"/>
      <c r="AC797" s="551"/>
      <c r="AD797" s="551"/>
      <c r="AE797" s="551"/>
      <c r="AF797" s="551"/>
      <c r="AG797" s="551"/>
      <c r="AH797" s="551"/>
      <c r="AI797" s="551"/>
      <c r="AJ797" s="551"/>
      <c r="AK797" s="551"/>
      <c r="AL797" s="551"/>
      <c r="AM797" s="551"/>
      <c r="AN797" s="551"/>
      <c r="AO797" s="551"/>
      <c r="AP797" s="551"/>
      <c r="AQ797" s="551"/>
      <c r="AR797" s="551"/>
      <c r="AS797" s="551"/>
      <c r="AT797" s="551"/>
      <c r="AU797" s="551"/>
      <c r="AV797" s="551"/>
      <c r="AW797" s="551"/>
      <c r="AX797" s="551"/>
      <c r="AY797" s="551"/>
      <c r="AZ797" s="551"/>
      <c r="BA797" s="551"/>
      <c r="BB797" s="551"/>
      <c r="BC797" s="551"/>
      <c r="BD797" s="551"/>
      <c r="BE797" s="551"/>
      <c r="BF797" s="551"/>
    </row>
    <row r="798" spans="1:58" ht="12.75" customHeight="1">
      <c r="A798" s="551"/>
      <c r="B798" s="551"/>
      <c r="C798" s="551"/>
      <c r="D798" s="551"/>
      <c r="E798" s="551"/>
      <c r="F798" s="551"/>
      <c r="G798" s="551"/>
      <c r="H798" s="551"/>
      <c r="I798" s="551"/>
      <c r="J798" s="551"/>
      <c r="K798" s="551"/>
      <c r="L798" s="551"/>
      <c r="M798" s="551"/>
      <c r="N798" s="551"/>
      <c r="O798" s="551"/>
      <c r="P798" s="551"/>
      <c r="Q798" s="551"/>
      <c r="R798" s="551"/>
      <c r="S798" s="551"/>
      <c r="T798" s="551"/>
      <c r="U798" s="551"/>
      <c r="V798" s="551"/>
      <c r="W798" s="551"/>
      <c r="X798" s="551"/>
      <c r="Y798" s="551"/>
      <c r="Z798" s="551"/>
      <c r="AA798" s="551"/>
      <c r="AB798" s="551"/>
      <c r="AC798" s="551"/>
      <c r="AD798" s="551"/>
      <c r="AE798" s="551"/>
      <c r="AF798" s="551"/>
      <c r="AG798" s="551"/>
      <c r="AH798" s="551"/>
      <c r="AI798" s="551"/>
      <c r="AJ798" s="551"/>
      <c r="AK798" s="551"/>
      <c r="AL798" s="551"/>
      <c r="AM798" s="551"/>
      <c r="AN798" s="551"/>
      <c r="AO798" s="551"/>
      <c r="AP798" s="551"/>
      <c r="AQ798" s="551"/>
      <c r="AR798" s="551"/>
      <c r="AS798" s="551"/>
      <c r="AT798" s="551"/>
      <c r="AU798" s="551"/>
      <c r="AV798" s="551"/>
      <c r="AW798" s="551"/>
      <c r="AX798" s="551"/>
      <c r="AY798" s="551"/>
      <c r="AZ798" s="551"/>
      <c r="BA798" s="551"/>
      <c r="BB798" s="551"/>
      <c r="BC798" s="551"/>
      <c r="BD798" s="551"/>
      <c r="BE798" s="551"/>
      <c r="BF798" s="551"/>
    </row>
    <row r="799" spans="1:58" ht="12.75" customHeight="1">
      <c r="A799" s="551"/>
      <c r="B799" s="551"/>
      <c r="C799" s="551"/>
      <c r="D799" s="551"/>
      <c r="E799" s="551"/>
      <c r="F799" s="551"/>
      <c r="G799" s="551"/>
      <c r="H799" s="551"/>
      <c r="I799" s="551"/>
      <c r="J799" s="551"/>
      <c r="K799" s="551"/>
      <c r="L799" s="551"/>
      <c r="M799" s="551"/>
      <c r="N799" s="551"/>
      <c r="O799" s="551"/>
      <c r="P799" s="551"/>
      <c r="Q799" s="551"/>
      <c r="R799" s="551"/>
      <c r="S799" s="551"/>
      <c r="T799" s="551"/>
      <c r="U799" s="551"/>
      <c r="V799" s="551"/>
      <c r="W799" s="551"/>
      <c r="X799" s="551"/>
      <c r="Y799" s="551"/>
      <c r="Z799" s="551"/>
      <c r="AA799" s="551"/>
      <c r="AB799" s="551"/>
      <c r="AC799" s="551"/>
      <c r="AD799" s="551"/>
      <c r="AE799" s="551"/>
      <c r="AF799" s="551"/>
      <c r="AG799" s="551"/>
      <c r="AH799" s="551"/>
      <c r="AI799" s="551"/>
      <c r="AJ799" s="551"/>
      <c r="AK799" s="551"/>
      <c r="AL799" s="551"/>
      <c r="AM799" s="551"/>
      <c r="AN799" s="551"/>
      <c r="AO799" s="551"/>
      <c r="AP799" s="551"/>
      <c r="AQ799" s="551"/>
      <c r="AR799" s="551"/>
      <c r="AS799" s="551"/>
      <c r="AT799" s="551"/>
      <c r="AU799" s="551"/>
      <c r="AV799" s="551"/>
      <c r="AW799" s="551"/>
      <c r="AX799" s="551"/>
      <c r="AY799" s="551"/>
      <c r="AZ799" s="551"/>
      <c r="BA799" s="551"/>
      <c r="BB799" s="551"/>
      <c r="BC799" s="551"/>
      <c r="BD799" s="551"/>
      <c r="BE799" s="551"/>
      <c r="BF799" s="551"/>
    </row>
    <row r="800" spans="1:58" ht="12.75" customHeight="1">
      <c r="A800" s="551"/>
      <c r="B800" s="551"/>
      <c r="C800" s="551"/>
      <c r="D800" s="551"/>
      <c r="E800" s="551"/>
      <c r="F800" s="551"/>
      <c r="G800" s="551"/>
      <c r="H800" s="551"/>
      <c r="I800" s="551"/>
      <c r="J800" s="551"/>
      <c r="K800" s="551"/>
      <c r="L800" s="551"/>
      <c r="M800" s="551"/>
      <c r="N800" s="551"/>
      <c r="O800" s="551"/>
      <c r="P800" s="551"/>
      <c r="Q800" s="551"/>
      <c r="R800" s="551"/>
      <c r="S800" s="551"/>
      <c r="T800" s="551"/>
      <c r="U800" s="551"/>
      <c r="V800" s="551"/>
      <c r="W800" s="551"/>
      <c r="X800" s="551"/>
      <c r="Y800" s="551"/>
      <c r="Z800" s="551"/>
      <c r="AA800" s="551"/>
      <c r="AB800" s="551"/>
      <c r="AC800" s="551"/>
      <c r="AD800" s="551"/>
      <c r="AE800" s="551"/>
      <c r="AF800" s="551"/>
      <c r="AG800" s="551"/>
      <c r="AH800" s="551"/>
      <c r="AI800" s="551"/>
      <c r="AJ800" s="551"/>
      <c r="AK800" s="551"/>
      <c r="AL800" s="551"/>
      <c r="AM800" s="551"/>
      <c r="AN800" s="551"/>
      <c r="AO800" s="551"/>
      <c r="AP800" s="551"/>
      <c r="AQ800" s="551"/>
      <c r="AR800" s="551"/>
      <c r="AS800" s="551"/>
      <c r="AT800" s="551"/>
      <c r="AU800" s="551"/>
      <c r="AV800" s="551"/>
      <c r="AW800" s="551"/>
      <c r="AX800" s="551"/>
      <c r="AY800" s="551"/>
      <c r="AZ800" s="551"/>
      <c r="BA800" s="551"/>
      <c r="BB800" s="551"/>
      <c r="BC800" s="551"/>
      <c r="BD800" s="551"/>
      <c r="BE800" s="551"/>
      <c r="BF800" s="551"/>
    </row>
    <row r="801" spans="1:58" ht="12.75" customHeight="1">
      <c r="A801" s="551"/>
      <c r="B801" s="551"/>
      <c r="C801" s="551"/>
      <c r="D801" s="551"/>
      <c r="E801" s="551"/>
      <c r="F801" s="551"/>
      <c r="G801" s="551"/>
      <c r="H801" s="551"/>
      <c r="I801" s="551"/>
      <c r="J801" s="551"/>
      <c r="K801" s="551"/>
      <c r="L801" s="551"/>
      <c r="M801" s="551"/>
      <c r="N801" s="551"/>
      <c r="O801" s="551"/>
      <c r="P801" s="551"/>
      <c r="Q801" s="551"/>
      <c r="R801" s="551"/>
      <c r="S801" s="551"/>
      <c r="T801" s="551"/>
      <c r="U801" s="551"/>
      <c r="V801" s="551"/>
      <c r="W801" s="551"/>
      <c r="X801" s="551"/>
      <c r="Y801" s="551"/>
      <c r="Z801" s="551"/>
      <c r="AA801" s="551"/>
      <c r="AB801" s="551"/>
      <c r="AC801" s="551"/>
      <c r="AD801" s="551"/>
      <c r="AE801" s="551"/>
      <c r="AF801" s="551"/>
      <c r="AG801" s="551"/>
      <c r="AH801" s="551"/>
      <c r="AI801" s="551"/>
      <c r="AJ801" s="551"/>
      <c r="AK801" s="551"/>
      <c r="AL801" s="551"/>
      <c r="AM801" s="551"/>
      <c r="AN801" s="551"/>
      <c r="AO801" s="551"/>
      <c r="AP801" s="551"/>
      <c r="AQ801" s="551"/>
      <c r="AR801" s="551"/>
      <c r="AS801" s="551"/>
      <c r="AT801" s="551"/>
      <c r="AU801" s="551"/>
      <c r="AV801" s="551"/>
      <c r="AW801" s="551"/>
      <c r="AX801" s="551"/>
      <c r="AY801" s="551"/>
      <c r="AZ801" s="551"/>
      <c r="BA801" s="551"/>
      <c r="BB801" s="551"/>
      <c r="BC801" s="551"/>
      <c r="BD801" s="551"/>
      <c r="BE801" s="551"/>
      <c r="BF801" s="551"/>
    </row>
    <row r="802" spans="1:58" ht="12.75" customHeight="1">
      <c r="A802" s="551"/>
      <c r="B802" s="551"/>
      <c r="C802" s="551"/>
      <c r="D802" s="551"/>
      <c r="E802" s="551"/>
      <c r="F802" s="551"/>
      <c r="G802" s="551"/>
      <c r="H802" s="551"/>
      <c r="I802" s="551"/>
      <c r="J802" s="551"/>
      <c r="K802" s="551"/>
      <c r="L802" s="551"/>
      <c r="M802" s="551"/>
      <c r="N802" s="551"/>
      <c r="O802" s="551"/>
      <c r="P802" s="551"/>
      <c r="Q802" s="551"/>
      <c r="R802" s="551"/>
      <c r="S802" s="551"/>
      <c r="T802" s="551"/>
      <c r="U802" s="551"/>
      <c r="V802" s="551"/>
      <c r="W802" s="551"/>
      <c r="X802" s="551"/>
      <c r="Y802" s="551"/>
      <c r="Z802" s="551"/>
      <c r="AA802" s="551"/>
      <c r="AB802" s="551"/>
      <c r="AC802" s="551"/>
      <c r="AD802" s="551"/>
      <c r="AE802" s="551"/>
      <c r="AF802" s="551"/>
      <c r="AG802" s="551"/>
      <c r="AH802" s="551"/>
      <c r="AI802" s="551"/>
      <c r="AJ802" s="551"/>
      <c r="AK802" s="551"/>
      <c r="AL802" s="551"/>
      <c r="AM802" s="551"/>
      <c r="AN802" s="551"/>
      <c r="AO802" s="551"/>
      <c r="AP802" s="551"/>
      <c r="AQ802" s="551"/>
      <c r="AR802" s="551"/>
      <c r="AS802" s="551"/>
      <c r="AT802" s="551"/>
      <c r="AU802" s="551"/>
      <c r="AV802" s="551"/>
      <c r="AW802" s="551"/>
      <c r="AX802" s="551"/>
      <c r="AY802" s="551"/>
      <c r="AZ802" s="551"/>
      <c r="BA802" s="551"/>
      <c r="BB802" s="551"/>
      <c r="BC802" s="551"/>
      <c r="BD802" s="551"/>
      <c r="BE802" s="551"/>
      <c r="BF802" s="551"/>
    </row>
    <row r="803" spans="1:58" ht="12.75" customHeight="1">
      <c r="A803" s="551"/>
      <c r="B803" s="551"/>
      <c r="C803" s="551"/>
      <c r="D803" s="551"/>
      <c r="E803" s="551"/>
      <c r="F803" s="551"/>
      <c r="G803" s="551"/>
      <c r="H803" s="551"/>
      <c r="I803" s="551"/>
      <c r="J803" s="551"/>
      <c r="K803" s="551"/>
      <c r="L803" s="551"/>
      <c r="M803" s="551"/>
      <c r="N803" s="551"/>
      <c r="O803" s="551"/>
      <c r="P803" s="551"/>
      <c r="Q803" s="551"/>
      <c r="R803" s="551"/>
      <c r="S803" s="551"/>
      <c r="T803" s="551"/>
      <c r="U803" s="551"/>
      <c r="V803" s="551"/>
      <c r="W803" s="551"/>
      <c r="X803" s="551"/>
      <c r="Y803" s="551"/>
      <c r="Z803" s="551"/>
      <c r="AA803" s="551"/>
      <c r="AB803" s="551"/>
      <c r="AC803" s="551"/>
      <c r="AD803" s="551"/>
      <c r="AE803" s="551"/>
      <c r="AF803" s="551"/>
      <c r="AG803" s="551"/>
      <c r="AH803" s="551"/>
      <c r="AI803" s="551"/>
      <c r="AJ803" s="551"/>
      <c r="AK803" s="551"/>
      <c r="AL803" s="551"/>
      <c r="AM803" s="551"/>
      <c r="AN803" s="551"/>
      <c r="AO803" s="551"/>
      <c r="AP803" s="551"/>
      <c r="AQ803" s="551"/>
      <c r="AR803" s="551"/>
      <c r="AS803" s="551"/>
      <c r="AT803" s="551"/>
      <c r="AU803" s="551"/>
      <c r="AV803" s="551"/>
      <c r="AW803" s="551"/>
      <c r="AX803" s="551"/>
      <c r="AY803" s="551"/>
      <c r="AZ803" s="551"/>
      <c r="BA803" s="551"/>
      <c r="BB803" s="551"/>
      <c r="BC803" s="551"/>
      <c r="BD803" s="551"/>
      <c r="BE803" s="551"/>
      <c r="BF803" s="551"/>
    </row>
    <row r="804" spans="1:58" ht="12.75" customHeight="1">
      <c r="A804" s="551"/>
      <c r="B804" s="551"/>
      <c r="C804" s="551"/>
      <c r="D804" s="551"/>
      <c r="E804" s="551"/>
      <c r="F804" s="551"/>
      <c r="G804" s="551"/>
      <c r="H804" s="551"/>
      <c r="I804" s="551"/>
      <c r="J804" s="551"/>
      <c r="K804" s="551"/>
      <c r="L804" s="551"/>
      <c r="M804" s="551"/>
      <c r="N804" s="551"/>
      <c r="O804" s="551"/>
      <c r="P804" s="551"/>
      <c r="Q804" s="551"/>
      <c r="R804" s="551"/>
      <c r="S804" s="551"/>
      <c r="T804" s="551"/>
      <c r="U804" s="551"/>
      <c r="V804" s="551"/>
      <c r="W804" s="551"/>
      <c r="X804" s="551"/>
      <c r="Y804" s="551"/>
      <c r="Z804" s="551"/>
      <c r="AA804" s="551"/>
      <c r="AB804" s="551"/>
      <c r="AC804" s="551"/>
      <c r="AD804" s="551"/>
      <c r="AE804" s="551"/>
      <c r="AF804" s="551"/>
      <c r="AG804" s="551"/>
      <c r="AH804" s="551"/>
      <c r="AI804" s="551"/>
      <c r="AJ804" s="551"/>
      <c r="AK804" s="551"/>
      <c r="AL804" s="551"/>
      <c r="AM804" s="551"/>
      <c r="AN804" s="551"/>
      <c r="AO804" s="551"/>
      <c r="AP804" s="551"/>
      <c r="AQ804" s="551"/>
      <c r="AR804" s="551"/>
      <c r="AS804" s="551"/>
      <c r="AT804" s="551"/>
      <c r="AU804" s="551"/>
      <c r="AV804" s="551"/>
      <c r="AW804" s="551"/>
      <c r="AX804" s="551"/>
      <c r="AY804" s="551"/>
      <c r="AZ804" s="551"/>
      <c r="BA804" s="551"/>
      <c r="BB804" s="551"/>
      <c r="BC804" s="551"/>
      <c r="BD804" s="551"/>
      <c r="BE804" s="551"/>
      <c r="BF804" s="551"/>
    </row>
    <row r="805" spans="1:58" ht="12.75" customHeight="1">
      <c r="A805" s="551"/>
      <c r="B805" s="551"/>
      <c r="C805" s="551"/>
      <c r="D805" s="551"/>
      <c r="E805" s="551"/>
      <c r="F805" s="551"/>
      <c r="G805" s="551"/>
      <c r="H805" s="551"/>
      <c r="I805" s="551"/>
      <c r="J805" s="551"/>
      <c r="K805" s="551"/>
      <c r="L805" s="551"/>
      <c r="M805" s="551"/>
      <c r="N805" s="551"/>
      <c r="O805" s="551"/>
      <c r="P805" s="551"/>
      <c r="Q805" s="551"/>
      <c r="R805" s="551"/>
      <c r="S805" s="551"/>
      <c r="T805" s="551"/>
      <c r="U805" s="551"/>
      <c r="V805" s="551"/>
      <c r="W805" s="551"/>
      <c r="X805" s="551"/>
      <c r="Y805" s="551"/>
      <c r="Z805" s="551"/>
      <c r="AA805" s="551"/>
      <c r="AB805" s="551"/>
      <c r="AC805" s="551"/>
      <c r="AD805" s="551"/>
      <c r="AE805" s="551"/>
      <c r="AF805" s="551"/>
      <c r="AG805" s="551"/>
      <c r="AH805" s="551"/>
      <c r="AI805" s="551"/>
      <c r="AJ805" s="551"/>
      <c r="AK805" s="551"/>
      <c r="AL805" s="551"/>
      <c r="AM805" s="551"/>
      <c r="AN805" s="551"/>
      <c r="AO805" s="551"/>
      <c r="AP805" s="551"/>
      <c r="AQ805" s="551"/>
      <c r="AR805" s="551"/>
      <c r="AS805" s="551"/>
      <c r="AT805" s="551"/>
      <c r="AU805" s="551"/>
      <c r="AV805" s="551"/>
      <c r="AW805" s="551"/>
      <c r="AX805" s="551"/>
      <c r="AY805" s="551"/>
      <c r="AZ805" s="551"/>
      <c r="BA805" s="551"/>
      <c r="BB805" s="551"/>
      <c r="BC805" s="551"/>
      <c r="BD805" s="551"/>
      <c r="BE805" s="551"/>
      <c r="BF805" s="551"/>
    </row>
    <row r="806" spans="1:58" ht="12.75" customHeight="1">
      <c r="A806" s="551"/>
      <c r="B806" s="551"/>
      <c r="C806" s="551"/>
      <c r="D806" s="551"/>
      <c r="E806" s="551"/>
      <c r="F806" s="551"/>
      <c r="G806" s="551"/>
      <c r="H806" s="551"/>
      <c r="I806" s="551"/>
      <c r="J806" s="551"/>
      <c r="K806" s="551"/>
      <c r="L806" s="551"/>
      <c r="M806" s="551"/>
      <c r="N806" s="551"/>
      <c r="O806" s="551"/>
      <c r="P806" s="551"/>
      <c r="Q806" s="551"/>
      <c r="R806" s="551"/>
      <c r="S806" s="551"/>
      <c r="T806" s="551"/>
      <c r="U806" s="551"/>
      <c r="V806" s="551"/>
      <c r="W806" s="551"/>
      <c r="X806" s="551"/>
      <c r="Y806" s="551"/>
      <c r="Z806" s="551"/>
      <c r="AA806" s="551"/>
      <c r="AB806" s="551"/>
      <c r="AC806" s="551"/>
      <c r="AD806" s="551"/>
      <c r="AE806" s="551"/>
      <c r="AF806" s="551"/>
      <c r="AG806" s="551"/>
      <c r="AH806" s="551"/>
      <c r="AI806" s="551"/>
      <c r="AJ806" s="551"/>
      <c r="AK806" s="551"/>
      <c r="AL806" s="551"/>
      <c r="AM806" s="551"/>
      <c r="AN806" s="551"/>
      <c r="AO806" s="551"/>
      <c r="AP806" s="551"/>
      <c r="AQ806" s="551"/>
      <c r="AR806" s="551"/>
      <c r="AS806" s="551"/>
      <c r="AT806" s="551"/>
      <c r="AU806" s="551"/>
      <c r="AV806" s="551"/>
      <c r="AW806" s="551"/>
      <c r="AX806" s="551"/>
      <c r="AY806" s="551"/>
      <c r="AZ806" s="551"/>
      <c r="BA806" s="551"/>
      <c r="BB806" s="551"/>
      <c r="BC806" s="551"/>
      <c r="BD806" s="551"/>
      <c r="BE806" s="551"/>
      <c r="BF806" s="551"/>
    </row>
    <row r="807" spans="1:58" ht="12.75" customHeight="1">
      <c r="A807" s="551"/>
      <c r="B807" s="551"/>
      <c r="C807" s="551"/>
      <c r="D807" s="551"/>
      <c r="E807" s="551"/>
      <c r="F807" s="551"/>
      <c r="G807" s="551"/>
      <c r="H807" s="551"/>
      <c r="I807" s="551"/>
      <c r="J807" s="551"/>
      <c r="K807" s="551"/>
      <c r="L807" s="551"/>
      <c r="M807" s="551"/>
      <c r="N807" s="551"/>
      <c r="O807" s="551"/>
      <c r="P807" s="551"/>
      <c r="Q807" s="551"/>
      <c r="R807" s="551"/>
      <c r="S807" s="551"/>
      <c r="T807" s="551"/>
      <c r="U807" s="551"/>
      <c r="V807" s="551"/>
      <c r="W807" s="551"/>
      <c r="X807" s="551"/>
      <c r="Y807" s="551"/>
      <c r="Z807" s="551"/>
      <c r="AA807" s="551"/>
      <c r="AB807" s="551"/>
      <c r="AC807" s="551"/>
      <c r="AD807" s="551"/>
      <c r="AE807" s="551"/>
      <c r="AF807" s="551"/>
      <c r="AG807" s="551"/>
      <c r="AH807" s="551"/>
      <c r="AI807" s="551"/>
      <c r="AJ807" s="551"/>
      <c r="AK807" s="551"/>
      <c r="AL807" s="551"/>
      <c r="AM807" s="551"/>
      <c r="AN807" s="551"/>
      <c r="AO807" s="551"/>
      <c r="AP807" s="551"/>
      <c r="AQ807" s="551"/>
      <c r="AR807" s="551"/>
      <c r="AS807" s="551"/>
      <c r="AT807" s="551"/>
      <c r="AU807" s="551"/>
      <c r="AV807" s="551"/>
      <c r="AW807" s="551"/>
      <c r="AX807" s="551"/>
      <c r="AY807" s="551"/>
      <c r="AZ807" s="551"/>
      <c r="BA807" s="551"/>
      <c r="BB807" s="551"/>
      <c r="BC807" s="551"/>
      <c r="BD807" s="551"/>
      <c r="BE807" s="551"/>
      <c r="BF807" s="551"/>
    </row>
    <row r="808" spans="1:58" ht="12.75" customHeight="1">
      <c r="A808" s="551"/>
      <c r="B808" s="551"/>
      <c r="C808" s="551"/>
      <c r="D808" s="551"/>
      <c r="E808" s="551"/>
      <c r="F808" s="551"/>
      <c r="G808" s="551"/>
      <c r="H808" s="551"/>
      <c r="I808" s="551"/>
      <c r="J808" s="551"/>
      <c r="K808" s="551"/>
      <c r="L808" s="551"/>
      <c r="M808" s="551"/>
      <c r="N808" s="551"/>
      <c r="O808" s="551"/>
      <c r="P808" s="551"/>
      <c r="Q808" s="551"/>
      <c r="R808" s="551"/>
      <c r="S808" s="551"/>
      <c r="T808" s="551"/>
      <c r="U808" s="551"/>
      <c r="V808" s="551"/>
      <c r="W808" s="551"/>
      <c r="X808" s="551"/>
      <c r="Y808" s="551"/>
      <c r="Z808" s="551"/>
      <c r="AA808" s="551"/>
      <c r="AB808" s="551"/>
      <c r="AC808" s="551"/>
      <c r="AD808" s="551"/>
      <c r="AE808" s="551"/>
      <c r="AF808" s="551"/>
      <c r="AG808" s="551"/>
      <c r="AH808" s="551"/>
      <c r="AI808" s="551"/>
      <c r="AJ808" s="551"/>
      <c r="AK808" s="551"/>
      <c r="AL808" s="551"/>
      <c r="AM808" s="551"/>
      <c r="AN808" s="551"/>
      <c r="AO808" s="551"/>
      <c r="AP808" s="551"/>
      <c r="AQ808" s="551"/>
      <c r="AR808" s="551"/>
      <c r="AS808" s="551"/>
      <c r="AT808" s="551"/>
      <c r="AU808" s="551"/>
      <c r="AV808" s="551"/>
      <c r="AW808" s="551"/>
      <c r="AX808" s="551"/>
      <c r="AY808" s="551"/>
      <c r="AZ808" s="551"/>
      <c r="BA808" s="551"/>
      <c r="BB808" s="551"/>
      <c r="BC808" s="551"/>
      <c r="BD808" s="551"/>
      <c r="BE808" s="551"/>
      <c r="BF808" s="551"/>
    </row>
    <row r="809" spans="1:58" ht="12.75" customHeight="1">
      <c r="A809" s="551"/>
      <c r="B809" s="551"/>
      <c r="C809" s="551"/>
      <c r="D809" s="551"/>
      <c r="E809" s="551"/>
      <c r="F809" s="551"/>
      <c r="G809" s="551"/>
      <c r="H809" s="551"/>
      <c r="I809" s="551"/>
      <c r="J809" s="551"/>
      <c r="K809" s="551"/>
      <c r="L809" s="551"/>
      <c r="M809" s="551"/>
      <c r="N809" s="551"/>
      <c r="O809" s="551"/>
      <c r="P809" s="551"/>
      <c r="Q809" s="551"/>
      <c r="R809" s="551"/>
      <c r="S809" s="551"/>
      <c r="T809" s="551"/>
      <c r="U809" s="551"/>
      <c r="V809" s="551"/>
      <c r="W809" s="551"/>
      <c r="X809" s="551"/>
      <c r="Y809" s="551"/>
      <c r="Z809" s="551"/>
      <c r="AA809" s="551"/>
      <c r="AB809" s="551"/>
      <c r="AC809" s="551"/>
      <c r="AD809" s="551"/>
      <c r="AE809" s="551"/>
      <c r="AF809" s="551"/>
      <c r="AG809" s="551"/>
      <c r="AH809" s="551"/>
      <c r="AI809" s="551"/>
      <c r="AJ809" s="551"/>
      <c r="AK809" s="551"/>
      <c r="AL809" s="551"/>
      <c r="AM809" s="551"/>
      <c r="AN809" s="551"/>
      <c r="AO809" s="551"/>
      <c r="AP809" s="551"/>
      <c r="AQ809" s="551"/>
      <c r="AR809" s="551"/>
      <c r="AS809" s="551"/>
      <c r="AT809" s="551"/>
      <c r="AU809" s="551"/>
      <c r="AV809" s="551"/>
      <c r="AW809" s="551"/>
      <c r="AX809" s="551"/>
      <c r="AY809" s="551"/>
      <c r="AZ809" s="551"/>
      <c r="BA809" s="551"/>
      <c r="BB809" s="551"/>
      <c r="BC809" s="551"/>
      <c r="BD809" s="551"/>
      <c r="BE809" s="551"/>
      <c r="BF809" s="551"/>
    </row>
    <row r="810" spans="1:58" ht="12.75" customHeight="1">
      <c r="A810" s="551"/>
      <c r="B810" s="551"/>
      <c r="C810" s="551"/>
      <c r="D810" s="551"/>
      <c r="E810" s="551"/>
      <c r="F810" s="551"/>
      <c r="G810" s="551"/>
      <c r="H810" s="551"/>
      <c r="I810" s="551"/>
      <c r="J810" s="551"/>
      <c r="K810" s="551"/>
      <c r="L810" s="551"/>
      <c r="M810" s="551"/>
      <c r="N810" s="551"/>
      <c r="O810" s="551"/>
      <c r="P810" s="551"/>
      <c r="Q810" s="551"/>
      <c r="R810" s="551"/>
      <c r="S810" s="551"/>
      <c r="T810" s="551"/>
      <c r="U810" s="551"/>
      <c r="V810" s="551"/>
      <c r="W810" s="551"/>
      <c r="X810" s="551"/>
      <c r="Y810" s="551"/>
      <c r="Z810" s="551"/>
      <c r="AA810" s="551"/>
      <c r="AB810" s="551"/>
      <c r="AC810" s="551"/>
      <c r="AD810" s="551"/>
      <c r="AE810" s="551"/>
      <c r="AF810" s="551"/>
      <c r="AG810" s="551"/>
      <c r="AH810" s="551"/>
      <c r="AI810" s="551"/>
      <c r="AJ810" s="551"/>
      <c r="AK810" s="551"/>
      <c r="AL810" s="551"/>
      <c r="AM810" s="551"/>
      <c r="AN810" s="551"/>
      <c r="AO810" s="551"/>
      <c r="AP810" s="551"/>
      <c r="AQ810" s="551"/>
      <c r="AR810" s="551"/>
      <c r="AS810" s="551"/>
      <c r="AT810" s="551"/>
      <c r="AU810" s="551"/>
      <c r="AV810" s="551"/>
      <c r="AW810" s="551"/>
      <c r="AX810" s="551"/>
      <c r="AY810" s="551"/>
      <c r="AZ810" s="551"/>
      <c r="BA810" s="551"/>
      <c r="BB810" s="551"/>
      <c r="BC810" s="551"/>
      <c r="BD810" s="551"/>
      <c r="BE810" s="551"/>
      <c r="BF810" s="551"/>
    </row>
    <row r="811" spans="1:58" ht="12.75" customHeight="1">
      <c r="A811" s="551"/>
      <c r="B811" s="551"/>
      <c r="C811" s="551"/>
      <c r="D811" s="551"/>
      <c r="E811" s="551"/>
      <c r="F811" s="551"/>
      <c r="G811" s="551"/>
      <c r="H811" s="551"/>
      <c r="I811" s="551"/>
      <c r="J811" s="551"/>
      <c r="K811" s="551"/>
      <c r="L811" s="551"/>
      <c r="M811" s="551"/>
      <c r="N811" s="551"/>
      <c r="O811" s="551"/>
      <c r="P811" s="551"/>
      <c r="Q811" s="551"/>
      <c r="R811" s="551"/>
      <c r="S811" s="551"/>
      <c r="T811" s="551"/>
      <c r="U811" s="551"/>
      <c r="V811" s="551"/>
      <c r="W811" s="551"/>
      <c r="X811" s="551"/>
      <c r="Y811" s="551"/>
      <c r="Z811" s="551"/>
      <c r="AA811" s="551"/>
      <c r="AB811" s="551"/>
      <c r="AC811" s="551"/>
      <c r="AD811" s="551"/>
      <c r="AE811" s="551"/>
      <c r="AF811" s="551"/>
      <c r="AG811" s="551"/>
      <c r="AH811" s="551"/>
      <c r="AI811" s="551"/>
      <c r="AJ811" s="551"/>
      <c r="AK811" s="551"/>
      <c r="AL811" s="551"/>
      <c r="AM811" s="551"/>
      <c r="AN811" s="551"/>
      <c r="AO811" s="551"/>
      <c r="AP811" s="551"/>
      <c r="AQ811" s="551"/>
      <c r="AR811" s="551"/>
      <c r="AS811" s="551"/>
      <c r="AT811" s="551"/>
      <c r="AU811" s="551"/>
      <c r="AV811" s="551"/>
      <c r="AW811" s="551"/>
      <c r="AX811" s="551"/>
      <c r="AY811" s="551"/>
      <c r="AZ811" s="551"/>
      <c r="BA811" s="551"/>
      <c r="BB811" s="551"/>
      <c r="BC811" s="551"/>
      <c r="BD811" s="551"/>
      <c r="BE811" s="551"/>
      <c r="BF811" s="551"/>
    </row>
    <row r="812" spans="1:58" ht="12.75" customHeight="1">
      <c r="A812" s="551"/>
      <c r="B812" s="551"/>
      <c r="C812" s="551"/>
      <c r="D812" s="551"/>
      <c r="E812" s="551"/>
      <c r="F812" s="551"/>
      <c r="G812" s="551"/>
      <c r="H812" s="551"/>
      <c r="I812" s="551"/>
      <c r="J812" s="551"/>
      <c r="K812" s="551"/>
      <c r="L812" s="551"/>
      <c r="M812" s="551"/>
      <c r="N812" s="551"/>
      <c r="O812" s="551"/>
      <c r="P812" s="551"/>
      <c r="Q812" s="551"/>
      <c r="R812" s="551"/>
      <c r="S812" s="551"/>
      <c r="T812" s="551"/>
      <c r="U812" s="551"/>
      <c r="V812" s="551"/>
      <c r="W812" s="551"/>
      <c r="X812" s="551"/>
      <c r="Y812" s="551"/>
      <c r="Z812" s="551"/>
      <c r="AA812" s="551"/>
      <c r="AB812" s="551"/>
      <c r="AC812" s="551"/>
      <c r="AD812" s="551"/>
      <c r="AE812" s="551"/>
      <c r="AF812" s="551"/>
      <c r="AG812" s="551"/>
      <c r="AH812" s="551"/>
      <c r="AI812" s="551"/>
      <c r="AJ812" s="551"/>
      <c r="AK812" s="551"/>
      <c r="AL812" s="551"/>
      <c r="AM812" s="551"/>
      <c r="AN812" s="551"/>
      <c r="AO812" s="551"/>
      <c r="AP812" s="551"/>
      <c r="AQ812" s="551"/>
      <c r="AR812" s="551"/>
      <c r="AS812" s="551"/>
      <c r="AT812" s="551"/>
      <c r="AU812" s="551"/>
      <c r="AV812" s="551"/>
      <c r="AW812" s="551"/>
      <c r="AX812" s="551"/>
      <c r="AY812" s="551"/>
      <c r="AZ812" s="551"/>
      <c r="BA812" s="551"/>
      <c r="BB812" s="551"/>
      <c r="BC812" s="551"/>
      <c r="BD812" s="551"/>
      <c r="BE812" s="551"/>
      <c r="BF812" s="551"/>
    </row>
    <row r="813" spans="1:58" ht="12.75" customHeight="1">
      <c r="A813" s="551"/>
      <c r="B813" s="551"/>
      <c r="C813" s="551"/>
      <c r="D813" s="551"/>
      <c r="E813" s="551"/>
      <c r="F813" s="551"/>
      <c r="G813" s="551"/>
      <c r="H813" s="551"/>
      <c r="I813" s="551"/>
      <c r="J813" s="551"/>
      <c r="K813" s="551"/>
      <c r="L813" s="551"/>
      <c r="M813" s="551"/>
      <c r="N813" s="551"/>
      <c r="O813" s="551"/>
      <c r="P813" s="551"/>
      <c r="Q813" s="551"/>
      <c r="R813" s="551"/>
      <c r="S813" s="551"/>
      <c r="T813" s="551"/>
      <c r="U813" s="551"/>
      <c r="V813" s="551"/>
      <c r="W813" s="551"/>
      <c r="X813" s="551"/>
      <c r="Y813" s="551"/>
      <c r="Z813" s="551"/>
      <c r="AA813" s="551"/>
      <c r="AB813" s="551"/>
      <c r="AC813" s="551"/>
      <c r="AD813" s="551"/>
      <c r="AE813" s="551"/>
      <c r="AF813" s="551"/>
      <c r="AG813" s="551"/>
      <c r="AH813" s="551"/>
      <c r="AI813" s="551"/>
      <c r="AJ813" s="551"/>
      <c r="AK813" s="551"/>
      <c r="AL813" s="551"/>
      <c r="AM813" s="551"/>
      <c r="AN813" s="551"/>
      <c r="AO813" s="551"/>
      <c r="AP813" s="551"/>
      <c r="AQ813" s="551"/>
      <c r="AR813" s="551"/>
      <c r="AS813" s="551"/>
      <c r="AT813" s="551"/>
      <c r="AU813" s="551"/>
      <c r="AV813" s="551"/>
      <c r="AW813" s="551"/>
      <c r="AX813" s="551"/>
      <c r="AY813" s="551"/>
      <c r="AZ813" s="551"/>
      <c r="BA813" s="551"/>
      <c r="BB813" s="551"/>
      <c r="BC813" s="551"/>
      <c r="BD813" s="551"/>
      <c r="BE813" s="551"/>
      <c r="BF813" s="551"/>
    </row>
    <row r="814" spans="1:58" ht="12.75" customHeight="1">
      <c r="A814" s="551"/>
      <c r="B814" s="551"/>
      <c r="C814" s="551"/>
      <c r="D814" s="551"/>
      <c r="E814" s="551"/>
      <c r="F814" s="551"/>
      <c r="G814" s="551"/>
      <c r="H814" s="551"/>
      <c r="I814" s="551"/>
      <c r="J814" s="551"/>
      <c r="K814" s="551"/>
      <c r="L814" s="551"/>
      <c r="M814" s="551"/>
      <c r="N814" s="551"/>
      <c r="O814" s="551"/>
      <c r="P814" s="551"/>
      <c r="Q814" s="551"/>
      <c r="R814" s="551"/>
      <c r="S814" s="551"/>
      <c r="T814" s="551"/>
      <c r="U814" s="551"/>
      <c r="V814" s="551"/>
      <c r="W814" s="551"/>
      <c r="X814" s="551"/>
      <c r="Y814" s="551"/>
      <c r="Z814" s="551"/>
      <c r="AA814" s="551"/>
      <c r="AB814" s="551"/>
      <c r="AC814" s="551"/>
      <c r="AD814" s="551"/>
      <c r="AE814" s="551"/>
      <c r="AF814" s="551"/>
      <c r="AG814" s="551"/>
      <c r="AH814" s="551"/>
      <c r="AI814" s="551"/>
      <c r="AJ814" s="551"/>
      <c r="AK814" s="551"/>
      <c r="AL814" s="551"/>
      <c r="AM814" s="551"/>
      <c r="AN814" s="551"/>
      <c r="AO814" s="551"/>
      <c r="AP814" s="551"/>
      <c r="AQ814" s="551"/>
      <c r="AR814" s="551"/>
      <c r="AS814" s="551"/>
      <c r="AT814" s="551"/>
      <c r="AU814" s="551"/>
      <c r="AV814" s="551"/>
      <c r="AW814" s="551"/>
      <c r="AX814" s="551"/>
      <c r="AY814" s="551"/>
      <c r="AZ814" s="551"/>
      <c r="BA814" s="551"/>
      <c r="BB814" s="551"/>
      <c r="BC814" s="551"/>
      <c r="BD814" s="551"/>
      <c r="BE814" s="551"/>
      <c r="BF814" s="551"/>
    </row>
    <row r="815" spans="1:58" ht="12.75" customHeight="1">
      <c r="A815" s="551"/>
      <c r="B815" s="551"/>
      <c r="C815" s="551"/>
      <c r="D815" s="551"/>
      <c r="E815" s="551"/>
      <c r="F815" s="551"/>
      <c r="G815" s="551"/>
      <c r="H815" s="551"/>
      <c r="I815" s="551"/>
      <c r="J815" s="551"/>
      <c r="K815" s="551"/>
      <c r="L815" s="551"/>
      <c r="M815" s="551"/>
      <c r="N815" s="551"/>
      <c r="O815" s="551"/>
      <c r="P815" s="551"/>
      <c r="Q815" s="551"/>
      <c r="R815" s="551"/>
      <c r="S815" s="551"/>
      <c r="T815" s="551"/>
      <c r="U815" s="551"/>
      <c r="V815" s="551"/>
      <c r="W815" s="551"/>
      <c r="X815" s="551"/>
      <c r="Y815" s="551"/>
      <c r="Z815" s="551"/>
      <c r="AA815" s="551"/>
      <c r="AB815" s="551"/>
      <c r="AC815" s="551"/>
      <c r="AD815" s="551"/>
      <c r="AE815" s="551"/>
      <c r="AF815" s="551"/>
      <c r="AG815" s="551"/>
      <c r="AH815" s="551"/>
      <c r="AI815" s="551"/>
      <c r="AJ815" s="551"/>
      <c r="AK815" s="551"/>
      <c r="AL815" s="551"/>
      <c r="AM815" s="551"/>
      <c r="AN815" s="551"/>
      <c r="AO815" s="551"/>
      <c r="AP815" s="551"/>
      <c r="AQ815" s="551"/>
      <c r="AR815" s="551"/>
      <c r="AS815" s="551"/>
      <c r="AT815" s="551"/>
      <c r="AU815" s="551"/>
      <c r="AV815" s="551"/>
      <c r="AW815" s="551"/>
      <c r="AX815" s="551"/>
      <c r="AY815" s="551"/>
      <c r="AZ815" s="551"/>
      <c r="BA815" s="551"/>
      <c r="BB815" s="551"/>
      <c r="BC815" s="551"/>
      <c r="BD815" s="551"/>
      <c r="BE815" s="551"/>
      <c r="BF815" s="551"/>
    </row>
    <row r="816" spans="1:58" ht="12.75" customHeight="1">
      <c r="A816" s="551"/>
      <c r="B816" s="551"/>
      <c r="C816" s="551"/>
      <c r="D816" s="551"/>
      <c r="E816" s="551"/>
      <c r="F816" s="551"/>
      <c r="G816" s="551"/>
      <c r="H816" s="551"/>
      <c r="I816" s="551"/>
      <c r="J816" s="551"/>
      <c r="K816" s="551"/>
      <c r="L816" s="551"/>
      <c r="M816" s="551"/>
      <c r="N816" s="551"/>
      <c r="O816" s="551"/>
      <c r="P816" s="551"/>
      <c r="Q816" s="551"/>
      <c r="R816" s="551"/>
      <c r="S816" s="551"/>
      <c r="T816" s="551"/>
      <c r="U816" s="551"/>
      <c r="V816" s="551"/>
      <c r="W816" s="551"/>
      <c r="X816" s="551"/>
      <c r="Y816" s="551"/>
      <c r="Z816" s="551"/>
      <c r="AA816" s="551"/>
      <c r="AB816" s="551"/>
      <c r="AC816" s="551"/>
      <c r="AD816" s="551"/>
      <c r="AE816" s="551"/>
      <c r="AF816" s="551"/>
      <c r="AG816" s="551"/>
      <c r="AH816" s="551"/>
      <c r="AI816" s="551"/>
      <c r="AJ816" s="551"/>
      <c r="AK816" s="551"/>
      <c r="AL816" s="551"/>
      <c r="AM816" s="551"/>
      <c r="AN816" s="551"/>
      <c r="AO816" s="551"/>
      <c r="AP816" s="551"/>
      <c r="AQ816" s="551"/>
      <c r="AR816" s="551"/>
      <c r="AS816" s="551"/>
      <c r="AT816" s="551"/>
      <c r="AU816" s="551"/>
      <c r="AV816" s="551"/>
      <c r="AW816" s="551"/>
      <c r="AX816" s="551"/>
      <c r="AY816" s="551"/>
      <c r="AZ816" s="551"/>
      <c r="BA816" s="551"/>
      <c r="BB816" s="551"/>
      <c r="BC816" s="551"/>
      <c r="BD816" s="551"/>
      <c r="BE816" s="551"/>
      <c r="BF816" s="551"/>
    </row>
    <row r="817" spans="1:58" ht="12.75" customHeight="1">
      <c r="A817" s="551"/>
      <c r="B817" s="551"/>
      <c r="C817" s="551"/>
      <c r="D817" s="551"/>
      <c r="E817" s="551"/>
      <c r="F817" s="551"/>
      <c r="G817" s="551"/>
      <c r="H817" s="551"/>
      <c r="I817" s="551"/>
      <c r="J817" s="551"/>
      <c r="K817" s="551"/>
      <c r="L817" s="551"/>
      <c r="M817" s="551"/>
      <c r="N817" s="551"/>
      <c r="O817" s="551"/>
      <c r="P817" s="551"/>
      <c r="Q817" s="551"/>
      <c r="R817" s="551"/>
      <c r="S817" s="551"/>
      <c r="T817" s="551"/>
      <c r="U817" s="551"/>
      <c r="V817" s="551"/>
      <c r="W817" s="551"/>
      <c r="X817" s="551"/>
      <c r="Y817" s="551"/>
      <c r="Z817" s="551"/>
      <c r="AA817" s="551"/>
      <c r="AB817" s="551"/>
      <c r="AC817" s="551"/>
      <c r="AD817" s="551"/>
      <c r="AE817" s="551"/>
      <c r="AF817" s="551"/>
      <c r="AG817" s="551"/>
      <c r="AH817" s="551"/>
      <c r="AI817" s="551"/>
      <c r="AJ817" s="551"/>
      <c r="AK817" s="551"/>
      <c r="AL817" s="551"/>
      <c r="AM817" s="551"/>
      <c r="AN817" s="551"/>
      <c r="AO817" s="551"/>
      <c r="AP817" s="551"/>
      <c r="AQ817" s="551"/>
      <c r="AR817" s="551"/>
      <c r="AS817" s="551"/>
      <c r="AT817" s="551"/>
      <c r="AU817" s="551"/>
      <c r="AV817" s="551"/>
      <c r="AW817" s="551"/>
      <c r="AX817" s="551"/>
      <c r="AY817" s="551"/>
      <c r="AZ817" s="551"/>
      <c r="BA817" s="551"/>
      <c r="BB817" s="551"/>
      <c r="BC817" s="551"/>
      <c r="BD817" s="551"/>
      <c r="BE817" s="551"/>
      <c r="BF817" s="551"/>
    </row>
    <row r="818" spans="1:58" ht="12.75" customHeight="1">
      <c r="A818" s="551"/>
      <c r="B818" s="551"/>
      <c r="C818" s="551"/>
      <c r="D818" s="551"/>
      <c r="E818" s="551"/>
      <c r="F818" s="551"/>
      <c r="G818" s="551"/>
      <c r="H818" s="551"/>
      <c r="I818" s="551"/>
      <c r="J818" s="551"/>
      <c r="K818" s="551"/>
      <c r="L818" s="551"/>
      <c r="M818" s="551"/>
      <c r="N818" s="551"/>
      <c r="O818" s="551"/>
      <c r="P818" s="551"/>
      <c r="Q818" s="551"/>
      <c r="R818" s="551"/>
      <c r="S818" s="551"/>
      <c r="T818" s="551"/>
      <c r="U818" s="551"/>
      <c r="V818" s="551"/>
      <c r="W818" s="551"/>
      <c r="X818" s="551"/>
      <c r="Y818" s="551"/>
      <c r="Z818" s="551"/>
      <c r="AA818" s="551"/>
      <c r="AB818" s="551"/>
      <c r="AC818" s="551"/>
      <c r="AD818" s="551"/>
      <c r="AE818" s="551"/>
      <c r="AF818" s="551"/>
      <c r="AG818" s="551"/>
      <c r="AH818" s="551"/>
      <c r="AI818" s="551"/>
      <c r="AJ818" s="551"/>
      <c r="AK818" s="551"/>
      <c r="AL818" s="551"/>
      <c r="AM818" s="551"/>
      <c r="AN818" s="551"/>
      <c r="AO818" s="551"/>
      <c r="AP818" s="551"/>
      <c r="AQ818" s="551"/>
      <c r="AR818" s="551"/>
      <c r="AS818" s="551"/>
      <c r="AT818" s="551"/>
      <c r="AU818" s="551"/>
      <c r="AV818" s="551"/>
      <c r="AW818" s="551"/>
      <c r="AX818" s="551"/>
      <c r="AY818" s="551"/>
      <c r="AZ818" s="551"/>
      <c r="BA818" s="551"/>
      <c r="BB818" s="551"/>
      <c r="BC818" s="551"/>
      <c r="BD818" s="551"/>
      <c r="BE818" s="551"/>
      <c r="BF818" s="551"/>
    </row>
    <row r="819" spans="1:58" ht="12.75" customHeight="1">
      <c r="A819" s="551"/>
      <c r="B819" s="551"/>
      <c r="C819" s="551"/>
      <c r="D819" s="551"/>
      <c r="E819" s="551"/>
      <c r="F819" s="551"/>
      <c r="G819" s="551"/>
      <c r="H819" s="551"/>
      <c r="I819" s="551"/>
      <c r="J819" s="551"/>
      <c r="K819" s="551"/>
      <c r="L819" s="551"/>
      <c r="M819" s="551"/>
      <c r="N819" s="551"/>
      <c r="O819" s="551"/>
      <c r="P819" s="551"/>
      <c r="Q819" s="551"/>
      <c r="R819" s="551"/>
      <c r="S819" s="551"/>
      <c r="T819" s="551"/>
      <c r="U819" s="551"/>
      <c r="V819" s="551"/>
      <c r="W819" s="551"/>
      <c r="X819" s="551"/>
      <c r="Y819" s="551"/>
      <c r="Z819" s="551"/>
      <c r="AA819" s="551"/>
      <c r="AB819" s="551"/>
      <c r="AC819" s="551"/>
      <c r="AD819" s="551"/>
      <c r="AE819" s="551"/>
      <c r="AF819" s="551"/>
      <c r="AG819" s="551"/>
      <c r="AH819" s="551"/>
      <c r="AI819" s="551"/>
      <c r="AJ819" s="551"/>
      <c r="AK819" s="551"/>
      <c r="AL819" s="551"/>
      <c r="AM819" s="551"/>
      <c r="AN819" s="551"/>
      <c r="AO819" s="551"/>
      <c r="AP819" s="551"/>
      <c r="AQ819" s="551"/>
      <c r="AR819" s="551"/>
      <c r="AS819" s="551"/>
      <c r="AT819" s="551"/>
      <c r="AU819" s="551"/>
      <c r="AV819" s="551"/>
      <c r="AW819" s="551"/>
      <c r="AX819" s="551"/>
      <c r="AY819" s="551"/>
      <c r="AZ819" s="551"/>
      <c r="BA819" s="551"/>
      <c r="BB819" s="551"/>
      <c r="BC819" s="551"/>
      <c r="BD819" s="551"/>
      <c r="BE819" s="551"/>
      <c r="BF819" s="551"/>
    </row>
    <row r="820" spans="1:58" ht="12.75" customHeight="1">
      <c r="A820" s="551"/>
      <c r="B820" s="551"/>
      <c r="C820" s="551"/>
      <c r="D820" s="551"/>
      <c r="E820" s="551"/>
      <c r="F820" s="551"/>
      <c r="G820" s="551"/>
      <c r="H820" s="551"/>
      <c r="I820" s="551"/>
      <c r="J820" s="551"/>
      <c r="K820" s="551"/>
      <c r="L820" s="551"/>
      <c r="M820" s="551"/>
      <c r="N820" s="551"/>
      <c r="O820" s="551"/>
      <c r="P820" s="551"/>
      <c r="Q820" s="551"/>
      <c r="R820" s="551"/>
      <c r="S820" s="551"/>
      <c r="T820" s="551"/>
      <c r="U820" s="551"/>
      <c r="V820" s="551"/>
      <c r="W820" s="551"/>
      <c r="X820" s="551"/>
      <c r="Y820" s="551"/>
      <c r="Z820" s="551"/>
      <c r="AA820" s="551"/>
      <c r="AB820" s="551"/>
      <c r="AC820" s="551"/>
      <c r="AD820" s="551"/>
      <c r="AE820" s="551"/>
      <c r="AF820" s="551"/>
      <c r="AG820" s="551"/>
      <c r="AH820" s="551"/>
      <c r="AI820" s="551"/>
      <c r="AJ820" s="551"/>
      <c r="AK820" s="551"/>
      <c r="AL820" s="551"/>
      <c r="AM820" s="551"/>
      <c r="AN820" s="551"/>
      <c r="AO820" s="551"/>
      <c r="AP820" s="551"/>
      <c r="AQ820" s="551"/>
      <c r="AR820" s="551"/>
      <c r="AS820" s="551"/>
      <c r="AT820" s="551"/>
      <c r="AU820" s="551"/>
      <c r="AV820" s="551"/>
      <c r="AW820" s="551"/>
      <c r="AX820" s="551"/>
      <c r="AY820" s="551"/>
      <c r="AZ820" s="551"/>
      <c r="BA820" s="551"/>
      <c r="BB820" s="551"/>
      <c r="BC820" s="551"/>
      <c r="BD820" s="551"/>
      <c r="BE820" s="551"/>
      <c r="BF820" s="551"/>
    </row>
    <row r="821" spans="1:58" ht="12.75" customHeight="1">
      <c r="A821" s="551"/>
      <c r="B821" s="551"/>
      <c r="C821" s="551"/>
      <c r="D821" s="551"/>
      <c r="E821" s="551"/>
      <c r="F821" s="551"/>
      <c r="G821" s="551"/>
      <c r="H821" s="551"/>
      <c r="I821" s="551"/>
      <c r="J821" s="551"/>
      <c r="K821" s="551"/>
      <c r="L821" s="551"/>
      <c r="M821" s="551"/>
      <c r="N821" s="551"/>
      <c r="O821" s="551"/>
      <c r="P821" s="551"/>
      <c r="Q821" s="551"/>
      <c r="R821" s="551"/>
      <c r="S821" s="551"/>
      <c r="T821" s="551"/>
      <c r="U821" s="551"/>
      <c r="V821" s="551"/>
      <c r="W821" s="551"/>
      <c r="X821" s="551"/>
      <c r="Y821" s="551"/>
      <c r="Z821" s="551"/>
      <c r="AA821" s="551"/>
      <c r="AB821" s="551"/>
      <c r="AC821" s="551"/>
      <c r="AD821" s="551"/>
      <c r="AE821" s="551"/>
      <c r="AF821" s="551"/>
      <c r="AG821" s="551"/>
      <c r="AH821" s="551"/>
      <c r="AI821" s="551"/>
      <c r="AJ821" s="551"/>
      <c r="AK821" s="551"/>
      <c r="AL821" s="551"/>
      <c r="AM821" s="551"/>
      <c r="AN821" s="551"/>
      <c r="AO821" s="551"/>
      <c r="AP821" s="551"/>
      <c r="AQ821" s="551"/>
      <c r="AR821" s="551"/>
      <c r="AS821" s="551"/>
      <c r="AT821" s="551"/>
      <c r="AU821" s="551"/>
      <c r="AV821" s="551"/>
      <c r="AW821" s="551"/>
      <c r="AX821" s="551"/>
      <c r="AY821" s="551"/>
      <c r="AZ821" s="551"/>
      <c r="BA821" s="551"/>
      <c r="BB821" s="551"/>
      <c r="BC821" s="551"/>
      <c r="BD821" s="551"/>
      <c r="BE821" s="551"/>
      <c r="BF821" s="551"/>
    </row>
    <row r="822" spans="1:58" ht="12.75" customHeight="1">
      <c r="A822" s="551"/>
      <c r="B822" s="551"/>
      <c r="C822" s="551"/>
      <c r="D822" s="551"/>
      <c r="E822" s="551"/>
      <c r="F822" s="551"/>
      <c r="G822" s="551"/>
      <c r="H822" s="551"/>
      <c r="I822" s="551"/>
      <c r="J822" s="551"/>
      <c r="K822" s="551"/>
      <c r="L822" s="551"/>
      <c r="M822" s="551"/>
      <c r="N822" s="551"/>
      <c r="O822" s="551"/>
      <c r="P822" s="551"/>
      <c r="Q822" s="551"/>
      <c r="R822" s="551"/>
      <c r="S822" s="551"/>
      <c r="T822" s="551"/>
      <c r="U822" s="551"/>
      <c r="V822" s="551"/>
      <c r="W822" s="551"/>
      <c r="X822" s="551"/>
      <c r="Y822" s="551"/>
      <c r="Z822" s="551"/>
      <c r="AA822" s="551"/>
      <c r="AB822" s="551"/>
      <c r="AC822" s="551"/>
      <c r="AD822" s="551"/>
      <c r="AE822" s="551"/>
      <c r="AF822" s="551"/>
      <c r="AG822" s="551"/>
      <c r="AH822" s="551"/>
      <c r="AI822" s="551"/>
      <c r="AJ822" s="551"/>
      <c r="AK822" s="551"/>
      <c r="AL822" s="551"/>
      <c r="AM822" s="551"/>
      <c r="AN822" s="551"/>
      <c r="AO822" s="551"/>
      <c r="AP822" s="551"/>
      <c r="AQ822" s="551"/>
      <c r="AR822" s="551"/>
      <c r="AS822" s="551"/>
      <c r="AT822" s="551"/>
      <c r="AU822" s="551"/>
      <c r="AV822" s="551"/>
      <c r="AW822" s="551"/>
      <c r="AX822" s="551"/>
      <c r="AY822" s="551"/>
      <c r="AZ822" s="551"/>
      <c r="BA822" s="551"/>
      <c r="BB822" s="551"/>
      <c r="BC822" s="551"/>
      <c r="BD822" s="551"/>
      <c r="BE822" s="551"/>
      <c r="BF822" s="551"/>
    </row>
    <row r="823" spans="1:58" ht="12.75" customHeight="1">
      <c r="A823" s="551"/>
      <c r="B823" s="551"/>
      <c r="C823" s="551"/>
      <c r="D823" s="551"/>
      <c r="E823" s="551"/>
      <c r="F823" s="551"/>
      <c r="G823" s="551"/>
      <c r="H823" s="551"/>
      <c r="I823" s="551"/>
      <c r="J823" s="551"/>
      <c r="K823" s="551"/>
      <c r="L823" s="551"/>
      <c r="M823" s="551"/>
      <c r="N823" s="551"/>
      <c r="O823" s="551"/>
      <c r="P823" s="551"/>
      <c r="Q823" s="551"/>
      <c r="R823" s="551"/>
      <c r="S823" s="551"/>
      <c r="T823" s="551"/>
      <c r="U823" s="551"/>
      <c r="V823" s="551"/>
      <c r="W823" s="551"/>
      <c r="X823" s="551"/>
      <c r="Y823" s="551"/>
      <c r="Z823" s="551"/>
      <c r="AA823" s="551"/>
      <c r="AB823" s="551"/>
      <c r="AC823" s="551"/>
      <c r="AD823" s="551"/>
      <c r="AE823" s="551"/>
      <c r="AF823" s="551"/>
      <c r="AG823" s="551"/>
      <c r="AH823" s="551"/>
      <c r="AI823" s="551"/>
      <c r="AJ823" s="551"/>
      <c r="AK823" s="551"/>
      <c r="AL823" s="551"/>
      <c r="AM823" s="551"/>
      <c r="AN823" s="551"/>
      <c r="AO823" s="551"/>
      <c r="AP823" s="551"/>
      <c r="AQ823" s="551"/>
      <c r="AR823" s="551"/>
      <c r="AS823" s="551"/>
      <c r="AT823" s="551"/>
      <c r="AU823" s="551"/>
      <c r="AV823" s="551"/>
      <c r="AW823" s="551"/>
      <c r="AX823" s="551"/>
      <c r="AY823" s="551"/>
      <c r="AZ823" s="551"/>
      <c r="BA823" s="551"/>
      <c r="BB823" s="551"/>
      <c r="BC823" s="551"/>
      <c r="BD823" s="551"/>
      <c r="BE823" s="551"/>
      <c r="BF823" s="551"/>
    </row>
    <row r="824" spans="1:58" ht="12.75" customHeight="1">
      <c r="A824" s="551"/>
      <c r="B824" s="551"/>
      <c r="C824" s="551"/>
      <c r="D824" s="551"/>
      <c r="E824" s="551"/>
      <c r="F824" s="551"/>
      <c r="G824" s="551"/>
      <c r="H824" s="551"/>
      <c r="I824" s="551"/>
      <c r="J824" s="551"/>
      <c r="K824" s="551"/>
      <c r="L824" s="551"/>
      <c r="M824" s="551"/>
      <c r="N824" s="551"/>
      <c r="O824" s="551"/>
      <c r="P824" s="551"/>
      <c r="Q824" s="551"/>
      <c r="R824" s="551"/>
      <c r="S824" s="551"/>
      <c r="T824" s="551"/>
      <c r="U824" s="551"/>
      <c r="V824" s="551"/>
      <c r="W824" s="551"/>
      <c r="X824" s="551"/>
      <c r="Y824" s="551"/>
      <c r="Z824" s="551"/>
      <c r="AA824" s="551"/>
      <c r="AB824" s="551"/>
      <c r="AC824" s="551"/>
      <c r="AD824" s="551"/>
      <c r="AE824" s="551"/>
      <c r="AF824" s="551"/>
      <c r="AG824" s="551"/>
      <c r="AH824" s="551"/>
      <c r="AI824" s="551"/>
      <c r="AJ824" s="551"/>
      <c r="AK824" s="551"/>
      <c r="AL824" s="551"/>
      <c r="AM824" s="551"/>
      <c r="AN824" s="551"/>
      <c r="AO824" s="551"/>
      <c r="AP824" s="551"/>
      <c r="AQ824" s="551"/>
      <c r="AR824" s="551"/>
      <c r="AS824" s="551"/>
      <c r="AT824" s="551"/>
      <c r="AU824" s="551"/>
      <c r="AV824" s="551"/>
      <c r="AW824" s="551"/>
      <c r="AX824" s="551"/>
      <c r="AY824" s="551"/>
      <c r="AZ824" s="551"/>
      <c r="BA824" s="551"/>
      <c r="BB824" s="551"/>
      <c r="BC824" s="551"/>
      <c r="BD824" s="551"/>
      <c r="BE824" s="551"/>
      <c r="BF824" s="551"/>
    </row>
    <row r="825" spans="1:58" ht="12.75" customHeight="1">
      <c r="A825" s="551"/>
      <c r="B825" s="551"/>
      <c r="C825" s="551"/>
      <c r="D825" s="551"/>
      <c r="E825" s="551"/>
      <c r="F825" s="551"/>
      <c r="G825" s="551"/>
      <c r="H825" s="551"/>
      <c r="I825" s="551"/>
      <c r="J825" s="551"/>
      <c r="K825" s="551"/>
      <c r="L825" s="551"/>
      <c r="M825" s="551"/>
      <c r="N825" s="551"/>
      <c r="O825" s="551"/>
      <c r="P825" s="551"/>
      <c r="Q825" s="551"/>
      <c r="R825" s="551"/>
      <c r="S825" s="551"/>
      <c r="T825" s="551"/>
      <c r="U825" s="551"/>
      <c r="V825" s="551"/>
      <c r="W825" s="551"/>
      <c r="X825" s="551"/>
      <c r="Y825" s="551"/>
      <c r="Z825" s="551"/>
      <c r="AA825" s="551"/>
      <c r="AB825" s="551"/>
      <c r="AC825" s="551"/>
      <c r="AD825" s="551"/>
      <c r="AE825" s="551"/>
      <c r="AF825" s="551"/>
      <c r="AG825" s="551"/>
      <c r="AH825" s="551"/>
      <c r="AI825" s="551"/>
      <c r="AJ825" s="551"/>
      <c r="AK825" s="551"/>
      <c r="AL825" s="551"/>
      <c r="AM825" s="551"/>
      <c r="AN825" s="551"/>
      <c r="AO825" s="551"/>
      <c r="AP825" s="551"/>
      <c r="AQ825" s="551"/>
      <c r="AR825" s="551"/>
      <c r="AS825" s="551"/>
      <c r="AT825" s="551"/>
      <c r="AU825" s="551"/>
      <c r="AV825" s="551"/>
      <c r="AW825" s="551"/>
      <c r="AX825" s="551"/>
      <c r="AY825" s="551"/>
      <c r="AZ825" s="551"/>
      <c r="BA825" s="551"/>
      <c r="BB825" s="551"/>
      <c r="BC825" s="551"/>
      <c r="BD825" s="551"/>
      <c r="BE825" s="551"/>
      <c r="BF825" s="551"/>
    </row>
    <row r="826" spans="1:58" ht="12.75" customHeight="1">
      <c r="A826" s="551"/>
      <c r="B826" s="551"/>
      <c r="C826" s="551"/>
      <c r="D826" s="551"/>
      <c r="E826" s="551"/>
      <c r="F826" s="551"/>
      <c r="G826" s="551"/>
      <c r="H826" s="551"/>
      <c r="I826" s="551"/>
      <c r="J826" s="551"/>
      <c r="K826" s="551"/>
      <c r="L826" s="551"/>
      <c r="M826" s="551"/>
      <c r="N826" s="551"/>
      <c r="O826" s="551"/>
      <c r="P826" s="551"/>
      <c r="Q826" s="551"/>
      <c r="R826" s="551"/>
      <c r="S826" s="551"/>
      <c r="T826" s="551"/>
      <c r="U826" s="551"/>
      <c r="V826" s="551"/>
      <c r="W826" s="551"/>
      <c r="X826" s="551"/>
      <c r="Y826" s="551"/>
      <c r="Z826" s="551"/>
      <c r="AA826" s="551"/>
      <c r="AB826" s="551"/>
      <c r="AC826" s="551"/>
      <c r="AD826" s="551"/>
      <c r="AE826" s="551"/>
      <c r="AF826" s="551"/>
      <c r="AG826" s="551"/>
      <c r="AH826" s="551"/>
      <c r="AI826" s="551"/>
      <c r="AJ826" s="551"/>
      <c r="AK826" s="551"/>
      <c r="AL826" s="551"/>
      <c r="AM826" s="551"/>
      <c r="AN826" s="551"/>
      <c r="AO826" s="551"/>
      <c r="AP826" s="551"/>
      <c r="AQ826" s="551"/>
      <c r="AR826" s="551"/>
      <c r="AS826" s="551"/>
      <c r="AT826" s="551"/>
      <c r="AU826" s="551"/>
      <c r="AV826" s="551"/>
      <c r="AW826" s="551"/>
      <c r="AX826" s="551"/>
      <c r="AY826" s="551"/>
      <c r="AZ826" s="551"/>
      <c r="BA826" s="551"/>
      <c r="BB826" s="551"/>
      <c r="BC826" s="551"/>
      <c r="BD826" s="551"/>
      <c r="BE826" s="551"/>
      <c r="BF826" s="551"/>
    </row>
    <row r="827" spans="1:58" ht="12.75" customHeight="1">
      <c r="A827" s="551"/>
      <c r="B827" s="551"/>
      <c r="C827" s="551"/>
      <c r="D827" s="551"/>
      <c r="E827" s="551"/>
      <c r="F827" s="551"/>
      <c r="G827" s="551"/>
      <c r="H827" s="551"/>
      <c r="I827" s="551"/>
      <c r="J827" s="551"/>
      <c r="K827" s="551"/>
      <c r="L827" s="551"/>
      <c r="M827" s="551"/>
      <c r="N827" s="551"/>
      <c r="O827" s="551"/>
      <c r="P827" s="551"/>
      <c r="Q827" s="551"/>
      <c r="R827" s="551"/>
      <c r="S827" s="551"/>
      <c r="T827" s="551"/>
      <c r="U827" s="551"/>
      <c r="V827" s="551"/>
      <c r="W827" s="551"/>
      <c r="X827" s="551"/>
      <c r="Y827" s="551"/>
      <c r="Z827" s="551"/>
      <c r="AA827" s="551"/>
      <c r="AB827" s="551"/>
      <c r="AC827" s="551"/>
      <c r="AD827" s="551"/>
      <c r="AE827" s="551"/>
      <c r="AF827" s="551"/>
      <c r="AG827" s="551"/>
      <c r="AH827" s="551"/>
      <c r="AI827" s="551"/>
      <c r="AJ827" s="551"/>
      <c r="AK827" s="551"/>
      <c r="AL827" s="551"/>
      <c r="AM827" s="551"/>
      <c r="AN827" s="551"/>
      <c r="AO827" s="551"/>
      <c r="AP827" s="551"/>
      <c r="AQ827" s="551"/>
      <c r="AR827" s="551"/>
      <c r="AS827" s="551"/>
      <c r="AT827" s="551"/>
      <c r="AU827" s="551"/>
      <c r="AV827" s="551"/>
      <c r="AW827" s="551"/>
      <c r="AX827" s="551"/>
      <c r="AY827" s="551"/>
      <c r="AZ827" s="551"/>
      <c r="BA827" s="551"/>
      <c r="BB827" s="551"/>
      <c r="BC827" s="551"/>
      <c r="BD827" s="551"/>
      <c r="BE827" s="551"/>
      <c r="BF827" s="551"/>
    </row>
    <row r="828" spans="1:58" ht="12.75" customHeight="1">
      <c r="A828" s="551"/>
      <c r="B828" s="551"/>
      <c r="C828" s="551"/>
      <c r="D828" s="551"/>
      <c r="E828" s="551"/>
      <c r="F828" s="551"/>
      <c r="G828" s="551"/>
      <c r="H828" s="551"/>
      <c r="I828" s="551"/>
      <c r="J828" s="551"/>
      <c r="K828" s="551"/>
      <c r="L828" s="551"/>
      <c r="M828" s="551"/>
      <c r="N828" s="551"/>
      <c r="O828" s="551"/>
      <c r="P828" s="551"/>
      <c r="Q828" s="551"/>
      <c r="R828" s="551"/>
      <c r="S828" s="551"/>
      <c r="T828" s="551"/>
      <c r="U828" s="551"/>
      <c r="V828" s="551"/>
      <c r="W828" s="551"/>
      <c r="X828" s="551"/>
      <c r="Y828" s="551"/>
      <c r="Z828" s="551"/>
      <c r="AA828" s="551"/>
      <c r="AB828" s="551"/>
      <c r="AC828" s="551"/>
      <c r="AD828" s="551"/>
      <c r="AE828" s="551"/>
      <c r="AF828" s="551"/>
      <c r="AG828" s="551"/>
      <c r="AH828" s="551"/>
      <c r="AI828" s="551"/>
      <c r="AJ828" s="551"/>
      <c r="AK828" s="551"/>
      <c r="AL828" s="551"/>
      <c r="AM828" s="551"/>
      <c r="AN828" s="551"/>
      <c r="AO828" s="551"/>
      <c r="AP828" s="551"/>
      <c r="AQ828" s="551"/>
      <c r="AR828" s="551"/>
      <c r="AS828" s="551"/>
      <c r="AT828" s="551"/>
      <c r="AU828" s="551"/>
      <c r="AV828" s="551"/>
      <c r="AW828" s="551"/>
      <c r="AX828" s="551"/>
      <c r="AY828" s="551"/>
      <c r="AZ828" s="551"/>
      <c r="BA828" s="551"/>
      <c r="BB828" s="551"/>
      <c r="BC828" s="551"/>
      <c r="BD828" s="551"/>
      <c r="BE828" s="551"/>
      <c r="BF828" s="551"/>
    </row>
    <row r="829" spans="1:58" ht="12.75" customHeight="1">
      <c r="A829" s="551"/>
      <c r="B829" s="551"/>
      <c r="C829" s="551"/>
      <c r="D829" s="551"/>
      <c r="E829" s="551"/>
      <c r="F829" s="551"/>
      <c r="G829" s="551"/>
      <c r="H829" s="551"/>
      <c r="I829" s="551"/>
      <c r="J829" s="551"/>
      <c r="K829" s="551"/>
      <c r="L829" s="551"/>
      <c r="M829" s="551"/>
      <c r="N829" s="551"/>
      <c r="O829" s="551"/>
      <c r="P829" s="551"/>
      <c r="Q829" s="551"/>
      <c r="R829" s="551"/>
      <c r="S829" s="551"/>
      <c r="T829" s="551"/>
      <c r="U829" s="551"/>
      <c r="V829" s="551"/>
      <c r="W829" s="551"/>
      <c r="X829" s="551"/>
      <c r="Y829" s="551"/>
      <c r="Z829" s="551"/>
      <c r="AA829" s="551"/>
      <c r="AB829" s="551"/>
      <c r="AC829" s="551"/>
      <c r="AD829" s="551"/>
      <c r="AE829" s="551"/>
      <c r="AF829" s="551"/>
      <c r="AG829" s="551"/>
      <c r="AH829" s="551"/>
      <c r="AI829" s="551"/>
      <c r="AJ829" s="551"/>
      <c r="AK829" s="551"/>
      <c r="AL829" s="551"/>
      <c r="AM829" s="551"/>
      <c r="AN829" s="551"/>
      <c r="AO829" s="551"/>
      <c r="AP829" s="551"/>
      <c r="AQ829" s="551"/>
      <c r="AR829" s="551"/>
      <c r="AS829" s="551"/>
      <c r="AT829" s="551"/>
      <c r="AU829" s="551"/>
      <c r="AV829" s="551"/>
      <c r="AW829" s="551"/>
      <c r="AX829" s="551"/>
      <c r="AY829" s="551"/>
      <c r="AZ829" s="551"/>
      <c r="BA829" s="551"/>
      <c r="BB829" s="551"/>
      <c r="BC829" s="551"/>
      <c r="BD829" s="551"/>
      <c r="BE829" s="551"/>
      <c r="BF829" s="551"/>
    </row>
    <row r="830" spans="1:58" ht="12.75" customHeight="1">
      <c r="A830" s="551"/>
      <c r="B830" s="551"/>
      <c r="C830" s="551"/>
      <c r="D830" s="551"/>
      <c r="E830" s="551"/>
      <c r="F830" s="551"/>
      <c r="G830" s="551"/>
      <c r="H830" s="551"/>
      <c r="I830" s="551"/>
      <c r="J830" s="551"/>
      <c r="K830" s="551"/>
      <c r="L830" s="551"/>
      <c r="M830" s="551"/>
      <c r="N830" s="551"/>
      <c r="O830" s="551"/>
      <c r="P830" s="551"/>
      <c r="Q830" s="551"/>
      <c r="R830" s="551"/>
      <c r="S830" s="551"/>
      <c r="T830" s="551"/>
      <c r="U830" s="551"/>
      <c r="V830" s="551"/>
      <c r="W830" s="551"/>
      <c r="X830" s="551"/>
      <c r="Y830" s="551"/>
      <c r="Z830" s="551"/>
      <c r="AA830" s="551"/>
      <c r="AB830" s="551"/>
      <c r="AC830" s="551"/>
      <c r="AD830" s="551"/>
      <c r="AE830" s="551"/>
      <c r="AF830" s="551"/>
      <c r="AG830" s="551"/>
      <c r="AH830" s="551"/>
      <c r="AI830" s="551"/>
      <c r="AJ830" s="551"/>
      <c r="AK830" s="551"/>
      <c r="AL830" s="551"/>
      <c r="AM830" s="551"/>
      <c r="AN830" s="551"/>
      <c r="AO830" s="551"/>
      <c r="AP830" s="551"/>
      <c r="AQ830" s="551"/>
      <c r="AR830" s="551"/>
      <c r="AS830" s="551"/>
      <c r="AT830" s="551"/>
      <c r="AU830" s="551"/>
      <c r="AV830" s="551"/>
      <c r="AW830" s="551"/>
      <c r="AX830" s="551"/>
      <c r="AY830" s="551"/>
      <c r="AZ830" s="551"/>
      <c r="BA830" s="551"/>
      <c r="BB830" s="551"/>
      <c r="BC830" s="551"/>
      <c r="BD830" s="551"/>
      <c r="BE830" s="551"/>
      <c r="BF830" s="551"/>
    </row>
    <row r="831" spans="1:58" ht="12.75" customHeight="1">
      <c r="A831" s="551"/>
      <c r="B831" s="551"/>
      <c r="C831" s="551"/>
      <c r="D831" s="551"/>
      <c r="E831" s="551"/>
      <c r="F831" s="551"/>
      <c r="G831" s="551"/>
      <c r="H831" s="551"/>
      <c r="I831" s="551"/>
      <c r="J831" s="551"/>
      <c r="K831" s="551"/>
      <c r="L831" s="551"/>
      <c r="M831" s="551"/>
      <c r="N831" s="551"/>
      <c r="O831" s="551"/>
      <c r="P831" s="551"/>
      <c r="Q831" s="551"/>
      <c r="R831" s="551"/>
      <c r="S831" s="551"/>
      <c r="T831" s="551"/>
      <c r="U831" s="551"/>
      <c r="V831" s="551"/>
      <c r="W831" s="551"/>
      <c r="X831" s="551"/>
      <c r="Y831" s="551"/>
      <c r="Z831" s="551"/>
      <c r="AA831" s="551"/>
      <c r="AB831" s="551"/>
      <c r="AC831" s="551"/>
      <c r="AD831" s="551"/>
      <c r="AE831" s="551"/>
      <c r="AF831" s="551"/>
      <c r="AG831" s="551"/>
      <c r="AH831" s="551"/>
      <c r="AI831" s="551"/>
      <c r="AJ831" s="551"/>
      <c r="AK831" s="551"/>
      <c r="AL831" s="551"/>
      <c r="AM831" s="551"/>
      <c r="AN831" s="551"/>
      <c r="AO831" s="551"/>
      <c r="AP831" s="551"/>
      <c r="AQ831" s="551"/>
      <c r="AR831" s="551"/>
      <c r="AS831" s="551"/>
      <c r="AT831" s="551"/>
      <c r="AU831" s="551"/>
      <c r="AV831" s="551"/>
      <c r="AW831" s="551"/>
      <c r="AX831" s="551"/>
      <c r="AY831" s="551"/>
      <c r="AZ831" s="551"/>
      <c r="BA831" s="551"/>
      <c r="BB831" s="551"/>
      <c r="BC831" s="551"/>
      <c r="BD831" s="551"/>
      <c r="BE831" s="551"/>
      <c r="BF831" s="551"/>
    </row>
    <row r="832" spans="1:58" ht="12.75" customHeight="1">
      <c r="A832" s="551"/>
      <c r="B832" s="551"/>
      <c r="C832" s="551"/>
      <c r="D832" s="551"/>
      <c r="E832" s="551"/>
      <c r="F832" s="551"/>
      <c r="G832" s="551"/>
      <c r="H832" s="551"/>
      <c r="I832" s="551"/>
      <c r="J832" s="551"/>
      <c r="K832" s="551"/>
      <c r="L832" s="551"/>
      <c r="M832" s="551"/>
      <c r="N832" s="551"/>
      <c r="O832" s="551"/>
      <c r="P832" s="551"/>
      <c r="Q832" s="551"/>
      <c r="R832" s="551"/>
      <c r="S832" s="551"/>
      <c r="T832" s="551"/>
      <c r="U832" s="551"/>
      <c r="V832" s="551"/>
      <c r="W832" s="551"/>
      <c r="X832" s="551"/>
      <c r="Y832" s="551"/>
      <c r="Z832" s="551"/>
      <c r="AA832" s="551"/>
      <c r="AB832" s="551"/>
      <c r="AC832" s="551"/>
      <c r="AD832" s="551"/>
      <c r="AE832" s="551"/>
      <c r="AF832" s="551"/>
      <c r="AG832" s="551"/>
      <c r="AH832" s="551"/>
      <c r="AI832" s="551"/>
      <c r="AJ832" s="551"/>
      <c r="AK832" s="551"/>
      <c r="AL832" s="551"/>
      <c r="AM832" s="551"/>
      <c r="AN832" s="551"/>
      <c r="AO832" s="551"/>
      <c r="AP832" s="551"/>
      <c r="AQ832" s="551"/>
      <c r="AR832" s="551"/>
      <c r="AS832" s="551"/>
      <c r="AT832" s="551"/>
      <c r="AU832" s="551"/>
      <c r="AV832" s="551"/>
      <c r="AW832" s="551"/>
      <c r="AX832" s="551"/>
      <c r="AY832" s="551"/>
      <c r="AZ832" s="551"/>
      <c r="BA832" s="551"/>
      <c r="BB832" s="551"/>
      <c r="BC832" s="551"/>
      <c r="BD832" s="551"/>
      <c r="BE832" s="551"/>
      <c r="BF832" s="551"/>
    </row>
    <row r="833" spans="1:58" ht="12.75" customHeight="1">
      <c r="A833" s="551"/>
      <c r="B833" s="551"/>
      <c r="C833" s="551"/>
      <c r="D833" s="551"/>
      <c r="E833" s="551"/>
      <c r="F833" s="551"/>
      <c r="G833" s="551"/>
      <c r="H833" s="551"/>
      <c r="I833" s="551"/>
      <c r="J833" s="551"/>
      <c r="K833" s="551"/>
      <c r="L833" s="551"/>
      <c r="M833" s="551"/>
      <c r="N833" s="551"/>
      <c r="O833" s="551"/>
      <c r="P833" s="551"/>
      <c r="Q833" s="551"/>
      <c r="R833" s="551"/>
      <c r="S833" s="551"/>
      <c r="T833" s="551"/>
      <c r="U833" s="551"/>
      <c r="V833" s="551"/>
      <c r="W833" s="551"/>
      <c r="X833" s="551"/>
      <c r="Y833" s="551"/>
      <c r="Z833" s="551"/>
      <c r="AA833" s="551"/>
      <c r="AB833" s="551"/>
      <c r="AC833" s="551"/>
      <c r="AD833" s="551"/>
      <c r="AE833" s="551"/>
      <c r="AF833" s="551"/>
      <c r="AG833" s="551"/>
      <c r="AH833" s="551"/>
      <c r="AI833" s="551"/>
      <c r="AJ833" s="551"/>
      <c r="AK833" s="551"/>
      <c r="AL833" s="551"/>
      <c r="AM833" s="551"/>
      <c r="AN833" s="551"/>
      <c r="AO833" s="551"/>
      <c r="AP833" s="551"/>
      <c r="AQ833" s="551"/>
      <c r="AR833" s="551"/>
      <c r="AS833" s="551"/>
      <c r="AT833" s="551"/>
      <c r="AU833" s="551"/>
      <c r="AV833" s="551"/>
      <c r="AW833" s="551"/>
      <c r="AX833" s="551"/>
      <c r="AY833" s="551"/>
      <c r="AZ833" s="551"/>
      <c r="BA833" s="551"/>
      <c r="BB833" s="551"/>
      <c r="BC833" s="551"/>
      <c r="BD833" s="551"/>
      <c r="BE833" s="551"/>
      <c r="BF833" s="551"/>
    </row>
    <row r="834" spans="1:58" ht="12.75" customHeight="1">
      <c r="A834" s="551"/>
      <c r="B834" s="551"/>
      <c r="C834" s="551"/>
      <c r="D834" s="551"/>
      <c r="E834" s="551"/>
      <c r="F834" s="551"/>
      <c r="G834" s="551"/>
      <c r="H834" s="551"/>
      <c r="I834" s="551"/>
      <c r="J834" s="551"/>
      <c r="K834" s="551"/>
      <c r="L834" s="551"/>
      <c r="M834" s="551"/>
      <c r="N834" s="551"/>
      <c r="O834" s="551"/>
      <c r="P834" s="551"/>
      <c r="Q834" s="551"/>
      <c r="R834" s="551"/>
      <c r="S834" s="551"/>
      <c r="T834" s="551"/>
      <c r="U834" s="551"/>
      <c r="V834" s="551"/>
      <c r="W834" s="551"/>
      <c r="X834" s="551"/>
      <c r="Y834" s="551"/>
      <c r="Z834" s="551"/>
      <c r="AA834" s="551"/>
      <c r="AB834" s="551"/>
      <c r="AC834" s="551"/>
      <c r="AD834" s="551"/>
      <c r="AE834" s="551"/>
      <c r="AF834" s="551"/>
      <c r="AG834" s="551"/>
      <c r="AH834" s="551"/>
      <c r="AI834" s="551"/>
      <c r="AJ834" s="551"/>
      <c r="AK834" s="551"/>
      <c r="AL834" s="551"/>
      <c r="AM834" s="551"/>
      <c r="AN834" s="551"/>
      <c r="AO834" s="551"/>
      <c r="AP834" s="551"/>
      <c r="AQ834" s="551"/>
      <c r="AR834" s="551"/>
      <c r="AS834" s="551"/>
      <c r="AT834" s="551"/>
      <c r="AU834" s="551"/>
      <c r="AV834" s="551"/>
      <c r="AW834" s="551"/>
      <c r="AX834" s="551"/>
      <c r="AY834" s="551"/>
      <c r="AZ834" s="551"/>
      <c r="BA834" s="551"/>
      <c r="BB834" s="551"/>
      <c r="BC834" s="551"/>
      <c r="BD834" s="551"/>
      <c r="BE834" s="551"/>
      <c r="BF834" s="551"/>
    </row>
    <row r="835" spans="1:58" ht="12.75" customHeight="1">
      <c r="A835" s="551"/>
      <c r="B835" s="551"/>
      <c r="C835" s="551"/>
      <c r="D835" s="551"/>
      <c r="E835" s="551"/>
      <c r="F835" s="551"/>
      <c r="G835" s="551"/>
      <c r="H835" s="551"/>
      <c r="I835" s="551"/>
      <c r="J835" s="551"/>
      <c r="K835" s="551"/>
      <c r="L835" s="551"/>
      <c r="M835" s="551"/>
      <c r="N835" s="551"/>
      <c r="O835" s="551"/>
      <c r="P835" s="551"/>
      <c r="Q835" s="551"/>
      <c r="R835" s="551"/>
      <c r="S835" s="551"/>
      <c r="T835" s="551"/>
      <c r="U835" s="551"/>
      <c r="V835" s="551"/>
      <c r="W835" s="551"/>
      <c r="X835" s="551"/>
      <c r="Y835" s="551"/>
      <c r="Z835" s="551"/>
      <c r="AA835" s="551"/>
      <c r="AB835" s="551"/>
      <c r="AC835" s="551"/>
      <c r="AD835" s="551"/>
      <c r="AE835" s="551"/>
      <c r="AF835" s="551"/>
      <c r="AG835" s="551"/>
      <c r="AH835" s="551"/>
      <c r="AI835" s="551"/>
      <c r="AJ835" s="551"/>
      <c r="AK835" s="551"/>
      <c r="AL835" s="551"/>
      <c r="AM835" s="551"/>
      <c r="AN835" s="551"/>
      <c r="AO835" s="551"/>
      <c r="AP835" s="551"/>
      <c r="AQ835" s="551"/>
      <c r="AR835" s="551"/>
      <c r="AS835" s="551"/>
      <c r="AT835" s="551"/>
      <c r="AU835" s="551"/>
      <c r="AV835" s="551"/>
      <c r="AW835" s="551"/>
      <c r="AX835" s="551"/>
      <c r="AY835" s="551"/>
      <c r="AZ835" s="551"/>
      <c r="BA835" s="551"/>
      <c r="BB835" s="551"/>
      <c r="BC835" s="551"/>
      <c r="BD835" s="551"/>
      <c r="BE835" s="551"/>
      <c r="BF835" s="551"/>
    </row>
    <row r="836" spans="1:58" ht="12.75" customHeight="1">
      <c r="A836" s="551"/>
      <c r="B836" s="551"/>
      <c r="C836" s="551"/>
      <c r="D836" s="551"/>
      <c r="E836" s="551"/>
      <c r="F836" s="551"/>
      <c r="G836" s="551"/>
      <c r="H836" s="551"/>
      <c r="I836" s="551"/>
      <c r="J836" s="551"/>
      <c r="K836" s="551"/>
      <c r="L836" s="551"/>
      <c r="M836" s="551"/>
      <c r="N836" s="551"/>
      <c r="O836" s="551"/>
      <c r="P836" s="551"/>
      <c r="Q836" s="551"/>
      <c r="R836" s="551"/>
      <c r="S836" s="551"/>
      <c r="T836" s="551"/>
      <c r="U836" s="551"/>
      <c r="V836" s="551"/>
      <c r="W836" s="551"/>
      <c r="X836" s="551"/>
      <c r="Y836" s="551"/>
      <c r="Z836" s="551"/>
      <c r="AA836" s="551"/>
      <c r="AB836" s="551"/>
      <c r="AC836" s="551"/>
      <c r="AD836" s="551"/>
      <c r="AE836" s="551"/>
      <c r="AF836" s="551"/>
      <c r="AG836" s="551"/>
      <c r="AH836" s="551"/>
      <c r="AI836" s="551"/>
      <c r="AJ836" s="551"/>
      <c r="AK836" s="551"/>
      <c r="AL836" s="551"/>
      <c r="AM836" s="551"/>
      <c r="AN836" s="551"/>
      <c r="AO836" s="551"/>
      <c r="AP836" s="551"/>
      <c r="AQ836" s="551"/>
      <c r="AR836" s="551"/>
      <c r="AS836" s="551"/>
      <c r="AT836" s="551"/>
      <c r="AU836" s="551"/>
      <c r="AV836" s="551"/>
      <c r="AW836" s="551"/>
      <c r="AX836" s="551"/>
      <c r="AY836" s="551"/>
      <c r="AZ836" s="551"/>
      <c r="BA836" s="551"/>
      <c r="BB836" s="551"/>
      <c r="BC836" s="551"/>
      <c r="BD836" s="551"/>
      <c r="BE836" s="551"/>
      <c r="BF836" s="551"/>
    </row>
    <row r="837" spans="1:58" ht="12.75" customHeight="1">
      <c r="A837" s="551"/>
      <c r="B837" s="551"/>
      <c r="C837" s="551"/>
      <c r="D837" s="551"/>
      <c r="E837" s="551"/>
      <c r="F837" s="551"/>
      <c r="G837" s="551"/>
      <c r="H837" s="551"/>
      <c r="I837" s="551"/>
      <c r="J837" s="551"/>
      <c r="K837" s="551"/>
      <c r="L837" s="551"/>
      <c r="M837" s="551"/>
      <c r="N837" s="551"/>
      <c r="O837" s="551"/>
      <c r="P837" s="551"/>
      <c r="Q837" s="551"/>
      <c r="R837" s="551"/>
      <c r="S837" s="551"/>
      <c r="T837" s="551"/>
      <c r="U837" s="551"/>
      <c r="V837" s="551"/>
      <c r="W837" s="551"/>
      <c r="X837" s="551"/>
      <c r="Y837" s="551"/>
      <c r="Z837" s="551"/>
      <c r="AA837" s="551"/>
      <c r="AB837" s="551"/>
      <c r="AC837" s="551"/>
      <c r="AD837" s="551"/>
      <c r="AE837" s="551"/>
      <c r="AF837" s="551"/>
      <c r="AG837" s="551"/>
      <c r="AH837" s="551"/>
      <c r="AI837" s="551"/>
      <c r="AJ837" s="551"/>
      <c r="AK837" s="551"/>
      <c r="AL837" s="551"/>
      <c r="AM837" s="551"/>
      <c r="AN837" s="551"/>
      <c r="AO837" s="551"/>
      <c r="AP837" s="551"/>
      <c r="AQ837" s="551"/>
      <c r="AR837" s="551"/>
      <c r="AS837" s="551"/>
      <c r="AT837" s="551"/>
      <c r="AU837" s="551"/>
      <c r="AV837" s="551"/>
      <c r="AW837" s="551"/>
      <c r="AX837" s="551"/>
      <c r="AY837" s="551"/>
      <c r="AZ837" s="551"/>
      <c r="BA837" s="551"/>
      <c r="BB837" s="551"/>
      <c r="BC837" s="551"/>
      <c r="BD837" s="551"/>
      <c r="BE837" s="551"/>
      <c r="BF837" s="551"/>
    </row>
    <row r="838" spans="1:58" ht="12.75" customHeight="1">
      <c r="A838" s="551"/>
      <c r="B838" s="551"/>
      <c r="C838" s="551"/>
      <c r="D838" s="551"/>
      <c r="E838" s="551"/>
      <c r="F838" s="551"/>
      <c r="G838" s="551"/>
      <c r="H838" s="551"/>
      <c r="I838" s="551"/>
      <c r="J838" s="551"/>
      <c r="K838" s="551"/>
      <c r="L838" s="551"/>
      <c r="M838" s="551"/>
      <c r="N838" s="551"/>
      <c r="O838" s="551"/>
      <c r="P838" s="551"/>
      <c r="Q838" s="551"/>
      <c r="R838" s="551"/>
      <c r="S838" s="551"/>
      <c r="T838" s="551"/>
      <c r="U838" s="551"/>
      <c r="V838" s="551"/>
      <c r="W838" s="551"/>
      <c r="X838" s="551"/>
      <c r="Y838" s="551"/>
      <c r="Z838" s="551"/>
      <c r="AA838" s="551"/>
      <c r="AB838" s="551"/>
      <c r="AC838" s="551"/>
      <c r="AD838" s="551"/>
      <c r="AE838" s="551"/>
      <c r="AF838" s="551"/>
      <c r="AG838" s="551"/>
      <c r="AH838" s="551"/>
      <c r="AI838" s="551"/>
      <c r="AJ838" s="551"/>
      <c r="AK838" s="551"/>
      <c r="AL838" s="551"/>
      <c r="AM838" s="551"/>
      <c r="AN838" s="551"/>
      <c r="AO838" s="551"/>
      <c r="AP838" s="551"/>
      <c r="AQ838" s="551"/>
      <c r="AR838" s="551"/>
      <c r="AS838" s="551"/>
      <c r="AT838" s="551"/>
      <c r="AU838" s="551"/>
      <c r="AV838" s="551"/>
      <c r="AW838" s="551"/>
      <c r="AX838" s="551"/>
      <c r="AY838" s="551"/>
      <c r="AZ838" s="551"/>
      <c r="BA838" s="551"/>
      <c r="BB838" s="551"/>
      <c r="BC838" s="551"/>
      <c r="BD838" s="551"/>
      <c r="BE838" s="551"/>
      <c r="BF838" s="551"/>
    </row>
    <row r="839" spans="1:58" ht="12.75" customHeight="1">
      <c r="A839" s="551"/>
      <c r="B839" s="551"/>
      <c r="C839" s="551"/>
      <c r="D839" s="551"/>
      <c r="E839" s="551"/>
      <c r="F839" s="551"/>
      <c r="G839" s="551"/>
      <c r="H839" s="551"/>
      <c r="I839" s="551"/>
      <c r="J839" s="551"/>
      <c r="K839" s="551"/>
      <c r="L839" s="551"/>
      <c r="M839" s="551"/>
      <c r="N839" s="551"/>
      <c r="O839" s="551"/>
      <c r="P839" s="551"/>
      <c r="Q839" s="551"/>
      <c r="R839" s="551"/>
      <c r="S839" s="551"/>
      <c r="T839" s="551"/>
      <c r="U839" s="551"/>
      <c r="V839" s="551"/>
      <c r="W839" s="551"/>
      <c r="X839" s="551"/>
      <c r="Y839" s="551"/>
      <c r="Z839" s="551"/>
      <c r="AA839" s="551"/>
      <c r="AB839" s="551"/>
      <c r="AC839" s="551"/>
      <c r="AD839" s="551"/>
      <c r="AE839" s="551"/>
      <c r="AF839" s="551"/>
      <c r="AG839" s="551"/>
      <c r="AH839" s="551"/>
      <c r="AI839" s="551"/>
      <c r="AJ839" s="551"/>
      <c r="AK839" s="551"/>
      <c r="AL839" s="551"/>
      <c r="AM839" s="551"/>
      <c r="AN839" s="551"/>
      <c r="AO839" s="551"/>
      <c r="AP839" s="551"/>
      <c r="AQ839" s="551"/>
      <c r="AR839" s="551"/>
      <c r="AS839" s="551"/>
      <c r="AT839" s="551"/>
      <c r="AU839" s="551"/>
      <c r="AV839" s="551"/>
      <c r="AW839" s="551"/>
      <c r="AX839" s="551"/>
      <c r="AY839" s="551"/>
      <c r="AZ839" s="551"/>
      <c r="BA839" s="551"/>
      <c r="BB839" s="551"/>
      <c r="BC839" s="551"/>
      <c r="BD839" s="551"/>
      <c r="BE839" s="551"/>
      <c r="BF839" s="551"/>
    </row>
    <row r="840" spans="1:58" ht="12.75" customHeight="1">
      <c r="A840" s="551"/>
      <c r="B840" s="551"/>
      <c r="C840" s="551"/>
      <c r="D840" s="551"/>
      <c r="E840" s="551"/>
      <c r="F840" s="551"/>
      <c r="G840" s="551"/>
      <c r="H840" s="551"/>
      <c r="I840" s="551"/>
      <c r="J840" s="551"/>
      <c r="K840" s="551"/>
      <c r="L840" s="551"/>
      <c r="M840" s="551"/>
      <c r="N840" s="551"/>
      <c r="O840" s="551"/>
      <c r="P840" s="551"/>
      <c r="Q840" s="551"/>
      <c r="R840" s="551"/>
      <c r="S840" s="551"/>
      <c r="T840" s="551"/>
      <c r="U840" s="551"/>
      <c r="V840" s="551"/>
      <c r="W840" s="551"/>
      <c r="X840" s="551"/>
      <c r="Y840" s="551"/>
      <c r="Z840" s="551"/>
      <c r="AA840" s="551"/>
      <c r="AB840" s="551"/>
      <c r="AC840" s="551"/>
      <c r="AD840" s="551"/>
      <c r="AE840" s="551"/>
      <c r="AF840" s="551"/>
      <c r="AG840" s="551"/>
      <c r="AH840" s="551"/>
      <c r="AI840" s="551"/>
      <c r="AJ840" s="551"/>
      <c r="AK840" s="551"/>
      <c r="AL840" s="551"/>
      <c r="AM840" s="551"/>
      <c r="AN840" s="551"/>
      <c r="AO840" s="551"/>
      <c r="AP840" s="551"/>
      <c r="AQ840" s="551"/>
      <c r="AR840" s="551"/>
      <c r="AS840" s="551"/>
      <c r="AT840" s="551"/>
      <c r="AU840" s="551"/>
      <c r="AV840" s="551"/>
      <c r="AW840" s="551"/>
      <c r="AX840" s="551"/>
      <c r="AY840" s="551"/>
      <c r="AZ840" s="551"/>
      <c r="BA840" s="551"/>
      <c r="BB840" s="551"/>
      <c r="BC840" s="551"/>
      <c r="BD840" s="551"/>
      <c r="BE840" s="551"/>
      <c r="BF840" s="551"/>
    </row>
    <row r="841" spans="1:58" ht="12.75" customHeight="1">
      <c r="A841" s="551"/>
      <c r="B841" s="551"/>
      <c r="C841" s="551"/>
      <c r="D841" s="551"/>
      <c r="E841" s="551"/>
      <c r="F841" s="551"/>
      <c r="G841" s="551"/>
      <c r="H841" s="551"/>
      <c r="I841" s="551"/>
      <c r="J841" s="551"/>
      <c r="K841" s="551"/>
      <c r="L841" s="551"/>
      <c r="M841" s="551"/>
      <c r="N841" s="551"/>
      <c r="O841" s="551"/>
      <c r="P841" s="551"/>
      <c r="Q841" s="551"/>
      <c r="R841" s="551"/>
      <c r="S841" s="551"/>
      <c r="T841" s="551"/>
      <c r="U841" s="551"/>
      <c r="V841" s="551"/>
      <c r="W841" s="551"/>
      <c r="X841" s="551"/>
      <c r="Y841" s="551"/>
      <c r="Z841" s="551"/>
      <c r="AA841" s="551"/>
      <c r="AB841" s="551"/>
      <c r="AC841" s="551"/>
      <c r="AD841" s="551"/>
      <c r="AE841" s="551"/>
      <c r="AF841" s="551"/>
      <c r="AG841" s="551"/>
      <c r="AH841" s="551"/>
      <c r="AI841" s="551"/>
      <c r="AJ841" s="551"/>
      <c r="AK841" s="551"/>
      <c r="AL841" s="551"/>
      <c r="AM841" s="551"/>
      <c r="AN841" s="551"/>
      <c r="AO841" s="551"/>
      <c r="AP841" s="551"/>
      <c r="AQ841" s="551"/>
      <c r="AR841" s="551"/>
      <c r="AS841" s="551"/>
      <c r="AT841" s="551"/>
      <c r="AU841" s="551"/>
      <c r="AV841" s="551"/>
      <c r="AW841" s="551"/>
      <c r="AX841" s="551"/>
      <c r="AY841" s="551"/>
      <c r="AZ841" s="551"/>
      <c r="BA841" s="551"/>
      <c r="BB841" s="551"/>
      <c r="BC841" s="551"/>
      <c r="BD841" s="551"/>
      <c r="BE841" s="551"/>
      <c r="BF841" s="551"/>
    </row>
    <row r="842" spans="1:58" ht="12.75" customHeight="1">
      <c r="A842" s="551"/>
      <c r="B842" s="551"/>
      <c r="C842" s="551"/>
      <c r="D842" s="551"/>
      <c r="E842" s="551"/>
      <c r="F842" s="551"/>
      <c r="G842" s="551"/>
      <c r="H842" s="551"/>
      <c r="I842" s="551"/>
      <c r="J842" s="551"/>
      <c r="K842" s="551"/>
      <c r="L842" s="551"/>
      <c r="M842" s="551"/>
      <c r="N842" s="551"/>
      <c r="O842" s="551"/>
      <c r="P842" s="551"/>
      <c r="Q842" s="551"/>
      <c r="R842" s="551"/>
      <c r="S842" s="551"/>
      <c r="T842" s="551"/>
      <c r="U842" s="551"/>
      <c r="V842" s="551"/>
      <c r="W842" s="551"/>
      <c r="X842" s="551"/>
      <c r="Y842" s="551"/>
      <c r="Z842" s="551"/>
      <c r="AA842" s="551"/>
      <c r="AB842" s="551"/>
      <c r="AC842" s="551"/>
      <c r="AD842" s="551"/>
      <c r="AE842" s="551"/>
      <c r="AF842" s="551"/>
      <c r="AG842" s="551"/>
      <c r="AH842" s="551"/>
      <c r="AI842" s="551"/>
      <c r="AJ842" s="551"/>
      <c r="AK842" s="551"/>
      <c r="AL842" s="551"/>
      <c r="AM842" s="551"/>
      <c r="AN842" s="551"/>
      <c r="AO842" s="551"/>
      <c r="AP842" s="551"/>
      <c r="AQ842" s="551"/>
      <c r="AR842" s="551"/>
      <c r="AS842" s="551"/>
      <c r="AT842" s="551"/>
      <c r="AU842" s="551"/>
      <c r="AV842" s="551"/>
      <c r="AW842" s="551"/>
      <c r="AX842" s="551"/>
      <c r="AY842" s="551"/>
      <c r="AZ842" s="551"/>
      <c r="BA842" s="551"/>
      <c r="BB842" s="551"/>
      <c r="BC842" s="551"/>
      <c r="BD842" s="551"/>
      <c r="BE842" s="551"/>
      <c r="BF842" s="551"/>
    </row>
    <row r="843" spans="1:58" ht="12.75" customHeight="1">
      <c r="A843" s="551"/>
      <c r="B843" s="551"/>
      <c r="C843" s="551"/>
      <c r="D843" s="551"/>
      <c r="E843" s="551"/>
      <c r="F843" s="551"/>
      <c r="G843" s="551"/>
      <c r="H843" s="551"/>
      <c r="I843" s="551"/>
      <c r="J843" s="551"/>
      <c r="K843" s="551"/>
      <c r="L843" s="551"/>
      <c r="M843" s="551"/>
      <c r="N843" s="551"/>
      <c r="O843" s="551"/>
      <c r="P843" s="551"/>
      <c r="Q843" s="551"/>
      <c r="R843" s="551"/>
      <c r="S843" s="551"/>
      <c r="T843" s="551"/>
      <c r="U843" s="551"/>
      <c r="V843" s="551"/>
      <c r="W843" s="551"/>
      <c r="X843" s="551"/>
      <c r="Y843" s="551"/>
      <c r="Z843" s="551"/>
      <c r="AA843" s="551"/>
      <c r="AB843" s="551"/>
      <c r="AC843" s="551"/>
      <c r="AD843" s="551"/>
      <c r="AE843" s="551"/>
      <c r="AF843" s="551"/>
      <c r="AG843" s="551"/>
      <c r="AH843" s="551"/>
      <c r="AI843" s="551"/>
      <c r="AJ843" s="551"/>
      <c r="AK843" s="551"/>
      <c r="AL843" s="551"/>
      <c r="AM843" s="551"/>
      <c r="AN843" s="551"/>
      <c r="AO843" s="551"/>
      <c r="AP843" s="551"/>
      <c r="AQ843" s="551"/>
      <c r="AR843" s="551"/>
      <c r="AS843" s="551"/>
      <c r="AT843" s="551"/>
      <c r="AU843" s="551"/>
      <c r="AV843" s="551"/>
      <c r="AW843" s="551"/>
      <c r="AX843" s="551"/>
      <c r="AY843" s="551"/>
      <c r="AZ843" s="551"/>
      <c r="BA843" s="551"/>
      <c r="BB843" s="551"/>
      <c r="BC843" s="551"/>
      <c r="BD843" s="551"/>
      <c r="BE843" s="551"/>
      <c r="BF843" s="551"/>
    </row>
    <row r="844" spans="1:58" ht="12.75" customHeight="1">
      <c r="A844" s="551"/>
      <c r="B844" s="551"/>
      <c r="C844" s="551"/>
      <c r="D844" s="551"/>
      <c r="E844" s="551"/>
      <c r="F844" s="551"/>
      <c r="G844" s="551"/>
      <c r="H844" s="551"/>
      <c r="I844" s="551"/>
      <c r="J844" s="551"/>
      <c r="K844" s="551"/>
      <c r="L844" s="551"/>
      <c r="M844" s="551"/>
      <c r="N844" s="551"/>
      <c r="O844" s="551"/>
      <c r="P844" s="551"/>
      <c r="Q844" s="551"/>
      <c r="R844" s="551"/>
      <c r="S844" s="551"/>
      <c r="T844" s="551"/>
      <c r="U844" s="551"/>
      <c r="V844" s="551"/>
      <c r="W844" s="551"/>
      <c r="X844" s="551"/>
      <c r="Y844" s="551"/>
      <c r="Z844" s="551"/>
      <c r="AA844" s="551"/>
      <c r="AB844" s="551"/>
      <c r="AC844" s="551"/>
      <c r="AD844" s="551"/>
      <c r="AE844" s="551"/>
      <c r="AF844" s="551"/>
      <c r="AG844" s="551"/>
      <c r="AH844" s="551"/>
      <c r="AI844" s="551"/>
      <c r="AJ844" s="551"/>
      <c r="AK844" s="551"/>
      <c r="AL844" s="551"/>
      <c r="AM844" s="551"/>
      <c r="AN844" s="551"/>
      <c r="AO844" s="551"/>
      <c r="AP844" s="551"/>
      <c r="AQ844" s="551"/>
      <c r="AR844" s="551"/>
      <c r="AS844" s="551"/>
      <c r="AT844" s="551"/>
      <c r="AU844" s="551"/>
      <c r="AV844" s="551"/>
      <c r="AW844" s="551"/>
      <c r="AX844" s="551"/>
      <c r="AY844" s="551"/>
      <c r="AZ844" s="551"/>
      <c r="BA844" s="551"/>
      <c r="BB844" s="551"/>
      <c r="BC844" s="551"/>
      <c r="BD844" s="551"/>
      <c r="BE844" s="551"/>
      <c r="BF844" s="551"/>
    </row>
    <row r="845" spans="1:58" ht="12.75" customHeight="1">
      <c r="A845" s="551"/>
      <c r="B845" s="551"/>
      <c r="C845" s="551"/>
      <c r="D845" s="551"/>
      <c r="E845" s="551"/>
      <c r="F845" s="551"/>
      <c r="G845" s="551"/>
      <c r="H845" s="551"/>
      <c r="I845" s="551"/>
      <c r="J845" s="551"/>
      <c r="K845" s="551"/>
      <c r="L845" s="551"/>
      <c r="M845" s="551"/>
      <c r="N845" s="551"/>
      <c r="O845" s="551"/>
      <c r="P845" s="551"/>
      <c r="Q845" s="551"/>
      <c r="R845" s="551"/>
      <c r="S845" s="551"/>
      <c r="T845" s="551"/>
      <c r="U845" s="551"/>
      <c r="V845" s="551"/>
      <c r="W845" s="551"/>
      <c r="X845" s="551"/>
      <c r="Y845" s="551"/>
      <c r="Z845" s="551"/>
      <c r="AA845" s="551"/>
      <c r="AB845" s="551"/>
      <c r="AC845" s="551"/>
      <c r="AD845" s="551"/>
      <c r="AE845" s="551"/>
      <c r="AF845" s="551"/>
      <c r="AG845" s="551"/>
      <c r="AH845" s="551"/>
      <c r="AI845" s="551"/>
      <c r="AJ845" s="551"/>
      <c r="AK845" s="551"/>
      <c r="AL845" s="551"/>
      <c r="AM845" s="551"/>
      <c r="AN845" s="551"/>
      <c r="AO845" s="551"/>
      <c r="AP845" s="551"/>
      <c r="AQ845" s="551"/>
      <c r="AR845" s="551"/>
      <c r="AS845" s="551"/>
      <c r="AT845" s="551"/>
      <c r="AU845" s="551"/>
      <c r="AV845" s="551"/>
      <c r="AW845" s="551"/>
      <c r="AX845" s="551"/>
      <c r="AY845" s="551"/>
      <c r="AZ845" s="551"/>
      <c r="BA845" s="551"/>
      <c r="BB845" s="551"/>
      <c r="BC845" s="551"/>
      <c r="BD845" s="551"/>
      <c r="BE845" s="551"/>
      <c r="BF845" s="551"/>
    </row>
    <row r="846" spans="1:58" ht="12.75" customHeight="1">
      <c r="A846" s="551"/>
      <c r="B846" s="551"/>
      <c r="C846" s="551"/>
      <c r="D846" s="551"/>
      <c r="E846" s="551"/>
      <c r="F846" s="551"/>
      <c r="G846" s="551"/>
      <c r="H846" s="551"/>
      <c r="I846" s="551"/>
      <c r="J846" s="551"/>
      <c r="K846" s="551"/>
      <c r="L846" s="551"/>
      <c r="M846" s="551"/>
      <c r="N846" s="551"/>
      <c r="O846" s="551"/>
      <c r="P846" s="551"/>
      <c r="Q846" s="551"/>
      <c r="R846" s="551"/>
      <c r="S846" s="551"/>
      <c r="T846" s="551"/>
      <c r="U846" s="551"/>
      <c r="V846" s="551"/>
      <c r="W846" s="551"/>
      <c r="X846" s="551"/>
      <c r="Y846" s="551"/>
      <c r="Z846" s="551"/>
      <c r="AA846" s="551"/>
      <c r="AB846" s="551"/>
      <c r="AC846" s="551"/>
      <c r="AD846" s="551"/>
      <c r="AE846" s="551"/>
      <c r="AF846" s="551"/>
      <c r="AG846" s="551"/>
      <c r="AH846" s="551"/>
      <c r="AI846" s="551"/>
      <c r="AJ846" s="551"/>
      <c r="AK846" s="551"/>
      <c r="AL846" s="551"/>
      <c r="AM846" s="551"/>
      <c r="AN846" s="551"/>
      <c r="AO846" s="551"/>
      <c r="AP846" s="551"/>
      <c r="AQ846" s="551"/>
      <c r="AR846" s="551"/>
      <c r="AS846" s="551"/>
      <c r="AT846" s="551"/>
      <c r="AU846" s="551"/>
      <c r="AV846" s="551"/>
      <c r="AW846" s="551"/>
      <c r="AX846" s="551"/>
      <c r="AY846" s="551"/>
      <c r="AZ846" s="551"/>
      <c r="BA846" s="551"/>
      <c r="BB846" s="551"/>
      <c r="BC846" s="551"/>
      <c r="BD846" s="551"/>
      <c r="BE846" s="551"/>
      <c r="BF846" s="551"/>
    </row>
    <row r="847" spans="1:58" ht="12.75" customHeight="1">
      <c r="A847" s="551"/>
      <c r="B847" s="551"/>
      <c r="C847" s="551"/>
      <c r="D847" s="551"/>
      <c r="E847" s="551"/>
      <c r="F847" s="551"/>
      <c r="G847" s="551"/>
      <c r="H847" s="551"/>
      <c r="I847" s="551"/>
      <c r="J847" s="551"/>
      <c r="K847" s="551"/>
      <c r="L847" s="551"/>
      <c r="M847" s="551"/>
      <c r="N847" s="551"/>
      <c r="O847" s="551"/>
      <c r="P847" s="551"/>
      <c r="Q847" s="551"/>
      <c r="R847" s="551"/>
      <c r="S847" s="551"/>
      <c r="T847" s="551"/>
      <c r="U847" s="551"/>
      <c r="V847" s="551"/>
      <c r="W847" s="551"/>
      <c r="X847" s="551"/>
      <c r="Y847" s="551"/>
      <c r="Z847" s="551"/>
      <c r="AA847" s="551"/>
      <c r="AB847" s="551"/>
      <c r="AC847" s="551"/>
      <c r="AD847" s="551"/>
      <c r="AE847" s="551"/>
      <c r="AF847" s="551"/>
      <c r="AG847" s="551"/>
      <c r="AH847" s="551"/>
      <c r="AI847" s="551"/>
      <c r="AJ847" s="551"/>
      <c r="AK847" s="551"/>
      <c r="AL847" s="551"/>
      <c r="AM847" s="551"/>
      <c r="AN847" s="551"/>
      <c r="AO847" s="551"/>
      <c r="AP847" s="551"/>
      <c r="AQ847" s="551"/>
      <c r="AR847" s="551"/>
      <c r="AS847" s="551"/>
      <c r="AT847" s="551"/>
      <c r="AU847" s="551"/>
      <c r="AV847" s="551"/>
      <c r="AW847" s="551"/>
      <c r="AX847" s="551"/>
      <c r="AY847" s="551"/>
      <c r="AZ847" s="551"/>
      <c r="BA847" s="551"/>
      <c r="BB847" s="551"/>
      <c r="BC847" s="551"/>
      <c r="BD847" s="551"/>
      <c r="BE847" s="551"/>
      <c r="BF847" s="551"/>
    </row>
    <row r="848" spans="1:58" ht="12.75" customHeight="1">
      <c r="A848" s="551"/>
      <c r="B848" s="551"/>
      <c r="C848" s="551"/>
      <c r="D848" s="551"/>
      <c r="E848" s="551"/>
      <c r="F848" s="551"/>
      <c r="G848" s="551"/>
      <c r="H848" s="551"/>
      <c r="I848" s="551"/>
      <c r="J848" s="551"/>
      <c r="K848" s="551"/>
      <c r="L848" s="551"/>
      <c r="M848" s="551"/>
      <c r="N848" s="551"/>
      <c r="O848" s="551"/>
      <c r="P848" s="551"/>
      <c r="Q848" s="551"/>
      <c r="R848" s="551"/>
      <c r="S848" s="551"/>
      <c r="T848" s="551"/>
      <c r="U848" s="551"/>
      <c r="V848" s="551"/>
      <c r="W848" s="551"/>
      <c r="X848" s="551"/>
      <c r="Y848" s="551"/>
      <c r="Z848" s="551"/>
      <c r="AA848" s="551"/>
      <c r="AB848" s="551"/>
      <c r="AC848" s="551"/>
      <c r="AD848" s="551"/>
      <c r="AE848" s="551"/>
      <c r="AF848" s="551"/>
      <c r="AG848" s="551"/>
      <c r="AH848" s="551"/>
      <c r="AI848" s="551"/>
      <c r="AJ848" s="551"/>
      <c r="AK848" s="551"/>
      <c r="AL848" s="551"/>
      <c r="AM848" s="551"/>
      <c r="AN848" s="551"/>
      <c r="AO848" s="551"/>
      <c r="AP848" s="551"/>
      <c r="AQ848" s="551"/>
      <c r="AR848" s="551"/>
      <c r="AS848" s="551"/>
      <c r="AT848" s="551"/>
      <c r="AU848" s="551"/>
      <c r="AV848" s="551"/>
      <c r="AW848" s="551"/>
      <c r="AX848" s="551"/>
      <c r="AY848" s="551"/>
      <c r="AZ848" s="551"/>
      <c r="BA848" s="551"/>
      <c r="BB848" s="551"/>
      <c r="BC848" s="551"/>
      <c r="BD848" s="551"/>
      <c r="BE848" s="551"/>
      <c r="BF848" s="551"/>
    </row>
    <row r="849" spans="1:58" ht="12.75" customHeight="1">
      <c r="A849" s="551"/>
      <c r="B849" s="551"/>
      <c r="C849" s="551"/>
      <c r="D849" s="551"/>
      <c r="E849" s="551"/>
      <c r="F849" s="551"/>
      <c r="G849" s="551"/>
      <c r="H849" s="551"/>
      <c r="I849" s="551"/>
      <c r="J849" s="551"/>
      <c r="K849" s="551"/>
      <c r="L849" s="551"/>
      <c r="M849" s="551"/>
      <c r="N849" s="551"/>
      <c r="O849" s="551"/>
      <c r="P849" s="551"/>
      <c r="Q849" s="551"/>
      <c r="R849" s="551"/>
      <c r="S849" s="551"/>
      <c r="T849" s="551"/>
      <c r="U849" s="551"/>
      <c r="V849" s="551"/>
      <c r="W849" s="551"/>
      <c r="X849" s="551"/>
      <c r="Y849" s="551"/>
      <c r="Z849" s="551"/>
      <c r="AA849" s="551"/>
      <c r="AB849" s="551"/>
      <c r="AC849" s="551"/>
      <c r="AD849" s="551"/>
      <c r="AE849" s="551"/>
      <c r="AF849" s="551"/>
      <c r="AG849" s="551"/>
      <c r="AH849" s="551"/>
      <c r="AI849" s="551"/>
      <c r="AJ849" s="551"/>
      <c r="AK849" s="551"/>
      <c r="AL849" s="551"/>
      <c r="AM849" s="551"/>
      <c r="AN849" s="551"/>
      <c r="AO849" s="551"/>
      <c r="AP849" s="551"/>
      <c r="AQ849" s="551"/>
      <c r="AR849" s="551"/>
      <c r="AS849" s="551"/>
      <c r="AT849" s="551"/>
      <c r="AU849" s="551"/>
      <c r="AV849" s="551"/>
      <c r="AW849" s="551"/>
      <c r="AX849" s="551"/>
      <c r="AY849" s="551"/>
      <c r="AZ849" s="551"/>
      <c r="BA849" s="551"/>
      <c r="BB849" s="551"/>
      <c r="BC849" s="551"/>
      <c r="BD849" s="551"/>
      <c r="BE849" s="551"/>
      <c r="BF849" s="551"/>
    </row>
    <row r="850" spans="1:58" ht="12.75" customHeight="1">
      <c r="A850" s="551"/>
      <c r="B850" s="551"/>
      <c r="C850" s="551"/>
      <c r="D850" s="551"/>
      <c r="E850" s="551"/>
      <c r="F850" s="551"/>
      <c r="G850" s="551"/>
      <c r="H850" s="551"/>
      <c r="I850" s="551"/>
      <c r="J850" s="551"/>
      <c r="K850" s="551"/>
      <c r="L850" s="551"/>
      <c r="M850" s="551"/>
      <c r="N850" s="551"/>
      <c r="O850" s="551"/>
      <c r="P850" s="551"/>
      <c r="Q850" s="551"/>
      <c r="R850" s="551"/>
      <c r="S850" s="551"/>
      <c r="T850" s="551"/>
      <c r="U850" s="551"/>
      <c r="V850" s="551"/>
      <c r="W850" s="551"/>
      <c r="X850" s="551"/>
      <c r="Y850" s="551"/>
      <c r="Z850" s="551"/>
      <c r="AA850" s="551"/>
      <c r="AB850" s="551"/>
      <c r="AC850" s="551"/>
      <c r="AD850" s="551"/>
      <c r="AE850" s="551"/>
      <c r="AF850" s="551"/>
      <c r="AG850" s="551"/>
      <c r="AH850" s="551"/>
      <c r="AI850" s="551"/>
      <c r="AJ850" s="551"/>
      <c r="AK850" s="551"/>
      <c r="AL850" s="551"/>
      <c r="AM850" s="551"/>
      <c r="AN850" s="551"/>
      <c r="AO850" s="551"/>
      <c r="AP850" s="551"/>
      <c r="AQ850" s="551"/>
      <c r="AR850" s="551"/>
      <c r="AS850" s="551"/>
      <c r="AT850" s="551"/>
      <c r="AU850" s="551"/>
      <c r="AV850" s="551"/>
      <c r="AW850" s="551"/>
      <c r="AX850" s="551"/>
      <c r="AY850" s="551"/>
      <c r="AZ850" s="551"/>
      <c r="BA850" s="551"/>
      <c r="BB850" s="551"/>
      <c r="BC850" s="551"/>
      <c r="BD850" s="551"/>
      <c r="BE850" s="551"/>
      <c r="BF850" s="551"/>
    </row>
    <row r="851" spans="1:58" ht="12.75" customHeight="1">
      <c r="A851" s="551"/>
      <c r="B851" s="551"/>
      <c r="C851" s="551"/>
      <c r="D851" s="551"/>
      <c r="E851" s="551"/>
      <c r="F851" s="551"/>
      <c r="G851" s="551"/>
      <c r="H851" s="551"/>
      <c r="I851" s="551"/>
      <c r="J851" s="551"/>
      <c r="K851" s="551"/>
      <c r="L851" s="551"/>
      <c r="M851" s="551"/>
      <c r="N851" s="551"/>
      <c r="O851" s="551"/>
      <c r="P851" s="551"/>
      <c r="Q851" s="551"/>
      <c r="R851" s="551"/>
      <c r="S851" s="551"/>
      <c r="T851" s="551"/>
      <c r="U851" s="551"/>
      <c r="V851" s="551"/>
      <c r="W851" s="551"/>
      <c r="X851" s="551"/>
      <c r="Y851" s="551"/>
      <c r="Z851" s="551"/>
      <c r="AA851" s="551"/>
      <c r="AB851" s="551"/>
      <c r="AC851" s="551"/>
      <c r="AD851" s="551"/>
      <c r="AE851" s="551"/>
      <c r="AF851" s="551"/>
      <c r="AG851" s="551"/>
      <c r="AH851" s="551"/>
      <c r="AI851" s="551"/>
      <c r="AJ851" s="551"/>
      <c r="AK851" s="551"/>
      <c r="AL851" s="551"/>
      <c r="AM851" s="551"/>
      <c r="AN851" s="551"/>
      <c r="AO851" s="551"/>
      <c r="AP851" s="551"/>
      <c r="AQ851" s="551"/>
      <c r="AR851" s="551"/>
      <c r="AS851" s="551"/>
      <c r="AT851" s="551"/>
      <c r="AU851" s="551"/>
      <c r="AV851" s="551"/>
      <c r="AW851" s="551"/>
      <c r="AX851" s="551"/>
      <c r="AY851" s="551"/>
      <c r="AZ851" s="551"/>
      <c r="BA851" s="551"/>
      <c r="BB851" s="551"/>
      <c r="BC851" s="551"/>
      <c r="BD851" s="551"/>
      <c r="BE851" s="551"/>
      <c r="BF851" s="551"/>
    </row>
    <row r="852" spans="1:58" ht="12.75" customHeight="1">
      <c r="A852" s="551"/>
      <c r="B852" s="551"/>
      <c r="C852" s="551"/>
      <c r="D852" s="551"/>
      <c r="E852" s="551"/>
      <c r="F852" s="551"/>
      <c r="G852" s="551"/>
      <c r="H852" s="551"/>
      <c r="I852" s="551"/>
      <c r="J852" s="551"/>
      <c r="K852" s="551"/>
      <c r="L852" s="551"/>
      <c r="M852" s="551"/>
      <c r="N852" s="551"/>
      <c r="O852" s="551"/>
      <c r="P852" s="551"/>
      <c r="Q852" s="551"/>
      <c r="R852" s="551"/>
      <c r="S852" s="551"/>
      <c r="T852" s="551"/>
      <c r="U852" s="551"/>
      <c r="V852" s="551"/>
      <c r="W852" s="551"/>
      <c r="X852" s="551"/>
      <c r="Y852" s="551"/>
      <c r="Z852" s="551"/>
      <c r="AA852" s="551"/>
      <c r="AB852" s="551"/>
      <c r="AC852" s="551"/>
      <c r="AD852" s="551"/>
      <c r="AE852" s="551"/>
      <c r="AF852" s="551"/>
      <c r="AG852" s="551"/>
      <c r="AH852" s="551"/>
      <c r="AI852" s="551"/>
      <c r="AJ852" s="551"/>
      <c r="AK852" s="551"/>
      <c r="AL852" s="551"/>
      <c r="AM852" s="551"/>
      <c r="AN852" s="551"/>
      <c r="AO852" s="551"/>
      <c r="AP852" s="551"/>
      <c r="AQ852" s="551"/>
      <c r="AR852" s="551"/>
      <c r="AS852" s="551"/>
      <c r="AT852" s="551"/>
      <c r="AU852" s="551"/>
      <c r="AV852" s="551"/>
      <c r="AW852" s="551"/>
      <c r="AX852" s="551"/>
      <c r="AY852" s="551"/>
      <c r="AZ852" s="551"/>
      <c r="BA852" s="551"/>
      <c r="BB852" s="551"/>
      <c r="BC852" s="551"/>
      <c r="BD852" s="551"/>
      <c r="BE852" s="551"/>
      <c r="BF852" s="551"/>
    </row>
    <row r="853" spans="1:58" ht="12.75" customHeight="1">
      <c r="A853" s="551"/>
      <c r="B853" s="551"/>
      <c r="C853" s="551"/>
      <c r="D853" s="551"/>
      <c r="E853" s="551"/>
      <c r="F853" s="551"/>
      <c r="G853" s="551"/>
      <c r="H853" s="551"/>
      <c r="I853" s="551"/>
      <c r="J853" s="551"/>
      <c r="K853" s="551"/>
      <c r="L853" s="551"/>
      <c r="M853" s="551"/>
      <c r="N853" s="551"/>
      <c r="O853" s="551"/>
      <c r="P853" s="551"/>
      <c r="Q853" s="551"/>
      <c r="R853" s="551"/>
      <c r="S853" s="551"/>
      <c r="T853" s="551"/>
      <c r="U853" s="551"/>
      <c r="V853" s="551"/>
      <c r="W853" s="551"/>
      <c r="X853" s="551"/>
      <c r="Y853" s="551"/>
      <c r="Z853" s="551"/>
      <c r="AA853" s="551"/>
      <c r="AB853" s="551"/>
      <c r="AC853" s="551"/>
      <c r="AD853" s="551"/>
      <c r="AE853" s="551"/>
      <c r="AF853" s="551"/>
      <c r="AG853" s="551"/>
      <c r="AH853" s="551"/>
      <c r="AI853" s="551"/>
      <c r="AJ853" s="551"/>
      <c r="AK853" s="551"/>
      <c r="AL853" s="551"/>
      <c r="AM853" s="551"/>
      <c r="AN853" s="551"/>
      <c r="AO853" s="551"/>
      <c r="AP853" s="551"/>
      <c r="AQ853" s="551"/>
      <c r="AR853" s="551"/>
      <c r="AS853" s="551"/>
      <c r="AT853" s="551"/>
      <c r="AU853" s="551"/>
      <c r="AV853" s="551"/>
      <c r="AW853" s="551"/>
      <c r="AX853" s="551"/>
      <c r="AY853" s="551"/>
      <c r="AZ853" s="551"/>
      <c r="BA853" s="551"/>
      <c r="BB853" s="551"/>
      <c r="BC853" s="551"/>
      <c r="BD853" s="551"/>
      <c r="BE853" s="551"/>
      <c r="BF853" s="551"/>
    </row>
    <row r="854" spans="1:58" ht="12.75" customHeight="1">
      <c r="A854" s="551"/>
      <c r="B854" s="551"/>
      <c r="C854" s="551"/>
      <c r="D854" s="551"/>
      <c r="E854" s="551"/>
      <c r="F854" s="551"/>
      <c r="G854" s="551"/>
      <c r="H854" s="551"/>
      <c r="I854" s="551"/>
      <c r="J854" s="551"/>
      <c r="K854" s="551"/>
      <c r="L854" s="551"/>
      <c r="M854" s="551"/>
      <c r="N854" s="551"/>
      <c r="O854" s="551"/>
      <c r="P854" s="551"/>
      <c r="Q854" s="551"/>
      <c r="R854" s="551"/>
      <c r="S854" s="551"/>
      <c r="T854" s="551"/>
      <c r="U854" s="551"/>
      <c r="V854" s="551"/>
      <c r="W854" s="551"/>
      <c r="X854" s="551"/>
      <c r="Y854" s="551"/>
      <c r="Z854" s="551"/>
      <c r="AA854" s="551"/>
      <c r="AB854" s="551"/>
      <c r="AC854" s="551"/>
      <c r="AD854" s="551"/>
      <c r="AE854" s="551"/>
      <c r="AF854" s="551"/>
      <c r="AG854" s="551"/>
      <c r="AH854" s="551"/>
      <c r="AI854" s="551"/>
      <c r="AJ854" s="551"/>
      <c r="AK854" s="551"/>
      <c r="AL854" s="551"/>
      <c r="AM854" s="551"/>
      <c r="AN854" s="551"/>
      <c r="AO854" s="551"/>
      <c r="AP854" s="551"/>
      <c r="AQ854" s="551"/>
      <c r="AR854" s="551"/>
      <c r="AS854" s="551"/>
      <c r="AT854" s="551"/>
      <c r="AU854" s="551"/>
      <c r="AV854" s="551"/>
      <c r="AW854" s="551"/>
      <c r="AX854" s="551"/>
      <c r="AY854" s="551"/>
      <c r="AZ854" s="551"/>
      <c r="BA854" s="551"/>
      <c r="BB854" s="551"/>
      <c r="BC854" s="551"/>
      <c r="BD854" s="551"/>
      <c r="BE854" s="551"/>
      <c r="BF854" s="551"/>
    </row>
    <row r="855" spans="1:58" ht="12.75" customHeight="1">
      <c r="A855" s="551"/>
      <c r="B855" s="551"/>
      <c r="C855" s="551"/>
      <c r="D855" s="551"/>
      <c r="E855" s="551"/>
      <c r="F855" s="551"/>
      <c r="G855" s="551"/>
      <c r="H855" s="551"/>
      <c r="I855" s="551"/>
      <c r="J855" s="551"/>
      <c r="K855" s="551"/>
      <c r="L855" s="551"/>
      <c r="M855" s="551"/>
      <c r="N855" s="551"/>
      <c r="O855" s="551"/>
      <c r="P855" s="551"/>
      <c r="Q855" s="551"/>
      <c r="R855" s="551"/>
      <c r="S855" s="551"/>
      <c r="T855" s="551"/>
      <c r="U855" s="551"/>
      <c r="V855" s="551"/>
      <c r="W855" s="551"/>
      <c r="X855" s="551"/>
      <c r="Y855" s="551"/>
      <c r="Z855" s="551"/>
      <c r="AA855" s="551"/>
      <c r="AB855" s="551"/>
      <c r="AC855" s="551"/>
      <c r="AD855" s="551"/>
      <c r="AE855" s="551"/>
      <c r="AF855" s="551"/>
      <c r="AG855" s="551"/>
      <c r="AH855" s="551"/>
      <c r="AI855" s="551"/>
      <c r="AJ855" s="551"/>
      <c r="AK855" s="551"/>
      <c r="AL855" s="551"/>
      <c r="AM855" s="551"/>
      <c r="AN855" s="551"/>
      <c r="AO855" s="551"/>
      <c r="AP855" s="551"/>
      <c r="AQ855" s="551"/>
      <c r="AR855" s="551"/>
      <c r="AS855" s="551"/>
      <c r="AT855" s="551"/>
      <c r="AU855" s="551"/>
      <c r="AV855" s="551"/>
      <c r="AW855" s="551"/>
      <c r="AX855" s="551"/>
      <c r="AY855" s="551"/>
      <c r="AZ855" s="551"/>
      <c r="BA855" s="551"/>
      <c r="BB855" s="551"/>
      <c r="BC855" s="551"/>
      <c r="BD855" s="551"/>
      <c r="BE855" s="551"/>
      <c r="BF855" s="551"/>
    </row>
    <row r="856" spans="1:58" ht="12.75" customHeight="1">
      <c r="A856" s="551"/>
      <c r="B856" s="551"/>
      <c r="C856" s="551"/>
      <c r="D856" s="551"/>
      <c r="E856" s="551"/>
      <c r="F856" s="551"/>
      <c r="G856" s="551"/>
      <c r="H856" s="551"/>
      <c r="I856" s="551"/>
      <c r="J856" s="551"/>
      <c r="K856" s="551"/>
      <c r="L856" s="551"/>
      <c r="M856" s="551"/>
      <c r="N856" s="551"/>
      <c r="O856" s="551"/>
      <c r="P856" s="551"/>
      <c r="Q856" s="551"/>
      <c r="R856" s="551"/>
      <c r="S856" s="551"/>
      <c r="T856" s="551"/>
      <c r="U856" s="551"/>
      <c r="V856" s="551"/>
      <c r="W856" s="551"/>
      <c r="X856" s="551"/>
      <c r="Y856" s="551"/>
      <c r="Z856" s="551"/>
      <c r="AA856" s="551"/>
      <c r="AB856" s="551"/>
      <c r="AC856" s="551"/>
      <c r="AD856" s="551"/>
      <c r="AE856" s="551"/>
      <c r="AF856" s="551"/>
      <c r="AG856" s="551"/>
      <c r="AH856" s="551"/>
      <c r="AI856" s="551"/>
      <c r="AJ856" s="551"/>
      <c r="AK856" s="551"/>
      <c r="AL856" s="551"/>
      <c r="AM856" s="551"/>
      <c r="AN856" s="551"/>
      <c r="AO856" s="551"/>
      <c r="AP856" s="551"/>
      <c r="AQ856" s="551"/>
      <c r="AR856" s="551"/>
      <c r="AS856" s="551"/>
      <c r="AT856" s="551"/>
      <c r="AU856" s="551"/>
      <c r="AV856" s="551"/>
      <c r="AW856" s="551"/>
      <c r="AX856" s="551"/>
      <c r="AY856" s="551"/>
      <c r="AZ856" s="551"/>
      <c r="BA856" s="551"/>
      <c r="BB856" s="551"/>
      <c r="BC856" s="551"/>
      <c r="BD856" s="551"/>
      <c r="BE856" s="551"/>
      <c r="BF856" s="551"/>
    </row>
    <row r="857" spans="1:58" ht="12.75" customHeight="1">
      <c r="A857" s="551"/>
      <c r="B857" s="551"/>
      <c r="C857" s="551"/>
      <c r="D857" s="551"/>
      <c r="E857" s="551"/>
      <c r="F857" s="551"/>
      <c r="G857" s="551"/>
      <c r="H857" s="551"/>
      <c r="I857" s="551"/>
      <c r="J857" s="551"/>
      <c r="K857" s="551"/>
      <c r="L857" s="551"/>
      <c r="M857" s="551"/>
      <c r="N857" s="551"/>
      <c r="O857" s="551"/>
      <c r="P857" s="551"/>
      <c r="Q857" s="551"/>
      <c r="R857" s="551"/>
      <c r="S857" s="551"/>
      <c r="T857" s="551"/>
      <c r="U857" s="551"/>
      <c r="V857" s="551"/>
      <c r="W857" s="551"/>
      <c r="X857" s="551"/>
      <c r="Y857" s="551"/>
      <c r="Z857" s="551"/>
      <c r="AA857" s="551"/>
      <c r="AB857" s="551"/>
      <c r="AC857" s="551"/>
      <c r="AD857" s="551"/>
      <c r="AE857" s="551"/>
      <c r="AF857" s="551"/>
      <c r="AG857" s="551"/>
      <c r="AH857" s="551"/>
      <c r="AI857" s="551"/>
      <c r="AJ857" s="551"/>
      <c r="AK857" s="551"/>
      <c r="AL857" s="551"/>
      <c r="AM857" s="551"/>
      <c r="AN857" s="551"/>
      <c r="AO857" s="551"/>
      <c r="AP857" s="551"/>
      <c r="AQ857" s="551"/>
      <c r="AR857" s="551"/>
      <c r="AS857" s="551"/>
      <c r="AT857" s="551"/>
      <c r="AU857" s="551"/>
      <c r="AV857" s="551"/>
      <c r="AW857" s="551"/>
      <c r="AX857" s="551"/>
      <c r="AY857" s="551"/>
      <c r="AZ857" s="551"/>
      <c r="BA857" s="551"/>
      <c r="BB857" s="551"/>
      <c r="BC857" s="551"/>
      <c r="BD857" s="551"/>
      <c r="BE857" s="551"/>
      <c r="BF857" s="551"/>
    </row>
    <row r="858" spans="1:58" ht="12.75" customHeight="1">
      <c r="A858" s="551"/>
      <c r="B858" s="551"/>
      <c r="C858" s="551"/>
      <c r="D858" s="551"/>
      <c r="E858" s="551"/>
      <c r="F858" s="551"/>
      <c r="G858" s="551"/>
      <c r="H858" s="551"/>
      <c r="I858" s="551"/>
      <c r="J858" s="551"/>
      <c r="K858" s="551"/>
      <c r="L858" s="551"/>
      <c r="M858" s="551"/>
      <c r="N858" s="551"/>
      <c r="O858" s="551"/>
      <c r="P858" s="551"/>
      <c r="Q858" s="551"/>
      <c r="R858" s="551"/>
      <c r="S858" s="551"/>
      <c r="T858" s="551"/>
      <c r="U858" s="551"/>
      <c r="V858" s="551"/>
      <c r="W858" s="551"/>
      <c r="X858" s="551"/>
      <c r="Y858" s="551"/>
      <c r="Z858" s="551"/>
      <c r="AA858" s="551"/>
      <c r="AB858" s="551"/>
      <c r="AC858" s="551"/>
      <c r="AD858" s="551"/>
      <c r="AE858" s="551"/>
      <c r="AF858" s="551"/>
      <c r="AG858" s="551"/>
      <c r="AH858" s="551"/>
      <c r="AI858" s="551"/>
      <c r="AJ858" s="551"/>
      <c r="AK858" s="551"/>
      <c r="AL858" s="551"/>
      <c r="AM858" s="551"/>
      <c r="AN858" s="551"/>
      <c r="AO858" s="551"/>
      <c r="AP858" s="551"/>
      <c r="AQ858" s="551"/>
      <c r="AR858" s="551"/>
      <c r="AS858" s="551"/>
      <c r="AT858" s="551"/>
      <c r="AU858" s="551"/>
      <c r="AV858" s="551"/>
      <c r="AW858" s="551"/>
      <c r="AX858" s="551"/>
      <c r="AY858" s="551"/>
      <c r="AZ858" s="551"/>
      <c r="BA858" s="551"/>
      <c r="BB858" s="551"/>
      <c r="BC858" s="551"/>
      <c r="BD858" s="551"/>
      <c r="BE858" s="551"/>
      <c r="BF858" s="551"/>
    </row>
    <row r="859" spans="1:58" ht="12.75" customHeight="1">
      <c r="A859" s="551"/>
      <c r="B859" s="551"/>
      <c r="C859" s="551"/>
      <c r="D859" s="551"/>
      <c r="E859" s="551"/>
      <c r="F859" s="551"/>
      <c r="G859" s="551"/>
      <c r="H859" s="551"/>
      <c r="I859" s="551"/>
      <c r="J859" s="551"/>
      <c r="K859" s="551"/>
      <c r="L859" s="551"/>
      <c r="M859" s="551"/>
      <c r="N859" s="551"/>
      <c r="O859" s="551"/>
      <c r="P859" s="551"/>
      <c r="Q859" s="551"/>
      <c r="R859" s="551"/>
      <c r="S859" s="551"/>
      <c r="T859" s="551"/>
      <c r="U859" s="551"/>
      <c r="V859" s="551"/>
      <c r="W859" s="551"/>
      <c r="X859" s="551"/>
      <c r="Y859" s="551"/>
      <c r="Z859" s="551"/>
      <c r="AA859" s="551"/>
      <c r="AB859" s="551"/>
      <c r="AC859" s="551"/>
      <c r="AD859" s="551"/>
      <c r="AE859" s="551"/>
      <c r="AF859" s="551"/>
      <c r="AG859" s="551"/>
      <c r="AH859" s="551"/>
      <c r="AI859" s="551"/>
      <c r="AJ859" s="551"/>
      <c r="AK859" s="551"/>
      <c r="AL859" s="551"/>
      <c r="AM859" s="551"/>
      <c r="AN859" s="551"/>
      <c r="AO859" s="551"/>
      <c r="AP859" s="551"/>
      <c r="AQ859" s="551"/>
      <c r="AR859" s="551"/>
      <c r="AS859" s="551"/>
      <c r="AT859" s="551"/>
      <c r="AU859" s="551"/>
      <c r="AV859" s="551"/>
      <c r="AW859" s="551"/>
      <c r="AX859" s="551"/>
      <c r="AY859" s="551"/>
      <c r="AZ859" s="551"/>
      <c r="BA859" s="551"/>
      <c r="BB859" s="551"/>
      <c r="BC859" s="551"/>
      <c r="BD859" s="551"/>
      <c r="BE859" s="551"/>
      <c r="BF859" s="551"/>
    </row>
    <row r="860" spans="1:58" ht="12.75" customHeight="1">
      <c r="A860" s="551"/>
      <c r="B860" s="551"/>
      <c r="C860" s="551"/>
      <c r="D860" s="551"/>
      <c r="E860" s="551"/>
      <c r="F860" s="551"/>
      <c r="G860" s="551"/>
      <c r="H860" s="551"/>
      <c r="I860" s="551"/>
      <c r="J860" s="551"/>
      <c r="K860" s="551"/>
      <c r="L860" s="551"/>
      <c r="M860" s="551"/>
      <c r="N860" s="551"/>
      <c r="O860" s="551"/>
      <c r="P860" s="551"/>
      <c r="Q860" s="551"/>
      <c r="R860" s="551"/>
      <c r="S860" s="551"/>
      <c r="T860" s="551"/>
      <c r="U860" s="551"/>
      <c r="V860" s="551"/>
      <c r="W860" s="551"/>
      <c r="X860" s="551"/>
      <c r="Y860" s="551"/>
      <c r="Z860" s="551"/>
      <c r="AA860" s="551"/>
      <c r="AB860" s="551"/>
      <c r="AC860" s="551"/>
      <c r="AD860" s="551"/>
      <c r="AE860" s="551"/>
      <c r="AF860" s="551"/>
      <c r="AG860" s="551"/>
      <c r="AH860" s="551"/>
      <c r="AI860" s="551"/>
      <c r="AJ860" s="551"/>
      <c r="AK860" s="551"/>
      <c r="AL860" s="551"/>
      <c r="AM860" s="551"/>
      <c r="AN860" s="551"/>
      <c r="AO860" s="551"/>
      <c r="AP860" s="551"/>
      <c r="AQ860" s="551"/>
      <c r="AR860" s="551"/>
      <c r="AS860" s="551"/>
      <c r="AT860" s="551"/>
      <c r="AU860" s="551"/>
      <c r="AV860" s="551"/>
      <c r="AW860" s="551"/>
      <c r="AX860" s="551"/>
      <c r="AY860" s="551"/>
      <c r="AZ860" s="551"/>
      <c r="BA860" s="551"/>
      <c r="BB860" s="551"/>
      <c r="BC860" s="551"/>
      <c r="BD860" s="551"/>
      <c r="BE860" s="551"/>
      <c r="BF860" s="551"/>
    </row>
    <row r="861" spans="1:58" ht="12.75" customHeight="1">
      <c r="A861" s="551"/>
      <c r="B861" s="551"/>
      <c r="C861" s="551"/>
      <c r="D861" s="551"/>
      <c r="E861" s="551"/>
      <c r="F861" s="551"/>
      <c r="G861" s="551"/>
      <c r="H861" s="551"/>
      <c r="I861" s="551"/>
      <c r="J861" s="551"/>
      <c r="K861" s="551"/>
      <c r="L861" s="551"/>
      <c r="M861" s="551"/>
      <c r="N861" s="551"/>
      <c r="O861" s="551"/>
      <c r="P861" s="551"/>
      <c r="Q861" s="551"/>
      <c r="R861" s="551"/>
      <c r="S861" s="551"/>
      <c r="T861" s="551"/>
      <c r="U861" s="551"/>
      <c r="V861" s="551"/>
      <c r="W861" s="551"/>
      <c r="X861" s="551"/>
      <c r="Y861" s="551"/>
      <c r="Z861" s="551"/>
      <c r="AA861" s="551"/>
      <c r="AB861" s="551"/>
      <c r="AC861" s="551"/>
      <c r="AD861" s="551"/>
      <c r="AE861" s="551"/>
      <c r="AF861" s="551"/>
      <c r="AG861" s="551"/>
      <c r="AH861" s="551"/>
      <c r="AI861" s="551"/>
      <c r="AJ861" s="551"/>
      <c r="AK861" s="551"/>
      <c r="AL861" s="551"/>
      <c r="AM861" s="551"/>
      <c r="AN861" s="551"/>
      <c r="AO861" s="551"/>
      <c r="AP861" s="551"/>
      <c r="AQ861" s="551"/>
      <c r="AR861" s="551"/>
      <c r="AS861" s="551"/>
      <c r="AT861" s="551"/>
      <c r="AU861" s="551"/>
      <c r="AV861" s="551"/>
      <c r="AW861" s="551"/>
      <c r="AX861" s="551"/>
      <c r="AY861" s="551"/>
      <c r="AZ861" s="551"/>
      <c r="BA861" s="551"/>
      <c r="BB861" s="551"/>
      <c r="BC861" s="551"/>
      <c r="BD861" s="551"/>
      <c r="BE861" s="551"/>
      <c r="BF861" s="551"/>
    </row>
    <row r="862" spans="1:58" ht="12.75" customHeight="1">
      <c r="A862" s="551"/>
      <c r="B862" s="551"/>
      <c r="C862" s="551"/>
      <c r="D862" s="551"/>
      <c r="E862" s="551"/>
      <c r="F862" s="551"/>
      <c r="G862" s="551"/>
      <c r="H862" s="551"/>
      <c r="I862" s="551"/>
      <c r="J862" s="551"/>
      <c r="K862" s="551"/>
      <c r="L862" s="551"/>
      <c r="M862" s="551"/>
      <c r="N862" s="551"/>
      <c r="O862" s="551"/>
      <c r="P862" s="551"/>
      <c r="Q862" s="551"/>
      <c r="R862" s="551"/>
      <c r="S862" s="551"/>
      <c r="T862" s="551"/>
      <c r="U862" s="551"/>
      <c r="V862" s="551"/>
      <c r="W862" s="551"/>
      <c r="X862" s="551"/>
      <c r="Y862" s="551"/>
      <c r="Z862" s="551"/>
      <c r="AA862" s="551"/>
      <c r="AB862" s="551"/>
      <c r="AC862" s="551"/>
      <c r="AD862" s="551"/>
      <c r="AE862" s="551"/>
      <c r="AF862" s="551"/>
      <c r="AG862" s="551"/>
      <c r="AH862" s="551"/>
      <c r="AI862" s="551"/>
      <c r="AJ862" s="551"/>
      <c r="AK862" s="551"/>
      <c r="AL862" s="551"/>
      <c r="AM862" s="551"/>
      <c r="AN862" s="551"/>
      <c r="AO862" s="551"/>
      <c r="AP862" s="551"/>
      <c r="AQ862" s="551"/>
      <c r="AR862" s="551"/>
      <c r="AS862" s="551"/>
      <c r="AT862" s="551"/>
      <c r="AU862" s="551"/>
      <c r="AV862" s="551"/>
      <c r="AW862" s="551"/>
      <c r="AX862" s="551"/>
      <c r="AY862" s="551"/>
      <c r="AZ862" s="551"/>
      <c r="BA862" s="551"/>
      <c r="BB862" s="551"/>
      <c r="BC862" s="551"/>
      <c r="BD862" s="551"/>
      <c r="BE862" s="551"/>
      <c r="BF862" s="551"/>
    </row>
    <row r="863" spans="1:58" ht="12.75" customHeight="1">
      <c r="A863" s="551"/>
      <c r="B863" s="551"/>
      <c r="C863" s="551"/>
      <c r="D863" s="551"/>
      <c r="E863" s="551"/>
      <c r="F863" s="551"/>
      <c r="G863" s="551"/>
      <c r="H863" s="551"/>
      <c r="I863" s="551"/>
      <c r="J863" s="551"/>
      <c r="K863" s="551"/>
      <c r="L863" s="551"/>
      <c r="M863" s="551"/>
      <c r="N863" s="551"/>
      <c r="O863" s="551"/>
      <c r="P863" s="551"/>
      <c r="Q863" s="551"/>
      <c r="R863" s="551"/>
      <c r="S863" s="551"/>
      <c r="T863" s="551"/>
      <c r="U863" s="551"/>
      <c r="V863" s="551"/>
      <c r="W863" s="551"/>
      <c r="X863" s="551"/>
      <c r="Y863" s="551"/>
      <c r="Z863" s="551"/>
      <c r="AA863" s="551"/>
      <c r="AB863" s="551"/>
      <c r="AC863" s="551"/>
      <c r="AD863" s="551"/>
      <c r="AE863" s="551"/>
      <c r="AF863" s="551"/>
      <c r="AG863" s="551"/>
      <c r="AH863" s="551"/>
      <c r="AI863" s="551"/>
      <c r="AJ863" s="551"/>
      <c r="AK863" s="551"/>
      <c r="AL863" s="551"/>
      <c r="AM863" s="551"/>
      <c r="AN863" s="551"/>
      <c r="AO863" s="551"/>
      <c r="AP863" s="551"/>
      <c r="AQ863" s="551"/>
      <c r="AR863" s="551"/>
      <c r="AS863" s="551"/>
      <c r="AT863" s="551"/>
      <c r="AU863" s="551"/>
      <c r="AV863" s="551"/>
      <c r="AW863" s="551"/>
      <c r="AX863" s="551"/>
      <c r="AY863" s="551"/>
      <c r="AZ863" s="551"/>
      <c r="BA863" s="551"/>
      <c r="BB863" s="551"/>
      <c r="BC863" s="551"/>
      <c r="BD863" s="551"/>
      <c r="BE863" s="551"/>
      <c r="BF863" s="551"/>
    </row>
    <row r="864" spans="1:58" ht="12.75" customHeight="1">
      <c r="A864" s="551"/>
      <c r="B864" s="551"/>
      <c r="C864" s="551"/>
      <c r="D864" s="551"/>
      <c r="E864" s="551"/>
      <c r="F864" s="551"/>
      <c r="G864" s="551"/>
      <c r="H864" s="551"/>
      <c r="I864" s="551"/>
      <c r="J864" s="551"/>
      <c r="K864" s="551"/>
      <c r="L864" s="551"/>
      <c r="M864" s="551"/>
      <c r="N864" s="551"/>
      <c r="O864" s="551"/>
      <c r="P864" s="551"/>
      <c r="Q864" s="551"/>
      <c r="R864" s="551"/>
      <c r="S864" s="551"/>
      <c r="T864" s="551"/>
      <c r="U864" s="551"/>
      <c r="V864" s="551"/>
      <c r="W864" s="551"/>
      <c r="X864" s="551"/>
      <c r="Y864" s="551"/>
      <c r="Z864" s="551"/>
      <c r="AA864" s="551"/>
      <c r="AB864" s="551"/>
      <c r="AC864" s="551"/>
      <c r="AD864" s="551"/>
      <c r="AE864" s="551"/>
      <c r="AF864" s="551"/>
      <c r="AG864" s="551"/>
      <c r="AH864" s="551"/>
      <c r="AI864" s="551"/>
      <c r="AJ864" s="551"/>
      <c r="AK864" s="551"/>
      <c r="AL864" s="551"/>
      <c r="AM864" s="551"/>
      <c r="AN864" s="551"/>
      <c r="AO864" s="551"/>
      <c r="AP864" s="551"/>
      <c r="AQ864" s="551"/>
      <c r="AR864" s="551"/>
      <c r="AS864" s="551"/>
      <c r="AT864" s="551"/>
      <c r="AU864" s="551"/>
      <c r="AV864" s="551"/>
      <c r="AW864" s="551"/>
      <c r="AX864" s="551"/>
      <c r="AY864" s="551"/>
      <c r="AZ864" s="551"/>
      <c r="BA864" s="551"/>
      <c r="BB864" s="551"/>
      <c r="BC864" s="551"/>
      <c r="BD864" s="551"/>
      <c r="BE864" s="551"/>
      <c r="BF864" s="551"/>
    </row>
    <row r="865" spans="1:58" ht="12.75" customHeight="1">
      <c r="A865" s="551"/>
      <c r="B865" s="551"/>
      <c r="C865" s="551"/>
      <c r="D865" s="551"/>
      <c r="E865" s="551"/>
      <c r="F865" s="551"/>
      <c r="G865" s="551"/>
      <c r="H865" s="551"/>
      <c r="I865" s="551"/>
      <c r="J865" s="551"/>
      <c r="K865" s="551"/>
      <c r="L865" s="551"/>
      <c r="M865" s="551"/>
      <c r="N865" s="551"/>
      <c r="O865" s="551"/>
      <c r="P865" s="551"/>
      <c r="Q865" s="551"/>
      <c r="R865" s="551"/>
      <c r="S865" s="551"/>
      <c r="T865" s="551"/>
      <c r="U865" s="551"/>
      <c r="V865" s="551"/>
      <c r="W865" s="551"/>
      <c r="X865" s="551"/>
      <c r="Y865" s="551"/>
      <c r="Z865" s="551"/>
      <c r="AA865" s="551"/>
      <c r="AB865" s="551"/>
      <c r="AC865" s="551"/>
      <c r="AD865" s="551"/>
      <c r="AE865" s="551"/>
      <c r="AF865" s="551"/>
      <c r="AG865" s="551"/>
      <c r="AH865" s="551"/>
      <c r="AI865" s="551"/>
      <c r="AJ865" s="551"/>
      <c r="AK865" s="551"/>
      <c r="AL865" s="551"/>
      <c r="AM865" s="551"/>
      <c r="AN865" s="551"/>
      <c r="AO865" s="551"/>
      <c r="AP865" s="551"/>
      <c r="AQ865" s="551"/>
      <c r="AR865" s="551"/>
      <c r="AS865" s="551"/>
      <c r="AT865" s="551"/>
      <c r="AU865" s="551"/>
      <c r="AV865" s="551"/>
      <c r="AW865" s="551"/>
      <c r="AX865" s="551"/>
      <c r="AY865" s="551"/>
      <c r="AZ865" s="551"/>
      <c r="BA865" s="551"/>
      <c r="BB865" s="551"/>
      <c r="BC865" s="551"/>
      <c r="BD865" s="551"/>
      <c r="BE865" s="551"/>
      <c r="BF865" s="551"/>
    </row>
    <row r="866" spans="1:58" ht="12.75" customHeight="1">
      <c r="A866" s="551"/>
      <c r="B866" s="551"/>
      <c r="C866" s="551"/>
      <c r="D866" s="551"/>
      <c r="E866" s="551"/>
      <c r="F866" s="551"/>
      <c r="G866" s="551"/>
      <c r="H866" s="551"/>
      <c r="I866" s="551"/>
      <c r="J866" s="551"/>
      <c r="K866" s="551"/>
      <c r="L866" s="551"/>
      <c r="M866" s="551"/>
      <c r="N866" s="551"/>
      <c r="O866" s="551"/>
      <c r="P866" s="551"/>
      <c r="Q866" s="551"/>
      <c r="R866" s="551"/>
      <c r="S866" s="551"/>
      <c r="T866" s="551"/>
      <c r="U866" s="551"/>
      <c r="V866" s="551"/>
      <c r="W866" s="551"/>
      <c r="X866" s="551"/>
      <c r="Y866" s="551"/>
      <c r="Z866" s="551"/>
      <c r="AA866" s="551"/>
      <c r="AB866" s="551"/>
      <c r="AC866" s="551"/>
      <c r="AD866" s="551"/>
      <c r="AE866" s="551"/>
      <c r="AF866" s="551"/>
      <c r="AG866" s="551"/>
      <c r="AH866" s="551"/>
      <c r="AI866" s="551"/>
      <c r="AJ866" s="551"/>
      <c r="AK866" s="551"/>
      <c r="AL866" s="551"/>
      <c r="AM866" s="551"/>
      <c r="AN866" s="551"/>
      <c r="AO866" s="551"/>
      <c r="AP866" s="551"/>
      <c r="AQ866" s="551"/>
      <c r="AR866" s="551"/>
      <c r="AS866" s="551"/>
      <c r="AT866" s="551"/>
      <c r="AU866" s="551"/>
      <c r="AV866" s="551"/>
      <c r="AW866" s="551"/>
      <c r="AX866" s="551"/>
      <c r="AY866" s="551"/>
      <c r="AZ866" s="551"/>
      <c r="BA866" s="551"/>
      <c r="BB866" s="551"/>
      <c r="BC866" s="551"/>
      <c r="BD866" s="551"/>
      <c r="BE866" s="551"/>
      <c r="BF866" s="551"/>
    </row>
    <row r="867" spans="1:58" ht="12.75" customHeight="1">
      <c r="A867" s="551"/>
      <c r="B867" s="551"/>
      <c r="C867" s="551"/>
      <c r="D867" s="551"/>
      <c r="E867" s="551"/>
      <c r="F867" s="551"/>
      <c r="G867" s="551"/>
      <c r="H867" s="551"/>
      <c r="I867" s="551"/>
      <c r="J867" s="551"/>
      <c r="K867" s="551"/>
      <c r="L867" s="551"/>
      <c r="M867" s="551"/>
      <c r="N867" s="551"/>
      <c r="O867" s="551"/>
      <c r="P867" s="551"/>
      <c r="Q867" s="551"/>
      <c r="R867" s="551"/>
      <c r="S867" s="551"/>
      <c r="T867" s="551"/>
      <c r="U867" s="551"/>
      <c r="V867" s="551"/>
      <c r="W867" s="551"/>
      <c r="X867" s="551"/>
      <c r="Y867" s="551"/>
      <c r="Z867" s="551"/>
      <c r="AA867" s="551"/>
      <c r="AB867" s="551"/>
      <c r="AC867" s="551"/>
      <c r="AD867" s="551"/>
      <c r="AE867" s="551"/>
      <c r="AF867" s="551"/>
      <c r="AG867" s="551"/>
      <c r="AH867" s="551"/>
      <c r="AI867" s="551"/>
      <c r="AJ867" s="551"/>
      <c r="AK867" s="551"/>
      <c r="AL867" s="551"/>
      <c r="AM867" s="551"/>
      <c r="AN867" s="551"/>
      <c r="AO867" s="551"/>
      <c r="AP867" s="551"/>
      <c r="AQ867" s="551"/>
      <c r="AR867" s="551"/>
      <c r="AS867" s="551"/>
      <c r="AT867" s="551"/>
      <c r="AU867" s="551"/>
      <c r="AV867" s="551"/>
      <c r="AW867" s="551"/>
      <c r="AX867" s="551"/>
      <c r="AY867" s="551"/>
      <c r="AZ867" s="551"/>
      <c r="BA867" s="551"/>
      <c r="BB867" s="551"/>
      <c r="BC867" s="551"/>
      <c r="BD867" s="551"/>
      <c r="BE867" s="551"/>
      <c r="BF867" s="551"/>
    </row>
    <row r="868" spans="1:58" ht="12.75" customHeight="1">
      <c r="A868" s="551"/>
      <c r="B868" s="551"/>
      <c r="C868" s="551"/>
      <c r="D868" s="551"/>
      <c r="E868" s="551"/>
      <c r="F868" s="551"/>
      <c r="G868" s="551"/>
      <c r="H868" s="551"/>
      <c r="I868" s="551"/>
      <c r="J868" s="551"/>
      <c r="K868" s="551"/>
      <c r="L868" s="551"/>
      <c r="M868" s="551"/>
      <c r="N868" s="551"/>
      <c r="O868" s="551"/>
      <c r="P868" s="551"/>
      <c r="Q868" s="551"/>
      <c r="R868" s="551"/>
      <c r="S868" s="551"/>
      <c r="T868" s="551"/>
      <c r="U868" s="551"/>
      <c r="V868" s="551"/>
      <c r="W868" s="551"/>
      <c r="X868" s="551"/>
      <c r="Y868" s="551"/>
      <c r="Z868" s="551"/>
      <c r="AA868" s="551"/>
      <c r="AB868" s="551"/>
      <c r="AC868" s="551"/>
      <c r="AD868" s="551"/>
      <c r="AE868" s="551"/>
      <c r="AF868" s="551"/>
      <c r="AG868" s="551"/>
      <c r="AH868" s="551"/>
      <c r="AI868" s="551"/>
      <c r="AJ868" s="551"/>
      <c r="AK868" s="551"/>
      <c r="AL868" s="551"/>
      <c r="AM868" s="551"/>
      <c r="AN868" s="551"/>
      <c r="AO868" s="551"/>
      <c r="AP868" s="551"/>
      <c r="AQ868" s="551"/>
      <c r="AR868" s="551"/>
      <c r="AS868" s="551"/>
      <c r="AT868" s="551"/>
      <c r="AU868" s="551"/>
      <c r="AV868" s="551"/>
      <c r="AW868" s="551"/>
      <c r="AX868" s="551"/>
      <c r="AY868" s="551"/>
      <c r="AZ868" s="551"/>
      <c r="BA868" s="551"/>
      <c r="BB868" s="551"/>
      <c r="BC868" s="551"/>
      <c r="BD868" s="551"/>
      <c r="BE868" s="551"/>
      <c r="BF868" s="551"/>
    </row>
    <row r="869" spans="1:58" ht="12.75" customHeight="1">
      <c r="A869" s="551"/>
      <c r="B869" s="551"/>
      <c r="C869" s="551"/>
      <c r="D869" s="551"/>
      <c r="E869" s="551"/>
      <c r="F869" s="551"/>
      <c r="G869" s="551"/>
      <c r="H869" s="551"/>
      <c r="I869" s="551"/>
      <c r="J869" s="551"/>
      <c r="K869" s="551"/>
      <c r="L869" s="551"/>
      <c r="M869" s="551"/>
      <c r="N869" s="551"/>
      <c r="O869" s="551"/>
      <c r="P869" s="551"/>
      <c r="Q869" s="551"/>
      <c r="R869" s="551"/>
      <c r="S869" s="551"/>
      <c r="T869" s="551"/>
      <c r="U869" s="551"/>
      <c r="V869" s="551"/>
      <c r="W869" s="551"/>
      <c r="X869" s="551"/>
      <c r="Y869" s="551"/>
      <c r="Z869" s="551"/>
      <c r="AA869" s="551"/>
      <c r="AB869" s="551"/>
      <c r="AC869" s="551"/>
      <c r="AD869" s="551"/>
      <c r="AE869" s="551"/>
      <c r="AF869" s="551"/>
      <c r="AG869" s="551"/>
      <c r="AH869" s="551"/>
      <c r="AI869" s="551"/>
      <c r="AJ869" s="551"/>
      <c r="AK869" s="551"/>
      <c r="AL869" s="551"/>
      <c r="AM869" s="551"/>
      <c r="AN869" s="551"/>
      <c r="AO869" s="551"/>
      <c r="AP869" s="551"/>
      <c r="AQ869" s="551"/>
      <c r="AR869" s="551"/>
      <c r="AS869" s="551"/>
      <c r="AT869" s="551"/>
      <c r="AU869" s="551"/>
      <c r="AV869" s="551"/>
      <c r="AW869" s="551"/>
      <c r="AX869" s="551"/>
      <c r="AY869" s="551"/>
      <c r="AZ869" s="551"/>
      <c r="BA869" s="551"/>
      <c r="BB869" s="551"/>
      <c r="BC869" s="551"/>
      <c r="BD869" s="551"/>
      <c r="BE869" s="551"/>
      <c r="BF869" s="551"/>
    </row>
    <row r="870" spans="1:58" ht="12.75" customHeight="1">
      <c r="A870" s="551"/>
      <c r="B870" s="551"/>
      <c r="C870" s="551"/>
      <c r="D870" s="551"/>
      <c r="E870" s="551"/>
      <c r="F870" s="551"/>
      <c r="G870" s="551"/>
      <c r="H870" s="551"/>
      <c r="I870" s="551"/>
      <c r="J870" s="551"/>
      <c r="K870" s="551"/>
      <c r="L870" s="551"/>
      <c r="M870" s="551"/>
      <c r="N870" s="551"/>
      <c r="O870" s="551"/>
      <c r="P870" s="551"/>
      <c r="Q870" s="551"/>
      <c r="R870" s="551"/>
      <c r="S870" s="551"/>
      <c r="T870" s="551"/>
      <c r="U870" s="551"/>
      <c r="V870" s="551"/>
      <c r="W870" s="551"/>
      <c r="X870" s="551"/>
      <c r="Y870" s="551"/>
      <c r="Z870" s="551"/>
      <c r="AA870" s="551"/>
      <c r="AB870" s="551"/>
      <c r="AC870" s="551"/>
      <c r="AD870" s="551"/>
      <c r="AE870" s="551"/>
      <c r="AF870" s="551"/>
      <c r="AG870" s="551"/>
      <c r="AH870" s="551"/>
      <c r="AI870" s="551"/>
      <c r="AJ870" s="551"/>
      <c r="AK870" s="551"/>
      <c r="AL870" s="551"/>
      <c r="AM870" s="551"/>
      <c r="AN870" s="551"/>
      <c r="AO870" s="551"/>
      <c r="AP870" s="551"/>
      <c r="AQ870" s="551"/>
      <c r="AR870" s="551"/>
      <c r="AS870" s="551"/>
      <c r="AT870" s="551"/>
      <c r="AU870" s="551"/>
      <c r="AV870" s="551"/>
      <c r="AW870" s="551"/>
      <c r="AX870" s="551"/>
      <c r="AY870" s="551"/>
      <c r="AZ870" s="551"/>
      <c r="BA870" s="551"/>
      <c r="BB870" s="551"/>
      <c r="BC870" s="551"/>
      <c r="BD870" s="551"/>
      <c r="BE870" s="551"/>
      <c r="BF870" s="551"/>
    </row>
    <row r="871" spans="1:58" ht="12.75" customHeight="1">
      <c r="A871" s="551"/>
      <c r="B871" s="551"/>
      <c r="C871" s="551"/>
      <c r="D871" s="551"/>
      <c r="E871" s="551"/>
      <c r="F871" s="551"/>
      <c r="G871" s="551"/>
      <c r="H871" s="551"/>
      <c r="I871" s="551"/>
      <c r="J871" s="551"/>
      <c r="K871" s="551"/>
      <c r="L871" s="551"/>
      <c r="M871" s="551"/>
      <c r="N871" s="551"/>
      <c r="O871" s="551"/>
      <c r="P871" s="551"/>
      <c r="Q871" s="551"/>
      <c r="R871" s="551"/>
      <c r="S871" s="551"/>
      <c r="T871" s="551"/>
      <c r="U871" s="551"/>
      <c r="V871" s="551"/>
      <c r="W871" s="551"/>
      <c r="X871" s="551"/>
      <c r="Y871" s="551"/>
      <c r="Z871" s="551"/>
      <c r="AA871" s="551"/>
      <c r="AB871" s="551"/>
      <c r="AC871" s="551"/>
      <c r="AD871" s="551"/>
      <c r="AE871" s="551"/>
      <c r="AF871" s="551"/>
      <c r="AG871" s="551"/>
      <c r="AH871" s="551"/>
      <c r="AI871" s="551"/>
      <c r="AJ871" s="551"/>
      <c r="AK871" s="551"/>
      <c r="AL871" s="551"/>
      <c r="AM871" s="551"/>
      <c r="AN871" s="551"/>
      <c r="AO871" s="551"/>
      <c r="AP871" s="551"/>
      <c r="AQ871" s="551"/>
      <c r="AR871" s="551"/>
      <c r="AS871" s="551"/>
      <c r="AT871" s="551"/>
      <c r="AU871" s="551"/>
      <c r="AV871" s="551"/>
      <c r="AW871" s="551"/>
      <c r="AX871" s="551"/>
      <c r="AY871" s="551"/>
      <c r="AZ871" s="551"/>
      <c r="BA871" s="551"/>
      <c r="BB871" s="551"/>
      <c r="BC871" s="551"/>
      <c r="BD871" s="551"/>
      <c r="BE871" s="551"/>
      <c r="BF871" s="551"/>
    </row>
    <row r="872" spans="1:58" ht="12.75" customHeight="1">
      <c r="A872" s="551"/>
      <c r="B872" s="551"/>
      <c r="C872" s="551"/>
      <c r="D872" s="551"/>
      <c r="E872" s="551"/>
      <c r="F872" s="551"/>
      <c r="G872" s="551"/>
      <c r="H872" s="551"/>
      <c r="I872" s="551"/>
      <c r="J872" s="551"/>
      <c r="K872" s="551"/>
      <c r="L872" s="551"/>
      <c r="M872" s="551"/>
      <c r="N872" s="551"/>
      <c r="O872" s="551"/>
      <c r="P872" s="551"/>
      <c r="Q872" s="551"/>
      <c r="R872" s="551"/>
      <c r="S872" s="551"/>
      <c r="T872" s="551"/>
      <c r="U872" s="551"/>
      <c r="V872" s="551"/>
      <c r="W872" s="551"/>
      <c r="X872" s="551"/>
      <c r="Y872" s="551"/>
      <c r="Z872" s="551"/>
      <c r="AA872" s="551"/>
      <c r="AB872" s="551"/>
      <c r="AC872" s="551"/>
      <c r="AD872" s="551"/>
      <c r="AE872" s="551"/>
      <c r="AF872" s="551"/>
      <c r="AG872" s="551"/>
      <c r="AH872" s="551"/>
      <c r="AI872" s="551"/>
      <c r="AJ872" s="551"/>
      <c r="AK872" s="551"/>
      <c r="AL872" s="551"/>
      <c r="AM872" s="551"/>
      <c r="AN872" s="551"/>
      <c r="AO872" s="551"/>
      <c r="AP872" s="551"/>
      <c r="AQ872" s="551"/>
      <c r="AR872" s="551"/>
      <c r="AS872" s="551"/>
      <c r="AT872" s="551"/>
      <c r="AU872" s="551"/>
      <c r="AV872" s="551"/>
      <c r="AW872" s="551"/>
      <c r="AX872" s="551"/>
      <c r="AY872" s="551"/>
      <c r="AZ872" s="551"/>
      <c r="BA872" s="551"/>
      <c r="BB872" s="551"/>
      <c r="BC872" s="551"/>
      <c r="BD872" s="551"/>
      <c r="BE872" s="551"/>
      <c r="BF872" s="551"/>
    </row>
    <row r="873" spans="1:58" ht="12.75" customHeight="1">
      <c r="A873" s="551"/>
      <c r="B873" s="551"/>
      <c r="C873" s="551"/>
      <c r="D873" s="551"/>
      <c r="E873" s="551"/>
      <c r="F873" s="551"/>
      <c r="G873" s="551"/>
      <c r="H873" s="551"/>
      <c r="I873" s="551"/>
      <c r="J873" s="551"/>
      <c r="K873" s="551"/>
      <c r="L873" s="551"/>
      <c r="M873" s="551"/>
      <c r="N873" s="551"/>
      <c r="O873" s="551"/>
      <c r="P873" s="551"/>
      <c r="Q873" s="551"/>
      <c r="R873" s="551"/>
      <c r="S873" s="551"/>
      <c r="T873" s="551"/>
      <c r="U873" s="551"/>
      <c r="V873" s="551"/>
      <c r="W873" s="551"/>
      <c r="X873" s="551"/>
      <c r="Y873" s="551"/>
      <c r="Z873" s="551"/>
      <c r="AA873" s="551"/>
      <c r="AB873" s="551"/>
      <c r="AC873" s="551"/>
      <c r="AD873" s="551"/>
      <c r="AE873" s="551"/>
      <c r="AF873" s="551"/>
      <c r="AG873" s="551"/>
      <c r="AH873" s="551"/>
      <c r="AI873" s="551"/>
      <c r="AJ873" s="551"/>
      <c r="AK873" s="551"/>
      <c r="AL873" s="551"/>
      <c r="AM873" s="551"/>
      <c r="AN873" s="551"/>
      <c r="AO873" s="551"/>
      <c r="AP873" s="551"/>
      <c r="AQ873" s="551"/>
      <c r="AR873" s="551"/>
      <c r="AS873" s="551"/>
      <c r="AT873" s="551"/>
      <c r="AU873" s="551"/>
      <c r="AV873" s="551"/>
      <c r="AW873" s="551"/>
      <c r="AX873" s="551"/>
      <c r="AY873" s="551"/>
      <c r="AZ873" s="551"/>
      <c r="BA873" s="551"/>
      <c r="BB873" s="551"/>
      <c r="BC873" s="551"/>
      <c r="BD873" s="551"/>
      <c r="BE873" s="551"/>
      <c r="BF873" s="551"/>
    </row>
    <row r="874" spans="1:58" ht="12.75" customHeight="1">
      <c r="A874" s="551"/>
      <c r="B874" s="551"/>
      <c r="C874" s="551"/>
      <c r="D874" s="551"/>
      <c r="E874" s="551"/>
      <c r="F874" s="551"/>
      <c r="G874" s="551"/>
      <c r="H874" s="551"/>
      <c r="I874" s="551"/>
      <c r="J874" s="551"/>
      <c r="K874" s="551"/>
      <c r="L874" s="551"/>
      <c r="M874" s="551"/>
      <c r="N874" s="551"/>
      <c r="O874" s="551"/>
      <c r="P874" s="551"/>
      <c r="Q874" s="551"/>
      <c r="R874" s="551"/>
      <c r="S874" s="551"/>
      <c r="T874" s="551"/>
      <c r="U874" s="551"/>
      <c r="V874" s="551"/>
      <c r="W874" s="551"/>
      <c r="X874" s="551"/>
      <c r="Y874" s="551"/>
      <c r="Z874" s="551"/>
      <c r="AA874" s="551"/>
      <c r="AB874" s="551"/>
      <c r="AC874" s="551"/>
      <c r="AD874" s="551"/>
      <c r="AE874" s="551"/>
      <c r="AF874" s="551"/>
      <c r="AG874" s="551"/>
      <c r="AH874" s="551"/>
      <c r="AI874" s="551"/>
      <c r="AJ874" s="551"/>
      <c r="AK874" s="551"/>
      <c r="AL874" s="551"/>
      <c r="AM874" s="551"/>
      <c r="AN874" s="551"/>
      <c r="AO874" s="551"/>
      <c r="AP874" s="551"/>
      <c r="AQ874" s="551"/>
      <c r="AR874" s="551"/>
      <c r="AS874" s="551"/>
      <c r="AT874" s="551"/>
      <c r="AU874" s="551"/>
      <c r="AV874" s="551"/>
      <c r="AW874" s="551"/>
      <c r="AX874" s="551"/>
      <c r="AY874" s="551"/>
      <c r="AZ874" s="551"/>
      <c r="BA874" s="551"/>
      <c r="BB874" s="551"/>
      <c r="BC874" s="551"/>
      <c r="BD874" s="551"/>
      <c r="BE874" s="551"/>
      <c r="BF874" s="551"/>
    </row>
    <row r="875" spans="1:58" ht="12.75" customHeight="1">
      <c r="A875" s="551"/>
      <c r="B875" s="551"/>
      <c r="C875" s="551"/>
      <c r="D875" s="551"/>
      <c r="E875" s="551"/>
      <c r="F875" s="551"/>
      <c r="G875" s="551"/>
      <c r="H875" s="551"/>
      <c r="I875" s="551"/>
      <c r="J875" s="551"/>
      <c r="K875" s="551"/>
      <c r="L875" s="551"/>
      <c r="M875" s="551"/>
      <c r="N875" s="551"/>
      <c r="O875" s="551"/>
      <c r="P875" s="551"/>
      <c r="Q875" s="551"/>
      <c r="R875" s="551"/>
      <c r="S875" s="551"/>
      <c r="T875" s="551"/>
      <c r="U875" s="551"/>
      <c r="V875" s="551"/>
      <c r="W875" s="551"/>
      <c r="X875" s="551"/>
      <c r="Y875" s="551"/>
      <c r="Z875" s="551"/>
      <c r="AA875" s="551"/>
      <c r="AB875" s="551"/>
      <c r="AC875" s="551"/>
      <c r="AD875" s="551"/>
      <c r="AE875" s="551"/>
      <c r="AF875" s="551"/>
      <c r="AG875" s="551"/>
      <c r="AH875" s="551"/>
      <c r="AI875" s="551"/>
      <c r="AJ875" s="551"/>
      <c r="AK875" s="551"/>
      <c r="AL875" s="551"/>
      <c r="AM875" s="551"/>
      <c r="AN875" s="551"/>
      <c r="AO875" s="551"/>
      <c r="AP875" s="551"/>
      <c r="AQ875" s="551"/>
      <c r="AR875" s="551"/>
      <c r="AS875" s="551"/>
      <c r="AT875" s="551"/>
      <c r="AU875" s="551"/>
      <c r="AV875" s="551"/>
      <c r="AW875" s="551"/>
      <c r="AX875" s="551"/>
      <c r="AY875" s="551"/>
      <c r="AZ875" s="551"/>
      <c r="BA875" s="551"/>
      <c r="BB875" s="551"/>
      <c r="BC875" s="551"/>
      <c r="BD875" s="551"/>
      <c r="BE875" s="551"/>
      <c r="BF875" s="551"/>
    </row>
    <row r="876" spans="1:58" ht="12.75" customHeight="1">
      <c r="A876" s="551"/>
      <c r="B876" s="551"/>
      <c r="C876" s="551"/>
      <c r="D876" s="551"/>
      <c r="E876" s="551"/>
      <c r="F876" s="551"/>
      <c r="G876" s="551"/>
      <c r="H876" s="551"/>
      <c r="I876" s="551"/>
      <c r="J876" s="551"/>
      <c r="K876" s="551"/>
      <c r="L876" s="551"/>
      <c r="M876" s="551"/>
      <c r="N876" s="551"/>
      <c r="O876" s="551"/>
      <c r="P876" s="551"/>
      <c r="Q876" s="551"/>
      <c r="R876" s="551"/>
      <c r="S876" s="551"/>
      <c r="T876" s="551"/>
      <c r="U876" s="551"/>
      <c r="V876" s="551"/>
      <c r="W876" s="551"/>
      <c r="X876" s="551"/>
      <c r="Y876" s="551"/>
      <c r="Z876" s="551"/>
      <c r="AA876" s="551"/>
      <c r="AB876" s="551"/>
      <c r="AC876" s="551"/>
      <c r="AD876" s="551"/>
      <c r="AE876" s="551"/>
      <c r="AF876" s="551"/>
      <c r="AG876" s="551"/>
      <c r="AH876" s="551"/>
      <c r="AI876" s="551"/>
      <c r="AJ876" s="551"/>
      <c r="AK876" s="551"/>
      <c r="AL876" s="551"/>
      <c r="AM876" s="551"/>
      <c r="AN876" s="551"/>
      <c r="AO876" s="551"/>
      <c r="AP876" s="551"/>
      <c r="AQ876" s="551"/>
      <c r="AR876" s="551"/>
      <c r="AS876" s="551"/>
      <c r="AT876" s="551"/>
      <c r="AU876" s="551"/>
      <c r="AV876" s="551"/>
      <c r="AW876" s="551"/>
      <c r="AX876" s="551"/>
      <c r="AY876" s="551"/>
      <c r="AZ876" s="551"/>
      <c r="BA876" s="551"/>
      <c r="BB876" s="551"/>
      <c r="BC876" s="551"/>
      <c r="BD876" s="551"/>
      <c r="BE876" s="551"/>
      <c r="BF876" s="551"/>
    </row>
    <row r="877" spans="1:58" ht="12.75" customHeight="1">
      <c r="A877" s="551"/>
      <c r="B877" s="551"/>
      <c r="C877" s="551"/>
      <c r="D877" s="551"/>
      <c r="E877" s="551"/>
      <c r="F877" s="551"/>
      <c r="G877" s="551"/>
      <c r="H877" s="551"/>
      <c r="I877" s="551"/>
      <c r="J877" s="551"/>
      <c r="K877" s="551"/>
      <c r="L877" s="551"/>
      <c r="M877" s="551"/>
      <c r="N877" s="551"/>
      <c r="O877" s="551"/>
      <c r="P877" s="551"/>
      <c r="Q877" s="551"/>
      <c r="R877" s="551"/>
      <c r="S877" s="551"/>
      <c r="T877" s="551"/>
      <c r="U877" s="551"/>
      <c r="V877" s="551"/>
      <c r="W877" s="551"/>
      <c r="X877" s="551"/>
      <c r="Y877" s="551"/>
      <c r="Z877" s="551"/>
      <c r="AA877" s="551"/>
      <c r="AB877" s="551"/>
      <c r="AC877" s="551"/>
      <c r="AD877" s="551"/>
      <c r="AE877" s="551"/>
      <c r="AF877" s="551"/>
      <c r="AG877" s="551"/>
      <c r="AH877" s="551"/>
      <c r="AI877" s="551"/>
      <c r="AJ877" s="551"/>
      <c r="AK877" s="551"/>
      <c r="AL877" s="551"/>
      <c r="AM877" s="551"/>
      <c r="AN877" s="551"/>
      <c r="AO877" s="551"/>
      <c r="AP877" s="551"/>
      <c r="AQ877" s="551"/>
      <c r="AR877" s="551"/>
      <c r="AS877" s="551"/>
      <c r="AT877" s="551"/>
      <c r="AU877" s="551"/>
      <c r="AV877" s="551"/>
      <c r="AW877" s="551"/>
      <c r="AX877" s="551"/>
      <c r="AY877" s="551"/>
      <c r="AZ877" s="551"/>
      <c r="BA877" s="551"/>
      <c r="BB877" s="551"/>
      <c r="BC877" s="551"/>
      <c r="BD877" s="551"/>
      <c r="BE877" s="551"/>
      <c r="BF877" s="551"/>
    </row>
    <row r="878" spans="1:58" ht="12.75" customHeight="1">
      <c r="A878" s="551"/>
      <c r="B878" s="551"/>
      <c r="C878" s="551"/>
      <c r="D878" s="551"/>
      <c r="E878" s="551"/>
      <c r="F878" s="551"/>
      <c r="G878" s="551"/>
      <c r="H878" s="551"/>
      <c r="I878" s="551"/>
      <c r="J878" s="551"/>
      <c r="K878" s="551"/>
      <c r="L878" s="551"/>
      <c r="M878" s="551"/>
      <c r="N878" s="551"/>
      <c r="O878" s="551"/>
      <c r="P878" s="551"/>
      <c r="Q878" s="551"/>
      <c r="R878" s="551"/>
      <c r="S878" s="551"/>
      <c r="T878" s="551"/>
      <c r="U878" s="551"/>
      <c r="V878" s="551"/>
      <c r="W878" s="551"/>
      <c r="X878" s="551"/>
      <c r="Y878" s="551"/>
      <c r="Z878" s="551"/>
      <c r="AA878" s="551"/>
      <c r="AB878" s="551"/>
      <c r="AC878" s="551"/>
      <c r="AD878" s="551"/>
      <c r="AE878" s="551"/>
      <c r="AF878" s="551"/>
      <c r="AG878" s="551"/>
      <c r="AH878" s="551"/>
      <c r="AI878" s="551"/>
      <c r="AJ878" s="551"/>
      <c r="AK878" s="551"/>
      <c r="AL878" s="551"/>
      <c r="AM878" s="551"/>
      <c r="AN878" s="551"/>
      <c r="AO878" s="551"/>
      <c r="AP878" s="551"/>
      <c r="AQ878" s="551"/>
      <c r="AR878" s="551"/>
      <c r="AS878" s="551"/>
      <c r="AT878" s="551"/>
      <c r="AU878" s="551"/>
      <c r="AV878" s="551"/>
      <c r="AW878" s="551"/>
      <c r="AX878" s="551"/>
      <c r="AY878" s="551"/>
      <c r="AZ878" s="551"/>
      <c r="BA878" s="551"/>
      <c r="BB878" s="551"/>
      <c r="BC878" s="551"/>
      <c r="BD878" s="551"/>
      <c r="BE878" s="551"/>
      <c r="BF878" s="551"/>
    </row>
    <row r="879" spans="1:58" ht="12.75" customHeight="1">
      <c r="A879" s="551"/>
      <c r="B879" s="551"/>
      <c r="C879" s="551"/>
      <c r="D879" s="551"/>
      <c r="E879" s="551"/>
      <c r="F879" s="551"/>
      <c r="G879" s="551"/>
      <c r="H879" s="551"/>
      <c r="I879" s="551"/>
      <c r="J879" s="551"/>
      <c r="K879" s="551"/>
      <c r="L879" s="551"/>
      <c r="M879" s="551"/>
      <c r="N879" s="551"/>
      <c r="O879" s="551"/>
      <c r="P879" s="551"/>
      <c r="Q879" s="551"/>
      <c r="R879" s="551"/>
      <c r="S879" s="551"/>
      <c r="T879" s="551"/>
      <c r="U879" s="551"/>
      <c r="V879" s="551"/>
      <c r="W879" s="551"/>
      <c r="X879" s="551"/>
      <c r="Y879" s="551"/>
      <c r="Z879" s="551"/>
      <c r="AA879" s="551"/>
      <c r="AB879" s="551"/>
      <c r="AC879" s="551"/>
      <c r="AD879" s="551"/>
      <c r="AE879" s="551"/>
      <c r="AF879" s="551"/>
      <c r="AG879" s="551"/>
      <c r="AH879" s="551"/>
      <c r="AI879" s="551"/>
      <c r="AJ879" s="551"/>
      <c r="AK879" s="551"/>
      <c r="AL879" s="551"/>
      <c r="AM879" s="551"/>
      <c r="AN879" s="551"/>
      <c r="AO879" s="551"/>
      <c r="AP879" s="551"/>
      <c r="AQ879" s="551"/>
      <c r="AR879" s="551"/>
      <c r="AS879" s="551"/>
      <c r="AT879" s="551"/>
      <c r="AU879" s="551"/>
      <c r="AV879" s="551"/>
      <c r="AW879" s="551"/>
      <c r="AX879" s="551"/>
      <c r="AY879" s="551"/>
      <c r="AZ879" s="551"/>
      <c r="BA879" s="551"/>
      <c r="BB879" s="551"/>
      <c r="BC879" s="551"/>
      <c r="BD879" s="551"/>
      <c r="BE879" s="551"/>
      <c r="BF879" s="551"/>
    </row>
    <row r="880" spans="1:58" ht="12.75" customHeight="1">
      <c r="A880" s="551"/>
      <c r="B880" s="551"/>
      <c r="C880" s="551"/>
      <c r="D880" s="551"/>
      <c r="E880" s="551"/>
      <c r="F880" s="551"/>
      <c r="G880" s="551"/>
      <c r="H880" s="551"/>
      <c r="I880" s="551"/>
      <c r="J880" s="551"/>
      <c r="K880" s="551"/>
      <c r="L880" s="551"/>
      <c r="M880" s="551"/>
      <c r="N880" s="551"/>
      <c r="O880" s="551"/>
      <c r="P880" s="551"/>
      <c r="Q880" s="551"/>
      <c r="R880" s="551"/>
      <c r="S880" s="551"/>
      <c r="T880" s="551"/>
      <c r="U880" s="551"/>
      <c r="V880" s="551"/>
      <c r="W880" s="551"/>
      <c r="X880" s="551"/>
      <c r="Y880" s="551"/>
      <c r="Z880" s="551"/>
      <c r="AA880" s="551"/>
      <c r="AB880" s="551"/>
      <c r="AC880" s="551"/>
      <c r="AD880" s="551"/>
      <c r="AE880" s="551"/>
      <c r="AF880" s="551"/>
      <c r="AG880" s="551"/>
      <c r="AH880" s="551"/>
      <c r="AI880" s="551"/>
      <c r="AJ880" s="551"/>
      <c r="AK880" s="551"/>
      <c r="AL880" s="551"/>
      <c r="AM880" s="551"/>
      <c r="AN880" s="551"/>
      <c r="AO880" s="551"/>
      <c r="AP880" s="551"/>
      <c r="AQ880" s="551"/>
      <c r="AR880" s="551"/>
      <c r="AS880" s="551"/>
      <c r="AT880" s="551"/>
      <c r="AU880" s="551"/>
      <c r="AV880" s="551"/>
      <c r="AW880" s="551"/>
      <c r="AX880" s="551"/>
      <c r="AY880" s="551"/>
      <c r="AZ880" s="551"/>
      <c r="BA880" s="551"/>
      <c r="BB880" s="551"/>
      <c r="BC880" s="551"/>
      <c r="BD880" s="551"/>
      <c r="BE880" s="551"/>
      <c r="BF880" s="551"/>
    </row>
    <row r="881" spans="1:58" ht="12.75" customHeight="1">
      <c r="A881" s="551"/>
      <c r="B881" s="551"/>
      <c r="C881" s="551"/>
      <c r="D881" s="551"/>
      <c r="E881" s="551"/>
      <c r="F881" s="551"/>
      <c r="G881" s="551"/>
      <c r="H881" s="551"/>
      <c r="I881" s="551"/>
      <c r="J881" s="551"/>
      <c r="K881" s="551"/>
      <c r="L881" s="551"/>
      <c r="M881" s="551"/>
      <c r="N881" s="551"/>
      <c r="O881" s="551"/>
      <c r="P881" s="551"/>
      <c r="Q881" s="551"/>
      <c r="R881" s="551"/>
      <c r="S881" s="551"/>
      <c r="T881" s="551"/>
      <c r="U881" s="551"/>
      <c r="V881" s="551"/>
      <c r="W881" s="551"/>
      <c r="X881" s="551"/>
      <c r="Y881" s="551"/>
      <c r="Z881" s="551"/>
      <c r="AA881" s="551"/>
      <c r="AB881" s="551"/>
      <c r="AC881" s="551"/>
      <c r="AD881" s="551"/>
      <c r="AE881" s="551"/>
      <c r="AF881" s="551"/>
      <c r="AG881" s="551"/>
      <c r="AH881" s="551"/>
      <c r="AI881" s="551"/>
      <c r="AJ881" s="551"/>
      <c r="AK881" s="551"/>
      <c r="AL881" s="551"/>
      <c r="AM881" s="551"/>
      <c r="AN881" s="551"/>
      <c r="AO881" s="551"/>
      <c r="AP881" s="551"/>
      <c r="AQ881" s="551"/>
      <c r="AR881" s="551"/>
      <c r="AS881" s="551"/>
      <c r="AT881" s="551"/>
      <c r="AU881" s="551"/>
      <c r="AV881" s="551"/>
      <c r="AW881" s="551"/>
      <c r="AX881" s="551"/>
      <c r="AY881" s="551"/>
      <c r="AZ881" s="551"/>
      <c r="BA881" s="551"/>
      <c r="BB881" s="551"/>
      <c r="BC881" s="551"/>
      <c r="BD881" s="551"/>
      <c r="BE881" s="551"/>
      <c r="BF881" s="551"/>
    </row>
    <row r="882" spans="1:58" ht="12.75" customHeight="1">
      <c r="A882" s="551"/>
      <c r="B882" s="551"/>
      <c r="C882" s="551"/>
      <c r="D882" s="551"/>
      <c r="E882" s="551"/>
      <c r="F882" s="551"/>
      <c r="G882" s="551"/>
      <c r="H882" s="551"/>
      <c r="I882" s="551"/>
      <c r="J882" s="551"/>
      <c r="K882" s="551"/>
      <c r="L882" s="551"/>
      <c r="M882" s="551"/>
      <c r="N882" s="551"/>
      <c r="O882" s="551"/>
      <c r="P882" s="551"/>
      <c r="Q882" s="551"/>
      <c r="R882" s="551"/>
      <c r="S882" s="551"/>
      <c r="T882" s="551"/>
      <c r="U882" s="551"/>
      <c r="V882" s="551"/>
      <c r="W882" s="551"/>
      <c r="X882" s="551"/>
      <c r="Y882" s="551"/>
      <c r="Z882" s="551"/>
      <c r="AA882" s="551"/>
      <c r="AB882" s="551"/>
      <c r="AC882" s="551"/>
      <c r="AD882" s="551"/>
      <c r="AE882" s="551"/>
      <c r="AF882" s="551"/>
      <c r="AG882" s="551"/>
      <c r="AH882" s="551"/>
      <c r="AI882" s="551"/>
      <c r="AJ882" s="551"/>
      <c r="AK882" s="551"/>
      <c r="AL882" s="551"/>
      <c r="AM882" s="551"/>
      <c r="AN882" s="551"/>
      <c r="AO882" s="551"/>
      <c r="AP882" s="551"/>
      <c r="AQ882" s="551"/>
      <c r="AR882" s="551"/>
      <c r="AS882" s="551"/>
      <c r="AT882" s="551"/>
      <c r="AU882" s="551"/>
      <c r="AV882" s="551"/>
      <c r="AW882" s="551"/>
      <c r="AX882" s="551"/>
      <c r="AY882" s="551"/>
      <c r="AZ882" s="551"/>
      <c r="BA882" s="551"/>
      <c r="BB882" s="551"/>
      <c r="BC882" s="551"/>
      <c r="BD882" s="551"/>
      <c r="BE882" s="551"/>
      <c r="BF882" s="551"/>
    </row>
    <row r="883" spans="1:58" ht="12.75" customHeight="1">
      <c r="A883" s="551"/>
      <c r="B883" s="551"/>
      <c r="C883" s="551"/>
      <c r="D883" s="551"/>
      <c r="E883" s="551"/>
      <c r="F883" s="551"/>
      <c r="G883" s="551"/>
      <c r="H883" s="551"/>
      <c r="I883" s="551"/>
      <c r="J883" s="551"/>
      <c r="K883" s="551"/>
      <c r="L883" s="551"/>
      <c r="M883" s="551"/>
      <c r="N883" s="551"/>
      <c r="O883" s="551"/>
      <c r="P883" s="551"/>
      <c r="Q883" s="551"/>
      <c r="R883" s="551"/>
      <c r="S883" s="551"/>
      <c r="T883" s="551"/>
      <c r="U883" s="551"/>
      <c r="V883" s="551"/>
      <c r="W883" s="551"/>
      <c r="X883" s="551"/>
      <c r="Y883" s="551"/>
      <c r="Z883" s="551"/>
      <c r="AA883" s="551"/>
      <c r="AB883" s="551"/>
      <c r="AC883" s="551"/>
      <c r="AD883" s="551"/>
      <c r="AE883" s="551"/>
      <c r="AF883" s="551"/>
      <c r="AG883" s="551"/>
      <c r="AH883" s="551"/>
      <c r="AI883" s="551"/>
      <c r="AJ883" s="551"/>
      <c r="AK883" s="551"/>
      <c r="AL883" s="551"/>
      <c r="AM883" s="551"/>
      <c r="AN883" s="551"/>
      <c r="AO883" s="551"/>
      <c r="AP883" s="551"/>
      <c r="AQ883" s="551"/>
      <c r="AR883" s="551"/>
      <c r="AS883" s="551"/>
      <c r="AT883" s="551"/>
      <c r="AU883" s="551"/>
      <c r="AV883" s="551"/>
      <c r="AW883" s="551"/>
      <c r="AX883" s="551"/>
      <c r="AY883" s="551"/>
      <c r="AZ883" s="551"/>
      <c r="BA883" s="551"/>
      <c r="BB883" s="551"/>
      <c r="BC883" s="551"/>
      <c r="BD883" s="551"/>
      <c r="BE883" s="551"/>
      <c r="BF883" s="551"/>
    </row>
    <row r="884" spans="1:58" ht="12.75" customHeight="1">
      <c r="A884" s="551"/>
      <c r="B884" s="551"/>
      <c r="C884" s="551"/>
      <c r="D884" s="551"/>
      <c r="E884" s="551"/>
      <c r="F884" s="551"/>
      <c r="G884" s="551"/>
      <c r="H884" s="551"/>
      <c r="I884" s="551"/>
      <c r="J884" s="551"/>
      <c r="K884" s="551"/>
      <c r="L884" s="551"/>
      <c r="M884" s="551"/>
      <c r="N884" s="551"/>
      <c r="O884" s="551"/>
      <c r="P884" s="551"/>
      <c r="Q884" s="551"/>
      <c r="R884" s="551"/>
      <c r="S884" s="551"/>
      <c r="T884" s="551"/>
      <c r="U884" s="551"/>
      <c r="V884" s="551"/>
      <c r="W884" s="551"/>
      <c r="X884" s="551"/>
      <c r="Y884" s="551"/>
      <c r="Z884" s="551"/>
      <c r="AA884" s="551"/>
      <c r="AB884" s="551"/>
      <c r="AC884" s="551"/>
      <c r="AD884" s="551"/>
      <c r="AE884" s="551"/>
      <c r="AF884" s="551"/>
      <c r="AG884" s="551"/>
      <c r="AH884" s="551"/>
      <c r="AI884" s="551"/>
      <c r="AJ884" s="551"/>
      <c r="AK884" s="551"/>
      <c r="AL884" s="551"/>
      <c r="AM884" s="551"/>
      <c r="AN884" s="551"/>
      <c r="AO884" s="551"/>
      <c r="AP884" s="551"/>
      <c r="AQ884" s="551"/>
      <c r="AR884" s="551"/>
      <c r="AS884" s="551"/>
      <c r="AT884" s="551"/>
      <c r="AU884" s="551"/>
      <c r="AV884" s="551"/>
      <c r="AW884" s="551"/>
      <c r="AX884" s="551"/>
      <c r="AY884" s="551"/>
      <c r="AZ884" s="551"/>
      <c r="BA884" s="551"/>
      <c r="BB884" s="551"/>
      <c r="BC884" s="551"/>
      <c r="BD884" s="551"/>
      <c r="BE884" s="551"/>
      <c r="BF884" s="551"/>
    </row>
    <row r="885" spans="1:58" ht="12.75" customHeight="1">
      <c r="A885" s="551"/>
      <c r="B885" s="551"/>
      <c r="C885" s="551"/>
      <c r="D885" s="551"/>
      <c r="E885" s="551"/>
      <c r="F885" s="551"/>
      <c r="G885" s="551"/>
      <c r="H885" s="551"/>
      <c r="I885" s="551"/>
      <c r="J885" s="551"/>
      <c r="K885" s="551"/>
      <c r="L885" s="551"/>
      <c r="M885" s="551"/>
      <c r="N885" s="551"/>
      <c r="O885" s="551"/>
      <c r="P885" s="551"/>
      <c r="Q885" s="551"/>
      <c r="R885" s="551"/>
      <c r="S885" s="551"/>
      <c r="T885" s="551"/>
      <c r="U885" s="551"/>
      <c r="V885" s="551"/>
      <c r="W885" s="551"/>
      <c r="X885" s="551"/>
      <c r="Y885" s="551"/>
      <c r="Z885" s="551"/>
      <c r="AA885" s="551"/>
      <c r="AB885" s="551"/>
      <c r="AC885" s="551"/>
      <c r="AD885" s="551"/>
      <c r="AE885" s="551"/>
      <c r="AF885" s="551"/>
      <c r="AG885" s="551"/>
      <c r="AH885" s="551"/>
      <c r="AI885" s="551"/>
      <c r="AJ885" s="551"/>
      <c r="AK885" s="551"/>
      <c r="AL885" s="551"/>
      <c r="AM885" s="551"/>
      <c r="AN885" s="551"/>
      <c r="AO885" s="551"/>
      <c r="AP885" s="551"/>
      <c r="AQ885" s="551"/>
      <c r="AR885" s="551"/>
      <c r="AS885" s="551"/>
      <c r="AT885" s="551"/>
      <c r="AU885" s="551"/>
      <c r="AV885" s="551"/>
      <c r="AW885" s="551"/>
      <c r="AX885" s="551"/>
      <c r="AY885" s="551"/>
      <c r="AZ885" s="551"/>
      <c r="BA885" s="551"/>
      <c r="BB885" s="551"/>
      <c r="BC885" s="551"/>
      <c r="BD885" s="551"/>
      <c r="BE885" s="551"/>
      <c r="BF885" s="551"/>
    </row>
    <row r="886" spans="1:58" ht="12.75" customHeight="1">
      <c r="A886" s="551"/>
      <c r="B886" s="551"/>
      <c r="C886" s="551"/>
      <c r="D886" s="551"/>
      <c r="E886" s="551"/>
      <c r="F886" s="551"/>
      <c r="G886" s="551"/>
      <c r="H886" s="551"/>
      <c r="I886" s="551"/>
      <c r="J886" s="551"/>
      <c r="K886" s="551"/>
      <c r="L886" s="551"/>
      <c r="M886" s="551"/>
      <c r="N886" s="551"/>
      <c r="O886" s="551"/>
      <c r="P886" s="551"/>
      <c r="Q886" s="551"/>
      <c r="R886" s="551"/>
      <c r="S886" s="551"/>
      <c r="T886" s="551"/>
      <c r="U886" s="551"/>
      <c r="V886" s="551"/>
      <c r="W886" s="551"/>
      <c r="X886" s="551"/>
      <c r="Y886" s="551"/>
      <c r="Z886" s="551"/>
      <c r="AA886" s="551"/>
      <c r="AB886" s="551"/>
      <c r="AC886" s="551"/>
      <c r="AD886" s="551"/>
      <c r="AE886" s="551"/>
      <c r="AF886" s="551"/>
      <c r="AG886" s="551"/>
      <c r="AH886" s="551"/>
      <c r="AI886" s="551"/>
      <c r="AJ886" s="551"/>
      <c r="AK886" s="551"/>
      <c r="AL886" s="551"/>
      <c r="AM886" s="551"/>
      <c r="AN886" s="551"/>
      <c r="AO886" s="551"/>
      <c r="AP886" s="551"/>
      <c r="AQ886" s="551"/>
      <c r="AR886" s="551"/>
      <c r="AS886" s="551"/>
      <c r="AT886" s="551"/>
      <c r="AU886" s="551"/>
      <c r="AV886" s="551"/>
      <c r="AW886" s="551"/>
      <c r="AX886" s="551"/>
      <c r="AY886" s="551"/>
      <c r="AZ886" s="551"/>
      <c r="BA886" s="551"/>
      <c r="BB886" s="551"/>
      <c r="BC886" s="551"/>
      <c r="BD886" s="551"/>
      <c r="BE886" s="551"/>
      <c r="BF886" s="551"/>
    </row>
    <row r="887" spans="1:58" ht="12.75" customHeight="1">
      <c r="A887" s="551"/>
      <c r="B887" s="551"/>
      <c r="C887" s="551"/>
      <c r="D887" s="551"/>
      <c r="E887" s="551"/>
      <c r="F887" s="551"/>
      <c r="G887" s="551"/>
      <c r="H887" s="551"/>
      <c r="I887" s="551"/>
      <c r="J887" s="551"/>
      <c r="K887" s="551"/>
      <c r="L887" s="551"/>
      <c r="M887" s="551"/>
      <c r="N887" s="551"/>
      <c r="O887" s="551"/>
      <c r="P887" s="551"/>
      <c r="Q887" s="551"/>
      <c r="R887" s="551"/>
      <c r="S887" s="551"/>
      <c r="T887" s="551"/>
      <c r="U887" s="551"/>
      <c r="V887" s="551"/>
      <c r="W887" s="551"/>
      <c r="X887" s="551"/>
      <c r="Y887" s="551"/>
      <c r="Z887" s="551"/>
      <c r="AA887" s="551"/>
      <c r="AB887" s="551"/>
      <c r="AC887" s="551"/>
      <c r="AD887" s="551"/>
      <c r="AE887" s="551"/>
      <c r="AF887" s="551"/>
      <c r="AG887" s="551"/>
      <c r="AH887" s="551"/>
      <c r="AI887" s="551"/>
      <c r="AJ887" s="551"/>
      <c r="AK887" s="551"/>
      <c r="AL887" s="551"/>
      <c r="AM887" s="551"/>
      <c r="AN887" s="551"/>
      <c r="AO887" s="551"/>
      <c r="AP887" s="551"/>
      <c r="AQ887" s="551"/>
      <c r="AR887" s="551"/>
      <c r="AS887" s="551"/>
      <c r="AT887" s="551"/>
      <c r="AU887" s="551"/>
      <c r="AV887" s="551"/>
      <c r="AW887" s="551"/>
      <c r="AX887" s="551"/>
      <c r="AY887" s="551"/>
      <c r="AZ887" s="551"/>
      <c r="BA887" s="551"/>
      <c r="BB887" s="551"/>
      <c r="BC887" s="551"/>
      <c r="BD887" s="551"/>
      <c r="BE887" s="551"/>
      <c r="BF887" s="551"/>
    </row>
    <row r="888" spans="1:58" ht="12.75" customHeight="1">
      <c r="A888" s="551"/>
      <c r="B888" s="551"/>
      <c r="C888" s="551"/>
      <c r="D888" s="551"/>
      <c r="E888" s="551"/>
      <c r="F888" s="551"/>
      <c r="G888" s="551"/>
      <c r="H888" s="551"/>
      <c r="I888" s="551"/>
      <c r="J888" s="551"/>
      <c r="K888" s="551"/>
      <c r="L888" s="551"/>
      <c r="M888" s="551"/>
      <c r="N888" s="551"/>
      <c r="O888" s="551"/>
      <c r="P888" s="551"/>
      <c r="Q888" s="551"/>
      <c r="R888" s="551"/>
      <c r="S888" s="551"/>
      <c r="T888" s="551"/>
      <c r="U888" s="551"/>
      <c r="V888" s="551"/>
      <c r="W888" s="551"/>
      <c r="X888" s="551"/>
      <c r="Y888" s="551"/>
      <c r="Z888" s="551"/>
      <c r="AA888" s="551"/>
      <c r="AB888" s="551"/>
      <c r="AC888" s="551"/>
      <c r="AD888" s="551"/>
      <c r="AE888" s="551"/>
      <c r="AF888" s="551"/>
      <c r="AG888" s="551"/>
      <c r="AH888" s="551"/>
      <c r="AI888" s="551"/>
      <c r="AJ888" s="551"/>
      <c r="AK888" s="551"/>
      <c r="AL888" s="551"/>
      <c r="AM888" s="551"/>
      <c r="AN888" s="551"/>
      <c r="AO888" s="551"/>
      <c r="AP888" s="551"/>
      <c r="AQ888" s="551"/>
      <c r="AR888" s="551"/>
      <c r="AS888" s="551"/>
      <c r="AT888" s="551"/>
      <c r="AU888" s="551"/>
      <c r="AV888" s="551"/>
      <c r="AW888" s="551"/>
      <c r="AX888" s="551"/>
      <c r="AY888" s="551"/>
      <c r="AZ888" s="551"/>
      <c r="BA888" s="551"/>
      <c r="BB888" s="551"/>
      <c r="BC888" s="551"/>
      <c r="BD888" s="551"/>
      <c r="BE888" s="551"/>
      <c r="BF888" s="551"/>
    </row>
    <row r="889" spans="1:58" ht="12.75" customHeight="1">
      <c r="A889" s="551"/>
      <c r="B889" s="551"/>
      <c r="C889" s="551"/>
      <c r="D889" s="551"/>
      <c r="E889" s="551"/>
      <c r="F889" s="551"/>
      <c r="G889" s="551"/>
      <c r="H889" s="551"/>
      <c r="I889" s="551"/>
      <c r="J889" s="551"/>
      <c r="K889" s="551"/>
      <c r="L889" s="551"/>
      <c r="M889" s="551"/>
      <c r="N889" s="551"/>
      <c r="O889" s="551"/>
      <c r="P889" s="551"/>
      <c r="Q889" s="551"/>
      <c r="R889" s="551"/>
      <c r="S889" s="551"/>
      <c r="T889" s="551"/>
      <c r="U889" s="551"/>
      <c r="V889" s="551"/>
      <c r="W889" s="551"/>
      <c r="X889" s="551"/>
      <c r="Y889" s="551"/>
      <c r="Z889" s="551"/>
      <c r="AA889" s="551"/>
      <c r="AB889" s="551"/>
      <c r="AC889" s="551"/>
      <c r="AD889" s="551"/>
      <c r="AE889" s="551"/>
      <c r="AF889" s="551"/>
      <c r="AG889" s="551"/>
      <c r="AH889" s="551"/>
      <c r="AI889" s="551"/>
      <c r="AJ889" s="551"/>
      <c r="AK889" s="551"/>
      <c r="AL889" s="551"/>
      <c r="AM889" s="551"/>
      <c r="AN889" s="551"/>
      <c r="AO889" s="551"/>
      <c r="AP889" s="551"/>
      <c r="AQ889" s="551"/>
      <c r="AR889" s="551"/>
      <c r="AS889" s="551"/>
      <c r="AT889" s="551"/>
      <c r="AU889" s="551"/>
      <c r="AV889" s="551"/>
      <c r="AW889" s="551"/>
      <c r="AX889" s="551"/>
      <c r="AY889" s="551"/>
      <c r="AZ889" s="551"/>
      <c r="BA889" s="551"/>
      <c r="BB889" s="551"/>
      <c r="BC889" s="551"/>
      <c r="BD889" s="551"/>
      <c r="BE889" s="551"/>
      <c r="BF889" s="551"/>
    </row>
    <row r="890" spans="1:58" ht="12.75" customHeight="1">
      <c r="A890" s="551"/>
      <c r="B890" s="551"/>
      <c r="C890" s="551"/>
      <c r="D890" s="551"/>
      <c r="E890" s="551"/>
      <c r="F890" s="551"/>
      <c r="G890" s="551"/>
      <c r="H890" s="551"/>
      <c r="I890" s="551"/>
      <c r="J890" s="551"/>
      <c r="K890" s="551"/>
      <c r="L890" s="551"/>
      <c r="M890" s="551"/>
      <c r="N890" s="551"/>
      <c r="O890" s="551"/>
      <c r="P890" s="551"/>
      <c r="Q890" s="551"/>
      <c r="R890" s="551"/>
      <c r="S890" s="551"/>
      <c r="T890" s="551"/>
      <c r="U890" s="551"/>
      <c r="V890" s="551"/>
      <c r="W890" s="551"/>
      <c r="X890" s="551"/>
      <c r="Y890" s="551"/>
      <c r="Z890" s="551"/>
      <c r="AA890" s="551"/>
      <c r="AB890" s="551"/>
      <c r="AC890" s="551"/>
      <c r="AD890" s="551"/>
      <c r="AE890" s="551"/>
      <c r="AF890" s="551"/>
      <c r="AG890" s="551"/>
      <c r="AH890" s="551"/>
      <c r="AI890" s="551"/>
      <c r="AJ890" s="551"/>
      <c r="AK890" s="551"/>
      <c r="AL890" s="551"/>
      <c r="AM890" s="551"/>
      <c r="AN890" s="551"/>
      <c r="AO890" s="551"/>
      <c r="AP890" s="551"/>
      <c r="AQ890" s="551"/>
      <c r="AR890" s="551"/>
      <c r="AS890" s="551"/>
      <c r="AT890" s="551"/>
      <c r="AU890" s="551"/>
      <c r="AV890" s="551"/>
      <c r="AW890" s="551"/>
      <c r="AX890" s="551"/>
      <c r="AY890" s="551"/>
      <c r="AZ890" s="551"/>
      <c r="BA890" s="551"/>
      <c r="BB890" s="551"/>
      <c r="BC890" s="551"/>
      <c r="BD890" s="551"/>
      <c r="BE890" s="551"/>
      <c r="BF890" s="551"/>
    </row>
    <row r="891" spans="1:58" ht="12.75" customHeight="1">
      <c r="A891" s="551"/>
      <c r="B891" s="551"/>
      <c r="C891" s="551"/>
      <c r="D891" s="551"/>
      <c r="E891" s="551"/>
      <c r="F891" s="551"/>
      <c r="G891" s="551"/>
      <c r="H891" s="551"/>
      <c r="I891" s="551"/>
      <c r="J891" s="551"/>
      <c r="K891" s="551"/>
      <c r="L891" s="551"/>
      <c r="M891" s="551"/>
      <c r="N891" s="551"/>
      <c r="O891" s="551"/>
      <c r="P891" s="551"/>
      <c r="Q891" s="551"/>
      <c r="R891" s="551"/>
      <c r="S891" s="551"/>
      <c r="T891" s="551"/>
      <c r="U891" s="551"/>
      <c r="V891" s="551"/>
      <c r="W891" s="551"/>
      <c r="X891" s="551"/>
      <c r="Y891" s="551"/>
      <c r="Z891" s="551"/>
      <c r="AA891" s="551"/>
      <c r="AB891" s="551"/>
      <c r="AC891" s="551"/>
      <c r="AD891" s="551"/>
      <c r="AE891" s="551"/>
      <c r="AF891" s="551"/>
      <c r="AG891" s="551"/>
      <c r="AH891" s="551"/>
      <c r="AI891" s="551"/>
      <c r="AJ891" s="551"/>
      <c r="AK891" s="551"/>
      <c r="AL891" s="551"/>
      <c r="AM891" s="551"/>
      <c r="AN891" s="551"/>
      <c r="AO891" s="551"/>
      <c r="AP891" s="551"/>
      <c r="AQ891" s="551"/>
      <c r="AR891" s="551"/>
      <c r="AS891" s="551"/>
      <c r="AT891" s="551"/>
      <c r="AU891" s="551"/>
      <c r="AV891" s="551"/>
      <c r="AW891" s="551"/>
      <c r="AX891" s="551"/>
      <c r="AY891" s="551"/>
      <c r="AZ891" s="551"/>
      <c r="BA891" s="551"/>
      <c r="BB891" s="551"/>
      <c r="BC891" s="551"/>
      <c r="BD891" s="551"/>
      <c r="BE891" s="551"/>
      <c r="BF891" s="551"/>
    </row>
    <row r="892" spans="1:58" ht="12.75" customHeight="1">
      <c r="A892" s="551"/>
      <c r="B892" s="551"/>
      <c r="C892" s="551"/>
      <c r="D892" s="551"/>
      <c r="E892" s="551"/>
      <c r="F892" s="551"/>
      <c r="G892" s="551"/>
      <c r="H892" s="551"/>
      <c r="I892" s="551"/>
      <c r="J892" s="551"/>
      <c r="K892" s="551"/>
      <c r="L892" s="551"/>
      <c r="M892" s="551"/>
      <c r="N892" s="551"/>
      <c r="O892" s="551"/>
      <c r="P892" s="551"/>
      <c r="Q892" s="551"/>
      <c r="R892" s="551"/>
      <c r="S892" s="551"/>
      <c r="T892" s="551"/>
      <c r="U892" s="551"/>
      <c r="V892" s="551"/>
      <c r="W892" s="551"/>
      <c r="X892" s="551"/>
      <c r="Y892" s="551"/>
      <c r="Z892" s="551"/>
      <c r="AA892" s="551"/>
      <c r="AB892" s="551"/>
      <c r="AC892" s="551"/>
      <c r="AD892" s="551"/>
      <c r="AE892" s="551"/>
      <c r="AF892" s="551"/>
      <c r="AG892" s="551"/>
      <c r="AH892" s="551"/>
      <c r="AI892" s="551"/>
      <c r="AJ892" s="551"/>
      <c r="AK892" s="551"/>
      <c r="AL892" s="551"/>
      <c r="AM892" s="551"/>
      <c r="AN892" s="551"/>
      <c r="AO892" s="551"/>
      <c r="AP892" s="551"/>
      <c r="AQ892" s="551"/>
      <c r="AR892" s="551"/>
      <c r="AS892" s="551"/>
      <c r="AT892" s="551"/>
      <c r="AU892" s="551"/>
      <c r="AV892" s="551"/>
      <c r="AW892" s="551"/>
      <c r="AX892" s="551"/>
      <c r="AY892" s="551"/>
      <c r="AZ892" s="551"/>
      <c r="BA892" s="551"/>
      <c r="BB892" s="551"/>
      <c r="BC892" s="551"/>
      <c r="BD892" s="551"/>
      <c r="BE892" s="551"/>
      <c r="BF892" s="551"/>
    </row>
    <row r="893" spans="1:58" ht="12.75" customHeight="1">
      <c r="A893" s="551"/>
      <c r="B893" s="551"/>
      <c r="C893" s="551"/>
      <c r="D893" s="551"/>
      <c r="E893" s="551"/>
      <c r="F893" s="551"/>
      <c r="G893" s="551"/>
      <c r="H893" s="551"/>
      <c r="I893" s="551"/>
      <c r="J893" s="551"/>
      <c r="K893" s="551"/>
      <c r="L893" s="551"/>
      <c r="M893" s="551"/>
      <c r="N893" s="551"/>
      <c r="O893" s="551"/>
      <c r="P893" s="551"/>
      <c r="Q893" s="551"/>
      <c r="R893" s="551"/>
      <c r="S893" s="551"/>
      <c r="T893" s="551"/>
      <c r="U893" s="551"/>
      <c r="V893" s="551"/>
      <c r="W893" s="551"/>
      <c r="X893" s="551"/>
      <c r="Y893" s="551"/>
      <c r="Z893" s="551"/>
      <c r="AA893" s="551"/>
      <c r="AB893" s="551"/>
      <c r="AC893" s="551"/>
      <c r="AD893" s="551"/>
      <c r="AE893" s="551"/>
      <c r="AF893" s="551"/>
      <c r="AG893" s="551"/>
      <c r="AH893" s="551"/>
      <c r="AI893" s="551"/>
      <c r="AJ893" s="551"/>
      <c r="AK893" s="551"/>
      <c r="AL893" s="551"/>
      <c r="AM893" s="551"/>
      <c r="AN893" s="551"/>
      <c r="AO893" s="551"/>
      <c r="AP893" s="551"/>
      <c r="AQ893" s="551"/>
      <c r="AR893" s="551"/>
      <c r="AS893" s="551"/>
      <c r="AT893" s="551"/>
      <c r="AU893" s="551"/>
      <c r="AV893" s="551"/>
      <c r="AW893" s="551"/>
      <c r="AX893" s="551"/>
      <c r="AY893" s="551"/>
      <c r="AZ893" s="551"/>
      <c r="BA893" s="551"/>
      <c r="BB893" s="551"/>
      <c r="BC893" s="551"/>
      <c r="BD893" s="551"/>
      <c r="BE893" s="551"/>
      <c r="BF893" s="551"/>
    </row>
    <row r="894" spans="1:58" ht="12.75" customHeight="1">
      <c r="A894" s="551"/>
      <c r="B894" s="551"/>
      <c r="C894" s="551"/>
      <c r="D894" s="551"/>
      <c r="E894" s="551"/>
      <c r="F894" s="551"/>
      <c r="G894" s="551"/>
      <c r="H894" s="551"/>
      <c r="I894" s="551"/>
      <c r="J894" s="551"/>
      <c r="K894" s="551"/>
      <c r="L894" s="551"/>
      <c r="M894" s="551"/>
      <c r="N894" s="551"/>
      <c r="O894" s="551"/>
      <c r="P894" s="551"/>
      <c r="Q894" s="551"/>
      <c r="R894" s="551"/>
      <c r="S894" s="551"/>
      <c r="T894" s="551"/>
      <c r="U894" s="551"/>
      <c r="V894" s="551"/>
      <c r="W894" s="551"/>
      <c r="X894" s="551"/>
      <c r="Y894" s="551"/>
      <c r="Z894" s="551"/>
      <c r="AA894" s="551"/>
      <c r="AB894" s="551"/>
      <c r="AC894" s="551"/>
      <c r="AD894" s="551"/>
      <c r="AE894" s="551"/>
      <c r="AF894" s="551"/>
      <c r="AG894" s="551"/>
      <c r="AH894" s="551"/>
      <c r="AI894" s="551"/>
      <c r="AJ894" s="551"/>
      <c r="AK894" s="551"/>
      <c r="AL894" s="551"/>
      <c r="AM894" s="551"/>
      <c r="AN894" s="551"/>
      <c r="AO894" s="551"/>
      <c r="AP894" s="551"/>
      <c r="AQ894" s="551"/>
      <c r="AR894" s="551"/>
      <c r="AS894" s="551"/>
      <c r="AT894" s="551"/>
      <c r="AU894" s="551"/>
      <c r="AV894" s="551"/>
      <c r="AW894" s="551"/>
      <c r="AX894" s="551"/>
      <c r="AY894" s="551"/>
      <c r="AZ894" s="551"/>
      <c r="BA894" s="551"/>
      <c r="BB894" s="551"/>
      <c r="BC894" s="551"/>
      <c r="BD894" s="551"/>
      <c r="BE894" s="551"/>
      <c r="BF894" s="551"/>
    </row>
    <row r="895" spans="1:58" ht="12.75" customHeight="1">
      <c r="A895" s="551"/>
      <c r="B895" s="551"/>
      <c r="C895" s="551"/>
      <c r="D895" s="551"/>
      <c r="E895" s="551"/>
      <c r="F895" s="551"/>
      <c r="G895" s="551"/>
      <c r="H895" s="551"/>
      <c r="I895" s="551"/>
      <c r="J895" s="551"/>
      <c r="K895" s="551"/>
      <c r="L895" s="551"/>
      <c r="M895" s="551"/>
      <c r="N895" s="551"/>
      <c r="O895" s="551"/>
      <c r="P895" s="551"/>
      <c r="Q895" s="551"/>
      <c r="R895" s="551"/>
      <c r="S895" s="551"/>
      <c r="T895" s="551"/>
      <c r="U895" s="551"/>
      <c r="V895" s="551"/>
      <c r="W895" s="551"/>
      <c r="X895" s="551"/>
      <c r="Y895" s="551"/>
      <c r="Z895" s="551"/>
      <c r="AA895" s="551"/>
      <c r="AB895" s="551"/>
      <c r="AC895" s="551"/>
      <c r="AD895" s="551"/>
      <c r="AE895" s="551"/>
      <c r="AF895" s="551"/>
      <c r="AG895" s="551"/>
      <c r="AH895" s="551"/>
      <c r="AI895" s="551"/>
      <c r="AJ895" s="551"/>
      <c r="AK895" s="551"/>
      <c r="AL895" s="551"/>
      <c r="AM895" s="551"/>
      <c r="AN895" s="551"/>
      <c r="AO895" s="551"/>
      <c r="AP895" s="551"/>
      <c r="AQ895" s="551"/>
      <c r="AR895" s="551"/>
      <c r="AS895" s="551"/>
      <c r="AT895" s="551"/>
      <c r="AU895" s="551"/>
      <c r="AV895" s="551"/>
      <c r="AW895" s="551"/>
      <c r="AX895" s="551"/>
      <c r="AY895" s="551"/>
      <c r="AZ895" s="551"/>
      <c r="BA895" s="551"/>
      <c r="BB895" s="551"/>
      <c r="BC895" s="551"/>
      <c r="BD895" s="551"/>
      <c r="BE895" s="551"/>
      <c r="BF895" s="551"/>
    </row>
    <row r="896" spans="1:58" ht="12.75" customHeight="1">
      <c r="A896" s="551"/>
      <c r="B896" s="551"/>
      <c r="C896" s="551"/>
      <c r="D896" s="551"/>
      <c r="E896" s="551"/>
      <c r="F896" s="551"/>
      <c r="G896" s="551"/>
      <c r="H896" s="551"/>
      <c r="I896" s="551"/>
      <c r="J896" s="551"/>
      <c r="K896" s="551"/>
      <c r="L896" s="551"/>
      <c r="M896" s="551"/>
      <c r="N896" s="551"/>
      <c r="O896" s="551"/>
      <c r="P896" s="551"/>
      <c r="Q896" s="551"/>
      <c r="R896" s="551"/>
      <c r="S896" s="551"/>
      <c r="T896" s="551"/>
      <c r="U896" s="551"/>
      <c r="V896" s="551"/>
      <c r="W896" s="551"/>
      <c r="X896" s="551"/>
      <c r="Y896" s="551"/>
      <c r="Z896" s="551"/>
      <c r="AA896" s="551"/>
      <c r="AB896" s="551"/>
      <c r="AC896" s="551"/>
      <c r="AD896" s="551"/>
      <c r="AE896" s="551"/>
      <c r="AF896" s="551"/>
      <c r="AG896" s="551"/>
      <c r="AH896" s="551"/>
      <c r="AI896" s="551"/>
      <c r="AJ896" s="551"/>
      <c r="AK896" s="551"/>
      <c r="AL896" s="551"/>
      <c r="AM896" s="551"/>
      <c r="AN896" s="551"/>
      <c r="AO896" s="551"/>
      <c r="AP896" s="551"/>
      <c r="AQ896" s="551"/>
      <c r="AR896" s="551"/>
      <c r="AS896" s="551"/>
      <c r="AT896" s="551"/>
      <c r="AU896" s="551"/>
      <c r="AV896" s="551"/>
      <c r="AW896" s="551"/>
      <c r="AX896" s="551"/>
      <c r="AY896" s="551"/>
      <c r="AZ896" s="551"/>
      <c r="BA896" s="551"/>
      <c r="BB896" s="551"/>
      <c r="BC896" s="551"/>
      <c r="BD896" s="551"/>
      <c r="BE896" s="551"/>
      <c r="BF896" s="551"/>
    </row>
    <row r="897" spans="1:58" ht="12.75" customHeight="1">
      <c r="A897" s="551"/>
      <c r="B897" s="551"/>
      <c r="C897" s="551"/>
      <c r="D897" s="551"/>
      <c r="E897" s="551"/>
      <c r="F897" s="551"/>
      <c r="G897" s="551"/>
      <c r="H897" s="551"/>
      <c r="I897" s="551"/>
      <c r="J897" s="551"/>
      <c r="K897" s="551"/>
      <c r="L897" s="551"/>
      <c r="M897" s="551"/>
      <c r="N897" s="551"/>
      <c r="O897" s="551"/>
      <c r="P897" s="551"/>
      <c r="Q897" s="551"/>
      <c r="R897" s="551"/>
      <c r="S897" s="551"/>
      <c r="T897" s="551"/>
      <c r="U897" s="551"/>
      <c r="V897" s="551"/>
      <c r="W897" s="551"/>
      <c r="X897" s="551"/>
      <c r="Y897" s="551"/>
      <c r="Z897" s="551"/>
      <c r="AA897" s="551"/>
      <c r="AB897" s="551"/>
      <c r="AC897" s="551"/>
      <c r="AD897" s="551"/>
      <c r="AE897" s="551"/>
      <c r="AF897" s="551"/>
      <c r="AG897" s="551"/>
      <c r="AH897" s="551"/>
      <c r="AI897" s="551"/>
      <c r="AJ897" s="551"/>
      <c r="AK897" s="551"/>
      <c r="AL897" s="551"/>
      <c r="AM897" s="551"/>
      <c r="AN897" s="551"/>
      <c r="AO897" s="551"/>
      <c r="AP897" s="551"/>
      <c r="AQ897" s="551"/>
      <c r="AR897" s="551"/>
      <c r="AS897" s="551"/>
      <c r="AT897" s="551"/>
      <c r="AU897" s="551"/>
      <c r="AV897" s="551"/>
      <c r="AW897" s="551"/>
      <c r="AX897" s="551"/>
      <c r="AY897" s="551"/>
      <c r="AZ897" s="551"/>
      <c r="BA897" s="551"/>
      <c r="BB897" s="551"/>
      <c r="BC897" s="551"/>
      <c r="BD897" s="551"/>
      <c r="BE897" s="551"/>
      <c r="BF897" s="551"/>
    </row>
    <row r="898" spans="1:58" ht="12.75" customHeight="1">
      <c r="A898" s="551"/>
      <c r="B898" s="551"/>
      <c r="C898" s="551"/>
      <c r="D898" s="551"/>
      <c r="E898" s="551"/>
      <c r="F898" s="551"/>
      <c r="G898" s="551"/>
      <c r="H898" s="551"/>
      <c r="I898" s="551"/>
      <c r="J898" s="551"/>
      <c r="K898" s="551"/>
      <c r="L898" s="551"/>
      <c r="M898" s="551"/>
      <c r="N898" s="551"/>
      <c r="O898" s="551"/>
      <c r="P898" s="551"/>
      <c r="Q898" s="551"/>
      <c r="R898" s="551"/>
      <c r="S898" s="551"/>
      <c r="T898" s="551"/>
      <c r="U898" s="551"/>
      <c r="V898" s="551"/>
      <c r="W898" s="551"/>
      <c r="X898" s="551"/>
      <c r="Y898" s="551"/>
      <c r="Z898" s="551"/>
      <c r="AA898" s="551"/>
      <c r="AB898" s="551"/>
      <c r="AC898" s="551"/>
      <c r="AD898" s="551"/>
      <c r="AE898" s="551"/>
      <c r="AF898" s="551"/>
      <c r="AG898" s="551"/>
      <c r="AH898" s="551"/>
      <c r="AI898" s="551"/>
      <c r="AJ898" s="551"/>
      <c r="AK898" s="551"/>
      <c r="AL898" s="551"/>
      <c r="AM898" s="551"/>
      <c r="AN898" s="551"/>
      <c r="AO898" s="551"/>
      <c r="AP898" s="551"/>
      <c r="AQ898" s="551"/>
      <c r="AR898" s="551"/>
      <c r="AS898" s="551"/>
      <c r="AT898" s="551"/>
      <c r="AU898" s="551"/>
      <c r="AV898" s="551"/>
      <c r="AW898" s="551"/>
      <c r="AX898" s="551"/>
      <c r="AY898" s="551"/>
      <c r="AZ898" s="551"/>
      <c r="BA898" s="551"/>
      <c r="BB898" s="551"/>
      <c r="BC898" s="551"/>
      <c r="BD898" s="551"/>
      <c r="BE898" s="551"/>
      <c r="BF898" s="551"/>
    </row>
    <row r="899" spans="1:58" ht="12.75" customHeight="1">
      <c r="A899" s="551"/>
      <c r="B899" s="551"/>
      <c r="C899" s="551"/>
      <c r="D899" s="551"/>
      <c r="E899" s="551"/>
      <c r="F899" s="551"/>
      <c r="G899" s="551"/>
      <c r="H899" s="551"/>
      <c r="I899" s="551"/>
      <c r="J899" s="551"/>
      <c r="K899" s="551"/>
      <c r="L899" s="551"/>
      <c r="M899" s="551"/>
      <c r="N899" s="551"/>
      <c r="O899" s="551"/>
      <c r="P899" s="551"/>
      <c r="Q899" s="551"/>
      <c r="R899" s="551"/>
      <c r="S899" s="551"/>
      <c r="T899" s="551"/>
      <c r="U899" s="551"/>
      <c r="V899" s="551"/>
      <c r="W899" s="551"/>
      <c r="X899" s="551"/>
      <c r="Y899" s="551"/>
      <c r="Z899" s="551"/>
      <c r="AA899" s="551"/>
      <c r="AB899" s="551"/>
      <c r="AC899" s="551"/>
      <c r="AD899" s="551"/>
      <c r="AE899" s="551"/>
      <c r="AF899" s="551"/>
      <c r="AG899" s="551"/>
      <c r="AH899" s="551"/>
      <c r="AI899" s="551"/>
      <c r="AJ899" s="551"/>
      <c r="AK899" s="551"/>
      <c r="AL899" s="551"/>
      <c r="AM899" s="551"/>
      <c r="AN899" s="551"/>
      <c r="AO899" s="551"/>
      <c r="AP899" s="551"/>
      <c r="AQ899" s="551"/>
      <c r="AR899" s="551"/>
      <c r="AS899" s="551"/>
      <c r="AT899" s="551"/>
      <c r="AU899" s="551"/>
      <c r="AV899" s="551"/>
      <c r="AW899" s="551"/>
      <c r="AX899" s="551"/>
      <c r="AY899" s="551"/>
      <c r="AZ899" s="551"/>
      <c r="BA899" s="551"/>
      <c r="BB899" s="551"/>
      <c r="BC899" s="551"/>
      <c r="BD899" s="551"/>
      <c r="BE899" s="551"/>
      <c r="BF899" s="551"/>
    </row>
    <row r="900" spans="1:58" ht="12.75" customHeight="1">
      <c r="A900" s="551"/>
      <c r="B900" s="551"/>
      <c r="C900" s="551"/>
      <c r="D900" s="551"/>
      <c r="E900" s="551"/>
      <c r="F900" s="551"/>
      <c r="G900" s="551"/>
      <c r="H900" s="551"/>
      <c r="I900" s="551"/>
      <c r="J900" s="551"/>
      <c r="K900" s="551"/>
      <c r="L900" s="551"/>
      <c r="M900" s="551"/>
      <c r="N900" s="551"/>
      <c r="O900" s="551"/>
      <c r="P900" s="551"/>
      <c r="Q900" s="551"/>
      <c r="R900" s="551"/>
      <c r="S900" s="551"/>
      <c r="T900" s="551"/>
      <c r="U900" s="551"/>
      <c r="V900" s="551"/>
      <c r="W900" s="551"/>
      <c r="X900" s="551"/>
      <c r="Y900" s="551"/>
      <c r="Z900" s="551"/>
      <c r="AA900" s="551"/>
      <c r="AB900" s="551"/>
      <c r="AC900" s="551"/>
      <c r="AD900" s="551"/>
      <c r="AE900" s="551"/>
      <c r="AF900" s="551"/>
      <c r="AG900" s="551"/>
      <c r="AH900" s="551"/>
      <c r="AI900" s="551"/>
      <c r="AJ900" s="551"/>
      <c r="AK900" s="551"/>
      <c r="AL900" s="551"/>
      <c r="AM900" s="551"/>
      <c r="AN900" s="551"/>
      <c r="AO900" s="551"/>
      <c r="AP900" s="551"/>
      <c r="AQ900" s="551"/>
      <c r="AR900" s="551"/>
      <c r="AS900" s="551"/>
      <c r="AT900" s="551"/>
      <c r="AU900" s="551"/>
      <c r="AV900" s="551"/>
      <c r="AW900" s="551"/>
      <c r="AX900" s="551"/>
      <c r="AY900" s="551"/>
      <c r="AZ900" s="551"/>
      <c r="BA900" s="551"/>
      <c r="BB900" s="551"/>
      <c r="BC900" s="551"/>
      <c r="BD900" s="551"/>
      <c r="BE900" s="551"/>
      <c r="BF900" s="551"/>
    </row>
    <row r="901" spans="1:58" ht="12.75" customHeight="1">
      <c r="A901" s="551"/>
      <c r="B901" s="551"/>
      <c r="C901" s="551"/>
      <c r="D901" s="551"/>
      <c r="E901" s="551"/>
      <c r="F901" s="551"/>
      <c r="G901" s="551"/>
      <c r="H901" s="551"/>
      <c r="I901" s="551"/>
      <c r="J901" s="551"/>
      <c r="K901" s="551"/>
      <c r="L901" s="551"/>
      <c r="M901" s="551"/>
      <c r="N901" s="551"/>
      <c r="O901" s="551"/>
      <c r="P901" s="551"/>
      <c r="Q901" s="551"/>
      <c r="R901" s="551"/>
      <c r="S901" s="551"/>
      <c r="T901" s="551"/>
      <c r="U901" s="551"/>
      <c r="V901" s="551"/>
      <c r="W901" s="551"/>
      <c r="X901" s="551"/>
      <c r="Y901" s="551"/>
      <c r="Z901" s="551"/>
      <c r="AA901" s="551"/>
      <c r="AB901" s="551"/>
      <c r="AC901" s="551"/>
      <c r="AD901" s="551"/>
      <c r="AE901" s="551"/>
      <c r="AF901" s="551"/>
      <c r="AG901" s="551"/>
      <c r="AH901" s="551"/>
      <c r="AI901" s="551"/>
      <c r="AJ901" s="551"/>
      <c r="AK901" s="551"/>
      <c r="AL901" s="551"/>
      <c r="AM901" s="551"/>
      <c r="AN901" s="551"/>
      <c r="AO901" s="551"/>
      <c r="AP901" s="551"/>
      <c r="AQ901" s="551"/>
      <c r="AR901" s="551"/>
      <c r="AS901" s="551"/>
      <c r="AT901" s="551"/>
      <c r="AU901" s="551"/>
      <c r="AV901" s="551"/>
      <c r="AW901" s="551"/>
      <c r="AX901" s="551"/>
      <c r="AY901" s="551"/>
      <c r="AZ901" s="551"/>
      <c r="BA901" s="551"/>
      <c r="BB901" s="551"/>
      <c r="BC901" s="551"/>
      <c r="BD901" s="551"/>
      <c r="BE901" s="551"/>
      <c r="BF901" s="551"/>
    </row>
    <row r="902" spans="1:58" ht="12.75" customHeight="1">
      <c r="A902" s="551"/>
      <c r="B902" s="551"/>
      <c r="C902" s="551"/>
      <c r="D902" s="551"/>
      <c r="E902" s="551"/>
      <c r="F902" s="551"/>
      <c r="G902" s="551"/>
      <c r="H902" s="551"/>
      <c r="I902" s="551"/>
      <c r="J902" s="551"/>
      <c r="K902" s="551"/>
      <c r="L902" s="551"/>
      <c r="M902" s="551"/>
      <c r="N902" s="551"/>
      <c r="O902" s="551"/>
      <c r="P902" s="551"/>
      <c r="Q902" s="551"/>
      <c r="R902" s="551"/>
      <c r="S902" s="551"/>
      <c r="T902" s="551"/>
      <c r="U902" s="551"/>
      <c r="V902" s="551"/>
      <c r="W902" s="551"/>
      <c r="X902" s="551"/>
      <c r="Y902" s="551"/>
      <c r="Z902" s="551"/>
      <c r="AA902" s="551"/>
      <c r="AB902" s="551"/>
      <c r="AC902" s="551"/>
      <c r="AD902" s="551"/>
      <c r="AE902" s="551"/>
      <c r="AF902" s="551"/>
      <c r="AG902" s="551"/>
      <c r="AH902" s="551"/>
      <c r="AI902" s="551"/>
      <c r="AJ902" s="551"/>
      <c r="AK902" s="551"/>
      <c r="AL902" s="551"/>
      <c r="AM902" s="551"/>
      <c r="AN902" s="551"/>
      <c r="AO902" s="551"/>
      <c r="AP902" s="551"/>
      <c r="AQ902" s="551"/>
      <c r="AR902" s="551"/>
      <c r="AS902" s="551"/>
      <c r="AT902" s="551"/>
      <c r="AU902" s="551"/>
      <c r="AV902" s="551"/>
      <c r="AW902" s="551"/>
      <c r="AX902" s="551"/>
      <c r="AY902" s="551"/>
      <c r="AZ902" s="551"/>
      <c r="BA902" s="551"/>
      <c r="BB902" s="551"/>
      <c r="BC902" s="551"/>
      <c r="BD902" s="551"/>
      <c r="BE902" s="551"/>
      <c r="BF902" s="551"/>
    </row>
    <row r="903" spans="1:58" ht="12.75" customHeight="1">
      <c r="A903" s="551"/>
      <c r="B903" s="551"/>
      <c r="C903" s="551"/>
      <c r="D903" s="551"/>
      <c r="E903" s="551"/>
      <c r="F903" s="551"/>
      <c r="G903" s="551"/>
      <c r="H903" s="551"/>
      <c r="I903" s="551"/>
      <c r="J903" s="551"/>
      <c r="K903" s="551"/>
      <c r="L903" s="551"/>
      <c r="M903" s="551"/>
      <c r="N903" s="551"/>
      <c r="O903" s="551"/>
      <c r="P903" s="551"/>
      <c r="Q903" s="551"/>
      <c r="R903" s="551"/>
      <c r="S903" s="551"/>
      <c r="T903" s="551"/>
      <c r="U903" s="551"/>
      <c r="V903" s="551"/>
      <c r="W903" s="551"/>
      <c r="X903" s="551"/>
      <c r="Y903" s="551"/>
      <c r="Z903" s="551"/>
      <c r="AA903" s="551"/>
      <c r="AB903" s="551"/>
      <c r="AC903" s="551"/>
      <c r="AD903" s="551"/>
      <c r="AE903" s="551"/>
      <c r="AF903" s="551"/>
      <c r="AG903" s="551"/>
      <c r="AH903" s="551"/>
      <c r="AI903" s="551"/>
      <c r="AJ903" s="551"/>
      <c r="AK903" s="551"/>
      <c r="AL903" s="551"/>
      <c r="AM903" s="551"/>
      <c r="AN903" s="551"/>
      <c r="AO903" s="551"/>
      <c r="AP903" s="551"/>
      <c r="AQ903" s="551"/>
      <c r="AR903" s="551"/>
      <c r="AS903" s="551"/>
      <c r="AT903" s="551"/>
      <c r="AU903" s="551"/>
      <c r="AV903" s="551"/>
      <c r="AW903" s="551"/>
      <c r="AX903" s="551"/>
      <c r="AY903" s="551"/>
      <c r="AZ903" s="551"/>
      <c r="BA903" s="551"/>
      <c r="BB903" s="551"/>
      <c r="BC903" s="551"/>
      <c r="BD903" s="551"/>
      <c r="BE903" s="551"/>
      <c r="BF903" s="551"/>
    </row>
    <row r="904" spans="1:58" ht="12.75" customHeight="1">
      <c r="A904" s="551"/>
      <c r="B904" s="551"/>
      <c r="C904" s="551"/>
      <c r="D904" s="551"/>
      <c r="E904" s="551"/>
      <c r="F904" s="551"/>
      <c r="G904" s="551"/>
      <c r="H904" s="551"/>
      <c r="I904" s="551"/>
      <c r="J904" s="551"/>
      <c r="K904" s="551"/>
      <c r="L904" s="551"/>
      <c r="M904" s="551"/>
      <c r="N904" s="551"/>
      <c r="O904" s="551"/>
      <c r="P904" s="551"/>
      <c r="Q904" s="551"/>
      <c r="R904" s="551"/>
      <c r="S904" s="551"/>
      <c r="T904" s="551"/>
      <c r="U904" s="551"/>
      <c r="V904" s="551"/>
      <c r="W904" s="551"/>
      <c r="X904" s="551"/>
      <c r="Y904" s="551"/>
      <c r="Z904" s="551"/>
      <c r="AA904" s="551"/>
      <c r="AB904" s="551"/>
      <c r="AC904" s="551"/>
      <c r="AD904" s="551"/>
      <c r="AE904" s="551"/>
      <c r="AF904" s="551"/>
      <c r="AG904" s="551"/>
      <c r="AH904" s="551"/>
      <c r="AI904" s="551"/>
      <c r="AJ904" s="551"/>
      <c r="AK904" s="551"/>
      <c r="AL904" s="551"/>
      <c r="AM904" s="551"/>
      <c r="AN904" s="551"/>
      <c r="AO904" s="551"/>
      <c r="AP904" s="551"/>
      <c r="AQ904" s="551"/>
      <c r="AR904" s="551"/>
      <c r="AS904" s="551"/>
      <c r="AT904" s="551"/>
      <c r="AU904" s="551"/>
      <c r="AV904" s="551"/>
      <c r="AW904" s="551"/>
      <c r="AX904" s="551"/>
      <c r="AY904" s="551"/>
      <c r="AZ904" s="551"/>
      <c r="BA904" s="551"/>
      <c r="BB904" s="551"/>
      <c r="BC904" s="551"/>
      <c r="BD904" s="551"/>
      <c r="BE904" s="551"/>
      <c r="BF904" s="551"/>
    </row>
    <row r="905" spans="1:58" ht="12.75" customHeight="1">
      <c r="A905" s="551"/>
      <c r="B905" s="551"/>
      <c r="C905" s="551"/>
      <c r="D905" s="551"/>
      <c r="E905" s="551"/>
      <c r="F905" s="551"/>
      <c r="G905" s="551"/>
      <c r="H905" s="551"/>
      <c r="I905" s="551"/>
      <c r="J905" s="551"/>
      <c r="K905" s="551"/>
      <c r="L905" s="551"/>
      <c r="M905" s="551"/>
      <c r="N905" s="551"/>
      <c r="O905" s="551"/>
      <c r="P905" s="551"/>
      <c r="Q905" s="551"/>
      <c r="R905" s="551"/>
      <c r="S905" s="551"/>
      <c r="T905" s="551"/>
      <c r="U905" s="551"/>
      <c r="V905" s="551"/>
      <c r="W905" s="551"/>
      <c r="X905" s="551"/>
      <c r="Y905" s="551"/>
      <c r="Z905" s="551"/>
      <c r="AA905" s="551"/>
      <c r="AB905" s="551"/>
      <c r="AC905" s="551"/>
      <c r="AD905" s="551"/>
      <c r="AE905" s="551"/>
      <c r="AF905" s="551"/>
      <c r="AG905" s="551"/>
      <c r="AH905" s="551"/>
      <c r="AI905" s="551"/>
      <c r="AJ905" s="551"/>
      <c r="AK905" s="551"/>
      <c r="AL905" s="551"/>
      <c r="AM905" s="551"/>
      <c r="AN905" s="551"/>
      <c r="AO905" s="551"/>
      <c r="AP905" s="551"/>
      <c r="AQ905" s="551"/>
      <c r="AR905" s="551"/>
      <c r="AS905" s="551"/>
      <c r="AT905" s="551"/>
      <c r="AU905" s="551"/>
      <c r="AV905" s="551"/>
      <c r="AW905" s="551"/>
      <c r="AX905" s="551"/>
      <c r="AY905" s="551"/>
      <c r="AZ905" s="551"/>
      <c r="BA905" s="551"/>
      <c r="BB905" s="551"/>
      <c r="BC905" s="551"/>
      <c r="BD905" s="551"/>
      <c r="BE905" s="551"/>
      <c r="BF905" s="551"/>
    </row>
    <row r="906" spans="1:58" ht="12.75" customHeight="1">
      <c r="A906" s="551"/>
      <c r="B906" s="551"/>
      <c r="C906" s="551"/>
      <c r="D906" s="551"/>
      <c r="E906" s="551"/>
      <c r="F906" s="551"/>
      <c r="G906" s="551"/>
      <c r="H906" s="551"/>
      <c r="I906" s="551"/>
      <c r="J906" s="551"/>
      <c r="K906" s="551"/>
      <c r="L906" s="551"/>
      <c r="M906" s="551"/>
      <c r="N906" s="551"/>
      <c r="O906" s="551"/>
      <c r="P906" s="551"/>
      <c r="Q906" s="551"/>
      <c r="R906" s="551"/>
      <c r="S906" s="551"/>
      <c r="T906" s="551"/>
      <c r="U906" s="551"/>
      <c r="V906" s="551"/>
      <c r="W906" s="551"/>
      <c r="X906" s="551"/>
      <c r="Y906" s="551"/>
      <c r="Z906" s="551"/>
      <c r="AA906" s="551"/>
      <c r="AB906" s="551"/>
      <c r="AC906" s="551"/>
      <c r="AD906" s="551"/>
      <c r="AE906" s="551"/>
      <c r="AF906" s="551"/>
      <c r="AG906" s="551"/>
      <c r="AH906" s="551"/>
      <c r="AI906" s="551"/>
      <c r="AJ906" s="551"/>
      <c r="AK906" s="551"/>
      <c r="AL906" s="551"/>
      <c r="AM906" s="551"/>
      <c r="AN906" s="551"/>
      <c r="AO906" s="551"/>
      <c r="AP906" s="551"/>
      <c r="AQ906" s="551"/>
      <c r="AR906" s="551"/>
      <c r="AS906" s="551"/>
      <c r="AT906" s="551"/>
      <c r="AU906" s="551"/>
      <c r="AV906" s="551"/>
      <c r="AW906" s="551"/>
      <c r="AX906" s="551"/>
      <c r="AY906" s="551"/>
      <c r="AZ906" s="551"/>
      <c r="BA906" s="551"/>
      <c r="BB906" s="551"/>
      <c r="BC906" s="551"/>
      <c r="BD906" s="551"/>
      <c r="BE906" s="551"/>
      <c r="BF906" s="551"/>
    </row>
    <row r="907" spans="1:58" ht="12.75" customHeight="1">
      <c r="A907" s="551"/>
      <c r="B907" s="551"/>
      <c r="C907" s="551"/>
      <c r="D907" s="551"/>
      <c r="E907" s="551"/>
      <c r="F907" s="551"/>
      <c r="G907" s="551"/>
      <c r="H907" s="551"/>
      <c r="I907" s="551"/>
      <c r="J907" s="551"/>
      <c r="K907" s="551"/>
      <c r="L907" s="551"/>
      <c r="M907" s="551"/>
      <c r="N907" s="551"/>
      <c r="O907" s="551"/>
      <c r="P907" s="551"/>
      <c r="Q907" s="551"/>
      <c r="R907" s="551"/>
      <c r="S907" s="551"/>
      <c r="T907" s="551"/>
      <c r="U907" s="551"/>
      <c r="V907" s="551"/>
      <c r="W907" s="551"/>
      <c r="X907" s="551"/>
      <c r="Y907" s="551"/>
      <c r="Z907" s="551"/>
      <c r="AA907" s="551"/>
      <c r="AB907" s="551"/>
      <c r="AC907" s="551"/>
      <c r="AD907" s="551"/>
      <c r="AE907" s="551"/>
      <c r="AF907" s="551"/>
      <c r="AG907" s="551"/>
      <c r="AH907" s="551"/>
      <c r="AI907" s="551"/>
      <c r="AJ907" s="551"/>
      <c r="AK907" s="551"/>
      <c r="AL907" s="551"/>
      <c r="AM907" s="551"/>
      <c r="AN907" s="551"/>
      <c r="AO907" s="551"/>
      <c r="AP907" s="551"/>
      <c r="AQ907" s="551"/>
      <c r="AR907" s="551"/>
      <c r="AS907" s="551"/>
      <c r="AT907" s="551"/>
      <c r="AU907" s="551"/>
      <c r="AV907" s="551"/>
      <c r="AW907" s="551"/>
      <c r="AX907" s="551"/>
      <c r="AY907" s="551"/>
      <c r="AZ907" s="551"/>
      <c r="BA907" s="551"/>
      <c r="BB907" s="551"/>
      <c r="BC907" s="551"/>
      <c r="BD907" s="551"/>
      <c r="BE907" s="551"/>
      <c r="BF907" s="551"/>
    </row>
    <row r="908" spans="1:58" ht="12.75" customHeight="1">
      <c r="A908" s="551"/>
      <c r="B908" s="551"/>
      <c r="C908" s="551"/>
      <c r="D908" s="551"/>
      <c r="E908" s="551"/>
      <c r="F908" s="551"/>
      <c r="G908" s="551"/>
      <c r="H908" s="551"/>
      <c r="I908" s="551"/>
      <c r="J908" s="551"/>
      <c r="K908" s="551"/>
      <c r="L908" s="551"/>
      <c r="M908" s="551"/>
      <c r="N908" s="551"/>
      <c r="O908" s="551"/>
      <c r="P908" s="551"/>
      <c r="Q908" s="551"/>
      <c r="R908" s="551"/>
      <c r="S908" s="551"/>
      <c r="T908" s="551"/>
      <c r="U908" s="551"/>
      <c r="V908" s="551"/>
      <c r="W908" s="551"/>
      <c r="X908" s="551"/>
      <c r="Y908" s="551"/>
      <c r="Z908" s="551"/>
      <c r="AA908" s="551"/>
      <c r="AB908" s="551"/>
      <c r="AC908" s="551"/>
      <c r="AD908" s="551"/>
      <c r="AE908" s="551"/>
      <c r="AF908" s="551"/>
      <c r="AG908" s="551"/>
      <c r="AH908" s="551"/>
      <c r="AI908" s="551"/>
      <c r="AJ908" s="551"/>
      <c r="AK908" s="551"/>
      <c r="AL908" s="551"/>
      <c r="AM908" s="551"/>
      <c r="AN908" s="551"/>
      <c r="AO908" s="551"/>
      <c r="AP908" s="551"/>
      <c r="AQ908" s="551"/>
      <c r="AR908" s="551"/>
      <c r="AS908" s="551"/>
      <c r="AT908" s="551"/>
      <c r="AU908" s="551"/>
      <c r="AV908" s="551"/>
      <c r="AW908" s="551"/>
      <c r="AX908" s="551"/>
      <c r="AY908" s="551"/>
      <c r="AZ908" s="551"/>
      <c r="BA908" s="551"/>
      <c r="BB908" s="551"/>
      <c r="BC908" s="551"/>
      <c r="BD908" s="551"/>
      <c r="BE908" s="551"/>
      <c r="BF908" s="551"/>
    </row>
    <row r="909" spans="1:58" ht="12.75" customHeight="1">
      <c r="A909" s="551"/>
      <c r="B909" s="551"/>
      <c r="C909" s="551"/>
      <c r="D909" s="551"/>
      <c r="E909" s="551"/>
      <c r="F909" s="551"/>
      <c r="G909" s="551"/>
      <c r="H909" s="551"/>
      <c r="I909" s="551"/>
      <c r="J909" s="551"/>
      <c r="K909" s="551"/>
      <c r="L909" s="551"/>
      <c r="M909" s="551"/>
      <c r="N909" s="551"/>
      <c r="O909" s="551"/>
      <c r="P909" s="551"/>
      <c r="Q909" s="551"/>
      <c r="R909" s="551"/>
      <c r="S909" s="551"/>
      <c r="T909" s="551"/>
      <c r="U909" s="551"/>
      <c r="V909" s="551"/>
      <c r="W909" s="551"/>
      <c r="X909" s="551"/>
      <c r="Y909" s="551"/>
      <c r="Z909" s="551"/>
      <c r="AA909" s="551"/>
      <c r="AB909" s="551"/>
      <c r="AC909" s="551"/>
      <c r="AD909" s="551"/>
      <c r="AE909" s="551"/>
      <c r="AF909" s="551"/>
      <c r="AG909" s="551"/>
      <c r="AH909" s="551"/>
      <c r="AI909" s="551"/>
      <c r="AJ909" s="551"/>
      <c r="AK909" s="551"/>
      <c r="AL909" s="551"/>
      <c r="AM909" s="551"/>
      <c r="AN909" s="551"/>
      <c r="AO909" s="551"/>
      <c r="AP909" s="551"/>
      <c r="AQ909" s="551"/>
      <c r="AR909" s="551"/>
      <c r="AS909" s="551"/>
      <c r="AT909" s="551"/>
      <c r="AU909" s="551"/>
      <c r="AV909" s="551"/>
      <c r="AW909" s="551"/>
      <c r="AX909" s="551"/>
      <c r="AY909" s="551"/>
      <c r="AZ909" s="551"/>
      <c r="BA909" s="551"/>
      <c r="BB909" s="551"/>
      <c r="BC909" s="551"/>
      <c r="BD909" s="551"/>
      <c r="BE909" s="551"/>
      <c r="BF909" s="551"/>
    </row>
    <row r="910" spans="1:58" ht="12.75" customHeight="1">
      <c r="A910" s="551"/>
      <c r="B910" s="551"/>
      <c r="C910" s="551"/>
      <c r="D910" s="551"/>
      <c r="E910" s="551"/>
      <c r="F910" s="551"/>
      <c r="G910" s="551"/>
      <c r="H910" s="551"/>
      <c r="I910" s="551"/>
      <c r="J910" s="551"/>
      <c r="K910" s="551"/>
      <c r="L910" s="551"/>
      <c r="M910" s="551"/>
      <c r="N910" s="551"/>
      <c r="O910" s="551"/>
      <c r="P910" s="551"/>
      <c r="Q910" s="551"/>
      <c r="R910" s="551"/>
      <c r="S910" s="551"/>
      <c r="T910" s="551"/>
      <c r="U910" s="551"/>
      <c r="V910" s="551"/>
      <c r="W910" s="551"/>
      <c r="X910" s="551"/>
      <c r="Y910" s="551"/>
      <c r="Z910" s="551"/>
      <c r="AA910" s="551"/>
      <c r="AB910" s="551"/>
      <c r="AC910" s="551"/>
      <c r="AD910" s="551"/>
      <c r="AE910" s="551"/>
      <c r="AF910" s="551"/>
      <c r="AG910" s="551"/>
      <c r="AH910" s="551"/>
      <c r="AI910" s="551"/>
      <c r="AJ910" s="551"/>
      <c r="AK910" s="551"/>
      <c r="AL910" s="551"/>
      <c r="AM910" s="551"/>
      <c r="AN910" s="551"/>
      <c r="AO910" s="551"/>
      <c r="AP910" s="551"/>
      <c r="AQ910" s="551"/>
      <c r="AR910" s="551"/>
      <c r="AS910" s="551"/>
      <c r="AT910" s="551"/>
      <c r="AU910" s="551"/>
      <c r="AV910" s="551"/>
      <c r="AW910" s="551"/>
      <c r="AX910" s="551"/>
      <c r="AY910" s="551"/>
      <c r="AZ910" s="551"/>
      <c r="BA910" s="551"/>
      <c r="BB910" s="551"/>
      <c r="BC910" s="551"/>
      <c r="BD910" s="551"/>
      <c r="BE910" s="551"/>
      <c r="BF910" s="551"/>
    </row>
    <row r="911" spans="1:58" ht="12.75" customHeight="1">
      <c r="A911" s="551"/>
      <c r="B911" s="551"/>
      <c r="C911" s="551"/>
      <c r="D911" s="551"/>
      <c r="E911" s="551"/>
      <c r="F911" s="551"/>
      <c r="G911" s="551"/>
      <c r="H911" s="551"/>
      <c r="I911" s="551"/>
      <c r="J911" s="551"/>
      <c r="K911" s="551"/>
      <c r="L911" s="551"/>
      <c r="M911" s="551"/>
      <c r="N911" s="551"/>
      <c r="O911" s="551"/>
      <c r="P911" s="551"/>
      <c r="Q911" s="551"/>
      <c r="R911" s="551"/>
      <c r="S911" s="551"/>
      <c r="T911" s="551"/>
      <c r="U911" s="551"/>
      <c r="V911" s="551"/>
      <c r="W911" s="551"/>
      <c r="X911" s="551"/>
      <c r="Y911" s="551"/>
      <c r="Z911" s="551"/>
      <c r="AA911" s="551"/>
      <c r="AB911" s="551"/>
      <c r="AC911" s="551"/>
      <c r="AD911" s="551"/>
      <c r="AE911" s="551"/>
      <c r="AF911" s="551"/>
      <c r="AG911" s="551"/>
      <c r="AH911" s="551"/>
      <c r="AI911" s="551"/>
      <c r="AJ911" s="551"/>
      <c r="AK911" s="551"/>
      <c r="AL911" s="551"/>
      <c r="AM911" s="551"/>
      <c r="AN911" s="551"/>
      <c r="AO911" s="551"/>
      <c r="AP911" s="551"/>
      <c r="AQ911" s="551"/>
      <c r="AR911" s="551"/>
      <c r="AS911" s="551"/>
      <c r="AT911" s="551"/>
      <c r="AU911" s="551"/>
      <c r="AV911" s="551"/>
      <c r="AW911" s="551"/>
      <c r="AX911" s="551"/>
      <c r="AY911" s="551"/>
      <c r="AZ911" s="551"/>
      <c r="BA911" s="551"/>
      <c r="BB911" s="551"/>
      <c r="BC911" s="551"/>
      <c r="BD911" s="551"/>
      <c r="BE911" s="551"/>
      <c r="BF911" s="551"/>
    </row>
    <row r="912" spans="1:58" ht="12.75" customHeight="1">
      <c r="A912" s="551"/>
      <c r="B912" s="551"/>
      <c r="C912" s="551"/>
      <c r="D912" s="551"/>
      <c r="E912" s="551"/>
      <c r="F912" s="551"/>
      <c r="G912" s="551"/>
      <c r="H912" s="551"/>
      <c r="I912" s="551"/>
      <c r="J912" s="551"/>
      <c r="K912" s="551"/>
      <c r="L912" s="551"/>
      <c r="M912" s="551"/>
      <c r="N912" s="551"/>
      <c r="O912" s="551"/>
      <c r="P912" s="551"/>
      <c r="Q912" s="551"/>
      <c r="R912" s="551"/>
      <c r="S912" s="551"/>
      <c r="T912" s="551"/>
      <c r="U912" s="551"/>
      <c r="V912" s="551"/>
      <c r="W912" s="551"/>
      <c r="X912" s="551"/>
      <c r="Y912" s="551"/>
      <c r="Z912" s="551"/>
      <c r="AA912" s="551"/>
      <c r="AB912" s="551"/>
      <c r="AC912" s="551"/>
      <c r="AD912" s="551"/>
      <c r="AE912" s="551"/>
      <c r="AF912" s="551"/>
      <c r="AG912" s="551"/>
      <c r="AH912" s="551"/>
      <c r="AI912" s="551"/>
      <c r="AJ912" s="551"/>
      <c r="AK912" s="551"/>
      <c r="AL912" s="551"/>
      <c r="AM912" s="551"/>
      <c r="AN912" s="551"/>
      <c r="AO912" s="551"/>
      <c r="AP912" s="551"/>
      <c r="AQ912" s="551"/>
      <c r="AR912" s="551"/>
      <c r="AS912" s="551"/>
      <c r="AT912" s="551"/>
      <c r="AU912" s="551"/>
      <c r="AV912" s="551"/>
      <c r="AW912" s="551"/>
      <c r="AX912" s="551"/>
      <c r="AY912" s="551"/>
      <c r="AZ912" s="551"/>
      <c r="BA912" s="551"/>
      <c r="BB912" s="551"/>
      <c r="BC912" s="551"/>
      <c r="BD912" s="551"/>
      <c r="BE912" s="551"/>
      <c r="BF912" s="551"/>
    </row>
    <row r="913" spans="1:58" ht="12.75" customHeight="1">
      <c r="A913" s="551"/>
      <c r="B913" s="551"/>
      <c r="C913" s="551"/>
      <c r="D913" s="551"/>
      <c r="E913" s="551"/>
      <c r="F913" s="551"/>
      <c r="G913" s="551"/>
      <c r="H913" s="551"/>
      <c r="I913" s="551"/>
      <c r="J913" s="551"/>
      <c r="K913" s="551"/>
      <c r="L913" s="551"/>
      <c r="M913" s="551"/>
      <c r="N913" s="551"/>
      <c r="O913" s="551"/>
      <c r="P913" s="551"/>
      <c r="Q913" s="551"/>
      <c r="R913" s="551"/>
      <c r="S913" s="551"/>
      <c r="T913" s="551"/>
      <c r="U913" s="551"/>
      <c r="V913" s="551"/>
      <c r="W913" s="551"/>
      <c r="X913" s="551"/>
      <c r="Y913" s="551"/>
      <c r="Z913" s="551"/>
      <c r="AA913" s="551"/>
      <c r="AB913" s="551"/>
      <c r="AC913" s="551"/>
      <c r="AD913" s="551"/>
      <c r="AE913" s="551"/>
      <c r="AF913" s="551"/>
      <c r="AG913" s="551"/>
      <c r="AH913" s="551"/>
      <c r="AI913" s="551"/>
      <c r="AJ913" s="551"/>
      <c r="AK913" s="551"/>
      <c r="AL913" s="551"/>
      <c r="AM913" s="551"/>
      <c r="AN913" s="551"/>
      <c r="AO913" s="551"/>
      <c r="AP913" s="551"/>
      <c r="AQ913" s="551"/>
      <c r="AR913" s="551"/>
      <c r="AS913" s="551"/>
      <c r="AT913" s="551"/>
      <c r="AU913" s="551"/>
      <c r="AV913" s="551"/>
      <c r="AW913" s="551"/>
      <c r="AX913" s="551"/>
      <c r="AY913" s="551"/>
      <c r="AZ913" s="551"/>
      <c r="BA913" s="551"/>
      <c r="BB913" s="551"/>
      <c r="BC913" s="551"/>
      <c r="BD913" s="551"/>
      <c r="BE913" s="551"/>
      <c r="BF913" s="551"/>
    </row>
    <row r="914" spans="1:58" ht="12.75" customHeight="1">
      <c r="A914" s="551"/>
      <c r="B914" s="551"/>
      <c r="C914" s="551"/>
      <c r="D914" s="551"/>
      <c r="E914" s="551"/>
      <c r="F914" s="551"/>
      <c r="G914" s="551"/>
      <c r="H914" s="551"/>
      <c r="I914" s="551"/>
      <c r="J914" s="551"/>
      <c r="K914" s="551"/>
      <c r="L914" s="551"/>
      <c r="M914" s="551"/>
      <c r="N914" s="551"/>
      <c r="O914" s="551"/>
      <c r="P914" s="551"/>
      <c r="Q914" s="551"/>
      <c r="R914" s="551"/>
      <c r="S914" s="551"/>
      <c r="T914" s="551"/>
      <c r="U914" s="551"/>
      <c r="V914" s="551"/>
      <c r="W914" s="551"/>
      <c r="X914" s="551"/>
      <c r="Y914" s="551"/>
      <c r="Z914" s="551"/>
      <c r="AA914" s="551"/>
      <c r="AB914" s="551"/>
      <c r="AC914" s="551"/>
      <c r="AD914" s="551"/>
      <c r="AE914" s="551"/>
      <c r="AF914" s="551"/>
      <c r="AG914" s="551"/>
      <c r="AH914" s="551"/>
      <c r="AI914" s="551"/>
      <c r="AJ914" s="551"/>
      <c r="AK914" s="551"/>
      <c r="AL914" s="551"/>
      <c r="AM914" s="551"/>
      <c r="AN914" s="551"/>
      <c r="AO914" s="551"/>
      <c r="AP914" s="551"/>
      <c r="AQ914" s="551"/>
      <c r="AR914" s="551"/>
      <c r="AS914" s="551"/>
      <c r="AT914" s="551"/>
      <c r="AU914" s="551"/>
      <c r="AV914" s="551"/>
      <c r="AW914" s="551"/>
      <c r="AX914" s="551"/>
      <c r="AY914" s="551"/>
      <c r="AZ914" s="551"/>
      <c r="BA914" s="551"/>
      <c r="BB914" s="551"/>
      <c r="BC914" s="551"/>
      <c r="BD914" s="551"/>
      <c r="BE914" s="551"/>
      <c r="BF914" s="551"/>
    </row>
    <row r="915" spans="1:58" ht="12.75" customHeight="1">
      <c r="A915" s="551"/>
      <c r="B915" s="551"/>
      <c r="C915" s="551"/>
      <c r="D915" s="551"/>
      <c r="E915" s="551"/>
      <c r="F915" s="551"/>
      <c r="G915" s="551"/>
      <c r="H915" s="551"/>
      <c r="I915" s="551"/>
      <c r="J915" s="551"/>
      <c r="K915" s="551"/>
      <c r="L915" s="551"/>
      <c r="M915" s="551"/>
      <c r="N915" s="551"/>
      <c r="O915" s="551"/>
      <c r="P915" s="551"/>
      <c r="Q915" s="551"/>
      <c r="R915" s="551"/>
      <c r="S915" s="551"/>
      <c r="T915" s="551"/>
      <c r="U915" s="551"/>
      <c r="V915" s="551"/>
      <c r="W915" s="551"/>
      <c r="X915" s="551"/>
      <c r="Y915" s="551"/>
      <c r="Z915" s="551"/>
      <c r="AA915" s="551"/>
      <c r="AB915" s="551"/>
      <c r="AC915" s="551"/>
      <c r="AD915" s="551"/>
      <c r="AE915" s="551"/>
      <c r="AF915" s="551"/>
      <c r="AG915" s="551"/>
      <c r="AH915" s="551"/>
      <c r="AI915" s="551"/>
      <c r="AJ915" s="551"/>
      <c r="AK915" s="551"/>
      <c r="AL915" s="551"/>
      <c r="AM915" s="551"/>
      <c r="AN915" s="551"/>
      <c r="AO915" s="551"/>
      <c r="AP915" s="551"/>
      <c r="AQ915" s="551"/>
      <c r="AR915" s="551"/>
      <c r="AS915" s="551"/>
      <c r="AT915" s="551"/>
      <c r="AU915" s="551"/>
      <c r="AV915" s="551"/>
      <c r="AW915" s="551"/>
      <c r="AX915" s="551"/>
      <c r="AY915" s="551"/>
      <c r="AZ915" s="551"/>
      <c r="BA915" s="551"/>
      <c r="BB915" s="551"/>
      <c r="BC915" s="551"/>
      <c r="BD915" s="551"/>
      <c r="BE915" s="551"/>
      <c r="BF915" s="551"/>
    </row>
    <row r="916" spans="1:58" ht="12.75" customHeight="1">
      <c r="A916" s="551"/>
      <c r="B916" s="551"/>
      <c r="C916" s="551"/>
      <c r="D916" s="551"/>
      <c r="E916" s="551"/>
      <c r="F916" s="551"/>
      <c r="G916" s="551"/>
      <c r="H916" s="551"/>
      <c r="I916" s="551"/>
      <c r="J916" s="551"/>
      <c r="K916" s="551"/>
      <c r="L916" s="551"/>
      <c r="M916" s="551"/>
      <c r="N916" s="551"/>
      <c r="O916" s="551"/>
      <c r="P916" s="551"/>
      <c r="Q916" s="551"/>
      <c r="R916" s="551"/>
      <c r="S916" s="551"/>
      <c r="T916" s="551"/>
      <c r="U916" s="551"/>
      <c r="V916" s="551"/>
      <c r="W916" s="551"/>
      <c r="X916" s="551"/>
      <c r="Y916" s="551"/>
      <c r="Z916" s="551"/>
      <c r="AA916" s="551"/>
      <c r="AB916" s="551"/>
      <c r="AC916" s="551"/>
      <c r="AD916" s="551"/>
      <c r="AE916" s="551"/>
      <c r="AF916" s="551"/>
      <c r="AG916" s="551"/>
      <c r="AH916" s="551"/>
      <c r="AI916" s="551"/>
      <c r="AJ916" s="551"/>
      <c r="AK916" s="551"/>
      <c r="AL916" s="551"/>
      <c r="AM916" s="551"/>
      <c r="AN916" s="551"/>
      <c r="AO916" s="551"/>
      <c r="AP916" s="551"/>
      <c r="AQ916" s="551"/>
      <c r="AR916" s="551"/>
      <c r="AS916" s="551"/>
      <c r="AT916" s="551"/>
      <c r="AU916" s="551"/>
      <c r="AV916" s="551"/>
      <c r="AW916" s="551"/>
      <c r="AX916" s="551"/>
      <c r="AY916" s="551"/>
      <c r="AZ916" s="551"/>
      <c r="BA916" s="551"/>
      <c r="BB916" s="551"/>
      <c r="BC916" s="551"/>
      <c r="BD916" s="551"/>
      <c r="BE916" s="551"/>
      <c r="BF916" s="551"/>
    </row>
    <row r="917" spans="1:58" ht="12.75" customHeight="1">
      <c r="A917" s="551"/>
      <c r="B917" s="551"/>
      <c r="C917" s="551"/>
      <c r="D917" s="551"/>
      <c r="E917" s="551"/>
      <c r="F917" s="551"/>
      <c r="G917" s="551"/>
      <c r="H917" s="551"/>
      <c r="I917" s="551"/>
      <c r="J917" s="551"/>
      <c r="K917" s="551"/>
      <c r="L917" s="551"/>
      <c r="M917" s="551"/>
      <c r="N917" s="551"/>
      <c r="O917" s="551"/>
      <c r="P917" s="551"/>
      <c r="Q917" s="551"/>
      <c r="R917" s="551"/>
      <c r="S917" s="551"/>
      <c r="T917" s="551"/>
      <c r="U917" s="551"/>
      <c r="V917" s="551"/>
      <c r="W917" s="551"/>
      <c r="X917" s="551"/>
      <c r="Y917" s="551"/>
      <c r="Z917" s="551"/>
      <c r="AA917" s="551"/>
      <c r="AB917" s="551"/>
      <c r="AC917" s="551"/>
      <c r="AD917" s="551"/>
      <c r="AE917" s="551"/>
      <c r="AF917" s="551"/>
      <c r="AG917" s="551"/>
      <c r="AH917" s="551"/>
      <c r="AI917" s="551"/>
      <c r="AJ917" s="551"/>
      <c r="AK917" s="551"/>
      <c r="AL917" s="551"/>
      <c r="AM917" s="551"/>
      <c r="AN917" s="551"/>
      <c r="AO917" s="551"/>
      <c r="AP917" s="551"/>
      <c r="AQ917" s="551"/>
      <c r="AR917" s="551"/>
      <c r="AS917" s="551"/>
      <c r="AT917" s="551"/>
      <c r="AU917" s="551"/>
      <c r="AV917" s="551"/>
      <c r="AW917" s="551"/>
      <c r="AX917" s="551"/>
      <c r="AY917" s="551"/>
      <c r="AZ917" s="551"/>
      <c r="BA917" s="551"/>
      <c r="BB917" s="551"/>
      <c r="BC917" s="551"/>
      <c r="BD917" s="551"/>
      <c r="BE917" s="551"/>
      <c r="BF917" s="551"/>
    </row>
    <row r="918" spans="1:58" ht="12.75" customHeight="1">
      <c r="A918" s="551"/>
      <c r="B918" s="551"/>
      <c r="C918" s="551"/>
      <c r="D918" s="551"/>
      <c r="E918" s="551"/>
      <c r="F918" s="551"/>
      <c r="G918" s="551"/>
      <c r="H918" s="551"/>
      <c r="I918" s="551"/>
      <c r="J918" s="551"/>
      <c r="K918" s="551"/>
      <c r="L918" s="551"/>
      <c r="M918" s="551"/>
      <c r="N918" s="551"/>
      <c r="O918" s="551"/>
      <c r="P918" s="551"/>
      <c r="Q918" s="551"/>
      <c r="R918" s="551"/>
      <c r="S918" s="551"/>
      <c r="T918" s="551"/>
      <c r="U918" s="551"/>
      <c r="V918" s="551"/>
      <c r="W918" s="551"/>
      <c r="X918" s="551"/>
      <c r="Y918" s="551"/>
      <c r="Z918" s="551"/>
      <c r="AA918" s="551"/>
      <c r="AB918" s="551"/>
      <c r="AC918" s="551"/>
      <c r="AD918" s="551"/>
      <c r="AE918" s="551"/>
      <c r="AF918" s="551"/>
      <c r="AG918" s="551"/>
      <c r="AH918" s="551"/>
      <c r="AI918" s="551"/>
      <c r="AJ918" s="551"/>
      <c r="AK918" s="551"/>
      <c r="AL918" s="551"/>
      <c r="AM918" s="551"/>
      <c r="AN918" s="551"/>
      <c r="AO918" s="551"/>
      <c r="AP918" s="551"/>
      <c r="AQ918" s="551"/>
      <c r="AR918" s="551"/>
      <c r="AS918" s="551"/>
      <c r="AT918" s="551"/>
      <c r="AU918" s="551"/>
      <c r="AV918" s="551"/>
      <c r="AW918" s="551"/>
      <c r="AX918" s="551"/>
      <c r="AY918" s="551"/>
      <c r="AZ918" s="551"/>
      <c r="BA918" s="551"/>
      <c r="BB918" s="551"/>
      <c r="BC918" s="551"/>
      <c r="BD918" s="551"/>
      <c r="BE918" s="551"/>
      <c r="BF918" s="551"/>
    </row>
    <row r="919" spans="1:58" ht="12.75" customHeight="1">
      <c r="A919" s="551"/>
      <c r="B919" s="551"/>
      <c r="C919" s="551"/>
      <c r="D919" s="551"/>
      <c r="E919" s="551"/>
      <c r="F919" s="551"/>
      <c r="G919" s="551"/>
      <c r="H919" s="551"/>
      <c r="I919" s="551"/>
      <c r="J919" s="551"/>
      <c r="K919" s="551"/>
      <c r="L919" s="551"/>
      <c r="M919" s="551"/>
      <c r="N919" s="551"/>
      <c r="O919" s="551"/>
      <c r="P919" s="551"/>
      <c r="Q919" s="551"/>
      <c r="R919" s="551"/>
      <c r="S919" s="551"/>
      <c r="T919" s="551"/>
      <c r="U919" s="551"/>
      <c r="V919" s="551"/>
      <c r="W919" s="551"/>
      <c r="X919" s="551"/>
      <c r="Y919" s="551"/>
      <c r="Z919" s="551"/>
      <c r="AA919" s="551"/>
      <c r="AB919" s="551"/>
      <c r="AC919" s="551"/>
      <c r="AD919" s="551"/>
      <c r="AE919" s="551"/>
      <c r="AF919" s="551"/>
      <c r="AG919" s="551"/>
      <c r="AH919" s="551"/>
      <c r="AI919" s="551"/>
      <c r="AJ919" s="551"/>
      <c r="AK919" s="551"/>
      <c r="AL919" s="551"/>
      <c r="AM919" s="551"/>
      <c r="AN919" s="551"/>
      <c r="AO919" s="551"/>
      <c r="AP919" s="551"/>
      <c r="AQ919" s="551"/>
      <c r="AR919" s="551"/>
      <c r="AS919" s="551"/>
      <c r="AT919" s="551"/>
      <c r="AU919" s="551"/>
      <c r="AV919" s="551"/>
      <c r="AW919" s="551"/>
      <c r="AX919" s="551"/>
      <c r="AY919" s="551"/>
      <c r="AZ919" s="551"/>
      <c r="BA919" s="551"/>
      <c r="BB919" s="551"/>
      <c r="BC919" s="551"/>
      <c r="BD919" s="551"/>
      <c r="BE919" s="551"/>
      <c r="BF919" s="551"/>
    </row>
    <row r="920" spans="1:58" ht="12.75" customHeight="1">
      <c r="A920" s="551"/>
      <c r="B920" s="551"/>
      <c r="C920" s="551"/>
      <c r="D920" s="551"/>
      <c r="E920" s="551"/>
      <c r="F920" s="551"/>
      <c r="G920" s="551"/>
      <c r="H920" s="551"/>
      <c r="I920" s="551"/>
      <c r="J920" s="551"/>
      <c r="K920" s="551"/>
      <c r="L920" s="551"/>
      <c r="M920" s="551"/>
      <c r="N920" s="551"/>
      <c r="O920" s="551"/>
      <c r="P920" s="551"/>
      <c r="Q920" s="551"/>
      <c r="R920" s="551"/>
      <c r="S920" s="551"/>
      <c r="T920" s="551"/>
      <c r="U920" s="551"/>
      <c r="V920" s="551"/>
      <c r="W920" s="551"/>
      <c r="X920" s="551"/>
      <c r="Y920" s="551"/>
      <c r="Z920" s="551"/>
      <c r="AA920" s="551"/>
      <c r="AB920" s="551"/>
      <c r="AC920" s="551"/>
      <c r="AD920" s="551"/>
      <c r="AE920" s="551"/>
      <c r="AF920" s="551"/>
      <c r="AG920" s="551"/>
      <c r="AH920" s="551"/>
      <c r="AI920" s="551"/>
      <c r="AJ920" s="551"/>
      <c r="AK920" s="551"/>
      <c r="AL920" s="551"/>
      <c r="AM920" s="551"/>
      <c r="AN920" s="551"/>
      <c r="AO920" s="551"/>
      <c r="AP920" s="551"/>
      <c r="AQ920" s="551"/>
      <c r="AR920" s="551"/>
      <c r="AS920" s="551"/>
      <c r="AT920" s="551"/>
      <c r="AU920" s="551"/>
      <c r="AV920" s="551"/>
      <c r="AW920" s="551"/>
      <c r="AX920" s="551"/>
      <c r="AY920" s="551"/>
      <c r="AZ920" s="551"/>
      <c r="BA920" s="551"/>
      <c r="BB920" s="551"/>
      <c r="BC920" s="551"/>
      <c r="BD920" s="551"/>
      <c r="BE920" s="551"/>
      <c r="BF920" s="551"/>
    </row>
    <row r="921" spans="1:58" ht="12.75" customHeight="1">
      <c r="A921" s="551"/>
      <c r="B921" s="551"/>
      <c r="C921" s="551"/>
      <c r="D921" s="551"/>
      <c r="E921" s="551"/>
      <c r="F921" s="551"/>
      <c r="G921" s="551"/>
      <c r="H921" s="551"/>
      <c r="I921" s="551"/>
      <c r="J921" s="551"/>
      <c r="K921" s="551"/>
      <c r="L921" s="551"/>
      <c r="M921" s="551"/>
      <c r="N921" s="551"/>
      <c r="O921" s="551"/>
      <c r="P921" s="551"/>
      <c r="Q921" s="551"/>
      <c r="R921" s="551"/>
      <c r="S921" s="551"/>
      <c r="T921" s="551"/>
      <c r="U921" s="551"/>
      <c r="V921" s="551"/>
      <c r="W921" s="551"/>
      <c r="X921" s="551"/>
      <c r="Y921" s="551"/>
      <c r="Z921" s="551"/>
      <c r="AA921" s="551"/>
      <c r="AB921" s="551"/>
      <c r="AC921" s="551"/>
      <c r="AD921" s="551"/>
      <c r="AE921" s="551"/>
      <c r="AF921" s="551"/>
      <c r="AG921" s="551"/>
      <c r="AH921" s="551"/>
      <c r="AI921" s="551"/>
      <c r="AJ921" s="551"/>
      <c r="AK921" s="551"/>
      <c r="AL921" s="551"/>
      <c r="AM921" s="551"/>
      <c r="AN921" s="551"/>
      <c r="AO921" s="551"/>
      <c r="AP921" s="551"/>
      <c r="AQ921" s="551"/>
      <c r="AR921" s="551"/>
      <c r="AS921" s="551"/>
      <c r="AT921" s="551"/>
      <c r="AU921" s="551"/>
      <c r="AV921" s="551"/>
      <c r="AW921" s="551"/>
      <c r="AX921" s="551"/>
      <c r="AY921" s="551"/>
      <c r="AZ921" s="551"/>
      <c r="BA921" s="551"/>
      <c r="BB921" s="551"/>
      <c r="BC921" s="551"/>
      <c r="BD921" s="551"/>
      <c r="BE921" s="551"/>
      <c r="BF921" s="551"/>
    </row>
    <row r="922" spans="1:58" ht="12.75" customHeight="1">
      <c r="A922" s="551"/>
      <c r="B922" s="551"/>
      <c r="C922" s="551"/>
      <c r="D922" s="551"/>
      <c r="E922" s="551"/>
      <c r="F922" s="551"/>
      <c r="G922" s="551"/>
      <c r="H922" s="551"/>
      <c r="I922" s="551"/>
      <c r="J922" s="551"/>
      <c r="K922" s="551"/>
      <c r="L922" s="551"/>
      <c r="M922" s="551"/>
      <c r="N922" s="551"/>
      <c r="O922" s="551"/>
      <c r="P922" s="551"/>
      <c r="Q922" s="551"/>
      <c r="R922" s="551"/>
      <c r="S922" s="551"/>
      <c r="T922" s="551"/>
      <c r="U922" s="551"/>
      <c r="V922" s="551"/>
      <c r="W922" s="551"/>
      <c r="X922" s="551"/>
      <c r="Y922" s="551"/>
      <c r="Z922" s="551"/>
      <c r="AA922" s="551"/>
      <c r="AB922" s="551"/>
      <c r="AC922" s="551"/>
      <c r="AD922" s="551"/>
      <c r="AE922" s="551"/>
      <c r="AF922" s="551"/>
      <c r="AG922" s="551"/>
      <c r="AH922" s="551"/>
      <c r="AI922" s="551"/>
      <c r="AJ922" s="551"/>
      <c r="AK922" s="551"/>
      <c r="AL922" s="551"/>
      <c r="AM922" s="551"/>
      <c r="AN922" s="551"/>
      <c r="AO922" s="551"/>
      <c r="AP922" s="551"/>
      <c r="AQ922" s="551"/>
      <c r="AR922" s="551"/>
      <c r="AS922" s="551"/>
      <c r="AT922" s="551"/>
      <c r="AU922" s="551"/>
      <c r="AV922" s="551"/>
      <c r="AW922" s="551"/>
      <c r="AX922" s="551"/>
      <c r="AY922" s="551"/>
      <c r="AZ922" s="551"/>
      <c r="BA922" s="551"/>
      <c r="BB922" s="551"/>
      <c r="BC922" s="551"/>
      <c r="BD922" s="551"/>
      <c r="BE922" s="551"/>
      <c r="BF922" s="551"/>
    </row>
    <row r="923" spans="1:58" ht="12.75" customHeight="1">
      <c r="A923" s="551"/>
      <c r="B923" s="551"/>
      <c r="C923" s="551"/>
      <c r="D923" s="551"/>
      <c r="E923" s="551"/>
      <c r="F923" s="551"/>
      <c r="G923" s="551"/>
      <c r="H923" s="551"/>
      <c r="I923" s="551"/>
      <c r="J923" s="551"/>
      <c r="K923" s="551"/>
      <c r="L923" s="551"/>
      <c r="M923" s="551"/>
      <c r="N923" s="551"/>
      <c r="O923" s="551"/>
      <c r="P923" s="551"/>
      <c r="Q923" s="551"/>
      <c r="R923" s="551"/>
      <c r="S923" s="551"/>
      <c r="T923" s="551"/>
      <c r="U923" s="551"/>
      <c r="V923" s="551"/>
      <c r="W923" s="551"/>
      <c r="X923" s="551"/>
      <c r="Y923" s="551"/>
      <c r="Z923" s="551"/>
      <c r="AA923" s="551"/>
      <c r="AB923" s="551"/>
      <c r="AC923" s="551"/>
      <c r="AD923" s="551"/>
      <c r="AE923" s="551"/>
      <c r="AF923" s="551"/>
      <c r="AG923" s="551"/>
      <c r="AH923" s="551"/>
      <c r="AI923" s="551"/>
      <c r="AJ923" s="551"/>
      <c r="AK923" s="551"/>
      <c r="AL923" s="551"/>
      <c r="AM923" s="551"/>
      <c r="AN923" s="551"/>
      <c r="AO923" s="551"/>
      <c r="AP923" s="551"/>
      <c r="AQ923" s="551"/>
      <c r="AR923" s="551"/>
      <c r="AS923" s="551"/>
      <c r="AT923" s="551"/>
      <c r="AU923" s="551"/>
      <c r="AV923" s="551"/>
      <c r="AW923" s="551"/>
      <c r="AX923" s="551"/>
      <c r="AY923" s="551"/>
      <c r="AZ923" s="551"/>
      <c r="BA923" s="551"/>
      <c r="BB923" s="551"/>
      <c r="BC923" s="551"/>
      <c r="BD923" s="551"/>
      <c r="BE923" s="551"/>
      <c r="BF923" s="551"/>
    </row>
    <row r="924" spans="1:58" ht="12.75" customHeight="1">
      <c r="A924" s="551"/>
      <c r="B924" s="551"/>
      <c r="C924" s="551"/>
      <c r="D924" s="551"/>
      <c r="E924" s="551"/>
      <c r="F924" s="551"/>
      <c r="G924" s="551"/>
      <c r="H924" s="551"/>
      <c r="I924" s="551"/>
      <c r="J924" s="551"/>
      <c r="K924" s="551"/>
      <c r="L924" s="551"/>
      <c r="M924" s="551"/>
      <c r="N924" s="551"/>
      <c r="O924" s="551"/>
      <c r="P924" s="551"/>
      <c r="Q924" s="551"/>
      <c r="R924" s="551"/>
      <c r="S924" s="551"/>
      <c r="T924" s="551"/>
      <c r="U924" s="551"/>
      <c r="V924" s="551"/>
      <c r="W924" s="551"/>
      <c r="X924" s="551"/>
      <c r="Y924" s="551"/>
      <c r="Z924" s="551"/>
      <c r="AA924" s="551"/>
      <c r="AB924" s="551"/>
      <c r="AC924" s="551"/>
      <c r="AD924" s="551"/>
      <c r="AE924" s="551"/>
      <c r="AF924" s="551"/>
      <c r="AG924" s="551"/>
      <c r="AH924" s="551"/>
      <c r="AI924" s="551"/>
      <c r="AJ924" s="551"/>
      <c r="AK924" s="551"/>
      <c r="AL924" s="551"/>
      <c r="AM924" s="551"/>
      <c r="AN924" s="551"/>
      <c r="AO924" s="551"/>
      <c r="AP924" s="551"/>
      <c r="AQ924" s="551"/>
      <c r="AR924" s="551"/>
      <c r="AS924" s="551"/>
      <c r="AT924" s="551"/>
      <c r="AU924" s="551"/>
      <c r="AV924" s="551"/>
      <c r="AW924" s="551"/>
      <c r="AX924" s="551"/>
      <c r="AY924" s="551"/>
      <c r="AZ924" s="551"/>
      <c r="BA924" s="551"/>
      <c r="BB924" s="551"/>
      <c r="BC924" s="551"/>
      <c r="BD924" s="551"/>
      <c r="BE924" s="551"/>
      <c r="BF924" s="551"/>
    </row>
    <row r="925" spans="1:58" ht="12.75" customHeight="1">
      <c r="A925" s="551"/>
      <c r="B925" s="551"/>
      <c r="C925" s="551"/>
      <c r="D925" s="551"/>
      <c r="E925" s="551"/>
      <c r="F925" s="551"/>
      <c r="G925" s="551"/>
      <c r="H925" s="551"/>
      <c r="I925" s="551"/>
      <c r="J925" s="551"/>
      <c r="K925" s="551"/>
      <c r="L925" s="551"/>
      <c r="M925" s="551"/>
      <c r="N925" s="551"/>
      <c r="O925" s="551"/>
      <c r="P925" s="551"/>
      <c r="Q925" s="551"/>
      <c r="R925" s="551"/>
      <c r="S925" s="551"/>
      <c r="T925" s="551"/>
      <c r="U925" s="551"/>
      <c r="V925" s="551"/>
      <c r="W925" s="551"/>
      <c r="X925" s="551"/>
      <c r="Y925" s="551"/>
      <c r="Z925" s="551"/>
      <c r="AA925" s="551"/>
      <c r="AB925" s="551"/>
      <c r="AC925" s="551"/>
      <c r="AD925" s="551"/>
      <c r="AE925" s="551"/>
      <c r="AF925" s="551"/>
      <c r="AG925" s="551"/>
      <c r="AH925" s="551"/>
      <c r="AI925" s="551"/>
      <c r="AJ925" s="551"/>
      <c r="AK925" s="551"/>
      <c r="AL925" s="551"/>
      <c r="AM925" s="551"/>
      <c r="AN925" s="551"/>
      <c r="AO925" s="551"/>
      <c r="AP925" s="551"/>
      <c r="AQ925" s="551"/>
      <c r="AR925" s="551"/>
      <c r="AS925" s="551"/>
      <c r="AT925" s="551"/>
      <c r="AU925" s="551"/>
      <c r="AV925" s="551"/>
      <c r="AW925" s="551"/>
      <c r="AX925" s="551"/>
      <c r="AY925" s="551"/>
      <c r="AZ925" s="551"/>
      <c r="BA925" s="551"/>
      <c r="BB925" s="551"/>
      <c r="BC925" s="551"/>
      <c r="BD925" s="551"/>
      <c r="BE925" s="551"/>
      <c r="BF925" s="551"/>
    </row>
    <row r="926" spans="1:58" ht="12.75" customHeight="1">
      <c r="A926" s="551"/>
      <c r="B926" s="551"/>
      <c r="C926" s="551"/>
      <c r="D926" s="551"/>
      <c r="E926" s="551"/>
      <c r="F926" s="551"/>
      <c r="G926" s="551"/>
      <c r="H926" s="551"/>
      <c r="I926" s="551"/>
      <c r="J926" s="551"/>
      <c r="K926" s="551"/>
      <c r="L926" s="551"/>
      <c r="M926" s="551"/>
      <c r="N926" s="551"/>
      <c r="O926" s="551"/>
      <c r="P926" s="551"/>
      <c r="Q926" s="551"/>
      <c r="R926" s="551"/>
      <c r="S926" s="551"/>
      <c r="T926" s="551"/>
      <c r="U926" s="551"/>
      <c r="V926" s="551"/>
      <c r="W926" s="551"/>
      <c r="X926" s="551"/>
      <c r="Y926" s="551"/>
      <c r="Z926" s="551"/>
      <c r="AA926" s="551"/>
      <c r="AB926" s="551"/>
      <c r="AC926" s="551"/>
      <c r="AD926" s="551"/>
      <c r="AE926" s="551"/>
      <c r="AF926" s="551"/>
      <c r="AG926" s="551"/>
      <c r="AH926" s="551"/>
      <c r="AI926" s="551"/>
      <c r="AJ926" s="551"/>
      <c r="AK926" s="551"/>
      <c r="AL926" s="551"/>
      <c r="AM926" s="551"/>
      <c r="AN926" s="551"/>
      <c r="AO926" s="551"/>
      <c r="AP926" s="551"/>
      <c r="AQ926" s="551"/>
      <c r="AR926" s="551"/>
      <c r="AS926" s="551"/>
      <c r="AT926" s="551"/>
      <c r="AU926" s="551"/>
      <c r="AV926" s="551"/>
      <c r="AW926" s="551"/>
      <c r="AX926" s="551"/>
      <c r="AY926" s="551"/>
      <c r="AZ926" s="551"/>
      <c r="BA926" s="551"/>
      <c r="BB926" s="551"/>
      <c r="BC926" s="551"/>
      <c r="BD926" s="551"/>
      <c r="BE926" s="551"/>
      <c r="BF926" s="551"/>
    </row>
    <row r="927" spans="1:58" ht="12.75" customHeight="1">
      <c r="A927" s="551"/>
      <c r="B927" s="551"/>
      <c r="C927" s="551"/>
      <c r="D927" s="551"/>
      <c r="E927" s="551"/>
      <c r="F927" s="551"/>
      <c r="G927" s="551"/>
      <c r="H927" s="551"/>
      <c r="I927" s="551"/>
      <c r="J927" s="551"/>
      <c r="K927" s="551"/>
      <c r="L927" s="551"/>
      <c r="M927" s="551"/>
      <c r="N927" s="551"/>
      <c r="O927" s="551"/>
      <c r="P927" s="551"/>
      <c r="Q927" s="551"/>
      <c r="R927" s="551"/>
      <c r="S927" s="551"/>
      <c r="T927" s="551"/>
      <c r="U927" s="551"/>
      <c r="V927" s="551"/>
      <c r="W927" s="551"/>
      <c r="X927" s="551"/>
      <c r="Y927" s="551"/>
      <c r="Z927" s="551"/>
      <c r="AA927" s="551"/>
      <c r="AB927" s="551"/>
      <c r="AC927" s="551"/>
      <c r="AD927" s="551"/>
      <c r="AE927" s="551"/>
      <c r="AF927" s="551"/>
      <c r="AG927" s="551"/>
      <c r="AH927" s="551"/>
      <c r="AI927" s="551"/>
      <c r="AJ927" s="551"/>
      <c r="AK927" s="551"/>
      <c r="AL927" s="551"/>
      <c r="AM927" s="551"/>
      <c r="AN927" s="551"/>
      <c r="AO927" s="551"/>
      <c r="AP927" s="551"/>
      <c r="AQ927" s="551"/>
      <c r="AR927" s="551"/>
      <c r="AS927" s="551"/>
      <c r="AT927" s="551"/>
      <c r="AU927" s="551"/>
      <c r="AV927" s="551"/>
      <c r="AW927" s="551"/>
      <c r="AX927" s="551"/>
      <c r="AY927" s="551"/>
      <c r="AZ927" s="551"/>
      <c r="BA927" s="551"/>
      <c r="BB927" s="551"/>
      <c r="BC927" s="551"/>
      <c r="BD927" s="551"/>
      <c r="BE927" s="551"/>
      <c r="BF927" s="551"/>
    </row>
    <row r="928" spans="1:58" ht="12.75" customHeight="1">
      <c r="A928" s="551"/>
      <c r="B928" s="551"/>
      <c r="C928" s="551"/>
      <c r="D928" s="551"/>
      <c r="E928" s="551"/>
      <c r="F928" s="551"/>
      <c r="G928" s="551"/>
      <c r="H928" s="551"/>
      <c r="I928" s="551"/>
      <c r="J928" s="551"/>
      <c r="K928" s="551"/>
      <c r="L928" s="551"/>
      <c r="M928" s="551"/>
      <c r="N928" s="551"/>
      <c r="O928" s="551"/>
      <c r="P928" s="551"/>
      <c r="Q928" s="551"/>
      <c r="R928" s="551"/>
      <c r="S928" s="551"/>
      <c r="T928" s="551"/>
      <c r="U928" s="551"/>
      <c r="V928" s="551"/>
      <c r="W928" s="551"/>
      <c r="X928" s="551"/>
      <c r="Y928" s="551"/>
      <c r="Z928" s="551"/>
      <c r="AA928" s="551"/>
      <c r="AB928" s="551"/>
      <c r="AC928" s="551"/>
      <c r="AD928" s="551"/>
      <c r="AE928" s="551"/>
      <c r="AF928" s="551"/>
      <c r="AG928" s="551"/>
      <c r="AH928" s="551"/>
      <c r="AI928" s="551"/>
      <c r="AJ928" s="551"/>
      <c r="AK928" s="551"/>
      <c r="AL928" s="551"/>
      <c r="AM928" s="551"/>
      <c r="AN928" s="551"/>
      <c r="AO928" s="551"/>
      <c r="AP928" s="551"/>
      <c r="AQ928" s="551"/>
      <c r="AR928" s="551"/>
      <c r="AS928" s="551"/>
      <c r="AT928" s="551"/>
      <c r="AU928" s="551"/>
      <c r="AV928" s="551"/>
      <c r="AW928" s="551"/>
      <c r="AX928" s="551"/>
      <c r="AY928" s="551"/>
      <c r="AZ928" s="551"/>
      <c r="BA928" s="551"/>
      <c r="BB928" s="551"/>
      <c r="BC928" s="551"/>
      <c r="BD928" s="551"/>
      <c r="BE928" s="551"/>
      <c r="BF928" s="551"/>
    </row>
    <row r="929" spans="1:58" ht="12.75" customHeight="1">
      <c r="A929" s="551"/>
      <c r="B929" s="551"/>
      <c r="C929" s="551"/>
      <c r="D929" s="551"/>
      <c r="E929" s="551"/>
      <c r="F929" s="551"/>
      <c r="G929" s="551"/>
      <c r="H929" s="551"/>
      <c r="I929" s="551"/>
      <c r="J929" s="551"/>
      <c r="K929" s="551"/>
      <c r="L929" s="551"/>
      <c r="M929" s="551"/>
      <c r="N929" s="551"/>
      <c r="O929" s="551"/>
      <c r="P929" s="551"/>
      <c r="Q929" s="551"/>
      <c r="R929" s="551"/>
      <c r="S929" s="551"/>
      <c r="T929" s="551"/>
      <c r="U929" s="551"/>
      <c r="V929" s="551"/>
      <c r="W929" s="551"/>
      <c r="X929" s="551"/>
      <c r="Y929" s="551"/>
      <c r="Z929" s="551"/>
      <c r="AA929" s="551"/>
      <c r="AB929" s="551"/>
      <c r="AC929" s="551"/>
      <c r="AD929" s="551"/>
      <c r="AE929" s="551"/>
      <c r="AF929" s="551"/>
      <c r="AG929" s="551"/>
      <c r="AH929" s="551"/>
      <c r="AI929" s="551"/>
      <c r="AJ929" s="551"/>
      <c r="AK929" s="551"/>
      <c r="AL929" s="551"/>
      <c r="AM929" s="551"/>
      <c r="AN929" s="551"/>
      <c r="AO929" s="551"/>
      <c r="AP929" s="551"/>
      <c r="AQ929" s="551"/>
      <c r="AR929" s="551"/>
      <c r="AS929" s="551"/>
      <c r="AT929" s="551"/>
      <c r="AU929" s="551"/>
      <c r="AV929" s="551"/>
      <c r="AW929" s="551"/>
      <c r="AX929" s="551"/>
      <c r="AY929" s="551"/>
      <c r="AZ929" s="551"/>
      <c r="BA929" s="551"/>
      <c r="BB929" s="551"/>
      <c r="BC929" s="551"/>
      <c r="BD929" s="551"/>
      <c r="BE929" s="551"/>
      <c r="BF929" s="551"/>
    </row>
    <row r="930" spans="1:58" ht="12.75" customHeight="1">
      <c r="A930" s="551"/>
      <c r="B930" s="551"/>
      <c r="C930" s="551"/>
      <c r="D930" s="551"/>
      <c r="E930" s="551"/>
      <c r="F930" s="551"/>
      <c r="G930" s="551"/>
      <c r="H930" s="551"/>
      <c r="I930" s="551"/>
      <c r="J930" s="551"/>
      <c r="K930" s="551"/>
      <c r="L930" s="551"/>
      <c r="M930" s="551"/>
      <c r="N930" s="551"/>
      <c r="O930" s="551"/>
      <c r="P930" s="551"/>
      <c r="Q930" s="551"/>
      <c r="R930" s="551"/>
      <c r="S930" s="551"/>
      <c r="T930" s="551"/>
      <c r="U930" s="551"/>
      <c r="V930" s="551"/>
      <c r="W930" s="551"/>
      <c r="X930" s="551"/>
      <c r="Y930" s="551"/>
      <c r="Z930" s="551"/>
      <c r="AA930" s="551"/>
      <c r="AB930" s="551"/>
      <c r="AC930" s="551"/>
      <c r="AD930" s="551"/>
      <c r="AE930" s="551"/>
      <c r="AF930" s="551"/>
      <c r="AG930" s="551"/>
      <c r="AH930" s="551"/>
      <c r="AI930" s="551"/>
      <c r="AJ930" s="551"/>
      <c r="AK930" s="551"/>
      <c r="AL930" s="551"/>
      <c r="AM930" s="551"/>
      <c r="AN930" s="551"/>
      <c r="AO930" s="551"/>
      <c r="AP930" s="551"/>
      <c r="AQ930" s="551"/>
      <c r="AR930" s="551"/>
      <c r="AS930" s="551"/>
      <c r="AT930" s="551"/>
      <c r="AU930" s="551"/>
      <c r="AV930" s="551"/>
      <c r="AW930" s="551"/>
      <c r="AX930" s="551"/>
      <c r="AY930" s="551"/>
      <c r="AZ930" s="551"/>
      <c r="BA930" s="551"/>
      <c r="BB930" s="551"/>
      <c r="BC930" s="551"/>
      <c r="BD930" s="551"/>
      <c r="BE930" s="551"/>
      <c r="BF930" s="551"/>
    </row>
    <row r="931" spans="1:58" ht="12.75" customHeight="1">
      <c r="A931" s="551"/>
      <c r="B931" s="551"/>
      <c r="C931" s="551"/>
      <c r="D931" s="551"/>
      <c r="E931" s="551"/>
      <c r="F931" s="551"/>
      <c r="G931" s="551"/>
      <c r="H931" s="551"/>
      <c r="I931" s="551"/>
      <c r="J931" s="551"/>
      <c r="K931" s="551"/>
      <c r="L931" s="551"/>
      <c r="M931" s="551"/>
      <c r="N931" s="551"/>
      <c r="O931" s="551"/>
      <c r="P931" s="551"/>
      <c r="Q931" s="551"/>
      <c r="R931" s="551"/>
      <c r="S931" s="551"/>
      <c r="T931" s="551"/>
      <c r="U931" s="551"/>
      <c r="V931" s="551"/>
      <c r="W931" s="551"/>
      <c r="X931" s="551"/>
      <c r="Y931" s="551"/>
      <c r="Z931" s="551"/>
      <c r="AA931" s="551"/>
      <c r="AB931" s="551"/>
      <c r="AC931" s="551"/>
      <c r="AD931" s="551"/>
      <c r="AE931" s="551"/>
      <c r="AF931" s="551"/>
      <c r="AG931" s="551"/>
      <c r="AH931" s="551"/>
      <c r="AI931" s="551"/>
      <c r="AJ931" s="551"/>
      <c r="AK931" s="551"/>
      <c r="AL931" s="551"/>
      <c r="AM931" s="551"/>
      <c r="AN931" s="551"/>
      <c r="AO931" s="551"/>
      <c r="AP931" s="551"/>
      <c r="AQ931" s="551"/>
      <c r="AR931" s="551"/>
      <c r="AS931" s="551"/>
      <c r="AT931" s="551"/>
      <c r="AU931" s="551"/>
      <c r="AV931" s="551"/>
      <c r="AW931" s="551"/>
      <c r="AX931" s="551"/>
      <c r="AY931" s="551"/>
      <c r="AZ931" s="551"/>
      <c r="BA931" s="551"/>
      <c r="BB931" s="551"/>
      <c r="BC931" s="551"/>
      <c r="BD931" s="551"/>
      <c r="BE931" s="551"/>
      <c r="BF931" s="551"/>
    </row>
    <row r="932" spans="1:58" ht="12.75" customHeight="1">
      <c r="A932" s="551"/>
      <c r="B932" s="551"/>
      <c r="C932" s="551"/>
      <c r="D932" s="551"/>
      <c r="E932" s="551"/>
      <c r="F932" s="551"/>
      <c r="G932" s="551"/>
      <c r="H932" s="551"/>
      <c r="I932" s="551"/>
      <c r="J932" s="551"/>
      <c r="K932" s="551"/>
      <c r="L932" s="551"/>
      <c r="M932" s="551"/>
      <c r="N932" s="551"/>
      <c r="O932" s="551"/>
      <c r="P932" s="551"/>
      <c r="Q932" s="551"/>
      <c r="R932" s="551"/>
      <c r="S932" s="551"/>
      <c r="T932" s="551"/>
      <c r="U932" s="551"/>
      <c r="V932" s="551"/>
      <c r="W932" s="551"/>
      <c r="X932" s="551"/>
      <c r="Y932" s="551"/>
      <c r="Z932" s="551"/>
      <c r="AA932" s="551"/>
      <c r="AB932" s="551"/>
      <c r="AC932" s="551"/>
      <c r="AD932" s="551"/>
      <c r="AE932" s="551"/>
      <c r="AF932" s="551"/>
      <c r="AG932" s="551"/>
      <c r="AH932" s="551"/>
      <c r="AI932" s="551"/>
      <c r="AJ932" s="551"/>
      <c r="AK932" s="551"/>
      <c r="AL932" s="551"/>
      <c r="AM932" s="551"/>
      <c r="AN932" s="551"/>
      <c r="AO932" s="551"/>
      <c r="AP932" s="551"/>
      <c r="AQ932" s="551"/>
      <c r="AR932" s="551"/>
      <c r="AS932" s="551"/>
      <c r="AT932" s="551"/>
      <c r="AU932" s="551"/>
      <c r="AV932" s="551"/>
      <c r="AW932" s="551"/>
      <c r="AX932" s="551"/>
      <c r="AY932" s="551"/>
      <c r="AZ932" s="551"/>
      <c r="BA932" s="551"/>
      <c r="BB932" s="551"/>
      <c r="BC932" s="551"/>
      <c r="BD932" s="551"/>
      <c r="BE932" s="551"/>
      <c r="BF932" s="551"/>
    </row>
    <row r="933" spans="1:58" ht="12.75" customHeight="1">
      <c r="A933" s="551"/>
      <c r="B933" s="551"/>
      <c r="C933" s="551"/>
      <c r="D933" s="551"/>
      <c r="E933" s="551"/>
      <c r="F933" s="551"/>
      <c r="G933" s="551"/>
      <c r="H933" s="551"/>
      <c r="I933" s="551"/>
      <c r="J933" s="551"/>
      <c r="K933" s="551"/>
      <c r="L933" s="551"/>
      <c r="M933" s="551"/>
      <c r="N933" s="551"/>
      <c r="O933" s="551"/>
      <c r="P933" s="551"/>
      <c r="Q933" s="551"/>
      <c r="R933" s="551"/>
      <c r="S933" s="551"/>
      <c r="T933" s="551"/>
      <c r="U933" s="551"/>
      <c r="V933" s="551"/>
      <c r="W933" s="551"/>
      <c r="X933" s="551"/>
      <c r="Y933" s="551"/>
      <c r="Z933" s="551"/>
      <c r="AA933" s="551"/>
      <c r="AB933" s="551"/>
      <c r="AC933" s="551"/>
      <c r="AD933" s="551"/>
      <c r="AE933" s="551"/>
      <c r="AF933" s="551"/>
      <c r="AG933" s="551"/>
      <c r="AH933" s="551"/>
      <c r="AI933" s="551"/>
      <c r="AJ933" s="551"/>
      <c r="AK933" s="551"/>
      <c r="AL933" s="551"/>
      <c r="AM933" s="551"/>
      <c r="AN933" s="551"/>
      <c r="AO933" s="551"/>
      <c r="AP933" s="551"/>
      <c r="AQ933" s="551"/>
      <c r="AR933" s="551"/>
      <c r="AS933" s="551"/>
      <c r="AT933" s="551"/>
      <c r="AU933" s="551"/>
      <c r="AV933" s="551"/>
      <c r="AW933" s="551"/>
      <c r="AX933" s="551"/>
      <c r="AY933" s="551"/>
      <c r="AZ933" s="551"/>
      <c r="BA933" s="551"/>
      <c r="BB933" s="551"/>
      <c r="BC933" s="551"/>
      <c r="BD933" s="551"/>
      <c r="BE933" s="551"/>
      <c r="BF933" s="551"/>
    </row>
    <row r="934" spans="1:58" ht="12.75" customHeight="1">
      <c r="A934" s="551"/>
      <c r="B934" s="551"/>
      <c r="C934" s="551"/>
      <c r="D934" s="551"/>
      <c r="E934" s="551"/>
      <c r="F934" s="551"/>
      <c r="G934" s="551"/>
      <c r="H934" s="551"/>
      <c r="I934" s="551"/>
      <c r="J934" s="551"/>
      <c r="K934" s="551"/>
      <c r="L934" s="551"/>
      <c r="M934" s="551"/>
      <c r="N934" s="551"/>
      <c r="O934" s="551"/>
      <c r="P934" s="551"/>
      <c r="Q934" s="551"/>
      <c r="R934" s="551"/>
      <c r="S934" s="551"/>
      <c r="T934" s="551"/>
      <c r="U934" s="551"/>
      <c r="V934" s="551"/>
      <c r="W934" s="551"/>
      <c r="X934" s="551"/>
      <c r="Y934" s="551"/>
      <c r="Z934" s="551"/>
      <c r="AA934" s="551"/>
      <c r="AB934" s="551"/>
      <c r="AC934" s="551"/>
      <c r="AD934" s="551"/>
      <c r="AE934" s="551"/>
      <c r="AF934" s="551"/>
      <c r="AG934" s="551"/>
      <c r="AH934" s="551"/>
      <c r="AI934" s="551"/>
      <c r="AJ934" s="551"/>
      <c r="AK934" s="551"/>
      <c r="AL934" s="551"/>
      <c r="AM934" s="551"/>
      <c r="AN934" s="551"/>
      <c r="AO934" s="551"/>
      <c r="AP934" s="551"/>
      <c r="AQ934" s="551"/>
      <c r="AR934" s="551"/>
      <c r="AS934" s="551"/>
      <c r="AT934" s="551"/>
      <c r="AU934" s="551"/>
      <c r="AV934" s="551"/>
      <c r="AW934" s="551"/>
      <c r="AX934" s="551"/>
      <c r="AY934" s="551"/>
      <c r="AZ934" s="551"/>
      <c r="BA934" s="551"/>
      <c r="BB934" s="551"/>
      <c r="BC934" s="551"/>
      <c r="BD934" s="551"/>
      <c r="BE934" s="551"/>
      <c r="BF934" s="551"/>
    </row>
    <row r="935" spans="1:58" ht="12.75" customHeight="1">
      <c r="A935" s="551"/>
      <c r="B935" s="551"/>
      <c r="C935" s="551"/>
      <c r="D935" s="551"/>
      <c r="E935" s="551"/>
      <c r="F935" s="551"/>
      <c r="G935" s="551"/>
      <c r="H935" s="551"/>
      <c r="I935" s="551"/>
      <c r="J935" s="551"/>
      <c r="K935" s="551"/>
      <c r="L935" s="551"/>
      <c r="M935" s="551"/>
      <c r="N935" s="551"/>
      <c r="O935" s="551"/>
      <c r="P935" s="551"/>
      <c r="Q935" s="551"/>
      <c r="R935" s="551"/>
      <c r="S935" s="551"/>
      <c r="T935" s="551"/>
      <c r="U935" s="551"/>
      <c r="V935" s="551"/>
      <c r="W935" s="551"/>
      <c r="X935" s="551"/>
      <c r="Y935" s="551"/>
      <c r="Z935" s="551"/>
      <c r="AA935" s="551"/>
      <c r="AB935" s="551"/>
      <c r="AC935" s="551"/>
      <c r="AD935" s="551"/>
      <c r="AE935" s="551"/>
      <c r="AF935" s="551"/>
      <c r="AG935" s="551"/>
      <c r="AH935" s="551"/>
      <c r="AI935" s="551"/>
      <c r="AJ935" s="551"/>
      <c r="AK935" s="551"/>
      <c r="AL935" s="551"/>
      <c r="AM935" s="551"/>
      <c r="AN935" s="551"/>
      <c r="AO935" s="551"/>
      <c r="AP935" s="551"/>
      <c r="AQ935" s="551"/>
      <c r="AR935" s="551"/>
      <c r="AS935" s="551"/>
      <c r="AT935" s="551"/>
      <c r="AU935" s="551"/>
      <c r="AV935" s="551"/>
      <c r="AW935" s="551"/>
      <c r="AX935" s="551"/>
      <c r="AY935" s="551"/>
      <c r="AZ935" s="551"/>
      <c r="BA935" s="551"/>
      <c r="BB935" s="551"/>
      <c r="BC935" s="551"/>
      <c r="BD935" s="551"/>
      <c r="BE935" s="551"/>
      <c r="BF935" s="551"/>
    </row>
    <row r="936" spans="1:58" ht="12.75" customHeight="1">
      <c r="A936" s="551"/>
      <c r="B936" s="551"/>
      <c r="C936" s="551"/>
      <c r="D936" s="551"/>
      <c r="E936" s="551"/>
      <c r="F936" s="551"/>
      <c r="G936" s="551"/>
      <c r="H936" s="551"/>
      <c r="I936" s="551"/>
      <c r="J936" s="551"/>
      <c r="K936" s="551"/>
      <c r="L936" s="551"/>
      <c r="M936" s="551"/>
      <c r="N936" s="551"/>
      <c r="O936" s="551"/>
      <c r="P936" s="551"/>
      <c r="Q936" s="551"/>
      <c r="R936" s="551"/>
      <c r="S936" s="551"/>
      <c r="T936" s="551"/>
      <c r="U936" s="551"/>
      <c r="V936" s="551"/>
      <c r="W936" s="551"/>
      <c r="X936" s="551"/>
      <c r="Y936" s="551"/>
      <c r="Z936" s="551"/>
      <c r="AA936" s="551"/>
      <c r="AB936" s="551"/>
      <c r="AC936" s="551"/>
      <c r="AD936" s="551"/>
      <c r="AE936" s="551"/>
      <c r="AF936" s="551"/>
      <c r="AG936" s="551"/>
      <c r="AH936" s="551"/>
      <c r="AI936" s="551"/>
      <c r="AJ936" s="551"/>
      <c r="AK936" s="551"/>
      <c r="AL936" s="551"/>
      <c r="AM936" s="551"/>
      <c r="AN936" s="551"/>
      <c r="AO936" s="551"/>
      <c r="AP936" s="551"/>
      <c r="AQ936" s="551"/>
      <c r="AR936" s="551"/>
      <c r="AS936" s="551"/>
      <c r="AT936" s="551"/>
      <c r="AU936" s="551"/>
      <c r="AV936" s="551"/>
      <c r="AW936" s="551"/>
      <c r="AX936" s="551"/>
      <c r="AY936" s="551"/>
      <c r="AZ936" s="551"/>
      <c r="BA936" s="551"/>
      <c r="BB936" s="551"/>
      <c r="BC936" s="551"/>
      <c r="BD936" s="551"/>
      <c r="BE936" s="551"/>
      <c r="BF936" s="551"/>
    </row>
    <row r="937" spans="1:58" ht="12.75" customHeight="1">
      <c r="A937" s="551"/>
      <c r="B937" s="551"/>
      <c r="C937" s="551"/>
      <c r="D937" s="551"/>
      <c r="E937" s="551"/>
      <c r="F937" s="551"/>
      <c r="G937" s="551"/>
      <c r="H937" s="551"/>
      <c r="I937" s="551"/>
      <c r="J937" s="551"/>
      <c r="K937" s="551"/>
      <c r="L937" s="551"/>
      <c r="M937" s="551"/>
      <c r="N937" s="551"/>
      <c r="O937" s="551"/>
      <c r="P937" s="551"/>
      <c r="Q937" s="551"/>
      <c r="R937" s="551"/>
      <c r="S937" s="551"/>
      <c r="T937" s="551"/>
      <c r="U937" s="551"/>
      <c r="V937" s="551"/>
      <c r="W937" s="551"/>
      <c r="X937" s="551"/>
      <c r="Y937" s="551"/>
      <c r="Z937" s="551"/>
      <c r="AA937" s="551"/>
      <c r="AB937" s="551"/>
      <c r="AC937" s="551"/>
      <c r="AD937" s="551"/>
      <c r="AE937" s="551"/>
      <c r="AF937" s="551"/>
      <c r="AG937" s="551"/>
      <c r="AH937" s="551"/>
      <c r="AI937" s="551"/>
      <c r="AJ937" s="551"/>
      <c r="AK937" s="551"/>
      <c r="AL937" s="551"/>
      <c r="AM937" s="551"/>
      <c r="AN937" s="551"/>
      <c r="AO937" s="551"/>
      <c r="AP937" s="551"/>
      <c r="AQ937" s="551"/>
      <c r="AR937" s="551"/>
      <c r="AS937" s="551"/>
      <c r="AT937" s="551"/>
      <c r="AU937" s="551"/>
      <c r="AV937" s="551"/>
      <c r="AW937" s="551"/>
      <c r="AX937" s="551"/>
      <c r="AY937" s="551"/>
      <c r="AZ937" s="551"/>
      <c r="BA937" s="551"/>
      <c r="BB937" s="551"/>
      <c r="BC937" s="551"/>
      <c r="BD937" s="551"/>
      <c r="BE937" s="551"/>
      <c r="BF937" s="551"/>
    </row>
    <row r="938" spans="1:58" ht="12.75" customHeight="1">
      <c r="A938" s="551"/>
      <c r="B938" s="551"/>
      <c r="C938" s="551"/>
      <c r="D938" s="551"/>
      <c r="E938" s="551"/>
      <c r="F938" s="551"/>
      <c r="G938" s="551"/>
      <c r="H938" s="551"/>
      <c r="I938" s="551"/>
      <c r="J938" s="551"/>
      <c r="K938" s="551"/>
      <c r="L938" s="551"/>
      <c r="M938" s="551"/>
      <c r="N938" s="551"/>
      <c r="O938" s="551"/>
      <c r="P938" s="551"/>
      <c r="Q938" s="551"/>
      <c r="R938" s="551"/>
      <c r="S938" s="551"/>
      <c r="T938" s="551"/>
      <c r="U938" s="551"/>
      <c r="V938" s="551"/>
      <c r="W938" s="551"/>
      <c r="X938" s="551"/>
      <c r="Y938" s="551"/>
      <c r="Z938" s="551"/>
      <c r="AA938" s="551"/>
      <c r="AB938" s="551"/>
      <c r="AC938" s="551"/>
      <c r="AD938" s="551"/>
      <c r="AE938" s="551"/>
      <c r="AF938" s="551"/>
      <c r="AG938" s="551"/>
      <c r="AH938" s="551"/>
      <c r="AI938" s="551"/>
      <c r="AJ938" s="551"/>
      <c r="AK938" s="551"/>
      <c r="AL938" s="551"/>
      <c r="AM938" s="551"/>
      <c r="AN938" s="551"/>
      <c r="AO938" s="551"/>
      <c r="AP938" s="551"/>
      <c r="AQ938" s="551"/>
      <c r="AR938" s="551"/>
      <c r="AS938" s="551"/>
      <c r="AT938" s="551"/>
      <c r="AU938" s="551"/>
      <c r="AV938" s="551"/>
      <c r="AW938" s="551"/>
      <c r="AX938" s="551"/>
      <c r="AY938" s="551"/>
      <c r="AZ938" s="551"/>
      <c r="BA938" s="551"/>
      <c r="BB938" s="551"/>
      <c r="BC938" s="551"/>
      <c r="BD938" s="551"/>
      <c r="BE938" s="551"/>
      <c r="BF938" s="551"/>
    </row>
    <row r="939" spans="1:58" ht="12.75" customHeight="1">
      <c r="A939" s="551"/>
      <c r="B939" s="551"/>
      <c r="C939" s="551"/>
      <c r="D939" s="551"/>
      <c r="E939" s="551"/>
      <c r="F939" s="551"/>
      <c r="G939" s="551"/>
      <c r="H939" s="551"/>
      <c r="I939" s="551"/>
      <c r="J939" s="551"/>
      <c r="K939" s="551"/>
      <c r="L939" s="551"/>
      <c r="M939" s="551"/>
      <c r="N939" s="551"/>
      <c r="O939" s="551"/>
      <c r="P939" s="551"/>
      <c r="Q939" s="551"/>
      <c r="R939" s="551"/>
      <c r="S939" s="551"/>
      <c r="T939" s="551"/>
      <c r="U939" s="551"/>
      <c r="V939" s="551"/>
      <c r="W939" s="551"/>
      <c r="X939" s="551"/>
      <c r="Y939" s="551"/>
      <c r="Z939" s="551"/>
      <c r="AA939" s="551"/>
      <c r="AB939" s="551"/>
      <c r="AC939" s="551"/>
      <c r="AD939" s="551"/>
      <c r="AE939" s="551"/>
      <c r="AF939" s="551"/>
      <c r="AG939" s="551"/>
      <c r="AH939" s="551"/>
      <c r="AI939" s="551"/>
      <c r="AJ939" s="551"/>
      <c r="AK939" s="551"/>
      <c r="AL939" s="551"/>
      <c r="AM939" s="551"/>
      <c r="AN939" s="551"/>
      <c r="AO939" s="551"/>
      <c r="AP939" s="551"/>
      <c r="AQ939" s="551"/>
      <c r="AR939" s="551"/>
      <c r="AS939" s="551"/>
      <c r="AT939" s="551"/>
      <c r="AU939" s="551"/>
      <c r="AV939" s="551"/>
      <c r="AW939" s="551"/>
      <c r="AX939" s="551"/>
      <c r="AY939" s="551"/>
      <c r="AZ939" s="551"/>
      <c r="BA939" s="551"/>
      <c r="BB939" s="551"/>
      <c r="BC939" s="551"/>
      <c r="BD939" s="551"/>
      <c r="BE939" s="551"/>
      <c r="BF939" s="551"/>
    </row>
    <row r="940" spans="1:58" ht="12.75" customHeight="1">
      <c r="A940" s="551"/>
      <c r="B940" s="551"/>
      <c r="C940" s="551"/>
      <c r="D940" s="551"/>
      <c r="E940" s="551"/>
      <c r="F940" s="551"/>
      <c r="G940" s="551"/>
      <c r="H940" s="551"/>
      <c r="I940" s="551"/>
      <c r="J940" s="551"/>
      <c r="K940" s="551"/>
      <c r="L940" s="551"/>
      <c r="M940" s="551"/>
      <c r="N940" s="551"/>
      <c r="O940" s="551"/>
      <c r="P940" s="551"/>
      <c r="Q940" s="551"/>
      <c r="R940" s="551"/>
      <c r="S940" s="551"/>
      <c r="T940" s="551"/>
      <c r="U940" s="551"/>
      <c r="V940" s="551"/>
      <c r="W940" s="551"/>
      <c r="X940" s="551"/>
      <c r="Y940" s="551"/>
      <c r="Z940" s="551"/>
      <c r="AA940" s="551"/>
      <c r="AB940" s="551"/>
      <c r="AC940" s="551"/>
      <c r="AD940" s="551"/>
      <c r="AE940" s="551"/>
      <c r="AF940" s="551"/>
      <c r="AG940" s="551"/>
      <c r="AH940" s="551"/>
      <c r="AI940" s="551"/>
      <c r="AJ940" s="551"/>
      <c r="AK940" s="551"/>
      <c r="AL940" s="551"/>
      <c r="AM940" s="551"/>
      <c r="AN940" s="551"/>
      <c r="AO940" s="551"/>
      <c r="AP940" s="551"/>
      <c r="AQ940" s="551"/>
      <c r="AR940" s="551"/>
      <c r="AS940" s="551"/>
      <c r="AT940" s="551"/>
      <c r="AU940" s="551"/>
      <c r="AV940" s="551"/>
      <c r="AW940" s="551"/>
      <c r="AX940" s="551"/>
      <c r="AY940" s="551"/>
      <c r="AZ940" s="551"/>
      <c r="BA940" s="551"/>
      <c r="BB940" s="551"/>
      <c r="BC940" s="551"/>
      <c r="BD940" s="551"/>
      <c r="BE940" s="551"/>
      <c r="BF940" s="551"/>
    </row>
    <row r="941" spans="1:58" ht="12.75" customHeight="1">
      <c r="A941" s="551"/>
      <c r="B941" s="551"/>
      <c r="C941" s="551"/>
      <c r="D941" s="551"/>
      <c r="E941" s="551"/>
      <c r="F941" s="551"/>
      <c r="G941" s="551"/>
      <c r="H941" s="551"/>
      <c r="I941" s="551"/>
      <c r="J941" s="551"/>
      <c r="K941" s="551"/>
      <c r="L941" s="551"/>
      <c r="M941" s="551"/>
      <c r="N941" s="551"/>
      <c r="O941" s="551"/>
      <c r="P941" s="551"/>
      <c r="Q941" s="551"/>
      <c r="R941" s="551"/>
      <c r="S941" s="551"/>
      <c r="T941" s="551"/>
      <c r="U941" s="551"/>
      <c r="V941" s="551"/>
      <c r="W941" s="551"/>
      <c r="X941" s="551"/>
      <c r="Y941" s="551"/>
      <c r="Z941" s="551"/>
      <c r="AA941" s="551"/>
      <c r="AB941" s="551"/>
      <c r="AC941" s="551"/>
      <c r="AD941" s="551"/>
      <c r="AE941" s="551"/>
      <c r="AF941" s="551"/>
      <c r="AG941" s="551"/>
      <c r="AH941" s="551"/>
      <c r="AI941" s="551"/>
      <c r="AJ941" s="551"/>
      <c r="AK941" s="551"/>
      <c r="AL941" s="551"/>
      <c r="AM941" s="551"/>
      <c r="AN941" s="551"/>
      <c r="AO941" s="551"/>
      <c r="AP941" s="551"/>
      <c r="AQ941" s="551"/>
      <c r="AR941" s="551"/>
      <c r="AS941" s="551"/>
      <c r="AT941" s="551"/>
      <c r="AU941" s="551"/>
      <c r="AV941" s="551"/>
      <c r="AW941" s="551"/>
      <c r="AX941" s="551"/>
      <c r="AY941" s="551"/>
      <c r="AZ941" s="551"/>
      <c r="BA941" s="551"/>
      <c r="BB941" s="551"/>
      <c r="BC941" s="551"/>
      <c r="BD941" s="551"/>
      <c r="BE941" s="551"/>
      <c r="BF941" s="551"/>
    </row>
    <row r="942" spans="1:58" ht="12.75" customHeight="1">
      <c r="A942" s="551"/>
      <c r="B942" s="551"/>
      <c r="C942" s="551"/>
      <c r="D942" s="551"/>
      <c r="E942" s="551"/>
      <c r="F942" s="551"/>
      <c r="G942" s="551"/>
      <c r="H942" s="551"/>
      <c r="I942" s="551"/>
      <c r="J942" s="551"/>
      <c r="K942" s="551"/>
      <c r="L942" s="551"/>
      <c r="M942" s="551"/>
      <c r="N942" s="551"/>
      <c r="O942" s="551"/>
      <c r="P942" s="551"/>
      <c r="Q942" s="551"/>
      <c r="R942" s="551"/>
      <c r="S942" s="551"/>
      <c r="T942" s="551"/>
      <c r="U942" s="551"/>
      <c r="V942" s="551"/>
      <c r="W942" s="551"/>
      <c r="X942" s="551"/>
      <c r="Y942" s="551"/>
      <c r="Z942" s="551"/>
      <c r="AA942" s="551"/>
      <c r="AB942" s="551"/>
      <c r="AC942" s="551"/>
      <c r="AD942" s="551"/>
      <c r="AE942" s="551"/>
      <c r="AF942" s="551"/>
      <c r="AG942" s="551"/>
      <c r="AH942" s="551"/>
      <c r="AI942" s="551"/>
      <c r="AJ942" s="551"/>
      <c r="AK942" s="551"/>
      <c r="AL942" s="551"/>
      <c r="AM942" s="551"/>
      <c r="AN942" s="551"/>
      <c r="AO942" s="551"/>
      <c r="AP942" s="551"/>
      <c r="AQ942" s="551"/>
      <c r="AR942" s="551"/>
      <c r="AS942" s="551"/>
      <c r="AT942" s="551"/>
      <c r="AU942" s="551"/>
      <c r="AV942" s="551"/>
      <c r="AW942" s="551"/>
      <c r="AX942" s="551"/>
      <c r="AY942" s="551"/>
      <c r="AZ942" s="551"/>
      <c r="BA942" s="551"/>
      <c r="BB942" s="551"/>
      <c r="BC942" s="551"/>
      <c r="BD942" s="551"/>
      <c r="BE942" s="551"/>
      <c r="BF942" s="551"/>
    </row>
    <row r="943" spans="1:58" ht="12.75" customHeight="1">
      <c r="A943" s="551"/>
      <c r="B943" s="551"/>
      <c r="C943" s="551"/>
      <c r="D943" s="551"/>
      <c r="E943" s="551"/>
      <c r="F943" s="551"/>
      <c r="G943" s="551"/>
      <c r="H943" s="551"/>
      <c r="I943" s="551"/>
      <c r="J943" s="551"/>
      <c r="K943" s="551"/>
      <c r="L943" s="551"/>
      <c r="M943" s="551"/>
      <c r="N943" s="551"/>
      <c r="O943" s="551"/>
      <c r="P943" s="551"/>
      <c r="Q943" s="551"/>
      <c r="R943" s="551"/>
      <c r="S943" s="551"/>
      <c r="T943" s="551"/>
      <c r="U943" s="551"/>
      <c r="V943" s="551"/>
      <c r="W943" s="551"/>
      <c r="X943" s="551"/>
      <c r="Y943" s="551"/>
      <c r="Z943" s="551"/>
      <c r="AA943" s="551"/>
      <c r="AB943" s="551"/>
      <c r="AC943" s="551"/>
      <c r="AD943" s="551"/>
      <c r="AE943" s="551"/>
      <c r="AF943" s="551"/>
      <c r="AG943" s="551"/>
      <c r="AH943" s="551"/>
      <c r="AI943" s="551"/>
      <c r="AJ943" s="551"/>
      <c r="AK943" s="551"/>
      <c r="AL943" s="551"/>
      <c r="AM943" s="551"/>
      <c r="AN943" s="551"/>
      <c r="AO943" s="551"/>
      <c r="AP943" s="551"/>
      <c r="AQ943" s="551"/>
      <c r="AR943" s="551"/>
      <c r="AS943" s="551"/>
      <c r="AT943" s="551"/>
      <c r="AU943" s="551"/>
      <c r="AV943" s="551"/>
      <c r="AW943" s="551"/>
      <c r="AX943" s="551"/>
      <c r="AY943" s="551"/>
      <c r="AZ943" s="551"/>
      <c r="BA943" s="551"/>
      <c r="BB943" s="551"/>
      <c r="BC943" s="551"/>
      <c r="BD943" s="551"/>
      <c r="BE943" s="551"/>
      <c r="BF943" s="551"/>
    </row>
    <row r="944" spans="1:58" ht="12.75" customHeight="1">
      <c r="A944" s="551"/>
      <c r="B944" s="551"/>
      <c r="C944" s="551"/>
      <c r="D944" s="551"/>
      <c r="E944" s="551"/>
      <c r="F944" s="551"/>
      <c r="G944" s="551"/>
      <c r="H944" s="551"/>
      <c r="I944" s="551"/>
      <c r="J944" s="551"/>
      <c r="K944" s="551"/>
      <c r="L944" s="551"/>
      <c r="M944" s="551"/>
      <c r="N944" s="551"/>
      <c r="O944" s="551"/>
      <c r="P944" s="551"/>
      <c r="Q944" s="551"/>
      <c r="R944" s="551"/>
      <c r="S944" s="551"/>
      <c r="T944" s="551"/>
      <c r="U944" s="551"/>
      <c r="V944" s="551"/>
      <c r="W944" s="551"/>
      <c r="X944" s="551"/>
      <c r="Y944" s="551"/>
      <c r="Z944" s="551"/>
      <c r="AA944" s="551"/>
      <c r="AB944" s="551"/>
      <c r="AC944" s="551"/>
      <c r="AD944" s="551"/>
      <c r="AE944" s="551"/>
      <c r="AF944" s="551"/>
      <c r="AG944" s="551"/>
      <c r="AH944" s="551"/>
      <c r="AI944" s="551"/>
      <c r="AJ944" s="551"/>
      <c r="AK944" s="551"/>
      <c r="AL944" s="551"/>
      <c r="AM944" s="551"/>
      <c r="AN944" s="551"/>
      <c r="AO944" s="551"/>
      <c r="AP944" s="551"/>
      <c r="AQ944" s="551"/>
      <c r="AR944" s="551"/>
      <c r="AS944" s="551"/>
      <c r="AT944" s="551"/>
      <c r="AU944" s="551"/>
      <c r="AV944" s="551"/>
      <c r="AW944" s="551"/>
      <c r="AX944" s="551"/>
      <c r="AY944" s="551"/>
      <c r="AZ944" s="551"/>
      <c r="BA944" s="551"/>
      <c r="BB944" s="551"/>
      <c r="BC944" s="551"/>
      <c r="BD944" s="551"/>
      <c r="BE944" s="551"/>
      <c r="BF944" s="551"/>
    </row>
    <row r="945" spans="1:58" ht="12.75" customHeight="1">
      <c r="A945" s="551"/>
      <c r="B945" s="551"/>
      <c r="C945" s="551"/>
      <c r="D945" s="551"/>
      <c r="E945" s="551"/>
      <c r="F945" s="551"/>
      <c r="G945" s="551"/>
      <c r="H945" s="551"/>
      <c r="I945" s="551"/>
      <c r="J945" s="551"/>
      <c r="K945" s="551"/>
      <c r="L945" s="551"/>
      <c r="M945" s="551"/>
      <c r="N945" s="551"/>
      <c r="O945" s="551"/>
      <c r="P945" s="551"/>
      <c r="Q945" s="551"/>
      <c r="R945" s="551"/>
      <c r="S945" s="551"/>
      <c r="T945" s="551"/>
      <c r="U945" s="551"/>
      <c r="V945" s="551"/>
      <c r="W945" s="551"/>
      <c r="X945" s="551"/>
      <c r="Y945" s="551"/>
      <c r="Z945" s="551"/>
      <c r="AA945" s="551"/>
      <c r="AB945" s="551"/>
      <c r="AC945" s="551"/>
      <c r="AD945" s="551"/>
      <c r="AE945" s="551"/>
      <c r="AF945" s="551"/>
      <c r="AG945" s="551"/>
      <c r="AH945" s="551"/>
      <c r="AI945" s="551"/>
      <c r="AJ945" s="551"/>
      <c r="AK945" s="551"/>
      <c r="AL945" s="551"/>
      <c r="AM945" s="551"/>
      <c r="AN945" s="551"/>
      <c r="AO945" s="551"/>
      <c r="AP945" s="551"/>
      <c r="AQ945" s="551"/>
      <c r="AR945" s="551"/>
      <c r="AS945" s="551"/>
      <c r="AT945" s="551"/>
      <c r="AU945" s="551"/>
      <c r="AV945" s="551"/>
      <c r="AW945" s="551"/>
      <c r="AX945" s="551"/>
      <c r="AY945" s="551"/>
      <c r="AZ945" s="551"/>
      <c r="BA945" s="551"/>
      <c r="BB945" s="551"/>
      <c r="BC945" s="551"/>
      <c r="BD945" s="551"/>
      <c r="BE945" s="551"/>
      <c r="BF945" s="551"/>
    </row>
    <row r="946" spans="1:58" ht="12.75" customHeight="1">
      <c r="A946" s="551"/>
      <c r="B946" s="551"/>
      <c r="C946" s="551"/>
      <c r="D946" s="551"/>
      <c r="E946" s="551"/>
      <c r="F946" s="551"/>
      <c r="G946" s="551"/>
      <c r="H946" s="551"/>
      <c r="I946" s="551"/>
      <c r="J946" s="551"/>
      <c r="K946" s="551"/>
      <c r="L946" s="551"/>
      <c r="M946" s="551"/>
      <c r="N946" s="551"/>
      <c r="O946" s="551"/>
      <c r="P946" s="551"/>
      <c r="Q946" s="551"/>
      <c r="R946" s="551"/>
      <c r="S946" s="551"/>
      <c r="T946" s="551"/>
      <c r="U946" s="551"/>
      <c r="V946" s="551"/>
      <c r="W946" s="551"/>
      <c r="X946" s="551"/>
      <c r="Y946" s="551"/>
      <c r="Z946" s="551"/>
      <c r="AA946" s="551"/>
      <c r="AB946" s="551"/>
      <c r="AC946" s="551"/>
      <c r="AD946" s="551"/>
      <c r="AE946" s="551"/>
      <c r="AF946" s="551"/>
      <c r="AG946" s="551"/>
      <c r="AH946" s="551"/>
      <c r="AI946" s="551"/>
      <c r="AJ946" s="551"/>
      <c r="AK946" s="551"/>
      <c r="AL946" s="551"/>
      <c r="AM946" s="551"/>
      <c r="AN946" s="551"/>
      <c r="AO946" s="551"/>
      <c r="AP946" s="551"/>
      <c r="AQ946" s="551"/>
      <c r="AR946" s="551"/>
      <c r="AS946" s="551"/>
      <c r="AT946" s="551"/>
      <c r="AU946" s="551"/>
      <c r="AV946" s="551"/>
      <c r="AW946" s="551"/>
      <c r="AX946" s="551"/>
      <c r="AY946" s="551"/>
      <c r="AZ946" s="551"/>
      <c r="BA946" s="551"/>
      <c r="BB946" s="551"/>
      <c r="BC946" s="551"/>
      <c r="BD946" s="551"/>
      <c r="BE946" s="551"/>
      <c r="BF946" s="551"/>
    </row>
    <row r="947" spans="1:58" ht="12.75" customHeight="1">
      <c r="A947" s="551"/>
      <c r="B947" s="551"/>
      <c r="C947" s="551"/>
      <c r="D947" s="551"/>
      <c r="E947" s="551"/>
      <c r="F947" s="551"/>
      <c r="G947" s="551"/>
      <c r="H947" s="551"/>
      <c r="I947" s="551"/>
      <c r="J947" s="551"/>
      <c r="K947" s="551"/>
      <c r="L947" s="551"/>
      <c r="M947" s="551"/>
      <c r="N947" s="551"/>
      <c r="O947" s="551"/>
      <c r="P947" s="551"/>
      <c r="Q947" s="551"/>
      <c r="R947" s="551"/>
      <c r="S947" s="551"/>
      <c r="T947" s="551"/>
      <c r="U947" s="551"/>
      <c r="V947" s="551"/>
      <c r="W947" s="551"/>
      <c r="X947" s="551"/>
      <c r="Y947" s="551"/>
      <c r="Z947" s="551"/>
      <c r="AA947" s="551"/>
      <c r="AB947" s="551"/>
      <c r="AC947" s="551"/>
      <c r="AD947" s="551"/>
      <c r="AE947" s="551"/>
      <c r="AF947" s="551"/>
      <c r="AG947" s="551"/>
      <c r="AH947" s="551"/>
      <c r="AI947" s="551"/>
      <c r="AJ947" s="551"/>
      <c r="AK947" s="551"/>
      <c r="AL947" s="551"/>
      <c r="AM947" s="551"/>
      <c r="AN947" s="551"/>
      <c r="AO947" s="551"/>
      <c r="AP947" s="551"/>
      <c r="AQ947" s="551"/>
      <c r="AR947" s="551"/>
      <c r="AS947" s="551"/>
      <c r="AT947" s="551"/>
      <c r="AU947" s="551"/>
      <c r="AV947" s="551"/>
      <c r="AW947" s="551"/>
      <c r="AX947" s="551"/>
      <c r="AY947" s="551"/>
      <c r="AZ947" s="551"/>
      <c r="BA947" s="551"/>
      <c r="BB947" s="551"/>
      <c r="BC947" s="551"/>
      <c r="BD947" s="551"/>
      <c r="BE947" s="551"/>
      <c r="BF947" s="551"/>
    </row>
    <row r="948" spans="1:58" ht="12.75" customHeight="1">
      <c r="A948" s="551"/>
      <c r="B948" s="551"/>
      <c r="C948" s="551"/>
      <c r="D948" s="551"/>
      <c r="E948" s="551"/>
      <c r="F948" s="551"/>
      <c r="G948" s="551"/>
      <c r="H948" s="551"/>
      <c r="I948" s="551"/>
      <c r="J948" s="551"/>
      <c r="K948" s="551"/>
      <c r="L948" s="551"/>
      <c r="M948" s="551"/>
      <c r="N948" s="551"/>
      <c r="O948" s="551"/>
      <c r="P948" s="551"/>
      <c r="Q948" s="551"/>
      <c r="R948" s="551"/>
      <c r="S948" s="551"/>
      <c r="T948" s="551"/>
      <c r="U948" s="551"/>
      <c r="V948" s="551"/>
      <c r="W948" s="551"/>
      <c r="X948" s="551"/>
      <c r="Y948" s="551"/>
      <c r="Z948" s="551"/>
      <c r="AA948" s="551"/>
      <c r="AB948" s="551"/>
      <c r="AC948" s="551"/>
      <c r="AD948" s="551"/>
      <c r="AE948" s="551"/>
      <c r="AF948" s="551"/>
      <c r="AG948" s="551"/>
      <c r="AH948" s="551"/>
      <c r="AI948" s="551"/>
      <c r="AJ948" s="551"/>
      <c r="AK948" s="551"/>
      <c r="AL948" s="551"/>
      <c r="AM948" s="551"/>
      <c r="AN948" s="551"/>
      <c r="AO948" s="551"/>
      <c r="AP948" s="551"/>
      <c r="AQ948" s="551"/>
      <c r="AR948" s="551"/>
      <c r="AS948" s="551"/>
      <c r="AT948" s="551"/>
      <c r="AU948" s="551"/>
      <c r="AV948" s="551"/>
      <c r="AW948" s="551"/>
      <c r="AX948" s="551"/>
      <c r="AY948" s="551"/>
      <c r="AZ948" s="551"/>
      <c r="BA948" s="551"/>
      <c r="BB948" s="551"/>
      <c r="BC948" s="551"/>
      <c r="BD948" s="551"/>
      <c r="BE948" s="551"/>
      <c r="BF948" s="551"/>
    </row>
    <row r="949" spans="1:58" ht="12.75" customHeight="1">
      <c r="A949" s="551"/>
      <c r="B949" s="551"/>
      <c r="C949" s="551"/>
      <c r="D949" s="551"/>
      <c r="E949" s="551"/>
      <c r="F949" s="551"/>
      <c r="G949" s="551"/>
      <c r="H949" s="551"/>
      <c r="I949" s="551"/>
      <c r="J949" s="551"/>
      <c r="K949" s="551"/>
      <c r="L949" s="551"/>
      <c r="M949" s="551"/>
      <c r="N949" s="551"/>
      <c r="O949" s="551"/>
      <c r="P949" s="551"/>
      <c r="Q949" s="551"/>
      <c r="R949" s="551"/>
      <c r="S949" s="551"/>
      <c r="T949" s="551"/>
      <c r="U949" s="551"/>
      <c r="V949" s="551"/>
      <c r="W949" s="551"/>
      <c r="X949" s="551"/>
      <c r="Y949" s="551"/>
      <c r="Z949" s="551"/>
      <c r="AA949" s="551"/>
      <c r="AB949" s="551"/>
      <c r="AC949" s="551"/>
      <c r="AD949" s="551"/>
      <c r="AE949" s="551"/>
      <c r="AF949" s="551"/>
      <c r="AG949" s="551"/>
      <c r="AH949" s="551"/>
      <c r="AI949" s="551"/>
      <c r="AJ949" s="551"/>
      <c r="AK949" s="551"/>
      <c r="AL949" s="551"/>
      <c r="AM949" s="551"/>
      <c r="AN949" s="551"/>
      <c r="AO949" s="551"/>
      <c r="AP949" s="551"/>
      <c r="AQ949" s="551"/>
      <c r="AR949" s="551"/>
      <c r="AS949" s="551"/>
      <c r="AT949" s="551"/>
      <c r="AU949" s="551"/>
      <c r="AV949" s="551"/>
      <c r="AW949" s="551"/>
      <c r="AX949" s="551"/>
      <c r="AY949" s="551"/>
      <c r="AZ949" s="551"/>
      <c r="BA949" s="551"/>
      <c r="BB949" s="551"/>
      <c r="BC949" s="551"/>
      <c r="BD949" s="551"/>
      <c r="BE949" s="551"/>
      <c r="BF949" s="551"/>
    </row>
    <row r="950" spans="1:58" ht="12.75" customHeight="1">
      <c r="A950" s="551"/>
      <c r="B950" s="551"/>
      <c r="C950" s="551"/>
      <c r="D950" s="551"/>
      <c r="E950" s="551"/>
      <c r="F950" s="551"/>
      <c r="G950" s="551"/>
      <c r="H950" s="551"/>
      <c r="I950" s="551"/>
      <c r="J950" s="551"/>
      <c r="K950" s="551"/>
      <c r="L950" s="551"/>
      <c r="M950" s="551"/>
      <c r="N950" s="551"/>
      <c r="O950" s="551"/>
      <c r="P950" s="551"/>
      <c r="Q950" s="551"/>
      <c r="R950" s="551"/>
      <c r="S950" s="551"/>
      <c r="T950" s="551"/>
      <c r="U950" s="551"/>
      <c r="V950" s="551"/>
      <c r="W950" s="551"/>
      <c r="X950" s="551"/>
      <c r="Y950" s="551"/>
      <c r="Z950" s="551"/>
      <c r="AA950" s="551"/>
      <c r="AB950" s="551"/>
      <c r="AC950" s="551"/>
      <c r="AD950" s="551"/>
      <c r="AE950" s="551"/>
      <c r="AF950" s="551"/>
      <c r="AG950" s="551"/>
      <c r="AH950" s="551"/>
      <c r="AI950" s="551"/>
      <c r="AJ950" s="551"/>
      <c r="AK950" s="551"/>
      <c r="AL950" s="551"/>
      <c r="AM950" s="551"/>
      <c r="AN950" s="551"/>
      <c r="AO950" s="551"/>
      <c r="AP950" s="551"/>
      <c r="AQ950" s="551"/>
      <c r="AR950" s="551"/>
      <c r="AS950" s="551"/>
      <c r="AT950" s="551"/>
      <c r="AU950" s="551"/>
      <c r="AV950" s="551"/>
      <c r="AW950" s="551"/>
      <c r="AX950" s="551"/>
      <c r="AY950" s="551"/>
      <c r="AZ950" s="551"/>
      <c r="BA950" s="551"/>
      <c r="BB950" s="551"/>
      <c r="BC950" s="551"/>
      <c r="BD950" s="551"/>
      <c r="BE950" s="551"/>
      <c r="BF950" s="551"/>
    </row>
    <row r="951" spans="1:58" ht="12.75" customHeight="1">
      <c r="A951" s="551"/>
      <c r="B951" s="551"/>
      <c r="C951" s="551"/>
      <c r="D951" s="551"/>
      <c r="E951" s="551"/>
      <c r="F951" s="551"/>
      <c r="G951" s="551"/>
      <c r="H951" s="551"/>
      <c r="I951" s="551"/>
      <c r="J951" s="551"/>
      <c r="K951" s="551"/>
      <c r="L951" s="551"/>
      <c r="M951" s="551"/>
      <c r="N951" s="551"/>
      <c r="O951" s="551"/>
      <c r="P951" s="551"/>
      <c r="Q951" s="551"/>
      <c r="R951" s="551"/>
      <c r="S951" s="551"/>
      <c r="T951" s="551"/>
      <c r="U951" s="551"/>
      <c r="V951" s="551"/>
      <c r="W951" s="551"/>
      <c r="X951" s="551"/>
      <c r="Y951" s="551"/>
      <c r="Z951" s="551"/>
      <c r="AA951" s="551"/>
      <c r="AB951" s="551"/>
      <c r="AC951" s="551"/>
      <c r="AD951" s="551"/>
      <c r="AE951" s="551"/>
      <c r="AF951" s="551"/>
      <c r="AG951" s="551"/>
      <c r="AH951" s="551"/>
      <c r="AI951" s="551"/>
      <c r="AJ951" s="551"/>
      <c r="AK951" s="551"/>
      <c r="AL951" s="551"/>
      <c r="AM951" s="551"/>
      <c r="AN951" s="551"/>
      <c r="AO951" s="551"/>
      <c r="AP951" s="551"/>
      <c r="AQ951" s="551"/>
      <c r="AR951" s="551"/>
      <c r="AS951" s="551"/>
      <c r="AT951" s="551"/>
      <c r="AU951" s="551"/>
      <c r="AV951" s="551"/>
      <c r="AW951" s="551"/>
      <c r="AX951" s="551"/>
      <c r="AY951" s="551"/>
      <c r="AZ951" s="551"/>
      <c r="BA951" s="551"/>
      <c r="BB951" s="551"/>
      <c r="BC951" s="551"/>
      <c r="BD951" s="551"/>
      <c r="BE951" s="551"/>
      <c r="BF951" s="551"/>
    </row>
    <row r="952" spans="1:58" ht="12.75" customHeight="1">
      <c r="A952" s="551"/>
      <c r="B952" s="551"/>
      <c r="C952" s="551"/>
      <c r="D952" s="551"/>
      <c r="E952" s="551"/>
      <c r="F952" s="551"/>
      <c r="G952" s="551"/>
      <c r="H952" s="551"/>
      <c r="I952" s="551"/>
      <c r="J952" s="551"/>
      <c r="K952" s="551"/>
      <c r="L952" s="551"/>
      <c r="M952" s="551"/>
      <c r="N952" s="551"/>
      <c r="O952" s="551"/>
      <c r="P952" s="551"/>
      <c r="Q952" s="551"/>
      <c r="R952" s="551"/>
      <c r="S952" s="551"/>
      <c r="T952" s="551"/>
      <c r="U952" s="551"/>
      <c r="V952" s="551"/>
      <c r="W952" s="551"/>
      <c r="X952" s="551"/>
      <c r="Y952" s="551"/>
      <c r="Z952" s="551"/>
      <c r="AA952" s="551"/>
      <c r="AB952" s="551"/>
      <c r="AC952" s="551"/>
      <c r="AD952" s="551"/>
      <c r="AE952" s="551"/>
      <c r="AF952" s="551"/>
      <c r="AG952" s="551"/>
      <c r="AH952" s="551"/>
      <c r="AI952" s="551"/>
      <c r="AJ952" s="551"/>
      <c r="AK952" s="551"/>
      <c r="AL952" s="551"/>
      <c r="AM952" s="551"/>
      <c r="AN952" s="551"/>
      <c r="AO952" s="551"/>
      <c r="AP952" s="551"/>
      <c r="AQ952" s="551"/>
      <c r="AR952" s="551"/>
      <c r="AS952" s="551"/>
      <c r="AT952" s="551"/>
      <c r="AU952" s="551"/>
      <c r="AV952" s="551"/>
      <c r="AW952" s="551"/>
      <c r="AX952" s="551"/>
      <c r="AY952" s="551"/>
      <c r="AZ952" s="551"/>
      <c r="BA952" s="551"/>
      <c r="BB952" s="551"/>
      <c r="BC952" s="551"/>
      <c r="BD952" s="551"/>
      <c r="BE952" s="551"/>
      <c r="BF952" s="551"/>
    </row>
    <row r="953" spans="1:58" ht="12.75" customHeight="1">
      <c r="A953" s="551"/>
      <c r="B953" s="551"/>
      <c r="C953" s="551"/>
      <c r="D953" s="551"/>
      <c r="E953" s="551"/>
      <c r="F953" s="551"/>
      <c r="G953" s="551"/>
      <c r="H953" s="551"/>
      <c r="I953" s="551"/>
      <c r="J953" s="551"/>
      <c r="K953" s="551"/>
      <c r="L953" s="551"/>
      <c r="M953" s="551"/>
      <c r="N953" s="551"/>
      <c r="O953" s="551"/>
      <c r="P953" s="551"/>
      <c r="Q953" s="551"/>
      <c r="R953" s="551"/>
      <c r="S953" s="551"/>
      <c r="T953" s="551"/>
      <c r="U953" s="551"/>
      <c r="V953" s="551"/>
      <c r="W953" s="551"/>
      <c r="X953" s="551"/>
      <c r="Y953" s="551"/>
      <c r="Z953" s="551"/>
      <c r="AA953" s="551"/>
      <c r="AB953" s="551"/>
      <c r="AC953" s="551"/>
      <c r="AD953" s="551"/>
      <c r="AE953" s="551"/>
      <c r="AF953" s="551"/>
      <c r="AG953" s="551"/>
      <c r="AH953" s="551"/>
      <c r="AI953" s="551"/>
      <c r="AJ953" s="551"/>
      <c r="AK953" s="551"/>
      <c r="AL953" s="551"/>
      <c r="AM953" s="551"/>
      <c r="AN953" s="551"/>
      <c r="AO953" s="551"/>
      <c r="AP953" s="551"/>
      <c r="AQ953" s="551"/>
      <c r="AR953" s="551"/>
      <c r="AS953" s="551"/>
      <c r="AT953" s="551"/>
      <c r="AU953" s="551"/>
      <c r="AV953" s="551"/>
      <c r="AW953" s="551"/>
      <c r="AX953" s="551"/>
      <c r="AY953" s="551"/>
      <c r="AZ953" s="551"/>
      <c r="BA953" s="551"/>
      <c r="BB953" s="551"/>
      <c r="BC953" s="551"/>
      <c r="BD953" s="551"/>
      <c r="BE953" s="551"/>
      <c r="BF953" s="551"/>
    </row>
    <row r="954" spans="1:58" ht="12.75" customHeight="1">
      <c r="A954" s="551"/>
      <c r="B954" s="551"/>
      <c r="C954" s="551"/>
      <c r="D954" s="551"/>
      <c r="E954" s="551"/>
      <c r="F954" s="551"/>
      <c r="G954" s="551"/>
      <c r="H954" s="551"/>
      <c r="I954" s="551"/>
      <c r="J954" s="551"/>
      <c r="K954" s="551"/>
      <c r="L954" s="551"/>
      <c r="M954" s="551"/>
      <c r="N954" s="551"/>
      <c r="O954" s="551"/>
      <c r="P954" s="551"/>
      <c r="Q954" s="551"/>
      <c r="R954" s="551"/>
      <c r="S954" s="551"/>
      <c r="T954" s="551"/>
      <c r="U954" s="551"/>
      <c r="V954" s="551"/>
      <c r="W954" s="551"/>
      <c r="X954" s="551"/>
      <c r="Y954" s="551"/>
      <c r="Z954" s="551"/>
      <c r="AA954" s="551"/>
      <c r="AB954" s="551"/>
      <c r="AC954" s="551"/>
      <c r="AD954" s="551"/>
      <c r="AE954" s="551"/>
      <c r="AF954" s="551"/>
      <c r="AG954" s="551"/>
      <c r="AH954" s="551"/>
      <c r="AI954" s="551"/>
      <c r="AJ954" s="551"/>
      <c r="AK954" s="551"/>
      <c r="AL954" s="551"/>
      <c r="AM954" s="551"/>
      <c r="AN954" s="551"/>
      <c r="AO954" s="551"/>
      <c r="AP954" s="551"/>
      <c r="AQ954" s="551"/>
      <c r="AR954" s="551"/>
      <c r="AS954" s="551"/>
      <c r="AT954" s="551"/>
      <c r="AU954" s="551"/>
      <c r="AV954" s="551"/>
      <c r="AW954" s="551"/>
      <c r="AX954" s="551"/>
      <c r="AY954" s="551"/>
      <c r="AZ954" s="551"/>
      <c r="BA954" s="551"/>
      <c r="BB954" s="551"/>
      <c r="BC954" s="551"/>
      <c r="BD954" s="551"/>
      <c r="BE954" s="551"/>
      <c r="BF954" s="551"/>
    </row>
    <row r="955" spans="1:58" ht="12.75" customHeight="1">
      <c r="A955" s="551"/>
      <c r="B955" s="551"/>
      <c r="C955" s="551"/>
      <c r="D955" s="551"/>
      <c r="E955" s="551"/>
      <c r="F955" s="551"/>
      <c r="G955" s="551"/>
      <c r="H955" s="551"/>
      <c r="I955" s="551"/>
      <c r="J955" s="551"/>
      <c r="K955" s="551"/>
      <c r="L955" s="551"/>
      <c r="M955" s="551"/>
      <c r="N955" s="551"/>
      <c r="O955" s="551"/>
      <c r="P955" s="551"/>
      <c r="Q955" s="551"/>
      <c r="R955" s="551"/>
      <c r="S955" s="551"/>
      <c r="T955" s="551"/>
      <c r="U955" s="551"/>
      <c r="V955" s="551"/>
      <c r="W955" s="551"/>
      <c r="X955" s="551"/>
      <c r="Y955" s="551"/>
      <c r="Z955" s="551"/>
      <c r="AA955" s="551"/>
      <c r="AB955" s="551"/>
      <c r="AC955" s="551"/>
      <c r="AD955" s="551"/>
      <c r="AE955" s="551"/>
      <c r="AF955" s="551"/>
      <c r="AG955" s="551"/>
      <c r="AH955" s="551"/>
      <c r="AI955" s="551"/>
      <c r="AJ955" s="551"/>
      <c r="AK955" s="551"/>
      <c r="AL955" s="551"/>
      <c r="AM955" s="551"/>
      <c r="AN955" s="551"/>
      <c r="AO955" s="551"/>
      <c r="AP955" s="551"/>
      <c r="AQ955" s="551"/>
      <c r="AR955" s="551"/>
      <c r="AS955" s="551"/>
      <c r="AT955" s="551"/>
      <c r="AU955" s="551"/>
      <c r="AV955" s="551"/>
      <c r="AW955" s="551"/>
      <c r="AX955" s="551"/>
      <c r="AY955" s="551"/>
      <c r="AZ955" s="551"/>
      <c r="BA955" s="551"/>
      <c r="BB955" s="551"/>
      <c r="BC955" s="551"/>
      <c r="BD955" s="551"/>
      <c r="BE955" s="551"/>
      <c r="BF955" s="551"/>
    </row>
    <row r="956" spans="1:58" ht="12.75" customHeight="1">
      <c r="A956" s="551"/>
      <c r="B956" s="551"/>
      <c r="C956" s="551"/>
      <c r="D956" s="551"/>
      <c r="E956" s="551"/>
      <c r="F956" s="551"/>
      <c r="G956" s="551"/>
      <c r="H956" s="551"/>
      <c r="I956" s="551"/>
      <c r="J956" s="551"/>
      <c r="K956" s="551"/>
      <c r="L956" s="551"/>
      <c r="M956" s="551"/>
      <c r="N956" s="551"/>
      <c r="O956" s="551"/>
      <c r="P956" s="551"/>
      <c r="Q956" s="551"/>
      <c r="R956" s="551"/>
      <c r="S956" s="551"/>
      <c r="T956" s="551"/>
      <c r="U956" s="551"/>
      <c r="V956" s="551"/>
      <c r="W956" s="551"/>
      <c r="X956" s="551"/>
      <c r="Y956" s="551"/>
      <c r="Z956" s="551"/>
      <c r="AA956" s="551"/>
      <c r="AB956" s="551"/>
      <c r="AC956" s="551"/>
      <c r="AD956" s="551"/>
      <c r="AE956" s="551"/>
      <c r="AF956" s="551"/>
      <c r="AG956" s="551"/>
      <c r="AH956" s="551"/>
      <c r="AI956" s="551"/>
      <c r="AJ956" s="551"/>
      <c r="AK956" s="551"/>
      <c r="AL956" s="551"/>
      <c r="AM956" s="551"/>
      <c r="AN956" s="551"/>
      <c r="AO956" s="551"/>
      <c r="AP956" s="551"/>
      <c r="AQ956" s="551"/>
      <c r="AR956" s="551"/>
      <c r="AS956" s="551"/>
      <c r="AT956" s="551"/>
      <c r="AU956" s="551"/>
      <c r="AV956" s="551"/>
      <c r="AW956" s="551"/>
      <c r="AX956" s="551"/>
      <c r="AY956" s="551"/>
      <c r="AZ956" s="551"/>
      <c r="BA956" s="551"/>
      <c r="BB956" s="551"/>
      <c r="BC956" s="551"/>
      <c r="BD956" s="551"/>
      <c r="BE956" s="551"/>
      <c r="BF956" s="551"/>
    </row>
    <row r="957" spans="1:58" ht="12.75" customHeight="1">
      <c r="A957" s="551"/>
      <c r="B957" s="551"/>
      <c r="C957" s="551"/>
      <c r="D957" s="551"/>
      <c r="E957" s="551"/>
      <c r="F957" s="551"/>
      <c r="G957" s="551"/>
      <c r="H957" s="551"/>
      <c r="I957" s="551"/>
      <c r="J957" s="551"/>
      <c r="K957" s="551"/>
      <c r="L957" s="551"/>
      <c r="M957" s="551"/>
      <c r="N957" s="551"/>
      <c r="O957" s="551"/>
      <c r="P957" s="551"/>
      <c r="Q957" s="551"/>
      <c r="R957" s="551"/>
      <c r="S957" s="551"/>
      <c r="T957" s="551"/>
      <c r="U957" s="551"/>
      <c r="V957" s="551"/>
      <c r="W957" s="551"/>
      <c r="X957" s="551"/>
      <c r="Y957" s="551"/>
      <c r="Z957" s="551"/>
      <c r="AA957" s="551"/>
      <c r="AB957" s="551"/>
      <c r="AC957" s="551"/>
      <c r="AD957" s="551"/>
      <c r="AE957" s="551"/>
      <c r="AF957" s="551"/>
      <c r="AG957" s="551"/>
      <c r="AH957" s="551"/>
      <c r="AI957" s="551"/>
      <c r="AJ957" s="551"/>
      <c r="AK957" s="551"/>
      <c r="AL957" s="551"/>
      <c r="AM957" s="551"/>
      <c r="AN957" s="551"/>
      <c r="AO957" s="551"/>
      <c r="AP957" s="551"/>
      <c r="AQ957" s="551"/>
      <c r="AR957" s="551"/>
      <c r="AS957" s="551"/>
      <c r="AT957" s="551"/>
      <c r="AU957" s="551"/>
      <c r="AV957" s="551"/>
      <c r="AW957" s="551"/>
      <c r="AX957" s="551"/>
      <c r="AY957" s="551"/>
      <c r="AZ957" s="551"/>
      <c r="BA957" s="551"/>
      <c r="BB957" s="551"/>
      <c r="BC957" s="551"/>
      <c r="BD957" s="551"/>
      <c r="BE957" s="551"/>
      <c r="BF957" s="551"/>
    </row>
    <row r="958" spans="1:58" ht="12.75" customHeight="1">
      <c r="A958" s="551"/>
      <c r="B958" s="551"/>
      <c r="C958" s="551"/>
      <c r="D958" s="551"/>
      <c r="E958" s="551"/>
      <c r="F958" s="551"/>
      <c r="G958" s="551"/>
      <c r="H958" s="551"/>
      <c r="I958" s="551"/>
      <c r="J958" s="551"/>
      <c r="K958" s="551"/>
      <c r="L958" s="551"/>
      <c r="M958" s="551"/>
      <c r="N958" s="551"/>
      <c r="O958" s="551"/>
      <c r="P958" s="551"/>
      <c r="Q958" s="551"/>
      <c r="R958" s="551"/>
      <c r="S958" s="551"/>
      <c r="T958" s="551"/>
      <c r="U958" s="551"/>
      <c r="V958" s="551"/>
      <c r="W958" s="551"/>
      <c r="X958" s="551"/>
      <c r="Y958" s="551"/>
      <c r="Z958" s="551"/>
      <c r="AA958" s="551"/>
      <c r="AB958" s="551"/>
      <c r="AC958" s="551"/>
      <c r="AD958" s="551"/>
      <c r="AE958" s="551"/>
      <c r="AF958" s="551"/>
      <c r="AG958" s="551"/>
      <c r="AH958" s="551"/>
      <c r="AI958" s="551"/>
      <c r="AJ958" s="551"/>
      <c r="AK958" s="551"/>
      <c r="AL958" s="551"/>
      <c r="AM958" s="551"/>
      <c r="AN958" s="551"/>
      <c r="AO958" s="551"/>
      <c r="AP958" s="551"/>
      <c r="AQ958" s="551"/>
      <c r="AR958" s="551"/>
      <c r="AS958" s="551"/>
      <c r="AT958" s="551"/>
      <c r="AU958" s="551"/>
      <c r="AV958" s="551"/>
      <c r="AW958" s="551"/>
      <c r="AX958" s="551"/>
      <c r="AY958" s="551"/>
      <c r="AZ958" s="551"/>
      <c r="BA958" s="551"/>
      <c r="BB958" s="551"/>
      <c r="BC958" s="551"/>
      <c r="BD958" s="551"/>
      <c r="BE958" s="551"/>
      <c r="BF958" s="551"/>
    </row>
    <row r="959" spans="1:58" ht="12.75" customHeight="1">
      <c r="A959" s="551"/>
      <c r="B959" s="551"/>
      <c r="C959" s="551"/>
      <c r="D959" s="551"/>
      <c r="E959" s="551"/>
      <c r="F959" s="551"/>
      <c r="G959" s="551"/>
      <c r="H959" s="551"/>
      <c r="I959" s="551"/>
      <c r="J959" s="551"/>
      <c r="K959" s="551"/>
      <c r="L959" s="551"/>
      <c r="M959" s="551"/>
      <c r="N959" s="551"/>
      <c r="O959" s="551"/>
      <c r="P959" s="551"/>
      <c r="Q959" s="551"/>
      <c r="R959" s="551"/>
      <c r="S959" s="551"/>
      <c r="T959" s="551"/>
      <c r="U959" s="551"/>
      <c r="V959" s="551"/>
      <c r="W959" s="551"/>
      <c r="X959" s="551"/>
      <c r="Y959" s="551"/>
      <c r="Z959" s="551"/>
      <c r="AA959" s="551"/>
      <c r="AB959" s="551"/>
      <c r="AC959" s="551"/>
      <c r="AD959" s="551"/>
      <c r="AE959" s="551"/>
      <c r="AF959" s="551"/>
      <c r="AG959" s="551"/>
      <c r="AH959" s="551"/>
      <c r="AI959" s="551"/>
      <c r="AJ959" s="551"/>
      <c r="AK959" s="551"/>
      <c r="AL959" s="551"/>
      <c r="AM959" s="551"/>
      <c r="AN959" s="551"/>
      <c r="AO959" s="551"/>
      <c r="AP959" s="551"/>
      <c r="AQ959" s="551"/>
      <c r="AR959" s="551"/>
      <c r="AS959" s="551"/>
      <c r="AT959" s="551"/>
      <c r="AU959" s="551"/>
      <c r="AV959" s="551"/>
      <c r="AW959" s="551"/>
      <c r="AX959" s="551"/>
      <c r="AY959" s="551"/>
      <c r="AZ959" s="551"/>
      <c r="BA959" s="551"/>
      <c r="BB959" s="551"/>
      <c r="BC959" s="551"/>
      <c r="BD959" s="551"/>
      <c r="BE959" s="551"/>
      <c r="BF959" s="551"/>
    </row>
    <row r="960" spans="1:58" ht="12.75" customHeight="1">
      <c r="A960" s="551"/>
      <c r="B960" s="551"/>
      <c r="C960" s="551"/>
      <c r="D960" s="551"/>
      <c r="E960" s="551"/>
      <c r="F960" s="551"/>
      <c r="G960" s="551"/>
      <c r="H960" s="551"/>
      <c r="I960" s="551"/>
      <c r="J960" s="551"/>
      <c r="K960" s="551"/>
      <c r="L960" s="551"/>
      <c r="M960" s="551"/>
      <c r="N960" s="551"/>
      <c r="O960" s="551"/>
      <c r="P960" s="551"/>
      <c r="Q960" s="551"/>
      <c r="R960" s="551"/>
      <c r="S960" s="551"/>
      <c r="T960" s="551"/>
      <c r="U960" s="551"/>
      <c r="V960" s="551"/>
      <c r="W960" s="551"/>
      <c r="X960" s="551"/>
      <c r="Y960" s="551"/>
      <c r="Z960" s="551"/>
      <c r="AA960" s="551"/>
      <c r="AB960" s="551"/>
      <c r="AC960" s="551"/>
      <c r="AD960" s="551"/>
      <c r="AE960" s="551"/>
      <c r="AF960" s="551"/>
      <c r="AG960" s="551"/>
      <c r="AH960" s="551"/>
      <c r="AI960" s="551"/>
      <c r="AJ960" s="551"/>
      <c r="AK960" s="551"/>
      <c r="AL960" s="551"/>
      <c r="AM960" s="551"/>
      <c r="AN960" s="551"/>
      <c r="AO960" s="551"/>
      <c r="AP960" s="551"/>
      <c r="AQ960" s="551"/>
      <c r="AR960" s="551"/>
      <c r="AS960" s="551"/>
      <c r="AT960" s="551"/>
      <c r="AU960" s="551"/>
      <c r="AV960" s="551"/>
      <c r="AW960" s="551"/>
      <c r="AX960" s="551"/>
      <c r="AY960" s="551"/>
      <c r="AZ960" s="551"/>
      <c r="BA960" s="551"/>
      <c r="BB960" s="551"/>
      <c r="BC960" s="551"/>
      <c r="BD960" s="551"/>
      <c r="BE960" s="551"/>
      <c r="BF960" s="551"/>
    </row>
    <row r="961" spans="1:58" ht="12.75" customHeight="1">
      <c r="A961" s="551"/>
      <c r="B961" s="551"/>
      <c r="C961" s="551"/>
      <c r="D961" s="551"/>
      <c r="E961" s="551"/>
      <c r="F961" s="551"/>
      <c r="G961" s="551"/>
      <c r="H961" s="551"/>
      <c r="I961" s="551"/>
      <c r="J961" s="551"/>
      <c r="K961" s="551"/>
      <c r="L961" s="551"/>
      <c r="M961" s="551"/>
      <c r="N961" s="551"/>
      <c r="O961" s="551"/>
      <c r="P961" s="551"/>
      <c r="Q961" s="551"/>
      <c r="R961" s="551"/>
      <c r="S961" s="551"/>
      <c r="T961" s="551"/>
      <c r="U961" s="551"/>
      <c r="V961" s="551"/>
      <c r="W961" s="551"/>
      <c r="X961" s="551"/>
      <c r="Y961" s="551"/>
      <c r="Z961" s="551"/>
      <c r="AA961" s="551"/>
      <c r="AB961" s="551"/>
      <c r="AC961" s="551"/>
      <c r="AD961" s="551"/>
      <c r="AE961" s="551"/>
      <c r="AF961" s="551"/>
      <c r="AG961" s="551"/>
      <c r="AH961" s="551"/>
      <c r="AI961" s="551"/>
      <c r="AJ961" s="551"/>
      <c r="AK961" s="551"/>
      <c r="AL961" s="551"/>
      <c r="AM961" s="551"/>
      <c r="AN961" s="551"/>
      <c r="AO961" s="551"/>
      <c r="AP961" s="551"/>
      <c r="AQ961" s="551"/>
      <c r="AR961" s="551"/>
      <c r="AS961" s="551"/>
      <c r="AT961" s="551"/>
      <c r="AU961" s="551"/>
      <c r="AV961" s="551"/>
      <c r="AW961" s="551"/>
      <c r="AX961" s="551"/>
      <c r="AY961" s="551"/>
      <c r="AZ961" s="551"/>
      <c r="BA961" s="551"/>
      <c r="BB961" s="551"/>
      <c r="BC961" s="551"/>
      <c r="BD961" s="551"/>
      <c r="BE961" s="551"/>
      <c r="BF961" s="551"/>
    </row>
    <row r="962" spans="1:58" ht="12.75" customHeight="1">
      <c r="A962" s="551"/>
      <c r="B962" s="551"/>
      <c r="C962" s="551"/>
      <c r="D962" s="551"/>
      <c r="E962" s="551"/>
      <c r="F962" s="551"/>
      <c r="G962" s="551"/>
      <c r="H962" s="551"/>
      <c r="I962" s="551"/>
      <c r="J962" s="551"/>
      <c r="K962" s="551"/>
      <c r="L962" s="551"/>
      <c r="M962" s="551"/>
      <c r="N962" s="551"/>
      <c r="O962" s="551"/>
      <c r="P962" s="551"/>
      <c r="Q962" s="551"/>
      <c r="R962" s="551"/>
      <c r="S962" s="551"/>
      <c r="T962" s="551"/>
      <c r="U962" s="551"/>
      <c r="V962" s="551"/>
      <c r="W962" s="551"/>
      <c r="X962" s="551"/>
      <c r="Y962" s="551"/>
      <c r="Z962" s="551"/>
      <c r="AA962" s="551"/>
      <c r="AB962" s="551"/>
      <c r="AC962" s="551"/>
      <c r="AD962" s="551"/>
      <c r="AE962" s="551"/>
      <c r="AF962" s="551"/>
      <c r="AG962" s="551"/>
      <c r="AH962" s="551"/>
      <c r="AI962" s="551"/>
      <c r="AJ962" s="551"/>
      <c r="AK962" s="551"/>
      <c r="AL962" s="551"/>
      <c r="AM962" s="551"/>
      <c r="AN962" s="551"/>
      <c r="AO962" s="551"/>
      <c r="AP962" s="551"/>
      <c r="AQ962" s="551"/>
      <c r="AR962" s="551"/>
      <c r="AS962" s="551"/>
      <c r="AT962" s="551"/>
      <c r="AU962" s="551"/>
      <c r="AV962" s="551"/>
      <c r="AW962" s="551"/>
      <c r="AX962" s="551"/>
      <c r="AY962" s="551"/>
      <c r="AZ962" s="551"/>
      <c r="BA962" s="551"/>
      <c r="BB962" s="551"/>
      <c r="BC962" s="551"/>
      <c r="BD962" s="551"/>
      <c r="BE962" s="551"/>
      <c r="BF962" s="551"/>
    </row>
    <row r="963" spans="1:58" ht="12.75" customHeight="1">
      <c r="A963" s="551"/>
      <c r="B963" s="551"/>
      <c r="C963" s="551"/>
      <c r="D963" s="551"/>
      <c r="E963" s="551"/>
      <c r="F963" s="551"/>
      <c r="G963" s="551"/>
      <c r="H963" s="551"/>
      <c r="I963" s="551"/>
      <c r="J963" s="551"/>
      <c r="K963" s="551"/>
      <c r="L963" s="551"/>
      <c r="M963" s="551"/>
      <c r="N963" s="551"/>
      <c r="O963" s="551"/>
      <c r="P963" s="551"/>
      <c r="Q963" s="551"/>
      <c r="R963" s="551"/>
      <c r="S963" s="551"/>
      <c r="T963" s="551"/>
      <c r="U963" s="551"/>
      <c r="V963" s="551"/>
      <c r="W963" s="551"/>
      <c r="X963" s="551"/>
      <c r="Y963" s="551"/>
      <c r="Z963" s="551"/>
      <c r="AA963" s="551"/>
      <c r="AB963" s="551"/>
      <c r="AC963" s="551"/>
      <c r="AD963" s="551"/>
      <c r="AE963" s="551"/>
      <c r="AF963" s="551"/>
      <c r="AG963" s="551"/>
      <c r="AH963" s="551"/>
      <c r="AI963" s="551"/>
      <c r="AJ963" s="551"/>
      <c r="AK963" s="551"/>
      <c r="AL963" s="551"/>
      <c r="AM963" s="551"/>
      <c r="AN963" s="551"/>
      <c r="AO963" s="551"/>
      <c r="AP963" s="551"/>
      <c r="AQ963" s="551"/>
      <c r="AR963" s="551"/>
      <c r="AS963" s="551"/>
      <c r="AT963" s="551"/>
      <c r="AU963" s="551"/>
      <c r="AV963" s="551"/>
      <c r="AW963" s="551"/>
      <c r="AX963" s="551"/>
      <c r="AY963" s="551"/>
      <c r="AZ963" s="551"/>
      <c r="BA963" s="551"/>
      <c r="BB963" s="551"/>
      <c r="BC963" s="551"/>
      <c r="BD963" s="551"/>
      <c r="BE963" s="551"/>
      <c r="BF963" s="551"/>
    </row>
    <row r="964" spans="1:58" ht="12.75" customHeight="1">
      <c r="A964" s="551"/>
      <c r="B964" s="551"/>
      <c r="C964" s="551"/>
      <c r="D964" s="551"/>
      <c r="E964" s="551"/>
      <c r="F964" s="551"/>
      <c r="G964" s="551"/>
      <c r="H964" s="551"/>
      <c r="I964" s="551"/>
      <c r="J964" s="551"/>
      <c r="K964" s="551"/>
      <c r="L964" s="551"/>
      <c r="M964" s="551"/>
      <c r="N964" s="551"/>
      <c r="O964" s="551"/>
      <c r="P964" s="551"/>
      <c r="Q964" s="551"/>
      <c r="R964" s="551"/>
      <c r="S964" s="551"/>
      <c r="T964" s="551"/>
      <c r="U964" s="551"/>
      <c r="V964" s="551"/>
      <c r="W964" s="551"/>
      <c r="X964" s="551"/>
      <c r="Y964" s="551"/>
      <c r="Z964" s="551"/>
      <c r="AA964" s="551"/>
      <c r="AB964" s="551"/>
      <c r="AC964" s="551"/>
      <c r="AD964" s="551"/>
      <c r="AE964" s="551"/>
      <c r="AF964" s="551"/>
      <c r="AG964" s="551"/>
      <c r="AH964" s="551"/>
      <c r="AI964" s="551"/>
      <c r="AJ964" s="551"/>
      <c r="AK964" s="551"/>
      <c r="AL964" s="551"/>
      <c r="AM964" s="551"/>
      <c r="AN964" s="551"/>
      <c r="AO964" s="551"/>
      <c r="AP964" s="551"/>
      <c r="AQ964" s="551"/>
      <c r="AR964" s="551"/>
      <c r="AS964" s="551"/>
      <c r="AT964" s="551"/>
      <c r="AU964" s="551"/>
      <c r="AV964" s="551"/>
      <c r="AW964" s="551"/>
      <c r="AX964" s="551"/>
      <c r="AY964" s="551"/>
      <c r="AZ964" s="551"/>
      <c r="BA964" s="551"/>
      <c r="BB964" s="551"/>
      <c r="BC964" s="551"/>
      <c r="BD964" s="551"/>
      <c r="BE964" s="551"/>
      <c r="BF964" s="551"/>
    </row>
    <row r="965" spans="1:58" ht="12.75" customHeight="1">
      <c r="A965" s="551"/>
      <c r="B965" s="551"/>
      <c r="C965" s="551"/>
      <c r="D965" s="551"/>
      <c r="E965" s="551"/>
      <c r="F965" s="551"/>
      <c r="G965" s="551"/>
      <c r="H965" s="551"/>
      <c r="I965" s="551"/>
      <c r="J965" s="551"/>
      <c r="K965" s="551"/>
      <c r="L965" s="551"/>
      <c r="M965" s="551"/>
      <c r="N965" s="551"/>
      <c r="O965" s="551"/>
      <c r="P965" s="551"/>
      <c r="Q965" s="551"/>
      <c r="R965" s="551"/>
      <c r="S965" s="551"/>
      <c r="T965" s="551"/>
      <c r="U965" s="551"/>
      <c r="V965" s="551"/>
      <c r="W965" s="551"/>
      <c r="X965" s="551"/>
      <c r="Y965" s="551"/>
      <c r="Z965" s="551"/>
      <c r="AA965" s="551"/>
      <c r="AB965" s="551"/>
      <c r="AC965" s="551"/>
      <c r="AD965" s="551"/>
      <c r="AE965" s="551"/>
      <c r="AF965" s="551"/>
      <c r="AG965" s="551"/>
      <c r="AH965" s="551"/>
      <c r="AI965" s="551"/>
      <c r="AJ965" s="551"/>
      <c r="AK965" s="551"/>
      <c r="AL965" s="551"/>
      <c r="AM965" s="551"/>
      <c r="AN965" s="551"/>
      <c r="AO965" s="551"/>
      <c r="AP965" s="551"/>
      <c r="AQ965" s="551"/>
      <c r="AR965" s="551"/>
      <c r="AS965" s="551"/>
      <c r="AT965" s="551"/>
      <c r="AU965" s="551"/>
      <c r="AV965" s="551"/>
      <c r="AW965" s="551"/>
      <c r="AX965" s="551"/>
      <c r="AY965" s="551"/>
      <c r="AZ965" s="551"/>
      <c r="BA965" s="551"/>
      <c r="BB965" s="551"/>
      <c r="BC965" s="551"/>
      <c r="BD965" s="551"/>
      <c r="BE965" s="551"/>
      <c r="BF965" s="551"/>
    </row>
    <row r="966" spans="1:58" ht="12.75" customHeight="1">
      <c r="A966" s="551"/>
      <c r="B966" s="551"/>
      <c r="C966" s="551"/>
      <c r="D966" s="551"/>
      <c r="E966" s="551"/>
      <c r="F966" s="551"/>
      <c r="G966" s="551"/>
      <c r="H966" s="551"/>
      <c r="I966" s="551"/>
      <c r="J966" s="551"/>
      <c r="K966" s="551"/>
      <c r="L966" s="551"/>
      <c r="M966" s="551"/>
      <c r="N966" s="551"/>
      <c r="O966" s="551"/>
      <c r="P966" s="551"/>
      <c r="Q966" s="551"/>
      <c r="R966" s="551"/>
      <c r="S966" s="551"/>
      <c r="T966" s="551"/>
      <c r="U966" s="551"/>
      <c r="V966" s="551"/>
      <c r="W966" s="551"/>
      <c r="X966" s="551"/>
      <c r="Y966" s="551"/>
      <c r="Z966" s="551"/>
      <c r="AA966" s="551"/>
      <c r="AB966" s="551"/>
      <c r="AC966" s="551"/>
      <c r="AD966" s="551"/>
      <c r="AE966" s="551"/>
      <c r="AF966" s="551"/>
      <c r="AG966" s="551"/>
      <c r="AH966" s="551"/>
      <c r="AI966" s="551"/>
      <c r="AJ966" s="551"/>
      <c r="AK966" s="551"/>
      <c r="AL966" s="551"/>
      <c r="AM966" s="551"/>
      <c r="AN966" s="551"/>
      <c r="AO966" s="551"/>
      <c r="AP966" s="551"/>
      <c r="AQ966" s="551"/>
      <c r="AR966" s="551"/>
      <c r="AS966" s="551"/>
      <c r="AT966" s="551"/>
      <c r="AU966" s="551"/>
      <c r="AV966" s="551"/>
      <c r="AW966" s="551"/>
      <c r="AX966" s="551"/>
      <c r="AY966" s="551"/>
      <c r="AZ966" s="551"/>
      <c r="BA966" s="551"/>
      <c r="BB966" s="551"/>
      <c r="BC966" s="551"/>
      <c r="BD966" s="551"/>
      <c r="BE966" s="551"/>
      <c r="BF966" s="551"/>
    </row>
    <row r="967" spans="1:58" ht="12.75" customHeight="1">
      <c r="A967" s="551"/>
      <c r="B967" s="551"/>
      <c r="C967" s="551"/>
      <c r="D967" s="551"/>
      <c r="E967" s="551"/>
      <c r="F967" s="551"/>
      <c r="G967" s="551"/>
      <c r="H967" s="551"/>
      <c r="I967" s="551"/>
      <c r="J967" s="551"/>
      <c r="K967" s="551"/>
      <c r="L967" s="551"/>
      <c r="M967" s="551"/>
      <c r="N967" s="551"/>
      <c r="O967" s="551"/>
      <c r="P967" s="551"/>
      <c r="Q967" s="551"/>
      <c r="R967" s="551"/>
      <c r="S967" s="551"/>
      <c r="T967" s="551"/>
      <c r="U967" s="551"/>
      <c r="V967" s="551"/>
      <c r="W967" s="551"/>
      <c r="X967" s="551"/>
      <c r="Y967" s="551"/>
      <c r="Z967" s="551"/>
      <c r="AA967" s="551"/>
      <c r="AB967" s="551"/>
      <c r="AC967" s="551"/>
      <c r="AD967" s="551"/>
      <c r="AE967" s="551"/>
      <c r="AF967" s="551"/>
      <c r="AG967" s="551"/>
      <c r="AH967" s="551"/>
      <c r="AI967" s="551"/>
      <c r="AJ967" s="551"/>
      <c r="AK967" s="551"/>
      <c r="AL967" s="551"/>
      <c r="AM967" s="551"/>
      <c r="AN967" s="551"/>
      <c r="AO967" s="551"/>
      <c r="AP967" s="551"/>
      <c r="AQ967" s="551"/>
      <c r="AR967" s="551"/>
      <c r="AS967" s="551"/>
      <c r="AT967" s="551"/>
      <c r="AU967" s="551"/>
      <c r="AV967" s="551"/>
      <c r="AW967" s="551"/>
      <c r="AX967" s="551"/>
      <c r="AY967" s="551"/>
      <c r="AZ967" s="551"/>
      <c r="BA967" s="551"/>
      <c r="BB967" s="551"/>
      <c r="BC967" s="551"/>
      <c r="BD967" s="551"/>
      <c r="BE967" s="551"/>
      <c r="BF967" s="551"/>
    </row>
    <row r="968" spans="1:58" ht="12.75" customHeight="1">
      <c r="A968" s="551"/>
      <c r="B968" s="551"/>
      <c r="C968" s="551"/>
      <c r="D968" s="551"/>
      <c r="E968" s="551"/>
      <c r="F968" s="551"/>
      <c r="G968" s="551"/>
      <c r="H968" s="551"/>
      <c r="I968" s="551"/>
      <c r="J968" s="551"/>
      <c r="K968" s="551"/>
      <c r="L968" s="551"/>
      <c r="M968" s="551"/>
      <c r="N968" s="551"/>
      <c r="O968" s="551"/>
      <c r="P968" s="551"/>
      <c r="Q968" s="551"/>
      <c r="R968" s="551"/>
      <c r="S968" s="551"/>
      <c r="T968" s="551"/>
      <c r="U968" s="551"/>
      <c r="V968" s="551"/>
      <c r="W968" s="551"/>
      <c r="X968" s="551"/>
      <c r="Y968" s="551"/>
      <c r="Z968" s="551"/>
      <c r="AA968" s="551"/>
      <c r="AB968" s="551"/>
      <c r="AC968" s="551"/>
      <c r="AD968" s="551"/>
      <c r="AE968" s="551"/>
      <c r="AF968" s="551"/>
      <c r="AG968" s="551"/>
      <c r="AH968" s="551"/>
      <c r="AI968" s="551"/>
      <c r="AJ968" s="551"/>
      <c r="AK968" s="551"/>
      <c r="AL968" s="551"/>
      <c r="AM968" s="551"/>
      <c r="AN968" s="551"/>
      <c r="AO968" s="551"/>
      <c r="AP968" s="551"/>
      <c r="AQ968" s="551"/>
      <c r="AR968" s="551"/>
      <c r="AS968" s="551"/>
      <c r="AT968" s="551"/>
      <c r="AU968" s="551"/>
      <c r="AV968" s="551"/>
      <c r="AW968" s="551"/>
      <c r="AX968" s="551"/>
      <c r="AY968" s="551"/>
      <c r="AZ968" s="551"/>
      <c r="BA968" s="551"/>
      <c r="BB968" s="551"/>
      <c r="BC968" s="551"/>
      <c r="BD968" s="551"/>
      <c r="BE968" s="551"/>
      <c r="BF968" s="551"/>
    </row>
    <row r="969" spans="1:58" ht="12.75" customHeight="1">
      <c r="A969" s="551"/>
      <c r="B969" s="551"/>
      <c r="C969" s="551"/>
      <c r="D969" s="551"/>
      <c r="E969" s="551"/>
      <c r="F969" s="551"/>
      <c r="G969" s="551"/>
      <c r="H969" s="551"/>
      <c r="I969" s="551"/>
      <c r="J969" s="551"/>
      <c r="K969" s="551"/>
      <c r="L969" s="551"/>
      <c r="M969" s="551"/>
      <c r="N969" s="551"/>
      <c r="O969" s="551"/>
      <c r="P969" s="551"/>
      <c r="Q969" s="551"/>
      <c r="R969" s="551"/>
      <c r="S969" s="551"/>
      <c r="T969" s="551"/>
      <c r="U969" s="551"/>
      <c r="V969" s="551"/>
      <c r="W969" s="551"/>
      <c r="X969" s="551"/>
      <c r="Y969" s="551"/>
      <c r="Z969" s="551"/>
      <c r="AA969" s="551"/>
      <c r="AB969" s="551"/>
      <c r="AC969" s="551"/>
      <c r="AD969" s="551"/>
      <c r="AE969" s="551"/>
      <c r="AF969" s="551"/>
      <c r="AG969" s="551"/>
      <c r="AH969" s="551"/>
      <c r="AI969" s="551"/>
      <c r="AJ969" s="551"/>
      <c r="AK969" s="551"/>
      <c r="AL969" s="551"/>
      <c r="AM969" s="551"/>
      <c r="AN969" s="551"/>
      <c r="AO969" s="551"/>
      <c r="AP969" s="551"/>
      <c r="AQ969" s="551"/>
      <c r="AR969" s="551"/>
      <c r="AS969" s="551"/>
      <c r="AT969" s="551"/>
      <c r="AU969" s="551"/>
      <c r="AV969" s="551"/>
      <c r="AW969" s="551"/>
      <c r="AX969" s="551"/>
      <c r="AY969" s="551"/>
      <c r="AZ969" s="551"/>
      <c r="BA969" s="551"/>
      <c r="BB969" s="551"/>
      <c r="BC969" s="551"/>
      <c r="BD969" s="551"/>
      <c r="BE969" s="551"/>
      <c r="BF969" s="551"/>
    </row>
    <row r="970" spans="1:58" ht="12.75" customHeight="1">
      <c r="A970" s="551"/>
      <c r="B970" s="551"/>
      <c r="C970" s="551"/>
      <c r="D970" s="551"/>
      <c r="E970" s="551"/>
      <c r="F970" s="551"/>
      <c r="G970" s="551"/>
      <c r="H970" s="551"/>
      <c r="I970" s="551"/>
      <c r="J970" s="551"/>
      <c r="K970" s="551"/>
      <c r="L970" s="551"/>
      <c r="M970" s="551"/>
      <c r="N970" s="551"/>
      <c r="O970" s="551"/>
      <c r="P970" s="551"/>
      <c r="Q970" s="551"/>
      <c r="R970" s="551"/>
      <c r="S970" s="551"/>
      <c r="T970" s="551"/>
      <c r="U970" s="551"/>
      <c r="V970" s="551"/>
      <c r="W970" s="551"/>
      <c r="X970" s="551"/>
      <c r="Y970" s="551"/>
      <c r="Z970" s="551"/>
      <c r="AA970" s="551"/>
      <c r="AB970" s="551"/>
      <c r="AC970" s="551"/>
      <c r="AD970" s="551"/>
      <c r="AE970" s="551"/>
      <c r="AF970" s="551"/>
      <c r="AG970" s="551"/>
      <c r="AH970" s="551"/>
      <c r="AI970" s="551"/>
      <c r="AJ970" s="551"/>
      <c r="AK970" s="551"/>
      <c r="AL970" s="551"/>
      <c r="AM970" s="551"/>
      <c r="AN970" s="551"/>
      <c r="AO970" s="551"/>
      <c r="AP970" s="551"/>
      <c r="AQ970" s="551"/>
      <c r="AR970" s="551"/>
      <c r="AS970" s="551"/>
      <c r="AT970" s="551"/>
      <c r="AU970" s="551"/>
      <c r="AV970" s="551"/>
      <c r="AW970" s="551"/>
      <c r="AX970" s="551"/>
      <c r="AY970" s="551"/>
      <c r="AZ970" s="551"/>
      <c r="BA970" s="551"/>
      <c r="BB970" s="551"/>
      <c r="BC970" s="551"/>
      <c r="BD970" s="551"/>
      <c r="BE970" s="551"/>
      <c r="BF970" s="551"/>
    </row>
    <row r="971" spans="1:58" ht="12.75" customHeight="1">
      <c r="A971" s="551"/>
      <c r="B971" s="551"/>
      <c r="C971" s="551"/>
      <c r="D971" s="551"/>
      <c r="E971" s="551"/>
      <c r="F971" s="551"/>
      <c r="G971" s="551"/>
      <c r="H971" s="551"/>
      <c r="I971" s="551"/>
      <c r="J971" s="551"/>
      <c r="K971" s="551"/>
      <c r="L971" s="551"/>
      <c r="M971" s="551"/>
      <c r="N971" s="551"/>
      <c r="O971" s="551"/>
      <c r="P971" s="551"/>
      <c r="Q971" s="551"/>
      <c r="R971" s="551"/>
      <c r="S971" s="551"/>
      <c r="T971" s="551"/>
      <c r="U971" s="551"/>
      <c r="V971" s="551"/>
      <c r="W971" s="551"/>
      <c r="X971" s="551"/>
      <c r="Y971" s="551"/>
      <c r="Z971" s="551"/>
      <c r="AA971" s="551"/>
      <c r="AB971" s="551"/>
      <c r="AC971" s="551"/>
      <c r="AD971" s="551"/>
      <c r="AE971" s="551"/>
      <c r="AF971" s="551"/>
      <c r="AG971" s="551"/>
      <c r="AH971" s="551"/>
      <c r="AI971" s="551"/>
      <c r="AJ971" s="551"/>
      <c r="AK971" s="551"/>
      <c r="AL971" s="551"/>
      <c r="AM971" s="551"/>
      <c r="AN971" s="551"/>
      <c r="AO971" s="551"/>
      <c r="AP971" s="551"/>
      <c r="AQ971" s="551"/>
      <c r="AR971" s="551"/>
      <c r="AS971" s="551"/>
      <c r="AT971" s="551"/>
      <c r="AU971" s="551"/>
      <c r="AV971" s="551"/>
      <c r="AW971" s="551"/>
      <c r="AX971" s="551"/>
      <c r="AY971" s="551"/>
      <c r="AZ971" s="551"/>
      <c r="BA971" s="551"/>
      <c r="BB971" s="551"/>
      <c r="BC971" s="551"/>
      <c r="BD971" s="551"/>
      <c r="BE971" s="551"/>
      <c r="BF971" s="551"/>
    </row>
    <row r="972" spans="1:58" ht="12.75" customHeight="1">
      <c r="A972" s="551"/>
      <c r="B972" s="551"/>
      <c r="C972" s="551"/>
      <c r="D972" s="551"/>
      <c r="E972" s="551"/>
      <c r="F972" s="551"/>
      <c r="G972" s="551"/>
      <c r="H972" s="551"/>
      <c r="I972" s="551"/>
      <c r="J972" s="551"/>
      <c r="K972" s="551"/>
      <c r="L972" s="551"/>
      <c r="M972" s="551"/>
      <c r="N972" s="551"/>
      <c r="O972" s="551"/>
      <c r="P972" s="551"/>
      <c r="Q972" s="551"/>
      <c r="R972" s="551"/>
      <c r="S972" s="551"/>
      <c r="T972" s="551"/>
      <c r="U972" s="551"/>
      <c r="V972" s="551"/>
      <c r="W972" s="551"/>
      <c r="X972" s="551"/>
      <c r="Y972" s="551"/>
      <c r="Z972" s="551"/>
      <c r="AA972" s="551"/>
      <c r="AB972" s="551"/>
      <c r="AC972" s="551"/>
      <c r="AD972" s="551"/>
      <c r="AE972" s="551"/>
      <c r="AF972" s="551"/>
      <c r="AG972" s="551"/>
      <c r="AH972" s="551"/>
      <c r="AI972" s="551"/>
      <c r="AJ972" s="551"/>
      <c r="AK972" s="551"/>
      <c r="AL972" s="551"/>
      <c r="AM972" s="551"/>
      <c r="AN972" s="551"/>
      <c r="AO972" s="551"/>
      <c r="AP972" s="551"/>
      <c r="AQ972" s="551"/>
      <c r="AR972" s="551"/>
      <c r="AS972" s="551"/>
      <c r="AT972" s="551"/>
      <c r="AU972" s="551"/>
      <c r="AV972" s="551"/>
      <c r="AW972" s="551"/>
      <c r="AX972" s="551"/>
      <c r="AY972" s="551"/>
      <c r="AZ972" s="551"/>
      <c r="BA972" s="551"/>
      <c r="BB972" s="551"/>
      <c r="BC972" s="551"/>
      <c r="BD972" s="551"/>
      <c r="BE972" s="551"/>
      <c r="BF972" s="551"/>
    </row>
    <row r="973" spans="1:58" ht="12.75" customHeight="1">
      <c r="A973" s="551"/>
      <c r="B973" s="551"/>
      <c r="C973" s="551"/>
      <c r="D973" s="551"/>
      <c r="E973" s="551"/>
      <c r="F973" s="551"/>
      <c r="G973" s="551"/>
      <c r="H973" s="551"/>
      <c r="I973" s="551"/>
      <c r="J973" s="551"/>
      <c r="K973" s="551"/>
      <c r="L973" s="551"/>
      <c r="M973" s="551"/>
      <c r="N973" s="551"/>
      <c r="O973" s="551"/>
      <c r="P973" s="551"/>
      <c r="Q973" s="551"/>
      <c r="R973" s="551"/>
      <c r="S973" s="551"/>
      <c r="T973" s="551"/>
      <c r="U973" s="551"/>
      <c r="V973" s="551"/>
      <c r="W973" s="551"/>
      <c r="X973" s="551"/>
      <c r="Y973" s="551"/>
      <c r="Z973" s="551"/>
      <c r="AA973" s="551"/>
      <c r="AB973" s="551"/>
      <c r="AC973" s="551"/>
      <c r="AD973" s="551"/>
      <c r="AE973" s="551"/>
      <c r="AF973" s="551"/>
      <c r="AG973" s="551"/>
      <c r="AH973" s="551"/>
      <c r="AI973" s="551"/>
      <c r="AJ973" s="551"/>
      <c r="AK973" s="551"/>
      <c r="AL973" s="551"/>
      <c r="AM973" s="551"/>
      <c r="AN973" s="551"/>
      <c r="AO973" s="551"/>
      <c r="AP973" s="551"/>
      <c r="AQ973" s="551"/>
      <c r="AR973" s="551"/>
      <c r="AS973" s="551"/>
      <c r="AT973" s="551"/>
      <c r="AU973" s="551"/>
      <c r="AV973" s="551"/>
      <c r="AW973" s="551"/>
      <c r="AX973" s="551"/>
      <c r="AY973" s="551"/>
      <c r="AZ973" s="551"/>
      <c r="BA973" s="551"/>
      <c r="BB973" s="551"/>
      <c r="BC973" s="551"/>
      <c r="BD973" s="551"/>
      <c r="BE973" s="551"/>
      <c r="BF973" s="551"/>
    </row>
    <row r="974" spans="1:58" ht="12.75" customHeight="1">
      <c r="A974" s="551"/>
      <c r="B974" s="551"/>
      <c r="C974" s="551"/>
      <c r="D974" s="551"/>
      <c r="E974" s="551"/>
      <c r="F974" s="551"/>
      <c r="G974" s="551"/>
      <c r="H974" s="551"/>
      <c r="I974" s="551"/>
      <c r="J974" s="551"/>
      <c r="K974" s="551"/>
      <c r="L974" s="551"/>
      <c r="M974" s="551"/>
      <c r="N974" s="551"/>
      <c r="O974" s="551"/>
      <c r="P974" s="551"/>
      <c r="Q974" s="551"/>
      <c r="R974" s="551"/>
      <c r="S974" s="551"/>
      <c r="T974" s="551"/>
      <c r="U974" s="551"/>
      <c r="V974" s="551"/>
      <c r="W974" s="551"/>
      <c r="X974" s="551"/>
      <c r="Y974" s="551"/>
      <c r="Z974" s="551"/>
      <c r="AA974" s="551"/>
      <c r="AB974" s="551"/>
      <c r="AC974" s="551"/>
      <c r="AD974" s="551"/>
      <c r="AE974" s="551"/>
      <c r="AF974" s="551"/>
      <c r="AG974" s="551"/>
      <c r="AH974" s="551"/>
      <c r="AI974" s="551"/>
      <c r="AJ974" s="551"/>
      <c r="AK974" s="551"/>
      <c r="AL974" s="551"/>
      <c r="AM974" s="551"/>
      <c r="AN974" s="551"/>
      <c r="AO974" s="551"/>
      <c r="AP974" s="551"/>
      <c r="AQ974" s="551"/>
      <c r="AR974" s="551"/>
      <c r="AS974" s="551"/>
      <c r="AT974" s="551"/>
      <c r="AU974" s="551"/>
      <c r="AV974" s="551"/>
      <c r="AW974" s="551"/>
      <c r="AX974" s="551"/>
      <c r="AY974" s="551"/>
      <c r="AZ974" s="551"/>
      <c r="BA974" s="551"/>
      <c r="BB974" s="551"/>
      <c r="BC974" s="551"/>
      <c r="BD974" s="551"/>
      <c r="BE974" s="551"/>
      <c r="BF974" s="551"/>
    </row>
    <row r="975" spans="1:58" ht="12.75" customHeight="1">
      <c r="A975" s="551"/>
      <c r="B975" s="551"/>
      <c r="C975" s="551"/>
      <c r="D975" s="551"/>
      <c r="E975" s="551"/>
      <c r="F975" s="551"/>
      <c r="G975" s="551"/>
      <c r="H975" s="551"/>
      <c r="I975" s="551"/>
      <c r="J975" s="551"/>
      <c r="K975" s="551"/>
      <c r="L975" s="551"/>
      <c r="M975" s="551"/>
      <c r="N975" s="551"/>
      <c r="O975" s="551"/>
      <c r="P975" s="551"/>
      <c r="Q975" s="551"/>
      <c r="R975" s="551"/>
      <c r="S975" s="551"/>
      <c r="T975" s="551"/>
      <c r="U975" s="551"/>
      <c r="V975" s="551"/>
      <c r="W975" s="551"/>
      <c r="X975" s="551"/>
      <c r="Y975" s="551"/>
      <c r="Z975" s="551"/>
      <c r="AA975" s="551"/>
      <c r="AB975" s="551"/>
      <c r="AC975" s="551"/>
      <c r="AD975" s="551"/>
      <c r="AE975" s="551"/>
      <c r="AF975" s="551"/>
      <c r="AG975" s="551"/>
      <c r="AH975" s="551"/>
      <c r="AI975" s="551"/>
      <c r="AJ975" s="551"/>
      <c r="AK975" s="551"/>
      <c r="AL975" s="551"/>
      <c r="AM975" s="551"/>
      <c r="AN975" s="551"/>
      <c r="AO975" s="551"/>
      <c r="AP975" s="551"/>
      <c r="AQ975" s="551"/>
      <c r="AR975" s="551"/>
      <c r="AS975" s="551"/>
      <c r="AT975" s="551"/>
      <c r="AU975" s="551"/>
      <c r="AV975" s="551"/>
      <c r="AW975" s="551"/>
      <c r="AX975" s="551"/>
      <c r="AY975" s="551"/>
      <c r="AZ975" s="551"/>
      <c r="BA975" s="551"/>
      <c r="BB975" s="551"/>
      <c r="BC975" s="551"/>
      <c r="BD975" s="551"/>
      <c r="BE975" s="551"/>
      <c r="BF975" s="551"/>
    </row>
    <row r="976" spans="1:58" ht="12.75" customHeight="1">
      <c r="A976" s="551"/>
      <c r="B976" s="551"/>
      <c r="C976" s="551"/>
      <c r="D976" s="551"/>
      <c r="E976" s="551"/>
      <c r="F976" s="551"/>
      <c r="G976" s="551"/>
      <c r="H976" s="551"/>
      <c r="I976" s="551"/>
      <c r="J976" s="551"/>
      <c r="K976" s="551"/>
      <c r="L976" s="551"/>
      <c r="M976" s="551"/>
      <c r="N976" s="551"/>
      <c r="O976" s="551"/>
      <c r="P976" s="551"/>
      <c r="Q976" s="551"/>
      <c r="R976" s="551"/>
      <c r="S976" s="551"/>
      <c r="T976" s="551"/>
      <c r="U976" s="551"/>
      <c r="V976" s="551"/>
      <c r="W976" s="551"/>
      <c r="X976" s="551"/>
      <c r="Y976" s="551"/>
      <c r="Z976" s="551"/>
      <c r="AA976" s="551"/>
      <c r="AB976" s="551"/>
      <c r="AC976" s="551"/>
      <c r="AD976" s="551"/>
      <c r="AE976" s="551"/>
      <c r="AF976" s="551"/>
      <c r="AG976" s="551"/>
      <c r="AH976" s="551"/>
      <c r="AI976" s="551"/>
      <c r="AJ976" s="551"/>
      <c r="AK976" s="551"/>
      <c r="AL976" s="551"/>
      <c r="AM976" s="551"/>
      <c r="AN976" s="551"/>
      <c r="AO976" s="551"/>
      <c r="AP976" s="551"/>
      <c r="AQ976" s="551"/>
      <c r="AR976" s="551"/>
      <c r="AS976" s="551"/>
      <c r="AT976" s="551"/>
      <c r="AU976" s="551"/>
      <c r="AV976" s="551"/>
      <c r="AW976" s="551"/>
      <c r="AX976" s="551"/>
      <c r="AY976" s="551"/>
      <c r="AZ976" s="551"/>
      <c r="BA976" s="551"/>
      <c r="BB976" s="551"/>
      <c r="BC976" s="551"/>
      <c r="BD976" s="551"/>
      <c r="BE976" s="551"/>
      <c r="BF976" s="551"/>
    </row>
    <row r="977" spans="1:58" ht="12.75" customHeight="1">
      <c r="A977" s="551"/>
      <c r="B977" s="551"/>
      <c r="C977" s="551"/>
      <c r="D977" s="551"/>
      <c r="E977" s="551"/>
      <c r="F977" s="551"/>
      <c r="G977" s="551"/>
      <c r="H977" s="551"/>
      <c r="I977" s="551"/>
      <c r="J977" s="551"/>
      <c r="K977" s="551"/>
      <c r="L977" s="551"/>
      <c r="M977" s="551"/>
      <c r="N977" s="551"/>
      <c r="O977" s="551"/>
      <c r="P977" s="551"/>
      <c r="Q977" s="551"/>
      <c r="R977" s="551"/>
      <c r="S977" s="551"/>
      <c r="T977" s="551"/>
      <c r="U977" s="551"/>
      <c r="V977" s="551"/>
      <c r="W977" s="551"/>
      <c r="X977" s="551"/>
      <c r="Y977" s="551"/>
      <c r="Z977" s="551"/>
      <c r="AA977" s="551"/>
      <c r="AB977" s="551"/>
      <c r="AC977" s="551"/>
      <c r="AD977" s="551"/>
      <c r="AE977" s="551"/>
      <c r="AF977" s="551"/>
      <c r="AG977" s="551"/>
      <c r="AH977" s="551"/>
      <c r="AI977" s="551"/>
      <c r="AJ977" s="551"/>
      <c r="AK977" s="551"/>
      <c r="AL977" s="551"/>
      <c r="AM977" s="551"/>
      <c r="AN977" s="551"/>
      <c r="AO977" s="551"/>
      <c r="AP977" s="551"/>
      <c r="AQ977" s="551"/>
      <c r="AR977" s="551"/>
      <c r="AS977" s="551"/>
      <c r="AT977" s="551"/>
      <c r="AU977" s="551"/>
      <c r="AV977" s="551"/>
      <c r="AW977" s="551"/>
      <c r="AX977" s="551"/>
      <c r="AY977" s="551"/>
      <c r="AZ977" s="551"/>
      <c r="BA977" s="551"/>
      <c r="BB977" s="551"/>
      <c r="BC977" s="551"/>
      <c r="BD977" s="551"/>
      <c r="BE977" s="551"/>
      <c r="BF977" s="551"/>
    </row>
    <row r="978" spans="1:58" ht="12.75" customHeight="1">
      <c r="A978" s="551"/>
      <c r="B978" s="551"/>
      <c r="C978" s="551"/>
      <c r="D978" s="551"/>
      <c r="E978" s="551"/>
      <c r="F978" s="551"/>
      <c r="G978" s="551"/>
      <c r="H978" s="551"/>
      <c r="I978" s="551"/>
      <c r="J978" s="551"/>
      <c r="K978" s="551"/>
      <c r="L978" s="551"/>
      <c r="M978" s="551"/>
      <c r="N978" s="551"/>
      <c r="O978" s="551"/>
      <c r="P978" s="551"/>
      <c r="Q978" s="551"/>
      <c r="R978" s="551"/>
      <c r="S978" s="551"/>
      <c r="T978" s="551"/>
      <c r="U978" s="551"/>
      <c r="V978" s="551"/>
      <c r="W978" s="551"/>
      <c r="X978" s="551"/>
      <c r="Y978" s="551"/>
      <c r="Z978" s="551"/>
      <c r="AA978" s="551"/>
      <c r="AB978" s="551"/>
      <c r="AC978" s="551"/>
      <c r="AD978" s="551"/>
      <c r="AE978" s="551"/>
      <c r="AF978" s="551"/>
      <c r="AG978" s="551"/>
      <c r="AH978" s="551"/>
      <c r="AI978" s="551"/>
      <c r="AJ978" s="551"/>
      <c r="AK978" s="551"/>
      <c r="AL978" s="551"/>
      <c r="AM978" s="551"/>
      <c r="AN978" s="551"/>
      <c r="AO978" s="551"/>
      <c r="AP978" s="551"/>
      <c r="AQ978" s="551"/>
      <c r="AR978" s="551"/>
      <c r="AS978" s="551"/>
      <c r="AT978" s="551"/>
      <c r="AU978" s="551"/>
      <c r="AV978" s="551"/>
      <c r="AW978" s="551"/>
      <c r="AX978" s="551"/>
      <c r="AY978" s="551"/>
      <c r="AZ978" s="551"/>
      <c r="BA978" s="551"/>
      <c r="BB978" s="551"/>
      <c r="BC978" s="551"/>
      <c r="BD978" s="551"/>
      <c r="BE978" s="551"/>
      <c r="BF978" s="551"/>
    </row>
    <row r="979" spans="1:58" ht="12.75" customHeight="1">
      <c r="A979" s="551"/>
      <c r="B979" s="551"/>
      <c r="C979" s="551"/>
      <c r="D979" s="551"/>
      <c r="E979" s="551"/>
      <c r="F979" s="551"/>
      <c r="G979" s="551"/>
      <c r="H979" s="551"/>
      <c r="I979" s="551"/>
      <c r="J979" s="551"/>
      <c r="K979" s="551"/>
      <c r="L979" s="551"/>
      <c r="M979" s="551"/>
      <c r="N979" s="551"/>
      <c r="O979" s="551"/>
      <c r="P979" s="551"/>
      <c r="Q979" s="551"/>
      <c r="R979" s="551"/>
      <c r="S979" s="551"/>
      <c r="T979" s="551"/>
      <c r="U979" s="551"/>
      <c r="V979" s="551"/>
      <c r="W979" s="551"/>
      <c r="X979" s="551"/>
      <c r="Y979" s="551"/>
      <c r="Z979" s="551"/>
      <c r="AA979" s="551"/>
      <c r="AB979" s="551"/>
      <c r="AC979" s="551"/>
      <c r="AD979" s="551"/>
      <c r="AE979" s="551"/>
      <c r="AF979" s="551"/>
      <c r="AG979" s="551"/>
      <c r="AH979" s="551"/>
      <c r="AI979" s="551"/>
      <c r="AJ979" s="551"/>
      <c r="AK979" s="551"/>
      <c r="AL979" s="551"/>
      <c r="AM979" s="551"/>
      <c r="AN979" s="551"/>
      <c r="AO979" s="551"/>
      <c r="AP979" s="551"/>
      <c r="AQ979" s="551"/>
      <c r="AR979" s="551"/>
      <c r="AS979" s="551"/>
      <c r="AT979" s="551"/>
      <c r="AU979" s="551"/>
      <c r="AV979" s="551"/>
      <c r="AW979" s="551"/>
      <c r="AX979" s="551"/>
      <c r="AY979" s="551"/>
      <c r="AZ979" s="551"/>
      <c r="BA979" s="551"/>
      <c r="BB979" s="551"/>
      <c r="BC979" s="551"/>
      <c r="BD979" s="551"/>
      <c r="BE979" s="551"/>
      <c r="BF979" s="551"/>
    </row>
    <row r="980" spans="1:58" ht="12.75" customHeight="1">
      <c r="A980" s="551"/>
      <c r="B980" s="551"/>
      <c r="C980" s="551"/>
      <c r="D980" s="551"/>
      <c r="E980" s="551"/>
      <c r="F980" s="551"/>
      <c r="G980" s="551"/>
      <c r="H980" s="551"/>
      <c r="I980" s="551"/>
      <c r="J980" s="551"/>
      <c r="K980" s="551"/>
      <c r="L980" s="551"/>
      <c r="M980" s="551"/>
      <c r="N980" s="551"/>
      <c r="O980" s="551"/>
      <c r="P980" s="551"/>
      <c r="Q980" s="551"/>
      <c r="R980" s="551"/>
      <c r="S980" s="551"/>
      <c r="T980" s="551"/>
      <c r="U980" s="551"/>
      <c r="V980" s="551"/>
      <c r="W980" s="551"/>
      <c r="X980" s="551"/>
      <c r="Y980" s="551"/>
      <c r="Z980" s="551"/>
      <c r="AA980" s="551"/>
      <c r="AB980" s="551"/>
      <c r="AC980" s="551"/>
      <c r="AD980" s="551"/>
      <c r="AE980" s="551"/>
      <c r="AF980" s="551"/>
      <c r="AG980" s="551"/>
      <c r="AH980" s="551"/>
      <c r="AI980" s="551"/>
      <c r="AJ980" s="551"/>
      <c r="AK980" s="551"/>
      <c r="AL980" s="551"/>
      <c r="AM980" s="551"/>
      <c r="AN980" s="551"/>
      <c r="AO980" s="551"/>
      <c r="AP980" s="551"/>
      <c r="AQ980" s="551"/>
      <c r="AR980" s="551"/>
      <c r="AS980" s="551"/>
      <c r="AT980" s="551"/>
      <c r="AU980" s="551"/>
      <c r="AV980" s="551"/>
      <c r="AW980" s="551"/>
      <c r="AX980" s="551"/>
      <c r="AY980" s="551"/>
      <c r="AZ980" s="551"/>
      <c r="BA980" s="551"/>
      <c r="BB980" s="551"/>
      <c r="BC980" s="551"/>
      <c r="BD980" s="551"/>
      <c r="BE980" s="551"/>
      <c r="BF980" s="551"/>
    </row>
    <row r="981" spans="1:58" ht="12.75" customHeight="1">
      <c r="A981" s="551"/>
      <c r="B981" s="551"/>
      <c r="C981" s="551"/>
      <c r="D981" s="551"/>
      <c r="E981" s="551"/>
      <c r="F981" s="551"/>
      <c r="G981" s="551"/>
      <c r="H981" s="551"/>
      <c r="I981" s="551"/>
      <c r="J981" s="551"/>
      <c r="K981" s="551"/>
      <c r="L981" s="551"/>
      <c r="M981" s="551"/>
      <c r="N981" s="551"/>
      <c r="O981" s="551"/>
      <c r="P981" s="551"/>
      <c r="Q981" s="551"/>
      <c r="R981" s="551"/>
      <c r="S981" s="551"/>
      <c r="T981" s="551"/>
      <c r="U981" s="551"/>
      <c r="V981" s="551"/>
      <c r="W981" s="551"/>
      <c r="X981" s="551"/>
      <c r="Y981" s="551"/>
      <c r="Z981" s="551"/>
      <c r="AA981" s="551"/>
      <c r="AB981" s="551"/>
      <c r="AC981" s="551"/>
      <c r="AD981" s="551"/>
      <c r="AE981" s="551"/>
      <c r="AF981" s="551"/>
      <c r="AG981" s="551"/>
      <c r="AH981" s="551"/>
      <c r="AI981" s="551"/>
      <c r="AJ981" s="551"/>
      <c r="AK981" s="551"/>
      <c r="AL981" s="551"/>
      <c r="AM981" s="551"/>
      <c r="AN981" s="551"/>
      <c r="AO981" s="551"/>
      <c r="AP981" s="551"/>
      <c r="AQ981" s="551"/>
      <c r="AR981" s="551"/>
      <c r="AS981" s="551"/>
      <c r="AT981" s="551"/>
      <c r="AU981" s="551"/>
      <c r="AV981" s="551"/>
      <c r="AW981" s="551"/>
      <c r="AX981" s="551"/>
      <c r="AY981" s="551"/>
      <c r="AZ981" s="551"/>
      <c r="BA981" s="551"/>
      <c r="BB981" s="551"/>
      <c r="BC981" s="551"/>
      <c r="BD981" s="551"/>
      <c r="BE981" s="551"/>
      <c r="BF981" s="551"/>
    </row>
    <row r="982" spans="1:58" ht="12.75" customHeight="1">
      <c r="A982" s="551"/>
      <c r="B982" s="551"/>
      <c r="C982" s="551"/>
      <c r="D982" s="551"/>
      <c r="E982" s="551"/>
      <c r="F982" s="551"/>
      <c r="G982" s="551"/>
      <c r="H982" s="551"/>
      <c r="I982" s="551"/>
      <c r="J982" s="551"/>
      <c r="K982" s="551"/>
      <c r="L982" s="551"/>
      <c r="M982" s="551"/>
      <c r="N982" s="551"/>
      <c r="O982" s="551"/>
      <c r="P982" s="551"/>
      <c r="Q982" s="551"/>
      <c r="R982" s="551"/>
      <c r="S982" s="551"/>
      <c r="T982" s="551"/>
      <c r="U982" s="551"/>
      <c r="V982" s="551"/>
      <c r="W982" s="551"/>
      <c r="X982" s="551"/>
      <c r="Y982" s="551"/>
      <c r="Z982" s="551"/>
      <c r="AA982" s="551"/>
      <c r="AB982" s="551"/>
      <c r="AC982" s="551"/>
      <c r="AD982" s="551"/>
      <c r="AE982" s="551"/>
      <c r="AF982" s="551"/>
      <c r="AG982" s="551"/>
      <c r="AH982" s="551"/>
      <c r="AI982" s="551"/>
      <c r="AJ982" s="551"/>
      <c r="AK982" s="551"/>
      <c r="AL982" s="551"/>
      <c r="AM982" s="551"/>
      <c r="AN982" s="551"/>
      <c r="AO982" s="551"/>
      <c r="AP982" s="551"/>
      <c r="AQ982" s="551"/>
      <c r="AR982" s="551"/>
      <c r="AS982" s="551"/>
      <c r="AT982" s="551"/>
      <c r="AU982" s="551"/>
      <c r="AV982" s="551"/>
      <c r="AW982" s="551"/>
      <c r="AX982" s="551"/>
      <c r="AY982" s="551"/>
      <c r="AZ982" s="551"/>
      <c r="BA982" s="551"/>
      <c r="BB982" s="551"/>
      <c r="BC982" s="551"/>
      <c r="BD982" s="551"/>
      <c r="BE982" s="551"/>
      <c r="BF982" s="551"/>
    </row>
    <row r="983" spans="1:58" ht="12.75" customHeight="1">
      <c r="A983" s="551"/>
      <c r="B983" s="551"/>
      <c r="C983" s="551"/>
      <c r="D983" s="551"/>
      <c r="E983" s="551"/>
      <c r="F983" s="551"/>
      <c r="G983" s="551"/>
      <c r="H983" s="551"/>
      <c r="I983" s="551"/>
      <c r="J983" s="551"/>
      <c r="K983" s="551"/>
      <c r="L983" s="551"/>
      <c r="M983" s="551"/>
      <c r="N983" s="551"/>
      <c r="O983" s="551"/>
      <c r="P983" s="551"/>
      <c r="Q983" s="551"/>
      <c r="R983" s="551"/>
      <c r="S983" s="551"/>
      <c r="T983" s="551"/>
      <c r="U983" s="551"/>
      <c r="V983" s="551"/>
      <c r="W983" s="551"/>
      <c r="X983" s="551"/>
      <c r="Y983" s="551"/>
      <c r="Z983" s="551"/>
      <c r="AA983" s="551"/>
      <c r="AB983" s="551"/>
      <c r="AC983" s="551"/>
      <c r="AD983" s="551"/>
      <c r="AE983" s="551"/>
      <c r="AF983" s="551"/>
      <c r="AG983" s="551"/>
      <c r="AH983" s="551"/>
      <c r="AI983" s="551"/>
      <c r="AJ983" s="551"/>
      <c r="AK983" s="551"/>
      <c r="AL983" s="551"/>
      <c r="AM983" s="551"/>
      <c r="AN983" s="551"/>
      <c r="AO983" s="551"/>
      <c r="AP983" s="551"/>
      <c r="AQ983" s="551"/>
      <c r="AR983" s="551"/>
      <c r="AS983" s="551"/>
      <c r="AT983" s="551"/>
      <c r="AU983" s="551"/>
      <c r="AV983" s="551"/>
      <c r="AW983" s="551"/>
      <c r="AX983" s="551"/>
      <c r="AY983" s="551"/>
      <c r="AZ983" s="551"/>
      <c r="BA983" s="551"/>
      <c r="BB983" s="551"/>
      <c r="BC983" s="551"/>
      <c r="BD983" s="551"/>
      <c r="BE983" s="551"/>
      <c r="BF983" s="551"/>
    </row>
    <row r="984" spans="1:58" ht="12.75" customHeight="1">
      <c r="A984" s="551"/>
      <c r="B984" s="551"/>
      <c r="C984" s="551"/>
      <c r="D984" s="551"/>
      <c r="E984" s="551"/>
      <c r="F984" s="551"/>
      <c r="G984" s="551"/>
      <c r="H984" s="551"/>
      <c r="I984" s="551"/>
      <c r="J984" s="551"/>
      <c r="K984" s="551"/>
      <c r="L984" s="551"/>
      <c r="M984" s="551"/>
      <c r="N984" s="551"/>
      <c r="O984" s="551"/>
      <c r="P984" s="551"/>
      <c r="Q984" s="551"/>
      <c r="R984" s="551"/>
      <c r="S984" s="551"/>
      <c r="T984" s="551"/>
      <c r="U984" s="551"/>
      <c r="V984" s="551"/>
      <c r="W984" s="551"/>
      <c r="X984" s="551"/>
      <c r="Y984" s="551"/>
      <c r="Z984" s="551"/>
      <c r="AA984" s="551"/>
      <c r="AB984" s="551"/>
      <c r="AC984" s="551"/>
      <c r="AD984" s="551"/>
      <c r="AE984" s="551"/>
      <c r="AF984" s="551"/>
      <c r="AG984" s="551"/>
      <c r="AH984" s="551"/>
      <c r="AI984" s="551"/>
      <c r="AJ984" s="551"/>
      <c r="AK984" s="551"/>
      <c r="AL984" s="551"/>
      <c r="AM984" s="551"/>
      <c r="AN984" s="551"/>
      <c r="AO984" s="551"/>
      <c r="AP984" s="551"/>
      <c r="AQ984" s="551"/>
      <c r="AR984" s="551"/>
      <c r="AS984" s="551"/>
      <c r="AT984" s="551"/>
      <c r="AU984" s="551"/>
      <c r="AV984" s="551"/>
      <c r="AW984" s="551"/>
      <c r="AX984" s="551"/>
      <c r="AY984" s="551"/>
      <c r="AZ984" s="551"/>
      <c r="BA984" s="551"/>
      <c r="BB984" s="551"/>
      <c r="BC984" s="551"/>
      <c r="BD984" s="551"/>
      <c r="BE984" s="551"/>
      <c r="BF984" s="551"/>
    </row>
    <row r="985" spans="1:58" ht="12.75" customHeight="1">
      <c r="A985" s="551"/>
      <c r="B985" s="551"/>
      <c r="C985" s="551"/>
      <c r="D985" s="551"/>
      <c r="E985" s="551"/>
      <c r="F985" s="551"/>
      <c r="G985" s="551"/>
      <c r="H985" s="551"/>
      <c r="I985" s="551"/>
      <c r="J985" s="551"/>
      <c r="K985" s="551"/>
      <c r="L985" s="551"/>
      <c r="M985" s="551"/>
      <c r="N985" s="551"/>
      <c r="O985" s="551"/>
      <c r="P985" s="551"/>
      <c r="Q985" s="551"/>
      <c r="R985" s="551"/>
      <c r="S985" s="551"/>
      <c r="T985" s="551"/>
      <c r="U985" s="551"/>
      <c r="V985" s="551"/>
      <c r="W985" s="551"/>
      <c r="X985" s="551"/>
      <c r="Y985" s="551"/>
      <c r="Z985" s="551"/>
      <c r="AA985" s="551"/>
      <c r="AB985" s="551"/>
      <c r="AC985" s="551"/>
      <c r="AD985" s="551"/>
      <c r="AE985" s="551"/>
      <c r="AF985" s="551"/>
      <c r="AG985" s="551"/>
      <c r="AH985" s="551"/>
      <c r="AI985" s="551"/>
      <c r="AJ985" s="551"/>
      <c r="AK985" s="551"/>
      <c r="AL985" s="551"/>
      <c r="AM985" s="551"/>
      <c r="AN985" s="551"/>
      <c r="AO985" s="551"/>
      <c r="AP985" s="551"/>
      <c r="AQ985" s="551"/>
      <c r="AR985" s="551"/>
      <c r="AS985" s="551"/>
      <c r="AT985" s="551"/>
      <c r="AU985" s="551"/>
      <c r="AV985" s="551"/>
      <c r="AW985" s="551"/>
      <c r="AX985" s="551"/>
      <c r="AY985" s="551"/>
      <c r="AZ985" s="551"/>
      <c r="BA985" s="551"/>
      <c r="BB985" s="551"/>
      <c r="BC985" s="551"/>
      <c r="BD985" s="551"/>
      <c r="BE985" s="551"/>
      <c r="BF985" s="551"/>
    </row>
    <row r="986" spans="1:58" ht="12.75" customHeight="1">
      <c r="A986" s="551"/>
      <c r="B986" s="551"/>
      <c r="C986" s="551"/>
      <c r="D986" s="551"/>
      <c r="E986" s="551"/>
      <c r="F986" s="551"/>
      <c r="G986" s="551"/>
      <c r="H986" s="551"/>
      <c r="I986" s="551"/>
      <c r="J986" s="551"/>
      <c r="K986" s="551"/>
      <c r="L986" s="551"/>
      <c r="M986" s="551"/>
      <c r="N986" s="551"/>
      <c r="O986" s="551"/>
      <c r="P986" s="551"/>
      <c r="Q986" s="551"/>
      <c r="R986" s="551"/>
      <c r="S986" s="551"/>
      <c r="T986" s="551"/>
      <c r="U986" s="551"/>
      <c r="V986" s="551"/>
      <c r="W986" s="551"/>
      <c r="X986" s="551"/>
      <c r="Y986" s="551"/>
      <c r="Z986" s="551"/>
      <c r="AA986" s="551"/>
      <c r="AB986" s="551"/>
      <c r="AC986" s="551"/>
      <c r="AD986" s="551"/>
      <c r="AE986" s="551"/>
      <c r="AF986" s="551"/>
      <c r="AG986" s="551"/>
      <c r="AH986" s="551"/>
      <c r="AI986" s="551"/>
      <c r="AJ986" s="551"/>
      <c r="AK986" s="551"/>
      <c r="AL986" s="551"/>
      <c r="AM986" s="551"/>
      <c r="AN986" s="551"/>
      <c r="AO986" s="551"/>
      <c r="AP986" s="551"/>
      <c r="AQ986" s="551"/>
      <c r="AR986" s="551"/>
      <c r="AS986" s="551"/>
      <c r="AT986" s="551"/>
      <c r="AU986" s="551"/>
      <c r="AV986" s="551"/>
      <c r="AW986" s="551"/>
      <c r="AX986" s="551"/>
      <c r="AY986" s="551"/>
      <c r="AZ986" s="551"/>
      <c r="BA986" s="551"/>
      <c r="BB986" s="551"/>
      <c r="BC986" s="551"/>
      <c r="BD986" s="551"/>
      <c r="BE986" s="551"/>
      <c r="BF986" s="551"/>
    </row>
    <row r="987" spans="1:58" ht="12.75" customHeight="1">
      <c r="A987" s="551"/>
      <c r="B987" s="551"/>
      <c r="C987" s="551"/>
      <c r="D987" s="551"/>
      <c r="E987" s="551"/>
      <c r="F987" s="551"/>
      <c r="G987" s="551"/>
      <c r="H987" s="551"/>
      <c r="I987" s="551"/>
      <c r="J987" s="551"/>
      <c r="K987" s="551"/>
      <c r="L987" s="551"/>
      <c r="M987" s="551"/>
      <c r="N987" s="551"/>
      <c r="O987" s="551"/>
      <c r="P987" s="551"/>
      <c r="Q987" s="551"/>
      <c r="R987" s="551"/>
      <c r="S987" s="551"/>
      <c r="T987" s="551"/>
      <c r="U987" s="551"/>
      <c r="V987" s="551"/>
      <c r="W987" s="551"/>
      <c r="X987" s="551"/>
      <c r="Y987" s="551"/>
      <c r="Z987" s="551"/>
      <c r="AA987" s="551"/>
      <c r="AB987" s="551"/>
      <c r="AC987" s="551"/>
      <c r="AD987" s="551"/>
      <c r="AE987" s="551"/>
      <c r="AF987" s="551"/>
      <c r="AG987" s="551"/>
      <c r="AH987" s="551"/>
      <c r="AI987" s="551"/>
      <c r="AJ987" s="551"/>
      <c r="AK987" s="551"/>
      <c r="AL987" s="551"/>
      <c r="AM987" s="551"/>
      <c r="AN987" s="551"/>
      <c r="AO987" s="551"/>
      <c r="AP987" s="551"/>
      <c r="AQ987" s="551"/>
      <c r="AR987" s="551"/>
      <c r="AS987" s="551"/>
      <c r="AT987" s="551"/>
      <c r="AU987" s="551"/>
      <c r="AV987" s="551"/>
      <c r="AW987" s="551"/>
      <c r="AX987" s="551"/>
      <c r="AY987" s="551"/>
      <c r="AZ987" s="551"/>
      <c r="BA987" s="551"/>
      <c r="BB987" s="551"/>
      <c r="BC987" s="551"/>
      <c r="BD987" s="551"/>
      <c r="BE987" s="551"/>
      <c r="BF987" s="551"/>
    </row>
    <row r="988" spans="1:58" ht="12.75" customHeight="1">
      <c r="A988" s="551"/>
      <c r="B988" s="551"/>
      <c r="C988" s="551"/>
      <c r="D988" s="551"/>
      <c r="E988" s="551"/>
      <c r="F988" s="551"/>
      <c r="G988" s="551"/>
      <c r="H988" s="551"/>
      <c r="I988" s="551"/>
      <c r="J988" s="551"/>
      <c r="K988" s="551"/>
      <c r="L988" s="551"/>
      <c r="M988" s="551"/>
      <c r="N988" s="551"/>
      <c r="O988" s="551"/>
      <c r="P988" s="551"/>
      <c r="Q988" s="551"/>
      <c r="R988" s="551"/>
      <c r="S988" s="551"/>
      <c r="T988" s="551"/>
      <c r="U988" s="551"/>
      <c r="V988" s="551"/>
      <c r="W988" s="551"/>
      <c r="X988" s="551"/>
      <c r="Y988" s="551"/>
      <c r="Z988" s="551"/>
      <c r="AA988" s="551"/>
      <c r="AB988" s="551"/>
      <c r="AC988" s="551"/>
      <c r="AD988" s="551"/>
      <c r="AE988" s="551"/>
      <c r="AF988" s="551"/>
      <c r="AG988" s="551"/>
      <c r="AH988" s="551"/>
      <c r="AI988" s="551"/>
      <c r="AJ988" s="551"/>
      <c r="AK988" s="551"/>
      <c r="AL988" s="551"/>
      <c r="AM988" s="551"/>
      <c r="AN988" s="551"/>
      <c r="AO988" s="551"/>
      <c r="AP988" s="551"/>
      <c r="AQ988" s="551"/>
      <c r="AR988" s="551"/>
      <c r="AS988" s="551"/>
      <c r="AT988" s="551"/>
      <c r="AU988" s="551"/>
      <c r="AV988" s="551"/>
      <c r="AW988" s="551"/>
      <c r="AX988" s="551"/>
      <c r="AY988" s="551"/>
      <c r="AZ988" s="551"/>
      <c r="BA988" s="551"/>
      <c r="BB988" s="551"/>
      <c r="BC988" s="551"/>
      <c r="BD988" s="551"/>
      <c r="BE988" s="551"/>
      <c r="BF988" s="551"/>
    </row>
    <row r="989" spans="1:58" ht="12.75" customHeight="1">
      <c r="A989" s="551"/>
      <c r="B989" s="551"/>
      <c r="C989" s="551"/>
      <c r="D989" s="551"/>
      <c r="E989" s="551"/>
      <c r="F989" s="551"/>
      <c r="G989" s="551"/>
      <c r="H989" s="551"/>
      <c r="I989" s="551"/>
      <c r="J989" s="551"/>
      <c r="K989" s="551"/>
      <c r="L989" s="551"/>
      <c r="M989" s="551"/>
      <c r="N989" s="551"/>
      <c r="O989" s="551"/>
      <c r="P989" s="551"/>
      <c r="Q989" s="551"/>
      <c r="R989" s="551"/>
      <c r="S989" s="551"/>
      <c r="T989" s="551"/>
      <c r="U989" s="551"/>
      <c r="V989" s="551"/>
      <c r="W989" s="551"/>
      <c r="X989" s="551"/>
      <c r="Y989" s="551"/>
      <c r="Z989" s="551"/>
      <c r="AA989" s="551"/>
      <c r="AB989" s="551"/>
      <c r="AC989" s="551"/>
      <c r="AD989" s="551"/>
      <c r="AE989" s="551"/>
      <c r="AF989" s="551"/>
      <c r="AG989" s="551"/>
      <c r="AH989" s="551"/>
      <c r="AI989" s="551"/>
      <c r="AJ989" s="551"/>
      <c r="AK989" s="551"/>
      <c r="AL989" s="551"/>
      <c r="AM989" s="551"/>
      <c r="AN989" s="551"/>
      <c r="AO989" s="551"/>
      <c r="AP989" s="551"/>
      <c r="AQ989" s="551"/>
      <c r="AR989" s="551"/>
      <c r="AS989" s="551"/>
      <c r="AT989" s="551"/>
      <c r="AU989" s="551"/>
      <c r="AV989" s="551"/>
      <c r="AW989" s="551"/>
      <c r="AX989" s="551"/>
      <c r="AY989" s="551"/>
      <c r="AZ989" s="551"/>
      <c r="BA989" s="551"/>
      <c r="BB989" s="551"/>
      <c r="BC989" s="551"/>
      <c r="BD989" s="551"/>
      <c r="BE989" s="551"/>
      <c r="BF989" s="551"/>
    </row>
    <row r="990" spans="1:58" ht="12.75" customHeight="1">
      <c r="A990" s="551"/>
      <c r="B990" s="551"/>
      <c r="C990" s="551"/>
      <c r="D990" s="551"/>
      <c r="E990" s="551"/>
      <c r="F990" s="551"/>
      <c r="G990" s="551"/>
      <c r="H990" s="551"/>
      <c r="I990" s="551"/>
      <c r="J990" s="551"/>
      <c r="K990" s="551"/>
      <c r="L990" s="551"/>
      <c r="M990" s="551"/>
      <c r="N990" s="551"/>
      <c r="O990" s="551"/>
      <c r="P990" s="551"/>
      <c r="Q990" s="551"/>
      <c r="R990" s="551"/>
      <c r="S990" s="551"/>
      <c r="T990" s="551"/>
      <c r="U990" s="551"/>
      <c r="V990" s="551"/>
      <c r="W990" s="551"/>
      <c r="X990" s="551"/>
      <c r="Y990" s="551"/>
      <c r="Z990" s="551"/>
      <c r="AA990" s="551"/>
      <c r="AB990" s="551"/>
      <c r="AC990" s="551"/>
      <c r="AD990" s="551"/>
      <c r="AE990" s="551"/>
      <c r="AF990" s="551"/>
      <c r="AG990" s="551"/>
      <c r="AH990" s="551"/>
      <c r="AI990" s="551"/>
      <c r="AJ990" s="551"/>
      <c r="AK990" s="551"/>
      <c r="AL990" s="551"/>
      <c r="AM990" s="551"/>
      <c r="AN990" s="551"/>
      <c r="AO990" s="551"/>
      <c r="AP990" s="551"/>
      <c r="AQ990" s="551"/>
      <c r="AR990" s="551"/>
      <c r="AS990" s="551"/>
      <c r="AT990" s="551"/>
      <c r="AU990" s="551"/>
      <c r="AV990" s="551"/>
      <c r="AW990" s="551"/>
      <c r="AX990" s="551"/>
      <c r="AY990" s="551"/>
      <c r="AZ990" s="551"/>
      <c r="BA990" s="551"/>
      <c r="BB990" s="551"/>
      <c r="BC990" s="551"/>
      <c r="BD990" s="551"/>
      <c r="BE990" s="551"/>
      <c r="BF990" s="551"/>
    </row>
    <row r="991" spans="1:58" ht="12.75" customHeight="1">
      <c r="A991" s="551"/>
      <c r="B991" s="551"/>
      <c r="C991" s="551"/>
      <c r="D991" s="551"/>
      <c r="E991" s="551"/>
      <c r="F991" s="551"/>
      <c r="G991" s="551"/>
      <c r="H991" s="551"/>
      <c r="I991" s="551"/>
      <c r="J991" s="551"/>
      <c r="K991" s="551"/>
      <c r="L991" s="551"/>
      <c r="M991" s="551"/>
      <c r="N991" s="551"/>
      <c r="O991" s="551"/>
      <c r="P991" s="551"/>
      <c r="Q991" s="551"/>
      <c r="R991" s="551"/>
      <c r="S991" s="551"/>
      <c r="T991" s="551"/>
      <c r="U991" s="551"/>
      <c r="V991" s="551"/>
      <c r="W991" s="551"/>
      <c r="X991" s="551"/>
      <c r="Y991" s="551"/>
      <c r="Z991" s="551"/>
      <c r="AA991" s="551"/>
      <c r="AB991" s="551"/>
      <c r="AC991" s="551"/>
      <c r="AD991" s="551"/>
      <c r="AE991" s="551"/>
      <c r="AF991" s="551"/>
      <c r="AG991" s="551"/>
      <c r="AH991" s="551"/>
      <c r="AI991" s="551"/>
      <c r="AJ991" s="551"/>
      <c r="AK991" s="551"/>
      <c r="AL991" s="551"/>
      <c r="AM991" s="551"/>
      <c r="AN991" s="551"/>
      <c r="AO991" s="551"/>
      <c r="AP991" s="551"/>
      <c r="AQ991" s="551"/>
      <c r="AR991" s="551"/>
      <c r="AS991" s="551"/>
      <c r="AT991" s="551"/>
      <c r="AU991" s="551"/>
      <c r="AV991" s="551"/>
      <c r="AW991" s="551"/>
      <c r="AX991" s="551"/>
      <c r="AY991" s="551"/>
      <c r="AZ991" s="551"/>
      <c r="BA991" s="551"/>
      <c r="BB991" s="551"/>
      <c r="BC991" s="551"/>
      <c r="BD991" s="551"/>
      <c r="BE991" s="551"/>
      <c r="BF991" s="551"/>
    </row>
    <row r="992" spans="1:58" ht="12.75" customHeight="1">
      <c r="A992" s="551"/>
      <c r="B992" s="551"/>
      <c r="C992" s="551"/>
      <c r="D992" s="551"/>
      <c r="E992" s="551"/>
      <c r="F992" s="551"/>
      <c r="G992" s="551"/>
      <c r="H992" s="551"/>
      <c r="I992" s="551"/>
      <c r="J992" s="551"/>
      <c r="K992" s="551"/>
      <c r="L992" s="551"/>
      <c r="M992" s="551"/>
      <c r="N992" s="551"/>
      <c r="O992" s="551"/>
      <c r="P992" s="551"/>
      <c r="Q992" s="551"/>
      <c r="R992" s="551"/>
      <c r="S992" s="551"/>
      <c r="T992" s="551"/>
      <c r="U992" s="551"/>
      <c r="V992" s="551"/>
      <c r="W992" s="551"/>
      <c r="X992" s="551"/>
      <c r="Y992" s="551"/>
      <c r="Z992" s="551"/>
      <c r="AA992" s="551"/>
      <c r="AB992" s="551"/>
      <c r="AC992" s="551"/>
      <c r="AD992" s="551"/>
      <c r="AE992" s="551"/>
      <c r="AF992" s="551"/>
      <c r="AG992" s="551"/>
      <c r="AH992" s="551"/>
      <c r="AI992" s="551"/>
      <c r="AJ992" s="551"/>
      <c r="AK992" s="551"/>
      <c r="AL992" s="551"/>
      <c r="AM992" s="551"/>
      <c r="AN992" s="551"/>
      <c r="AO992" s="551"/>
      <c r="AP992" s="551"/>
      <c r="AQ992" s="551"/>
      <c r="AR992" s="551"/>
      <c r="AS992" s="551"/>
      <c r="AT992" s="551"/>
      <c r="AU992" s="551"/>
      <c r="AV992" s="551"/>
      <c r="AW992" s="551"/>
      <c r="AX992" s="551"/>
      <c r="AY992" s="551"/>
      <c r="AZ992" s="551"/>
      <c r="BA992" s="551"/>
      <c r="BB992" s="551"/>
      <c r="BC992" s="551"/>
      <c r="BD992" s="551"/>
      <c r="BE992" s="551"/>
      <c r="BF992" s="551"/>
    </row>
    <row r="993" spans="1:58" ht="12.75" customHeight="1">
      <c r="A993" s="551"/>
      <c r="B993" s="551"/>
      <c r="C993" s="551"/>
      <c r="D993" s="551"/>
      <c r="E993" s="551"/>
      <c r="F993" s="551"/>
      <c r="G993" s="551"/>
      <c r="H993" s="551"/>
      <c r="I993" s="551"/>
      <c r="J993" s="551"/>
      <c r="K993" s="551"/>
      <c r="L993" s="551"/>
      <c r="M993" s="551"/>
      <c r="N993" s="551"/>
      <c r="O993" s="551"/>
      <c r="P993" s="551"/>
      <c r="Q993" s="551"/>
      <c r="R993" s="551"/>
      <c r="S993" s="551"/>
      <c r="T993" s="551"/>
      <c r="U993" s="551"/>
      <c r="V993" s="551"/>
      <c r="W993" s="551"/>
      <c r="X993" s="551"/>
      <c r="Y993" s="551"/>
      <c r="Z993" s="551"/>
      <c r="AA993" s="551"/>
      <c r="AB993" s="551"/>
      <c r="AC993" s="551"/>
      <c r="AD993" s="551"/>
      <c r="AE993" s="551"/>
      <c r="AF993" s="551"/>
      <c r="AG993" s="551"/>
      <c r="AH993" s="551"/>
      <c r="AI993" s="551"/>
      <c r="AJ993" s="551"/>
      <c r="AK993" s="551"/>
      <c r="AL993" s="551"/>
      <c r="AM993" s="551"/>
      <c r="AN993" s="551"/>
      <c r="AO993" s="551"/>
      <c r="AP993" s="551"/>
      <c r="AQ993" s="551"/>
      <c r="AR993" s="551"/>
      <c r="AS993" s="551"/>
      <c r="AT993" s="551"/>
      <c r="AU993" s="551"/>
      <c r="AV993" s="551"/>
      <c r="AW993" s="551"/>
      <c r="AX993" s="551"/>
      <c r="AY993" s="551"/>
      <c r="AZ993" s="551"/>
      <c r="BA993" s="551"/>
      <c r="BB993" s="551"/>
      <c r="BC993" s="551"/>
      <c r="BD993" s="551"/>
      <c r="BE993" s="551"/>
      <c r="BF993" s="551"/>
    </row>
    <row r="994" spans="1:58" ht="12.75" customHeight="1">
      <c r="A994" s="551"/>
      <c r="B994" s="551"/>
      <c r="C994" s="551"/>
      <c r="D994" s="551"/>
      <c r="E994" s="551"/>
      <c r="F994" s="551"/>
      <c r="G994" s="551"/>
      <c r="H994" s="551"/>
      <c r="I994" s="551"/>
      <c r="J994" s="551"/>
      <c r="K994" s="551"/>
      <c r="L994" s="551"/>
      <c r="M994" s="551"/>
      <c r="N994" s="551"/>
      <c r="O994" s="551"/>
      <c r="P994" s="551"/>
      <c r="Q994" s="551"/>
      <c r="R994" s="551"/>
      <c r="S994" s="551"/>
      <c r="T994" s="551"/>
      <c r="U994" s="551"/>
      <c r="V994" s="551"/>
      <c r="W994" s="551"/>
      <c r="X994" s="551"/>
      <c r="Y994" s="551"/>
      <c r="Z994" s="551"/>
      <c r="AA994" s="551"/>
      <c r="AB994" s="551"/>
      <c r="AC994" s="551"/>
      <c r="AD994" s="551"/>
      <c r="AE994" s="551"/>
      <c r="AF994" s="551"/>
      <c r="AG994" s="551"/>
      <c r="AH994" s="551"/>
      <c r="AI994" s="551"/>
      <c r="AJ994" s="551"/>
      <c r="AK994" s="551"/>
      <c r="AL994" s="551"/>
      <c r="AM994" s="551"/>
      <c r="AN994" s="551"/>
      <c r="AO994" s="551"/>
      <c r="AP994" s="551"/>
      <c r="AQ994" s="551"/>
      <c r="AR994" s="551"/>
      <c r="AS994" s="551"/>
      <c r="AT994" s="551"/>
      <c r="AU994" s="551"/>
      <c r="AV994" s="551"/>
      <c r="AW994" s="551"/>
      <c r="AX994" s="551"/>
      <c r="AY994" s="551"/>
      <c r="AZ994" s="551"/>
      <c r="BA994" s="551"/>
      <c r="BB994" s="551"/>
      <c r="BC994" s="551"/>
      <c r="BD994" s="551"/>
      <c r="BE994" s="551"/>
      <c r="BF994" s="551"/>
    </row>
    <row r="995" spans="1:58" ht="12.75" customHeight="1">
      <c r="A995" s="551"/>
      <c r="B995" s="551"/>
      <c r="C995" s="551"/>
      <c r="D995" s="551"/>
      <c r="E995" s="551"/>
      <c r="F995" s="551"/>
      <c r="G995" s="551"/>
      <c r="H995" s="551"/>
      <c r="I995" s="551"/>
      <c r="J995" s="551"/>
      <c r="K995" s="551"/>
      <c r="L995" s="551"/>
      <c r="M995" s="551"/>
      <c r="N995" s="551"/>
      <c r="O995" s="551"/>
      <c r="P995" s="551"/>
      <c r="Q995" s="551"/>
      <c r="R995" s="551"/>
      <c r="S995" s="551"/>
      <c r="T995" s="551"/>
      <c r="U995" s="551"/>
      <c r="V995" s="551"/>
      <c r="W995" s="551"/>
      <c r="X995" s="551"/>
      <c r="Y995" s="551"/>
      <c r="Z995" s="551"/>
      <c r="AA995" s="551"/>
      <c r="AB995" s="551"/>
      <c r="AC995" s="551"/>
      <c r="AD995" s="551"/>
      <c r="AE995" s="551"/>
      <c r="AF995" s="551"/>
      <c r="AG995" s="551"/>
      <c r="AH995" s="551"/>
      <c r="AI995" s="551"/>
      <c r="AJ995" s="551"/>
      <c r="AK995" s="551"/>
      <c r="AL995" s="551"/>
      <c r="AM995" s="551"/>
      <c r="AN995" s="551"/>
      <c r="AO995" s="551"/>
      <c r="AP995" s="551"/>
      <c r="AQ995" s="551"/>
      <c r="AR995" s="551"/>
      <c r="AS995" s="551"/>
      <c r="AT995" s="551"/>
      <c r="AU995" s="551"/>
      <c r="AV995" s="551"/>
      <c r="AW995" s="551"/>
      <c r="AX995" s="551"/>
      <c r="AY995" s="551"/>
      <c r="AZ995" s="551"/>
      <c r="BA995" s="551"/>
      <c r="BB995" s="551"/>
      <c r="BC995" s="551"/>
      <c r="BD995" s="551"/>
      <c r="BE995" s="551"/>
      <c r="BF995" s="551"/>
    </row>
    <row r="996" spans="1:58" ht="12.75" customHeight="1">
      <c r="A996" s="551"/>
      <c r="B996" s="551"/>
      <c r="C996" s="551"/>
      <c r="D996" s="551"/>
      <c r="E996" s="551"/>
      <c r="F996" s="551"/>
      <c r="G996" s="551"/>
      <c r="H996" s="551"/>
      <c r="I996" s="551"/>
      <c r="J996" s="551"/>
      <c r="K996" s="551"/>
      <c r="L996" s="551"/>
      <c r="M996" s="551"/>
      <c r="N996" s="551"/>
      <c r="O996" s="551"/>
      <c r="P996" s="551"/>
      <c r="Q996" s="551"/>
      <c r="R996" s="551"/>
      <c r="S996" s="551"/>
      <c r="T996" s="551"/>
      <c r="U996" s="551"/>
      <c r="V996" s="551"/>
      <c r="W996" s="551"/>
      <c r="X996" s="551"/>
      <c r="Y996" s="551"/>
      <c r="Z996" s="551"/>
      <c r="AA996" s="551"/>
      <c r="AB996" s="551"/>
      <c r="AC996" s="551"/>
      <c r="AD996" s="551"/>
      <c r="AE996" s="551"/>
      <c r="AF996" s="551"/>
      <c r="AG996" s="551"/>
      <c r="AH996" s="551"/>
      <c r="AI996" s="551"/>
      <c r="AJ996" s="551"/>
      <c r="AK996" s="551"/>
      <c r="AL996" s="551"/>
      <c r="AM996" s="551"/>
      <c r="AN996" s="551"/>
      <c r="AO996" s="551"/>
      <c r="AP996" s="551"/>
      <c r="AQ996" s="551"/>
      <c r="AR996" s="551"/>
      <c r="AS996" s="551"/>
      <c r="AT996" s="551"/>
      <c r="AU996" s="551"/>
      <c r="AV996" s="551"/>
      <c r="AW996" s="551"/>
      <c r="AX996" s="551"/>
      <c r="AY996" s="551"/>
      <c r="AZ996" s="551"/>
      <c r="BA996" s="551"/>
      <c r="BB996" s="551"/>
      <c r="BC996" s="551"/>
      <c r="BD996" s="551"/>
      <c r="BE996" s="551"/>
      <c r="BF996" s="551"/>
    </row>
    <row r="997" spans="1:58" ht="12.75" customHeight="1">
      <c r="A997" s="551"/>
      <c r="B997" s="551"/>
      <c r="C997" s="551"/>
      <c r="D997" s="551"/>
      <c r="E997" s="551"/>
      <c r="F997" s="551"/>
      <c r="G997" s="551"/>
      <c r="H997" s="551"/>
      <c r="I997" s="551"/>
      <c r="J997" s="551"/>
      <c r="K997" s="551"/>
      <c r="L997" s="551"/>
      <c r="M997" s="551"/>
      <c r="N997" s="551"/>
      <c r="O997" s="551"/>
      <c r="P997" s="551"/>
      <c r="Q997" s="551"/>
      <c r="R997" s="551"/>
      <c r="S997" s="551"/>
      <c r="T997" s="551"/>
      <c r="U997" s="551"/>
      <c r="V997" s="551"/>
      <c r="W997" s="551"/>
      <c r="X997" s="551"/>
      <c r="Y997" s="551"/>
      <c r="Z997" s="551"/>
      <c r="AA997" s="551"/>
      <c r="AB997" s="551"/>
      <c r="AC997" s="551"/>
      <c r="AD997" s="551"/>
      <c r="AE997" s="551"/>
      <c r="AF997" s="551"/>
      <c r="AG997" s="551"/>
      <c r="AH997" s="551"/>
      <c r="AI997" s="551"/>
      <c r="AJ997" s="551"/>
      <c r="AK997" s="551"/>
      <c r="AL997" s="551"/>
      <c r="AM997" s="551"/>
      <c r="AN997" s="551"/>
      <c r="AO997" s="551"/>
      <c r="AP997" s="551"/>
      <c r="AQ997" s="551"/>
      <c r="AR997" s="551"/>
      <c r="AS997" s="551"/>
      <c r="AT997" s="551"/>
      <c r="AU997" s="551"/>
      <c r="AV997" s="551"/>
      <c r="AW997" s="551"/>
      <c r="AX997" s="551"/>
      <c r="AY997" s="551"/>
      <c r="AZ997" s="551"/>
      <c r="BA997" s="551"/>
      <c r="BB997" s="551"/>
      <c r="BC997" s="551"/>
      <c r="BD997" s="551"/>
      <c r="BE997" s="551"/>
      <c r="BF997" s="551"/>
    </row>
    <row r="998" spans="1:58" ht="12.75" customHeight="1">
      <c r="A998" s="551"/>
      <c r="B998" s="551"/>
      <c r="C998" s="551"/>
      <c r="D998" s="551"/>
      <c r="E998" s="551"/>
      <c r="F998" s="551"/>
      <c r="G998" s="551"/>
      <c r="H998" s="551"/>
      <c r="I998" s="551"/>
      <c r="J998" s="551"/>
      <c r="K998" s="551"/>
      <c r="L998" s="551"/>
      <c r="M998" s="551"/>
      <c r="N998" s="551"/>
      <c r="O998" s="551"/>
      <c r="P998" s="551"/>
      <c r="Q998" s="551"/>
      <c r="R998" s="551"/>
      <c r="S998" s="551"/>
      <c r="T998" s="551"/>
      <c r="U998" s="551"/>
      <c r="V998" s="551"/>
      <c r="W998" s="551"/>
      <c r="X998" s="551"/>
      <c r="Y998" s="551"/>
      <c r="Z998" s="551"/>
      <c r="AA998" s="551"/>
      <c r="AB998" s="551"/>
      <c r="AC998" s="551"/>
      <c r="AD998" s="551"/>
      <c r="AE998" s="551"/>
      <c r="AF998" s="551"/>
      <c r="AG998" s="551"/>
      <c r="AH998" s="551"/>
      <c r="AI998" s="551"/>
      <c r="AJ998" s="551"/>
      <c r="AK998" s="551"/>
      <c r="AL998" s="551"/>
      <c r="AM998" s="551"/>
      <c r="AN998" s="551"/>
      <c r="AO998" s="551"/>
      <c r="AP998" s="551"/>
      <c r="AQ998" s="551"/>
      <c r="AR998" s="551"/>
      <c r="AS998" s="551"/>
      <c r="AT998" s="551"/>
      <c r="AU998" s="551"/>
      <c r="AV998" s="551"/>
      <c r="AW998" s="551"/>
      <c r="AX998" s="551"/>
      <c r="AY998" s="551"/>
      <c r="AZ998" s="551"/>
      <c r="BA998" s="551"/>
      <c r="BB998" s="551"/>
      <c r="BC998" s="551"/>
      <c r="BD998" s="551"/>
      <c r="BE998" s="551"/>
      <c r="BF998" s="551"/>
    </row>
    <row r="999" spans="1:58" ht="12.75" customHeight="1">
      <c r="A999" s="551"/>
      <c r="B999" s="551"/>
      <c r="C999" s="551"/>
      <c r="D999" s="551"/>
      <c r="E999" s="551"/>
      <c r="F999" s="551"/>
      <c r="G999" s="551"/>
      <c r="H999" s="551"/>
      <c r="I999" s="551"/>
      <c r="J999" s="551"/>
      <c r="K999" s="551"/>
      <c r="L999" s="551"/>
      <c r="M999" s="551"/>
      <c r="N999" s="551"/>
      <c r="O999" s="551"/>
      <c r="P999" s="551"/>
      <c r="Q999" s="551"/>
      <c r="R999" s="551"/>
      <c r="S999" s="551"/>
      <c r="T999" s="551"/>
      <c r="U999" s="551"/>
      <c r="V999" s="551"/>
      <c r="W999" s="551"/>
      <c r="X999" s="551"/>
      <c r="Y999" s="551"/>
      <c r="Z999" s="551"/>
      <c r="AA999" s="551"/>
      <c r="AB999" s="551"/>
      <c r="AC999" s="551"/>
      <c r="AD999" s="551"/>
      <c r="AE999" s="551"/>
      <c r="AF999" s="551"/>
      <c r="AG999" s="551"/>
      <c r="AH999" s="551"/>
      <c r="AI999" s="551"/>
      <c r="AJ999" s="551"/>
      <c r="AK999" s="551"/>
      <c r="AL999" s="551"/>
      <c r="AM999" s="551"/>
      <c r="AN999" s="551"/>
      <c r="AO999" s="551"/>
      <c r="AP999" s="551"/>
      <c r="AQ999" s="551"/>
      <c r="AR999" s="551"/>
      <c r="AS999" s="551"/>
      <c r="AT999" s="551"/>
      <c r="AU999" s="551"/>
      <c r="AV999" s="551"/>
      <c r="AW999" s="551"/>
      <c r="AX999" s="551"/>
      <c r="AY999" s="551"/>
      <c r="AZ999" s="551"/>
      <c r="BA999" s="551"/>
      <c r="BB999" s="551"/>
      <c r="BC999" s="551"/>
      <c r="BD999" s="551"/>
      <c r="BE999" s="551"/>
      <c r="BF999" s="551"/>
    </row>
    <row r="1000" spans="1:58" ht="12.75" customHeight="1">
      <c r="A1000" s="551"/>
      <c r="B1000" s="551"/>
      <c r="C1000" s="551"/>
      <c r="D1000" s="551"/>
      <c r="E1000" s="551"/>
      <c r="F1000" s="551"/>
      <c r="G1000" s="551"/>
      <c r="H1000" s="551"/>
      <c r="I1000" s="551"/>
      <c r="J1000" s="551"/>
      <c r="K1000" s="551"/>
      <c r="L1000" s="551"/>
      <c r="M1000" s="551"/>
      <c r="N1000" s="551"/>
      <c r="O1000" s="551"/>
      <c r="P1000" s="551"/>
      <c r="Q1000" s="551"/>
      <c r="R1000" s="551"/>
      <c r="S1000" s="551"/>
      <c r="T1000" s="551"/>
      <c r="U1000" s="551"/>
      <c r="V1000" s="551"/>
      <c r="W1000" s="551"/>
      <c r="X1000" s="551"/>
      <c r="Y1000" s="551"/>
      <c r="Z1000" s="551"/>
      <c r="AA1000" s="551"/>
      <c r="AB1000" s="551"/>
      <c r="AC1000" s="551"/>
      <c r="AD1000" s="551"/>
      <c r="AE1000" s="551"/>
      <c r="AF1000" s="551"/>
      <c r="AG1000" s="551"/>
      <c r="AH1000" s="551"/>
      <c r="AI1000" s="551"/>
      <c r="AJ1000" s="551"/>
      <c r="AK1000" s="551"/>
      <c r="AL1000" s="551"/>
      <c r="AM1000" s="551"/>
      <c r="AN1000" s="551"/>
      <c r="AO1000" s="551"/>
      <c r="AP1000" s="551"/>
      <c r="AQ1000" s="551"/>
      <c r="AR1000" s="551"/>
      <c r="AS1000" s="551"/>
      <c r="AT1000" s="551"/>
      <c r="AU1000" s="551"/>
      <c r="AV1000" s="551"/>
      <c r="AW1000" s="551"/>
      <c r="AX1000" s="551"/>
      <c r="AY1000" s="551"/>
      <c r="AZ1000" s="551"/>
      <c r="BA1000" s="551"/>
      <c r="BB1000" s="551"/>
      <c r="BC1000" s="551"/>
      <c r="BD1000" s="551"/>
      <c r="BE1000" s="551"/>
      <c r="BF1000" s="551"/>
    </row>
    <row r="1001" spans="1:58" ht="12.75" customHeight="1">
      <c r="A1001" s="551"/>
      <c r="B1001" s="551"/>
      <c r="C1001" s="551"/>
      <c r="D1001" s="551"/>
      <c r="E1001" s="551"/>
      <c r="F1001" s="551"/>
      <c r="G1001" s="551"/>
      <c r="H1001" s="551"/>
      <c r="I1001" s="551"/>
      <c r="J1001" s="551"/>
      <c r="K1001" s="551"/>
      <c r="L1001" s="551"/>
      <c r="M1001" s="551"/>
      <c r="N1001" s="551"/>
      <c r="O1001" s="551"/>
      <c r="P1001" s="551"/>
      <c r="Q1001" s="551"/>
      <c r="R1001" s="551"/>
      <c r="S1001" s="551"/>
      <c r="T1001" s="551"/>
      <c r="U1001" s="551"/>
      <c r="V1001" s="551"/>
      <c r="W1001" s="551"/>
      <c r="X1001" s="551"/>
      <c r="Y1001" s="551"/>
      <c r="Z1001" s="551"/>
      <c r="AA1001" s="551"/>
      <c r="AB1001" s="551"/>
      <c r="AC1001" s="551"/>
      <c r="AD1001" s="551"/>
      <c r="AE1001" s="551"/>
      <c r="AF1001" s="551"/>
      <c r="AG1001" s="551"/>
      <c r="AH1001" s="551"/>
      <c r="AI1001" s="551"/>
      <c r="AJ1001" s="551"/>
      <c r="AK1001" s="551"/>
      <c r="AL1001" s="551"/>
      <c r="AM1001" s="551"/>
      <c r="AN1001" s="551"/>
      <c r="AO1001" s="551"/>
      <c r="AP1001" s="551"/>
      <c r="AQ1001" s="551"/>
      <c r="AR1001" s="551"/>
      <c r="AS1001" s="551"/>
      <c r="AT1001" s="551"/>
      <c r="AU1001" s="551"/>
      <c r="AV1001" s="551"/>
      <c r="AW1001" s="551"/>
      <c r="AX1001" s="551"/>
      <c r="AY1001" s="551"/>
      <c r="AZ1001" s="551"/>
      <c r="BA1001" s="551"/>
      <c r="BB1001" s="551"/>
      <c r="BC1001" s="551"/>
      <c r="BD1001" s="551"/>
      <c r="BE1001" s="551"/>
      <c r="BF1001" s="551"/>
    </row>
    <row r="1002" spans="1:58" ht="12.75" customHeight="1">
      <c r="A1002" s="551"/>
      <c r="B1002" s="551"/>
      <c r="C1002" s="551"/>
      <c r="D1002" s="551"/>
      <c r="E1002" s="551"/>
      <c r="F1002" s="551"/>
      <c r="G1002" s="551"/>
      <c r="H1002" s="551"/>
      <c r="I1002" s="551"/>
      <c r="J1002" s="551"/>
      <c r="K1002" s="551"/>
      <c r="L1002" s="551"/>
      <c r="M1002" s="551"/>
      <c r="N1002" s="551"/>
      <c r="O1002" s="551"/>
      <c r="P1002" s="551"/>
      <c r="Q1002" s="551"/>
      <c r="R1002" s="551"/>
      <c r="S1002" s="551"/>
      <c r="T1002" s="551"/>
      <c r="U1002" s="551"/>
      <c r="V1002" s="551"/>
      <c r="W1002" s="551"/>
      <c r="X1002" s="551"/>
      <c r="Y1002" s="551"/>
      <c r="Z1002" s="551"/>
      <c r="AA1002" s="551"/>
      <c r="AB1002" s="551"/>
      <c r="AC1002" s="551"/>
      <c r="AD1002" s="551"/>
      <c r="AE1002" s="551"/>
      <c r="AF1002" s="551"/>
      <c r="AG1002" s="551"/>
      <c r="AH1002" s="551"/>
      <c r="AI1002" s="551"/>
      <c r="AJ1002" s="551"/>
      <c r="AK1002" s="551"/>
      <c r="AL1002" s="551"/>
      <c r="AM1002" s="551"/>
      <c r="AN1002" s="551"/>
      <c r="AO1002" s="551"/>
      <c r="AP1002" s="551"/>
      <c r="AQ1002" s="551"/>
      <c r="AR1002" s="551"/>
      <c r="AS1002" s="551"/>
      <c r="AT1002" s="551"/>
      <c r="AU1002" s="551"/>
      <c r="AV1002" s="551"/>
      <c r="AW1002" s="551"/>
      <c r="AX1002" s="551"/>
      <c r="AY1002" s="551"/>
      <c r="AZ1002" s="551"/>
      <c r="BA1002" s="551"/>
      <c r="BB1002" s="551"/>
      <c r="BC1002" s="551"/>
      <c r="BD1002" s="551"/>
      <c r="BE1002" s="551"/>
      <c r="BF1002" s="551"/>
    </row>
    <row r="1003" spans="1:58" ht="12.75" customHeight="1">
      <c r="A1003" s="551"/>
      <c r="B1003" s="551"/>
      <c r="C1003" s="551"/>
      <c r="D1003" s="551"/>
      <c r="E1003" s="551"/>
      <c r="F1003" s="551"/>
      <c r="G1003" s="551"/>
      <c r="H1003" s="551"/>
      <c r="I1003" s="551"/>
      <c r="J1003" s="551"/>
      <c r="K1003" s="551"/>
      <c r="L1003" s="551"/>
      <c r="M1003" s="551"/>
      <c r="N1003" s="551"/>
      <c r="O1003" s="551"/>
      <c r="P1003" s="551"/>
      <c r="Q1003" s="551"/>
      <c r="R1003" s="551"/>
      <c r="S1003" s="551"/>
      <c r="T1003" s="551"/>
      <c r="U1003" s="551"/>
      <c r="V1003" s="551"/>
      <c r="W1003" s="551"/>
      <c r="X1003" s="551"/>
      <c r="Y1003" s="551"/>
      <c r="Z1003" s="551"/>
      <c r="AA1003" s="551"/>
      <c r="AB1003" s="551"/>
      <c r="AC1003" s="551"/>
      <c r="AD1003" s="551"/>
      <c r="AE1003" s="551"/>
      <c r="AF1003" s="551"/>
      <c r="AG1003" s="551"/>
      <c r="AH1003" s="551"/>
      <c r="AI1003" s="551"/>
      <c r="AJ1003" s="551"/>
      <c r="AK1003" s="551"/>
      <c r="AL1003" s="551"/>
      <c r="AM1003" s="551"/>
      <c r="AN1003" s="551"/>
      <c r="AO1003" s="551"/>
      <c r="AP1003" s="551"/>
      <c r="AQ1003" s="551"/>
      <c r="AR1003" s="551"/>
      <c r="AS1003" s="551"/>
      <c r="AT1003" s="551"/>
      <c r="AU1003" s="551"/>
      <c r="AV1003" s="551"/>
      <c r="AW1003" s="551"/>
      <c r="AX1003" s="551"/>
      <c r="AY1003" s="551"/>
      <c r="AZ1003" s="551"/>
      <c r="BA1003" s="551"/>
      <c r="BB1003" s="551"/>
      <c r="BC1003" s="551"/>
      <c r="BD1003" s="551"/>
      <c r="BE1003" s="551"/>
      <c r="BF1003" s="551"/>
    </row>
    <row r="1004" spans="1:58" ht="12.75" customHeight="1">
      <c r="A1004" s="551"/>
      <c r="B1004" s="551"/>
      <c r="C1004" s="551"/>
      <c r="D1004" s="551"/>
      <c r="E1004" s="551"/>
      <c r="F1004" s="551"/>
      <c r="G1004" s="551"/>
      <c r="H1004" s="551"/>
      <c r="I1004" s="551"/>
      <c r="J1004" s="551"/>
      <c r="K1004" s="551"/>
      <c r="L1004" s="551"/>
      <c r="M1004" s="551"/>
      <c r="N1004" s="551"/>
      <c r="O1004" s="551"/>
      <c r="P1004" s="551"/>
      <c r="Q1004" s="551"/>
      <c r="R1004" s="551"/>
      <c r="S1004" s="551"/>
      <c r="T1004" s="551"/>
      <c r="U1004" s="551"/>
      <c r="V1004" s="551"/>
      <c r="W1004" s="551"/>
      <c r="X1004" s="551"/>
      <c r="Y1004" s="551"/>
      <c r="Z1004" s="551"/>
      <c r="AA1004" s="551"/>
      <c r="AB1004" s="551"/>
      <c r="AC1004" s="551"/>
      <c r="AD1004" s="551"/>
      <c r="AE1004" s="551"/>
      <c r="AF1004" s="551"/>
      <c r="AG1004" s="551"/>
      <c r="AH1004" s="551"/>
      <c r="AI1004" s="551"/>
      <c r="AJ1004" s="551"/>
      <c r="AK1004" s="551"/>
      <c r="AL1004" s="551"/>
      <c r="AM1004" s="551"/>
      <c r="AN1004" s="551"/>
      <c r="AO1004" s="551"/>
      <c r="AP1004" s="551"/>
      <c r="AQ1004" s="551"/>
      <c r="AR1004" s="551"/>
      <c r="AS1004" s="551"/>
      <c r="AT1004" s="551"/>
      <c r="AU1004" s="551"/>
      <c r="AV1004" s="551"/>
      <c r="AW1004" s="551"/>
      <c r="AX1004" s="551"/>
      <c r="AY1004" s="551"/>
      <c r="AZ1004" s="551"/>
      <c r="BA1004" s="551"/>
      <c r="BB1004" s="551"/>
      <c r="BC1004" s="551"/>
      <c r="BD1004" s="551"/>
      <c r="BE1004" s="551"/>
      <c r="BF1004" s="551"/>
    </row>
    <row r="1005" spans="1:58" ht="12.75" customHeight="1">
      <c r="A1005" s="551"/>
      <c r="B1005" s="551"/>
      <c r="C1005" s="551"/>
      <c r="D1005" s="551"/>
      <c r="E1005" s="551"/>
      <c r="F1005" s="551"/>
      <c r="G1005" s="551"/>
      <c r="H1005" s="551"/>
      <c r="I1005" s="551"/>
      <c r="J1005" s="551"/>
      <c r="K1005" s="551"/>
      <c r="L1005" s="551"/>
      <c r="M1005" s="551"/>
      <c r="N1005" s="551"/>
      <c r="O1005" s="551"/>
      <c r="P1005" s="551"/>
      <c r="Q1005" s="551"/>
      <c r="R1005" s="551"/>
      <c r="S1005" s="551"/>
      <c r="T1005" s="551"/>
      <c r="U1005" s="551"/>
      <c r="V1005" s="551"/>
      <c r="W1005" s="551"/>
      <c r="X1005" s="551"/>
      <c r="Y1005" s="551"/>
      <c r="Z1005" s="551"/>
      <c r="AA1005" s="551"/>
      <c r="AB1005" s="551"/>
      <c r="AC1005" s="551"/>
      <c r="AD1005" s="551"/>
      <c r="AE1005" s="551"/>
      <c r="AF1005" s="551"/>
      <c r="AG1005" s="551"/>
      <c r="AH1005" s="551"/>
      <c r="AI1005" s="551"/>
      <c r="AJ1005" s="551"/>
      <c r="AK1005" s="551"/>
      <c r="AL1005" s="551"/>
      <c r="AM1005" s="551"/>
      <c r="AN1005" s="551"/>
      <c r="AO1005" s="551"/>
      <c r="AP1005" s="551"/>
      <c r="AQ1005" s="551"/>
      <c r="AR1005" s="551"/>
      <c r="AS1005" s="551"/>
      <c r="AT1005" s="551"/>
      <c r="AU1005" s="551"/>
      <c r="AV1005" s="551"/>
      <c r="AW1005" s="551"/>
      <c r="AX1005" s="551"/>
      <c r="AY1005" s="551"/>
      <c r="AZ1005" s="551"/>
      <c r="BA1005" s="551"/>
      <c r="BB1005" s="551"/>
      <c r="BC1005" s="551"/>
      <c r="BD1005" s="551"/>
      <c r="BE1005" s="551"/>
      <c r="BF1005" s="551"/>
    </row>
    <row r="1006" spans="1:58" ht="12.95">
      <c r="BE1006" s="551"/>
      <c r="BF1006" s="551"/>
    </row>
    <row r="1007" spans="1:58" ht="12.95">
      <c r="BE1007" s="551"/>
      <c r="BF1007" s="551"/>
    </row>
  </sheetData>
  <mergeCells count="51">
    <mergeCell ref="P4:P5"/>
    <mergeCell ref="C4:C5"/>
    <mergeCell ref="D4:D5"/>
    <mergeCell ref="E4:E5"/>
    <mergeCell ref="F4:F5"/>
    <mergeCell ref="G4:G5"/>
    <mergeCell ref="I4:I5"/>
    <mergeCell ref="J4:J5"/>
    <mergeCell ref="K4:K5"/>
    <mergeCell ref="L4:L5"/>
    <mergeCell ref="M4:M5"/>
    <mergeCell ref="O4:O5"/>
    <mergeCell ref="AB4:AB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N4:AN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O4:AO5"/>
    <mergeCell ref="AP4:AP5"/>
    <mergeCell ref="AS4:AS5"/>
    <mergeCell ref="AT4:AT5"/>
    <mergeCell ref="AU4:AU5"/>
    <mergeCell ref="BC4:BC5"/>
    <mergeCell ref="AQ4:AQ5"/>
    <mergeCell ref="AR4:AR5"/>
    <mergeCell ref="AW4:AW5"/>
    <mergeCell ref="AX4:AX5"/>
    <mergeCell ref="AY4:AY5"/>
    <mergeCell ref="AZ4:AZ5"/>
    <mergeCell ref="BA4:BA5"/>
    <mergeCell ref="BB4:BB5"/>
    <mergeCell ref="AV4:AV5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AF41-D507-4AEB-920E-7D3E86A0B124}">
  <sheetPr>
    <tabColor rgb="FFFFCCFF"/>
  </sheetPr>
  <dimension ref="A1:K47"/>
  <sheetViews>
    <sheetView showGridLines="0" zoomScale="80" zoomScaleNormal="80" workbookViewId="0">
      <pane xSplit="4" ySplit="6" topLeftCell="E7" activePane="bottomRight" state="frozen"/>
      <selection pane="bottomRight" activeCell="F52" sqref="F52"/>
      <selection pane="bottomLeft" activeCell="A7" sqref="A7"/>
      <selection pane="topRight" activeCell="E1" sqref="E1"/>
    </sheetView>
  </sheetViews>
  <sheetFormatPr defaultRowHeight="14.45"/>
  <cols>
    <col min="1" max="1" width="12.42578125" customWidth="1"/>
    <col min="2" max="2" width="6.42578125" bestFit="1" customWidth="1"/>
    <col min="3" max="3" width="3.5703125" customWidth="1"/>
    <col min="4" max="4" width="47.42578125" customWidth="1"/>
    <col min="6" max="8" width="16.42578125" bestFit="1" customWidth="1"/>
    <col min="9" max="9" width="15.42578125" bestFit="1" customWidth="1"/>
    <col min="10" max="10" width="30.42578125" bestFit="1" customWidth="1"/>
    <col min="11" max="11" width="14.42578125" bestFit="1" customWidth="1"/>
  </cols>
  <sheetData>
    <row r="1" spans="1:11">
      <c r="A1" s="342" t="s">
        <v>34</v>
      </c>
      <c r="B1" s="596"/>
      <c r="F1" s="2138" t="s">
        <v>280</v>
      </c>
      <c r="G1" s="2138">
        <f>G2-H2</f>
        <v>0.1199951171875</v>
      </c>
      <c r="H1" s="2138"/>
      <c r="I1" s="121"/>
    </row>
    <row r="2" spans="1:11">
      <c r="A2" s="342" t="s">
        <v>281</v>
      </c>
      <c r="F2" s="2138" t="s">
        <v>282</v>
      </c>
      <c r="G2" s="2138">
        <f>F3+H3</f>
        <v>174814313483.15295</v>
      </c>
      <c r="H2" s="2138">
        <f>G3+I3</f>
        <v>174814313483.03296</v>
      </c>
      <c r="I2" s="121"/>
      <c r="J2" s="853"/>
      <c r="K2" s="853"/>
    </row>
    <row r="3" spans="1:11">
      <c r="F3" s="2139">
        <f>SUM(F8:F48)</f>
        <v>127778468337.34294</v>
      </c>
      <c r="G3" s="2139">
        <f>SUM(G8:G48)</f>
        <v>127778468337.34294</v>
      </c>
      <c r="H3" s="2139">
        <f>SUM(H8:H48)</f>
        <v>47035845145.810013</v>
      </c>
      <c r="I3" s="2139">
        <f>SUM(I8:I48)</f>
        <v>47035845145.690018</v>
      </c>
    </row>
    <row r="4" spans="1:11">
      <c r="F4" s="121"/>
      <c r="G4" s="121"/>
      <c r="H4" s="121"/>
      <c r="I4" s="121"/>
    </row>
    <row r="5" spans="1:11">
      <c r="A5" s="2331" t="s">
        <v>1</v>
      </c>
      <c r="B5" s="2331" t="s">
        <v>2</v>
      </c>
      <c r="C5" s="2334" t="s">
        <v>3</v>
      </c>
      <c r="D5" s="2335"/>
      <c r="E5" s="2338" t="s">
        <v>4</v>
      </c>
      <c r="F5" s="2340" t="s">
        <v>5</v>
      </c>
      <c r="G5" s="2341"/>
      <c r="H5" s="2342" t="s">
        <v>6</v>
      </c>
      <c r="I5" s="2342"/>
      <c r="J5" s="2331" t="s">
        <v>7</v>
      </c>
    </row>
    <row r="6" spans="1:11">
      <c r="A6" s="2333"/>
      <c r="B6" s="2333"/>
      <c r="C6" s="2336"/>
      <c r="D6" s="2337"/>
      <c r="E6" s="2339"/>
      <c r="F6" s="594" t="s">
        <v>8</v>
      </c>
      <c r="G6" s="594" t="s">
        <v>9</v>
      </c>
      <c r="H6" s="595" t="s">
        <v>8</v>
      </c>
      <c r="I6" s="595" t="s">
        <v>9</v>
      </c>
      <c r="J6" s="2332"/>
    </row>
    <row r="7" spans="1:11">
      <c r="A7" s="597"/>
      <c r="B7" s="597"/>
      <c r="C7" s="598"/>
      <c r="D7" s="599"/>
      <c r="E7" s="597"/>
      <c r="F7" s="600"/>
      <c r="G7" s="600"/>
      <c r="H7" s="600"/>
      <c r="I7" s="600"/>
      <c r="J7" s="597"/>
    </row>
    <row r="8" spans="1:11">
      <c r="A8" s="597" t="s">
        <v>10</v>
      </c>
      <c r="B8" s="597"/>
      <c r="C8" s="599" t="s">
        <v>11</v>
      </c>
      <c r="D8" s="599"/>
      <c r="E8" s="597"/>
      <c r="F8" s="600">
        <v>86709426551</v>
      </c>
      <c r="G8" s="600"/>
      <c r="H8" s="600"/>
      <c r="I8" s="600"/>
      <c r="J8" s="597" t="s">
        <v>12</v>
      </c>
    </row>
    <row r="9" spans="1:11">
      <c r="A9" s="597" t="str">
        <f>A8</f>
        <v>ELIM 1</v>
      </c>
      <c r="B9" s="597"/>
      <c r="C9" s="598"/>
      <c r="D9" s="599" t="s">
        <v>13</v>
      </c>
      <c r="E9" s="597"/>
      <c r="F9" s="600"/>
      <c r="G9" s="600">
        <f>F8</f>
        <v>86709426551</v>
      </c>
      <c r="H9" s="600"/>
      <c r="I9" s="600"/>
      <c r="J9" s="597" t="str">
        <f>J8</f>
        <v xml:space="preserve">Eleminasi Utang Piutang Keuangan </v>
      </c>
    </row>
    <row r="10" spans="1:11">
      <c r="A10" s="597"/>
      <c r="B10" s="597"/>
      <c r="C10" s="598"/>
      <c r="D10" s="599"/>
      <c r="E10" s="597"/>
      <c r="F10" s="600"/>
      <c r="G10" s="600"/>
      <c r="H10" s="600"/>
      <c r="I10" s="600"/>
      <c r="J10" s="597"/>
    </row>
    <row r="11" spans="1:11">
      <c r="A11" s="597" t="s">
        <v>14</v>
      </c>
      <c r="B11" s="597"/>
      <c r="C11" s="598" t="s">
        <v>15</v>
      </c>
      <c r="D11" s="599"/>
      <c r="E11" s="597"/>
      <c r="F11" s="600">
        <v>29592782261</v>
      </c>
      <c r="H11" s="600"/>
      <c r="I11" s="600"/>
      <c r="J11" s="597" t="s">
        <v>16</v>
      </c>
    </row>
    <row r="12" spans="1:11">
      <c r="A12" s="597" t="str">
        <f>A11</f>
        <v>ELIM 2</v>
      </c>
      <c r="B12" s="597"/>
      <c r="C12" s="598"/>
      <c r="D12" s="599" t="s">
        <v>17</v>
      </c>
      <c r="E12" s="597"/>
      <c r="F12" s="600"/>
      <c r="G12" s="600">
        <f>F11</f>
        <v>29592782261</v>
      </c>
      <c r="H12" s="600"/>
      <c r="I12" s="600"/>
      <c r="J12" s="597" t="str">
        <f>J11</f>
        <v xml:space="preserve">Eleminasi Utang Piutang </v>
      </c>
    </row>
    <row r="13" spans="1:11">
      <c r="A13" s="597"/>
      <c r="B13" s="597"/>
      <c r="C13" s="598"/>
      <c r="D13" s="599"/>
      <c r="E13" s="597"/>
      <c r="F13" s="600"/>
      <c r="G13" s="600"/>
      <c r="H13" s="600"/>
      <c r="I13" s="600"/>
      <c r="J13" s="597"/>
    </row>
    <row r="14" spans="1:11">
      <c r="A14" s="597" t="s">
        <v>18</v>
      </c>
      <c r="B14" s="597"/>
      <c r="C14" s="598" t="s">
        <v>17</v>
      </c>
      <c r="D14" s="599"/>
      <c r="E14" s="597"/>
      <c r="F14" s="600">
        <v>4557621225</v>
      </c>
      <c r="H14" s="600"/>
      <c r="I14" s="600"/>
      <c r="J14" s="597" t="s">
        <v>16</v>
      </c>
    </row>
    <row r="15" spans="1:11">
      <c r="A15" s="597" t="str">
        <f>A14</f>
        <v>ELIM 3</v>
      </c>
      <c r="B15" s="597"/>
      <c r="C15" s="598"/>
      <c r="D15" s="599" t="s">
        <v>15</v>
      </c>
      <c r="E15" s="597"/>
      <c r="F15" s="600"/>
      <c r="G15" s="600">
        <f>F14</f>
        <v>4557621225</v>
      </c>
      <c r="H15" s="600"/>
      <c r="I15" s="600"/>
      <c r="J15" s="597" t="str">
        <f>J14</f>
        <v xml:space="preserve">Eleminasi Utang Piutang </v>
      </c>
    </row>
    <row r="16" spans="1:11">
      <c r="A16" s="597"/>
      <c r="B16" s="597"/>
      <c r="C16" s="598"/>
      <c r="D16" s="599"/>
      <c r="E16" s="597"/>
      <c r="F16" s="600"/>
      <c r="G16" s="600"/>
      <c r="H16" s="600"/>
      <c r="I16" s="600"/>
      <c r="J16" s="597"/>
    </row>
    <row r="17" spans="1:10">
      <c r="A17" s="597" t="s">
        <v>19</v>
      </c>
      <c r="B17" s="597"/>
      <c r="C17" s="598" t="s">
        <v>36</v>
      </c>
      <c r="D17" s="599"/>
      <c r="E17" s="597"/>
      <c r="F17" s="600">
        <v>1050000000</v>
      </c>
      <c r="G17" s="600"/>
      <c r="H17" s="600"/>
      <c r="I17" s="600"/>
      <c r="J17" s="597" t="s">
        <v>37</v>
      </c>
    </row>
    <row r="18" spans="1:10">
      <c r="A18" s="597" t="str">
        <f>A17</f>
        <v>ELIM 4</v>
      </c>
      <c r="B18" s="597"/>
      <c r="C18" s="598"/>
      <c r="D18" s="599" t="s">
        <v>38</v>
      </c>
      <c r="E18" s="597"/>
      <c r="F18" s="600"/>
      <c r="G18" s="600">
        <f>F17</f>
        <v>1050000000</v>
      </c>
      <c r="H18" s="600"/>
      <c r="I18" s="600"/>
      <c r="J18" s="597" t="str">
        <f>J17</f>
        <v>Eleminasi IAS Investasi pada Anak</v>
      </c>
    </row>
    <row r="19" spans="1:10">
      <c r="A19" s="597"/>
      <c r="B19" s="597"/>
      <c r="C19" s="598"/>
      <c r="D19" s="599"/>
      <c r="E19" s="597"/>
      <c r="F19" s="600"/>
      <c r="G19" s="600"/>
      <c r="H19" s="600"/>
      <c r="I19" s="600"/>
      <c r="J19" s="597"/>
    </row>
    <row r="20" spans="1:10">
      <c r="A20" s="597"/>
      <c r="B20" s="597"/>
      <c r="C20" s="598"/>
      <c r="D20" s="599"/>
      <c r="E20" s="597"/>
      <c r="F20" s="600"/>
      <c r="G20" s="600"/>
      <c r="H20" s="600"/>
      <c r="I20" s="600"/>
      <c r="J20" s="597"/>
    </row>
    <row r="21" spans="1:10">
      <c r="A21" s="597" t="s">
        <v>26</v>
      </c>
      <c r="B21" s="597"/>
      <c r="C21" s="650" t="s">
        <v>20</v>
      </c>
      <c r="D21" s="651"/>
      <c r="E21" s="652"/>
      <c r="F21" s="600"/>
      <c r="G21" s="600"/>
      <c r="H21" s="600">
        <v>29814768331.690002</v>
      </c>
      <c r="I21" s="600"/>
      <c r="J21" s="597" t="s">
        <v>21</v>
      </c>
    </row>
    <row r="22" spans="1:10">
      <c r="A22" s="597" t="s">
        <v>26</v>
      </c>
      <c r="B22" s="597"/>
      <c r="C22" s="650" t="s">
        <v>22</v>
      </c>
      <c r="D22" s="651"/>
      <c r="E22" s="652"/>
      <c r="F22" s="600"/>
      <c r="G22" s="600"/>
      <c r="H22" s="600">
        <v>390631231</v>
      </c>
      <c r="I22" s="600"/>
      <c r="J22" s="597" t="str">
        <f>J21</f>
        <v>Eleminasi Penjualan ISP to IAS</v>
      </c>
    </row>
    <row r="23" spans="1:10">
      <c r="A23" s="597" t="s">
        <v>26</v>
      </c>
      <c r="B23" s="597"/>
      <c r="C23" s="650" t="s">
        <v>23</v>
      </c>
      <c r="D23" s="651"/>
      <c r="E23" s="652"/>
      <c r="F23" s="600"/>
      <c r="G23" s="600"/>
      <c r="H23" s="600">
        <v>1744087000</v>
      </c>
      <c r="I23" s="600"/>
      <c r="J23" s="597" t="str">
        <f t="shared" ref="J23:J25" si="0">J22</f>
        <v>Eleminasi Penjualan ISP to IAS</v>
      </c>
    </row>
    <row r="24" spans="1:10">
      <c r="A24" s="597" t="s">
        <v>26</v>
      </c>
      <c r="B24" s="597"/>
      <c r="C24" s="650"/>
      <c r="D24" s="651" t="s">
        <v>283</v>
      </c>
      <c r="E24" s="652"/>
      <c r="F24" s="600"/>
      <c r="G24" s="600"/>
      <c r="H24" s="600"/>
      <c r="I24" s="600">
        <v>29814768334.690018</v>
      </c>
      <c r="J24" s="597" t="str">
        <f>J23</f>
        <v>Eleminasi Penjualan ISP to IAS</v>
      </c>
    </row>
    <row r="25" spans="1:10">
      <c r="A25" s="597" t="s">
        <v>26</v>
      </c>
      <c r="B25" s="597"/>
      <c r="C25" s="650"/>
      <c r="D25" s="651" t="s">
        <v>284</v>
      </c>
      <c r="E25" s="652"/>
      <c r="F25" s="600"/>
      <c r="G25" s="600"/>
      <c r="H25" s="600"/>
      <c r="I25" s="600">
        <v>2134718228</v>
      </c>
      <c r="J25" s="597" t="str">
        <f t="shared" si="0"/>
        <v>Eleminasi Penjualan ISP to IAS</v>
      </c>
    </row>
    <row r="26" spans="1:10">
      <c r="A26" s="597"/>
      <c r="B26" s="597"/>
      <c r="C26" s="650"/>
      <c r="D26" s="651"/>
      <c r="E26" s="652"/>
      <c r="F26" s="600"/>
      <c r="G26" s="600"/>
      <c r="H26" s="600"/>
      <c r="I26" s="600"/>
      <c r="J26" s="597"/>
    </row>
    <row r="27" spans="1:10">
      <c r="A27" s="597" t="s">
        <v>39</v>
      </c>
      <c r="B27" s="597"/>
      <c r="C27" s="650" t="s">
        <v>27</v>
      </c>
      <c r="D27" s="651"/>
      <c r="E27" s="652"/>
      <c r="F27" s="600"/>
      <c r="G27" s="600"/>
      <c r="H27" s="600">
        <v>15071358583.120007</v>
      </c>
      <c r="I27" s="600"/>
      <c r="J27" s="597" t="s">
        <v>28</v>
      </c>
    </row>
    <row r="28" spans="1:10">
      <c r="A28" s="597" t="s">
        <v>39</v>
      </c>
      <c r="B28" s="597"/>
      <c r="C28" s="650"/>
      <c r="D28" s="651" t="s">
        <v>40</v>
      </c>
      <c r="E28" s="652"/>
      <c r="F28" s="600"/>
      <c r="G28" s="600"/>
      <c r="H28" s="600"/>
      <c r="I28" s="600">
        <f>14960074583+111284000</f>
        <v>15071358583</v>
      </c>
      <c r="J28" s="597" t="str">
        <f>J27</f>
        <v>Eleminasi Penjualan IAS to ISP</v>
      </c>
    </row>
    <row r="29" spans="1:10">
      <c r="A29" s="597"/>
      <c r="B29" s="597"/>
      <c r="C29" s="598"/>
      <c r="D29" s="599"/>
      <c r="E29" s="597"/>
      <c r="F29" s="600"/>
      <c r="G29" s="600"/>
      <c r="H29" s="600"/>
      <c r="I29" s="600"/>
      <c r="J29" s="597"/>
    </row>
    <row r="30" spans="1:10">
      <c r="A30" s="597" t="s">
        <v>31</v>
      </c>
      <c r="B30" s="597"/>
      <c r="C30" s="598" t="s">
        <v>32</v>
      </c>
      <c r="D30" s="599"/>
      <c r="E30" s="597"/>
      <c r="F30" s="2112">
        <f>4762924959.34294+105713339</f>
        <v>4868638298.3429403</v>
      </c>
      <c r="G30" s="600"/>
      <c r="H30" s="600"/>
      <c r="I30" s="600"/>
      <c r="J30" s="597"/>
    </row>
    <row r="31" spans="1:10">
      <c r="A31" s="597" t="str">
        <f>A30</f>
        <v>ELIM 7</v>
      </c>
      <c r="B31" s="597"/>
      <c r="C31" s="598"/>
      <c r="D31" s="599" t="s">
        <v>33</v>
      </c>
      <c r="E31" s="597"/>
      <c r="F31" s="600"/>
      <c r="G31" s="600">
        <f>F30</f>
        <v>4868638298.3429403</v>
      </c>
      <c r="H31" s="600"/>
      <c r="I31" s="600"/>
      <c r="J31" s="597"/>
    </row>
    <row r="32" spans="1:10">
      <c r="A32" s="597"/>
      <c r="B32" s="597"/>
      <c r="C32" s="598"/>
      <c r="D32" s="599"/>
      <c r="E32" s="597"/>
      <c r="F32" s="600"/>
      <c r="G32" s="600"/>
      <c r="H32" s="600"/>
      <c r="I32" s="600"/>
      <c r="J32" s="597"/>
    </row>
    <row r="33" spans="1:10">
      <c r="A33" s="597" t="s">
        <v>285</v>
      </c>
      <c r="B33" s="597"/>
      <c r="C33" s="598" t="s">
        <v>286</v>
      </c>
      <c r="D33" s="599"/>
      <c r="E33" s="597"/>
      <c r="F33" s="2112">
        <v>1000000000</v>
      </c>
      <c r="G33" s="600"/>
      <c r="H33" s="600"/>
      <c r="I33" s="600"/>
      <c r="J33" s="597"/>
    </row>
    <row r="34" spans="1:10">
      <c r="A34" s="597" t="str">
        <f>A33</f>
        <v>ELIM 8</v>
      </c>
      <c r="B34" s="597"/>
      <c r="C34" s="598"/>
      <c r="D34" s="599" t="s">
        <v>33</v>
      </c>
      <c r="E34" s="597"/>
      <c r="F34" s="600"/>
      <c r="G34" s="600">
        <f>F33</f>
        <v>1000000000</v>
      </c>
      <c r="H34" s="600"/>
      <c r="I34" s="600"/>
      <c r="J34" s="597"/>
    </row>
    <row r="35" spans="1:10">
      <c r="A35" s="597"/>
      <c r="B35" s="597"/>
      <c r="C35" s="1059" t="s">
        <v>287</v>
      </c>
      <c r="D35" s="599"/>
      <c r="E35" s="597"/>
      <c r="F35" s="600"/>
      <c r="G35" s="600"/>
      <c r="H35" s="600"/>
      <c r="I35" s="600"/>
      <c r="J35" s="597"/>
    </row>
    <row r="36" spans="1:10">
      <c r="A36" s="597"/>
      <c r="B36" s="597"/>
      <c r="C36" s="598"/>
      <c r="D36" s="599"/>
      <c r="E36" s="597"/>
      <c r="F36" s="600"/>
      <c r="G36" s="600"/>
      <c r="H36" s="600"/>
      <c r="I36" s="600"/>
      <c r="J36" s="597"/>
    </row>
    <row r="37" spans="1:10">
      <c r="A37" s="597" t="str">
        <f>A38</f>
        <v>CAJE 1</v>
      </c>
      <c r="B37" s="597"/>
      <c r="C37" s="598" t="s">
        <v>22</v>
      </c>
      <c r="D37" s="599"/>
      <c r="E37" s="597"/>
      <c r="F37" s="600">
        <f>G38</f>
        <v>2</v>
      </c>
      <c r="G37" s="600"/>
      <c r="H37" s="600"/>
      <c r="I37" s="600"/>
      <c r="J37" s="597"/>
    </row>
    <row r="38" spans="1:10">
      <c r="A38" s="597" t="s">
        <v>41</v>
      </c>
      <c r="B38" s="597"/>
      <c r="C38" s="598"/>
      <c r="D38" s="599" t="s">
        <v>32</v>
      </c>
      <c r="E38" s="597"/>
      <c r="F38" s="600"/>
      <c r="G38" s="600">
        <v>2</v>
      </c>
      <c r="H38" s="600"/>
      <c r="I38" s="600"/>
      <c r="J38" s="597"/>
    </row>
    <row r="39" spans="1:10">
      <c r="A39" s="597"/>
      <c r="B39" s="597"/>
      <c r="C39" s="1059" t="s">
        <v>43</v>
      </c>
      <c r="D39" s="599"/>
      <c r="E39" s="597"/>
      <c r="F39" s="600"/>
      <c r="G39" s="600"/>
      <c r="H39" s="600"/>
      <c r="I39" s="600"/>
      <c r="J39" s="597"/>
    </row>
    <row r="40" spans="1:10">
      <c r="A40" s="597"/>
      <c r="B40" s="597"/>
      <c r="C40" s="598"/>
      <c r="D40" s="599"/>
      <c r="E40" s="597"/>
      <c r="F40" s="600"/>
      <c r="G40" s="600"/>
      <c r="H40" s="600"/>
      <c r="I40" s="600"/>
      <c r="J40" s="597"/>
    </row>
    <row r="41" spans="1:10">
      <c r="A41" s="597" t="s">
        <v>285</v>
      </c>
      <c r="B41" s="597"/>
      <c r="C41" s="598" t="s">
        <v>22</v>
      </c>
      <c r="D41" s="599"/>
      <c r="E41" s="597"/>
      <c r="F41" s="1979"/>
      <c r="G41" s="1979"/>
      <c r="H41" s="1979">
        <v>15000000</v>
      </c>
      <c r="I41" s="1979"/>
      <c r="J41" s="597"/>
    </row>
    <row r="42" spans="1:10">
      <c r="A42" s="597" t="str">
        <f>A41</f>
        <v>ELIM 8</v>
      </c>
      <c r="B42" s="597"/>
      <c r="C42" s="598"/>
      <c r="D42" s="599" t="s">
        <v>288</v>
      </c>
      <c r="E42" s="597"/>
      <c r="F42" s="1979"/>
      <c r="G42" s="1979"/>
      <c r="H42" s="1979"/>
      <c r="I42" s="1979">
        <f>H41</f>
        <v>15000000</v>
      </c>
      <c r="J42" s="597"/>
    </row>
    <row r="43" spans="1:10">
      <c r="A43" s="597"/>
      <c r="B43" s="597"/>
      <c r="C43" s="1059" t="s">
        <v>289</v>
      </c>
      <c r="D43" s="599"/>
      <c r="E43" s="597"/>
      <c r="F43" s="1979"/>
      <c r="G43" s="1979"/>
      <c r="H43" s="1979"/>
      <c r="I43" s="1979"/>
      <c r="J43" s="597"/>
    </row>
    <row r="44" spans="1:10">
      <c r="A44" s="597"/>
      <c r="B44" s="597"/>
      <c r="C44" s="598"/>
      <c r="D44" s="599"/>
      <c r="E44" s="597"/>
      <c r="F44" s="600"/>
      <c r="G44" s="600"/>
      <c r="H44" s="600"/>
      <c r="I44" s="600"/>
      <c r="J44" s="597"/>
    </row>
    <row r="45" spans="1:10">
      <c r="A45" s="597"/>
      <c r="B45" s="597"/>
      <c r="C45" s="598"/>
      <c r="D45" s="599"/>
      <c r="E45" s="597"/>
      <c r="F45" s="600"/>
      <c r="G45" s="600"/>
      <c r="H45" s="600"/>
      <c r="I45" s="600"/>
      <c r="J45" s="597"/>
    </row>
    <row r="46" spans="1:10">
      <c r="A46" s="597"/>
      <c r="B46" s="597"/>
      <c r="C46" s="598"/>
      <c r="D46" s="599"/>
      <c r="E46" s="597"/>
      <c r="F46" s="600"/>
      <c r="G46" s="600"/>
      <c r="H46" s="600"/>
      <c r="I46" s="600"/>
      <c r="J46" s="597"/>
    </row>
    <row r="47" spans="1:10">
      <c r="A47" s="597"/>
      <c r="B47" s="597"/>
      <c r="C47" s="1059"/>
      <c r="D47" s="599"/>
      <c r="E47" s="597"/>
      <c r="F47" s="600"/>
      <c r="G47" s="600"/>
      <c r="H47" s="600"/>
      <c r="I47" s="600"/>
      <c r="J47" s="597"/>
    </row>
  </sheetData>
  <mergeCells count="7">
    <mergeCell ref="J5:J6"/>
    <mergeCell ref="A5:A6"/>
    <mergeCell ref="B5:B6"/>
    <mergeCell ref="C5:D6"/>
    <mergeCell ref="E5:E6"/>
    <mergeCell ref="F5:G5"/>
    <mergeCell ref="H5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237F-1D1E-4F03-95B1-19A06A9318C8}">
  <sheetPr>
    <tabColor rgb="FFCCFFFF"/>
  </sheetPr>
  <dimension ref="A1:K65"/>
  <sheetViews>
    <sheetView showGridLines="0" workbookViewId="0">
      <pane xSplit="6" ySplit="6" topLeftCell="G22" activePane="bottomRight" state="frozen"/>
      <selection pane="bottomRight" activeCell="I27" sqref="I27"/>
      <selection pane="bottomLeft" activeCell="A7" sqref="A7"/>
      <selection pane="topRight" activeCell="G1" sqref="G1"/>
    </sheetView>
  </sheetViews>
  <sheetFormatPr defaultRowHeight="14.45"/>
  <cols>
    <col min="1" max="1" width="2.5703125" customWidth="1"/>
    <col min="2" max="2" width="12.42578125" bestFit="1" customWidth="1"/>
    <col min="3" max="3" width="6.42578125" bestFit="1" customWidth="1"/>
    <col min="4" max="4" width="3" customWidth="1"/>
    <col min="5" max="5" width="39.42578125" customWidth="1"/>
    <col min="6" max="6" width="8" bestFit="1" customWidth="1"/>
    <col min="7" max="10" width="16.5703125" style="121" customWidth="1"/>
    <col min="11" max="11" width="30.42578125" bestFit="1" customWidth="1"/>
  </cols>
  <sheetData>
    <row r="1" spans="1:11">
      <c r="B1" s="342" t="s">
        <v>34</v>
      </c>
      <c r="C1" s="596"/>
    </row>
    <row r="2" spans="1:11">
      <c r="B2" s="342" t="s">
        <v>290</v>
      </c>
    </row>
    <row r="3" spans="1:11">
      <c r="A3" s="342"/>
    </row>
    <row r="4" spans="1:11">
      <c r="A4" s="342"/>
    </row>
    <row r="5" spans="1:11">
      <c r="B5" s="2331" t="s">
        <v>1</v>
      </c>
      <c r="C5" s="2331" t="s">
        <v>2</v>
      </c>
      <c r="D5" s="2334" t="s">
        <v>3</v>
      </c>
      <c r="E5" s="2335"/>
      <c r="F5" s="2338" t="s">
        <v>4</v>
      </c>
      <c r="G5" s="2340" t="s">
        <v>5</v>
      </c>
      <c r="H5" s="2341"/>
      <c r="I5" s="2342" t="s">
        <v>6</v>
      </c>
      <c r="J5" s="2342"/>
      <c r="K5" s="2331" t="s">
        <v>7</v>
      </c>
    </row>
    <row r="6" spans="1:11">
      <c r="B6" s="2333"/>
      <c r="C6" s="2333"/>
      <c r="D6" s="2336"/>
      <c r="E6" s="2337"/>
      <c r="F6" s="2339"/>
      <c r="G6" s="594" t="s">
        <v>8</v>
      </c>
      <c r="H6" s="594" t="s">
        <v>9</v>
      </c>
      <c r="I6" s="595" t="s">
        <v>8</v>
      </c>
      <c r="J6" s="595" t="s">
        <v>9</v>
      </c>
      <c r="K6" s="2332"/>
    </row>
    <row r="7" spans="1:11">
      <c r="B7" s="597"/>
      <c r="C7" s="597"/>
      <c r="D7" s="598"/>
      <c r="E7" s="599"/>
      <c r="F7" s="597"/>
      <c r="G7" s="600"/>
      <c r="H7" s="600"/>
      <c r="I7" s="600"/>
      <c r="J7" s="600"/>
      <c r="K7" s="597"/>
    </row>
    <row r="8" spans="1:11">
      <c r="B8" s="597" t="s">
        <v>10</v>
      </c>
      <c r="C8" s="597"/>
      <c r="D8" s="599" t="s">
        <v>11</v>
      </c>
      <c r="E8" s="599"/>
      <c r="F8" s="597"/>
      <c r="G8" s="600">
        <f>H9</f>
        <v>94963698422</v>
      </c>
      <c r="H8" s="600"/>
      <c r="I8" s="600"/>
      <c r="J8" s="600"/>
      <c r="K8" s="597" t="s">
        <v>12</v>
      </c>
    </row>
    <row r="9" spans="1:11">
      <c r="B9" s="597" t="str">
        <f>B8</f>
        <v>ELIM 1</v>
      </c>
      <c r="C9" s="597"/>
      <c r="D9" s="598"/>
      <c r="E9" s="599" t="s">
        <v>13</v>
      </c>
      <c r="F9" s="597"/>
      <c r="G9" s="600"/>
      <c r="H9" s="600">
        <v>94963698422</v>
      </c>
      <c r="I9" s="600"/>
      <c r="J9" s="600"/>
      <c r="K9" s="597" t="str">
        <f>K8</f>
        <v xml:space="preserve">Eleminasi Utang Piutang Keuangan </v>
      </c>
    </row>
    <row r="10" spans="1:11">
      <c r="B10" s="597"/>
      <c r="C10" s="597"/>
      <c r="D10" s="598"/>
      <c r="E10" s="599"/>
      <c r="F10" s="597"/>
      <c r="G10" s="600"/>
      <c r="H10" s="600"/>
      <c r="I10" s="600"/>
      <c r="J10" s="600"/>
      <c r="K10" s="597"/>
    </row>
    <row r="11" spans="1:11">
      <c r="B11" s="597" t="s">
        <v>14</v>
      </c>
      <c r="C11" s="597"/>
      <c r="D11" s="598" t="s">
        <v>15</v>
      </c>
      <c r="E11" s="599"/>
      <c r="F11" s="597"/>
      <c r="G11" s="600">
        <v>34916763132</v>
      </c>
      <c r="H11" s="600"/>
      <c r="I11" s="600"/>
      <c r="J11" s="600"/>
      <c r="K11" s="597" t="s">
        <v>16</v>
      </c>
    </row>
    <row r="12" spans="1:11">
      <c r="B12" s="597" t="str">
        <f>B11</f>
        <v>ELIM 2</v>
      </c>
      <c r="C12" s="597"/>
      <c r="D12" s="598"/>
      <c r="E12" s="599" t="s">
        <v>17</v>
      </c>
      <c r="F12" s="597"/>
      <c r="G12" s="600"/>
      <c r="H12" s="600">
        <f>G11</f>
        <v>34916763132</v>
      </c>
      <c r="I12" s="600"/>
      <c r="J12" s="600"/>
      <c r="K12" s="597" t="str">
        <f>K11</f>
        <v xml:space="preserve">Eleminasi Utang Piutang </v>
      </c>
    </row>
    <row r="13" spans="1:11">
      <c r="B13" s="597"/>
      <c r="C13" s="597"/>
      <c r="D13" s="598"/>
      <c r="E13" s="599"/>
      <c r="F13" s="597"/>
      <c r="G13" s="600"/>
      <c r="H13" s="600"/>
      <c r="I13" s="600"/>
      <c r="J13" s="600"/>
      <c r="K13" s="597"/>
    </row>
    <row r="14" spans="1:11">
      <c r="B14" s="597" t="s">
        <v>18</v>
      </c>
      <c r="C14" s="597"/>
      <c r="D14" s="598" t="s">
        <v>17</v>
      </c>
      <c r="E14" s="599"/>
      <c r="F14" s="597"/>
      <c r="G14" s="600">
        <v>2637090788</v>
      </c>
      <c r="H14" s="600"/>
      <c r="I14" s="600"/>
      <c r="J14" s="600"/>
      <c r="K14" s="597" t="s">
        <v>16</v>
      </c>
    </row>
    <row r="15" spans="1:11">
      <c r="B15" s="597" t="str">
        <f>B14</f>
        <v>ELIM 3</v>
      </c>
      <c r="C15" s="597"/>
      <c r="D15" s="598"/>
      <c r="E15" s="599" t="s">
        <v>15</v>
      </c>
      <c r="F15" s="597"/>
      <c r="G15" s="600"/>
      <c r="H15" s="600">
        <f>G14</f>
        <v>2637090788</v>
      </c>
      <c r="I15" s="600"/>
      <c r="J15" s="600"/>
      <c r="K15" s="597" t="str">
        <f>K14</f>
        <v xml:space="preserve">Eleminasi Utang Piutang </v>
      </c>
    </row>
    <row r="16" spans="1:11">
      <c r="B16" s="597"/>
      <c r="C16" s="597"/>
      <c r="D16" s="598"/>
      <c r="E16" s="599"/>
      <c r="F16" s="597"/>
      <c r="G16" s="600"/>
      <c r="H16" s="600"/>
      <c r="I16" s="600"/>
      <c r="J16" s="600"/>
      <c r="K16" s="597"/>
    </row>
    <row r="17" spans="2:11">
      <c r="B17" s="597" t="s">
        <v>19</v>
      </c>
      <c r="C17" s="597"/>
      <c r="D17" s="598" t="s">
        <v>36</v>
      </c>
      <c r="E17" s="599"/>
      <c r="F17" s="597"/>
      <c r="G17" s="600">
        <v>1050000000</v>
      </c>
      <c r="H17" s="600"/>
      <c r="I17" s="600"/>
      <c r="J17" s="600"/>
      <c r="K17" s="597" t="s">
        <v>37</v>
      </c>
    </row>
    <row r="18" spans="2:11">
      <c r="B18" s="597" t="str">
        <f>B17</f>
        <v>ELIM 4</v>
      </c>
      <c r="C18" s="597"/>
      <c r="D18" s="598"/>
      <c r="E18" s="599" t="s">
        <v>38</v>
      </c>
      <c r="F18" s="597"/>
      <c r="G18" s="600"/>
      <c r="H18" s="600">
        <f>G17</f>
        <v>1050000000</v>
      </c>
      <c r="I18" s="600"/>
      <c r="J18" s="600"/>
      <c r="K18" s="597" t="str">
        <f>K17</f>
        <v>Eleminasi IAS Investasi pada Anak</v>
      </c>
    </row>
    <row r="19" spans="2:11">
      <c r="B19" s="597"/>
      <c r="C19" s="597"/>
      <c r="D19" s="598"/>
      <c r="E19" s="599"/>
      <c r="F19" s="597"/>
      <c r="G19" s="600"/>
      <c r="H19" s="600"/>
      <c r="I19" s="600"/>
      <c r="J19" s="600"/>
      <c r="K19" s="597"/>
    </row>
    <row r="20" spans="2:11">
      <c r="B20" s="597"/>
      <c r="C20" s="597"/>
      <c r="D20" s="598"/>
      <c r="E20" s="599"/>
      <c r="F20" s="597"/>
      <c r="G20" s="600"/>
      <c r="H20" s="600"/>
      <c r="I20" s="600"/>
      <c r="J20" s="600"/>
      <c r="K20" s="597"/>
    </row>
    <row r="21" spans="2:11">
      <c r="B21" s="597" t="s">
        <v>26</v>
      </c>
      <c r="C21" s="597"/>
      <c r="D21" s="650" t="s">
        <v>20</v>
      </c>
      <c r="E21" s="651"/>
      <c r="F21" s="652"/>
      <c r="G21" s="600"/>
      <c r="H21" s="600"/>
      <c r="I21" s="600">
        <v>19246827883</v>
      </c>
      <c r="J21" s="600"/>
      <c r="K21" s="597" t="s">
        <v>21</v>
      </c>
    </row>
    <row r="22" spans="2:11">
      <c r="B22" s="597" t="s">
        <v>26</v>
      </c>
      <c r="C22" s="597"/>
      <c r="D22" s="650" t="s">
        <v>22</v>
      </c>
      <c r="E22" s="651"/>
      <c r="F22" s="652"/>
      <c r="G22" s="600"/>
      <c r="H22" s="600"/>
      <c r="I22" s="600">
        <v>271648678</v>
      </c>
      <c r="J22" s="600"/>
      <c r="K22" s="597" t="str">
        <f>K21</f>
        <v>Eleminasi Penjualan ISP to IAS</v>
      </c>
    </row>
    <row r="23" spans="2:11">
      <c r="B23" s="597" t="s">
        <v>26</v>
      </c>
      <c r="C23" s="597"/>
      <c r="D23" s="650" t="s">
        <v>23</v>
      </c>
      <c r="E23" s="651"/>
      <c r="F23" s="652"/>
      <c r="G23" s="600"/>
      <c r="H23" s="600"/>
      <c r="I23" s="600">
        <v>1388066000</v>
      </c>
      <c r="J23" s="600"/>
      <c r="K23" s="597" t="str">
        <f t="shared" ref="K23:K25" si="0">K22</f>
        <v>Eleminasi Penjualan ISP to IAS</v>
      </c>
    </row>
    <row r="24" spans="2:11">
      <c r="B24" s="597" t="s">
        <v>26</v>
      </c>
      <c r="C24" s="597"/>
      <c r="D24" s="650"/>
      <c r="E24" s="651" t="s">
        <v>24</v>
      </c>
      <c r="F24" s="652"/>
      <c r="G24" s="600"/>
      <c r="H24" s="600"/>
      <c r="I24" s="600"/>
      <c r="J24" s="600">
        <v>19246827883</v>
      </c>
      <c r="K24" s="597" t="str">
        <f>K23</f>
        <v>Eleminasi Penjualan ISP to IAS</v>
      </c>
    </row>
    <row r="25" spans="2:11">
      <c r="B25" s="597" t="s">
        <v>26</v>
      </c>
      <c r="C25" s="597"/>
      <c r="D25" s="650"/>
      <c r="E25" s="651" t="s">
        <v>25</v>
      </c>
      <c r="F25" s="652"/>
      <c r="G25" s="600"/>
      <c r="H25" s="600"/>
      <c r="I25" s="600"/>
      <c r="J25" s="600">
        <v>1659714678</v>
      </c>
      <c r="K25" s="597" t="str">
        <f t="shared" si="0"/>
        <v>Eleminasi Penjualan ISP to IAS</v>
      </c>
    </row>
    <row r="26" spans="2:11">
      <c r="B26" s="597"/>
      <c r="C26" s="597"/>
      <c r="D26" s="650"/>
      <c r="E26" s="651"/>
      <c r="F26" s="652"/>
      <c r="G26" s="600"/>
      <c r="H26" s="600"/>
      <c r="I26" s="600"/>
      <c r="J26" s="600"/>
      <c r="K26" s="597"/>
    </row>
    <row r="27" spans="2:11">
      <c r="B27" s="597" t="s">
        <v>39</v>
      </c>
      <c r="C27" s="597"/>
      <c r="D27" s="650" t="s">
        <v>27</v>
      </c>
      <c r="E27" s="651"/>
      <c r="F27" s="652"/>
      <c r="G27" s="600"/>
      <c r="H27" s="600"/>
      <c r="I27" s="600">
        <v>11201885196</v>
      </c>
      <c r="J27" s="600"/>
      <c r="K27" s="597" t="s">
        <v>28</v>
      </c>
    </row>
    <row r="28" spans="2:11">
      <c r="B28" s="597" t="s">
        <v>39</v>
      </c>
      <c r="C28" s="597"/>
      <c r="D28" s="650"/>
      <c r="E28" s="651" t="s">
        <v>40</v>
      </c>
      <c r="F28" s="652"/>
      <c r="G28" s="600"/>
      <c r="H28" s="600"/>
      <c r="I28" s="600"/>
      <c r="J28" s="600">
        <v>11201885196</v>
      </c>
      <c r="K28" s="597" t="str">
        <f>K27</f>
        <v>Eleminasi Penjualan IAS to ISP</v>
      </c>
    </row>
    <row r="29" spans="2:11">
      <c r="B29" s="597"/>
      <c r="C29" s="597"/>
      <c r="D29" s="598"/>
      <c r="E29" s="599"/>
      <c r="F29" s="597"/>
      <c r="G29" s="600"/>
      <c r="H29" s="600"/>
      <c r="I29" s="600"/>
      <c r="J29" s="600"/>
      <c r="K29" s="597"/>
    </row>
    <row r="30" spans="2:11">
      <c r="B30" s="597" t="s">
        <v>31</v>
      </c>
      <c r="C30" s="597"/>
      <c r="D30" s="598" t="s">
        <v>32</v>
      </c>
      <c r="E30" s="599"/>
      <c r="F30" s="597"/>
      <c r="G30" s="600"/>
      <c r="H30" s="600"/>
      <c r="I30" s="600">
        <v>5868638298</v>
      </c>
      <c r="J30" s="600"/>
      <c r="K30" s="597"/>
    </row>
    <row r="31" spans="2:11">
      <c r="B31" s="597" t="str">
        <f>B30</f>
        <v>ELIM 7</v>
      </c>
      <c r="C31" s="597"/>
      <c r="D31" s="598"/>
      <c r="E31" s="599" t="s">
        <v>33</v>
      </c>
      <c r="F31" s="597"/>
      <c r="G31" s="600"/>
      <c r="H31" s="600"/>
      <c r="I31" s="600"/>
      <c r="J31" s="600">
        <f>I30</f>
        <v>5868638298</v>
      </c>
      <c r="K31" s="597"/>
    </row>
    <row r="32" spans="2:11">
      <c r="B32" s="597"/>
      <c r="C32" s="597"/>
      <c r="D32" s="598"/>
      <c r="E32" s="599"/>
      <c r="F32" s="597"/>
      <c r="G32" s="600"/>
      <c r="H32" s="600"/>
      <c r="I32" s="600"/>
      <c r="J32" s="600"/>
      <c r="K32" s="597"/>
    </row>
    <row r="33" spans="2:11">
      <c r="B33" s="597"/>
      <c r="C33" s="597"/>
      <c r="D33" s="598"/>
      <c r="E33" s="599"/>
      <c r="F33" s="597"/>
      <c r="G33" s="600"/>
      <c r="H33" s="600"/>
      <c r="I33" s="600"/>
      <c r="J33" s="600"/>
      <c r="K33" s="597"/>
    </row>
    <row r="34" spans="2:11">
      <c r="B34" s="597" t="s">
        <v>41</v>
      </c>
      <c r="C34" s="597"/>
      <c r="D34" s="598"/>
      <c r="E34" s="599" t="s">
        <v>32</v>
      </c>
      <c r="F34" s="597"/>
      <c r="G34" s="600"/>
      <c r="H34" s="600">
        <v>2</v>
      </c>
      <c r="I34" s="600"/>
      <c r="J34" s="600"/>
      <c r="K34" s="597"/>
    </row>
    <row r="35" spans="2:11">
      <c r="B35" s="597" t="str">
        <f>B34</f>
        <v>CAJE 1</v>
      </c>
      <c r="C35" s="597"/>
      <c r="D35" s="598" t="s">
        <v>42</v>
      </c>
      <c r="E35" s="599"/>
      <c r="F35" s="597"/>
      <c r="G35" s="600">
        <f>H34</f>
        <v>2</v>
      </c>
      <c r="H35" s="600"/>
      <c r="I35" s="600"/>
      <c r="J35" s="600"/>
      <c r="K35" s="597"/>
    </row>
    <row r="36" spans="2:11">
      <c r="B36" s="597"/>
      <c r="C36" s="597"/>
      <c r="D36" s="1059" t="s">
        <v>43</v>
      </c>
      <c r="E36" s="599"/>
      <c r="F36" s="597"/>
      <c r="G36" s="600"/>
      <c r="H36" s="600"/>
      <c r="I36" s="600"/>
      <c r="J36" s="600"/>
      <c r="K36" s="597"/>
    </row>
    <row r="37" spans="2:11">
      <c r="B37" s="597"/>
      <c r="C37" s="597"/>
      <c r="D37" s="598"/>
      <c r="E37" s="599"/>
      <c r="F37" s="597"/>
      <c r="G37" s="600"/>
      <c r="H37" s="600"/>
      <c r="I37" s="600"/>
      <c r="J37" s="600"/>
      <c r="K37" s="597"/>
    </row>
    <row r="38" spans="2:11">
      <c r="B38" s="597"/>
      <c r="C38" s="597"/>
      <c r="D38" s="598"/>
      <c r="E38" s="599"/>
      <c r="F38" s="597"/>
      <c r="G38" s="600"/>
      <c r="H38" s="600"/>
      <c r="I38" s="600"/>
      <c r="J38" s="600"/>
      <c r="K38" s="597"/>
    </row>
    <row r="39" spans="2:11">
      <c r="B39" s="597"/>
      <c r="C39" s="597"/>
      <c r="D39" s="598"/>
      <c r="E39" s="599"/>
      <c r="F39" s="597"/>
      <c r="G39" s="600"/>
      <c r="H39" s="600"/>
      <c r="I39" s="600"/>
      <c r="J39" s="600"/>
      <c r="K39" s="597"/>
    </row>
    <row r="40" spans="2:11">
      <c r="B40" s="597"/>
      <c r="C40" s="597"/>
      <c r="D40" s="1059"/>
      <c r="E40" s="599"/>
      <c r="F40" s="597"/>
      <c r="G40" s="600"/>
      <c r="H40" s="600"/>
      <c r="I40" s="600"/>
      <c r="J40" s="600"/>
      <c r="K40" s="597"/>
    </row>
    <row r="41" spans="2:11">
      <c r="B41" s="597"/>
      <c r="C41" s="597"/>
      <c r="D41" s="598"/>
      <c r="E41" s="599"/>
      <c r="F41" s="597"/>
      <c r="G41" s="600"/>
      <c r="H41" s="600"/>
      <c r="I41" s="600"/>
      <c r="J41" s="600"/>
      <c r="K41" s="597"/>
    </row>
    <row r="42" spans="2:11">
      <c r="B42" s="597"/>
      <c r="C42" s="597"/>
      <c r="D42" s="598"/>
      <c r="E42" s="599"/>
      <c r="F42" s="597"/>
      <c r="G42" s="600"/>
      <c r="H42" s="600"/>
      <c r="I42" s="600"/>
      <c r="J42" s="600"/>
      <c r="K42" s="597"/>
    </row>
    <row r="43" spans="2:11">
      <c r="B43" s="597"/>
      <c r="C43" s="597"/>
      <c r="D43" s="598"/>
      <c r="E43" s="599"/>
      <c r="F43" s="597"/>
      <c r="G43" s="600"/>
      <c r="H43" s="600"/>
      <c r="I43" s="600"/>
      <c r="J43" s="600"/>
      <c r="K43" s="597"/>
    </row>
    <row r="44" spans="2:11">
      <c r="B44" s="597"/>
      <c r="C44" s="597"/>
      <c r="D44" s="598"/>
      <c r="E44" s="599"/>
      <c r="F44" s="597"/>
      <c r="G44" s="600"/>
      <c r="H44" s="600"/>
      <c r="I44" s="600"/>
      <c r="J44" s="600"/>
      <c r="K44" s="597"/>
    </row>
    <row r="45" spans="2:11">
      <c r="B45" s="597"/>
      <c r="C45" s="597"/>
      <c r="D45" s="598"/>
      <c r="E45" s="599"/>
      <c r="F45" s="597"/>
      <c r="G45" s="600"/>
      <c r="H45" s="600"/>
      <c r="I45" s="600"/>
      <c r="J45" s="600"/>
      <c r="K45" s="597"/>
    </row>
    <row r="46" spans="2:11">
      <c r="B46" s="597"/>
      <c r="C46" s="597"/>
      <c r="D46" s="598"/>
      <c r="E46" s="599"/>
      <c r="F46" s="597"/>
      <c r="G46" s="600"/>
      <c r="H46" s="600"/>
      <c r="I46" s="600"/>
      <c r="J46" s="600"/>
      <c r="K46" s="597"/>
    </row>
    <row r="47" spans="2:11">
      <c r="B47" s="597"/>
      <c r="C47" s="597"/>
      <c r="D47" s="598"/>
      <c r="E47" s="599"/>
      <c r="F47" s="597"/>
      <c r="G47" s="600"/>
      <c r="H47" s="600"/>
      <c r="I47" s="600"/>
      <c r="J47" s="600"/>
      <c r="K47" s="597"/>
    </row>
    <row r="48" spans="2:11">
      <c r="B48" s="597"/>
      <c r="C48" s="597"/>
      <c r="D48" s="598"/>
      <c r="E48" s="599"/>
      <c r="F48" s="597"/>
      <c r="G48" s="600"/>
      <c r="H48" s="600"/>
      <c r="I48" s="600"/>
      <c r="J48" s="600"/>
      <c r="K48" s="597"/>
    </row>
    <row r="49" spans="2:11">
      <c r="B49" s="597"/>
      <c r="C49" s="597"/>
      <c r="D49" s="598"/>
      <c r="E49" s="599"/>
      <c r="F49" s="597"/>
      <c r="G49" s="600"/>
      <c r="H49" s="600"/>
      <c r="I49" s="600"/>
      <c r="J49" s="600"/>
      <c r="K49" s="597"/>
    </row>
    <row r="50" spans="2:11">
      <c r="B50" s="597"/>
      <c r="C50" s="597"/>
      <c r="D50" s="598"/>
      <c r="E50" s="599"/>
      <c r="F50" s="597"/>
      <c r="G50" s="600"/>
      <c r="H50" s="600"/>
      <c r="I50" s="600"/>
      <c r="J50" s="600"/>
      <c r="K50" s="597"/>
    </row>
    <row r="51" spans="2:11">
      <c r="B51" s="597"/>
      <c r="C51" s="597"/>
      <c r="D51" s="598"/>
      <c r="E51" s="599"/>
      <c r="F51" s="597"/>
      <c r="G51" s="600"/>
      <c r="H51" s="600"/>
      <c r="I51" s="600"/>
      <c r="J51" s="600"/>
      <c r="K51" s="597"/>
    </row>
    <row r="52" spans="2:11">
      <c r="B52" s="597"/>
      <c r="C52" s="597"/>
      <c r="D52" s="598"/>
      <c r="E52" s="599"/>
      <c r="F52" s="597"/>
      <c r="G52" s="600"/>
      <c r="H52" s="600"/>
      <c r="I52" s="600"/>
      <c r="J52" s="600"/>
      <c r="K52" s="597"/>
    </row>
    <row r="53" spans="2:11">
      <c r="B53" s="597"/>
      <c r="C53" s="597"/>
      <c r="D53" s="598"/>
      <c r="E53" s="599"/>
      <c r="F53" s="597"/>
      <c r="G53" s="600"/>
      <c r="H53" s="600"/>
      <c r="I53" s="600"/>
      <c r="J53" s="600"/>
      <c r="K53" s="597"/>
    </row>
    <row r="54" spans="2:11">
      <c r="B54" s="597"/>
      <c r="C54" s="597"/>
      <c r="D54" s="598"/>
      <c r="E54" s="599"/>
      <c r="F54" s="597"/>
      <c r="G54" s="600"/>
      <c r="H54" s="600"/>
      <c r="I54" s="600"/>
      <c r="J54" s="600"/>
      <c r="K54" s="597"/>
    </row>
    <row r="55" spans="2:11">
      <c r="B55" s="597"/>
      <c r="C55" s="597"/>
      <c r="D55" s="598"/>
      <c r="E55" s="599"/>
      <c r="F55" s="597"/>
      <c r="G55" s="600"/>
      <c r="H55" s="600"/>
      <c r="I55" s="600"/>
      <c r="J55" s="600"/>
      <c r="K55" s="597"/>
    </row>
    <row r="56" spans="2:11">
      <c r="B56" s="597"/>
      <c r="C56" s="597"/>
      <c r="D56" s="598"/>
      <c r="E56" s="599"/>
      <c r="F56" s="597"/>
      <c r="G56" s="600"/>
      <c r="H56" s="600"/>
      <c r="I56" s="600"/>
      <c r="J56" s="600"/>
      <c r="K56" s="597"/>
    </row>
    <row r="57" spans="2:11">
      <c r="B57" s="597"/>
      <c r="C57" s="597"/>
      <c r="D57" s="598"/>
      <c r="E57" s="599"/>
      <c r="F57" s="597"/>
      <c r="G57" s="600"/>
      <c r="H57" s="600"/>
      <c r="I57" s="600"/>
      <c r="J57" s="600"/>
      <c r="K57" s="597"/>
    </row>
    <row r="58" spans="2:11">
      <c r="B58" s="597"/>
      <c r="C58" s="597"/>
      <c r="D58" s="598"/>
      <c r="E58" s="599"/>
      <c r="F58" s="597"/>
      <c r="G58" s="600"/>
      <c r="H58" s="600"/>
      <c r="I58" s="600"/>
      <c r="J58" s="600"/>
      <c r="K58" s="597"/>
    </row>
    <row r="59" spans="2:11">
      <c r="B59" s="597"/>
      <c r="C59" s="597"/>
      <c r="D59" s="598"/>
      <c r="E59" s="599"/>
      <c r="F59" s="597"/>
      <c r="G59" s="600"/>
      <c r="H59" s="600"/>
      <c r="I59" s="600"/>
      <c r="J59" s="600"/>
      <c r="K59" s="597"/>
    </row>
    <row r="60" spans="2:11">
      <c r="B60" s="597"/>
      <c r="C60" s="597"/>
      <c r="D60" s="598"/>
      <c r="E60" s="599"/>
      <c r="F60" s="597"/>
      <c r="G60" s="600"/>
      <c r="H60" s="600"/>
      <c r="I60" s="600"/>
      <c r="J60" s="600"/>
      <c r="K60" s="597"/>
    </row>
    <row r="61" spans="2:11">
      <c r="B61" s="597"/>
      <c r="C61" s="597"/>
      <c r="D61" s="598"/>
      <c r="E61" s="599"/>
      <c r="F61" s="597"/>
      <c r="G61" s="600"/>
      <c r="H61" s="600"/>
      <c r="I61" s="600"/>
      <c r="J61" s="600"/>
      <c r="K61" s="597"/>
    </row>
    <row r="62" spans="2:11">
      <c r="B62" s="597"/>
      <c r="C62" s="597"/>
      <c r="D62" s="598"/>
      <c r="E62" s="599"/>
      <c r="F62" s="597"/>
      <c r="G62" s="600"/>
      <c r="H62" s="600"/>
      <c r="I62" s="600"/>
      <c r="J62" s="600"/>
      <c r="K62" s="597"/>
    </row>
    <row r="63" spans="2:11">
      <c r="B63" s="597"/>
      <c r="C63" s="597"/>
      <c r="D63" s="598"/>
      <c r="E63" s="599"/>
      <c r="F63" s="597"/>
      <c r="G63" s="600"/>
      <c r="H63" s="600"/>
      <c r="I63" s="600"/>
      <c r="J63" s="600"/>
      <c r="K63" s="597"/>
    </row>
    <row r="64" spans="2:11">
      <c r="B64" s="597"/>
      <c r="C64" s="597"/>
      <c r="D64" s="598"/>
      <c r="E64" s="599"/>
      <c r="F64" s="597"/>
      <c r="G64" s="600"/>
      <c r="H64" s="600"/>
      <c r="I64" s="600"/>
      <c r="J64" s="600"/>
      <c r="K64" s="597"/>
    </row>
    <row r="65" spans="2:11">
      <c r="B65" s="597"/>
      <c r="C65" s="597"/>
      <c r="D65" s="598"/>
      <c r="E65" s="599"/>
      <c r="F65" s="597"/>
      <c r="G65" s="600"/>
      <c r="H65" s="600"/>
      <c r="I65" s="600"/>
      <c r="J65" s="600"/>
      <c r="K65" s="597"/>
    </row>
  </sheetData>
  <mergeCells count="7">
    <mergeCell ref="K5:K6"/>
    <mergeCell ref="B5:B6"/>
    <mergeCell ref="C5:C6"/>
    <mergeCell ref="D5:E6"/>
    <mergeCell ref="F5:F6"/>
    <mergeCell ref="G5:H5"/>
    <mergeCell ref="I5:J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B142-5ED1-4927-A6A8-0A6B624A6934}">
  <dimension ref="C3:O44"/>
  <sheetViews>
    <sheetView workbookViewId="0">
      <selection activeCell="J16" sqref="J16"/>
    </sheetView>
  </sheetViews>
  <sheetFormatPr defaultRowHeight="14.45"/>
  <cols>
    <col min="3" max="3" width="23.42578125" customWidth="1"/>
    <col min="4" max="4" width="16.42578125" bestFit="1" customWidth="1"/>
    <col min="5" max="5" width="3.42578125" customWidth="1"/>
    <col min="6" max="6" width="17.42578125" bestFit="1" customWidth="1"/>
    <col min="7" max="7" width="2.42578125" customWidth="1"/>
    <col min="8" max="8" width="14.42578125" bestFit="1" customWidth="1"/>
    <col min="9" max="9" width="2.42578125" customWidth="1"/>
    <col min="10" max="10" width="16.42578125" bestFit="1" customWidth="1"/>
    <col min="11" max="11" width="17" bestFit="1" customWidth="1"/>
    <col min="14" max="14" width="14.5703125" bestFit="1" customWidth="1"/>
    <col min="15" max="15" width="12.5703125" bestFit="1" customWidth="1"/>
  </cols>
  <sheetData>
    <row r="3" spans="3:15">
      <c r="H3" s="628" t="s">
        <v>291</v>
      </c>
    </row>
    <row r="4" spans="3:15">
      <c r="H4" s="628" t="s">
        <v>292</v>
      </c>
    </row>
    <row r="5" spans="3:15">
      <c r="H5" s="628" t="s">
        <v>293</v>
      </c>
    </row>
    <row r="6" spans="3:15">
      <c r="D6" s="628" t="s">
        <v>294</v>
      </c>
      <c r="E6" s="2206"/>
      <c r="F6" s="628" t="s">
        <v>295</v>
      </c>
      <c r="G6" s="2206"/>
      <c r="H6" s="628" t="s">
        <v>296</v>
      </c>
      <c r="I6" s="2206"/>
      <c r="J6" s="628" t="s">
        <v>49</v>
      </c>
    </row>
    <row r="7" spans="3:15">
      <c r="D7" s="628" t="s">
        <v>297</v>
      </c>
      <c r="E7" s="2206"/>
      <c r="F7" s="628" t="s">
        <v>298</v>
      </c>
      <c r="G7" s="2206"/>
      <c r="H7" s="628" t="s">
        <v>299</v>
      </c>
      <c r="I7" s="2206"/>
      <c r="J7" s="628" t="s">
        <v>297</v>
      </c>
    </row>
    <row r="8" spans="3:15">
      <c r="D8" s="628" t="s">
        <v>300</v>
      </c>
      <c r="E8" s="2206"/>
      <c r="F8" s="628" t="s">
        <v>301</v>
      </c>
      <c r="G8" s="2206"/>
      <c r="H8" s="628" t="s">
        <v>302</v>
      </c>
      <c r="I8" s="2206"/>
      <c r="J8" s="628" t="s">
        <v>303</v>
      </c>
    </row>
    <row r="9" spans="3:15">
      <c r="D9" s="632">
        <v>2024</v>
      </c>
      <c r="E9" s="2206"/>
      <c r="F9" s="632" t="s">
        <v>304</v>
      </c>
      <c r="G9" s="2206"/>
      <c r="H9" s="632" t="s">
        <v>305</v>
      </c>
      <c r="I9" s="2206"/>
      <c r="J9" s="632">
        <v>2024</v>
      </c>
    </row>
    <row r="10" spans="3:15" ht="6" customHeight="1"/>
    <row r="11" spans="3:15">
      <c r="C11" t="s">
        <v>306</v>
      </c>
      <c r="D11" s="2120">
        <f>J28</f>
        <v>2045497897</v>
      </c>
      <c r="E11" s="2120"/>
      <c r="F11" s="2120">
        <f>'DTA ISP'!F12+'DTA IAS'!F11</f>
        <v>194435264.96000001</v>
      </c>
      <c r="G11" s="2120">
        <f>'DTA ISP'!F12+'DTA IAS'!F11</f>
        <v>194435264.96000001</v>
      </c>
      <c r="H11" s="2120">
        <f>'DTA IAS'!H11+'DTA ISP'!H12</f>
        <v>4867315.8800000008</v>
      </c>
      <c r="I11" s="2120"/>
      <c r="J11" s="2120">
        <f>D11+F11+H11</f>
        <v>2244800477.8400002</v>
      </c>
      <c r="K11" t="s">
        <v>307</v>
      </c>
    </row>
    <row r="12" spans="3:15">
      <c r="C12" t="s">
        <v>308</v>
      </c>
      <c r="D12" s="2120">
        <f>J29</f>
        <v>352336430</v>
      </c>
      <c r="E12" s="2120"/>
      <c r="F12" s="2208">
        <f>'DTA ISP'!F13+'DTA IAS'!F12</f>
        <v>-77205942.242849469</v>
      </c>
      <c r="G12" s="2120"/>
      <c r="H12" s="2120">
        <v>0</v>
      </c>
      <c r="I12" s="2120"/>
      <c r="J12" s="2120">
        <f>SUM(D12:H12)</f>
        <v>275130487.75715053</v>
      </c>
      <c r="K12" t="s">
        <v>309</v>
      </c>
      <c r="N12" s="2120"/>
      <c r="O12" s="1093"/>
    </row>
    <row r="13" spans="3:15">
      <c r="C13" t="s">
        <v>310</v>
      </c>
      <c r="D13" s="2209">
        <f>J30</f>
        <v>-607652187</v>
      </c>
      <c r="E13" s="2120"/>
      <c r="F13" s="2211">
        <f>'DTA IAS'!F13</f>
        <v>0</v>
      </c>
      <c r="G13" s="2120"/>
      <c r="H13" s="2211">
        <v>0</v>
      </c>
      <c r="I13" s="2120"/>
      <c r="J13" s="2209">
        <f>SUM(D13:H13)</f>
        <v>-607652187</v>
      </c>
      <c r="K13" t="s">
        <v>311</v>
      </c>
    </row>
    <row r="14" spans="3:15" ht="3.6" customHeight="1">
      <c r="D14" s="912"/>
    </row>
    <row r="15" spans="3:15">
      <c r="C15" s="342" t="s">
        <v>312</v>
      </c>
      <c r="D15" s="2207">
        <f>SUM(D11:D13)</f>
        <v>1790182140</v>
      </c>
      <c r="F15" s="2207">
        <f>SUM(F11:F13)</f>
        <v>117229322.71715054</v>
      </c>
      <c r="H15" s="1275">
        <f>SUM(H11:H13)</f>
        <v>4867315.8800000008</v>
      </c>
      <c r="I15" s="695"/>
      <c r="J15" s="1275">
        <f>SUM(J11:J13)</f>
        <v>1912278778.5971508</v>
      </c>
      <c r="K15" s="342" t="s">
        <v>313</v>
      </c>
    </row>
    <row r="16" spans="3:15">
      <c r="D16" s="2120">
        <f>'BS Konsol-Des 24'!Q37</f>
        <v>1790182140</v>
      </c>
      <c r="F16" s="2120">
        <f>'PL Konsol'!M26</f>
        <v>76646095</v>
      </c>
      <c r="G16" s="2120"/>
      <c r="H16" s="2219">
        <f>'PL Konsol'!M42</f>
        <v>-17850458</v>
      </c>
      <c r="I16" s="695"/>
      <c r="J16" s="2219">
        <f>'BS Konsol-Des 24'!G37</f>
        <v>1848977778</v>
      </c>
    </row>
    <row r="17" spans="3:11">
      <c r="D17" s="593">
        <f>D15-D16</f>
        <v>0</v>
      </c>
      <c r="F17" s="593">
        <f>F15+F16</f>
        <v>193875417.71715054</v>
      </c>
      <c r="H17" s="210">
        <f>H15-H16</f>
        <v>22717773.880000003</v>
      </c>
      <c r="I17" s="695"/>
      <c r="J17" s="210">
        <f>J15-J16</f>
        <v>63301000.597150803</v>
      </c>
    </row>
    <row r="20" spans="3:11">
      <c r="C20" s="2206"/>
      <c r="D20" s="2206"/>
      <c r="E20" s="2206"/>
      <c r="F20" s="2206"/>
      <c r="G20" s="2206"/>
      <c r="H20" s="628" t="s">
        <v>291</v>
      </c>
      <c r="I20" s="2206"/>
      <c r="J20" s="2206"/>
      <c r="K20" s="2206"/>
    </row>
    <row r="21" spans="3:11">
      <c r="C21" s="2206"/>
      <c r="D21" s="2206"/>
      <c r="E21" s="2206"/>
      <c r="F21" s="2206"/>
      <c r="G21" s="2206"/>
      <c r="H21" s="628" t="s">
        <v>292</v>
      </c>
      <c r="I21" s="2206"/>
      <c r="J21" s="2206"/>
      <c r="K21" s="2206"/>
    </row>
    <row r="22" spans="3:11">
      <c r="C22" s="2206"/>
      <c r="D22" s="2206"/>
      <c r="E22" s="2206"/>
      <c r="F22" s="2206"/>
      <c r="G22" s="2206"/>
      <c r="H22" s="628" t="s">
        <v>293</v>
      </c>
      <c r="I22" s="2206"/>
      <c r="J22" s="2206"/>
      <c r="K22" s="2206"/>
    </row>
    <row r="23" spans="3:11">
      <c r="C23" s="2206"/>
      <c r="D23" s="628" t="s">
        <v>294</v>
      </c>
      <c r="E23" s="2206"/>
      <c r="F23" s="628" t="s">
        <v>295</v>
      </c>
      <c r="G23" s="2206"/>
      <c r="H23" s="628" t="s">
        <v>296</v>
      </c>
      <c r="I23" s="2206"/>
      <c r="J23" s="628" t="s">
        <v>49</v>
      </c>
      <c r="K23" s="2206"/>
    </row>
    <row r="24" spans="3:11">
      <c r="C24" s="2206"/>
      <c r="D24" s="628" t="s">
        <v>314</v>
      </c>
      <c r="E24" s="2206"/>
      <c r="F24" s="628" t="s">
        <v>298</v>
      </c>
      <c r="G24" s="2206"/>
      <c r="H24" s="628" t="s">
        <v>299</v>
      </c>
      <c r="I24" s="2206"/>
      <c r="J24" s="628" t="s">
        <v>314</v>
      </c>
      <c r="K24" s="2206"/>
    </row>
    <row r="25" spans="3:11">
      <c r="C25" s="2206"/>
      <c r="D25" s="628" t="s">
        <v>300</v>
      </c>
      <c r="E25" s="2206"/>
      <c r="F25" s="628" t="s">
        <v>301</v>
      </c>
      <c r="G25" s="2206"/>
      <c r="H25" s="628" t="s">
        <v>302</v>
      </c>
      <c r="I25" s="2206"/>
      <c r="J25" s="628" t="s">
        <v>303</v>
      </c>
      <c r="K25" s="2206"/>
    </row>
    <row r="26" spans="3:11">
      <c r="C26" s="2206"/>
      <c r="D26" s="632">
        <v>2023</v>
      </c>
      <c r="E26" s="2206"/>
      <c r="F26" s="632" t="s">
        <v>304</v>
      </c>
      <c r="G26" s="2206"/>
      <c r="H26" s="632" t="s">
        <v>305</v>
      </c>
      <c r="I26" s="2206"/>
      <c r="J26" s="632">
        <v>2023</v>
      </c>
      <c r="K26" s="2206"/>
    </row>
    <row r="27" spans="3:11" ht="6" customHeight="1"/>
    <row r="28" spans="3:11">
      <c r="C28" t="s">
        <v>306</v>
      </c>
      <c r="D28" s="2208">
        <v>1818231019</v>
      </c>
      <c r="E28" s="2208"/>
      <c r="F28" s="2208">
        <v>224932788</v>
      </c>
      <c r="G28" s="2208"/>
      <c r="H28" s="2208">
        <v>2334090</v>
      </c>
      <c r="I28" s="2208"/>
      <c r="J28" s="2208">
        <v>2045497897</v>
      </c>
      <c r="K28" t="s">
        <v>307</v>
      </c>
    </row>
    <row r="29" spans="3:11">
      <c r="C29" t="s">
        <v>308</v>
      </c>
      <c r="D29" s="2208">
        <v>249921940</v>
      </c>
      <c r="E29" s="2208"/>
      <c r="F29" s="2208">
        <v>102414490</v>
      </c>
      <c r="G29" s="2208"/>
      <c r="H29" s="2120" t="s">
        <v>315</v>
      </c>
      <c r="I29" s="2208"/>
      <c r="J29" s="2208">
        <v>352336430</v>
      </c>
      <c r="K29" t="s">
        <v>309</v>
      </c>
    </row>
    <row r="30" spans="3:11">
      <c r="C30" t="s">
        <v>316</v>
      </c>
      <c r="D30" s="2209">
        <v>-559875653</v>
      </c>
      <c r="E30" s="2208"/>
      <c r="F30" s="2209">
        <v>-47776534</v>
      </c>
      <c r="G30" s="2208"/>
      <c r="H30" s="2211" t="s">
        <v>315</v>
      </c>
      <c r="I30" s="2208"/>
      <c r="J30" s="2209">
        <v>-607652187</v>
      </c>
      <c r="K30" t="s">
        <v>311</v>
      </c>
    </row>
    <row r="31" spans="3:11" ht="4.5" customHeight="1">
      <c r="D31" s="2208"/>
      <c r="E31" s="2208"/>
      <c r="F31" s="2208"/>
      <c r="G31" s="2208"/>
      <c r="H31" s="2208"/>
      <c r="I31" s="2208"/>
      <c r="J31" s="2208"/>
    </row>
    <row r="32" spans="3:11">
      <c r="C32" s="342" t="s">
        <v>68</v>
      </c>
      <c r="D32" s="2210">
        <f>SUM(D28:D30)</f>
        <v>1508277306</v>
      </c>
      <c r="E32" s="2210"/>
      <c r="F32" s="2210">
        <f>SUM(F28:F30)</f>
        <v>279570744</v>
      </c>
      <c r="G32" s="2210"/>
      <c r="H32" s="2210">
        <f>SUM(H28:H30)</f>
        <v>2334090</v>
      </c>
      <c r="I32" s="2210"/>
      <c r="J32" s="2210">
        <f>SUM(J28:J30)</f>
        <v>1790182140</v>
      </c>
      <c r="K32" s="342" t="s">
        <v>313</v>
      </c>
    </row>
    <row r="38" spans="3:8">
      <c r="D38" s="628" t="s">
        <v>317</v>
      </c>
      <c r="E38" s="2206"/>
      <c r="F38" s="628" t="s">
        <v>318</v>
      </c>
    </row>
    <row r="39" spans="3:8">
      <c r="C39" t="s">
        <v>319</v>
      </c>
      <c r="D39" s="2208">
        <f>'WS Konsol'!AI693</f>
        <v>872138766</v>
      </c>
      <c r="E39" s="2208"/>
      <c r="F39" s="2208">
        <f>'WS Konsol'!M693</f>
        <v>883796658</v>
      </c>
      <c r="G39" s="2208"/>
    </row>
    <row r="40" spans="3:8">
      <c r="C40" t="s">
        <v>320</v>
      </c>
      <c r="D40" s="2208">
        <f>'BS Konsol-Des 24'!Q76</f>
        <v>9301883257</v>
      </c>
      <c r="E40" s="2208"/>
      <c r="F40" s="2208">
        <f>'BS Konsol-Des 24'!G76</f>
        <v>10104541472</v>
      </c>
      <c r="G40" s="2208"/>
    </row>
    <row r="41" spans="3:8">
      <c r="C41" t="s">
        <v>321</v>
      </c>
      <c r="D41" s="2208">
        <f>'WS Konsol'!AI758</f>
        <v>-10609502</v>
      </c>
      <c r="E41" s="2208"/>
      <c r="F41" s="2208">
        <f>'WS Konsol'!M758</f>
        <v>81138443</v>
      </c>
      <c r="G41" s="2208"/>
    </row>
    <row r="42" spans="3:8">
      <c r="C42" t="s">
        <v>322</v>
      </c>
      <c r="D42" s="2208">
        <f>'WS Konsol'!AI727</f>
        <v>-119304064</v>
      </c>
      <c r="E42" s="2208"/>
      <c r="F42" s="2208">
        <f>'WS Konsol'!M727</f>
        <v>-417767101</v>
      </c>
      <c r="G42" s="2208"/>
    </row>
    <row r="43" spans="3:8">
      <c r="C43" t="s">
        <v>310</v>
      </c>
      <c r="D43" s="2208">
        <f>'WS Konsol'!BK705*50%</f>
        <v>207610292.5</v>
      </c>
      <c r="E43" s="2208"/>
      <c r="F43" s="2208">
        <f>'WS Konsol'!BJ705*50%</f>
        <v>724750431</v>
      </c>
      <c r="G43" s="2208"/>
      <c r="H43" s="1093"/>
    </row>
    <row r="44" spans="3:8">
      <c r="D44" s="2208"/>
      <c r="E44" s="2208"/>
      <c r="F44" s="2208"/>
      <c r="G44" s="220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2893-5981-4E12-B308-B7EBACE49F49}">
  <dimension ref="C4:P16"/>
  <sheetViews>
    <sheetView topLeftCell="B5" workbookViewId="0">
      <selection activeCell="F16" sqref="F16"/>
    </sheetView>
  </sheetViews>
  <sheetFormatPr defaultRowHeight="14.45"/>
  <cols>
    <col min="3" max="3" width="23.5703125" bestFit="1" customWidth="1"/>
    <col min="4" max="4" width="13.5703125" bestFit="1" customWidth="1"/>
    <col min="5" max="5" width="1.5703125" customWidth="1"/>
    <col min="6" max="6" width="17.42578125" customWidth="1"/>
    <col min="7" max="7" width="1.5703125" customWidth="1"/>
    <col min="8" max="8" width="18.42578125" customWidth="1"/>
    <col min="9" max="9" width="2.5703125" customWidth="1"/>
    <col min="10" max="10" width="17.42578125" customWidth="1"/>
    <col min="15" max="15" width="9.5703125" bestFit="1" customWidth="1"/>
    <col min="16" max="16" width="11" bestFit="1" customWidth="1"/>
  </cols>
  <sheetData>
    <row r="4" spans="3:16">
      <c r="H4" s="628" t="s">
        <v>291</v>
      </c>
    </row>
    <row r="5" spans="3:16">
      <c r="H5" s="628" t="s">
        <v>292</v>
      </c>
    </row>
    <row r="6" spans="3:16">
      <c r="H6" s="628" t="s">
        <v>293</v>
      </c>
    </row>
    <row r="7" spans="3:16">
      <c r="D7" s="628" t="s">
        <v>294</v>
      </c>
      <c r="E7" s="2206"/>
      <c r="F7" s="628" t="s">
        <v>295</v>
      </c>
      <c r="G7" s="2206"/>
      <c r="H7" s="628" t="s">
        <v>296</v>
      </c>
      <c r="I7" s="2206"/>
      <c r="J7" s="628" t="s">
        <v>49</v>
      </c>
    </row>
    <row r="8" spans="3:16">
      <c r="D8" s="628" t="s">
        <v>297</v>
      </c>
      <c r="E8" s="2206"/>
      <c r="F8" s="628" t="s">
        <v>298</v>
      </c>
      <c r="G8" s="2206"/>
      <c r="H8" s="628" t="s">
        <v>299</v>
      </c>
      <c r="I8" s="2206"/>
      <c r="J8" s="628" t="s">
        <v>297</v>
      </c>
    </row>
    <row r="9" spans="3:16">
      <c r="D9" s="628" t="s">
        <v>300</v>
      </c>
      <c r="E9" s="2206"/>
      <c r="F9" s="628" t="s">
        <v>301</v>
      </c>
      <c r="G9" s="2206"/>
      <c r="H9" s="628" t="s">
        <v>302</v>
      </c>
      <c r="I9" s="2206"/>
      <c r="J9" s="628" t="s">
        <v>303</v>
      </c>
    </row>
    <row r="10" spans="3:16">
      <c r="D10" s="632">
        <v>2024</v>
      </c>
      <c r="E10" s="2206"/>
      <c r="F10" s="632" t="s">
        <v>304</v>
      </c>
      <c r="G10" s="2206"/>
      <c r="H10" s="632" t="s">
        <v>305</v>
      </c>
      <c r="I10" s="2206"/>
      <c r="J10" s="632">
        <v>2024</v>
      </c>
    </row>
    <row r="12" spans="3:16">
      <c r="C12" t="s">
        <v>306</v>
      </c>
      <c r="D12" s="2120">
        <v>1462993790</v>
      </c>
      <c r="E12" s="2120"/>
      <c r="F12" s="2208">
        <v>130595067</v>
      </c>
      <c r="G12" s="2208"/>
      <c r="H12" s="2208">
        <v>-6491571</v>
      </c>
      <c r="I12" s="2120"/>
      <c r="J12" s="2120">
        <f>SUM(D12:H12)</f>
        <v>1587097286</v>
      </c>
      <c r="K12" t="s">
        <v>307</v>
      </c>
    </row>
    <row r="13" spans="3:16">
      <c r="C13" t="s">
        <v>308</v>
      </c>
      <c r="D13" s="2120">
        <v>152790529</v>
      </c>
      <c r="E13" s="2120"/>
      <c r="F13" s="2208">
        <v>-117789170</v>
      </c>
      <c r="G13" s="2208"/>
      <c r="H13" s="2208">
        <v>0</v>
      </c>
      <c r="I13" s="2120"/>
      <c r="J13" s="2120">
        <f>SUM(D13:H13)</f>
        <v>35001359</v>
      </c>
      <c r="K13" t="s">
        <v>309</v>
      </c>
      <c r="P13" s="2218"/>
    </row>
    <row r="14" spans="3:16">
      <c r="C14" t="s">
        <v>204</v>
      </c>
      <c r="D14" s="2209">
        <v>-68171964</v>
      </c>
      <c r="E14" s="2120"/>
      <c r="F14" s="2209">
        <v>0</v>
      </c>
      <c r="G14" s="2208"/>
      <c r="H14" s="2209">
        <v>0</v>
      </c>
      <c r="I14" s="2120"/>
      <c r="J14" s="2209">
        <f>SUM(D14:H14)</f>
        <v>-68171964</v>
      </c>
      <c r="K14" t="s">
        <v>311</v>
      </c>
    </row>
    <row r="15" spans="3:16" ht="3.6" customHeight="1">
      <c r="D15" s="912"/>
      <c r="F15" s="1093"/>
      <c r="G15" s="1093"/>
      <c r="H15" s="1093"/>
    </row>
    <row r="16" spans="3:16">
      <c r="C16" s="342" t="s">
        <v>312</v>
      </c>
      <c r="D16" s="2207">
        <f>SUM(D12:D14)</f>
        <v>1547612355</v>
      </c>
      <c r="F16" s="1578">
        <f>SUM(F12:F14)</f>
        <v>12805897</v>
      </c>
      <c r="G16" s="1093"/>
      <c r="H16" s="1578">
        <f>SUM(H12:H14)</f>
        <v>-6491571</v>
      </c>
      <c r="J16" s="2207">
        <f>SUM(J12:J14)</f>
        <v>1553926681</v>
      </c>
      <c r="K16" s="342" t="s">
        <v>313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1887-7ED1-4F95-8415-AC15654D5F91}">
  <dimension ref="C3:K44"/>
  <sheetViews>
    <sheetView workbookViewId="0">
      <selection activeCell="J16" sqref="J16"/>
    </sheetView>
  </sheetViews>
  <sheetFormatPr defaultRowHeight="14.45"/>
  <cols>
    <col min="3" max="3" width="23.42578125" customWidth="1"/>
    <col min="4" max="4" width="16.42578125" bestFit="1" customWidth="1"/>
    <col min="5" max="5" width="3.42578125" customWidth="1"/>
    <col min="6" max="6" width="17.42578125" bestFit="1" customWidth="1"/>
    <col min="7" max="7" width="2.42578125" customWidth="1"/>
    <col min="8" max="8" width="14.42578125" bestFit="1" customWidth="1"/>
    <col min="9" max="9" width="2.42578125" customWidth="1"/>
    <col min="10" max="10" width="16.42578125" bestFit="1" customWidth="1"/>
    <col min="11" max="11" width="17" bestFit="1" customWidth="1"/>
  </cols>
  <sheetData>
    <row r="3" spans="3:11">
      <c r="H3" s="628" t="s">
        <v>291</v>
      </c>
    </row>
    <row r="4" spans="3:11">
      <c r="H4" s="628" t="s">
        <v>292</v>
      </c>
    </row>
    <row r="5" spans="3:11">
      <c r="H5" s="628" t="s">
        <v>293</v>
      </c>
    </row>
    <row r="6" spans="3:11">
      <c r="D6" s="628" t="s">
        <v>294</v>
      </c>
      <c r="E6" s="2206"/>
      <c r="F6" s="628" t="s">
        <v>295</v>
      </c>
      <c r="G6" s="2206"/>
      <c r="H6" s="628" t="s">
        <v>296</v>
      </c>
      <c r="I6" s="2206"/>
      <c r="J6" s="628" t="s">
        <v>49</v>
      </c>
    </row>
    <row r="7" spans="3:11">
      <c r="D7" s="628" t="s">
        <v>297</v>
      </c>
      <c r="E7" s="2206"/>
      <c r="F7" s="628" t="s">
        <v>298</v>
      </c>
      <c r="G7" s="2206"/>
      <c r="H7" s="628" t="s">
        <v>299</v>
      </c>
      <c r="I7" s="2206"/>
      <c r="J7" s="628" t="s">
        <v>297</v>
      </c>
    </row>
    <row r="8" spans="3:11">
      <c r="D8" s="628" t="s">
        <v>300</v>
      </c>
      <c r="E8" s="2206"/>
      <c r="F8" s="628" t="s">
        <v>301</v>
      </c>
      <c r="G8" s="2206"/>
      <c r="H8" s="628" t="s">
        <v>302</v>
      </c>
      <c r="I8" s="2206"/>
      <c r="J8" s="628" t="s">
        <v>303</v>
      </c>
    </row>
    <row r="9" spans="3:11">
      <c r="D9" s="632">
        <v>2024</v>
      </c>
      <c r="E9" s="2206"/>
      <c r="F9" s="632" t="s">
        <v>304</v>
      </c>
      <c r="G9" s="2206"/>
      <c r="H9" s="632" t="s">
        <v>305</v>
      </c>
      <c r="I9" s="2206"/>
      <c r="J9" s="632">
        <v>2024</v>
      </c>
    </row>
    <row r="10" spans="3:11" ht="6" customHeight="1"/>
    <row r="11" spans="3:11">
      <c r="C11" t="s">
        <v>306</v>
      </c>
      <c r="D11" s="2154">
        <f>J28</f>
        <v>582504106</v>
      </c>
      <c r="E11" s="2154"/>
      <c r="F11" s="2154">
        <v>63840197.960000001</v>
      </c>
      <c r="G11" s="2154"/>
      <c r="H11" s="2154">
        <f>'[189]AJE-CAJE-Des Audit'!J21</f>
        <v>11358886.880000001</v>
      </c>
      <c r="I11" s="2154"/>
      <c r="J11" s="2154">
        <f>SUM(D11:H11)</f>
        <v>657703190.84000003</v>
      </c>
      <c r="K11" t="s">
        <v>307</v>
      </c>
    </row>
    <row r="12" spans="3:11">
      <c r="C12" t="s">
        <v>308</v>
      </c>
      <c r="D12" s="2154">
        <f>J29</f>
        <v>199545901</v>
      </c>
      <c r="E12" s="2154"/>
      <c r="F12" s="2154">
        <v>40583227.757150538</v>
      </c>
      <c r="G12" s="2154"/>
      <c r="H12" s="2154"/>
      <c r="I12" s="2154"/>
      <c r="J12" s="2154">
        <f>SUM(D12:H12)+1</f>
        <v>240129129.75715053</v>
      </c>
      <c r="K12" t="s">
        <v>309</v>
      </c>
    </row>
    <row r="13" spans="3:11">
      <c r="C13" t="s">
        <v>316</v>
      </c>
      <c r="D13" s="2214">
        <f>J30</f>
        <v>-539480223</v>
      </c>
      <c r="E13" s="2154"/>
      <c r="F13" s="2215">
        <f>'[189]AJE-CAJE-Des Audit'!I29</f>
        <v>0</v>
      </c>
      <c r="G13" s="2154"/>
      <c r="H13" s="2215"/>
      <c r="I13" s="2154"/>
      <c r="J13" s="2214">
        <f>SUM(D13:H13)</f>
        <v>-539480223</v>
      </c>
      <c r="K13" t="s">
        <v>311</v>
      </c>
    </row>
    <row r="14" spans="3:11" ht="3.6" customHeight="1">
      <c r="D14" s="912"/>
    </row>
    <row r="15" spans="3:11">
      <c r="C15" s="342" t="s">
        <v>312</v>
      </c>
      <c r="D15" s="2207">
        <f>SUM(D11:D13)</f>
        <v>242569784</v>
      </c>
      <c r="F15" s="2216">
        <f>SUM(F11:F13)</f>
        <v>104423425.71715054</v>
      </c>
      <c r="G15" s="2217"/>
      <c r="H15" s="2216">
        <f>SUM(H11:H13)</f>
        <v>11358886.880000001</v>
      </c>
      <c r="I15" s="2217"/>
      <c r="J15" s="2216">
        <f>SUM(J11:J13)</f>
        <v>358352097.59715056</v>
      </c>
      <c r="K15" s="342" t="s">
        <v>313</v>
      </c>
    </row>
    <row r="16" spans="3:11">
      <c r="F16" s="2217">
        <v>104423425.71715054</v>
      </c>
      <c r="G16" s="2217"/>
      <c r="H16" s="2217">
        <f>[190]PL!$F$28</f>
        <v>11358886.880000001</v>
      </c>
      <c r="I16" s="2217"/>
      <c r="J16" s="2217">
        <v>358352097.62918365</v>
      </c>
    </row>
    <row r="17" spans="3:11">
      <c r="F17" s="2217">
        <f>F15-F16</f>
        <v>0</v>
      </c>
      <c r="G17" s="2217"/>
      <c r="H17" s="2217">
        <f>H15-H16</f>
        <v>0</v>
      </c>
      <c r="I17" s="2217"/>
      <c r="J17" s="2217">
        <f>J15-J16</f>
        <v>-3.2033085823059082E-2</v>
      </c>
      <c r="K17" s="1093"/>
    </row>
    <row r="18" spans="3:11">
      <c r="J18" s="1093"/>
      <c r="K18" s="1093"/>
    </row>
    <row r="20" spans="3:11">
      <c r="C20" s="2206"/>
      <c r="D20" s="2206"/>
      <c r="E20" s="2206"/>
      <c r="F20" s="2206"/>
      <c r="G20" s="2206"/>
      <c r="H20" s="628" t="s">
        <v>291</v>
      </c>
      <c r="I20" s="2206"/>
      <c r="J20" s="2206"/>
      <c r="K20" s="2206"/>
    </row>
    <row r="21" spans="3:11">
      <c r="C21" s="2206"/>
      <c r="D21" s="2206"/>
      <c r="E21" s="2206"/>
      <c r="F21" s="2206"/>
      <c r="G21" s="2206"/>
      <c r="H21" s="628" t="s">
        <v>292</v>
      </c>
      <c r="I21" s="2206"/>
      <c r="J21" s="2206"/>
      <c r="K21" s="2206"/>
    </row>
    <row r="22" spans="3:11">
      <c r="C22" s="2206"/>
      <c r="D22" s="2206"/>
      <c r="E22" s="2206"/>
      <c r="F22" s="2206"/>
      <c r="G22" s="2206"/>
      <c r="H22" s="628" t="s">
        <v>293</v>
      </c>
      <c r="I22" s="2206"/>
      <c r="J22" s="2206"/>
      <c r="K22" s="2206"/>
    </row>
    <row r="23" spans="3:11">
      <c r="C23" s="2206"/>
      <c r="D23" s="628" t="s">
        <v>294</v>
      </c>
      <c r="E23" s="2206"/>
      <c r="F23" s="628" t="s">
        <v>295</v>
      </c>
      <c r="G23" s="2206"/>
      <c r="H23" s="628" t="s">
        <v>296</v>
      </c>
      <c r="I23" s="2206"/>
      <c r="J23" s="628" t="s">
        <v>49</v>
      </c>
      <c r="K23" s="2206"/>
    </row>
    <row r="24" spans="3:11">
      <c r="C24" s="2206"/>
      <c r="D24" s="628" t="s">
        <v>314</v>
      </c>
      <c r="E24" s="2206"/>
      <c r="F24" s="628" t="s">
        <v>298</v>
      </c>
      <c r="G24" s="2206"/>
      <c r="H24" s="628" t="s">
        <v>299</v>
      </c>
      <c r="I24" s="2206"/>
      <c r="J24" s="628" t="s">
        <v>314</v>
      </c>
      <c r="K24" s="2206"/>
    </row>
    <row r="25" spans="3:11">
      <c r="C25" s="2206"/>
      <c r="D25" s="628" t="s">
        <v>300</v>
      </c>
      <c r="E25" s="2206"/>
      <c r="F25" s="628" t="s">
        <v>301</v>
      </c>
      <c r="G25" s="2206"/>
      <c r="H25" s="628" t="s">
        <v>302</v>
      </c>
      <c r="I25" s="2206"/>
      <c r="J25" s="628" t="s">
        <v>303</v>
      </c>
      <c r="K25" s="2206"/>
    </row>
    <row r="26" spans="3:11">
      <c r="C26" s="2206"/>
      <c r="D26" s="632">
        <v>2023</v>
      </c>
      <c r="E26" s="2206"/>
      <c r="F26" s="632" t="s">
        <v>304</v>
      </c>
      <c r="G26" s="2206"/>
      <c r="H26" s="632" t="s">
        <v>305</v>
      </c>
      <c r="I26" s="2206"/>
      <c r="J26" s="632">
        <v>2023</v>
      </c>
      <c r="K26" s="2206"/>
    </row>
    <row r="27" spans="3:11" ht="6" customHeight="1"/>
    <row r="28" spans="3:11">
      <c r="C28" t="s">
        <v>306</v>
      </c>
      <c r="D28" s="2217">
        <v>519812376</v>
      </c>
      <c r="E28" s="2217"/>
      <c r="F28" s="2217">
        <v>61508332</v>
      </c>
      <c r="G28" s="2217"/>
      <c r="H28" s="2217">
        <v>1183398</v>
      </c>
      <c r="I28" s="2217"/>
      <c r="J28" s="2217">
        <f>SUM(D28:H28)</f>
        <v>582504106</v>
      </c>
      <c r="K28" t="s">
        <v>307</v>
      </c>
    </row>
    <row r="29" spans="3:11">
      <c r="C29" t="s">
        <v>308</v>
      </c>
      <c r="D29" s="2217">
        <v>173299007</v>
      </c>
      <c r="E29" s="2217"/>
      <c r="F29" s="2217">
        <v>26246894</v>
      </c>
      <c r="G29" s="2217"/>
      <c r="H29" s="2154" t="s">
        <v>315</v>
      </c>
      <c r="I29" s="2217"/>
      <c r="J29" s="2217">
        <f>SUM(D29:H29)</f>
        <v>199545901</v>
      </c>
      <c r="K29" t="s">
        <v>309</v>
      </c>
    </row>
    <row r="30" spans="3:11">
      <c r="C30" t="s">
        <v>316</v>
      </c>
      <c r="D30" s="2214">
        <v>-513553677</v>
      </c>
      <c r="E30" s="2217"/>
      <c r="F30" s="2214">
        <v>-25926546</v>
      </c>
      <c r="G30" s="2217"/>
      <c r="H30" s="2215" t="s">
        <v>315</v>
      </c>
      <c r="I30" s="2217"/>
      <c r="J30" s="2217">
        <f>SUM(D30:H30)</f>
        <v>-539480223</v>
      </c>
      <c r="K30" t="s">
        <v>311</v>
      </c>
    </row>
    <row r="31" spans="3:11" ht="4.5" customHeight="1">
      <c r="D31" s="2217"/>
      <c r="E31" s="2217"/>
      <c r="F31" s="2217"/>
      <c r="G31" s="2217"/>
      <c r="H31" s="2217"/>
      <c r="I31" s="2217"/>
      <c r="J31" s="2217"/>
    </row>
    <row r="32" spans="3:11">
      <c r="C32" s="342" t="s">
        <v>68</v>
      </c>
      <c r="D32" s="2216">
        <f>SUM(D28:D30)</f>
        <v>179557706</v>
      </c>
      <c r="E32" s="2216"/>
      <c r="F32" s="2216">
        <f>SUM(F28:F30)</f>
        <v>61828680</v>
      </c>
      <c r="G32" s="2216"/>
      <c r="H32" s="2216">
        <f>SUM(H28:H30)</f>
        <v>1183398</v>
      </c>
      <c r="I32" s="2216"/>
      <c r="J32" s="2216">
        <f>SUM(J28:J30)</f>
        <v>242569784</v>
      </c>
      <c r="K32" s="342" t="s">
        <v>313</v>
      </c>
    </row>
    <row r="38" spans="3:7">
      <c r="D38" s="628" t="s">
        <v>317</v>
      </c>
      <c r="E38" s="2206"/>
      <c r="F38" s="628" t="s">
        <v>318</v>
      </c>
    </row>
    <row r="39" spans="3:7">
      <c r="C39" t="s">
        <v>319</v>
      </c>
      <c r="D39" s="2217">
        <f>[189]WS!AB446</f>
        <v>279583328</v>
      </c>
      <c r="E39" s="2217"/>
      <c r="F39" s="2217">
        <f>[189]WS!Q446</f>
        <v>290182718</v>
      </c>
      <c r="G39" s="2217"/>
    </row>
    <row r="40" spans="3:7">
      <c r="C40" t="s">
        <v>320</v>
      </c>
      <c r="D40" s="2217">
        <f>[189]BS!L65</f>
        <v>2647745936</v>
      </c>
      <c r="E40" s="2217"/>
      <c r="F40" s="2217">
        <f>[189]BS!H65</f>
        <v>2886297350</v>
      </c>
      <c r="G40" s="2217"/>
    </row>
    <row r="41" spans="3:7">
      <c r="C41" t="s">
        <v>321</v>
      </c>
      <c r="D41" s="2217">
        <f>[189]WS!AB499</f>
        <v>-5379083</v>
      </c>
      <c r="E41" s="2217"/>
      <c r="F41" s="2217">
        <f>[189]WS!Q499</f>
        <v>51631304</v>
      </c>
      <c r="G41" s="2217"/>
    </row>
    <row r="42" spans="3:7">
      <c r="C42" t="s">
        <v>322</v>
      </c>
      <c r="D42" s="2217">
        <f>[189]WS!AB484</f>
        <v>0</v>
      </c>
      <c r="E42" s="2217"/>
      <c r="F42" s="2217">
        <f>[189]WS!Q484</f>
        <v>-824280152.66947699</v>
      </c>
      <c r="G42" s="2217"/>
    </row>
    <row r="43" spans="3:7">
      <c r="C43" t="s">
        <v>310</v>
      </c>
      <c r="D43" s="2217">
        <f>[189]WS!AB457</f>
        <v>19295242</v>
      </c>
      <c r="E43" s="2217"/>
      <c r="F43" s="2217">
        <f>[189]WS!Q457</f>
        <v>10112250</v>
      </c>
      <c r="G43" s="2217"/>
    </row>
    <row r="44" spans="3:7">
      <c r="D44" s="2217"/>
      <c r="E44" s="2217"/>
      <c r="F44" s="2217"/>
      <c r="G44" s="221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4580-3888-4712-BA7E-C64AC45BF956}">
  <dimension ref="C5:K60"/>
  <sheetViews>
    <sheetView workbookViewId="0">
      <selection activeCell="D9" sqref="D9"/>
    </sheetView>
  </sheetViews>
  <sheetFormatPr defaultRowHeight="14.45"/>
  <cols>
    <col min="3" max="3" width="40.42578125" customWidth="1"/>
    <col min="4" max="4" width="17.42578125" bestFit="1" customWidth="1"/>
    <col min="5" max="5" width="2.42578125" customWidth="1"/>
    <col min="6" max="6" width="14.5703125" bestFit="1" customWidth="1"/>
    <col min="9" max="9" width="13.5703125" bestFit="1" customWidth="1"/>
    <col min="10" max="10" width="18.5703125" bestFit="1" customWidth="1"/>
  </cols>
  <sheetData>
    <row r="5" spans="3:11">
      <c r="D5" s="632">
        <v>2024</v>
      </c>
      <c r="E5" s="628"/>
      <c r="F5" s="632">
        <v>2023</v>
      </c>
    </row>
    <row r="7" spans="3:11">
      <c r="C7" t="s">
        <v>323</v>
      </c>
      <c r="D7" s="2120">
        <f>F16</f>
        <v>2647745936</v>
      </c>
      <c r="E7" s="2120"/>
      <c r="F7" s="2120">
        <v>2362783525</v>
      </c>
    </row>
    <row r="8" spans="3:11">
      <c r="C8" t="s">
        <v>324</v>
      </c>
      <c r="D8" s="2120"/>
      <c r="E8" s="2120"/>
      <c r="F8" s="2120"/>
    </row>
    <row r="9" spans="3:11">
      <c r="C9" t="s">
        <v>325</v>
      </c>
      <c r="D9" s="2120">
        <v>290182718</v>
      </c>
      <c r="E9" s="2120"/>
      <c r="F9" s="2120">
        <v>279583328</v>
      </c>
    </row>
    <row r="10" spans="3:11">
      <c r="C10" t="s">
        <v>326</v>
      </c>
      <c r="D10" s="2120"/>
      <c r="E10" s="2120"/>
      <c r="F10" s="2120"/>
    </row>
    <row r="11" spans="3:11">
      <c r="C11" t="s">
        <v>327</v>
      </c>
      <c r="D11" s="2120"/>
      <c r="E11" s="2120"/>
      <c r="F11" s="2120"/>
    </row>
    <row r="12" spans="3:11">
      <c r="C12" t="s">
        <v>328</v>
      </c>
      <c r="D12" s="2120">
        <v>-51631304</v>
      </c>
      <c r="E12" s="2120"/>
      <c r="F12" s="2120">
        <v>5379083</v>
      </c>
      <c r="I12" s="593">
        <f>F16</f>
        <v>2647745936</v>
      </c>
      <c r="J12" t="s">
        <v>329</v>
      </c>
      <c r="K12" t="s">
        <v>330</v>
      </c>
    </row>
    <row r="13" spans="3:11">
      <c r="C13" t="s">
        <v>331</v>
      </c>
      <c r="D13" s="2120"/>
      <c r="E13" s="2120"/>
      <c r="F13" s="2120"/>
      <c r="I13" s="593">
        <f>D23</f>
        <v>107488248</v>
      </c>
      <c r="J13" t="s">
        <v>332</v>
      </c>
      <c r="K13" t="s">
        <v>333</v>
      </c>
    </row>
    <row r="14" spans="3:11">
      <c r="C14" t="s">
        <v>334</v>
      </c>
      <c r="D14" s="2211"/>
      <c r="E14" s="2120"/>
      <c r="F14" s="2211">
        <v>0</v>
      </c>
      <c r="I14" s="593">
        <f>D24</f>
        <v>182694470</v>
      </c>
      <c r="J14" t="s">
        <v>335</v>
      </c>
      <c r="K14" t="s">
        <v>333</v>
      </c>
    </row>
    <row r="15" spans="3:11" ht="9" customHeight="1">
      <c r="D15" s="2120"/>
      <c r="E15" s="2120"/>
      <c r="F15" s="2120"/>
    </row>
    <row r="16" spans="3:11">
      <c r="C16" s="342" t="s">
        <v>336</v>
      </c>
      <c r="D16" s="2213">
        <f>SUM(D7:D14)</f>
        <v>2886297350</v>
      </c>
      <c r="E16" s="2120"/>
      <c r="F16" s="2213">
        <f>SUM(F7:F14)</f>
        <v>2647745936</v>
      </c>
      <c r="I16" s="1092">
        <f>D12</f>
        <v>-51631304</v>
      </c>
      <c r="J16" t="s">
        <v>337</v>
      </c>
      <c r="K16" t="s">
        <v>338</v>
      </c>
    </row>
    <row r="18" spans="3:11">
      <c r="I18" s="593">
        <f>SUM(I12:I16)</f>
        <v>2886297350</v>
      </c>
      <c r="J18" t="s">
        <v>339</v>
      </c>
      <c r="K18" t="s">
        <v>330</v>
      </c>
    </row>
    <row r="19" spans="3:11">
      <c r="C19" s="342" t="s">
        <v>340</v>
      </c>
    </row>
    <row r="20" spans="3:11">
      <c r="I20" t="s">
        <v>341</v>
      </c>
    </row>
    <row r="21" spans="3:11">
      <c r="D21" s="632">
        <v>2024</v>
      </c>
      <c r="E21" s="628"/>
      <c r="F21" s="632">
        <v>2023</v>
      </c>
      <c r="I21" s="593">
        <f>I14+I13</f>
        <v>290182718</v>
      </c>
      <c r="J21" t="s">
        <v>342</v>
      </c>
    </row>
    <row r="22" spans="3:11">
      <c r="J22" s="1093">
        <f>I16</f>
        <v>-51631304</v>
      </c>
      <c r="K22" t="s">
        <v>343</v>
      </c>
    </row>
    <row r="23" spans="3:11">
      <c r="C23" t="s">
        <v>332</v>
      </c>
      <c r="D23" s="2120">
        <v>107488248</v>
      </c>
      <c r="E23" s="2120"/>
      <c r="F23" s="2120">
        <v>104737347</v>
      </c>
      <c r="J23" s="593">
        <f>I21+J22</f>
        <v>238551414</v>
      </c>
    </row>
    <row r="24" spans="3:11">
      <c r="C24" t="s">
        <v>335</v>
      </c>
      <c r="D24" s="2120">
        <v>182694470</v>
      </c>
      <c r="E24" s="2120"/>
      <c r="F24" s="2120">
        <v>174845981</v>
      </c>
    </row>
    <row r="25" spans="3:11">
      <c r="C25" t="s">
        <v>344</v>
      </c>
      <c r="D25" s="2120">
        <v>0</v>
      </c>
      <c r="E25" s="2120"/>
      <c r="F25" s="2120">
        <v>0</v>
      </c>
    </row>
    <row r="26" spans="3:11">
      <c r="C26" t="s">
        <v>345</v>
      </c>
      <c r="D26" s="2120">
        <v>0</v>
      </c>
      <c r="E26" s="2120"/>
      <c r="F26" s="2120">
        <v>0</v>
      </c>
    </row>
    <row r="27" spans="3:11">
      <c r="C27" t="s">
        <v>331</v>
      </c>
      <c r="D27" s="2120"/>
      <c r="E27" s="2120"/>
      <c r="F27" s="2120"/>
    </row>
    <row r="28" spans="3:11">
      <c r="C28" t="s">
        <v>334</v>
      </c>
      <c r="D28" s="2211">
        <v>0</v>
      </c>
      <c r="E28" s="2120"/>
      <c r="F28" s="2211">
        <v>0</v>
      </c>
    </row>
    <row r="29" spans="3:11" ht="3.6" customHeight="1">
      <c r="D29" s="2120"/>
      <c r="E29" s="2120"/>
      <c r="F29" s="2120"/>
    </row>
    <row r="30" spans="3:11">
      <c r="C30" t="s">
        <v>346</v>
      </c>
      <c r="D30" s="2213">
        <f>SUM(D23:D28)</f>
        <v>290182718</v>
      </c>
      <c r="E30" s="2120"/>
      <c r="F30" s="2213">
        <f>SUM(F23:F28)</f>
        <v>279583328</v>
      </c>
    </row>
    <row r="33" spans="3:6">
      <c r="C33" s="342" t="s">
        <v>347</v>
      </c>
    </row>
    <row r="35" spans="3:6">
      <c r="C35" s="2393">
        <v>2024</v>
      </c>
      <c r="D35" s="2393"/>
      <c r="E35" s="2393"/>
      <c r="F35" s="2393"/>
    </row>
    <row r="36" spans="3:6">
      <c r="C36" s="628"/>
      <c r="D36" s="628" t="s">
        <v>348</v>
      </c>
      <c r="E36" s="628"/>
      <c r="F36" s="628"/>
    </row>
    <row r="37" spans="3:6">
      <c r="C37" s="628"/>
      <c r="D37" s="628" t="s">
        <v>349</v>
      </c>
      <c r="E37" s="628"/>
      <c r="F37" s="628" t="s">
        <v>350</v>
      </c>
    </row>
    <row r="38" spans="3:6">
      <c r="C38" s="628"/>
      <c r="D38" s="628" t="s">
        <v>351</v>
      </c>
      <c r="E38" s="628"/>
      <c r="F38" s="628" t="s">
        <v>352</v>
      </c>
    </row>
    <row r="39" spans="3:6">
      <c r="C39" s="628"/>
      <c r="D39" s="628" t="s">
        <v>353</v>
      </c>
      <c r="E39" s="628"/>
      <c r="F39" s="628" t="s">
        <v>354</v>
      </c>
    </row>
    <row r="40" spans="3:6">
      <c r="C40" s="632" t="s">
        <v>355</v>
      </c>
      <c r="D40" s="632" t="s">
        <v>187</v>
      </c>
      <c r="E40" s="628"/>
      <c r="F40" s="632" t="s">
        <v>356</v>
      </c>
    </row>
    <row r="41" spans="3:6" ht="7.35" customHeight="1"/>
    <row r="42" spans="3:6">
      <c r="C42" t="s">
        <v>357</v>
      </c>
      <c r="D42" s="2120">
        <v>2886297350</v>
      </c>
      <c r="E42" s="2120"/>
      <c r="F42" s="2120">
        <v>107488248</v>
      </c>
    </row>
    <row r="43" spans="3:6">
      <c r="C43" t="s">
        <v>358</v>
      </c>
      <c r="D43" s="2120">
        <v>3225007620</v>
      </c>
      <c r="E43" s="2120"/>
      <c r="F43" s="2120">
        <v>125663793</v>
      </c>
    </row>
    <row r="44" spans="3:6">
      <c r="C44" t="s">
        <v>359</v>
      </c>
      <c r="D44" s="2120">
        <v>2596080895</v>
      </c>
      <c r="E44" s="2120"/>
      <c r="F44" s="2120">
        <v>92260142</v>
      </c>
    </row>
    <row r="49" spans="3:6">
      <c r="C49" s="342" t="s">
        <v>360</v>
      </c>
    </row>
    <row r="51" spans="3:6">
      <c r="C51" s="2393">
        <v>2024</v>
      </c>
      <c r="D51" s="2393"/>
      <c r="E51" s="2393"/>
      <c r="F51" s="2393"/>
    </row>
    <row r="52" spans="3:6">
      <c r="C52" s="628"/>
      <c r="D52" s="628" t="s">
        <v>348</v>
      </c>
      <c r="E52" s="628"/>
      <c r="F52" s="628"/>
    </row>
    <row r="53" spans="3:6">
      <c r="C53" s="628"/>
      <c r="D53" s="628" t="s">
        <v>349</v>
      </c>
      <c r="E53" s="628"/>
      <c r="F53" s="628" t="s">
        <v>350</v>
      </c>
    </row>
    <row r="54" spans="3:6">
      <c r="C54" s="628"/>
      <c r="D54" s="628" t="s">
        <v>351</v>
      </c>
      <c r="E54" s="628"/>
      <c r="F54" s="628" t="s">
        <v>352</v>
      </c>
    </row>
    <row r="55" spans="3:6">
      <c r="C55" s="628"/>
      <c r="D55" s="628" t="s">
        <v>353</v>
      </c>
      <c r="E55" s="628"/>
      <c r="F55" s="628" t="s">
        <v>354</v>
      </c>
    </row>
    <row r="56" spans="3:6">
      <c r="C56" s="632" t="s">
        <v>355</v>
      </c>
      <c r="D56" s="632" t="s">
        <v>187</v>
      </c>
      <c r="E56" s="628"/>
      <c r="F56" s="632" t="s">
        <v>356</v>
      </c>
    </row>
    <row r="58" spans="3:6">
      <c r="C58" t="s">
        <v>357</v>
      </c>
      <c r="D58" s="2120">
        <v>2886297350</v>
      </c>
      <c r="E58" s="2120"/>
      <c r="F58" s="2120">
        <v>107488248</v>
      </c>
    </row>
    <row r="59" spans="3:6">
      <c r="C59" t="s">
        <v>361</v>
      </c>
      <c r="D59" s="2120">
        <v>2579747194</v>
      </c>
      <c r="E59" s="2120"/>
      <c r="F59" s="2120">
        <v>92247118</v>
      </c>
    </row>
    <row r="60" spans="3:6">
      <c r="C60" t="s">
        <v>362</v>
      </c>
      <c r="D60" s="2120">
        <v>3239602623</v>
      </c>
      <c r="E60" s="2120"/>
      <c r="F60" s="2120">
        <v>125918312</v>
      </c>
    </row>
  </sheetData>
  <mergeCells count="2">
    <mergeCell ref="C35:F35"/>
    <mergeCell ref="C51:F5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1991-9652-4230-B6FB-160080713177}">
  <sheetPr>
    <tabColor rgb="FF9900FF"/>
  </sheetPr>
  <dimension ref="A1:BL768"/>
  <sheetViews>
    <sheetView showGridLines="0" tabSelected="1" zoomScale="87" zoomScaleNormal="80" workbookViewId="0">
      <pane xSplit="3" ySplit="9" topLeftCell="D126" activePane="bottomRight" state="frozen"/>
      <selection pane="bottomRight" activeCell="I127" sqref="I127"/>
      <selection pane="bottomLeft" activeCell="A13" sqref="A13"/>
      <selection pane="topRight" activeCell="D1" sqref="D1"/>
    </sheetView>
  </sheetViews>
  <sheetFormatPr defaultRowHeight="14.45" outlineLevelCol="1"/>
  <cols>
    <col min="1" max="1" width="1.42578125" bestFit="1" customWidth="1"/>
    <col min="2" max="2" width="11.5703125" customWidth="1"/>
    <col min="3" max="3" width="54.5703125" bestFit="1" customWidth="1"/>
    <col min="4" max="4" width="22.42578125" style="299" customWidth="1" outlineLevel="1"/>
    <col min="5" max="5" width="21.42578125" style="299" customWidth="1" outlineLevel="1"/>
    <col min="6" max="7" width="21.42578125" style="299" hidden="1" customWidth="1" outlineLevel="1"/>
    <col min="8" max="8" width="21.5703125" style="299" customWidth="1" outlineLevel="1"/>
    <col min="9" max="9" width="8.42578125" style="1964" customWidth="1" outlineLevel="1"/>
    <col min="10" max="10" width="18.42578125" style="299" customWidth="1" outlineLevel="1"/>
    <col min="11" max="11" width="11.5703125" style="1964" customWidth="1" outlineLevel="1"/>
    <col min="12" max="12" width="19.5703125" style="299" customWidth="1" outlineLevel="1"/>
    <col min="13" max="13" width="21.5703125" style="299" bestFit="1" customWidth="1"/>
    <col min="14" max="14" width="16.42578125" style="299" customWidth="1"/>
    <col min="15" max="15" width="16.42578125" style="210" bestFit="1" customWidth="1"/>
    <col min="16" max="16" width="21.42578125" style="1474" hidden="1" customWidth="1" outlineLevel="1"/>
    <col min="17" max="17" width="21.42578125" style="299" hidden="1" customWidth="1" outlineLevel="1"/>
    <col min="18" max="18" width="21.42578125" style="1474" hidden="1" customWidth="1" outlineLevel="1"/>
    <col min="19" max="19" width="5.5703125" style="1475" hidden="1" customWidth="1" outlineLevel="1"/>
    <col min="20" max="20" width="18.42578125" style="1474" hidden="1" customWidth="1" outlineLevel="1"/>
    <col min="21" max="21" width="5.5703125" style="1475" hidden="1" customWidth="1" outlineLevel="1"/>
    <col min="22" max="22" width="18.5703125" style="1474" hidden="1" customWidth="1" outlineLevel="1"/>
    <col min="23" max="23" width="20.42578125" style="1474" hidden="1" customWidth="1" collapsed="1"/>
    <col min="24" max="24" width="17.5703125" hidden="1" customWidth="1"/>
    <col min="25" max="25" width="19.42578125" style="210" hidden="1" customWidth="1" outlineLevel="1"/>
    <col min="26" max="26" width="19.42578125" style="695" hidden="1" customWidth="1" outlineLevel="1"/>
    <col min="27" max="27" width="19.5703125" style="695" hidden="1" customWidth="1" outlineLevel="1"/>
    <col min="28" max="28" width="8.42578125" style="616" hidden="1" customWidth="1" outlineLevel="1"/>
    <col min="29" max="29" width="16.5703125" style="210" hidden="1" customWidth="1" outlineLevel="1"/>
    <col min="30" max="30" width="7.5703125" style="616" hidden="1" customWidth="1" outlineLevel="1"/>
    <col min="31" max="31" width="16.5703125" style="210" hidden="1" customWidth="1" outlineLevel="1"/>
    <col min="32" max="32" width="20.42578125" style="210" hidden="1" customWidth="1" collapsed="1"/>
    <col min="33" max="34" width="20.42578125" style="210" hidden="1" customWidth="1"/>
    <col min="35" max="35" width="20.42578125" style="1937" customWidth="1"/>
    <col min="36" max="37" width="20.42578125" style="1937" hidden="1" customWidth="1"/>
    <col min="38" max="38" width="20.42578125" style="26" hidden="1" customWidth="1"/>
    <col min="39" max="39" width="20.42578125" style="455" hidden="1" customWidth="1" outlineLevel="1"/>
    <col min="40" max="41" width="20.42578125" style="26" hidden="1" customWidth="1" outlineLevel="1"/>
    <col min="42" max="42" width="5.5703125" style="780" hidden="1" customWidth="1" outlineLevel="1"/>
    <col min="43" max="43" width="20.42578125" style="26" hidden="1" customWidth="1" outlineLevel="1"/>
    <col min="44" max="44" width="5.5703125" style="780" hidden="1" customWidth="1" outlineLevel="1"/>
    <col min="45" max="45" width="20.42578125" style="26" hidden="1" customWidth="1" outlineLevel="1"/>
    <col min="46" max="46" width="20.42578125" style="26" hidden="1" customWidth="1" collapsed="1"/>
    <col min="47" max="47" width="16.42578125" style="26" hidden="1" customWidth="1"/>
    <col min="48" max="50" width="20.42578125" style="26" hidden="1" customWidth="1" outlineLevel="1"/>
    <col min="51" max="51" width="5.5703125" style="780" hidden="1" customWidth="1" outlineLevel="1"/>
    <col min="52" max="52" width="20.42578125" style="26" hidden="1" customWidth="1" outlineLevel="1"/>
    <col min="53" max="53" width="5.5703125" style="780" hidden="1" customWidth="1" outlineLevel="1"/>
    <col min="54" max="54" width="20.42578125" style="26" hidden="1" customWidth="1" outlineLevel="1"/>
    <col min="55" max="55" width="20.42578125" style="26" hidden="1" customWidth="1" collapsed="1"/>
    <col min="56" max="56" width="20.42578125" style="26" hidden="1" customWidth="1"/>
    <col min="57" max="57" width="22.42578125" style="210" hidden="1" customWidth="1"/>
    <col min="58" max="58" width="20.5703125" style="299" hidden="1" customWidth="1"/>
    <col min="59" max="59" width="16.42578125" style="210" hidden="1" customWidth="1"/>
    <col min="60" max="60" width="20.5703125" style="299" hidden="1" customWidth="1"/>
    <col min="61" max="61" width="15.5703125" style="347" hidden="1" customWidth="1"/>
    <col min="62" max="62" width="15.42578125" bestFit="1" customWidth="1"/>
    <col min="63" max="63" width="16.42578125" customWidth="1"/>
    <col min="64" max="64" width="14.5703125" bestFit="1" customWidth="1"/>
  </cols>
  <sheetData>
    <row r="1" spans="2:61">
      <c r="B1" s="122" t="s">
        <v>363</v>
      </c>
      <c r="D1" s="211"/>
      <c r="E1" s="211"/>
      <c r="F1" s="211"/>
      <c r="G1" s="211"/>
      <c r="H1" s="211"/>
      <c r="I1" s="1965"/>
      <c r="J1" s="211"/>
      <c r="K1" s="1965"/>
      <c r="L1" s="211"/>
      <c r="M1" s="211"/>
      <c r="P1" s="1472"/>
      <c r="Q1" s="211"/>
      <c r="R1" s="1472"/>
      <c r="S1" s="1473"/>
      <c r="T1" s="1472"/>
      <c r="U1" s="1473"/>
      <c r="V1" s="1472"/>
      <c r="W1" s="1472"/>
      <c r="AI1" s="26"/>
      <c r="AJ1" s="26"/>
      <c r="AK1" s="26" t="s">
        <v>364</v>
      </c>
      <c r="AL1" s="26" t="s">
        <v>365</v>
      </c>
      <c r="BF1" s="211"/>
      <c r="BH1" s="211"/>
    </row>
    <row r="2" spans="2:61">
      <c r="B2" s="122" t="s">
        <v>366</v>
      </c>
      <c r="H2" s="299">
        <v>1</v>
      </c>
      <c r="X2" s="210"/>
      <c r="AI2" s="26">
        <v>-346216346</v>
      </c>
      <c r="AJ2" s="26"/>
      <c r="AK2" s="1167">
        <v>120000000</v>
      </c>
      <c r="AL2" s="1167">
        <v>-15000000</v>
      </c>
      <c r="AQ2" s="913"/>
      <c r="AZ2" s="913"/>
      <c r="BF2" s="211"/>
      <c r="BH2" s="211"/>
    </row>
    <row r="3" spans="2:61">
      <c r="B3" s="122" t="s">
        <v>367</v>
      </c>
      <c r="AH3" s="210">
        <f>M437+M439+M438</f>
        <v>157970005</v>
      </c>
      <c r="AI3" s="421"/>
      <c r="AJ3" s="421"/>
      <c r="AK3" s="421"/>
      <c r="AL3" s="661"/>
      <c r="AM3" s="1421"/>
      <c r="AN3" s="421"/>
      <c r="AO3" s="421"/>
      <c r="AP3" s="781"/>
      <c r="AQ3" s="914"/>
      <c r="AR3" s="781"/>
      <c r="AS3" s="421"/>
      <c r="AT3" s="421"/>
      <c r="AU3" s="661"/>
      <c r="AV3" s="421"/>
      <c r="AW3" s="421"/>
      <c r="AX3" s="421"/>
      <c r="AY3" s="781"/>
      <c r="AZ3" s="914"/>
      <c r="BA3" s="781"/>
      <c r="BB3" s="421"/>
      <c r="BC3" s="421"/>
      <c r="BD3" s="661"/>
      <c r="BF3" s="211"/>
      <c r="BH3" s="211"/>
      <c r="BI3" s="348"/>
    </row>
    <row r="4" spans="2:61">
      <c r="D4" s="211">
        <f>D255</f>
        <v>322471846707.4505</v>
      </c>
      <c r="E4" s="211">
        <f>E255</f>
        <v>236707357033.96445</v>
      </c>
      <c r="F4" s="211"/>
      <c r="G4" s="211"/>
      <c r="H4" s="211">
        <f>H255</f>
        <v>559179203740</v>
      </c>
      <c r="I4" s="1965"/>
      <c r="J4" s="211">
        <f>M512</f>
        <v>49739416785</v>
      </c>
      <c r="K4" s="1965"/>
      <c r="L4" s="211"/>
      <c r="M4" s="211">
        <f>M255</f>
        <v>437269373703</v>
      </c>
      <c r="P4" s="1472">
        <f>P255</f>
        <v>303311159346</v>
      </c>
      <c r="Q4" s="211">
        <f>Q255</f>
        <v>238370059673</v>
      </c>
      <c r="R4" s="1472">
        <f>R255</f>
        <v>541681219019</v>
      </c>
      <c r="S4" s="1473"/>
      <c r="T4" s="1472"/>
      <c r="U4" s="1473"/>
      <c r="V4" s="1472"/>
      <c r="W4" s="1472">
        <f>W255</f>
        <v>408113666679</v>
      </c>
      <c r="Y4" s="756">
        <f>Y255</f>
        <v>264940920774</v>
      </c>
      <c r="Z4" s="700">
        <f>Z255</f>
        <v>246014059585</v>
      </c>
      <c r="AA4" s="700">
        <f>AA255</f>
        <v>510954980359</v>
      </c>
      <c r="AF4" s="423">
        <f>AF255</f>
        <v>347660437458</v>
      </c>
      <c r="AG4" s="423"/>
      <c r="AH4" s="210">
        <v>1063969216</v>
      </c>
      <c r="AI4" s="423">
        <f>AI255</f>
        <v>345325322995</v>
      </c>
      <c r="AJ4" s="423"/>
      <c r="AK4" s="423">
        <v>29115000</v>
      </c>
      <c r="AL4" s="423">
        <v>-7278750</v>
      </c>
      <c r="AM4" s="756">
        <f>AM255</f>
        <v>281676261822</v>
      </c>
      <c r="AN4" s="423">
        <f>AN255</f>
        <v>234780115544</v>
      </c>
      <c r="AO4" s="423">
        <f>AO255</f>
        <v>516456377366</v>
      </c>
      <c r="AP4" s="782"/>
      <c r="AQ4" s="423"/>
      <c r="AR4" s="782"/>
      <c r="AS4" s="423"/>
      <c r="AT4" s="423">
        <f>AT255</f>
        <v>331143637453</v>
      </c>
      <c r="AU4" s="423"/>
      <c r="AV4" s="423">
        <f>AV255</f>
        <v>274636437821</v>
      </c>
      <c r="AW4" s="423">
        <f>AW255</f>
        <v>226439584572</v>
      </c>
      <c r="AX4" s="423">
        <f>AX255</f>
        <v>501076022393</v>
      </c>
      <c r="AY4" s="782"/>
      <c r="AZ4" s="423"/>
      <c r="BA4" s="782"/>
      <c r="BB4" s="423"/>
      <c r="BC4" s="423">
        <f>BC255</f>
        <v>356531626434</v>
      </c>
      <c r="BD4" s="423"/>
      <c r="BF4" s="423">
        <f>BF255</f>
        <v>307658424230</v>
      </c>
      <c r="BH4" s="423">
        <f>BH255</f>
        <v>262715700578</v>
      </c>
      <c r="BI4" s="349"/>
    </row>
    <row r="5" spans="2:61">
      <c r="C5" s="210"/>
      <c r="D5" s="211">
        <f>D539</f>
        <v>322471846709.23053</v>
      </c>
      <c r="E5" s="211">
        <f>E539+1.82748413085937</f>
        <v>236707357033.53445</v>
      </c>
      <c r="F5" s="211"/>
      <c r="G5" s="211"/>
      <c r="H5" s="211">
        <f>H539</f>
        <v>559179203740</v>
      </c>
      <c r="I5" s="1965"/>
      <c r="J5" s="211">
        <f>AI512</f>
        <v>49739416785</v>
      </c>
      <c r="K5" s="1965"/>
      <c r="L5" s="211"/>
      <c r="M5" s="211">
        <f>M539</f>
        <v>437269373703</v>
      </c>
      <c r="O5" s="1988"/>
      <c r="P5" s="1472">
        <f>P539</f>
        <v>303311159345.5</v>
      </c>
      <c r="Q5" s="211">
        <f>Q539</f>
        <v>238370059672.5</v>
      </c>
      <c r="R5" s="1472">
        <f>R539</f>
        <v>541681219019</v>
      </c>
      <c r="S5" s="1473"/>
      <c r="T5" s="1472"/>
      <c r="U5" s="1473"/>
      <c r="V5" s="1472"/>
      <c r="W5" s="1472">
        <f>W539</f>
        <v>408113666679</v>
      </c>
      <c r="X5" s="1220"/>
      <c r="Y5" s="756">
        <f>Y539</f>
        <v>264940920774</v>
      </c>
      <c r="Z5" s="700">
        <f>Z539</f>
        <v>246014059585</v>
      </c>
      <c r="AA5" s="700">
        <f>AA539</f>
        <v>510954980359</v>
      </c>
      <c r="AF5" s="423">
        <f>AF539</f>
        <v>347660437458</v>
      </c>
      <c r="AG5" s="423"/>
      <c r="AH5" s="210">
        <v>577405049</v>
      </c>
      <c r="AI5" s="423">
        <f>AI539</f>
        <v>345325322995</v>
      </c>
      <c r="AJ5" s="423"/>
      <c r="AK5" s="423"/>
      <c r="AL5" s="423"/>
      <c r="AM5" s="756">
        <f>AM539</f>
        <v>281676261822</v>
      </c>
      <c r="AN5" s="423">
        <f>AN539</f>
        <v>234780115544</v>
      </c>
      <c r="AO5" s="423">
        <f>AO539</f>
        <v>516456377366</v>
      </c>
      <c r="AP5" s="782"/>
      <c r="AQ5" s="915"/>
      <c r="AR5" s="782"/>
      <c r="AS5" s="423"/>
      <c r="AT5" s="423">
        <f>AT539</f>
        <v>331143637453</v>
      </c>
      <c r="AU5" s="423"/>
      <c r="AV5" s="423">
        <f>AV539</f>
        <v>274636437821</v>
      </c>
      <c r="AW5" s="423">
        <f>AW539</f>
        <v>226439584572</v>
      </c>
      <c r="AX5" s="423">
        <f>AX539</f>
        <v>501076022393</v>
      </c>
      <c r="AY5" s="782"/>
      <c r="AZ5" s="915"/>
      <c r="BA5" s="782"/>
      <c r="BB5" s="423"/>
      <c r="BC5" s="423">
        <f>BC539</f>
        <v>356531626434</v>
      </c>
      <c r="BD5" s="423"/>
      <c r="BF5" s="423">
        <f>BF539</f>
        <v>307658424229</v>
      </c>
      <c r="BH5" s="423">
        <f>BH539</f>
        <v>262715700580</v>
      </c>
      <c r="BI5" s="349"/>
    </row>
    <row r="6" spans="2:61">
      <c r="C6" s="210"/>
      <c r="D6" s="211">
        <f>D4-D5</f>
        <v>-1.780029296875</v>
      </c>
      <c r="E6" s="211">
        <f>E4-E5</f>
        <v>0.42999267578125</v>
      </c>
      <c r="F6" s="211"/>
      <c r="G6" s="211"/>
      <c r="H6" s="211">
        <f>H4-H5</f>
        <v>0</v>
      </c>
      <c r="I6" s="1965"/>
      <c r="J6" s="211">
        <f>J4-J5</f>
        <v>0</v>
      </c>
      <c r="K6" s="1965"/>
      <c r="L6" s="211"/>
      <c r="M6" s="211">
        <f>M4-M5</f>
        <v>0</v>
      </c>
      <c r="O6" s="1988"/>
      <c r="P6" s="1472">
        <f>P4-P5</f>
        <v>0.5</v>
      </c>
      <c r="Q6" s="211">
        <f>Q4-Q5</f>
        <v>0.5</v>
      </c>
      <c r="R6" s="1472">
        <f>R4-R5</f>
        <v>0</v>
      </c>
      <c r="S6" s="1473"/>
      <c r="T6" s="1472"/>
      <c r="U6" s="1473"/>
      <c r="V6" s="1472" t="s">
        <v>368</v>
      </c>
      <c r="W6" s="1472">
        <f>W4-W5</f>
        <v>0</v>
      </c>
      <c r="X6" s="1220"/>
      <c r="Y6" s="585">
        <f>Y4-Y5</f>
        <v>0</v>
      </c>
      <c r="Z6" s="694">
        <f>Z4-Z5</f>
        <v>0</v>
      </c>
      <c r="AA6" s="694">
        <f>AA4-AA5</f>
        <v>0</v>
      </c>
      <c r="AC6" s="696"/>
      <c r="AF6" s="585">
        <f>AF4-AF5</f>
        <v>0</v>
      </c>
      <c r="AG6" s="585"/>
      <c r="AI6" s="941">
        <f>AI4-AI5</f>
        <v>0</v>
      </c>
      <c r="AJ6" s="941"/>
      <c r="AK6" s="941"/>
      <c r="AL6" s="585"/>
      <c r="AM6" s="585">
        <f>AM4-AM5</f>
        <v>0</v>
      </c>
      <c r="AN6" s="585">
        <f>AN4-AN5</f>
        <v>0</v>
      </c>
      <c r="AO6" s="585">
        <f>AO4-AO5</f>
        <v>0</v>
      </c>
      <c r="AP6" s="758"/>
      <c r="AQ6" s="585"/>
      <c r="AR6" s="758"/>
      <c r="AS6" s="585"/>
      <c r="AT6" s="585">
        <f>AT4-AT5</f>
        <v>0</v>
      </c>
      <c r="AU6" s="585"/>
      <c r="AV6" s="585">
        <f>AV4-AV5</f>
        <v>0</v>
      </c>
      <c r="AW6" s="585">
        <f>AW4-AW5</f>
        <v>0</v>
      </c>
      <c r="AX6" s="585">
        <f>AX4-AX5</f>
        <v>0</v>
      </c>
      <c r="AY6" s="758"/>
      <c r="AZ6" s="585"/>
      <c r="BA6" s="758"/>
      <c r="BB6" s="585"/>
      <c r="BC6" s="585">
        <f>BC4-BC5</f>
        <v>0</v>
      </c>
      <c r="BD6" s="585"/>
      <c r="BF6" s="585">
        <f>BF4-BF5</f>
        <v>1</v>
      </c>
      <c r="BH6" s="585">
        <f>BH4-BH5</f>
        <v>-2</v>
      </c>
      <c r="BI6" s="350"/>
    </row>
    <row r="7" spans="2:61">
      <c r="D7" s="211"/>
      <c r="E7" s="211"/>
      <c r="F7" s="211" t="e">
        <f>SUM(F15:F764)</f>
        <v>#REF!</v>
      </c>
      <c r="G7" s="211" t="e">
        <f>SUM(G15:G764)</f>
        <v>#REF!</v>
      </c>
      <c r="H7" s="211"/>
      <c r="I7" s="1965"/>
      <c r="J7" s="211">
        <f>SUM(J10:J1048576)</f>
        <v>174814313483.15295</v>
      </c>
      <c r="K7" s="1965"/>
      <c r="L7" s="211">
        <f>SUM(L10:L1048576)</f>
        <v>174814313483.03296</v>
      </c>
      <c r="M7" s="211"/>
      <c r="O7" s="1988"/>
      <c r="P7" s="1472"/>
      <c r="Q7" s="211"/>
      <c r="R7" s="1472"/>
      <c r="S7" s="1473"/>
      <c r="T7" s="1472"/>
      <c r="U7" s="1473"/>
      <c r="V7" s="1472"/>
      <c r="W7" s="1472"/>
      <c r="X7" s="1220"/>
      <c r="Z7" s="969"/>
      <c r="AI7" s="422"/>
      <c r="AJ7" s="422"/>
      <c r="AK7" s="422"/>
      <c r="AL7" s="662"/>
      <c r="AM7" s="1421"/>
      <c r="AN7" s="422"/>
      <c r="AO7" s="422"/>
      <c r="AP7" s="783"/>
      <c r="AQ7" s="422"/>
      <c r="AR7" s="783"/>
      <c r="AS7" s="422"/>
      <c r="AT7" s="422"/>
      <c r="AU7" s="662"/>
      <c r="AV7" s="422"/>
      <c r="AW7" s="422"/>
      <c r="AX7" s="422"/>
      <c r="AY7" s="783"/>
      <c r="AZ7" s="422"/>
      <c r="BA7" s="783"/>
      <c r="BB7" s="422"/>
      <c r="BC7" s="422"/>
      <c r="BD7" s="662"/>
      <c r="BF7" s="211"/>
      <c r="BH7" s="211"/>
      <c r="BI7" s="348"/>
    </row>
    <row r="8" spans="2:61" s="1" customFormat="1">
      <c r="B8" s="2394" t="s">
        <v>369</v>
      </c>
      <c r="C8" s="2394" t="s">
        <v>7</v>
      </c>
      <c r="D8" s="212" t="s">
        <v>370</v>
      </c>
      <c r="E8" s="1464" t="s">
        <v>371</v>
      </c>
      <c r="F8" s="1464"/>
      <c r="G8" s="1464"/>
      <c r="H8" s="212" t="s">
        <v>372</v>
      </c>
      <c r="I8" s="2396" t="s">
        <v>373</v>
      </c>
      <c r="J8" s="2397"/>
      <c r="K8" s="2397"/>
      <c r="L8" s="2398"/>
      <c r="M8" s="212" t="s">
        <v>374</v>
      </c>
      <c r="N8" s="2257"/>
      <c r="O8" s="1217"/>
      <c r="P8" s="1476" t="s">
        <v>370</v>
      </c>
      <c r="Q8" s="1464" t="s">
        <v>371</v>
      </c>
      <c r="R8" s="1476" t="s">
        <v>375</v>
      </c>
      <c r="S8" s="2399" t="s">
        <v>373</v>
      </c>
      <c r="T8" s="2400"/>
      <c r="U8" s="2400"/>
      <c r="V8" s="2401"/>
      <c r="W8" s="1476" t="s">
        <v>375</v>
      </c>
      <c r="X8" s="1186"/>
      <c r="Y8" s="123" t="s">
        <v>370</v>
      </c>
      <c r="Z8" s="702" t="s">
        <v>371</v>
      </c>
      <c r="AA8" s="701" t="s">
        <v>375</v>
      </c>
      <c r="AB8" s="2396" t="s">
        <v>373</v>
      </c>
      <c r="AC8" s="2397"/>
      <c r="AD8" s="2397"/>
      <c r="AE8" s="2398"/>
      <c r="AF8" s="123" t="s">
        <v>375</v>
      </c>
      <c r="AG8" s="1150"/>
      <c r="AH8" s="208"/>
      <c r="AI8" s="123" t="s">
        <v>375</v>
      </c>
      <c r="AJ8" s="1150"/>
      <c r="AK8" s="1150"/>
      <c r="AL8" s="663"/>
      <c r="AM8" s="123" t="s">
        <v>370</v>
      </c>
      <c r="AN8" s="124" t="s">
        <v>371</v>
      </c>
      <c r="AO8" s="123" t="s">
        <v>375</v>
      </c>
      <c r="AP8" s="2396" t="s">
        <v>373</v>
      </c>
      <c r="AQ8" s="2397"/>
      <c r="AR8" s="2397"/>
      <c r="AS8" s="2398"/>
      <c r="AT8" s="123" t="s">
        <v>375</v>
      </c>
      <c r="AU8" s="127"/>
      <c r="AV8" s="123" t="s">
        <v>370</v>
      </c>
      <c r="AW8" s="124" t="s">
        <v>371</v>
      </c>
      <c r="AX8" s="123" t="s">
        <v>375</v>
      </c>
      <c r="AY8" s="2396" t="s">
        <v>373</v>
      </c>
      <c r="AZ8" s="2397"/>
      <c r="BA8" s="2397"/>
      <c r="BB8" s="2398"/>
      <c r="BC8" s="123" t="s">
        <v>375</v>
      </c>
      <c r="BD8" s="1152"/>
      <c r="BE8" s="5"/>
      <c r="BF8" s="212" t="s">
        <v>375</v>
      </c>
      <c r="BG8" s="6"/>
      <c r="BH8" s="212" t="s">
        <v>375</v>
      </c>
      <c r="BI8" s="6"/>
    </row>
    <row r="9" spans="2:61" s="1" customFormat="1">
      <c r="B9" s="2395"/>
      <c r="C9" s="2395"/>
      <c r="D9" s="216" t="s">
        <v>376</v>
      </c>
      <c r="E9" s="1465" t="str">
        <f>D9</f>
        <v>31 Desember 2024</v>
      </c>
      <c r="F9" s="1465"/>
      <c r="G9" s="1465"/>
      <c r="H9" s="216" t="str">
        <f>E9</f>
        <v>31 Desember 2024</v>
      </c>
      <c r="I9" s="626" t="s">
        <v>377</v>
      </c>
      <c r="J9" s="626" t="s">
        <v>378</v>
      </c>
      <c r="K9" s="626" t="s">
        <v>377</v>
      </c>
      <c r="L9" s="626" t="s">
        <v>379</v>
      </c>
      <c r="M9" s="215" t="str">
        <f>H9</f>
        <v>31 Desember 2024</v>
      </c>
      <c r="N9" s="2258"/>
      <c r="O9" s="1217"/>
      <c r="P9" s="1477" t="s">
        <v>380</v>
      </c>
      <c r="Q9" s="1465" t="str">
        <f>P9</f>
        <v>30 Sept 2024</v>
      </c>
      <c r="R9" s="1477" t="str">
        <f>Q9</f>
        <v>30 Sept 2024</v>
      </c>
      <c r="S9" s="1478" t="s">
        <v>377</v>
      </c>
      <c r="T9" s="1478" t="s">
        <v>378</v>
      </c>
      <c r="U9" s="1478" t="s">
        <v>377</v>
      </c>
      <c r="V9" s="1478" t="s">
        <v>379</v>
      </c>
      <c r="W9" s="1479" t="str">
        <f>R9</f>
        <v>30 Sept 2024</v>
      </c>
      <c r="X9" s="1186"/>
      <c r="Y9" s="213" t="s">
        <v>381</v>
      </c>
      <c r="Z9" s="704" t="str">
        <f>Y9</f>
        <v>30 Juni 2024</v>
      </c>
      <c r="AA9" s="703" t="str">
        <f>Z9</f>
        <v>30 Juni 2024</v>
      </c>
      <c r="AB9" s="626" t="s">
        <v>377</v>
      </c>
      <c r="AC9" s="626" t="s">
        <v>378</v>
      </c>
      <c r="AD9" s="626" t="s">
        <v>377</v>
      </c>
      <c r="AE9" s="626" t="s">
        <v>379</v>
      </c>
      <c r="AF9" s="125" t="str">
        <f>AA9</f>
        <v>30 Juni 2024</v>
      </c>
      <c r="AG9" s="1168"/>
      <c r="AH9" s="208"/>
      <c r="AI9" s="125" t="s">
        <v>382</v>
      </c>
      <c r="AJ9" s="1151"/>
      <c r="AK9" s="1151"/>
      <c r="AL9" s="664"/>
      <c r="AM9" s="213" t="s">
        <v>383</v>
      </c>
      <c r="AN9" s="214" t="str">
        <f>AM9</f>
        <v>30 Sept 2023</v>
      </c>
      <c r="AO9" s="213" t="str">
        <f>AN9</f>
        <v>30 Sept 2023</v>
      </c>
      <c r="AP9" s="626" t="s">
        <v>377</v>
      </c>
      <c r="AQ9" s="626" t="s">
        <v>378</v>
      </c>
      <c r="AR9" s="626" t="s">
        <v>377</v>
      </c>
      <c r="AS9" s="626" t="s">
        <v>379</v>
      </c>
      <c r="AT9" s="125" t="str">
        <f>AO9</f>
        <v>30 Sept 2023</v>
      </c>
      <c r="AU9" s="127"/>
      <c r="AV9" s="213" t="s">
        <v>384</v>
      </c>
      <c r="AW9" s="214" t="str">
        <f>AV9</f>
        <v>30 Juni 2023</v>
      </c>
      <c r="AX9" s="213" t="str">
        <f>AW9</f>
        <v>30 Juni 2023</v>
      </c>
      <c r="AY9" s="626" t="s">
        <v>377</v>
      </c>
      <c r="AZ9" s="626" t="s">
        <v>378</v>
      </c>
      <c r="BA9" s="626" t="s">
        <v>377</v>
      </c>
      <c r="BB9" s="626" t="s">
        <v>379</v>
      </c>
      <c r="BC9" s="125" t="str">
        <f>AX9</f>
        <v>30 Juni 2023</v>
      </c>
      <c r="BD9" s="1153"/>
      <c r="BE9" s="5"/>
      <c r="BF9" s="215" t="s">
        <v>385</v>
      </c>
      <c r="BG9" s="6"/>
      <c r="BH9" s="216" t="s">
        <v>386</v>
      </c>
      <c r="BI9" s="6"/>
    </row>
    <row r="10" spans="2:61" s="1" customFormat="1">
      <c r="B10" s="2"/>
      <c r="C10" s="2"/>
      <c r="D10" s="217"/>
      <c r="E10" s="217"/>
      <c r="F10" s="217"/>
      <c r="G10" s="217"/>
      <c r="H10" s="217"/>
      <c r="I10" s="1384"/>
      <c r="J10" s="217"/>
      <c r="K10" s="1384"/>
      <c r="L10" s="217"/>
      <c r="M10" s="217"/>
      <c r="N10" s="226"/>
      <c r="O10" s="1217"/>
      <c r="P10" s="1480"/>
      <c r="Q10" s="217"/>
      <c r="R10" s="1480"/>
      <c r="S10" s="1481"/>
      <c r="T10" s="1480"/>
      <c r="U10" s="1481"/>
      <c r="V10" s="1480"/>
      <c r="W10" s="1480"/>
      <c r="X10" s="1186"/>
      <c r="Y10" s="118"/>
      <c r="Z10" s="705"/>
      <c r="AA10" s="705"/>
      <c r="AB10" s="253"/>
      <c r="AC10" s="118"/>
      <c r="AD10" s="253"/>
      <c r="AE10" s="118"/>
      <c r="AF10" s="118"/>
      <c r="AG10" s="118"/>
      <c r="AH10" s="208"/>
      <c r="AI10" s="2"/>
      <c r="AJ10" s="2"/>
      <c r="AK10" s="2"/>
      <c r="AL10" s="665"/>
      <c r="AM10" s="118"/>
      <c r="AN10" s="2"/>
      <c r="AO10" s="2"/>
      <c r="AP10" s="71"/>
      <c r="AQ10" s="2"/>
      <c r="AR10" s="71"/>
      <c r="AS10" s="2"/>
      <c r="AT10" s="2"/>
      <c r="AU10" s="127"/>
      <c r="AV10" s="2"/>
      <c r="AW10" s="2"/>
      <c r="AX10" s="2"/>
      <c r="AY10" s="71"/>
      <c r="AZ10" s="2"/>
      <c r="BA10" s="71"/>
      <c r="BB10" s="2"/>
      <c r="BC10" s="2"/>
      <c r="BD10" s="2"/>
      <c r="BE10" s="126"/>
      <c r="BF10" s="217"/>
      <c r="BG10" s="127"/>
      <c r="BH10" s="217"/>
      <c r="BI10" s="3"/>
    </row>
    <row r="11" spans="2:61" s="1" customFormat="1">
      <c r="B11" s="2" t="s">
        <v>387</v>
      </c>
      <c r="C11" s="2"/>
      <c r="D11" s="217"/>
      <c r="E11" s="217"/>
      <c r="F11" s="217"/>
      <c r="G11" s="217"/>
      <c r="H11" s="217"/>
      <c r="I11" s="1384"/>
      <c r="J11" s="217"/>
      <c r="K11" s="1384"/>
      <c r="L11" s="217"/>
      <c r="M11" s="217"/>
      <c r="N11" s="226"/>
      <c r="O11" s="1217"/>
      <c r="P11" s="1480"/>
      <c r="Q11" s="217"/>
      <c r="R11" s="1480"/>
      <c r="S11" s="1481"/>
      <c r="T11" s="1480"/>
      <c r="U11" s="1481"/>
      <c r="V11" s="1480"/>
      <c r="W11" s="1480"/>
      <c r="X11" s="1186"/>
      <c r="Y11" s="118"/>
      <c r="Z11" s="705"/>
      <c r="AA11" s="705"/>
      <c r="AB11" s="253"/>
      <c r="AC11" s="118"/>
      <c r="AD11" s="253"/>
      <c r="AE11" s="118"/>
      <c r="AF11" s="118"/>
      <c r="AG11" s="118"/>
      <c r="AH11" s="208"/>
      <c r="AI11" s="2"/>
      <c r="AJ11" s="2"/>
      <c r="AK11" s="2"/>
      <c r="AL11" s="665"/>
      <c r="AM11" s="118"/>
      <c r="AN11" s="2"/>
      <c r="AO11" s="2"/>
      <c r="AP11" s="71"/>
      <c r="AQ11" s="2"/>
      <c r="AR11" s="71"/>
      <c r="AS11" s="2"/>
      <c r="AT11" s="2"/>
      <c r="AU11" s="127"/>
      <c r="AV11" s="2"/>
      <c r="AW11" s="2"/>
      <c r="AX11" s="2"/>
      <c r="AY11" s="71"/>
      <c r="AZ11" s="2"/>
      <c r="BA11" s="71"/>
      <c r="BB11" s="2"/>
      <c r="BC11" s="2"/>
      <c r="BD11" s="2"/>
      <c r="BE11" s="126"/>
      <c r="BF11" s="217"/>
      <c r="BG11" s="127"/>
      <c r="BH11" s="217"/>
      <c r="BI11" s="3"/>
    </row>
    <row r="12" spans="2:61" s="1" customFormat="1">
      <c r="B12" s="2" t="s">
        <v>388</v>
      </c>
      <c r="C12" s="2"/>
      <c r="D12" s="217"/>
      <c r="E12" s="217"/>
      <c r="F12" s="217"/>
      <c r="G12" s="217"/>
      <c r="H12" s="217"/>
      <c r="I12" s="1384"/>
      <c r="J12" s="217"/>
      <c r="K12" s="1384"/>
      <c r="L12" s="217"/>
      <c r="M12" s="217"/>
      <c r="N12" s="226"/>
      <c r="O12" s="1217"/>
      <c r="P12" s="1480"/>
      <c r="Q12" s="217"/>
      <c r="R12" s="1480"/>
      <c r="S12" s="1481"/>
      <c r="T12" s="1480"/>
      <c r="U12" s="1481"/>
      <c r="V12" s="1480"/>
      <c r="W12" s="1480"/>
      <c r="X12" s="1186"/>
      <c r="Y12" s="118"/>
      <c r="Z12" s="705"/>
      <c r="AA12" s="705"/>
      <c r="AB12" s="253"/>
      <c r="AC12" s="118"/>
      <c r="AD12" s="253"/>
      <c r="AE12" s="118"/>
      <c r="AF12" s="118"/>
      <c r="AG12" s="118"/>
      <c r="AH12" s="209"/>
      <c r="AI12" s="2"/>
      <c r="AJ12" s="2"/>
      <c r="AK12" s="2"/>
      <c r="AL12" s="665"/>
      <c r="AM12" s="118"/>
      <c r="AN12" s="2"/>
      <c r="AO12" s="2"/>
      <c r="AP12" s="71"/>
      <c r="AQ12" s="2"/>
      <c r="AR12" s="71"/>
      <c r="AS12" s="2"/>
      <c r="AT12" s="2"/>
      <c r="AU12" s="127"/>
      <c r="AV12" s="2"/>
      <c r="AW12" s="2"/>
      <c r="AX12" s="2"/>
      <c r="AY12" s="71"/>
      <c r="AZ12" s="2"/>
      <c r="BA12" s="71"/>
      <c r="BB12" s="2"/>
      <c r="BC12" s="2"/>
      <c r="BD12" s="2"/>
      <c r="BE12" s="227"/>
      <c r="BF12" s="217"/>
      <c r="BG12" s="132"/>
      <c r="BH12" s="217"/>
      <c r="BI12" s="3"/>
    </row>
    <row r="13" spans="2:61" s="1" customFormat="1">
      <c r="B13" s="2" t="s">
        <v>389</v>
      </c>
      <c r="C13" s="4"/>
      <c r="D13" s="1365"/>
      <c r="E13" s="1365"/>
      <c r="F13" s="1365"/>
      <c r="G13" s="1365"/>
      <c r="H13" s="1365"/>
      <c r="I13" s="1384"/>
      <c r="J13" s="1365"/>
      <c r="K13" s="1384"/>
      <c r="L13" s="1365"/>
      <c r="M13" s="1365"/>
      <c r="N13" s="2259"/>
      <c r="O13" s="1058"/>
      <c r="P13" s="1482"/>
      <c r="Q13" s="1365"/>
      <c r="R13" s="1482"/>
      <c r="S13" s="1481"/>
      <c r="T13" s="1482"/>
      <c r="U13" s="1481"/>
      <c r="V13" s="1482"/>
      <c r="W13" s="1482"/>
      <c r="X13" s="1187"/>
      <c r="Y13" s="90"/>
      <c r="Z13" s="697"/>
      <c r="AA13" s="697"/>
      <c r="AB13" s="253"/>
      <c r="AC13" s="90"/>
      <c r="AD13" s="253"/>
      <c r="AE13" s="90"/>
      <c r="AF13" s="90"/>
      <c r="AG13" s="90"/>
      <c r="AH13" s="208"/>
      <c r="AI13" s="424"/>
      <c r="AJ13" s="424"/>
      <c r="AK13" s="424"/>
      <c r="AL13" s="666"/>
      <c r="AM13" s="424"/>
      <c r="AN13" s="424"/>
      <c r="AO13" s="424"/>
      <c r="AP13" s="765"/>
      <c r="AQ13" s="424"/>
      <c r="AR13" s="765"/>
      <c r="AS13" s="424"/>
      <c r="AT13" s="424"/>
      <c r="AU13" s="127"/>
      <c r="AV13" s="424"/>
      <c r="AW13" s="424"/>
      <c r="AX13" s="424"/>
      <c r="AY13" s="765"/>
      <c r="AZ13" s="424"/>
      <c r="BA13" s="765"/>
      <c r="BB13" s="424"/>
      <c r="BC13" s="424"/>
      <c r="BD13" s="586"/>
      <c r="BE13" s="126"/>
      <c r="BF13" s="218"/>
      <c r="BG13" s="127"/>
      <c r="BH13" s="218"/>
      <c r="BI13" s="6"/>
    </row>
    <row r="14" spans="2:61" s="1" customFormat="1">
      <c r="B14" s="7" t="s">
        <v>390</v>
      </c>
      <c r="C14" s="4"/>
      <c r="D14" s="1365"/>
      <c r="E14" s="1365"/>
      <c r="F14" s="1365"/>
      <c r="G14" s="1365"/>
      <c r="H14" s="1365"/>
      <c r="I14" s="1384"/>
      <c r="J14" s="1365"/>
      <c r="K14" s="1384"/>
      <c r="L14" s="1365"/>
      <c r="M14" s="1365"/>
      <c r="N14" s="2259"/>
      <c r="O14" s="1058"/>
      <c r="P14" s="1482"/>
      <c r="Q14" s="1365"/>
      <c r="R14" s="1482"/>
      <c r="S14" s="1481"/>
      <c r="T14" s="1482"/>
      <c r="U14" s="1481"/>
      <c r="V14" s="1482"/>
      <c r="W14" s="1482"/>
      <c r="X14" s="1187"/>
      <c r="Y14" s="90"/>
      <c r="Z14" s="697"/>
      <c r="AA14" s="697"/>
      <c r="AB14" s="253"/>
      <c r="AC14" s="90"/>
      <c r="AD14" s="253"/>
      <c r="AE14" s="90"/>
      <c r="AF14" s="90"/>
      <c r="AG14" s="90"/>
      <c r="AH14" s="208"/>
      <c r="AI14" s="424"/>
      <c r="AJ14" s="424"/>
      <c r="AK14" s="424"/>
      <c r="AL14" s="666"/>
      <c r="AM14" s="424"/>
      <c r="AN14" s="424"/>
      <c r="AO14" s="424"/>
      <c r="AP14" s="765"/>
      <c r="AQ14" s="424"/>
      <c r="AR14" s="765"/>
      <c r="AS14" s="424"/>
      <c r="AT14" s="424"/>
      <c r="AU14" s="127"/>
      <c r="AV14" s="424"/>
      <c r="AW14" s="424"/>
      <c r="AX14" s="424"/>
      <c r="AY14" s="765"/>
      <c r="AZ14" s="424"/>
      <c r="BA14" s="765"/>
      <c r="BB14" s="424"/>
      <c r="BC14" s="424"/>
      <c r="BD14" s="586"/>
      <c r="BE14" s="126"/>
      <c r="BF14" s="218"/>
      <c r="BG14" s="127"/>
      <c r="BH14" s="218"/>
      <c r="BI14" s="6"/>
    </row>
    <row r="15" spans="2:61" s="1" customFormat="1">
      <c r="B15" s="8"/>
      <c r="C15" s="4" t="s">
        <v>391</v>
      </c>
      <c r="D15" s="1365">
        <f>ROUND(172746352.799988,0)</f>
        <v>172746353</v>
      </c>
      <c r="E15" s="1365">
        <v>59534151</v>
      </c>
      <c r="F15" s="1365">
        <f>D15+E15</f>
        <v>232280504</v>
      </c>
      <c r="G15" s="1365">
        <f>F15-H15</f>
        <v>0</v>
      </c>
      <c r="H15" s="1365">
        <f>ROUND((D15+E15),0)</f>
        <v>232280504</v>
      </c>
      <c r="I15" s="1384"/>
      <c r="J15" s="1365"/>
      <c r="K15" s="1384"/>
      <c r="L15" s="1365"/>
      <c r="M15" s="1365">
        <f>ROUND((H15+J15-L15),0)</f>
        <v>232280504</v>
      </c>
      <c r="N15" s="2259"/>
      <c r="O15" s="1058"/>
      <c r="P15" s="1482">
        <f>ROUND(221717531.800003,0)</f>
        <v>221717532</v>
      </c>
      <c r="Q15" s="1365">
        <v>113360187</v>
      </c>
      <c r="R15" s="1482">
        <f>ROUND((P15+Q15),0)</f>
        <v>335077719</v>
      </c>
      <c r="S15" s="1481"/>
      <c r="T15" s="1482"/>
      <c r="U15" s="1481"/>
      <c r="V15" s="1482"/>
      <c r="W15" s="1482">
        <f>ROUND((R15+T15-V15),0)</f>
        <v>335077719</v>
      </c>
      <c r="X15" s="1187"/>
      <c r="Y15" s="90">
        <f>15178251</f>
        <v>15178251</v>
      </c>
      <c r="Z15" s="697">
        <v>87032612</v>
      </c>
      <c r="AA15" s="697">
        <f>ROUND((Y15+Z15),0)</f>
        <v>102210863</v>
      </c>
      <c r="AB15" s="253"/>
      <c r="AC15" s="90"/>
      <c r="AD15" s="253"/>
      <c r="AE15" s="90"/>
      <c r="AF15" s="90">
        <f>ROUND((AA15+AC15-AE15),0)</f>
        <v>102210863</v>
      </c>
      <c r="AG15" s="90"/>
      <c r="AH15" s="208"/>
      <c r="AI15" s="9">
        <v>161176676</v>
      </c>
      <c r="AJ15" s="9"/>
      <c r="AK15" s="9"/>
      <c r="AL15" s="667"/>
      <c r="AM15" s="9">
        <v>60306962</v>
      </c>
      <c r="AN15" s="9">
        <v>106061959</v>
      </c>
      <c r="AO15" s="9">
        <f>ROUND((AM15+AN15),0)</f>
        <v>166368921</v>
      </c>
      <c r="AP15" s="769"/>
      <c r="AQ15" s="9"/>
      <c r="AR15" s="769"/>
      <c r="AS15" s="9"/>
      <c r="AT15" s="9">
        <f>ROUND((AO15+AQ15-AS15),0)</f>
        <v>166368921</v>
      </c>
      <c r="AU15" s="37"/>
      <c r="AV15" s="9">
        <v>67573611</v>
      </c>
      <c r="AW15" s="9">
        <v>165787403</v>
      </c>
      <c r="AX15" s="9">
        <f>ROUND((AV15+AW15),0)</f>
        <v>233361014</v>
      </c>
      <c r="AY15" s="769"/>
      <c r="AZ15" s="9"/>
      <c r="BA15" s="769"/>
      <c r="BB15" s="9"/>
      <c r="BC15" s="9">
        <f>ROUND((AX15+AZ15-BB15),0)</f>
        <v>233361014</v>
      </c>
      <c r="BD15" s="14"/>
      <c r="BE15" s="128"/>
      <c r="BF15" s="219">
        <v>155449063</v>
      </c>
      <c r="BG15" s="37"/>
      <c r="BH15" s="219">
        <v>160295840</v>
      </c>
      <c r="BI15" s="11"/>
    </row>
    <row r="16" spans="2:61" s="1" customFormat="1">
      <c r="B16" s="21" t="s">
        <v>392</v>
      </c>
      <c r="C16" s="4"/>
      <c r="D16" s="1365"/>
      <c r="E16" s="1365"/>
      <c r="F16" s="1365"/>
      <c r="G16" s="1365">
        <f t="shared" ref="G16:G79" si="0">F16-H16</f>
        <v>0</v>
      </c>
      <c r="H16" s="1365"/>
      <c r="I16" s="1384"/>
      <c r="J16" s="1365"/>
      <c r="K16" s="1384"/>
      <c r="L16" s="1365"/>
      <c r="M16" s="1365"/>
      <c r="N16" s="2259"/>
      <c r="O16" s="1058"/>
      <c r="P16" s="1482"/>
      <c r="Q16" s="1365"/>
      <c r="R16" s="1482"/>
      <c r="S16" s="1481"/>
      <c r="T16" s="1482"/>
      <c r="U16" s="1481"/>
      <c r="V16" s="1482"/>
      <c r="W16" s="1482"/>
      <c r="X16" s="1187"/>
      <c r="Y16" s="90"/>
      <c r="Z16" s="697"/>
      <c r="AA16" s="697"/>
      <c r="AB16" s="253"/>
      <c r="AC16" s="90"/>
      <c r="AD16" s="253"/>
      <c r="AE16" s="90"/>
      <c r="AF16" s="90"/>
      <c r="AG16" s="90"/>
      <c r="AH16" s="208"/>
      <c r="AI16" s="9"/>
      <c r="AJ16" s="9"/>
      <c r="AK16" s="9"/>
      <c r="AL16" s="667"/>
      <c r="AM16" s="9"/>
      <c r="AN16" s="9"/>
      <c r="AO16" s="9"/>
      <c r="AP16" s="769"/>
      <c r="AQ16" s="9"/>
      <c r="AR16" s="769"/>
      <c r="AS16" s="9"/>
      <c r="AT16" s="9"/>
      <c r="AU16" s="37"/>
      <c r="AV16" s="9"/>
      <c r="AW16" s="9"/>
      <c r="AX16" s="9"/>
      <c r="AY16" s="769"/>
      <c r="AZ16" s="9"/>
      <c r="BA16" s="769"/>
      <c r="BB16" s="9"/>
      <c r="BC16" s="9"/>
      <c r="BD16" s="14"/>
      <c r="BE16" s="128"/>
      <c r="BF16" s="219"/>
      <c r="BG16" s="37"/>
      <c r="BH16" s="219"/>
      <c r="BI16" s="11"/>
    </row>
    <row r="17" spans="2:61" s="1" customFormat="1">
      <c r="B17" s="8"/>
      <c r="C17" s="4" t="s">
        <v>393</v>
      </c>
      <c r="D17" s="1365"/>
      <c r="E17" s="1365"/>
      <c r="F17" s="1365"/>
      <c r="G17" s="1365">
        <f t="shared" si="0"/>
        <v>0</v>
      </c>
      <c r="H17" s="1365">
        <f>ROUND((D17+E17),0)</f>
        <v>0</v>
      </c>
      <c r="I17" s="1384"/>
      <c r="J17" s="1365"/>
      <c r="K17" s="1384"/>
      <c r="L17" s="1365"/>
      <c r="M17" s="1365">
        <f>ROUND((H17+J17-L17),0)</f>
        <v>0</v>
      </c>
      <c r="N17" s="2259"/>
      <c r="O17" s="1058"/>
      <c r="P17" s="1482"/>
      <c r="Q17" s="1365"/>
      <c r="R17" s="1482">
        <f>ROUND((P17+Q17),0)</f>
        <v>0</v>
      </c>
      <c r="S17" s="1481"/>
      <c r="T17" s="1482"/>
      <c r="U17" s="1481"/>
      <c r="V17" s="1482"/>
      <c r="W17" s="1482">
        <f>ROUND((R17+T17-V17),0)</f>
        <v>0</v>
      </c>
      <c r="X17" s="1187"/>
      <c r="Y17" s="90"/>
      <c r="Z17" s="697"/>
      <c r="AA17" s="697">
        <f>ROUND((Y17+Z17),0)</f>
        <v>0</v>
      </c>
      <c r="AB17" s="253"/>
      <c r="AC17" s="90"/>
      <c r="AD17" s="253"/>
      <c r="AE17" s="90"/>
      <c r="AF17" s="90">
        <f>ROUND((AA17+AC17-AE17),0)</f>
        <v>0</v>
      </c>
      <c r="AG17" s="90"/>
      <c r="AH17" s="208"/>
      <c r="AI17" s="9">
        <v>685258</v>
      </c>
      <c r="AJ17" s="9"/>
      <c r="AK17" s="9"/>
      <c r="AL17" s="667"/>
      <c r="AM17" s="9">
        <v>685258</v>
      </c>
      <c r="AN17" s="9"/>
      <c r="AO17" s="9">
        <f>ROUND((AM17+AN17),0)</f>
        <v>685258</v>
      </c>
      <c r="AP17" s="769"/>
      <c r="AQ17" s="9"/>
      <c r="AR17" s="769"/>
      <c r="AS17" s="9"/>
      <c r="AT17" s="9">
        <f>ROUND((AO17+AQ17-AS17),0)</f>
        <v>685258</v>
      </c>
      <c r="AU17" s="37"/>
      <c r="AV17" s="9">
        <v>685258</v>
      </c>
      <c r="AW17" s="9">
        <f>0</f>
        <v>0</v>
      </c>
      <c r="AX17" s="9">
        <f>ROUND((AV17+AW17),0)</f>
        <v>685258</v>
      </c>
      <c r="AY17" s="769"/>
      <c r="AZ17" s="9"/>
      <c r="BA17" s="769"/>
      <c r="BB17" s="9"/>
      <c r="BC17" s="9">
        <f>ROUND((AX17+AZ17-BB17),0)</f>
        <v>685258</v>
      </c>
      <c r="BD17" s="14"/>
      <c r="BE17" s="128"/>
      <c r="BF17" s="219">
        <v>685258</v>
      </c>
      <c r="BG17" s="37"/>
      <c r="BH17" s="219">
        <v>928838</v>
      </c>
      <c r="BI17" s="11"/>
    </row>
    <row r="18" spans="2:61" s="1" customFormat="1">
      <c r="B18" s="18"/>
      <c r="C18" s="19" t="s">
        <v>394</v>
      </c>
      <c r="D18" s="1366">
        <f>SUM(D15:D17)</f>
        <v>172746353</v>
      </c>
      <c r="E18" s="1366">
        <f>SUM(E15:E17)</f>
        <v>59534151</v>
      </c>
      <c r="F18" s="1365">
        <f t="shared" ref="F18:F81" si="1">D18+E18</f>
        <v>232280504</v>
      </c>
      <c r="G18" s="1365">
        <f t="shared" si="0"/>
        <v>0</v>
      </c>
      <c r="H18" s="1366">
        <f>SUM(H15:H17)</f>
        <v>232280504</v>
      </c>
      <c r="I18" s="1942"/>
      <c r="J18" s="1366"/>
      <c r="K18" s="1942"/>
      <c r="L18" s="1366"/>
      <c r="M18" s="1366">
        <f>SUM(M15:M17)</f>
        <v>232280504</v>
      </c>
      <c r="N18" s="2260"/>
      <c r="O18" s="1989"/>
      <c r="P18" s="1483">
        <f>SUM(P15:P17)</f>
        <v>221717532</v>
      </c>
      <c r="Q18" s="1366">
        <f>SUM(Q15:Q17)</f>
        <v>113360187</v>
      </c>
      <c r="R18" s="1483">
        <f>SUM(R15:R17)</f>
        <v>335077719</v>
      </c>
      <c r="S18" s="1484"/>
      <c r="T18" s="1483"/>
      <c r="U18" s="1484"/>
      <c r="V18" s="1483"/>
      <c r="W18" s="1483">
        <f>SUM(W15:W17)</f>
        <v>335077719</v>
      </c>
      <c r="X18" s="1188"/>
      <c r="Y18" s="426">
        <f>SUM(Y15:Y17)</f>
        <v>15178251</v>
      </c>
      <c r="Z18" s="706">
        <f>SUM(Z15:Z17)</f>
        <v>87032612</v>
      </c>
      <c r="AA18" s="706">
        <f>SUM(AA15:AA17)</f>
        <v>102210863</v>
      </c>
      <c r="AB18" s="601"/>
      <c r="AC18" s="223"/>
      <c r="AD18" s="601"/>
      <c r="AE18" s="223"/>
      <c r="AF18" s="426">
        <f>SUM(AF15:AF17)</f>
        <v>102210863</v>
      </c>
      <c r="AG18" s="448"/>
      <c r="AH18" s="208"/>
      <c r="AI18" s="426">
        <f>SUM(AI15:AI17)</f>
        <v>161861934</v>
      </c>
      <c r="AJ18" s="448"/>
      <c r="AK18" s="448"/>
      <c r="AL18" s="668"/>
      <c r="AM18" s="448">
        <f>SUM(AM15:AM17)</f>
        <v>60992220</v>
      </c>
      <c r="AN18" s="448">
        <f>SUM(AN15:AN17)</f>
        <v>106061959</v>
      </c>
      <c r="AO18" s="448">
        <f>SUM(AO15:AO17)</f>
        <v>167054179</v>
      </c>
      <c r="AP18" s="759"/>
      <c r="AQ18" s="448"/>
      <c r="AR18" s="759"/>
      <c r="AS18" s="448"/>
      <c r="AT18" s="448">
        <f>SUM(AT15:AT17)</f>
        <v>167054179</v>
      </c>
      <c r="AU18" s="20"/>
      <c r="AV18" s="448">
        <f>SUM(AV15:AV17)</f>
        <v>68258869</v>
      </c>
      <c r="AW18" s="448">
        <f>SUM(AW15:AW17)</f>
        <v>165787403</v>
      </c>
      <c r="AX18" s="448">
        <f>SUM(AX15:AX17)</f>
        <v>234046272</v>
      </c>
      <c r="AY18" s="759"/>
      <c r="AZ18" s="448"/>
      <c r="BA18" s="759"/>
      <c r="BB18" s="448"/>
      <c r="BC18" s="448">
        <f>SUM(BC15:BC17)</f>
        <v>234046272</v>
      </c>
      <c r="BD18" s="53"/>
      <c r="BE18" s="28"/>
      <c r="BF18" s="426">
        <f>SUM(BF15:BF17)</f>
        <v>156134321</v>
      </c>
      <c r="BG18" s="29"/>
      <c r="BH18" s="426">
        <f>SUM(BH15:BH17)</f>
        <v>161224678</v>
      </c>
      <c r="BI18" s="20"/>
    </row>
    <row r="19" spans="2:61" s="1" customFormat="1">
      <c r="B19" s="2" t="s">
        <v>395</v>
      </c>
      <c r="C19" s="16"/>
      <c r="D19" s="217"/>
      <c r="E19" s="217"/>
      <c r="F19" s="1365">
        <f t="shared" si="1"/>
        <v>0</v>
      </c>
      <c r="G19" s="1365">
        <f t="shared" si="0"/>
        <v>0</v>
      </c>
      <c r="H19" s="217"/>
      <c r="I19" s="1384"/>
      <c r="J19" s="217"/>
      <c r="K19" s="1384"/>
      <c r="L19" s="217"/>
      <c r="M19" s="217"/>
      <c r="N19" s="226"/>
      <c r="O19" s="1217"/>
      <c r="P19" s="1480"/>
      <c r="Q19" s="217"/>
      <c r="R19" s="1480"/>
      <c r="S19" s="1481"/>
      <c r="T19" s="1480"/>
      <c r="U19" s="1481"/>
      <c r="V19" s="1480"/>
      <c r="W19" s="1480"/>
      <c r="X19" s="1186"/>
      <c r="Y19" s="118"/>
      <c r="Z19" s="705"/>
      <c r="AA19" s="705"/>
      <c r="AB19" s="253"/>
      <c r="AC19" s="118"/>
      <c r="AD19" s="253"/>
      <c r="AE19" s="118"/>
      <c r="AF19" s="118"/>
      <c r="AG19" s="118"/>
      <c r="AH19" s="208"/>
      <c r="AI19" s="425"/>
      <c r="AJ19" s="425"/>
      <c r="AK19" s="425"/>
      <c r="AL19" s="669"/>
      <c r="AM19" s="425"/>
      <c r="AN19" s="425"/>
      <c r="AO19" s="425"/>
      <c r="AP19" s="760"/>
      <c r="AQ19" s="425"/>
      <c r="AR19" s="760"/>
      <c r="AS19" s="425"/>
      <c r="AT19" s="425"/>
      <c r="AU19" s="130"/>
      <c r="AV19" s="425"/>
      <c r="AW19" s="425"/>
      <c r="AX19" s="425"/>
      <c r="AY19" s="760"/>
      <c r="AZ19" s="425"/>
      <c r="BA19" s="760"/>
      <c r="BB19" s="425"/>
      <c r="BC19" s="425"/>
      <c r="BD19" s="427"/>
      <c r="BE19" s="129"/>
      <c r="BF19" s="222"/>
      <c r="BG19" s="130"/>
      <c r="BH19" s="222"/>
      <c r="BI19" s="17"/>
    </row>
    <row r="20" spans="2:61" s="1" customFormat="1">
      <c r="B20" s="24" t="s">
        <v>396</v>
      </c>
      <c r="C20" s="2"/>
      <c r="D20" s="217"/>
      <c r="E20" s="217"/>
      <c r="F20" s="1365">
        <f t="shared" si="1"/>
        <v>0</v>
      </c>
      <c r="G20" s="1365">
        <f t="shared" si="0"/>
        <v>0</v>
      </c>
      <c r="H20" s="217"/>
      <c r="I20" s="1384"/>
      <c r="J20" s="217"/>
      <c r="K20" s="1384"/>
      <c r="L20" s="217"/>
      <c r="M20" s="217"/>
      <c r="N20" s="226"/>
      <c r="O20" s="1217"/>
      <c r="P20" s="1480"/>
      <c r="Q20" s="217"/>
      <c r="R20" s="1480"/>
      <c r="S20" s="1481"/>
      <c r="T20" s="1480"/>
      <c r="U20" s="1481"/>
      <c r="V20" s="1480"/>
      <c r="W20" s="1480"/>
      <c r="X20" s="1186"/>
      <c r="Y20" s="118"/>
      <c r="Z20" s="705"/>
      <c r="AA20" s="705"/>
      <c r="AB20" s="253"/>
      <c r="AC20" s="118"/>
      <c r="AD20" s="253"/>
      <c r="AE20" s="118"/>
      <c r="AF20" s="118"/>
      <c r="AG20" s="118"/>
      <c r="AH20" s="208"/>
      <c r="AI20" s="427"/>
      <c r="AJ20" s="427"/>
      <c r="AK20" s="427"/>
      <c r="AL20" s="669"/>
      <c r="AM20" s="427"/>
      <c r="AN20" s="427"/>
      <c r="AO20" s="427"/>
      <c r="AP20" s="761"/>
      <c r="AQ20" s="427"/>
      <c r="AR20" s="761"/>
      <c r="AS20" s="427"/>
      <c r="AT20" s="427"/>
      <c r="AU20" s="132"/>
      <c r="AV20" s="427"/>
      <c r="AW20" s="427"/>
      <c r="AX20" s="427"/>
      <c r="AY20" s="761"/>
      <c r="AZ20" s="427"/>
      <c r="BA20" s="761"/>
      <c r="BB20" s="427"/>
      <c r="BC20" s="427"/>
      <c r="BD20" s="427"/>
      <c r="BE20" s="131"/>
      <c r="BF20" s="226"/>
      <c r="BG20" s="132"/>
      <c r="BH20" s="226"/>
      <c r="BI20" s="3"/>
    </row>
    <row r="21" spans="2:61" s="1" customFormat="1">
      <c r="B21" s="8"/>
      <c r="C21" s="13" t="s">
        <v>397</v>
      </c>
      <c r="D21" s="1367">
        <v>0</v>
      </c>
      <c r="E21" s="1367"/>
      <c r="F21" s="1365">
        <f t="shared" si="1"/>
        <v>0</v>
      </c>
      <c r="G21" s="1365">
        <f t="shared" si="0"/>
        <v>0</v>
      </c>
      <c r="H21" s="1367"/>
      <c r="I21" s="1384"/>
      <c r="J21" s="1367"/>
      <c r="K21" s="1384"/>
      <c r="L21" s="1367"/>
      <c r="M21" s="1367">
        <f t="shared" ref="M21:M33" si="2">ROUND((H21+J21-L21),0)</f>
        <v>0</v>
      </c>
      <c r="N21" s="1967"/>
      <c r="O21" s="1057"/>
      <c r="P21" s="1485"/>
      <c r="Q21" s="1367"/>
      <c r="R21" s="1485"/>
      <c r="S21" s="1481"/>
      <c r="T21" s="1485"/>
      <c r="U21" s="1481"/>
      <c r="V21" s="1485"/>
      <c r="W21" s="1485">
        <f t="shared" ref="W21:W30" si="3">ROUND((R21+T21-V21),0)</f>
        <v>0</v>
      </c>
      <c r="X21" s="1189"/>
      <c r="Y21" s="106">
        <v>0</v>
      </c>
      <c r="Z21" s="698"/>
      <c r="AA21" s="697"/>
      <c r="AB21" s="253"/>
      <c r="AC21" s="90"/>
      <c r="AD21" s="253"/>
      <c r="AE21" s="90"/>
      <c r="AF21" s="90">
        <f t="shared" ref="AF21:AF32" si="4">ROUND((AA21+AC21-AE21),0)</f>
        <v>0</v>
      </c>
      <c r="AG21" s="90"/>
      <c r="AH21" s="208"/>
      <c r="AI21" s="14">
        <v>0</v>
      </c>
      <c r="AJ21" s="14"/>
      <c r="AK21" s="14"/>
      <c r="AL21" s="667"/>
      <c r="AM21" s="14">
        <v>822318</v>
      </c>
      <c r="AN21" s="14"/>
      <c r="AO21" s="14">
        <f t="shared" ref="AO21:AO32" si="5">ROUND((AM21+AN21),0)</f>
        <v>822318</v>
      </c>
      <c r="AP21" s="437"/>
      <c r="AQ21" s="14"/>
      <c r="AR21" s="437"/>
      <c r="AS21" s="14"/>
      <c r="AT21" s="14">
        <f t="shared" ref="AT21:AT32" si="6">ROUND((AO21+AQ21-AS21),0)</f>
        <v>822318</v>
      </c>
      <c r="AU21" s="37"/>
      <c r="AV21" s="14">
        <v>1647318</v>
      </c>
      <c r="AW21" s="14"/>
      <c r="AX21" s="14">
        <f t="shared" ref="AX21:AX32" si="7">ROUND((AV21+AW21),0)</f>
        <v>1647318</v>
      </c>
      <c r="AY21" s="437"/>
      <c r="AZ21" s="14"/>
      <c r="BA21" s="437"/>
      <c r="BB21" s="14"/>
      <c r="BC21" s="14">
        <f t="shared" ref="BC21:BC32" si="8">ROUND((AX21+AZ21-BB21),0)</f>
        <v>1647318</v>
      </c>
      <c r="BD21" s="14"/>
      <c r="BE21" s="128"/>
      <c r="BF21" s="220">
        <v>3297318</v>
      </c>
      <c r="BG21" s="37"/>
      <c r="BH21" s="219">
        <v>22051764</v>
      </c>
      <c r="BI21" s="11"/>
    </row>
    <row r="22" spans="2:61" s="1" customFormat="1">
      <c r="B22" s="8"/>
      <c r="C22" s="13" t="s">
        <v>398</v>
      </c>
      <c r="D22" s="1367">
        <v>4433481</v>
      </c>
      <c r="E22" s="1367"/>
      <c r="F22" s="1365">
        <f t="shared" si="1"/>
        <v>4433481</v>
      </c>
      <c r="G22" s="1365">
        <f t="shared" si="0"/>
        <v>0</v>
      </c>
      <c r="H22" s="1367">
        <f t="shared" ref="H22:H28" si="9">ROUND((D22+E22),0)</f>
        <v>4433481</v>
      </c>
      <c r="I22" s="1384"/>
      <c r="J22" s="1367"/>
      <c r="K22" s="1384"/>
      <c r="L22" s="1367"/>
      <c r="M22" s="1367">
        <f t="shared" si="2"/>
        <v>4433481</v>
      </c>
      <c r="N22" s="1967"/>
      <c r="O22" s="1057"/>
      <c r="P22" s="1485">
        <f>ROUND(10743437.9000015,0)</f>
        <v>10743438</v>
      </c>
      <c r="Q22" s="1367"/>
      <c r="R22" s="1485">
        <f t="shared" ref="R22:R28" si="10">ROUND((P22+Q22),0)</f>
        <v>10743438</v>
      </c>
      <c r="S22" s="1481"/>
      <c r="T22" s="1485"/>
      <c r="U22" s="1481"/>
      <c r="V22" s="1485"/>
      <c r="W22" s="1485">
        <f t="shared" si="3"/>
        <v>10743438</v>
      </c>
      <c r="X22" s="1189"/>
      <c r="Y22" s="106">
        <v>6953129</v>
      </c>
      <c r="Z22" s="698"/>
      <c r="AA22" s="697">
        <f t="shared" ref="AA22:AA28" si="11">ROUND((Y22+Z22),0)</f>
        <v>6953129</v>
      </c>
      <c r="AB22" s="253"/>
      <c r="AC22" s="90"/>
      <c r="AD22" s="253"/>
      <c r="AE22" s="90"/>
      <c r="AF22" s="90">
        <f t="shared" si="4"/>
        <v>6953129</v>
      </c>
      <c r="AG22" s="90"/>
      <c r="AH22" s="208"/>
      <c r="AI22" s="14">
        <v>2265171</v>
      </c>
      <c r="AJ22" s="14"/>
      <c r="AK22" s="14"/>
      <c r="AL22" s="667"/>
      <c r="AM22" s="14">
        <v>48509780</v>
      </c>
      <c r="AN22" s="14"/>
      <c r="AO22" s="14">
        <f t="shared" si="5"/>
        <v>48509780</v>
      </c>
      <c r="AP22" s="437"/>
      <c r="AQ22" s="14"/>
      <c r="AR22" s="437"/>
      <c r="AS22" s="14"/>
      <c r="AT22" s="14">
        <f t="shared" si="6"/>
        <v>48509780</v>
      </c>
      <c r="AU22" s="37"/>
      <c r="AV22" s="14">
        <v>3367106</v>
      </c>
      <c r="AW22" s="14"/>
      <c r="AX22" s="14">
        <f t="shared" si="7"/>
        <v>3367106</v>
      </c>
      <c r="AY22" s="437"/>
      <c r="AZ22" s="14"/>
      <c r="BA22" s="437"/>
      <c r="BB22" s="14"/>
      <c r="BC22" s="14">
        <f t="shared" si="8"/>
        <v>3367106</v>
      </c>
      <c r="BD22" s="14"/>
      <c r="BE22" s="128"/>
      <c r="BF22" s="220">
        <v>364262986</v>
      </c>
      <c r="BG22" s="37"/>
      <c r="BH22" s="219">
        <v>2105276</v>
      </c>
      <c r="BI22" s="11"/>
    </row>
    <row r="23" spans="2:61" s="1" customFormat="1">
      <c r="B23" s="84"/>
      <c r="C23" s="4" t="s">
        <v>399</v>
      </c>
      <c r="D23" s="1365">
        <v>15129380</v>
      </c>
      <c r="E23" s="1365"/>
      <c r="F23" s="1365">
        <f t="shared" si="1"/>
        <v>15129380</v>
      </c>
      <c r="G23" s="1365">
        <f t="shared" si="0"/>
        <v>0</v>
      </c>
      <c r="H23" s="1365">
        <f t="shared" si="9"/>
        <v>15129380</v>
      </c>
      <c r="I23" s="1384"/>
      <c r="J23" s="1365"/>
      <c r="K23" s="1384"/>
      <c r="L23" s="1365"/>
      <c r="M23" s="1365">
        <f t="shared" si="2"/>
        <v>15129380</v>
      </c>
      <c r="N23" s="2259"/>
      <c r="O23" s="1058"/>
      <c r="P23" s="1482">
        <f>ROUND(8192147868.13,0)</f>
        <v>8192147868</v>
      </c>
      <c r="Q23" s="1365"/>
      <c r="R23" s="1482">
        <f t="shared" si="10"/>
        <v>8192147868</v>
      </c>
      <c r="S23" s="1481"/>
      <c r="T23" s="1482"/>
      <c r="U23" s="1481"/>
      <c r="V23" s="1482"/>
      <c r="W23" s="1482">
        <f t="shared" si="3"/>
        <v>8192147868</v>
      </c>
      <c r="X23" s="1187"/>
      <c r="Y23" s="90">
        <v>2000000</v>
      </c>
      <c r="Z23" s="697"/>
      <c r="AA23" s="697">
        <f t="shared" si="11"/>
        <v>2000000</v>
      </c>
      <c r="AB23" s="253"/>
      <c r="AC23" s="90"/>
      <c r="AD23" s="253"/>
      <c r="AE23" s="90"/>
      <c r="AF23" s="90">
        <f t="shared" si="4"/>
        <v>2000000</v>
      </c>
      <c r="AG23" s="90"/>
      <c r="AH23" s="208"/>
      <c r="AI23" s="586"/>
      <c r="AJ23" s="586"/>
      <c r="AK23" s="586"/>
      <c r="AL23" s="666"/>
      <c r="AM23" s="586"/>
      <c r="AN23" s="586"/>
      <c r="AO23" s="586">
        <f t="shared" si="5"/>
        <v>0</v>
      </c>
      <c r="AP23" s="761"/>
      <c r="AQ23" s="586"/>
      <c r="AR23" s="761"/>
      <c r="AS23" s="586"/>
      <c r="AT23" s="586">
        <f t="shared" si="6"/>
        <v>0</v>
      </c>
      <c r="AU23" s="127"/>
      <c r="AV23" s="586">
        <v>0</v>
      </c>
      <c r="AW23" s="586"/>
      <c r="AX23" s="586">
        <f t="shared" si="7"/>
        <v>0</v>
      </c>
      <c r="AY23" s="761"/>
      <c r="AZ23" s="586"/>
      <c r="BA23" s="761"/>
      <c r="BB23" s="586"/>
      <c r="BC23" s="586">
        <f t="shared" si="8"/>
        <v>0</v>
      </c>
      <c r="BD23" s="586"/>
      <c r="BE23" s="126"/>
      <c r="BF23" s="587"/>
      <c r="BG23" s="127"/>
      <c r="BH23" s="587"/>
      <c r="BI23" s="6"/>
    </row>
    <row r="24" spans="2:61" s="1" customFormat="1">
      <c r="B24" s="8"/>
      <c r="C24" s="13" t="s">
        <v>400</v>
      </c>
      <c r="D24" s="1367">
        <v>1240726</v>
      </c>
      <c r="E24" s="1367"/>
      <c r="F24" s="1365">
        <f t="shared" si="1"/>
        <v>1240726</v>
      </c>
      <c r="G24" s="1365">
        <f t="shared" si="0"/>
        <v>0</v>
      </c>
      <c r="H24" s="1367">
        <f t="shared" si="9"/>
        <v>1240726</v>
      </c>
      <c r="I24" s="1384"/>
      <c r="J24" s="1367"/>
      <c r="K24" s="1384"/>
      <c r="L24" s="1367"/>
      <c r="M24" s="1367">
        <f t="shared" si="2"/>
        <v>1240726</v>
      </c>
      <c r="N24" s="1967"/>
      <c r="O24" s="1057"/>
      <c r="P24" s="1485">
        <v>7416582</v>
      </c>
      <c r="Q24" s="1367"/>
      <c r="R24" s="1485">
        <f t="shared" si="10"/>
        <v>7416582</v>
      </c>
      <c r="S24" s="1481"/>
      <c r="T24" s="1485"/>
      <c r="U24" s="1481"/>
      <c r="V24" s="1485"/>
      <c r="W24" s="1485">
        <f t="shared" si="3"/>
        <v>7416582</v>
      </c>
      <c r="X24" s="1189"/>
      <c r="Y24" s="106">
        <v>2889324</v>
      </c>
      <c r="Z24" s="698"/>
      <c r="AA24" s="697">
        <f t="shared" si="11"/>
        <v>2889324</v>
      </c>
      <c r="AB24" s="253"/>
      <c r="AC24" s="90"/>
      <c r="AD24" s="253"/>
      <c r="AE24" s="90"/>
      <c r="AF24" s="90">
        <f t="shared" si="4"/>
        <v>2889324</v>
      </c>
      <c r="AG24" s="90"/>
      <c r="AH24" s="208"/>
      <c r="AI24" s="14">
        <v>1432417</v>
      </c>
      <c r="AJ24" s="14"/>
      <c r="AK24" s="14"/>
      <c r="AL24" s="667"/>
      <c r="AM24" s="14">
        <v>1004849</v>
      </c>
      <c r="AN24" s="14"/>
      <c r="AO24" s="14">
        <f t="shared" si="5"/>
        <v>1004849</v>
      </c>
      <c r="AP24" s="437"/>
      <c r="AQ24" s="14"/>
      <c r="AR24" s="437"/>
      <c r="AS24" s="14"/>
      <c r="AT24" s="14">
        <f t="shared" si="6"/>
        <v>1004849</v>
      </c>
      <c r="AU24" s="37"/>
      <c r="AV24" s="14">
        <v>3435278</v>
      </c>
      <c r="AW24" s="14"/>
      <c r="AX24" s="14">
        <f t="shared" si="7"/>
        <v>3435278</v>
      </c>
      <c r="AY24" s="437"/>
      <c r="AZ24" s="14"/>
      <c r="BA24" s="437"/>
      <c r="BB24" s="14"/>
      <c r="BC24" s="14">
        <f t="shared" si="8"/>
        <v>3435278</v>
      </c>
      <c r="BD24" s="14"/>
      <c r="BE24" s="128"/>
      <c r="BF24" s="220">
        <v>4306134</v>
      </c>
      <c r="BG24" s="37"/>
      <c r="BH24" s="219">
        <v>9386921</v>
      </c>
      <c r="BI24" s="11"/>
    </row>
    <row r="25" spans="2:61" s="1" customFormat="1">
      <c r="B25" s="8"/>
      <c r="C25" s="13" t="s">
        <v>401</v>
      </c>
      <c r="D25" s="1367">
        <v>3913648</v>
      </c>
      <c r="E25" s="1367"/>
      <c r="F25" s="1365">
        <f t="shared" si="1"/>
        <v>3913648</v>
      </c>
      <c r="G25" s="1365">
        <f t="shared" si="0"/>
        <v>0</v>
      </c>
      <c r="H25" s="1367">
        <f t="shared" si="9"/>
        <v>3913648</v>
      </c>
      <c r="I25" s="1384"/>
      <c r="J25" s="1367"/>
      <c r="K25" s="1384"/>
      <c r="L25" s="1367"/>
      <c r="M25" s="1367">
        <f t="shared" si="2"/>
        <v>3913648</v>
      </c>
      <c r="N25" s="1967"/>
      <c r="O25" s="1057"/>
      <c r="P25" s="1485">
        <v>4058511</v>
      </c>
      <c r="Q25" s="1367"/>
      <c r="R25" s="1485">
        <f t="shared" si="10"/>
        <v>4058511</v>
      </c>
      <c r="S25" s="1481"/>
      <c r="T25" s="1485"/>
      <c r="U25" s="1481"/>
      <c r="V25" s="1485"/>
      <c r="W25" s="1485">
        <f t="shared" si="3"/>
        <v>4058511</v>
      </c>
      <c r="X25" s="1189"/>
      <c r="Y25" s="106">
        <v>4203129</v>
      </c>
      <c r="Z25" s="698"/>
      <c r="AA25" s="697">
        <f t="shared" si="11"/>
        <v>4203129</v>
      </c>
      <c r="AB25" s="253"/>
      <c r="AC25" s="90"/>
      <c r="AD25" s="253"/>
      <c r="AE25" s="90"/>
      <c r="AF25" s="90">
        <f t="shared" si="4"/>
        <v>4203129</v>
      </c>
      <c r="AG25" s="90"/>
      <c r="AH25" s="208"/>
      <c r="AI25" s="14">
        <v>4766585</v>
      </c>
      <c r="AJ25" s="14"/>
      <c r="AK25" s="14"/>
      <c r="AL25" s="667"/>
      <c r="AM25" s="14">
        <v>57855666</v>
      </c>
      <c r="AN25" s="14"/>
      <c r="AO25" s="14">
        <f t="shared" si="5"/>
        <v>57855666</v>
      </c>
      <c r="AP25" s="437"/>
      <c r="AQ25" s="14"/>
      <c r="AR25" s="437"/>
      <c r="AS25" s="14"/>
      <c r="AT25" s="14">
        <f t="shared" si="6"/>
        <v>57855666</v>
      </c>
      <c r="AU25" s="37"/>
      <c r="AV25" s="14">
        <v>1075248406</v>
      </c>
      <c r="AW25" s="14"/>
      <c r="AX25" s="14">
        <f t="shared" si="7"/>
        <v>1075248406</v>
      </c>
      <c r="AY25" s="437"/>
      <c r="AZ25" s="14"/>
      <c r="BA25" s="437"/>
      <c r="BB25" s="14"/>
      <c r="BC25" s="14">
        <f t="shared" si="8"/>
        <v>1075248406</v>
      </c>
      <c r="BD25" s="14"/>
      <c r="BE25" s="128"/>
      <c r="BF25" s="220">
        <v>1129932080</v>
      </c>
      <c r="BG25" s="37"/>
      <c r="BH25" s="221">
        <v>17089985</v>
      </c>
      <c r="BI25" s="11"/>
    </row>
    <row r="26" spans="2:61" s="1" customFormat="1">
      <c r="B26" s="8"/>
      <c r="C26" s="13" t="s">
        <v>402</v>
      </c>
      <c r="D26" s="1367">
        <v>726595</v>
      </c>
      <c r="E26" s="1367"/>
      <c r="F26" s="1365">
        <f t="shared" si="1"/>
        <v>726595</v>
      </c>
      <c r="G26" s="1365">
        <f t="shared" si="0"/>
        <v>0</v>
      </c>
      <c r="H26" s="1367">
        <f t="shared" si="9"/>
        <v>726595</v>
      </c>
      <c r="I26" s="1384"/>
      <c r="J26" s="1367"/>
      <c r="K26" s="1384"/>
      <c r="L26" s="1367"/>
      <c r="M26" s="1367">
        <f t="shared" si="2"/>
        <v>726595</v>
      </c>
      <c r="N26" s="1967"/>
      <c r="O26" s="1057"/>
      <c r="P26" s="1485">
        <v>816635</v>
      </c>
      <c r="Q26" s="1367"/>
      <c r="R26" s="1485">
        <f t="shared" si="10"/>
        <v>816635</v>
      </c>
      <c r="S26" s="1481"/>
      <c r="T26" s="1485"/>
      <c r="U26" s="1481"/>
      <c r="V26" s="1485"/>
      <c r="W26" s="1485">
        <f t="shared" si="3"/>
        <v>816635</v>
      </c>
      <c r="X26" s="1189"/>
      <c r="Y26" s="106">
        <v>901635</v>
      </c>
      <c r="Z26" s="698"/>
      <c r="AA26" s="697">
        <f t="shared" si="11"/>
        <v>901635</v>
      </c>
      <c r="AB26" s="253"/>
      <c r="AC26" s="90"/>
      <c r="AD26" s="253"/>
      <c r="AE26" s="90"/>
      <c r="AF26" s="90">
        <f t="shared" si="4"/>
        <v>901635</v>
      </c>
      <c r="AG26" s="90"/>
      <c r="AH26" s="208"/>
      <c r="AI26" s="14">
        <v>1056635</v>
      </c>
      <c r="AJ26" s="14"/>
      <c r="AK26" s="14"/>
      <c r="AL26" s="667"/>
      <c r="AM26" s="14">
        <v>1361833271</v>
      </c>
      <c r="AN26" s="14"/>
      <c r="AO26" s="14">
        <f t="shared" si="5"/>
        <v>1361833271</v>
      </c>
      <c r="AP26" s="437"/>
      <c r="AQ26" s="14"/>
      <c r="AR26" s="437"/>
      <c r="AS26" s="14"/>
      <c r="AT26" s="14">
        <f t="shared" si="6"/>
        <v>1361833271</v>
      </c>
      <c r="AU26" s="37"/>
      <c r="AV26" s="14">
        <v>1361249451</v>
      </c>
      <c r="AW26" s="14"/>
      <c r="AX26" s="14">
        <f t="shared" si="7"/>
        <v>1361249451</v>
      </c>
      <c r="AY26" s="437"/>
      <c r="AZ26" s="14"/>
      <c r="BA26" s="437"/>
      <c r="BB26" s="14"/>
      <c r="BC26" s="14">
        <f t="shared" si="8"/>
        <v>1361249451</v>
      </c>
      <c r="BD26" s="14"/>
      <c r="BE26" s="128"/>
      <c r="BF26" s="220">
        <v>1362643218</v>
      </c>
      <c r="BG26" s="37"/>
      <c r="BH26" s="221">
        <v>1372702466</v>
      </c>
      <c r="BI26" s="11"/>
    </row>
    <row r="27" spans="2:61" s="1" customFormat="1">
      <c r="B27" s="8" t="s">
        <v>403</v>
      </c>
      <c r="C27" s="13" t="s">
        <v>404</v>
      </c>
      <c r="D27" s="1367">
        <v>683621</v>
      </c>
      <c r="E27" s="1367">
        <f>ROUND(212809.72,0)</f>
        <v>212810</v>
      </c>
      <c r="F27" s="1365">
        <f t="shared" si="1"/>
        <v>896431</v>
      </c>
      <c r="G27" s="1365">
        <f t="shared" si="0"/>
        <v>0</v>
      </c>
      <c r="H27" s="1367">
        <f t="shared" si="9"/>
        <v>896431</v>
      </c>
      <c r="I27" s="1384"/>
      <c r="J27" s="1367"/>
      <c r="K27" s="1384"/>
      <c r="L27" s="1367"/>
      <c r="M27" s="1367">
        <f t="shared" si="2"/>
        <v>896431</v>
      </c>
      <c r="N27" s="1967"/>
      <c r="O27" s="1057"/>
      <c r="P27" s="1485">
        <f>ROUND(769578.893472222,0)</f>
        <v>769579</v>
      </c>
      <c r="Q27" s="1367">
        <f>ROUND(301158.865138889,0)</f>
        <v>301159</v>
      </c>
      <c r="R27" s="1485">
        <f t="shared" si="10"/>
        <v>1070738</v>
      </c>
      <c r="S27" s="1481"/>
      <c r="T27" s="1485"/>
      <c r="U27" s="1481"/>
      <c r="V27" s="1485"/>
      <c r="W27" s="1485">
        <f t="shared" si="3"/>
        <v>1070738</v>
      </c>
      <c r="X27" s="1189"/>
      <c r="Y27" s="106">
        <v>862330</v>
      </c>
      <c r="Z27" s="698">
        <v>392159</v>
      </c>
      <c r="AA27" s="697">
        <f t="shared" si="11"/>
        <v>1254489</v>
      </c>
      <c r="AB27" s="253"/>
      <c r="AC27" s="90"/>
      <c r="AD27" s="253"/>
      <c r="AE27" s="90"/>
      <c r="AF27" s="90">
        <f t="shared" si="4"/>
        <v>1254489</v>
      </c>
      <c r="AG27" s="90"/>
      <c r="AH27" s="208"/>
      <c r="AI27" s="14">
        <v>2669146</v>
      </c>
      <c r="AJ27" s="14"/>
      <c r="AK27" s="14"/>
      <c r="AL27" s="667"/>
      <c r="AM27" s="14">
        <v>2372570</v>
      </c>
      <c r="AN27" s="14">
        <v>660422</v>
      </c>
      <c r="AO27" s="14">
        <f t="shared" si="5"/>
        <v>3032992</v>
      </c>
      <c r="AP27" s="437"/>
      <c r="AQ27" s="14"/>
      <c r="AR27" s="437"/>
      <c r="AS27" s="14"/>
      <c r="AT27" s="14">
        <f t="shared" si="6"/>
        <v>3032992</v>
      </c>
      <c r="AU27" s="37"/>
      <c r="AV27" s="14">
        <v>2663885</v>
      </c>
      <c r="AW27" s="14">
        <v>749649</v>
      </c>
      <c r="AX27" s="14">
        <f t="shared" si="7"/>
        <v>3413534</v>
      </c>
      <c r="AY27" s="437"/>
      <c r="AZ27" s="14"/>
      <c r="BA27" s="437"/>
      <c r="BB27" s="14"/>
      <c r="BC27" s="14">
        <f t="shared" si="8"/>
        <v>3413534</v>
      </c>
      <c r="BD27" s="14"/>
      <c r="BE27" s="128"/>
      <c r="BF27" s="220">
        <v>3931829</v>
      </c>
      <c r="BG27" s="37"/>
      <c r="BH27" s="221">
        <v>5089373</v>
      </c>
      <c r="BI27" s="11"/>
    </row>
    <row r="28" spans="2:61" s="1" customFormat="1">
      <c r="B28" s="8" t="s">
        <v>403</v>
      </c>
      <c r="C28" s="13" t="s">
        <v>405</v>
      </c>
      <c r="D28" s="1367">
        <v>67213934</v>
      </c>
      <c r="E28" s="1367">
        <f>ROUND(43547299,0)</f>
        <v>43547299</v>
      </c>
      <c r="F28" s="1365">
        <f t="shared" si="1"/>
        <v>110761233</v>
      </c>
      <c r="G28" s="1365">
        <f t="shared" si="0"/>
        <v>0</v>
      </c>
      <c r="H28" s="1367">
        <f t="shared" si="9"/>
        <v>110761233</v>
      </c>
      <c r="I28" s="1384"/>
      <c r="J28" s="1367"/>
      <c r="K28" s="1384"/>
      <c r="L28" s="1367"/>
      <c r="M28" s="1367">
        <f t="shared" si="2"/>
        <v>110761233</v>
      </c>
      <c r="N28" s="1967"/>
      <c r="O28" s="1057"/>
      <c r="P28" s="1485">
        <v>46506026</v>
      </c>
      <c r="Q28" s="1367">
        <f>ROUND(20375141.1199951,0)</f>
        <v>20375141</v>
      </c>
      <c r="R28" s="1485">
        <f t="shared" si="10"/>
        <v>66881167</v>
      </c>
      <c r="S28" s="1481"/>
      <c r="T28" s="1485"/>
      <c r="U28" s="1481"/>
      <c r="V28" s="1485"/>
      <c r="W28" s="1485">
        <f t="shared" si="3"/>
        <v>66881167</v>
      </c>
      <c r="X28" s="1189"/>
      <c r="Y28" s="106">
        <v>205777386</v>
      </c>
      <c r="Z28" s="698">
        <v>86009417</v>
      </c>
      <c r="AA28" s="697">
        <f t="shared" si="11"/>
        <v>291786803</v>
      </c>
      <c r="AB28" s="253"/>
      <c r="AC28" s="90"/>
      <c r="AD28" s="253"/>
      <c r="AE28" s="90"/>
      <c r="AF28" s="90">
        <f t="shared" si="4"/>
        <v>291786803</v>
      </c>
      <c r="AG28" s="90"/>
      <c r="AH28" s="208"/>
      <c r="AI28" s="14">
        <v>42918157</v>
      </c>
      <c r="AJ28" s="14"/>
      <c r="AK28" s="14"/>
      <c r="AL28" s="667"/>
      <c r="AM28" s="14">
        <v>166397714</v>
      </c>
      <c r="AN28" s="14">
        <v>578492495</v>
      </c>
      <c r="AO28" s="14">
        <f t="shared" si="5"/>
        <v>744890209</v>
      </c>
      <c r="AP28" s="437"/>
      <c r="AQ28" s="14"/>
      <c r="AR28" s="437"/>
      <c r="AS28" s="14"/>
      <c r="AT28" s="14">
        <f t="shared" si="6"/>
        <v>744890209</v>
      </c>
      <c r="AU28" s="37"/>
      <c r="AV28" s="14">
        <v>5738942</v>
      </c>
      <c r="AW28" s="14">
        <v>250931552</v>
      </c>
      <c r="AX28" s="14">
        <f t="shared" si="7"/>
        <v>256670494</v>
      </c>
      <c r="AY28" s="437"/>
      <c r="AZ28" s="14"/>
      <c r="BA28" s="437"/>
      <c r="BB28" s="14"/>
      <c r="BC28" s="14">
        <f t="shared" si="8"/>
        <v>256670494</v>
      </c>
      <c r="BD28" s="14"/>
      <c r="BE28" s="128"/>
      <c r="BF28" s="220">
        <v>414748648</v>
      </c>
      <c r="BG28" s="37"/>
      <c r="BH28" s="219">
        <v>0</v>
      </c>
      <c r="BI28" s="11"/>
    </row>
    <row r="29" spans="2:61" s="1" customFormat="1">
      <c r="B29" s="8"/>
      <c r="C29" s="13" t="s">
        <v>406</v>
      </c>
      <c r="D29" s="1367">
        <v>0</v>
      </c>
      <c r="E29" s="1367"/>
      <c r="F29" s="1365">
        <f t="shared" si="1"/>
        <v>0</v>
      </c>
      <c r="G29" s="1365">
        <f t="shared" si="0"/>
        <v>0</v>
      </c>
      <c r="H29" s="1367"/>
      <c r="I29" s="1384"/>
      <c r="J29" s="1367"/>
      <c r="K29" s="1384"/>
      <c r="L29" s="1367"/>
      <c r="M29" s="1367">
        <f t="shared" si="2"/>
        <v>0</v>
      </c>
      <c r="N29" s="1967"/>
      <c r="O29" s="1058"/>
      <c r="P29" s="1485"/>
      <c r="Q29" s="1367"/>
      <c r="R29" s="1485"/>
      <c r="S29" s="1481"/>
      <c r="T29" s="1485"/>
      <c r="U29" s="1481"/>
      <c r="V29" s="1485"/>
      <c r="W29" s="1485">
        <f t="shared" si="3"/>
        <v>0</v>
      </c>
      <c r="X29" s="1187"/>
      <c r="Y29" s="106"/>
      <c r="Z29" s="698">
        <v>0</v>
      </c>
      <c r="AA29" s="697"/>
      <c r="AB29" s="253"/>
      <c r="AC29" s="90"/>
      <c r="AD29" s="253"/>
      <c r="AE29" s="90"/>
      <c r="AF29" s="90">
        <f t="shared" si="4"/>
        <v>0</v>
      </c>
      <c r="AG29" s="90"/>
      <c r="AH29" s="208"/>
      <c r="AI29" s="14">
        <v>794277</v>
      </c>
      <c r="AJ29" s="14"/>
      <c r="AK29" s="14"/>
      <c r="AL29" s="667"/>
      <c r="AM29" s="14">
        <v>3002177</v>
      </c>
      <c r="AN29" s="14"/>
      <c r="AO29" s="14">
        <f t="shared" si="5"/>
        <v>3002177</v>
      </c>
      <c r="AP29" s="437"/>
      <c r="AQ29" s="14"/>
      <c r="AR29" s="437"/>
      <c r="AS29" s="14"/>
      <c r="AT29" s="14">
        <f t="shared" si="6"/>
        <v>3002177</v>
      </c>
      <c r="AU29" s="37"/>
      <c r="AV29" s="14">
        <v>2635177</v>
      </c>
      <c r="AW29" s="14"/>
      <c r="AX29" s="14">
        <f t="shared" si="7"/>
        <v>2635177</v>
      </c>
      <c r="AY29" s="437"/>
      <c r="AZ29" s="14"/>
      <c r="BA29" s="437"/>
      <c r="BB29" s="14"/>
      <c r="BC29" s="14">
        <f t="shared" si="8"/>
        <v>2635177</v>
      </c>
      <c r="BD29" s="14"/>
      <c r="BE29" s="128"/>
      <c r="BF29" s="220"/>
      <c r="BG29" s="37"/>
      <c r="BH29" s="219"/>
      <c r="BI29" s="11"/>
    </row>
    <row r="30" spans="2:61" s="1" customFormat="1">
      <c r="B30" s="8" t="s">
        <v>407</v>
      </c>
      <c r="C30" s="13" t="s">
        <v>408</v>
      </c>
      <c r="D30" s="1367"/>
      <c r="E30" s="1367">
        <f>ROUND(1781824.72,0)</f>
        <v>1781825</v>
      </c>
      <c r="F30" s="1365">
        <f t="shared" si="1"/>
        <v>1781825</v>
      </c>
      <c r="G30" s="1365">
        <f t="shared" si="0"/>
        <v>0</v>
      </c>
      <c r="H30" s="1367">
        <f>ROUND((D30+E30),0)</f>
        <v>1781825</v>
      </c>
      <c r="I30" s="1384"/>
      <c r="J30" s="1367"/>
      <c r="K30" s="1384"/>
      <c r="L30" s="1367"/>
      <c r="M30" s="1367">
        <f t="shared" si="2"/>
        <v>1781825</v>
      </c>
      <c r="N30" s="1967"/>
      <c r="O30" s="1058"/>
      <c r="P30" s="1485"/>
      <c r="Q30" s="1367">
        <f>ROUND(16383216.0399933,0)</f>
        <v>16383216</v>
      </c>
      <c r="R30" s="1485">
        <f>ROUND((P30+Q30),0)</f>
        <v>16383216</v>
      </c>
      <c r="S30" s="1481"/>
      <c r="T30" s="1485"/>
      <c r="U30" s="1481"/>
      <c r="V30" s="1485"/>
      <c r="W30" s="1485">
        <f t="shared" si="3"/>
        <v>16383216</v>
      </c>
      <c r="X30" s="1187"/>
      <c r="Y30" s="106"/>
      <c r="Z30" s="698">
        <v>16374959</v>
      </c>
      <c r="AA30" s="697">
        <f>ROUND((Y30+Z30),0)</f>
        <v>16374959</v>
      </c>
      <c r="AB30" s="253"/>
      <c r="AC30" s="90"/>
      <c r="AD30" s="253"/>
      <c r="AE30" s="90"/>
      <c r="AF30" s="90">
        <f t="shared" si="4"/>
        <v>16374959</v>
      </c>
      <c r="AG30" s="90"/>
      <c r="AH30" s="208"/>
      <c r="AI30" s="14">
        <v>8242078</v>
      </c>
      <c r="AJ30" s="14"/>
      <c r="AK30" s="14"/>
      <c r="AL30" s="667"/>
      <c r="AM30" s="14"/>
      <c r="AN30" s="14">
        <v>53444464</v>
      </c>
      <c r="AO30" s="14">
        <f t="shared" si="5"/>
        <v>53444464</v>
      </c>
      <c r="AP30" s="437"/>
      <c r="AQ30" s="14"/>
      <c r="AR30" s="437"/>
      <c r="AS30" s="14"/>
      <c r="AT30" s="14">
        <f t="shared" si="6"/>
        <v>53444464</v>
      </c>
      <c r="AU30" s="37"/>
      <c r="AV30" s="14"/>
      <c r="AW30" s="14">
        <v>119906147</v>
      </c>
      <c r="AX30" s="14">
        <f t="shared" si="7"/>
        <v>119906147</v>
      </c>
      <c r="AY30" s="437"/>
      <c r="AZ30" s="14"/>
      <c r="BA30" s="437"/>
      <c r="BB30" s="14"/>
      <c r="BC30" s="14">
        <f t="shared" si="8"/>
        <v>119906147</v>
      </c>
      <c r="BD30" s="14"/>
      <c r="BE30" s="128"/>
      <c r="BF30" s="220">
        <v>626284375</v>
      </c>
      <c r="BG30" s="37"/>
      <c r="BH30" s="221">
        <v>0</v>
      </c>
      <c r="BI30" s="11"/>
    </row>
    <row r="31" spans="2:61" s="1" customFormat="1">
      <c r="B31" s="8" t="s">
        <v>407</v>
      </c>
      <c r="C31" s="13" t="s">
        <v>409</v>
      </c>
      <c r="D31" s="1367"/>
      <c r="E31" s="1367"/>
      <c r="F31" s="1365">
        <f t="shared" si="1"/>
        <v>0</v>
      </c>
      <c r="G31" s="1365">
        <f t="shared" si="0"/>
        <v>0</v>
      </c>
      <c r="H31" s="1367">
        <f t="shared" ref="H31:H33" si="12">ROUND((D31+E31),0)</f>
        <v>0</v>
      </c>
      <c r="I31" s="1384"/>
      <c r="J31" s="1367"/>
      <c r="K31" s="1384"/>
      <c r="L31" s="1367"/>
      <c r="M31" s="1367">
        <f t="shared" si="2"/>
        <v>0</v>
      </c>
      <c r="N31" s="1967"/>
      <c r="O31" s="1058"/>
      <c r="P31" s="1485"/>
      <c r="Q31" s="1367"/>
      <c r="R31" s="1485">
        <f t="shared" ref="R31:R33" si="13">ROUND((P31+Q31),0)</f>
        <v>0</v>
      </c>
      <c r="S31" s="1481"/>
      <c r="T31" s="1485"/>
      <c r="U31" s="1481"/>
      <c r="V31" s="1485"/>
      <c r="W31" s="1485">
        <f t="shared" ref="W31:W33" si="14">ROUND((R31+T31-V31),0)</f>
        <v>0</v>
      </c>
      <c r="X31" s="1187"/>
      <c r="Y31" s="106"/>
      <c r="Z31" s="698"/>
      <c r="AA31" s="697"/>
      <c r="AB31" s="253"/>
      <c r="AC31" s="90"/>
      <c r="AD31" s="253"/>
      <c r="AE31" s="90"/>
      <c r="AF31" s="90">
        <f t="shared" si="4"/>
        <v>0</v>
      </c>
      <c r="AG31" s="90"/>
      <c r="AH31" s="208"/>
      <c r="AI31" s="14">
        <v>0</v>
      </c>
      <c r="AJ31" s="14"/>
      <c r="AK31" s="14"/>
      <c r="AL31" s="667"/>
      <c r="AM31" s="14"/>
      <c r="AN31" s="14"/>
      <c r="AO31" s="14">
        <f t="shared" si="5"/>
        <v>0</v>
      </c>
      <c r="AP31" s="437"/>
      <c r="AQ31" s="14"/>
      <c r="AR31" s="437"/>
      <c r="AS31" s="14"/>
      <c r="AT31" s="14">
        <f t="shared" si="6"/>
        <v>0</v>
      </c>
      <c r="AU31" s="37"/>
      <c r="AV31" s="14"/>
      <c r="AW31" s="14"/>
      <c r="AX31" s="14">
        <f t="shared" si="7"/>
        <v>0</v>
      </c>
      <c r="AY31" s="437"/>
      <c r="AZ31" s="14"/>
      <c r="BA31" s="437"/>
      <c r="BB31" s="14"/>
      <c r="BC31" s="14">
        <f t="shared" si="8"/>
        <v>0</v>
      </c>
      <c r="BD31" s="14"/>
      <c r="BE31" s="128"/>
      <c r="BF31" s="220">
        <v>0</v>
      </c>
      <c r="BG31" s="37"/>
      <c r="BH31" s="219">
        <v>0</v>
      </c>
      <c r="BI31" s="11"/>
    </row>
    <row r="32" spans="2:61" s="1" customFormat="1">
      <c r="B32" s="8" t="s">
        <v>407</v>
      </c>
      <c r="C32" s="13" t="s">
        <v>410</v>
      </c>
      <c r="D32" s="1367"/>
      <c r="E32" s="1367"/>
      <c r="F32" s="1365">
        <f t="shared" si="1"/>
        <v>0</v>
      </c>
      <c r="G32" s="1365">
        <f t="shared" si="0"/>
        <v>0</v>
      </c>
      <c r="H32" s="1367">
        <f t="shared" si="12"/>
        <v>0</v>
      </c>
      <c r="I32" s="1384"/>
      <c r="J32" s="1367"/>
      <c r="K32" s="1384"/>
      <c r="L32" s="1367"/>
      <c r="M32" s="1367">
        <f t="shared" si="2"/>
        <v>0</v>
      </c>
      <c r="N32" s="1967"/>
      <c r="O32" s="1058"/>
      <c r="P32" s="1485"/>
      <c r="Q32" s="1367"/>
      <c r="R32" s="1485">
        <f t="shared" si="13"/>
        <v>0</v>
      </c>
      <c r="S32" s="1481"/>
      <c r="T32" s="1485"/>
      <c r="U32" s="1481"/>
      <c r="V32" s="1485"/>
      <c r="W32" s="1485">
        <f t="shared" si="14"/>
        <v>0</v>
      </c>
      <c r="X32" s="1187"/>
      <c r="Y32" s="106"/>
      <c r="Z32" s="698"/>
      <c r="AA32" s="697"/>
      <c r="AB32" s="253"/>
      <c r="AC32" s="90"/>
      <c r="AD32" s="253"/>
      <c r="AE32" s="90"/>
      <c r="AF32" s="90">
        <f t="shared" si="4"/>
        <v>0</v>
      </c>
      <c r="AG32" s="90"/>
      <c r="AH32" s="208"/>
      <c r="AI32" s="14">
        <v>0</v>
      </c>
      <c r="AJ32" s="14"/>
      <c r="AK32" s="14"/>
      <c r="AL32" s="667"/>
      <c r="AM32" s="14"/>
      <c r="AN32" s="14"/>
      <c r="AO32" s="14">
        <f t="shared" si="5"/>
        <v>0</v>
      </c>
      <c r="AP32" s="437"/>
      <c r="AQ32" s="14"/>
      <c r="AR32" s="437"/>
      <c r="AS32" s="14"/>
      <c r="AT32" s="14">
        <f t="shared" si="6"/>
        <v>0</v>
      </c>
      <c r="AU32" s="37"/>
      <c r="AV32" s="14"/>
      <c r="AW32" s="14"/>
      <c r="AX32" s="14">
        <f t="shared" si="7"/>
        <v>0</v>
      </c>
      <c r="AY32" s="437"/>
      <c r="AZ32" s="14"/>
      <c r="BA32" s="437"/>
      <c r="BB32" s="14"/>
      <c r="BC32" s="14">
        <f t="shared" si="8"/>
        <v>0</v>
      </c>
      <c r="BD32" s="14"/>
      <c r="BE32" s="128"/>
      <c r="BF32" s="220">
        <v>0</v>
      </c>
      <c r="BG32" s="37"/>
      <c r="BH32" s="221">
        <v>253436672</v>
      </c>
      <c r="BI32" s="11"/>
    </row>
    <row r="33" spans="2:61" s="1" customFormat="1">
      <c r="B33" s="8"/>
      <c r="C33" s="13" t="s">
        <v>411</v>
      </c>
      <c r="D33" s="1367">
        <v>50621267</v>
      </c>
      <c r="E33" s="1367"/>
      <c r="F33" s="1365">
        <f t="shared" si="1"/>
        <v>50621267</v>
      </c>
      <c r="G33" s="1365">
        <f t="shared" si="0"/>
        <v>0</v>
      </c>
      <c r="H33" s="1367">
        <f t="shared" si="12"/>
        <v>50621267</v>
      </c>
      <c r="I33" s="1384"/>
      <c r="J33" s="1367"/>
      <c r="K33" s="1384"/>
      <c r="L33" s="1367"/>
      <c r="M33" s="1367">
        <f t="shared" si="2"/>
        <v>50621267</v>
      </c>
      <c r="N33" s="1967"/>
      <c r="O33" s="1058"/>
      <c r="P33" s="1485">
        <v>609796408</v>
      </c>
      <c r="Q33" s="1367"/>
      <c r="R33" s="1485">
        <f t="shared" si="13"/>
        <v>609796408</v>
      </c>
      <c r="S33" s="1481"/>
      <c r="T33" s="1485"/>
      <c r="U33" s="1481"/>
      <c r="V33" s="1485"/>
      <c r="W33" s="1485">
        <f t="shared" si="14"/>
        <v>609796408</v>
      </c>
      <c r="X33" s="1187"/>
      <c r="Y33" s="106"/>
      <c r="Z33" s="698"/>
      <c r="AA33" s="697"/>
      <c r="AB33" s="253"/>
      <c r="AC33" s="90"/>
      <c r="AD33" s="253"/>
      <c r="AE33" s="90"/>
      <c r="AF33" s="90"/>
      <c r="AG33" s="90"/>
      <c r="AH33" s="208"/>
      <c r="AI33" s="14"/>
      <c r="AJ33" s="14"/>
      <c r="AK33" s="14"/>
      <c r="AL33" s="667"/>
      <c r="AM33" s="14"/>
      <c r="AN33" s="14"/>
      <c r="AO33" s="14"/>
      <c r="AP33" s="437"/>
      <c r="AQ33" s="14"/>
      <c r="AR33" s="437"/>
      <c r="AS33" s="14"/>
      <c r="AT33" s="14"/>
      <c r="AU33" s="37"/>
      <c r="AV33" s="14"/>
      <c r="AW33" s="14"/>
      <c r="AX33" s="14"/>
      <c r="AY33" s="437"/>
      <c r="AZ33" s="14"/>
      <c r="BA33" s="437"/>
      <c r="BB33" s="14"/>
      <c r="BC33" s="14"/>
      <c r="BD33" s="14"/>
      <c r="BE33" s="128"/>
      <c r="BF33" s="220"/>
      <c r="BG33" s="37"/>
      <c r="BH33" s="221"/>
      <c r="BI33" s="11"/>
    </row>
    <row r="34" spans="2:61" s="1" customFormat="1">
      <c r="B34" s="22" t="s">
        <v>412</v>
      </c>
      <c r="C34" s="13"/>
      <c r="D34" s="1367"/>
      <c r="E34" s="1367"/>
      <c r="F34" s="1365">
        <f t="shared" si="1"/>
        <v>0</v>
      </c>
      <c r="G34" s="1365">
        <f t="shared" si="0"/>
        <v>0</v>
      </c>
      <c r="H34" s="1367"/>
      <c r="I34" s="1384"/>
      <c r="J34" s="1367"/>
      <c r="K34" s="1384"/>
      <c r="L34" s="1367"/>
      <c r="M34" s="1367"/>
      <c r="N34" s="1967"/>
      <c r="O34" s="1058"/>
      <c r="P34" s="1485"/>
      <c r="Q34" s="1367"/>
      <c r="R34" s="1485"/>
      <c r="S34" s="1481"/>
      <c r="T34" s="1485"/>
      <c r="U34" s="1481"/>
      <c r="V34" s="1485"/>
      <c r="W34" s="1485"/>
      <c r="X34" s="1187"/>
      <c r="Y34" s="106"/>
      <c r="Z34" s="698"/>
      <c r="AA34" s="698"/>
      <c r="AB34" s="253"/>
      <c r="AC34" s="106"/>
      <c r="AD34" s="253"/>
      <c r="AE34" s="106"/>
      <c r="AF34" s="106"/>
      <c r="AG34" s="106"/>
      <c r="AH34" s="208"/>
      <c r="AI34" s="9"/>
      <c r="AJ34" s="9"/>
      <c r="AK34" s="9"/>
      <c r="AL34" s="667"/>
      <c r="AM34" s="9"/>
      <c r="AN34" s="9"/>
      <c r="AO34" s="9"/>
      <c r="AP34" s="769"/>
      <c r="AQ34" s="9"/>
      <c r="AR34" s="769"/>
      <c r="AS34" s="9"/>
      <c r="AT34" s="9"/>
      <c r="AU34" s="37"/>
      <c r="AV34" s="9"/>
      <c r="AW34" s="9"/>
      <c r="AX34" s="9"/>
      <c r="AY34" s="769"/>
      <c r="AZ34" s="9"/>
      <c r="BA34" s="769"/>
      <c r="BB34" s="9"/>
      <c r="BC34" s="9"/>
      <c r="BD34" s="14"/>
      <c r="BE34" s="128"/>
      <c r="BF34" s="219"/>
      <c r="BG34" s="37"/>
      <c r="BH34" s="219"/>
      <c r="BI34" s="11"/>
    </row>
    <row r="35" spans="2:61" s="1" customFormat="1">
      <c r="B35" s="8" t="s">
        <v>403</v>
      </c>
      <c r="C35" s="13" t="s">
        <v>413</v>
      </c>
      <c r="D35" s="1367">
        <v>12106954</v>
      </c>
      <c r="E35" s="1367"/>
      <c r="F35" s="1365">
        <f t="shared" si="1"/>
        <v>12106954</v>
      </c>
      <c r="G35" s="1365">
        <f t="shared" si="0"/>
        <v>0</v>
      </c>
      <c r="H35" s="1367">
        <f t="shared" ref="H35:H41" si="15">ROUND((D35+E35),0)</f>
        <v>12106954</v>
      </c>
      <c r="I35" s="1384"/>
      <c r="J35" s="1367"/>
      <c r="K35" s="1384"/>
      <c r="L35" s="1367"/>
      <c r="M35" s="1367">
        <f t="shared" ref="M35:M44" si="16">ROUND((H35+J35-L35),0)</f>
        <v>12106954</v>
      </c>
      <c r="N35" s="1967"/>
      <c r="O35" s="1058"/>
      <c r="P35" s="1485">
        <v>1707866</v>
      </c>
      <c r="Q35" s="1367">
        <f>ROUND(1061022.81,0)</f>
        <v>1061023</v>
      </c>
      <c r="R35" s="1485">
        <f t="shared" ref="R35:R41" si="17">ROUND((P35+Q35),0)</f>
        <v>2768889</v>
      </c>
      <c r="S35" s="1481"/>
      <c r="T35" s="1485"/>
      <c r="U35" s="1481"/>
      <c r="V35" s="1485"/>
      <c r="W35" s="1485">
        <f t="shared" ref="W35:W44" si="18">ROUND((R35+T35-V35),0)</f>
        <v>2768889</v>
      </c>
      <c r="X35" s="1187"/>
      <c r="Y35" s="106">
        <v>1852614</v>
      </c>
      <c r="Z35" s="698">
        <v>1150948</v>
      </c>
      <c r="AA35" s="698">
        <f t="shared" ref="AA35:AA41" si="19">ROUND((Y35+Z35),0)</f>
        <v>3003562</v>
      </c>
      <c r="AB35" s="253"/>
      <c r="AC35" s="106"/>
      <c r="AD35" s="253"/>
      <c r="AE35" s="106"/>
      <c r="AF35" s="106">
        <f t="shared" ref="AF35:AF44" si="20">ROUND((AA35+AC35-AE35),0)</f>
        <v>3003562</v>
      </c>
      <c r="AG35" s="106"/>
      <c r="AH35" s="208"/>
      <c r="AI35" s="14">
        <v>6596656</v>
      </c>
      <c r="AJ35" s="14"/>
      <c r="AK35" s="14"/>
      <c r="AL35" s="667"/>
      <c r="AM35" s="14">
        <v>15232864</v>
      </c>
      <c r="AN35" s="14">
        <v>2956139</v>
      </c>
      <c r="AO35" s="14">
        <f t="shared" ref="AO35:AO44" si="21">ROUND((AM35+AN35),0)</f>
        <v>18189003</v>
      </c>
      <c r="AP35" s="437"/>
      <c r="AQ35" s="14"/>
      <c r="AR35" s="437"/>
      <c r="AS35" s="14"/>
      <c r="AT35" s="14">
        <f t="shared" ref="AT35:AT44" si="22">ROUND((AO35+AQ35-AS35),0)</f>
        <v>18189003</v>
      </c>
      <c r="AU35" s="37"/>
      <c r="AV35" s="14">
        <v>18614806</v>
      </c>
      <c r="AW35" s="14">
        <v>32864868</v>
      </c>
      <c r="AX35" s="14">
        <f t="shared" ref="AX35:AX44" si="23">ROUND((AV35+AW35),0)</f>
        <v>51479674</v>
      </c>
      <c r="AY35" s="437"/>
      <c r="AZ35" s="14"/>
      <c r="BA35" s="437"/>
      <c r="BB35" s="14"/>
      <c r="BC35" s="14">
        <f t="shared" ref="BC35:BC44" si="24">ROUND((AX35+AZ35-BB35),0)</f>
        <v>51479674</v>
      </c>
      <c r="BD35" s="14"/>
      <c r="BE35" s="128"/>
      <c r="BF35" s="220">
        <v>65953790</v>
      </c>
      <c r="BG35" s="37"/>
      <c r="BH35" s="221">
        <v>55262684</v>
      </c>
      <c r="BI35" s="11"/>
    </row>
    <row r="36" spans="2:61" s="1" customFormat="1">
      <c r="B36" s="8"/>
      <c r="C36" s="13" t="s">
        <v>414</v>
      </c>
      <c r="D36" s="1367">
        <v>0</v>
      </c>
      <c r="E36" s="1367"/>
      <c r="F36" s="1365">
        <f t="shared" si="1"/>
        <v>0</v>
      </c>
      <c r="G36" s="1365">
        <f t="shared" si="0"/>
        <v>0</v>
      </c>
      <c r="H36" s="1367">
        <f t="shared" si="15"/>
        <v>0</v>
      </c>
      <c r="I36" s="1384"/>
      <c r="J36" s="1367"/>
      <c r="K36" s="1384"/>
      <c r="L36" s="1367"/>
      <c r="M36" s="1367">
        <f t="shared" si="16"/>
        <v>0</v>
      </c>
      <c r="N36" s="1967"/>
      <c r="O36" s="1058"/>
      <c r="P36" s="1485"/>
      <c r="Q36" s="1367"/>
      <c r="R36" s="1485">
        <f t="shared" si="17"/>
        <v>0</v>
      </c>
      <c r="S36" s="1481"/>
      <c r="T36" s="1485"/>
      <c r="U36" s="1481"/>
      <c r="V36" s="1485"/>
      <c r="W36" s="1485">
        <f t="shared" si="18"/>
        <v>0</v>
      </c>
      <c r="X36" s="1187"/>
      <c r="Y36" s="106">
        <v>656840</v>
      </c>
      <c r="Z36" s="698">
        <v>0</v>
      </c>
      <c r="AA36" s="698">
        <f t="shared" si="19"/>
        <v>656840</v>
      </c>
      <c r="AB36" s="253"/>
      <c r="AC36" s="106"/>
      <c r="AD36" s="253"/>
      <c r="AE36" s="106"/>
      <c r="AF36" s="106">
        <f t="shared" si="20"/>
        <v>656840</v>
      </c>
      <c r="AG36" s="106"/>
      <c r="AH36" s="208"/>
      <c r="AI36" s="14">
        <v>1927000</v>
      </c>
      <c r="AJ36" s="14"/>
      <c r="AK36" s="14"/>
      <c r="AL36" s="667"/>
      <c r="AM36" s="14"/>
      <c r="AN36" s="14"/>
      <c r="AO36" s="14">
        <f t="shared" si="21"/>
        <v>0</v>
      </c>
      <c r="AP36" s="437"/>
      <c r="AQ36" s="14"/>
      <c r="AR36" s="437"/>
      <c r="AS36" s="14"/>
      <c r="AT36" s="14">
        <f t="shared" si="22"/>
        <v>0</v>
      </c>
      <c r="AU36" s="37"/>
      <c r="AV36" s="14">
        <v>0</v>
      </c>
      <c r="AW36" s="14"/>
      <c r="AX36" s="14">
        <f t="shared" si="23"/>
        <v>0</v>
      </c>
      <c r="AY36" s="437"/>
      <c r="AZ36" s="14"/>
      <c r="BA36" s="437"/>
      <c r="BB36" s="14"/>
      <c r="BC36" s="14">
        <f t="shared" si="24"/>
        <v>0</v>
      </c>
      <c r="BD36" s="14"/>
      <c r="BE36" s="128"/>
      <c r="BF36" s="220">
        <v>0</v>
      </c>
      <c r="BG36" s="37"/>
      <c r="BH36" s="219">
        <v>0</v>
      </c>
      <c r="BI36" s="15"/>
    </row>
    <row r="37" spans="2:61" s="1" customFormat="1">
      <c r="B37" s="8"/>
      <c r="C37" s="13" t="s">
        <v>415</v>
      </c>
      <c r="D37" s="1367">
        <v>20695118</v>
      </c>
      <c r="E37" s="1367"/>
      <c r="F37" s="1365">
        <f t="shared" si="1"/>
        <v>20695118</v>
      </c>
      <c r="G37" s="1365">
        <f t="shared" si="0"/>
        <v>0</v>
      </c>
      <c r="H37" s="1367">
        <f t="shared" si="15"/>
        <v>20695118</v>
      </c>
      <c r="I37" s="1384"/>
      <c r="J37" s="1367"/>
      <c r="K37" s="1384"/>
      <c r="L37" s="1367"/>
      <c r="M37" s="1367">
        <f t="shared" si="16"/>
        <v>20695118</v>
      </c>
      <c r="N37" s="1967"/>
      <c r="O37" s="1058"/>
      <c r="P37" s="1485">
        <f>ROUND(8592468.89999962,0)</f>
        <v>8592469</v>
      </c>
      <c r="Q37" s="1367"/>
      <c r="R37" s="1485">
        <f t="shared" si="17"/>
        <v>8592469</v>
      </c>
      <c r="S37" s="1481"/>
      <c r="T37" s="1485"/>
      <c r="U37" s="1481"/>
      <c r="V37" s="1485"/>
      <c r="W37" s="1485">
        <f t="shared" si="18"/>
        <v>8592469</v>
      </c>
      <c r="X37" s="1187"/>
      <c r="Y37" s="106">
        <v>15297299</v>
      </c>
      <c r="Z37" s="698">
        <v>0</v>
      </c>
      <c r="AA37" s="698">
        <f t="shared" si="19"/>
        <v>15297299</v>
      </c>
      <c r="AB37" s="253"/>
      <c r="AC37" s="106"/>
      <c r="AD37" s="253"/>
      <c r="AE37" s="106"/>
      <c r="AF37" s="106">
        <f t="shared" si="20"/>
        <v>15297299</v>
      </c>
      <c r="AG37" s="106"/>
      <c r="AH37" s="208"/>
      <c r="AI37" s="14">
        <v>8054849</v>
      </c>
      <c r="AJ37" s="14"/>
      <c r="AK37" s="14"/>
      <c r="AL37" s="667"/>
      <c r="AM37" s="14">
        <v>17036978</v>
      </c>
      <c r="AN37" s="14"/>
      <c r="AO37" s="14">
        <f t="shared" si="21"/>
        <v>17036978</v>
      </c>
      <c r="AP37" s="437"/>
      <c r="AQ37" s="14"/>
      <c r="AR37" s="437"/>
      <c r="AS37" s="14"/>
      <c r="AT37" s="14">
        <f t="shared" si="22"/>
        <v>17036978</v>
      </c>
      <c r="AU37" s="37"/>
      <c r="AV37" s="14">
        <v>733933691</v>
      </c>
      <c r="AW37" s="14"/>
      <c r="AX37" s="14">
        <f t="shared" si="23"/>
        <v>733933691</v>
      </c>
      <c r="AY37" s="437"/>
      <c r="AZ37" s="14"/>
      <c r="BA37" s="437"/>
      <c r="BB37" s="14"/>
      <c r="BC37" s="14">
        <f t="shared" si="24"/>
        <v>733933691</v>
      </c>
      <c r="BD37" s="14"/>
      <c r="BE37" s="128"/>
      <c r="BF37" s="220">
        <v>60924433</v>
      </c>
      <c r="BG37" s="37"/>
      <c r="BH37" s="221">
        <v>1126429101</v>
      </c>
      <c r="BI37" s="11"/>
    </row>
    <row r="38" spans="2:61" s="1" customFormat="1">
      <c r="B38" s="8"/>
      <c r="C38" s="13" t="s">
        <v>416</v>
      </c>
      <c r="D38" s="1367">
        <v>8375633</v>
      </c>
      <c r="E38" s="1367"/>
      <c r="F38" s="1365">
        <f t="shared" si="1"/>
        <v>8375633</v>
      </c>
      <c r="G38" s="1365">
        <f t="shared" si="0"/>
        <v>0</v>
      </c>
      <c r="H38" s="1367">
        <f t="shared" si="15"/>
        <v>8375633</v>
      </c>
      <c r="I38" s="1384"/>
      <c r="J38" s="1367"/>
      <c r="K38" s="1384"/>
      <c r="L38" s="1367"/>
      <c r="M38" s="1367">
        <f t="shared" si="16"/>
        <v>8375633</v>
      </c>
      <c r="N38" s="1967"/>
      <c r="O38" s="1058"/>
      <c r="P38" s="1485">
        <f>ROUND(8142871.86,0)</f>
        <v>8142872</v>
      </c>
      <c r="Q38" s="1367"/>
      <c r="R38" s="1485">
        <f t="shared" si="17"/>
        <v>8142872</v>
      </c>
      <c r="S38" s="1481"/>
      <c r="T38" s="1485"/>
      <c r="U38" s="1481"/>
      <c r="V38" s="1485"/>
      <c r="W38" s="1485">
        <f t="shared" si="18"/>
        <v>8142872</v>
      </c>
      <c r="X38" s="1187"/>
      <c r="Y38" s="106">
        <v>9155353</v>
      </c>
      <c r="Z38" s="698">
        <v>0</v>
      </c>
      <c r="AA38" s="698">
        <f t="shared" si="19"/>
        <v>9155353</v>
      </c>
      <c r="AB38" s="253"/>
      <c r="AC38" s="106"/>
      <c r="AD38" s="253"/>
      <c r="AE38" s="106"/>
      <c r="AF38" s="106">
        <f t="shared" si="20"/>
        <v>9155353</v>
      </c>
      <c r="AG38" s="106"/>
      <c r="AH38" s="208"/>
      <c r="AI38" s="14">
        <v>9044094</v>
      </c>
      <c r="AJ38" s="14"/>
      <c r="AK38" s="14"/>
      <c r="AL38" s="667"/>
      <c r="AM38" s="14">
        <v>11034944</v>
      </c>
      <c r="AN38" s="14"/>
      <c r="AO38" s="14">
        <f t="shared" si="21"/>
        <v>11034944</v>
      </c>
      <c r="AP38" s="437"/>
      <c r="AQ38" s="14"/>
      <c r="AR38" s="437"/>
      <c r="AS38" s="14"/>
      <c r="AT38" s="14">
        <f t="shared" si="22"/>
        <v>11034944</v>
      </c>
      <c r="AU38" s="37"/>
      <c r="AV38" s="14">
        <v>1592294698</v>
      </c>
      <c r="AW38" s="14"/>
      <c r="AX38" s="14">
        <f t="shared" si="23"/>
        <v>1592294698</v>
      </c>
      <c r="AY38" s="437"/>
      <c r="AZ38" s="14"/>
      <c r="BA38" s="437"/>
      <c r="BB38" s="14"/>
      <c r="BC38" s="14">
        <f t="shared" si="24"/>
        <v>1592294698</v>
      </c>
      <c r="BD38" s="14"/>
      <c r="BE38" s="128"/>
      <c r="BF38" s="220">
        <v>23270396</v>
      </c>
      <c r="BG38" s="37"/>
      <c r="BH38" s="221">
        <v>1927119772</v>
      </c>
      <c r="BI38" s="11"/>
    </row>
    <row r="39" spans="2:61" s="1" customFormat="1">
      <c r="B39" s="8"/>
      <c r="C39" s="13" t="s">
        <v>417</v>
      </c>
      <c r="D39" s="1367">
        <v>7152816</v>
      </c>
      <c r="E39" s="1367"/>
      <c r="F39" s="1365">
        <f t="shared" si="1"/>
        <v>7152816</v>
      </c>
      <c r="G39" s="1365">
        <f t="shared" si="0"/>
        <v>0</v>
      </c>
      <c r="H39" s="1367">
        <f t="shared" si="15"/>
        <v>7152816</v>
      </c>
      <c r="I39" s="1384"/>
      <c r="J39" s="1367"/>
      <c r="K39" s="1384"/>
      <c r="L39" s="1367"/>
      <c r="M39" s="1367">
        <f t="shared" si="16"/>
        <v>7152816</v>
      </c>
      <c r="N39" s="1967"/>
      <c r="O39" s="1058"/>
      <c r="P39" s="1485">
        <v>7017523</v>
      </c>
      <c r="Q39" s="1367"/>
      <c r="R39" s="1485">
        <f t="shared" si="17"/>
        <v>7017523</v>
      </c>
      <c r="S39" s="1481"/>
      <c r="T39" s="1485"/>
      <c r="U39" s="1481"/>
      <c r="V39" s="1485"/>
      <c r="W39" s="1485">
        <f t="shared" si="18"/>
        <v>7017523</v>
      </c>
      <c r="X39" s="1187"/>
      <c r="Y39" s="106">
        <v>7957124</v>
      </c>
      <c r="Z39" s="698">
        <v>0</v>
      </c>
      <c r="AA39" s="698">
        <f t="shared" si="19"/>
        <v>7957124</v>
      </c>
      <c r="AB39" s="253"/>
      <c r="AC39" s="106"/>
      <c r="AD39" s="253"/>
      <c r="AE39" s="106"/>
      <c r="AF39" s="106">
        <f t="shared" si="20"/>
        <v>7957124</v>
      </c>
      <c r="AG39" s="106"/>
      <c r="AH39" s="208"/>
      <c r="AI39" s="14">
        <v>13411920</v>
      </c>
      <c r="AJ39" s="14"/>
      <c r="AK39" s="14"/>
      <c r="AL39" s="667"/>
      <c r="AM39" s="14">
        <v>13740510</v>
      </c>
      <c r="AN39" s="14"/>
      <c r="AO39" s="14">
        <f t="shared" si="21"/>
        <v>13740510</v>
      </c>
      <c r="AP39" s="437"/>
      <c r="AQ39" s="14"/>
      <c r="AR39" s="437"/>
      <c r="AS39" s="14"/>
      <c r="AT39" s="14">
        <f t="shared" si="22"/>
        <v>13740510</v>
      </c>
      <c r="AU39" s="37"/>
      <c r="AV39" s="14">
        <v>13523400</v>
      </c>
      <c r="AW39" s="14"/>
      <c r="AX39" s="14">
        <f t="shared" si="23"/>
        <v>13523400</v>
      </c>
      <c r="AY39" s="437"/>
      <c r="AZ39" s="14"/>
      <c r="BA39" s="437"/>
      <c r="BB39" s="14"/>
      <c r="BC39" s="14">
        <f t="shared" si="24"/>
        <v>13523400</v>
      </c>
      <c r="BD39" s="14"/>
      <c r="BE39" s="128"/>
      <c r="BF39" s="220">
        <v>14629830</v>
      </c>
      <c r="BG39" s="37"/>
      <c r="BH39" s="221">
        <v>14126310</v>
      </c>
      <c r="BI39" s="11"/>
    </row>
    <row r="40" spans="2:61" s="1" customFormat="1">
      <c r="B40" s="8" t="s">
        <v>403</v>
      </c>
      <c r="C40" s="13" t="s">
        <v>405</v>
      </c>
      <c r="D40" s="1367">
        <v>54182297</v>
      </c>
      <c r="E40" s="1367">
        <v>375720277</v>
      </c>
      <c r="F40" s="1365">
        <f t="shared" si="1"/>
        <v>429902574</v>
      </c>
      <c r="G40" s="1365">
        <f t="shared" si="0"/>
        <v>0</v>
      </c>
      <c r="H40" s="1367">
        <f t="shared" si="15"/>
        <v>429902574</v>
      </c>
      <c r="I40" s="1384"/>
      <c r="J40" s="1367"/>
      <c r="K40" s="1384"/>
      <c r="L40" s="1367"/>
      <c r="M40" s="1367">
        <f t="shared" si="16"/>
        <v>429902574</v>
      </c>
      <c r="N40" s="1967"/>
      <c r="O40" s="1058"/>
      <c r="P40" s="1485">
        <v>2276769542</v>
      </c>
      <c r="Q40" s="1367">
        <v>1620910112</v>
      </c>
      <c r="R40" s="1485">
        <f t="shared" si="17"/>
        <v>3897679654</v>
      </c>
      <c r="S40" s="1481"/>
      <c r="T40" s="1485"/>
      <c r="U40" s="1481"/>
      <c r="V40" s="1485"/>
      <c r="W40" s="1485">
        <f t="shared" si="18"/>
        <v>3897679654</v>
      </c>
      <c r="X40" s="1187"/>
      <c r="Y40" s="106">
        <v>54773209</v>
      </c>
      <c r="Z40" s="698">
        <v>24997662</v>
      </c>
      <c r="AA40" s="698">
        <f t="shared" si="19"/>
        <v>79770871</v>
      </c>
      <c r="AB40" s="253"/>
      <c r="AC40" s="106"/>
      <c r="AD40" s="253"/>
      <c r="AE40" s="106"/>
      <c r="AF40" s="106">
        <f t="shared" si="20"/>
        <v>79770871</v>
      </c>
      <c r="AG40" s="106"/>
      <c r="AH40" s="208"/>
      <c r="AI40" s="14">
        <v>2027642112</v>
      </c>
      <c r="AJ40" s="14"/>
      <c r="AK40" s="14"/>
      <c r="AL40" s="667"/>
      <c r="AM40" s="14">
        <v>23608985</v>
      </c>
      <c r="AN40" s="14">
        <v>5421215</v>
      </c>
      <c r="AO40" s="14">
        <f t="shared" si="21"/>
        <v>29030200</v>
      </c>
      <c r="AP40" s="437"/>
      <c r="AQ40" s="14"/>
      <c r="AR40" s="437"/>
      <c r="AS40" s="14"/>
      <c r="AT40" s="14">
        <f t="shared" si="22"/>
        <v>29030200</v>
      </c>
      <c r="AU40" s="37"/>
      <c r="AV40" s="14">
        <v>9670580</v>
      </c>
      <c r="AW40" s="14">
        <v>6041203</v>
      </c>
      <c r="AX40" s="14">
        <f t="shared" si="23"/>
        <v>15711783</v>
      </c>
      <c r="AY40" s="437"/>
      <c r="AZ40" s="14"/>
      <c r="BA40" s="437"/>
      <c r="BB40" s="14"/>
      <c r="BC40" s="14">
        <f t="shared" si="24"/>
        <v>15711783</v>
      </c>
      <c r="BD40" s="14"/>
      <c r="BE40" s="128"/>
      <c r="BF40" s="220">
        <v>433951591</v>
      </c>
      <c r="BG40" s="37"/>
      <c r="BH40" s="219">
        <v>0</v>
      </c>
      <c r="BI40" s="15"/>
    </row>
    <row r="41" spans="2:61" s="1" customFormat="1">
      <c r="B41" s="8"/>
      <c r="C41" s="13" t="s">
        <v>418</v>
      </c>
      <c r="D41" s="1367">
        <v>1460398</v>
      </c>
      <c r="E41" s="1367"/>
      <c r="F41" s="1365">
        <f t="shared" si="1"/>
        <v>1460398</v>
      </c>
      <c r="G41" s="1365">
        <f t="shared" si="0"/>
        <v>0</v>
      </c>
      <c r="H41" s="1367">
        <f t="shared" si="15"/>
        <v>1460398</v>
      </c>
      <c r="I41" s="1384"/>
      <c r="J41" s="1367"/>
      <c r="K41" s="1384"/>
      <c r="L41" s="1367"/>
      <c r="M41" s="1367">
        <f t="shared" si="16"/>
        <v>1460398</v>
      </c>
      <c r="N41" s="1967"/>
      <c r="O41" s="1058"/>
      <c r="P41" s="1485">
        <v>1822011</v>
      </c>
      <c r="Q41" s="1367"/>
      <c r="R41" s="1485">
        <f t="shared" si="17"/>
        <v>1822011</v>
      </c>
      <c r="S41" s="1481"/>
      <c r="T41" s="1485"/>
      <c r="U41" s="1481"/>
      <c r="V41" s="1485"/>
      <c r="W41" s="1485">
        <f t="shared" si="18"/>
        <v>1822011</v>
      </c>
      <c r="X41" s="1187"/>
      <c r="Y41" s="106">
        <v>2469063</v>
      </c>
      <c r="Z41" s="698">
        <v>0</v>
      </c>
      <c r="AA41" s="698">
        <f t="shared" si="19"/>
        <v>2469063</v>
      </c>
      <c r="AB41" s="253"/>
      <c r="AC41" s="106"/>
      <c r="AD41" s="253"/>
      <c r="AE41" s="106"/>
      <c r="AF41" s="106">
        <f t="shared" si="20"/>
        <v>2469063</v>
      </c>
      <c r="AG41" s="106"/>
      <c r="AH41" s="208"/>
      <c r="AI41" s="14">
        <v>3242911</v>
      </c>
      <c r="AJ41" s="14"/>
      <c r="AK41" s="14"/>
      <c r="AL41" s="667"/>
      <c r="AM41" s="14">
        <v>15455357</v>
      </c>
      <c r="AN41" s="14"/>
      <c r="AO41" s="14">
        <f t="shared" si="21"/>
        <v>15455357</v>
      </c>
      <c r="AP41" s="437"/>
      <c r="AQ41" s="14"/>
      <c r="AR41" s="437"/>
      <c r="AS41" s="14"/>
      <c r="AT41" s="14">
        <f t="shared" si="22"/>
        <v>15455357</v>
      </c>
      <c r="AU41" s="37"/>
      <c r="AV41" s="14">
        <v>9211689</v>
      </c>
      <c r="AW41" s="14"/>
      <c r="AX41" s="14">
        <f t="shared" si="23"/>
        <v>9211689</v>
      </c>
      <c r="AY41" s="437"/>
      <c r="AZ41" s="14"/>
      <c r="BA41" s="437"/>
      <c r="BB41" s="14"/>
      <c r="BC41" s="14">
        <f t="shared" si="24"/>
        <v>9211689</v>
      </c>
      <c r="BD41" s="14"/>
      <c r="BE41" s="128"/>
      <c r="BF41" s="220">
        <v>0</v>
      </c>
      <c r="BG41" s="37"/>
      <c r="BH41" s="219">
        <v>0</v>
      </c>
      <c r="BI41" s="15"/>
    </row>
    <row r="42" spans="2:61" s="1" customFormat="1">
      <c r="B42" s="8" t="s">
        <v>407</v>
      </c>
      <c r="C42" s="13" t="s">
        <v>419</v>
      </c>
      <c r="D42" s="1367"/>
      <c r="E42" s="1367"/>
      <c r="F42" s="1365">
        <f t="shared" si="1"/>
        <v>0</v>
      </c>
      <c r="G42" s="1365">
        <f t="shared" si="0"/>
        <v>0</v>
      </c>
      <c r="H42" s="1367"/>
      <c r="I42" s="1384"/>
      <c r="J42" s="1367"/>
      <c r="K42" s="1384"/>
      <c r="L42" s="1367"/>
      <c r="M42" s="1367">
        <f t="shared" si="16"/>
        <v>0</v>
      </c>
      <c r="N42" s="1967"/>
      <c r="O42" s="1058"/>
      <c r="P42" s="1485"/>
      <c r="Q42" s="1367"/>
      <c r="R42" s="1485"/>
      <c r="S42" s="1481"/>
      <c r="T42" s="1485"/>
      <c r="U42" s="1481"/>
      <c r="V42" s="1485"/>
      <c r="W42" s="1485">
        <f t="shared" si="18"/>
        <v>0</v>
      </c>
      <c r="X42" s="1187"/>
      <c r="Y42" s="106"/>
      <c r="Z42" s="698">
        <v>0</v>
      </c>
      <c r="AA42" s="698"/>
      <c r="AB42" s="253"/>
      <c r="AC42" s="106"/>
      <c r="AD42" s="253"/>
      <c r="AE42" s="106"/>
      <c r="AF42" s="106">
        <f t="shared" si="20"/>
        <v>0</v>
      </c>
      <c r="AG42" s="106"/>
      <c r="AH42" s="208"/>
      <c r="AI42" s="14">
        <v>0</v>
      </c>
      <c r="AJ42" s="14"/>
      <c r="AK42" s="14"/>
      <c r="AL42" s="667"/>
      <c r="AM42" s="14"/>
      <c r="AN42" s="14"/>
      <c r="AO42" s="14">
        <f t="shared" si="21"/>
        <v>0</v>
      </c>
      <c r="AP42" s="437"/>
      <c r="AQ42" s="14"/>
      <c r="AR42" s="437"/>
      <c r="AS42" s="14"/>
      <c r="AT42" s="14">
        <f t="shared" si="22"/>
        <v>0</v>
      </c>
      <c r="AU42" s="37"/>
      <c r="AV42" s="14"/>
      <c r="AW42" s="14"/>
      <c r="AX42" s="14">
        <f t="shared" si="23"/>
        <v>0</v>
      </c>
      <c r="AY42" s="437"/>
      <c r="AZ42" s="14"/>
      <c r="BA42" s="437"/>
      <c r="BB42" s="14"/>
      <c r="BC42" s="14">
        <f t="shared" si="24"/>
        <v>0</v>
      </c>
      <c r="BD42" s="14"/>
      <c r="BE42" s="128"/>
      <c r="BF42" s="220">
        <v>0</v>
      </c>
      <c r="BG42" s="37"/>
      <c r="BH42" s="221">
        <v>0</v>
      </c>
      <c r="BI42" s="11"/>
    </row>
    <row r="43" spans="2:61" s="1" customFormat="1">
      <c r="B43" s="8" t="s">
        <v>407</v>
      </c>
      <c r="C43" s="13" t="s">
        <v>404</v>
      </c>
      <c r="D43" s="1367"/>
      <c r="E43" s="1367">
        <v>3652612</v>
      </c>
      <c r="F43" s="1365">
        <f t="shared" si="1"/>
        <v>3652612</v>
      </c>
      <c r="G43" s="1365">
        <f t="shared" si="0"/>
        <v>0</v>
      </c>
      <c r="H43" s="1367">
        <f>ROUND((D43+E43),0)</f>
        <v>3652612</v>
      </c>
      <c r="I43" s="1384"/>
      <c r="J43" s="1367"/>
      <c r="K43" s="1384"/>
      <c r="L43" s="1367"/>
      <c r="M43" s="1367">
        <f t="shared" si="16"/>
        <v>3652612</v>
      </c>
      <c r="N43" s="1967"/>
      <c r="O43" s="1058"/>
      <c r="P43" s="1485"/>
      <c r="Q43" s="1367">
        <v>3739086</v>
      </c>
      <c r="R43" s="1485">
        <f>ROUND((P43+Q43),0)</f>
        <v>3739086</v>
      </c>
      <c r="S43" s="1481"/>
      <c r="T43" s="1485"/>
      <c r="U43" s="1481"/>
      <c r="V43" s="1485"/>
      <c r="W43" s="1485">
        <f t="shared" si="18"/>
        <v>3739086</v>
      </c>
      <c r="X43" s="1187"/>
      <c r="Y43" s="106"/>
      <c r="Z43" s="698">
        <v>4400828</v>
      </c>
      <c r="AA43" s="698">
        <f>ROUND((Y43+Z43),0)</f>
        <v>4400828</v>
      </c>
      <c r="AB43" s="253"/>
      <c r="AC43" s="106"/>
      <c r="AD43" s="253"/>
      <c r="AE43" s="106"/>
      <c r="AF43" s="106">
        <f t="shared" si="20"/>
        <v>4400828</v>
      </c>
      <c r="AG43" s="106"/>
      <c r="AH43" s="208"/>
      <c r="AI43" s="14">
        <v>4778960</v>
      </c>
      <c r="AJ43" s="14"/>
      <c r="AK43" s="14"/>
      <c r="AL43" s="667"/>
      <c r="AM43" s="14"/>
      <c r="AN43" s="14">
        <v>5139106</v>
      </c>
      <c r="AO43" s="14">
        <f t="shared" si="21"/>
        <v>5139106</v>
      </c>
      <c r="AP43" s="437"/>
      <c r="AQ43" s="14"/>
      <c r="AR43" s="437"/>
      <c r="AS43" s="14"/>
      <c r="AT43" s="14">
        <f t="shared" si="22"/>
        <v>5139106</v>
      </c>
      <c r="AU43" s="37"/>
      <c r="AV43" s="14"/>
      <c r="AW43" s="14">
        <v>5289152</v>
      </c>
      <c r="AX43" s="14">
        <f t="shared" si="23"/>
        <v>5289152</v>
      </c>
      <c r="AY43" s="437"/>
      <c r="AZ43" s="14"/>
      <c r="BA43" s="437"/>
      <c r="BB43" s="14"/>
      <c r="BC43" s="14">
        <f t="shared" si="24"/>
        <v>5289152</v>
      </c>
      <c r="BD43" s="14"/>
      <c r="BE43" s="128"/>
      <c r="BF43" s="220">
        <v>6198014</v>
      </c>
      <c r="BG43" s="37"/>
      <c r="BH43" s="221">
        <v>6820582</v>
      </c>
      <c r="BI43" s="15"/>
    </row>
    <row r="44" spans="2:61" s="1" customFormat="1">
      <c r="B44" s="8" t="s">
        <v>407</v>
      </c>
      <c r="C44" s="23" t="s">
        <v>420</v>
      </c>
      <c r="D44" s="1368"/>
      <c r="E44" s="1367">
        <v>13078290</v>
      </c>
      <c r="F44" s="1365">
        <f t="shared" si="1"/>
        <v>13078290</v>
      </c>
      <c r="G44" s="1365">
        <f t="shared" si="0"/>
        <v>0</v>
      </c>
      <c r="H44" s="1368">
        <f>ROUND((D44+E44),0)</f>
        <v>13078290</v>
      </c>
      <c r="I44" s="1943"/>
      <c r="J44" s="1368"/>
      <c r="K44" s="1943"/>
      <c r="L44" s="1368"/>
      <c r="M44" s="1368">
        <f t="shared" si="16"/>
        <v>13078290</v>
      </c>
      <c r="N44" s="1967"/>
      <c r="O44" s="1058"/>
      <c r="P44" s="1486"/>
      <c r="Q44" s="1368">
        <v>13233613</v>
      </c>
      <c r="R44" s="1486">
        <f>ROUND((P44+Q44),0)</f>
        <v>13233613</v>
      </c>
      <c r="S44" s="1487"/>
      <c r="T44" s="1486"/>
      <c r="U44" s="1487"/>
      <c r="V44" s="1486"/>
      <c r="W44" s="1486">
        <f t="shared" si="18"/>
        <v>13233613</v>
      </c>
      <c r="X44" s="1187"/>
      <c r="Y44" s="225"/>
      <c r="Z44" s="699">
        <v>14601526</v>
      </c>
      <c r="AA44" s="699">
        <f>ROUND((Y44+Z44),0)</f>
        <v>14601526</v>
      </c>
      <c r="AB44" s="617"/>
      <c r="AC44" s="225"/>
      <c r="AD44" s="617"/>
      <c r="AE44" s="225"/>
      <c r="AF44" s="225">
        <f t="shared" si="20"/>
        <v>14601526</v>
      </c>
      <c r="AG44" s="225"/>
      <c r="AH44" s="208"/>
      <c r="AI44" s="14">
        <v>19416453</v>
      </c>
      <c r="AJ44" s="14"/>
      <c r="AK44" s="14"/>
      <c r="AL44" s="667"/>
      <c r="AM44" s="14"/>
      <c r="AN44" s="14">
        <v>13297243</v>
      </c>
      <c r="AO44" s="14">
        <f t="shared" si="21"/>
        <v>13297243</v>
      </c>
      <c r="AP44" s="437"/>
      <c r="AQ44" s="14"/>
      <c r="AR44" s="437"/>
      <c r="AS44" s="14"/>
      <c r="AT44" s="14">
        <f t="shared" si="22"/>
        <v>13297243</v>
      </c>
      <c r="AU44" s="37"/>
      <c r="AV44" s="14"/>
      <c r="AW44" s="14"/>
      <c r="AX44" s="14">
        <f t="shared" si="23"/>
        <v>0</v>
      </c>
      <c r="AY44" s="437"/>
      <c r="AZ44" s="14"/>
      <c r="BA44" s="437"/>
      <c r="BB44" s="14"/>
      <c r="BC44" s="14">
        <f t="shared" si="24"/>
        <v>0</v>
      </c>
      <c r="BD44" s="14"/>
      <c r="BE44" s="128"/>
      <c r="BF44" s="220">
        <v>0</v>
      </c>
      <c r="BG44" s="37"/>
      <c r="BH44" s="219">
        <v>0</v>
      </c>
      <c r="BI44" s="15"/>
    </row>
    <row r="45" spans="2:61" s="1" customFormat="1">
      <c r="B45" s="22" t="s">
        <v>421</v>
      </c>
      <c r="C45" s="13"/>
      <c r="D45" s="1367"/>
      <c r="E45" s="1367"/>
      <c r="F45" s="1365">
        <f t="shared" si="1"/>
        <v>0</v>
      </c>
      <c r="G45" s="1365">
        <f t="shared" si="0"/>
        <v>0</v>
      </c>
      <c r="H45" s="1367"/>
      <c r="I45" s="1384"/>
      <c r="J45" s="1367"/>
      <c r="K45" s="1384"/>
      <c r="L45" s="1367"/>
      <c r="M45" s="1367"/>
      <c r="N45" s="1967"/>
      <c r="O45" s="1058"/>
      <c r="P45" s="1485"/>
      <c r="Q45" s="1367"/>
      <c r="R45" s="1485"/>
      <c r="S45" s="1481"/>
      <c r="T45" s="1485"/>
      <c r="U45" s="1481"/>
      <c r="V45" s="1485"/>
      <c r="W45" s="1485"/>
      <c r="X45" s="1187"/>
      <c r="Y45" s="106"/>
      <c r="Z45" s="698">
        <v>0</v>
      </c>
      <c r="AA45" s="698"/>
      <c r="AB45" s="253"/>
      <c r="AC45" s="106"/>
      <c r="AD45" s="253"/>
      <c r="AE45" s="106"/>
      <c r="AF45" s="106"/>
      <c r="AG45" s="106"/>
      <c r="AH45" s="208"/>
      <c r="AI45" s="14">
        <v>0</v>
      </c>
      <c r="AJ45" s="14"/>
      <c r="AK45" s="14"/>
      <c r="AL45" s="667"/>
      <c r="AM45" s="14"/>
      <c r="AN45" s="14"/>
      <c r="AO45" s="14"/>
      <c r="AP45" s="437"/>
      <c r="AQ45" s="14"/>
      <c r="AR45" s="437"/>
      <c r="AS45" s="14"/>
      <c r="AT45" s="14"/>
      <c r="AU45" s="37"/>
      <c r="AV45" s="14"/>
      <c r="AW45" s="14"/>
      <c r="AX45" s="14"/>
      <c r="AY45" s="437"/>
      <c r="AZ45" s="14"/>
      <c r="BA45" s="437"/>
      <c r="BB45" s="14"/>
      <c r="BC45" s="14"/>
      <c r="BD45" s="14"/>
      <c r="BE45" s="128"/>
      <c r="BF45" s="220">
        <v>0</v>
      </c>
      <c r="BG45" s="37"/>
      <c r="BH45" s="219"/>
      <c r="BI45" s="15"/>
    </row>
    <row r="46" spans="2:61" s="1" customFormat="1">
      <c r="B46" s="22"/>
      <c r="C46" s="23" t="s">
        <v>422</v>
      </c>
      <c r="D46" s="1368"/>
      <c r="E46" s="1367"/>
      <c r="F46" s="1365">
        <f t="shared" si="1"/>
        <v>0</v>
      </c>
      <c r="G46" s="1365">
        <f t="shared" si="0"/>
        <v>0</v>
      </c>
      <c r="H46" s="1368">
        <v>0</v>
      </c>
      <c r="I46" s="1943"/>
      <c r="J46" s="1368"/>
      <c r="K46" s="1943"/>
      <c r="L46" s="1368"/>
      <c r="M46" s="1368">
        <f t="shared" ref="M46:M47" si="25">ROUND((H46+J46-L46),0)</f>
        <v>0</v>
      </c>
      <c r="N46" s="1967"/>
      <c r="O46" s="1058"/>
      <c r="P46" s="1486"/>
      <c r="Q46" s="1368"/>
      <c r="R46" s="1486">
        <v>0</v>
      </c>
      <c r="S46" s="1487"/>
      <c r="T46" s="1486"/>
      <c r="U46" s="1487"/>
      <c r="V46" s="1486"/>
      <c r="W46" s="1486">
        <f t="shared" ref="W46:W47" si="26">ROUND((R46+T46-V46),0)</f>
        <v>0</v>
      </c>
      <c r="X46" s="1187"/>
      <c r="Y46" s="225"/>
      <c r="Z46" s="699">
        <v>0</v>
      </c>
      <c r="AA46" s="699">
        <v>0</v>
      </c>
      <c r="AB46" s="617"/>
      <c r="AC46" s="225"/>
      <c r="AD46" s="617"/>
      <c r="AE46" s="225"/>
      <c r="AF46" s="225">
        <f t="shared" ref="AF46:AF47" si="27">ROUND((AA46+AC46-AE46),0)</f>
        <v>0</v>
      </c>
      <c r="AG46" s="225"/>
      <c r="AH46" s="208"/>
      <c r="AI46" s="14">
        <v>0</v>
      </c>
      <c r="AJ46" s="14"/>
      <c r="AK46" s="14"/>
      <c r="AL46" s="667"/>
      <c r="AM46" s="14"/>
      <c r="AN46" s="14"/>
      <c r="AO46" s="14">
        <f t="shared" ref="AO46:AO47" si="28">ROUND((AM46+AN46),0)</f>
        <v>0</v>
      </c>
      <c r="AP46" s="437"/>
      <c r="AQ46" s="14"/>
      <c r="AR46" s="437"/>
      <c r="AS46" s="14"/>
      <c r="AT46" s="14">
        <f t="shared" ref="AT46:AT47" si="29">ROUND((AO46+AQ46-AS46),0)</f>
        <v>0</v>
      </c>
      <c r="AU46" s="37"/>
      <c r="AV46" s="14"/>
      <c r="AW46" s="14"/>
      <c r="AX46" s="14">
        <f t="shared" ref="AX46:AX47" si="30">ROUND((AV46+AW46),0)</f>
        <v>0</v>
      </c>
      <c r="AY46" s="437"/>
      <c r="AZ46" s="14"/>
      <c r="BA46" s="437"/>
      <c r="BB46" s="14"/>
      <c r="BC46" s="14">
        <f t="shared" ref="BC46:BC47" si="31">ROUND((AX46+AZ46-BB46),0)</f>
        <v>0</v>
      </c>
      <c r="BD46" s="14"/>
      <c r="BE46" s="128"/>
      <c r="BF46" s="220">
        <v>0</v>
      </c>
      <c r="BG46" s="37"/>
      <c r="BH46" s="219">
        <v>0</v>
      </c>
      <c r="BI46" s="15"/>
    </row>
    <row r="47" spans="2:61" s="1" customFormat="1">
      <c r="B47" s="8"/>
      <c r="C47" s="13" t="s">
        <v>423</v>
      </c>
      <c r="D47" s="1367"/>
      <c r="E47" s="1367"/>
      <c r="F47" s="1365">
        <f t="shared" si="1"/>
        <v>0</v>
      </c>
      <c r="G47" s="1365">
        <f t="shared" si="0"/>
        <v>0</v>
      </c>
      <c r="H47" s="1367">
        <v>0</v>
      </c>
      <c r="I47" s="1384"/>
      <c r="J47" s="1367"/>
      <c r="K47" s="1384"/>
      <c r="L47" s="1367"/>
      <c r="M47" s="1367">
        <f t="shared" si="25"/>
        <v>0</v>
      </c>
      <c r="N47" s="1967"/>
      <c r="O47" s="1058"/>
      <c r="P47" s="1485"/>
      <c r="Q47" s="1367"/>
      <c r="R47" s="1485">
        <v>0</v>
      </c>
      <c r="S47" s="1481"/>
      <c r="T47" s="1485"/>
      <c r="U47" s="1481"/>
      <c r="V47" s="1485"/>
      <c r="W47" s="1485">
        <f t="shared" si="26"/>
        <v>0</v>
      </c>
      <c r="X47" s="1187"/>
      <c r="Y47" s="106"/>
      <c r="Z47" s="698">
        <v>0</v>
      </c>
      <c r="AA47" s="698">
        <v>0</v>
      </c>
      <c r="AB47" s="253"/>
      <c r="AC47" s="106"/>
      <c r="AD47" s="253"/>
      <c r="AE47" s="106"/>
      <c r="AF47" s="106">
        <f t="shared" si="27"/>
        <v>0</v>
      </c>
      <c r="AG47" s="106"/>
      <c r="AH47" s="208"/>
      <c r="AI47" s="14">
        <v>250000000</v>
      </c>
      <c r="AJ47" s="14"/>
      <c r="AK47" s="14"/>
      <c r="AL47" s="667"/>
      <c r="AM47" s="14"/>
      <c r="AN47" s="14">
        <v>250000000</v>
      </c>
      <c r="AO47" s="14">
        <f t="shared" si="28"/>
        <v>250000000</v>
      </c>
      <c r="AP47" s="437"/>
      <c r="AQ47" s="14"/>
      <c r="AR47" s="437"/>
      <c r="AS47" s="14"/>
      <c r="AT47" s="14">
        <f t="shared" si="29"/>
        <v>250000000</v>
      </c>
      <c r="AU47" s="37"/>
      <c r="AV47" s="14"/>
      <c r="AW47" s="14">
        <v>250000000</v>
      </c>
      <c r="AX47" s="14">
        <f t="shared" si="30"/>
        <v>250000000</v>
      </c>
      <c r="AY47" s="437"/>
      <c r="AZ47" s="14"/>
      <c r="BA47" s="437"/>
      <c r="BB47" s="14"/>
      <c r="BC47" s="14">
        <f t="shared" si="31"/>
        <v>250000000</v>
      </c>
      <c r="BD47" s="14"/>
      <c r="BE47" s="128"/>
      <c r="BF47" s="220">
        <v>250000000</v>
      </c>
      <c r="BG47" s="37"/>
      <c r="BH47" s="219">
        <v>0</v>
      </c>
      <c r="BI47" s="15"/>
    </row>
    <row r="48" spans="2:61" s="1" customFormat="1">
      <c r="B48" s="27"/>
      <c r="C48" s="19" t="s">
        <v>424</v>
      </c>
      <c r="D48" s="1369">
        <f>SUM(D19:D47)</f>
        <v>247935868</v>
      </c>
      <c r="E48" s="1369">
        <f>SUM(E19:E47)</f>
        <v>437993113</v>
      </c>
      <c r="F48" s="1365">
        <f t="shared" si="1"/>
        <v>685928981</v>
      </c>
      <c r="G48" s="1365">
        <f t="shared" si="0"/>
        <v>0</v>
      </c>
      <c r="H48" s="1369">
        <f>SUM(H19:H47)</f>
        <v>685928981</v>
      </c>
      <c r="I48" s="1944"/>
      <c r="J48" s="1369"/>
      <c r="K48" s="1944"/>
      <c r="L48" s="1369"/>
      <c r="M48" s="1369">
        <f>SUM(M19:M47)</f>
        <v>685928981</v>
      </c>
      <c r="N48" s="226"/>
      <c r="O48" s="1058"/>
      <c r="P48" s="1488">
        <f>SUM(P19:P47)</f>
        <v>11176307330</v>
      </c>
      <c r="Q48" s="1369">
        <f>SUM(Q19:Q47)</f>
        <v>1676003350</v>
      </c>
      <c r="R48" s="1488">
        <f>SUM(R19:R47)</f>
        <v>12852310680</v>
      </c>
      <c r="S48" s="1489"/>
      <c r="T48" s="1488"/>
      <c r="U48" s="1489"/>
      <c r="V48" s="1488"/>
      <c r="W48" s="1488">
        <f>SUM(W19:W47)</f>
        <v>12852310680</v>
      </c>
      <c r="X48" s="1187"/>
      <c r="Y48" s="428">
        <f>SUM(Y19:Y47)</f>
        <v>315748435</v>
      </c>
      <c r="Z48" s="707">
        <f>SUM(Z19:Z47)</f>
        <v>147927499</v>
      </c>
      <c r="AA48" s="707">
        <f>SUM(AA19:AA47)</f>
        <v>463675934</v>
      </c>
      <c r="AB48" s="601"/>
      <c r="AC48" s="223"/>
      <c r="AD48" s="601"/>
      <c r="AE48" s="223"/>
      <c r="AF48" s="428">
        <f>SUM(AF19:AF47)</f>
        <v>463675934</v>
      </c>
      <c r="AG48" s="428"/>
      <c r="AH48" s="228"/>
      <c r="AI48" s="428">
        <f>SUM(AI19:AI47)</f>
        <v>2408259421</v>
      </c>
      <c r="AJ48" s="428"/>
      <c r="AK48" s="428"/>
      <c r="AL48" s="670"/>
      <c r="AM48" s="428">
        <f>SUM(AM19:AM47)</f>
        <v>1737907983</v>
      </c>
      <c r="AN48" s="428">
        <f>SUM(AN19:AN47)</f>
        <v>909411084</v>
      </c>
      <c r="AO48" s="428">
        <f>SUM(AO19:AO47)</f>
        <v>2647319067</v>
      </c>
      <c r="AP48" s="762"/>
      <c r="AQ48" s="428"/>
      <c r="AR48" s="762"/>
      <c r="AS48" s="428"/>
      <c r="AT48" s="428">
        <f>SUM(AT19:AT47)</f>
        <v>2647319067</v>
      </c>
      <c r="AU48" s="29"/>
      <c r="AV48" s="428">
        <f>SUM(AV19:AV47)</f>
        <v>4833234427</v>
      </c>
      <c r="AW48" s="428">
        <f>SUM(AW19:AW47)</f>
        <v>665782571</v>
      </c>
      <c r="AX48" s="428">
        <f>SUM(AX19:AX47)</f>
        <v>5499016998</v>
      </c>
      <c r="AY48" s="762"/>
      <c r="AZ48" s="428"/>
      <c r="BA48" s="762"/>
      <c r="BB48" s="428"/>
      <c r="BC48" s="428">
        <f>SUM(BC19:BC47)</f>
        <v>5499016998</v>
      </c>
      <c r="BD48" s="138"/>
      <c r="BE48" s="28"/>
      <c r="BF48" s="428">
        <f>SUM(BF19:BF47)</f>
        <v>4764334642</v>
      </c>
      <c r="BG48" s="29"/>
      <c r="BH48" s="428">
        <f>SUM(BH19:BH47)</f>
        <v>4811620906</v>
      </c>
      <c r="BI48" s="29"/>
    </row>
    <row r="49" spans="2:62" s="1" customFormat="1" hidden="1">
      <c r="B49" s="2" t="s">
        <v>422</v>
      </c>
      <c r="C49" s="4"/>
      <c r="D49" s="1370"/>
      <c r="E49" s="1370"/>
      <c r="F49" s="1365">
        <f t="shared" si="1"/>
        <v>0</v>
      </c>
      <c r="G49" s="1365">
        <f t="shared" si="0"/>
        <v>0</v>
      </c>
      <c r="H49" s="1370"/>
      <c r="I49" s="1945"/>
      <c r="J49" s="1370"/>
      <c r="K49" s="1945"/>
      <c r="L49" s="1370"/>
      <c r="M49" s="1370"/>
      <c r="N49" s="2261"/>
      <c r="O49" s="1058"/>
      <c r="P49" s="1490"/>
      <c r="Q49" s="1370"/>
      <c r="R49" s="1490"/>
      <c r="S49" s="1491"/>
      <c r="T49" s="1490"/>
      <c r="U49" s="1491"/>
      <c r="V49" s="1490"/>
      <c r="W49" s="1490"/>
      <c r="X49" s="1187"/>
      <c r="Y49" s="429"/>
      <c r="Z49" s="708"/>
      <c r="AA49" s="708"/>
      <c r="AB49" s="253"/>
      <c r="AC49" s="90"/>
      <c r="AD49" s="253"/>
      <c r="AE49" s="90"/>
      <c r="AF49" s="429"/>
      <c r="AG49" s="653"/>
      <c r="AH49" s="207"/>
      <c r="AI49" s="429"/>
      <c r="AJ49" s="653"/>
      <c r="AK49" s="653"/>
      <c r="AL49" s="671"/>
      <c r="AM49" s="653"/>
      <c r="AN49" s="653"/>
      <c r="AO49" s="653"/>
      <c r="AP49" s="773"/>
      <c r="AQ49" s="653"/>
      <c r="AR49" s="773"/>
      <c r="AS49" s="653"/>
      <c r="AT49" s="653"/>
      <c r="AU49" s="11"/>
      <c r="AV49" s="653"/>
      <c r="AW49" s="653"/>
      <c r="AX49" s="653"/>
      <c r="AY49" s="773"/>
      <c r="AZ49" s="653"/>
      <c r="BA49" s="773"/>
      <c r="BB49" s="653"/>
      <c r="BC49" s="653"/>
      <c r="BD49" s="25"/>
      <c r="BE49" s="128"/>
      <c r="BF49" s="429"/>
      <c r="BG49" s="37"/>
      <c r="BH49" s="429"/>
      <c r="BI49" s="11"/>
    </row>
    <row r="50" spans="2:62" s="1" customFormat="1" hidden="1">
      <c r="B50" s="30"/>
      <c r="C50" s="4"/>
      <c r="D50" s="1370" t="e">
        <f>#REF!+#REF!-#REF!</f>
        <v>#REF!</v>
      </c>
      <c r="E50" s="1370" t="e">
        <f>#REF!+#REF!-#REF!</f>
        <v>#REF!</v>
      </c>
      <c r="F50" s="1365" t="e">
        <f t="shared" si="1"/>
        <v>#REF!</v>
      </c>
      <c r="G50" s="1365" t="e">
        <f t="shared" si="0"/>
        <v>#REF!</v>
      </c>
      <c r="H50" s="1370" t="e">
        <f>#REF!+#REF!-#REF!</f>
        <v>#REF!</v>
      </c>
      <c r="I50" s="1945"/>
      <c r="J50" s="1370"/>
      <c r="K50" s="1945"/>
      <c r="L50" s="1370"/>
      <c r="M50" s="1370" t="e">
        <f>#REF!+#REF!-#REF!</f>
        <v>#REF!</v>
      </c>
      <c r="N50" s="2261"/>
      <c r="O50" s="1058"/>
      <c r="P50" s="1490" t="e">
        <f>#REF!+#REF!-#REF!</f>
        <v>#REF!</v>
      </c>
      <c r="Q50" s="1370" t="e">
        <f>#REF!+#REF!-#REF!</f>
        <v>#REF!</v>
      </c>
      <c r="R50" s="1490" t="e">
        <f>#REF!+#REF!-#REF!</f>
        <v>#REF!</v>
      </c>
      <c r="S50" s="1491"/>
      <c r="T50" s="1490"/>
      <c r="U50" s="1491"/>
      <c r="V50" s="1490"/>
      <c r="W50" s="1490" t="e">
        <f>#REF!+#REF!-#REF!</f>
        <v>#REF!</v>
      </c>
      <c r="X50" s="1187"/>
      <c r="Y50" s="429" t="e">
        <f>#REF!+#REF!-#REF!</f>
        <v>#REF!</v>
      </c>
      <c r="Z50" s="708" t="e">
        <f>#REF!+#REF!-#REF!</f>
        <v>#REF!</v>
      </c>
      <c r="AA50" s="708" t="e">
        <f>#REF!+#REF!-#REF!</f>
        <v>#REF!</v>
      </c>
      <c r="AB50" s="253"/>
      <c r="AC50" s="90"/>
      <c r="AD50" s="253"/>
      <c r="AE50" s="90"/>
      <c r="AF50" s="429" t="e">
        <f>#REF!+#REF!-#REF!</f>
        <v>#REF!</v>
      </c>
      <c r="AG50" s="653"/>
      <c r="AH50" s="207"/>
      <c r="AI50" s="429" t="e">
        <f>#REF!+#REF!-#REF!</f>
        <v>#REF!</v>
      </c>
      <c r="AJ50" s="653"/>
      <c r="AK50" s="653"/>
      <c r="AL50" s="671"/>
      <c r="AM50" s="653" t="e">
        <f>#REF!+#REF!-#REF!</f>
        <v>#REF!</v>
      </c>
      <c r="AN50" s="653" t="e">
        <f>#REF!+#REF!-#REF!</f>
        <v>#REF!</v>
      </c>
      <c r="AO50" s="653" t="e">
        <f>#REF!+#REF!-#REF!</f>
        <v>#REF!</v>
      </c>
      <c r="AP50" s="773"/>
      <c r="AQ50" s="653"/>
      <c r="AR50" s="773"/>
      <c r="AS50" s="653"/>
      <c r="AT50" s="653" t="e">
        <f>#REF!+#REF!-#REF!</f>
        <v>#REF!</v>
      </c>
      <c r="AU50" s="11"/>
      <c r="AV50" s="653" t="e">
        <f>#REF!+#REF!-#REF!</f>
        <v>#REF!</v>
      </c>
      <c r="AW50" s="653" t="e">
        <f>#REF!+#REF!-#REF!</f>
        <v>#REF!</v>
      </c>
      <c r="AX50" s="653" t="e">
        <f>#REF!+#REF!-#REF!</f>
        <v>#REF!</v>
      </c>
      <c r="AY50" s="773"/>
      <c r="AZ50" s="653"/>
      <c r="BA50" s="773"/>
      <c r="BB50" s="653"/>
      <c r="BC50" s="653" t="e">
        <f>#REF!+#REF!-#REF!</f>
        <v>#REF!</v>
      </c>
      <c r="BD50" s="25"/>
      <c r="BE50" s="128"/>
      <c r="BF50" s="429" t="e">
        <f>#REF!+#REF!-#REF!</f>
        <v>#REF!</v>
      </c>
      <c r="BG50" s="37"/>
      <c r="BH50" s="429" t="e">
        <f>#REF!+#REF!-#REF!</f>
        <v>#REF!</v>
      </c>
      <c r="BI50" s="11"/>
    </row>
    <row r="51" spans="2:62" s="1" customFormat="1" hidden="1">
      <c r="B51" s="27"/>
      <c r="C51" s="19" t="s">
        <v>425</v>
      </c>
      <c r="D51" s="1366" t="e">
        <f>SUM(D49:D50)</f>
        <v>#REF!</v>
      </c>
      <c r="E51" s="1366" t="e">
        <f>SUM(E49:E50)</f>
        <v>#REF!</v>
      </c>
      <c r="F51" s="1365" t="e">
        <f t="shared" si="1"/>
        <v>#REF!</v>
      </c>
      <c r="G51" s="1365" t="e">
        <f t="shared" si="0"/>
        <v>#REF!</v>
      </c>
      <c r="H51" s="1366" t="e">
        <f>SUM(H49:H50)</f>
        <v>#REF!</v>
      </c>
      <c r="I51" s="1942"/>
      <c r="J51" s="1366"/>
      <c r="K51" s="1942"/>
      <c r="L51" s="1366"/>
      <c r="M51" s="1366" t="e">
        <f>SUM(M49:M50)</f>
        <v>#REF!</v>
      </c>
      <c r="N51" s="2260"/>
      <c r="O51" s="1058"/>
      <c r="P51" s="1483" t="e">
        <f>SUM(P49:P50)</f>
        <v>#REF!</v>
      </c>
      <c r="Q51" s="1366" t="e">
        <f>SUM(Q49:Q50)</f>
        <v>#REF!</v>
      </c>
      <c r="R51" s="1483" t="e">
        <f>SUM(R49:R50)</f>
        <v>#REF!</v>
      </c>
      <c r="S51" s="1484"/>
      <c r="T51" s="1483"/>
      <c r="U51" s="1484"/>
      <c r="V51" s="1483"/>
      <c r="W51" s="1483" t="e">
        <f>SUM(W49:W50)</f>
        <v>#REF!</v>
      </c>
      <c r="X51" s="1187"/>
      <c r="Y51" s="426" t="e">
        <f>SUM(Y49:Y50)</f>
        <v>#REF!</v>
      </c>
      <c r="Z51" s="706" t="e">
        <f>SUM(Z49:Z50)</f>
        <v>#REF!</v>
      </c>
      <c r="AA51" s="706" t="e">
        <f>SUM(AA49:AA50)</f>
        <v>#REF!</v>
      </c>
      <c r="AB51" s="601"/>
      <c r="AC51" s="223"/>
      <c r="AD51" s="601"/>
      <c r="AE51" s="223"/>
      <c r="AF51" s="426" t="e">
        <f>SUM(AF49:AF50)</f>
        <v>#REF!</v>
      </c>
      <c r="AG51" s="448"/>
      <c r="AH51" s="228"/>
      <c r="AI51" s="426" t="e">
        <f>SUM(AI49:AI50)</f>
        <v>#REF!</v>
      </c>
      <c r="AJ51" s="448"/>
      <c r="AK51" s="448"/>
      <c r="AL51" s="668"/>
      <c r="AM51" s="448" t="e">
        <f>SUM(AM49:AM50)</f>
        <v>#REF!</v>
      </c>
      <c r="AN51" s="448" t="e">
        <f>SUM(AN49:AN50)</f>
        <v>#REF!</v>
      </c>
      <c r="AO51" s="448" t="e">
        <f>SUM(AO49:AO50)</f>
        <v>#REF!</v>
      </c>
      <c r="AP51" s="759"/>
      <c r="AQ51" s="448"/>
      <c r="AR51" s="759"/>
      <c r="AS51" s="448"/>
      <c r="AT51" s="448" t="e">
        <f>SUM(AT49:AT50)</f>
        <v>#REF!</v>
      </c>
      <c r="AU51" s="20"/>
      <c r="AV51" s="448" t="e">
        <f>SUM(AV49:AV50)</f>
        <v>#REF!</v>
      </c>
      <c r="AW51" s="448" t="e">
        <f>SUM(AW49:AW50)</f>
        <v>#REF!</v>
      </c>
      <c r="AX51" s="448" t="e">
        <f>SUM(AX49:AX50)</f>
        <v>#REF!</v>
      </c>
      <c r="AY51" s="759"/>
      <c r="AZ51" s="448"/>
      <c r="BA51" s="759"/>
      <c r="BB51" s="448"/>
      <c r="BC51" s="448" t="e">
        <f>SUM(BC49:BC50)</f>
        <v>#REF!</v>
      </c>
      <c r="BD51" s="53"/>
      <c r="BE51" s="28"/>
      <c r="BF51" s="426" t="e">
        <f>SUM(BF49:BF50)</f>
        <v>#REF!</v>
      </c>
      <c r="BG51" s="29"/>
      <c r="BH51" s="426" t="e">
        <f>SUM(BH49:BH50)</f>
        <v>#REF!</v>
      </c>
      <c r="BI51" s="20"/>
    </row>
    <row r="52" spans="2:62" s="1" customFormat="1">
      <c r="B52" s="31"/>
      <c r="C52" s="31" t="s">
        <v>426</v>
      </c>
      <c r="D52" s="1371">
        <f>D18+D48</f>
        <v>420682221</v>
      </c>
      <c r="E52" s="1371">
        <f>E18+E48</f>
        <v>497527264</v>
      </c>
      <c r="F52" s="1365">
        <f t="shared" si="1"/>
        <v>918209485</v>
      </c>
      <c r="G52" s="1365">
        <f t="shared" si="0"/>
        <v>0</v>
      </c>
      <c r="H52" s="1371">
        <f>ROUND(H18+H48,0)</f>
        <v>918209485</v>
      </c>
      <c r="I52" s="1946"/>
      <c r="J52" s="1371"/>
      <c r="K52" s="1946"/>
      <c r="L52" s="1371"/>
      <c r="M52" s="1371">
        <f>M18+M48</f>
        <v>918209485</v>
      </c>
      <c r="N52" s="226" t="s">
        <v>427</v>
      </c>
      <c r="O52" s="1058"/>
      <c r="P52" s="1492">
        <f>P18+P48</f>
        <v>11398024862</v>
      </c>
      <c r="Q52" s="1371">
        <f>Q18+Q48</f>
        <v>1789363537</v>
      </c>
      <c r="R52" s="1492">
        <f>ROUND(R18+R48,0)</f>
        <v>13187388399</v>
      </c>
      <c r="S52" s="1493"/>
      <c r="T52" s="1492"/>
      <c r="U52" s="1493"/>
      <c r="V52" s="1492"/>
      <c r="W52" s="1492">
        <f>W18+W48</f>
        <v>13187388399</v>
      </c>
      <c r="X52" s="1187"/>
      <c r="Y52" s="430">
        <f>Y18+Y48</f>
        <v>330926686</v>
      </c>
      <c r="Z52" s="709">
        <f>Z18+Z48</f>
        <v>234960111</v>
      </c>
      <c r="AA52" s="709">
        <f>AA18+AA48</f>
        <v>565886797</v>
      </c>
      <c r="AB52" s="602"/>
      <c r="AC52" s="229"/>
      <c r="AD52" s="602"/>
      <c r="AE52" s="229"/>
      <c r="AF52" s="430">
        <f>AF18+AF48</f>
        <v>565886797</v>
      </c>
      <c r="AG52" s="430"/>
      <c r="AH52" s="230" t="s">
        <v>427</v>
      </c>
      <c r="AI52" s="430">
        <f>AI48+AI18</f>
        <v>2570121355</v>
      </c>
      <c r="AJ52" s="430"/>
      <c r="AK52" s="430"/>
      <c r="AL52" s="670"/>
      <c r="AM52" s="430">
        <f>AM18+AM48</f>
        <v>1798900203</v>
      </c>
      <c r="AN52" s="430">
        <f>AN18+AN48</f>
        <v>1015473043</v>
      </c>
      <c r="AO52" s="430">
        <f>AO18+AO48</f>
        <v>2814373246</v>
      </c>
      <c r="AP52" s="763"/>
      <c r="AQ52" s="430"/>
      <c r="AR52" s="763"/>
      <c r="AS52" s="430"/>
      <c r="AT52" s="430">
        <f>AT18+AT48</f>
        <v>2814373246</v>
      </c>
      <c r="AU52" s="33"/>
      <c r="AV52" s="430">
        <f>AV18+AV48</f>
        <v>4901493296</v>
      </c>
      <c r="AW52" s="430">
        <f>AW18+AW48</f>
        <v>831569974</v>
      </c>
      <c r="AX52" s="430">
        <f>AX18+AX48</f>
        <v>5733063270</v>
      </c>
      <c r="AY52" s="763"/>
      <c r="AZ52" s="430"/>
      <c r="BA52" s="763"/>
      <c r="BB52" s="430"/>
      <c r="BC52" s="430">
        <f>BC18+BC48</f>
        <v>5733063270</v>
      </c>
      <c r="BD52" s="138"/>
      <c r="BE52" s="791" t="s">
        <v>427</v>
      </c>
      <c r="BF52" s="430">
        <f>BF18+BF48</f>
        <v>4920468963</v>
      </c>
      <c r="BG52" s="33"/>
      <c r="BH52" s="430">
        <f>BH18+BH48</f>
        <v>4972845584</v>
      </c>
      <c r="BI52" s="33"/>
    </row>
    <row r="53" spans="2:62" s="1" customFormat="1">
      <c r="B53" s="2" t="s">
        <v>428</v>
      </c>
      <c r="C53" s="4"/>
      <c r="D53" s="1365"/>
      <c r="E53" s="1365"/>
      <c r="F53" s="1365">
        <f t="shared" si="1"/>
        <v>0</v>
      </c>
      <c r="G53" s="1365">
        <f t="shared" si="0"/>
        <v>0</v>
      </c>
      <c r="H53" s="1365"/>
      <c r="I53" s="1384"/>
      <c r="J53" s="1365"/>
      <c r="K53" s="1384"/>
      <c r="L53" s="1365"/>
      <c r="M53" s="1365"/>
      <c r="N53" s="2259"/>
      <c r="O53" s="1058"/>
      <c r="P53" s="1482"/>
      <c r="Q53" s="1365"/>
      <c r="R53" s="1482"/>
      <c r="S53" s="1481"/>
      <c r="T53" s="1482"/>
      <c r="U53" s="1481"/>
      <c r="V53" s="1482"/>
      <c r="W53" s="1482"/>
      <c r="X53" s="1187"/>
      <c r="Y53" s="90"/>
      <c r="Z53" s="697"/>
      <c r="AA53" s="697"/>
      <c r="AB53" s="253"/>
      <c r="AC53" s="90"/>
      <c r="AD53" s="253"/>
      <c r="AE53" s="90"/>
      <c r="AF53" s="90"/>
      <c r="AG53" s="90"/>
      <c r="AH53" s="207"/>
      <c r="AI53" s="424"/>
      <c r="AJ53" s="424"/>
      <c r="AK53" s="424"/>
      <c r="AL53" s="666"/>
      <c r="AM53" s="424"/>
      <c r="AN53" s="424"/>
      <c r="AO53" s="424"/>
      <c r="AP53" s="765"/>
      <c r="AQ53" s="424"/>
      <c r="AR53" s="765"/>
      <c r="AS53" s="424"/>
      <c r="AT53" s="424"/>
      <c r="AU53" s="127"/>
      <c r="AV53" s="424"/>
      <c r="AW53" s="424"/>
      <c r="AX53" s="424"/>
      <c r="AY53" s="765"/>
      <c r="AZ53" s="424"/>
      <c r="BA53" s="765"/>
      <c r="BB53" s="424"/>
      <c r="BC53" s="424"/>
      <c r="BD53" s="586"/>
      <c r="BE53" s="126"/>
      <c r="BF53" s="218"/>
      <c r="BG53" s="127"/>
      <c r="BH53" s="218"/>
      <c r="BI53" s="6"/>
    </row>
    <row r="54" spans="2:62" s="1" customFormat="1">
      <c r="B54" s="9"/>
      <c r="C54" s="34" t="s">
        <v>429</v>
      </c>
      <c r="D54" s="1372"/>
      <c r="E54" s="1372"/>
      <c r="F54" s="1365">
        <f t="shared" si="1"/>
        <v>0</v>
      </c>
      <c r="G54" s="1365">
        <f t="shared" si="0"/>
        <v>0</v>
      </c>
      <c r="H54" s="1372"/>
      <c r="I54" s="1384"/>
      <c r="J54" s="1372"/>
      <c r="K54" s="1384"/>
      <c r="L54" s="1372"/>
      <c r="M54" s="1372"/>
      <c r="N54" s="280"/>
      <c r="O54" s="1058"/>
      <c r="P54" s="1494"/>
      <c r="Q54" s="1372"/>
      <c r="R54" s="1494"/>
      <c r="S54" s="1481"/>
      <c r="T54" s="1494"/>
      <c r="U54" s="1481"/>
      <c r="V54" s="1494"/>
      <c r="W54" s="1494"/>
      <c r="X54" s="1187"/>
      <c r="Y54" s="231"/>
      <c r="Z54" s="710"/>
      <c r="AA54" s="710"/>
      <c r="AB54" s="253"/>
      <c r="AC54" s="231"/>
      <c r="AD54" s="253"/>
      <c r="AE54" s="231"/>
      <c r="AF54" s="231"/>
      <c r="AG54" s="231"/>
      <c r="AH54" s="232"/>
      <c r="AI54" s="9">
        <v>0</v>
      </c>
      <c r="AJ54" s="9"/>
      <c r="AK54" s="9"/>
      <c r="AL54" s="667"/>
      <c r="AM54" s="9"/>
      <c r="AN54" s="9"/>
      <c r="AO54" s="9"/>
      <c r="AP54" s="769"/>
      <c r="AQ54" s="9"/>
      <c r="AR54" s="769"/>
      <c r="AS54" s="9"/>
      <c r="AT54" s="9"/>
      <c r="AU54" s="37"/>
      <c r="AV54" s="9"/>
      <c r="AW54" s="9"/>
      <c r="AX54" s="9"/>
      <c r="AY54" s="769"/>
      <c r="AZ54" s="9"/>
      <c r="BA54" s="769"/>
      <c r="BB54" s="9"/>
      <c r="BC54" s="9"/>
      <c r="BD54" s="14"/>
      <c r="BE54" s="128"/>
      <c r="BF54" s="219">
        <v>0</v>
      </c>
      <c r="BG54" s="37"/>
      <c r="BH54" s="219"/>
      <c r="BI54" s="11"/>
    </row>
    <row r="55" spans="2:62" s="1" customFormat="1">
      <c r="B55" s="8"/>
      <c r="C55" s="23" t="s">
        <v>430</v>
      </c>
      <c r="D55" s="1368"/>
      <c r="E55" s="1368"/>
      <c r="F55" s="1365">
        <f t="shared" si="1"/>
        <v>0</v>
      </c>
      <c r="G55" s="1365">
        <f t="shared" si="0"/>
        <v>0</v>
      </c>
      <c r="H55" s="1368">
        <f t="shared" ref="H55:H70" si="32">ROUND((D55+E55),0)</f>
        <v>0</v>
      </c>
      <c r="I55" s="1943"/>
      <c r="J55" s="1368"/>
      <c r="K55" s="1943"/>
      <c r="L55" s="1368"/>
      <c r="M55" s="1967">
        <f t="shared" ref="M55:M70" si="33">ROUND((H55+J55-L55),0)</f>
        <v>0</v>
      </c>
      <c r="N55" s="1967"/>
      <c r="O55" s="1058"/>
      <c r="P55" s="1486"/>
      <c r="Q55" s="1368"/>
      <c r="R55" s="1486">
        <f t="shared" ref="R55:R70" si="34">ROUND((P55+Q55),0)</f>
        <v>0</v>
      </c>
      <c r="S55" s="1487"/>
      <c r="T55" s="1486"/>
      <c r="U55" s="1487"/>
      <c r="V55" s="1486"/>
      <c r="W55" s="1486">
        <f t="shared" ref="W55:W70" si="35">ROUND((R55+T55-V55),0)</f>
        <v>0</v>
      </c>
      <c r="X55" s="1187"/>
      <c r="Y55" s="225"/>
      <c r="Z55" s="699"/>
      <c r="AA55" s="699">
        <f t="shared" ref="AA55:AA70" si="36">ROUND((Y55+Z55),0)</f>
        <v>0</v>
      </c>
      <c r="AB55" s="617"/>
      <c r="AC55" s="225"/>
      <c r="AD55" s="617"/>
      <c r="AE55" s="225"/>
      <c r="AF55" s="225">
        <f t="shared" ref="AF55:AF70" si="37">ROUND((AA55+AC55-AE55),0)</f>
        <v>0</v>
      </c>
      <c r="AG55" s="225"/>
      <c r="AH55" s="208"/>
      <c r="AI55" s="14"/>
      <c r="AJ55" s="14"/>
      <c r="AK55" s="14"/>
      <c r="AL55" s="667"/>
      <c r="AM55" s="14"/>
      <c r="AN55" s="14"/>
      <c r="AO55" s="14">
        <f t="shared" ref="AO55:AO70" si="38">ROUND((AM55+AN55),0)</f>
        <v>0</v>
      </c>
      <c r="AP55" s="437"/>
      <c r="AQ55" s="14"/>
      <c r="AR55" s="437"/>
      <c r="AS55" s="14"/>
      <c r="AT55" s="14">
        <f t="shared" ref="AT55:AT70" si="39">ROUND((AO55+AQ55-AS55),0)</f>
        <v>0</v>
      </c>
      <c r="AU55" s="37"/>
      <c r="AV55" s="14"/>
      <c r="AW55" s="14"/>
      <c r="AX55" s="14">
        <f t="shared" ref="AX55:AX70" si="40">ROUND((AV55+AW55),0)</f>
        <v>0</v>
      </c>
      <c r="AY55" s="437"/>
      <c r="AZ55" s="14"/>
      <c r="BA55" s="437"/>
      <c r="BB55" s="14"/>
      <c r="BC55" s="14">
        <f t="shared" ref="BC55:BC70" si="41">ROUND((AX55+AZ55-BB55),0)</f>
        <v>0</v>
      </c>
      <c r="BD55" s="14"/>
      <c r="BE55" s="128"/>
      <c r="BF55" s="220"/>
      <c r="BG55" s="37"/>
      <c r="BH55" s="219"/>
      <c r="BI55" s="15"/>
    </row>
    <row r="56" spans="2:62" s="1" customFormat="1">
      <c r="B56" s="30"/>
      <c r="C56" s="13" t="s">
        <v>431</v>
      </c>
      <c r="D56" s="1375">
        <v>393935430</v>
      </c>
      <c r="E56" s="1367"/>
      <c r="F56" s="1365">
        <f t="shared" si="1"/>
        <v>393935430</v>
      </c>
      <c r="G56" s="1365">
        <f t="shared" si="0"/>
        <v>0</v>
      </c>
      <c r="H56" s="1367">
        <f t="shared" si="32"/>
        <v>393935430</v>
      </c>
      <c r="I56" s="1384"/>
      <c r="J56" s="1367"/>
      <c r="K56" s="1384"/>
      <c r="L56" s="1367"/>
      <c r="M56" s="1375">
        <f t="shared" si="33"/>
        <v>393935430</v>
      </c>
      <c r="N56" s="1967" t="s">
        <v>432</v>
      </c>
      <c r="O56" s="1058"/>
      <c r="P56" s="1485">
        <v>339894481</v>
      </c>
      <c r="Q56" s="1367"/>
      <c r="R56" s="1485">
        <f t="shared" si="34"/>
        <v>339894481</v>
      </c>
      <c r="S56" s="1481"/>
      <c r="T56" s="1485"/>
      <c r="U56" s="1481"/>
      <c r="V56" s="1485"/>
      <c r="W56" s="1485">
        <f t="shared" si="35"/>
        <v>339894481</v>
      </c>
      <c r="X56" s="1187"/>
      <c r="Y56" s="106">
        <v>422639675</v>
      </c>
      <c r="Z56" s="698"/>
      <c r="AA56" s="698">
        <f t="shared" si="36"/>
        <v>422639675</v>
      </c>
      <c r="AB56" s="253"/>
      <c r="AC56" s="106"/>
      <c r="AD56" s="253"/>
      <c r="AE56" s="106"/>
      <c r="AF56" s="106">
        <f t="shared" si="37"/>
        <v>422639675</v>
      </c>
      <c r="AG56" s="106"/>
      <c r="AH56" s="208" t="s">
        <v>427</v>
      </c>
      <c r="AI56" s="35">
        <v>211054410</v>
      </c>
      <c r="AJ56" s="35"/>
      <c r="AK56" s="35"/>
      <c r="AL56" s="667"/>
      <c r="AM56" s="35">
        <v>482874409</v>
      </c>
      <c r="AN56" s="35"/>
      <c r="AO56" s="35">
        <f t="shared" si="38"/>
        <v>482874409</v>
      </c>
      <c r="AP56" s="784"/>
      <c r="AQ56" s="35"/>
      <c r="AR56" s="784"/>
      <c r="AS56" s="35"/>
      <c r="AT56" s="35">
        <f t="shared" si="39"/>
        <v>482874409</v>
      </c>
      <c r="AU56" s="37"/>
      <c r="AV56" s="35">
        <v>392409005</v>
      </c>
      <c r="AW56" s="35">
        <v>180375</v>
      </c>
      <c r="AX56" s="35">
        <f t="shared" si="40"/>
        <v>392589380</v>
      </c>
      <c r="AY56" s="784"/>
      <c r="AZ56" s="35"/>
      <c r="BA56" s="784"/>
      <c r="BB56" s="35"/>
      <c r="BC56" s="35">
        <f t="shared" si="41"/>
        <v>392589380</v>
      </c>
      <c r="BD56" s="14"/>
      <c r="BE56" s="128"/>
      <c r="BF56" s="219">
        <v>338387925</v>
      </c>
      <c r="BG56" s="37"/>
      <c r="BH56" s="219">
        <v>174380445</v>
      </c>
      <c r="BI56" s="11"/>
      <c r="BJ56" s="2121">
        <f>M56</f>
        <v>393935430</v>
      </c>
    </row>
    <row r="57" spans="2:62" s="1" customFormat="1">
      <c r="B57" s="30" t="s">
        <v>407</v>
      </c>
      <c r="C57" s="13" t="s">
        <v>433</v>
      </c>
      <c r="D57" s="1367"/>
      <c r="E57" s="1367"/>
      <c r="F57" s="1365">
        <f t="shared" si="1"/>
        <v>0</v>
      </c>
      <c r="G57" s="1365">
        <f t="shared" si="0"/>
        <v>0</v>
      </c>
      <c r="H57" s="1367">
        <f t="shared" si="32"/>
        <v>0</v>
      </c>
      <c r="I57" s="1384"/>
      <c r="J57" s="1367"/>
      <c r="K57" s="1384"/>
      <c r="L57" s="1367"/>
      <c r="M57" s="1967">
        <f t="shared" si="33"/>
        <v>0</v>
      </c>
      <c r="N57" s="1967"/>
      <c r="O57" s="1058"/>
      <c r="P57" s="1485"/>
      <c r="Q57" s="1367"/>
      <c r="R57" s="1485">
        <f t="shared" si="34"/>
        <v>0</v>
      </c>
      <c r="S57" s="1481"/>
      <c r="T57" s="1485"/>
      <c r="U57" s="1481"/>
      <c r="V57" s="1485"/>
      <c r="W57" s="1485">
        <f t="shared" si="35"/>
        <v>0</v>
      </c>
      <c r="X57" s="1187"/>
      <c r="Y57" s="106"/>
      <c r="Z57" s="698"/>
      <c r="AA57" s="698">
        <f t="shared" si="36"/>
        <v>0</v>
      </c>
      <c r="AB57" s="253"/>
      <c r="AC57" s="106"/>
      <c r="AD57" s="253"/>
      <c r="AE57" s="106"/>
      <c r="AF57" s="106">
        <f t="shared" si="37"/>
        <v>0</v>
      </c>
      <c r="AG57" s="106"/>
      <c r="AH57" s="208"/>
      <c r="AI57" s="9">
        <v>0</v>
      </c>
      <c r="AJ57" s="9"/>
      <c r="AK57" s="9"/>
      <c r="AL57" s="667"/>
      <c r="AM57" s="9"/>
      <c r="AN57" s="9"/>
      <c r="AO57" s="9">
        <f t="shared" si="38"/>
        <v>0</v>
      </c>
      <c r="AP57" s="769"/>
      <c r="AQ57" s="9"/>
      <c r="AR57" s="769"/>
      <c r="AS57" s="9"/>
      <c r="AT57" s="9">
        <f t="shared" si="39"/>
        <v>0</v>
      </c>
      <c r="AU57" s="37"/>
      <c r="AV57" s="9"/>
      <c r="AW57" s="9"/>
      <c r="AX57" s="9">
        <f t="shared" si="40"/>
        <v>0</v>
      </c>
      <c r="AY57" s="769"/>
      <c r="AZ57" s="9"/>
      <c r="BA57" s="769"/>
      <c r="BB57" s="9"/>
      <c r="BC57" s="9">
        <f t="shared" si="41"/>
        <v>0</v>
      </c>
      <c r="BD57" s="14"/>
      <c r="BE57" s="128"/>
      <c r="BF57" s="219">
        <v>0</v>
      </c>
      <c r="BG57" s="37"/>
      <c r="BH57" s="219">
        <v>0</v>
      </c>
      <c r="BI57" s="11"/>
    </row>
    <row r="58" spans="2:62" s="1" customFormat="1">
      <c r="B58" s="30" t="s">
        <v>407</v>
      </c>
      <c r="C58" s="13" t="s">
        <v>434</v>
      </c>
      <c r="D58" s="1367"/>
      <c r="E58" s="1367">
        <v>15960000</v>
      </c>
      <c r="F58" s="1365">
        <f t="shared" si="1"/>
        <v>15960000</v>
      </c>
      <c r="G58" s="1365">
        <f t="shared" si="0"/>
        <v>0</v>
      </c>
      <c r="H58" s="1367">
        <f t="shared" si="32"/>
        <v>15960000</v>
      </c>
      <c r="I58" s="1384"/>
      <c r="J58" s="1367"/>
      <c r="K58" s="1384"/>
      <c r="L58" s="1367"/>
      <c r="M58" s="1375">
        <f t="shared" si="33"/>
        <v>15960000</v>
      </c>
      <c r="N58" s="1967" t="s">
        <v>435</v>
      </c>
      <c r="O58" s="1058"/>
      <c r="P58" s="1485"/>
      <c r="Q58" s="1367"/>
      <c r="R58" s="1485">
        <f t="shared" si="34"/>
        <v>0</v>
      </c>
      <c r="S58" s="1481"/>
      <c r="T58" s="1485"/>
      <c r="U58" s="1481"/>
      <c r="V58" s="1485"/>
      <c r="W58" s="1485">
        <f t="shared" si="35"/>
        <v>0</v>
      </c>
      <c r="X58" s="1187"/>
      <c r="Y58" s="106"/>
      <c r="Z58" s="698">
        <v>46200000</v>
      </c>
      <c r="AA58" s="698">
        <f t="shared" si="36"/>
        <v>46200000</v>
      </c>
      <c r="AB58" s="253"/>
      <c r="AC58" s="106"/>
      <c r="AD58" s="253"/>
      <c r="AE58" s="106"/>
      <c r="AF58" s="106">
        <f t="shared" si="37"/>
        <v>46200000</v>
      </c>
      <c r="AG58" s="106"/>
      <c r="AH58" s="208"/>
      <c r="AI58" s="35">
        <v>48300000</v>
      </c>
      <c r="AJ58" s="35"/>
      <c r="AK58" s="35"/>
      <c r="AL58" s="667"/>
      <c r="AM58" s="35"/>
      <c r="AN58" s="35">
        <v>53760000</v>
      </c>
      <c r="AO58" s="35">
        <f t="shared" si="38"/>
        <v>53760000</v>
      </c>
      <c r="AP58" s="784"/>
      <c r="AQ58" s="35"/>
      <c r="AR58" s="784"/>
      <c r="AS58" s="35"/>
      <c r="AT58" s="35">
        <f t="shared" si="39"/>
        <v>53760000</v>
      </c>
      <c r="AU58" s="37"/>
      <c r="AV58" s="35"/>
      <c r="AW58" s="35">
        <v>26040000</v>
      </c>
      <c r="AX58" s="35">
        <f t="shared" si="40"/>
        <v>26040000</v>
      </c>
      <c r="AY58" s="784"/>
      <c r="AZ58" s="35"/>
      <c r="BA58" s="784"/>
      <c r="BB58" s="35"/>
      <c r="BC58" s="35">
        <f t="shared" si="41"/>
        <v>26040000</v>
      </c>
      <c r="BD58" s="14"/>
      <c r="BE58" s="128"/>
      <c r="BF58" s="219">
        <v>88430000</v>
      </c>
      <c r="BG58" s="37"/>
      <c r="BH58" s="219">
        <v>11840000</v>
      </c>
      <c r="BI58" s="11"/>
    </row>
    <row r="59" spans="2:62" s="1" customFormat="1">
      <c r="B59" s="30" t="s">
        <v>407</v>
      </c>
      <c r="C59" s="23" t="s">
        <v>436</v>
      </c>
      <c r="D59" s="1368"/>
      <c r="E59" s="1368"/>
      <c r="F59" s="1365">
        <f t="shared" si="1"/>
        <v>0</v>
      </c>
      <c r="G59" s="1365">
        <f t="shared" si="0"/>
        <v>0</v>
      </c>
      <c r="H59" s="1368">
        <f t="shared" si="32"/>
        <v>0</v>
      </c>
      <c r="I59" s="1943"/>
      <c r="J59" s="1368"/>
      <c r="K59" s="1943"/>
      <c r="L59" s="1368"/>
      <c r="M59" s="1967">
        <f t="shared" si="33"/>
        <v>0</v>
      </c>
      <c r="N59" s="1967"/>
      <c r="O59" s="1058"/>
      <c r="P59" s="1486"/>
      <c r="Q59" s="1368"/>
      <c r="R59" s="1486">
        <f t="shared" si="34"/>
        <v>0</v>
      </c>
      <c r="S59" s="1487"/>
      <c r="T59" s="1486"/>
      <c r="U59" s="1487"/>
      <c r="V59" s="1486"/>
      <c r="W59" s="1486">
        <f t="shared" si="35"/>
        <v>0</v>
      </c>
      <c r="X59" s="1187"/>
      <c r="Y59" s="225"/>
      <c r="Z59" s="699">
        <v>0</v>
      </c>
      <c r="AA59" s="699">
        <f t="shared" si="36"/>
        <v>0</v>
      </c>
      <c r="AB59" s="617"/>
      <c r="AC59" s="225"/>
      <c r="AD59" s="617"/>
      <c r="AE59" s="225"/>
      <c r="AF59" s="225">
        <f t="shared" si="37"/>
        <v>0</v>
      </c>
      <c r="AG59" s="225"/>
      <c r="AH59" s="208"/>
      <c r="AI59" s="9">
        <v>0</v>
      </c>
      <c r="AJ59" s="9"/>
      <c r="AK59" s="9"/>
      <c r="AL59" s="667"/>
      <c r="AM59" s="9"/>
      <c r="AN59" s="9"/>
      <c r="AO59" s="9">
        <f t="shared" si="38"/>
        <v>0</v>
      </c>
      <c r="AP59" s="769"/>
      <c r="AQ59" s="9"/>
      <c r="AR59" s="769"/>
      <c r="AS59" s="9"/>
      <c r="AT59" s="9">
        <f t="shared" si="39"/>
        <v>0</v>
      </c>
      <c r="AU59" s="37"/>
      <c r="AV59" s="9"/>
      <c r="AW59" s="9"/>
      <c r="AX59" s="9">
        <f t="shared" si="40"/>
        <v>0</v>
      </c>
      <c r="AY59" s="769"/>
      <c r="AZ59" s="9"/>
      <c r="BA59" s="769"/>
      <c r="BB59" s="9"/>
      <c r="BC59" s="9">
        <f t="shared" si="41"/>
        <v>0</v>
      </c>
      <c r="BD59" s="14"/>
      <c r="BE59" s="128"/>
      <c r="BF59" s="219">
        <v>0</v>
      </c>
      <c r="BG59" s="37"/>
      <c r="BH59" s="219">
        <v>0</v>
      </c>
      <c r="BI59" s="11"/>
    </row>
    <row r="60" spans="2:62" s="1" customFormat="1">
      <c r="B60" s="30" t="s">
        <v>407</v>
      </c>
      <c r="C60" s="13" t="s">
        <v>437</v>
      </c>
      <c r="D60" s="1367"/>
      <c r="E60" s="1367">
        <v>79850000</v>
      </c>
      <c r="F60" s="1365">
        <f t="shared" si="1"/>
        <v>79850000</v>
      </c>
      <c r="G60" s="1365">
        <f t="shared" si="0"/>
        <v>0</v>
      </c>
      <c r="H60" s="1367">
        <f t="shared" si="32"/>
        <v>79850000</v>
      </c>
      <c r="I60" s="1384"/>
      <c r="J60" s="1367"/>
      <c r="K60" s="1384"/>
      <c r="L60" s="1367"/>
      <c r="M60" s="1375">
        <f t="shared" si="33"/>
        <v>79850000</v>
      </c>
      <c r="N60" s="1967" t="s">
        <v>435</v>
      </c>
      <c r="O60" s="1058"/>
      <c r="P60" s="1485"/>
      <c r="Q60" s="1367">
        <v>42280000</v>
      </c>
      <c r="R60" s="1485">
        <f t="shared" si="34"/>
        <v>42280000</v>
      </c>
      <c r="S60" s="1481"/>
      <c r="T60" s="1485"/>
      <c r="U60" s="1481"/>
      <c r="V60" s="1485"/>
      <c r="W60" s="1485">
        <f t="shared" si="35"/>
        <v>42280000</v>
      </c>
      <c r="X60" s="1187"/>
      <c r="Y60" s="106"/>
      <c r="Z60" s="698">
        <v>47050000</v>
      </c>
      <c r="AA60" s="698">
        <f t="shared" si="36"/>
        <v>47050000</v>
      </c>
      <c r="AB60" s="253"/>
      <c r="AC60" s="106"/>
      <c r="AD60" s="253"/>
      <c r="AE60" s="106"/>
      <c r="AF60" s="106">
        <f t="shared" si="37"/>
        <v>47050000</v>
      </c>
      <c r="AG60" s="106"/>
      <c r="AH60" s="208"/>
      <c r="AI60" s="35">
        <v>108320000</v>
      </c>
      <c r="AJ60" s="35"/>
      <c r="AK60" s="35"/>
      <c r="AL60" s="667"/>
      <c r="AM60" s="35"/>
      <c r="AN60" s="35">
        <v>148130000</v>
      </c>
      <c r="AO60" s="35">
        <f t="shared" si="38"/>
        <v>148130000</v>
      </c>
      <c r="AP60" s="784"/>
      <c r="AQ60" s="35"/>
      <c r="AR60" s="784"/>
      <c r="AS60" s="35"/>
      <c r="AT60" s="35">
        <f t="shared" si="39"/>
        <v>148130000</v>
      </c>
      <c r="AU60" s="37"/>
      <c r="AV60" s="35"/>
      <c r="AW60" s="35">
        <v>164330000</v>
      </c>
      <c r="AX60" s="35">
        <f t="shared" si="40"/>
        <v>164330000</v>
      </c>
      <c r="AY60" s="784"/>
      <c r="AZ60" s="35"/>
      <c r="BA60" s="784"/>
      <c r="BB60" s="35"/>
      <c r="BC60" s="35">
        <f t="shared" si="41"/>
        <v>164330000</v>
      </c>
      <c r="BD60" s="14"/>
      <c r="BE60" s="128"/>
      <c r="BF60" s="219">
        <v>90935000</v>
      </c>
      <c r="BG60" s="37"/>
      <c r="BH60" s="219">
        <v>36235000</v>
      </c>
      <c r="BI60" s="11"/>
      <c r="BJ60" s="2121">
        <f>M60+M58+M73</f>
        <v>116340775</v>
      </c>
    </row>
    <row r="61" spans="2:62" s="1" customFormat="1">
      <c r="B61" s="30" t="s">
        <v>407</v>
      </c>
      <c r="C61" s="13" t="s">
        <v>438</v>
      </c>
      <c r="D61" s="1367"/>
      <c r="E61" s="1367"/>
      <c r="F61" s="1365">
        <f t="shared" si="1"/>
        <v>0</v>
      </c>
      <c r="G61" s="1365">
        <f t="shared" si="0"/>
        <v>0</v>
      </c>
      <c r="H61" s="1367">
        <f t="shared" si="32"/>
        <v>0</v>
      </c>
      <c r="I61" s="1384"/>
      <c r="J61" s="1367"/>
      <c r="K61" s="1384"/>
      <c r="L61" s="1367"/>
      <c r="M61" s="1967">
        <f t="shared" si="33"/>
        <v>0</v>
      </c>
      <c r="N61" s="1967"/>
      <c r="O61" s="1058"/>
      <c r="P61" s="1485"/>
      <c r="Q61" s="1367"/>
      <c r="R61" s="1485">
        <f t="shared" si="34"/>
        <v>0</v>
      </c>
      <c r="S61" s="1481"/>
      <c r="T61" s="1485"/>
      <c r="U61" s="1481"/>
      <c r="V61" s="1485"/>
      <c r="W61" s="1485">
        <f t="shared" si="35"/>
        <v>0</v>
      </c>
      <c r="X61" s="1187"/>
      <c r="Y61" s="106"/>
      <c r="Z61" s="698"/>
      <c r="AA61" s="698">
        <f t="shared" si="36"/>
        <v>0</v>
      </c>
      <c r="AB61" s="253"/>
      <c r="AC61" s="106"/>
      <c r="AD61" s="253"/>
      <c r="AE61" s="106"/>
      <c r="AF61" s="106">
        <f t="shared" si="37"/>
        <v>0</v>
      </c>
      <c r="AG61" s="106"/>
      <c r="AH61" s="208"/>
      <c r="AI61" s="9">
        <v>0</v>
      </c>
      <c r="AJ61" s="9"/>
      <c r="AK61" s="9"/>
      <c r="AL61" s="667"/>
      <c r="AM61" s="9"/>
      <c r="AN61" s="9"/>
      <c r="AO61" s="9">
        <f t="shared" si="38"/>
        <v>0</v>
      </c>
      <c r="AP61" s="769"/>
      <c r="AQ61" s="9"/>
      <c r="AR61" s="769"/>
      <c r="AS61" s="9"/>
      <c r="AT61" s="9">
        <f t="shared" si="39"/>
        <v>0</v>
      </c>
      <c r="AU61" s="37"/>
      <c r="AV61" s="9"/>
      <c r="AW61" s="9"/>
      <c r="AX61" s="9">
        <f t="shared" si="40"/>
        <v>0</v>
      </c>
      <c r="AY61" s="769"/>
      <c r="AZ61" s="9"/>
      <c r="BA61" s="769"/>
      <c r="BB61" s="9"/>
      <c r="BC61" s="9">
        <f t="shared" si="41"/>
        <v>0</v>
      </c>
      <c r="BD61" s="14"/>
      <c r="BE61" s="128"/>
      <c r="BF61" s="219">
        <v>0</v>
      </c>
      <c r="BG61" s="37"/>
      <c r="BH61" s="219">
        <v>0</v>
      </c>
      <c r="BI61" s="11"/>
    </row>
    <row r="62" spans="2:62" s="1" customFormat="1">
      <c r="B62" s="30" t="s">
        <v>407</v>
      </c>
      <c r="C62" s="13" t="s">
        <v>439</v>
      </c>
      <c r="D62" s="1367"/>
      <c r="E62" s="1367"/>
      <c r="F62" s="1365">
        <f t="shared" si="1"/>
        <v>0</v>
      </c>
      <c r="G62" s="1365">
        <f t="shared" si="0"/>
        <v>0</v>
      </c>
      <c r="H62" s="1367">
        <f t="shared" si="32"/>
        <v>0</v>
      </c>
      <c r="I62" s="1384"/>
      <c r="J62" s="1367"/>
      <c r="K62" s="1384"/>
      <c r="L62" s="1367"/>
      <c r="M62" s="1967">
        <f t="shared" si="33"/>
        <v>0</v>
      </c>
      <c r="N62" s="1967"/>
      <c r="O62" s="1058"/>
      <c r="P62" s="1485"/>
      <c r="Q62" s="1367"/>
      <c r="R62" s="1485">
        <f t="shared" si="34"/>
        <v>0</v>
      </c>
      <c r="S62" s="1481"/>
      <c r="T62" s="1485"/>
      <c r="U62" s="1481"/>
      <c r="V62" s="1485"/>
      <c r="W62" s="1485">
        <f t="shared" si="35"/>
        <v>0</v>
      </c>
      <c r="X62" s="1187"/>
      <c r="Y62" s="106"/>
      <c r="Z62" s="698"/>
      <c r="AA62" s="698">
        <f t="shared" si="36"/>
        <v>0</v>
      </c>
      <c r="AB62" s="253"/>
      <c r="AC62" s="106"/>
      <c r="AD62" s="253"/>
      <c r="AE62" s="106"/>
      <c r="AF62" s="106">
        <f t="shared" si="37"/>
        <v>0</v>
      </c>
      <c r="AG62" s="106"/>
      <c r="AH62" s="208"/>
      <c r="AI62" s="9">
        <v>0</v>
      </c>
      <c r="AJ62" s="9"/>
      <c r="AK62" s="9"/>
      <c r="AL62" s="667"/>
      <c r="AM62" s="9"/>
      <c r="AN62" s="9"/>
      <c r="AO62" s="9">
        <f t="shared" si="38"/>
        <v>0</v>
      </c>
      <c r="AP62" s="769"/>
      <c r="AQ62" s="9"/>
      <c r="AR62" s="769"/>
      <c r="AS62" s="9"/>
      <c r="AT62" s="9">
        <f t="shared" si="39"/>
        <v>0</v>
      </c>
      <c r="AU62" s="37"/>
      <c r="AV62" s="9"/>
      <c r="AW62" s="9"/>
      <c r="AX62" s="9">
        <f t="shared" si="40"/>
        <v>0</v>
      </c>
      <c r="AY62" s="769"/>
      <c r="AZ62" s="9"/>
      <c r="BA62" s="769"/>
      <c r="BB62" s="9"/>
      <c r="BC62" s="9">
        <f t="shared" si="41"/>
        <v>0</v>
      </c>
      <c r="BD62" s="14"/>
      <c r="BE62" s="128"/>
      <c r="BF62" s="219">
        <v>0</v>
      </c>
      <c r="BG62" s="37"/>
      <c r="BH62" s="219">
        <v>0</v>
      </c>
      <c r="BI62" s="11"/>
    </row>
    <row r="63" spans="2:62" s="1" customFormat="1">
      <c r="B63" s="30" t="s">
        <v>407</v>
      </c>
      <c r="C63" s="13" t="s">
        <v>440</v>
      </c>
      <c r="D63" s="1367"/>
      <c r="E63" s="1367"/>
      <c r="F63" s="1365">
        <f t="shared" si="1"/>
        <v>0</v>
      </c>
      <c r="G63" s="1365">
        <f t="shared" si="0"/>
        <v>0</v>
      </c>
      <c r="H63" s="1367">
        <f t="shared" si="32"/>
        <v>0</v>
      </c>
      <c r="I63" s="1384"/>
      <c r="J63" s="1367"/>
      <c r="K63" s="1384"/>
      <c r="L63" s="1367"/>
      <c r="M63" s="1967">
        <f t="shared" si="33"/>
        <v>0</v>
      </c>
      <c r="N63" s="1967"/>
      <c r="O63" s="1058"/>
      <c r="P63" s="1485"/>
      <c r="Q63" s="1367"/>
      <c r="R63" s="1485">
        <f t="shared" si="34"/>
        <v>0</v>
      </c>
      <c r="S63" s="1481"/>
      <c r="T63" s="1485"/>
      <c r="U63" s="1481"/>
      <c r="V63" s="1485"/>
      <c r="W63" s="1485">
        <f t="shared" si="35"/>
        <v>0</v>
      </c>
      <c r="X63" s="1187"/>
      <c r="Y63" s="106"/>
      <c r="Z63" s="698"/>
      <c r="AA63" s="698">
        <f t="shared" si="36"/>
        <v>0</v>
      </c>
      <c r="AB63" s="253"/>
      <c r="AC63" s="106"/>
      <c r="AD63" s="253"/>
      <c r="AE63" s="106"/>
      <c r="AF63" s="106">
        <f t="shared" si="37"/>
        <v>0</v>
      </c>
      <c r="AG63" s="106"/>
      <c r="AH63" s="208"/>
      <c r="AI63" s="9">
        <v>0</v>
      </c>
      <c r="AJ63" s="9"/>
      <c r="AK63" s="9"/>
      <c r="AL63" s="667"/>
      <c r="AM63" s="9"/>
      <c r="AN63" s="9"/>
      <c r="AO63" s="9">
        <f t="shared" si="38"/>
        <v>0</v>
      </c>
      <c r="AP63" s="769"/>
      <c r="AQ63" s="9"/>
      <c r="AR63" s="769"/>
      <c r="AS63" s="9"/>
      <c r="AT63" s="9">
        <f t="shared" si="39"/>
        <v>0</v>
      </c>
      <c r="AU63" s="37"/>
      <c r="AV63" s="9"/>
      <c r="AW63" s="9"/>
      <c r="AX63" s="9">
        <f t="shared" si="40"/>
        <v>0</v>
      </c>
      <c r="AY63" s="769"/>
      <c r="AZ63" s="9"/>
      <c r="BA63" s="769"/>
      <c r="BB63" s="9"/>
      <c r="BC63" s="9">
        <f t="shared" si="41"/>
        <v>0</v>
      </c>
      <c r="BD63" s="14"/>
      <c r="BE63" s="128"/>
      <c r="BF63" s="219">
        <v>0</v>
      </c>
      <c r="BG63" s="37"/>
      <c r="BH63" s="219">
        <v>0</v>
      </c>
      <c r="BI63" s="11"/>
    </row>
    <row r="64" spans="2:62" s="1" customFormat="1">
      <c r="B64" s="30"/>
      <c r="C64" s="13" t="s">
        <v>441</v>
      </c>
      <c r="D64" s="1367">
        <v>0</v>
      </c>
      <c r="E64" s="1367"/>
      <c r="F64" s="1365">
        <f t="shared" si="1"/>
        <v>0</v>
      </c>
      <c r="G64" s="1365">
        <f t="shared" si="0"/>
        <v>0</v>
      </c>
      <c r="H64" s="1367">
        <f t="shared" si="32"/>
        <v>0</v>
      </c>
      <c r="I64" s="1384"/>
      <c r="J64" s="1367"/>
      <c r="K64" s="1384"/>
      <c r="L64" s="1367"/>
      <c r="M64" s="1967">
        <f t="shared" si="33"/>
        <v>0</v>
      </c>
      <c r="N64" s="1967"/>
      <c r="O64" s="1058"/>
      <c r="P64" s="1485"/>
      <c r="Q64" s="1367"/>
      <c r="R64" s="1485">
        <f t="shared" si="34"/>
        <v>0</v>
      </c>
      <c r="S64" s="1481"/>
      <c r="T64" s="1485"/>
      <c r="U64" s="1481"/>
      <c r="V64" s="1485"/>
      <c r="W64" s="1485">
        <f t="shared" si="35"/>
        <v>0</v>
      </c>
      <c r="X64" s="1187"/>
      <c r="Y64" s="106"/>
      <c r="Z64" s="698"/>
      <c r="AA64" s="698">
        <f t="shared" si="36"/>
        <v>0</v>
      </c>
      <c r="AB64" s="253"/>
      <c r="AC64" s="106"/>
      <c r="AD64" s="253"/>
      <c r="AE64" s="106"/>
      <c r="AF64" s="106">
        <f t="shared" si="37"/>
        <v>0</v>
      </c>
      <c r="AG64" s="106"/>
      <c r="AH64" s="208"/>
      <c r="AI64" s="9">
        <v>0</v>
      </c>
      <c r="AJ64" s="9"/>
      <c r="AK64" s="9"/>
      <c r="AL64" s="667"/>
      <c r="AM64" s="9">
        <v>14980</v>
      </c>
      <c r="AN64" s="9"/>
      <c r="AO64" s="9">
        <f t="shared" si="38"/>
        <v>14980</v>
      </c>
      <c r="AP64" s="769"/>
      <c r="AQ64" s="9"/>
      <c r="AR64" s="769"/>
      <c r="AS64" s="9"/>
      <c r="AT64" s="9">
        <f t="shared" si="39"/>
        <v>14980</v>
      </c>
      <c r="AU64" s="37"/>
      <c r="AV64" s="9">
        <v>14980</v>
      </c>
      <c r="AW64" s="9"/>
      <c r="AX64" s="9">
        <f t="shared" si="40"/>
        <v>14980</v>
      </c>
      <c r="AY64" s="769"/>
      <c r="AZ64" s="9"/>
      <c r="BA64" s="769"/>
      <c r="BB64" s="9"/>
      <c r="BC64" s="9">
        <f t="shared" si="41"/>
        <v>14980</v>
      </c>
      <c r="BD64" s="14"/>
      <c r="BE64" s="128"/>
      <c r="BF64" s="219">
        <v>14980</v>
      </c>
      <c r="BG64" s="37"/>
      <c r="BH64" s="219">
        <v>14980</v>
      </c>
      <c r="BI64" s="11"/>
    </row>
    <row r="65" spans="2:62" s="1" customFormat="1">
      <c r="B65" s="30"/>
      <c r="C65" s="13" t="s">
        <v>442</v>
      </c>
      <c r="D65" s="1367"/>
      <c r="E65" s="1367"/>
      <c r="F65" s="1365">
        <f t="shared" si="1"/>
        <v>0</v>
      </c>
      <c r="G65" s="1365">
        <f t="shared" si="0"/>
        <v>0</v>
      </c>
      <c r="H65" s="1367">
        <f t="shared" si="32"/>
        <v>0</v>
      </c>
      <c r="I65" s="1384"/>
      <c r="J65" s="1367"/>
      <c r="K65" s="1384"/>
      <c r="L65" s="1367"/>
      <c r="M65" s="1967">
        <f t="shared" si="33"/>
        <v>0</v>
      </c>
      <c r="N65" s="1967"/>
      <c r="O65" s="1058"/>
      <c r="P65" s="1485"/>
      <c r="Q65" s="1367"/>
      <c r="R65" s="1485">
        <f t="shared" si="34"/>
        <v>0</v>
      </c>
      <c r="S65" s="1481"/>
      <c r="T65" s="1485"/>
      <c r="U65" s="1481"/>
      <c r="V65" s="1485"/>
      <c r="W65" s="1485">
        <f t="shared" si="35"/>
        <v>0</v>
      </c>
      <c r="X65" s="1187"/>
      <c r="Y65" s="106"/>
      <c r="Z65" s="698"/>
      <c r="AA65" s="698">
        <f t="shared" si="36"/>
        <v>0</v>
      </c>
      <c r="AB65" s="253"/>
      <c r="AC65" s="106"/>
      <c r="AD65" s="253"/>
      <c r="AE65" s="106"/>
      <c r="AF65" s="106">
        <f t="shared" si="37"/>
        <v>0</v>
      </c>
      <c r="AG65" s="106"/>
      <c r="AH65" s="208"/>
      <c r="AI65" s="9">
        <v>0</v>
      </c>
      <c r="AJ65" s="9"/>
      <c r="AK65" s="9"/>
      <c r="AL65" s="667"/>
      <c r="AM65" s="9"/>
      <c r="AN65" s="9"/>
      <c r="AO65" s="9">
        <f t="shared" si="38"/>
        <v>0</v>
      </c>
      <c r="AP65" s="769"/>
      <c r="AQ65" s="9"/>
      <c r="AR65" s="769"/>
      <c r="AS65" s="9"/>
      <c r="AT65" s="9">
        <f t="shared" si="39"/>
        <v>0</v>
      </c>
      <c r="AU65" s="37"/>
      <c r="AV65" s="9"/>
      <c r="AW65" s="9"/>
      <c r="AX65" s="9">
        <f t="shared" si="40"/>
        <v>0</v>
      </c>
      <c r="AY65" s="769"/>
      <c r="AZ65" s="9"/>
      <c r="BA65" s="769"/>
      <c r="BB65" s="9"/>
      <c r="BC65" s="9">
        <f t="shared" si="41"/>
        <v>0</v>
      </c>
      <c r="BD65" s="14"/>
      <c r="BE65" s="128"/>
      <c r="BF65" s="219">
        <v>0</v>
      </c>
      <c r="BG65" s="37"/>
      <c r="BH65" s="219">
        <v>0</v>
      </c>
      <c r="BI65" s="11"/>
    </row>
    <row r="66" spans="2:62" s="1" customFormat="1">
      <c r="B66" s="30"/>
      <c r="C66" s="13" t="s">
        <v>443</v>
      </c>
      <c r="D66" s="1367"/>
      <c r="E66" s="1367"/>
      <c r="F66" s="1365">
        <f t="shared" si="1"/>
        <v>0</v>
      </c>
      <c r="G66" s="1365">
        <f t="shared" si="0"/>
        <v>0</v>
      </c>
      <c r="H66" s="1367">
        <f t="shared" si="32"/>
        <v>0</v>
      </c>
      <c r="I66" s="1384"/>
      <c r="J66" s="1367"/>
      <c r="K66" s="1384"/>
      <c r="L66" s="1367"/>
      <c r="M66" s="1967">
        <f t="shared" si="33"/>
        <v>0</v>
      </c>
      <c r="N66" s="1967"/>
      <c r="O66" s="1058"/>
      <c r="P66" s="1485"/>
      <c r="Q66" s="1367"/>
      <c r="R66" s="1485">
        <f t="shared" si="34"/>
        <v>0</v>
      </c>
      <c r="S66" s="1481"/>
      <c r="T66" s="1485"/>
      <c r="U66" s="1481"/>
      <c r="V66" s="1485"/>
      <c r="W66" s="1485">
        <f t="shared" si="35"/>
        <v>0</v>
      </c>
      <c r="X66" s="1187"/>
      <c r="Y66" s="106"/>
      <c r="Z66" s="698"/>
      <c r="AA66" s="698">
        <f t="shared" si="36"/>
        <v>0</v>
      </c>
      <c r="AB66" s="253"/>
      <c r="AC66" s="106"/>
      <c r="AD66" s="253"/>
      <c r="AE66" s="106"/>
      <c r="AF66" s="106">
        <f t="shared" si="37"/>
        <v>0</v>
      </c>
      <c r="AG66" s="106"/>
      <c r="AH66" s="208"/>
      <c r="AI66" s="9">
        <v>0</v>
      </c>
      <c r="AJ66" s="9"/>
      <c r="AK66" s="9"/>
      <c r="AL66" s="667"/>
      <c r="AM66" s="9"/>
      <c r="AN66" s="9"/>
      <c r="AO66" s="9">
        <f t="shared" si="38"/>
        <v>0</v>
      </c>
      <c r="AP66" s="769"/>
      <c r="AQ66" s="9"/>
      <c r="AR66" s="769"/>
      <c r="AS66" s="9"/>
      <c r="AT66" s="9">
        <f t="shared" si="39"/>
        <v>0</v>
      </c>
      <c r="AU66" s="37"/>
      <c r="AV66" s="9"/>
      <c r="AW66" s="9"/>
      <c r="AX66" s="9">
        <f t="shared" si="40"/>
        <v>0</v>
      </c>
      <c r="AY66" s="769"/>
      <c r="AZ66" s="9"/>
      <c r="BA66" s="769"/>
      <c r="BB66" s="9"/>
      <c r="BC66" s="9">
        <f t="shared" si="41"/>
        <v>0</v>
      </c>
      <c r="BD66" s="14"/>
      <c r="BE66" s="128"/>
      <c r="BF66" s="219">
        <v>0</v>
      </c>
      <c r="BG66" s="37"/>
      <c r="BH66" s="219">
        <v>0</v>
      </c>
      <c r="BI66" s="11"/>
    </row>
    <row r="67" spans="2:62" s="1" customFormat="1">
      <c r="B67" s="30"/>
      <c r="C67" s="13" t="s">
        <v>444</v>
      </c>
      <c r="D67" s="1367">
        <v>0</v>
      </c>
      <c r="E67" s="1367"/>
      <c r="F67" s="1365">
        <f t="shared" si="1"/>
        <v>0</v>
      </c>
      <c r="G67" s="1365">
        <f t="shared" si="0"/>
        <v>0</v>
      </c>
      <c r="H67" s="1367">
        <f t="shared" si="32"/>
        <v>0</v>
      </c>
      <c r="I67" s="1384"/>
      <c r="J67" s="1367"/>
      <c r="K67" s="1384"/>
      <c r="L67" s="1367"/>
      <c r="M67" s="1967">
        <f t="shared" si="33"/>
        <v>0</v>
      </c>
      <c r="N67" s="1967"/>
      <c r="O67" s="1058"/>
      <c r="P67" s="1485"/>
      <c r="Q67" s="1367"/>
      <c r="R67" s="1485">
        <f t="shared" si="34"/>
        <v>0</v>
      </c>
      <c r="S67" s="1481"/>
      <c r="T67" s="1485"/>
      <c r="U67" s="1481"/>
      <c r="V67" s="1485"/>
      <c r="W67" s="1485">
        <f t="shared" si="35"/>
        <v>0</v>
      </c>
      <c r="X67" s="1187"/>
      <c r="Y67" s="106"/>
      <c r="Z67" s="698"/>
      <c r="AA67" s="698">
        <f t="shared" si="36"/>
        <v>0</v>
      </c>
      <c r="AB67" s="253"/>
      <c r="AC67" s="106"/>
      <c r="AD67" s="253"/>
      <c r="AE67" s="106"/>
      <c r="AF67" s="106">
        <f t="shared" si="37"/>
        <v>0</v>
      </c>
      <c r="AG67" s="106"/>
      <c r="AH67" s="208"/>
      <c r="AI67" s="9">
        <v>0</v>
      </c>
      <c r="AJ67" s="9"/>
      <c r="AK67" s="9"/>
      <c r="AL67" s="667"/>
      <c r="AM67" s="9">
        <v>14649340</v>
      </c>
      <c r="AN67" s="9"/>
      <c r="AO67" s="9">
        <f t="shared" si="38"/>
        <v>14649340</v>
      </c>
      <c r="AP67" s="769"/>
      <c r="AQ67" s="9"/>
      <c r="AR67" s="769"/>
      <c r="AS67" s="9"/>
      <c r="AT67" s="9">
        <f t="shared" si="39"/>
        <v>14649340</v>
      </c>
      <c r="AU67" s="37"/>
      <c r="AV67" s="9">
        <v>29870000</v>
      </c>
      <c r="AW67" s="9"/>
      <c r="AX67" s="9">
        <f t="shared" si="40"/>
        <v>29870000</v>
      </c>
      <c r="AY67" s="769"/>
      <c r="AZ67" s="9"/>
      <c r="BA67" s="769"/>
      <c r="BB67" s="9"/>
      <c r="BC67" s="9">
        <f t="shared" si="41"/>
        <v>29870000</v>
      </c>
      <c r="BD67" s="14"/>
      <c r="BE67" s="128"/>
      <c r="BF67" s="219">
        <v>29870000</v>
      </c>
      <c r="BG67" s="37"/>
      <c r="BH67" s="219">
        <v>0</v>
      </c>
      <c r="BI67" s="11"/>
    </row>
    <row r="68" spans="2:62" s="1" customFormat="1">
      <c r="B68" s="30"/>
      <c r="C68" s="13" t="s">
        <v>445</v>
      </c>
      <c r="D68" s="1367">
        <v>0</v>
      </c>
      <c r="E68" s="1367"/>
      <c r="F68" s="1365">
        <f t="shared" si="1"/>
        <v>0</v>
      </c>
      <c r="G68" s="1365">
        <f t="shared" si="0"/>
        <v>0</v>
      </c>
      <c r="H68" s="1367">
        <f t="shared" si="32"/>
        <v>0</v>
      </c>
      <c r="I68" s="1384"/>
      <c r="J68" s="1367"/>
      <c r="K68" s="1384"/>
      <c r="L68" s="1367"/>
      <c r="M68" s="1967">
        <f t="shared" si="33"/>
        <v>0</v>
      </c>
      <c r="N68" s="1967"/>
      <c r="O68" s="1058"/>
      <c r="P68" s="1485"/>
      <c r="Q68" s="1367"/>
      <c r="R68" s="1485">
        <f t="shared" si="34"/>
        <v>0</v>
      </c>
      <c r="S68" s="1481"/>
      <c r="T68" s="1485"/>
      <c r="U68" s="1481"/>
      <c r="V68" s="1485"/>
      <c r="W68" s="1485">
        <f t="shared" si="35"/>
        <v>0</v>
      </c>
      <c r="X68" s="1187"/>
      <c r="Y68" s="106"/>
      <c r="Z68" s="698"/>
      <c r="AA68" s="698">
        <f t="shared" si="36"/>
        <v>0</v>
      </c>
      <c r="AB68" s="253"/>
      <c r="AC68" s="106"/>
      <c r="AD68" s="253"/>
      <c r="AE68" s="106"/>
      <c r="AF68" s="106">
        <f t="shared" si="37"/>
        <v>0</v>
      </c>
      <c r="AG68" s="106"/>
      <c r="AH68" s="208"/>
      <c r="AI68" s="9">
        <v>0</v>
      </c>
      <c r="AJ68" s="9"/>
      <c r="AK68" s="9"/>
      <c r="AL68" s="667"/>
      <c r="AM68" s="9">
        <v>520000</v>
      </c>
      <c r="AN68" s="9"/>
      <c r="AO68" s="9">
        <f t="shared" si="38"/>
        <v>520000</v>
      </c>
      <c r="AP68" s="769"/>
      <c r="AQ68" s="9"/>
      <c r="AR68" s="769"/>
      <c r="AS68" s="9"/>
      <c r="AT68" s="9">
        <f t="shared" si="39"/>
        <v>520000</v>
      </c>
      <c r="AU68" s="37"/>
      <c r="AV68" s="9">
        <v>520000</v>
      </c>
      <c r="AW68" s="9"/>
      <c r="AX68" s="9">
        <f t="shared" si="40"/>
        <v>520000</v>
      </c>
      <c r="AY68" s="769"/>
      <c r="AZ68" s="9"/>
      <c r="BA68" s="769"/>
      <c r="BB68" s="9"/>
      <c r="BC68" s="9">
        <f t="shared" si="41"/>
        <v>520000</v>
      </c>
      <c r="BD68" s="14"/>
      <c r="BE68" s="128"/>
      <c r="BF68" s="219">
        <v>520000</v>
      </c>
      <c r="BG68" s="37"/>
      <c r="BH68" s="219">
        <v>0</v>
      </c>
      <c r="BI68" s="11"/>
    </row>
    <row r="69" spans="2:62" s="1" customFormat="1">
      <c r="B69" s="30"/>
      <c r="C69" s="13" t="s">
        <v>446</v>
      </c>
      <c r="D69" s="1367">
        <v>0</v>
      </c>
      <c r="E69" s="1367"/>
      <c r="F69" s="1365">
        <f t="shared" si="1"/>
        <v>0</v>
      </c>
      <c r="G69" s="1365">
        <f t="shared" si="0"/>
        <v>0</v>
      </c>
      <c r="H69" s="1367">
        <f t="shared" si="32"/>
        <v>0</v>
      </c>
      <c r="I69" s="1384"/>
      <c r="J69" s="1367"/>
      <c r="K69" s="1384"/>
      <c r="L69" s="1367"/>
      <c r="M69" s="1967">
        <f t="shared" si="33"/>
        <v>0</v>
      </c>
      <c r="N69" s="1967" t="s">
        <v>435</v>
      </c>
      <c r="O69" s="1058"/>
      <c r="P69" s="1485"/>
      <c r="Q69" s="1367"/>
      <c r="R69" s="1485">
        <f t="shared" si="34"/>
        <v>0</v>
      </c>
      <c r="S69" s="1481"/>
      <c r="T69" s="1485"/>
      <c r="U69" s="1481"/>
      <c r="V69" s="1485"/>
      <c r="W69" s="1485">
        <f t="shared" si="35"/>
        <v>0</v>
      </c>
      <c r="X69" s="1187"/>
      <c r="Y69" s="106"/>
      <c r="Z69" s="698"/>
      <c r="AA69" s="698">
        <f t="shared" si="36"/>
        <v>0</v>
      </c>
      <c r="AB69" s="253"/>
      <c r="AC69" s="106"/>
      <c r="AD69" s="253"/>
      <c r="AE69" s="106"/>
      <c r="AF69" s="106">
        <f t="shared" si="37"/>
        <v>0</v>
      </c>
      <c r="AG69" s="106"/>
      <c r="AH69" s="208"/>
      <c r="AI69" s="35">
        <v>1480185</v>
      </c>
      <c r="AJ69" s="35"/>
      <c r="AK69" s="35"/>
      <c r="AL69" s="667"/>
      <c r="AM69" s="35"/>
      <c r="AN69" s="35"/>
      <c r="AO69" s="35">
        <f t="shared" si="38"/>
        <v>0</v>
      </c>
      <c r="AP69" s="784"/>
      <c r="AQ69" s="35"/>
      <c r="AR69" s="784"/>
      <c r="AS69" s="35"/>
      <c r="AT69" s="35">
        <f t="shared" si="39"/>
        <v>0</v>
      </c>
      <c r="AU69" s="37"/>
      <c r="AV69" s="35"/>
      <c r="AW69" s="35"/>
      <c r="AX69" s="35">
        <f t="shared" si="40"/>
        <v>0</v>
      </c>
      <c r="AY69" s="784"/>
      <c r="AZ69" s="35"/>
      <c r="BA69" s="784"/>
      <c r="BB69" s="35"/>
      <c r="BC69" s="35">
        <f t="shared" si="41"/>
        <v>0</v>
      </c>
      <c r="BD69" s="14"/>
      <c r="BE69" s="128"/>
      <c r="BF69" s="219">
        <v>0</v>
      </c>
      <c r="BG69" s="37"/>
      <c r="BH69" s="219">
        <v>4950900</v>
      </c>
      <c r="BI69" s="11"/>
    </row>
    <row r="70" spans="2:62" s="1" customFormat="1">
      <c r="B70" s="30"/>
      <c r="C70" s="13" t="s">
        <v>447</v>
      </c>
      <c r="D70" s="1367">
        <v>0</v>
      </c>
      <c r="E70" s="1367"/>
      <c r="F70" s="1365">
        <f t="shared" si="1"/>
        <v>0</v>
      </c>
      <c r="G70" s="1365">
        <f t="shared" si="0"/>
        <v>0</v>
      </c>
      <c r="H70" s="1367">
        <f t="shared" si="32"/>
        <v>0</v>
      </c>
      <c r="I70" s="1384"/>
      <c r="J70" s="1367"/>
      <c r="K70" s="1384"/>
      <c r="L70" s="1367"/>
      <c r="M70" s="1967">
        <f t="shared" si="33"/>
        <v>0</v>
      </c>
      <c r="N70" s="1967"/>
      <c r="O70" s="1058"/>
      <c r="P70" s="1485"/>
      <c r="Q70" s="1367"/>
      <c r="R70" s="1485">
        <f t="shared" si="34"/>
        <v>0</v>
      </c>
      <c r="S70" s="1481"/>
      <c r="T70" s="1485"/>
      <c r="U70" s="1481"/>
      <c r="V70" s="1485"/>
      <c r="W70" s="1485">
        <f t="shared" si="35"/>
        <v>0</v>
      </c>
      <c r="X70" s="1187"/>
      <c r="Y70" s="106"/>
      <c r="Z70" s="698"/>
      <c r="AA70" s="698">
        <f t="shared" si="36"/>
        <v>0</v>
      </c>
      <c r="AB70" s="253"/>
      <c r="AC70" s="106"/>
      <c r="AD70" s="253"/>
      <c r="AE70" s="106"/>
      <c r="AF70" s="106">
        <f t="shared" si="37"/>
        <v>0</v>
      </c>
      <c r="AG70" s="106"/>
      <c r="AH70" s="208"/>
      <c r="AI70" s="9">
        <v>0</v>
      </c>
      <c r="AJ70" s="9"/>
      <c r="AK70" s="9"/>
      <c r="AL70" s="667"/>
      <c r="AM70" s="9"/>
      <c r="AN70" s="9"/>
      <c r="AO70" s="9">
        <f t="shared" si="38"/>
        <v>0</v>
      </c>
      <c r="AP70" s="769"/>
      <c r="AQ70" s="9"/>
      <c r="AR70" s="769"/>
      <c r="AS70" s="9"/>
      <c r="AT70" s="9">
        <f t="shared" si="39"/>
        <v>0</v>
      </c>
      <c r="AU70" s="37"/>
      <c r="AV70" s="9"/>
      <c r="AW70" s="9"/>
      <c r="AX70" s="9">
        <f t="shared" si="40"/>
        <v>0</v>
      </c>
      <c r="AY70" s="769"/>
      <c r="AZ70" s="9"/>
      <c r="BA70" s="769"/>
      <c r="BB70" s="9"/>
      <c r="BC70" s="9">
        <f t="shared" si="41"/>
        <v>0</v>
      </c>
      <c r="BD70" s="14"/>
      <c r="BE70" s="128"/>
      <c r="BF70" s="219">
        <v>0</v>
      </c>
      <c r="BG70" s="37"/>
      <c r="BH70" s="219">
        <v>4800000</v>
      </c>
      <c r="BI70" s="11"/>
    </row>
    <row r="71" spans="2:62" s="1" customFormat="1">
      <c r="B71" s="30"/>
      <c r="C71" s="13" t="s">
        <v>448</v>
      </c>
      <c r="D71" s="1367"/>
      <c r="E71" s="1367">
        <v>0</v>
      </c>
      <c r="F71" s="1365">
        <f t="shared" si="1"/>
        <v>0</v>
      </c>
      <c r="G71" s="1365">
        <f t="shared" si="0"/>
        <v>0</v>
      </c>
      <c r="H71" s="1367">
        <f t="shared" ref="H71" si="42">ROUND((D71+E71),0)</f>
        <v>0</v>
      </c>
      <c r="I71" s="1384"/>
      <c r="J71" s="1367"/>
      <c r="K71" s="1384"/>
      <c r="L71" s="1367"/>
      <c r="M71" s="1967">
        <f t="shared" ref="M71" si="43">ROUND((H71+J71-L71),0)</f>
        <v>0</v>
      </c>
      <c r="N71" s="1967"/>
      <c r="O71" s="1058"/>
      <c r="P71" s="1485"/>
      <c r="Q71" s="1367"/>
      <c r="R71" s="1485"/>
      <c r="S71" s="1481"/>
      <c r="T71" s="1485"/>
      <c r="U71" s="1481"/>
      <c r="V71" s="1485"/>
      <c r="W71" s="1485"/>
      <c r="X71" s="1187"/>
      <c r="Y71" s="106"/>
      <c r="Z71" s="698"/>
      <c r="AA71" s="698"/>
      <c r="AB71" s="253"/>
      <c r="AC71" s="106"/>
      <c r="AD71" s="253"/>
      <c r="AE71" s="106"/>
      <c r="AF71" s="106"/>
      <c r="AG71" s="106"/>
      <c r="AH71" s="208"/>
      <c r="AI71" s="9"/>
      <c r="AJ71" s="9"/>
      <c r="AK71" s="9"/>
      <c r="AL71" s="667"/>
      <c r="AM71" s="9"/>
      <c r="AN71" s="9"/>
      <c r="AO71" s="9"/>
      <c r="AP71" s="769"/>
      <c r="AQ71" s="9"/>
      <c r="AR71" s="769"/>
      <c r="AS71" s="9"/>
      <c r="AT71" s="9"/>
      <c r="AU71" s="37"/>
      <c r="AV71" s="9"/>
      <c r="AW71" s="9"/>
      <c r="AX71" s="9"/>
      <c r="AY71" s="769"/>
      <c r="AZ71" s="9"/>
      <c r="BA71" s="769"/>
      <c r="BB71" s="9"/>
      <c r="BC71" s="9"/>
      <c r="BD71" s="14"/>
      <c r="BE71" s="128"/>
      <c r="BF71" s="219"/>
      <c r="BG71" s="37"/>
      <c r="BH71" s="219"/>
      <c r="BI71" s="11"/>
    </row>
    <row r="72" spans="2:62" s="1" customFormat="1">
      <c r="B72" s="30" t="s">
        <v>407</v>
      </c>
      <c r="C72" s="13" t="s">
        <v>449</v>
      </c>
      <c r="D72" s="1967"/>
      <c r="E72" s="1967"/>
      <c r="F72" s="1365">
        <f t="shared" si="1"/>
        <v>0</v>
      </c>
      <c r="G72" s="1365">
        <f t="shared" si="0"/>
        <v>0</v>
      </c>
      <c r="H72" s="1967">
        <f>ROUND((D72+E72),0)</f>
        <v>0</v>
      </c>
      <c r="I72" s="612"/>
      <c r="J72" s="1967"/>
      <c r="K72" s="612"/>
      <c r="L72" s="1967"/>
      <c r="M72" s="1967">
        <f>ROUND((H72+J72-L72),0)</f>
        <v>0</v>
      </c>
      <c r="N72" s="1967"/>
      <c r="O72" s="1058"/>
      <c r="P72" s="1486"/>
      <c r="Q72" s="1368">
        <v>15120000</v>
      </c>
      <c r="R72" s="1486">
        <f>ROUND((P72+Q72),0)</f>
        <v>15120000</v>
      </c>
      <c r="S72" s="1487"/>
      <c r="T72" s="1486"/>
      <c r="U72" s="1487"/>
      <c r="V72" s="1486"/>
      <c r="W72" s="1486">
        <f>ROUND((R72+T72-V72),0)</f>
        <v>15120000</v>
      </c>
      <c r="X72" s="1187"/>
      <c r="Y72" s="225">
        <v>0</v>
      </c>
      <c r="Z72" s="699"/>
      <c r="AA72" s="699">
        <f>ROUND((Y72+Z72),0)</f>
        <v>0</v>
      </c>
      <c r="AB72" s="617"/>
      <c r="AC72" s="225"/>
      <c r="AD72" s="617"/>
      <c r="AE72" s="225"/>
      <c r="AF72" s="225">
        <f>ROUND((AA72+AC72-AE72),0)</f>
        <v>0</v>
      </c>
      <c r="AG72" s="225"/>
      <c r="AH72" s="208"/>
      <c r="AI72" s="790">
        <v>49140000</v>
      </c>
      <c r="AJ72" s="790"/>
      <c r="AK72" s="790"/>
      <c r="AL72" s="667">
        <v>12379750576</v>
      </c>
      <c r="AM72" s="35"/>
      <c r="AN72" s="35">
        <v>6300000</v>
      </c>
      <c r="AO72" s="35">
        <f>ROUND((AM72+AN72),0)</f>
        <v>6300000</v>
      </c>
      <c r="AP72" s="784"/>
      <c r="AQ72" s="35"/>
      <c r="AR72" s="784"/>
      <c r="AS72" s="35"/>
      <c r="AT72" s="35">
        <f>ROUND((AO72+AQ72-AS72),0)</f>
        <v>6300000</v>
      </c>
      <c r="AU72" s="37"/>
      <c r="AV72" s="35"/>
      <c r="AW72" s="35"/>
      <c r="AX72" s="35">
        <f>ROUND((AV72+AW72),0)</f>
        <v>0</v>
      </c>
      <c r="AY72" s="784"/>
      <c r="AZ72" s="35"/>
      <c r="BA72" s="784"/>
      <c r="BB72" s="35"/>
      <c r="BC72" s="35">
        <f>ROUND((AX72+AZ72-BB72),0)</f>
        <v>0</v>
      </c>
      <c r="BD72" s="14"/>
      <c r="BE72" s="128">
        <v>7594460218</v>
      </c>
      <c r="BF72" s="219"/>
      <c r="BG72" s="37"/>
      <c r="BH72" s="219"/>
      <c r="BI72" s="11"/>
    </row>
    <row r="73" spans="2:62" s="1" customFormat="1">
      <c r="B73" s="30" t="s">
        <v>407</v>
      </c>
      <c r="C73" s="13" t="s">
        <v>450</v>
      </c>
      <c r="D73" s="1967"/>
      <c r="E73" s="1967">
        <v>20530775</v>
      </c>
      <c r="F73" s="1365">
        <f t="shared" si="1"/>
        <v>20530775</v>
      </c>
      <c r="G73" s="1365">
        <f t="shared" si="0"/>
        <v>0</v>
      </c>
      <c r="H73" s="1967">
        <f>ROUND((D73+E73),0)</f>
        <v>20530775</v>
      </c>
      <c r="I73" s="612"/>
      <c r="J73" s="1967"/>
      <c r="K73" s="612"/>
      <c r="L73" s="1967"/>
      <c r="M73" s="1375">
        <f>ROUNDUP((H73+J73-L73),0)</f>
        <v>20530775</v>
      </c>
      <c r="N73" s="1967" t="s">
        <v>435</v>
      </c>
      <c r="O73" s="1058"/>
      <c r="P73" s="1486"/>
      <c r="Q73" s="1368">
        <v>28090775</v>
      </c>
      <c r="R73" s="1486">
        <f>ROUND((P73+Q73),0)</f>
        <v>28090775</v>
      </c>
      <c r="S73" s="1487"/>
      <c r="T73" s="1486">
        <f>'ELIM &amp; CAJE Sept 24'!G35</f>
        <v>2</v>
      </c>
      <c r="U73" s="1487"/>
      <c r="V73" s="1486"/>
      <c r="W73" s="1486">
        <f>ROUNDUP((R73+T73-V73),0)</f>
        <v>28090777</v>
      </c>
      <c r="X73" s="1187"/>
      <c r="Y73" s="225">
        <v>0</v>
      </c>
      <c r="Z73" s="699">
        <f>22200776</f>
        <v>22200776</v>
      </c>
      <c r="AA73" s="699">
        <f>ROUND((Y73+Z73),0)</f>
        <v>22200776</v>
      </c>
      <c r="AB73" s="617"/>
      <c r="AC73" s="225">
        <f>'ELIM &amp; CAJE Juni 24'!G35</f>
        <v>2</v>
      </c>
      <c r="AD73" s="617"/>
      <c r="AE73" s="225"/>
      <c r="AF73" s="1057">
        <f>ROUNDUP((AA73+AC73-AE73),0)</f>
        <v>22200778</v>
      </c>
      <c r="AG73" s="1057"/>
      <c r="AH73" s="208"/>
      <c r="AI73" s="790">
        <v>21427997</v>
      </c>
      <c r="AJ73" s="436"/>
      <c r="AK73" s="436"/>
      <c r="AL73" s="667"/>
      <c r="AM73" s="9"/>
      <c r="AN73" s="9">
        <v>20950775</v>
      </c>
      <c r="AO73" s="9">
        <f>ROUND((AM73+AN73),0)</f>
        <v>20950775</v>
      </c>
      <c r="AP73" s="769"/>
      <c r="AQ73" s="9"/>
      <c r="AR73" s="769"/>
      <c r="AS73" s="9"/>
      <c r="AT73" s="9">
        <f>ROUND((AO73+AQ73-AS73),0)</f>
        <v>20950775</v>
      </c>
      <c r="AU73" s="37"/>
      <c r="AV73" s="9"/>
      <c r="AW73" s="9">
        <v>23534400</v>
      </c>
      <c r="AX73" s="9">
        <f>ROUND((AV73+AW73),0)</f>
        <v>23534400</v>
      </c>
      <c r="AY73" s="769"/>
      <c r="AZ73" s="9"/>
      <c r="BA73" s="769"/>
      <c r="BB73" s="9"/>
      <c r="BC73" s="9">
        <f>ROUND((AX73+AZ73-BB73),0)</f>
        <v>23534400</v>
      </c>
      <c r="BD73" s="14"/>
      <c r="BE73" s="128">
        <v>57222</v>
      </c>
      <c r="BF73" s="219">
        <v>19754400</v>
      </c>
      <c r="BG73" s="37"/>
      <c r="BH73" s="219">
        <v>17869962</v>
      </c>
      <c r="BI73" s="11"/>
    </row>
    <row r="74" spans="2:62" s="1" customFormat="1">
      <c r="B74" s="30"/>
      <c r="C74" s="13"/>
      <c r="D74" s="1367"/>
      <c r="E74" s="1367"/>
      <c r="F74" s="1365">
        <f t="shared" si="1"/>
        <v>0</v>
      </c>
      <c r="G74" s="1365">
        <f t="shared" si="0"/>
        <v>0</v>
      </c>
      <c r="H74" s="1367"/>
      <c r="I74" s="1384"/>
      <c r="J74" s="1367"/>
      <c r="K74" s="1384"/>
      <c r="L74" s="1367"/>
      <c r="M74" s="1967"/>
      <c r="N74" s="1967"/>
      <c r="O74" s="1058"/>
      <c r="P74" s="1485"/>
      <c r="Q74" s="1367"/>
      <c r="R74" s="1485"/>
      <c r="S74" s="1481"/>
      <c r="T74" s="1485"/>
      <c r="U74" s="1481"/>
      <c r="V74" s="1485"/>
      <c r="W74" s="1485"/>
      <c r="X74" s="1187"/>
      <c r="Y74" s="106"/>
      <c r="Z74" s="698"/>
      <c r="AA74" s="698"/>
      <c r="AB74" s="253"/>
      <c r="AC74" s="106"/>
      <c r="AD74" s="253"/>
      <c r="AE74" s="106"/>
      <c r="AF74" s="106"/>
      <c r="AG74" s="106"/>
      <c r="AH74" s="208"/>
      <c r="AI74" s="9"/>
      <c r="AJ74" s="9"/>
      <c r="AK74" s="9"/>
      <c r="AL74" s="667"/>
      <c r="AM74" s="9"/>
      <c r="AN74" s="9"/>
      <c r="AO74" s="9"/>
      <c r="AP74" s="769"/>
      <c r="AQ74" s="9"/>
      <c r="AR74" s="769"/>
      <c r="AS74" s="9"/>
      <c r="AT74" s="9"/>
      <c r="AU74" s="37"/>
      <c r="AV74" s="9"/>
      <c r="AW74" s="9"/>
      <c r="AX74" s="9"/>
      <c r="AY74" s="769"/>
      <c r="AZ74" s="9"/>
      <c r="BA74" s="769"/>
      <c r="BB74" s="9"/>
      <c r="BC74" s="9"/>
      <c r="BD74" s="14"/>
      <c r="BE74" s="128"/>
      <c r="BF74" s="219"/>
      <c r="BG74" s="37"/>
      <c r="BH74" s="219">
        <v>0</v>
      </c>
      <c r="BI74" s="11"/>
    </row>
    <row r="75" spans="2:62" s="1" customFormat="1">
      <c r="B75" s="9"/>
      <c r="C75" s="34" t="s">
        <v>451</v>
      </c>
      <c r="D75" s="1372"/>
      <c r="E75" s="1372"/>
      <c r="F75" s="1365">
        <f t="shared" si="1"/>
        <v>0</v>
      </c>
      <c r="G75" s="1365">
        <f t="shared" si="0"/>
        <v>0</v>
      </c>
      <c r="H75" s="1372"/>
      <c r="I75" s="1384"/>
      <c r="J75" s="1372"/>
      <c r="K75" s="1384"/>
      <c r="L75" s="1372"/>
      <c r="M75" s="280"/>
      <c r="N75" s="280"/>
      <c r="O75" s="1058"/>
      <c r="P75" s="1494"/>
      <c r="Q75" s="1372"/>
      <c r="R75" s="1494"/>
      <c r="S75" s="1481"/>
      <c r="T75" s="1494"/>
      <c r="U75" s="1481"/>
      <c r="V75" s="1494"/>
      <c r="W75" s="1494"/>
      <c r="X75" s="1187"/>
      <c r="Y75" s="231"/>
      <c r="Z75" s="710"/>
      <c r="AA75" s="710"/>
      <c r="AB75" s="253"/>
      <c r="AC75" s="231"/>
      <c r="AD75" s="253"/>
      <c r="AE75" s="231"/>
      <c r="AF75" s="231"/>
      <c r="AG75" s="231"/>
      <c r="AH75" s="232"/>
      <c r="AI75" s="9"/>
      <c r="AJ75" s="9"/>
      <c r="AK75" s="9"/>
      <c r="AL75" s="667"/>
      <c r="AM75" s="9"/>
      <c r="AN75" s="9"/>
      <c r="AO75" s="9"/>
      <c r="AP75" s="769"/>
      <c r="AQ75" s="9"/>
      <c r="AR75" s="769"/>
      <c r="AS75" s="9"/>
      <c r="AT75" s="9"/>
      <c r="AU75" s="37"/>
      <c r="AV75" s="9"/>
      <c r="AW75" s="9"/>
      <c r="AX75" s="9"/>
      <c r="AY75" s="769"/>
      <c r="AZ75" s="9"/>
      <c r="BA75" s="769"/>
      <c r="BB75" s="9"/>
      <c r="BC75" s="9"/>
      <c r="BD75" s="14"/>
      <c r="BE75" s="128"/>
      <c r="BF75" s="219"/>
      <c r="BG75" s="37"/>
      <c r="BH75" s="219">
        <v>0</v>
      </c>
      <c r="BI75" s="11"/>
    </row>
    <row r="76" spans="2:62" s="1" customFormat="1">
      <c r="B76" s="30"/>
      <c r="C76" s="13" t="s">
        <v>452</v>
      </c>
      <c r="D76" s="1375">
        <v>3179031460.5999994</v>
      </c>
      <c r="E76" s="1367"/>
      <c r="F76" s="1365">
        <f t="shared" si="1"/>
        <v>3179031460.5999994</v>
      </c>
      <c r="G76" s="1365">
        <f t="shared" si="0"/>
        <v>-0.40000057220458984</v>
      </c>
      <c r="H76" s="1367">
        <f t="shared" ref="H76:H77" si="44">ROUND((D76+E76),0)</f>
        <v>3179031461</v>
      </c>
      <c r="I76" s="1384"/>
      <c r="J76" s="1367"/>
      <c r="K76" s="1384"/>
      <c r="L76" s="1367"/>
      <c r="M76" s="2284">
        <f t="shared" ref="M76:M103" si="45">ROUND((H76+J76-L76),0)</f>
        <v>3179031461</v>
      </c>
      <c r="N76" s="1967" t="s">
        <v>453</v>
      </c>
      <c r="O76" s="1058" t="s">
        <v>427</v>
      </c>
      <c r="P76" s="1485"/>
      <c r="Q76" s="1367"/>
      <c r="R76" s="1485">
        <f t="shared" ref="R76:R77" si="46">ROUND((P76+Q76),0)</f>
        <v>0</v>
      </c>
      <c r="S76" s="1481"/>
      <c r="T76" s="1485"/>
      <c r="U76" s="1481"/>
      <c r="V76" s="1485"/>
      <c r="W76" s="1485">
        <f t="shared" ref="W76:W102" si="47">ROUND((R76+T76-V76),0)</f>
        <v>0</v>
      </c>
      <c r="X76" s="1187"/>
      <c r="Y76" s="106"/>
      <c r="Z76" s="698"/>
      <c r="AA76" s="698">
        <f t="shared" ref="AA76:AA102" si="48">ROUND((Y76+Z76),0)</f>
        <v>0</v>
      </c>
      <c r="AB76" s="253"/>
      <c r="AC76" s="106"/>
      <c r="AD76" s="253"/>
      <c r="AE76" s="106"/>
      <c r="AF76" s="106">
        <f t="shared" ref="AF76:AF102" si="49">ROUND((AA76+AC76-AE76),0)</f>
        <v>0</v>
      </c>
      <c r="AG76" s="106"/>
      <c r="AH76" s="208"/>
      <c r="AI76" s="9">
        <v>0</v>
      </c>
      <c r="AJ76" s="9"/>
      <c r="AK76" s="9"/>
      <c r="AL76" s="667"/>
      <c r="AM76" s="9"/>
      <c r="AN76" s="9"/>
      <c r="AO76" s="9">
        <f t="shared" ref="AO76:AO102" si="50">ROUND((AM76+AN76),0)</f>
        <v>0</v>
      </c>
      <c r="AP76" s="769"/>
      <c r="AQ76" s="9"/>
      <c r="AR76" s="769"/>
      <c r="AS76" s="9"/>
      <c r="AT76" s="9">
        <f t="shared" ref="AT76:AT102" si="51">ROUND((AO76+AQ76-AS76),0)</f>
        <v>0</v>
      </c>
      <c r="AU76" s="37"/>
      <c r="AV76" s="9"/>
      <c r="AW76" s="9"/>
      <c r="AX76" s="9">
        <f t="shared" ref="AX76:AX102" si="52">ROUND((AV76+AW76),0)</f>
        <v>0</v>
      </c>
      <c r="AY76" s="769"/>
      <c r="AZ76" s="9"/>
      <c r="BA76" s="769"/>
      <c r="BB76" s="9"/>
      <c r="BC76" s="9">
        <f t="shared" ref="BC76:BC102" si="53">ROUND((AX76+AZ76-BB76),0)</f>
        <v>0</v>
      </c>
      <c r="BD76" s="14"/>
      <c r="BE76" s="128"/>
      <c r="BF76" s="219">
        <v>1154639669</v>
      </c>
      <c r="BG76" s="37"/>
      <c r="BH76" s="219">
        <v>1095202826</v>
      </c>
      <c r="BI76" s="11"/>
    </row>
    <row r="77" spans="2:62" s="1" customFormat="1">
      <c r="B77" s="30"/>
      <c r="C77" s="23" t="s">
        <v>454</v>
      </c>
      <c r="D77" s="1375">
        <v>23711221713.5</v>
      </c>
      <c r="E77" s="1367">
        <v>6040870740.4899998</v>
      </c>
      <c r="F77" s="1365">
        <f t="shared" si="1"/>
        <v>29752092453.989998</v>
      </c>
      <c r="G77" s="1365">
        <f t="shared" si="0"/>
        <v>-1.000213623046875E-2</v>
      </c>
      <c r="H77" s="1368">
        <f t="shared" si="44"/>
        <v>29752092454</v>
      </c>
      <c r="I77" s="1943"/>
      <c r="J77" s="1368"/>
      <c r="K77" s="1943"/>
      <c r="L77" s="1368"/>
      <c r="M77" s="2284">
        <f t="shared" si="45"/>
        <v>29752092454</v>
      </c>
      <c r="N77" s="1967" t="s">
        <v>453</v>
      </c>
      <c r="O77" s="1058" t="s">
        <v>427</v>
      </c>
      <c r="P77" s="1486">
        <f>ROUND(16672945019.5,0)</f>
        <v>16672945020</v>
      </c>
      <c r="Q77" s="1368">
        <v>7083443636</v>
      </c>
      <c r="R77" s="1486">
        <f t="shared" si="46"/>
        <v>23756388656</v>
      </c>
      <c r="S77" s="1487"/>
      <c r="T77" s="1486"/>
      <c r="U77" s="1487"/>
      <c r="V77" s="1486"/>
      <c r="W77" s="1486">
        <f t="shared" si="47"/>
        <v>23756388656</v>
      </c>
      <c r="X77" s="1187"/>
      <c r="Y77" s="225">
        <v>9385865917</v>
      </c>
      <c r="Z77" s="968">
        <v>10893104718</v>
      </c>
      <c r="AA77" s="699">
        <f t="shared" si="48"/>
        <v>20278970635</v>
      </c>
      <c r="AB77" s="617"/>
      <c r="AC77" s="225"/>
      <c r="AD77" s="617"/>
      <c r="AE77" s="225"/>
      <c r="AF77" s="225">
        <f t="shared" si="49"/>
        <v>20278970635</v>
      </c>
      <c r="AG77" s="225"/>
      <c r="AH77" s="208"/>
      <c r="AI77" s="790">
        <v>8062429256</v>
      </c>
      <c r="AJ77" s="790"/>
      <c r="AK77" s="790"/>
      <c r="AL77" s="667"/>
      <c r="AM77" s="35">
        <v>1781608500</v>
      </c>
      <c r="AN77" s="35"/>
      <c r="AO77" s="35">
        <f t="shared" si="50"/>
        <v>1781608500</v>
      </c>
      <c r="AP77" s="784"/>
      <c r="AQ77" s="35"/>
      <c r="AR77" s="784"/>
      <c r="AS77" s="35"/>
      <c r="AT77" s="35">
        <f t="shared" si="51"/>
        <v>1781608500</v>
      </c>
      <c r="AU77" s="37"/>
      <c r="AV77" s="35">
        <v>6159157400</v>
      </c>
      <c r="AW77" s="35">
        <v>6070577986</v>
      </c>
      <c r="AX77" s="35">
        <f t="shared" si="52"/>
        <v>12229735386</v>
      </c>
      <c r="AY77" s="784"/>
      <c r="AZ77" s="35"/>
      <c r="BA77" s="784"/>
      <c r="BB77" s="35"/>
      <c r="BC77" s="35">
        <f t="shared" si="53"/>
        <v>12229735386</v>
      </c>
      <c r="BD77" s="14"/>
      <c r="BE77" s="128"/>
      <c r="BF77" s="220">
        <v>30444649539</v>
      </c>
      <c r="BG77" s="37"/>
      <c r="BH77" s="219">
        <v>12905039466</v>
      </c>
      <c r="BI77" s="11"/>
      <c r="BJ77" s="2121"/>
    </row>
    <row r="78" spans="2:62" s="1" customFormat="1">
      <c r="B78" s="30"/>
      <c r="C78" s="13" t="s">
        <v>455</v>
      </c>
      <c r="D78" s="1367">
        <v>0</v>
      </c>
      <c r="E78" s="1367">
        <v>6566701409.5</v>
      </c>
      <c r="F78" s="1365">
        <f t="shared" si="1"/>
        <v>6566701409.5</v>
      </c>
      <c r="G78" s="1365">
        <f t="shared" si="0"/>
        <v>-0.5</v>
      </c>
      <c r="H78" s="1367">
        <f>ROUND((D78+E78),0)</f>
        <v>6566701410</v>
      </c>
      <c r="I78" s="1384"/>
      <c r="J78" s="1367"/>
      <c r="K78" s="1384"/>
      <c r="L78" s="1367"/>
      <c r="M78" s="2284">
        <f t="shared" si="45"/>
        <v>6566701410</v>
      </c>
      <c r="N78" s="1967" t="s">
        <v>453</v>
      </c>
      <c r="O78" s="1058" t="s">
        <v>427</v>
      </c>
      <c r="P78" s="1485"/>
      <c r="Q78" s="1367"/>
      <c r="R78" s="1485">
        <f>ROUND((P78+Q78),0)</f>
        <v>0</v>
      </c>
      <c r="S78" s="1481"/>
      <c r="T78" s="1485"/>
      <c r="U78" s="1481"/>
      <c r="V78" s="1485"/>
      <c r="W78" s="1485">
        <f t="shared" si="47"/>
        <v>0</v>
      </c>
      <c r="X78" s="1187"/>
      <c r="Y78" s="106">
        <v>0</v>
      </c>
      <c r="Z78" s="710">
        <v>1717455969</v>
      </c>
      <c r="AA78" s="698">
        <f>ROUND((Y78+Z78),0)</f>
        <v>1717455969</v>
      </c>
      <c r="AB78" s="253"/>
      <c r="AC78" s="106"/>
      <c r="AD78" s="253"/>
      <c r="AE78" s="106"/>
      <c r="AF78" s="106">
        <f t="shared" si="49"/>
        <v>1717455969</v>
      </c>
      <c r="AG78" s="106"/>
      <c r="AH78" s="208"/>
      <c r="AI78" s="790">
        <v>3270427320</v>
      </c>
      <c r="AJ78" s="790"/>
      <c r="AK78" s="790"/>
      <c r="AL78" s="667"/>
      <c r="AM78" s="35"/>
      <c r="AN78" s="35"/>
      <c r="AO78" s="35">
        <f t="shared" si="50"/>
        <v>0</v>
      </c>
      <c r="AP78" s="784"/>
      <c r="AQ78" s="35"/>
      <c r="AR78" s="784"/>
      <c r="AS78" s="35"/>
      <c r="AT78" s="35">
        <f t="shared" si="51"/>
        <v>0</v>
      </c>
      <c r="AU78" s="37"/>
      <c r="AV78" s="35">
        <v>1109144190</v>
      </c>
      <c r="AW78" s="35"/>
      <c r="AX78" s="35">
        <f t="shared" si="52"/>
        <v>1109144190</v>
      </c>
      <c r="AY78" s="784"/>
      <c r="AZ78" s="35"/>
      <c r="BA78" s="784"/>
      <c r="BB78" s="35"/>
      <c r="BC78" s="35">
        <f t="shared" si="53"/>
        <v>1109144190</v>
      </c>
      <c r="BD78" s="14"/>
      <c r="BE78" s="128"/>
      <c r="BF78" s="219">
        <v>1498694731</v>
      </c>
      <c r="BG78" s="37"/>
      <c r="BH78" s="219">
        <v>1414842695</v>
      </c>
      <c r="BI78" s="11"/>
      <c r="BJ78" s="2121"/>
    </row>
    <row r="79" spans="2:62" s="1" customFormat="1">
      <c r="B79" s="30" t="s">
        <v>407</v>
      </c>
      <c r="C79" s="13" t="s">
        <v>456</v>
      </c>
      <c r="D79" s="1367"/>
      <c r="E79" s="1367"/>
      <c r="F79" s="1365">
        <f t="shared" si="1"/>
        <v>0</v>
      </c>
      <c r="G79" s="1365">
        <f t="shared" si="0"/>
        <v>0</v>
      </c>
      <c r="H79" s="1367">
        <f t="shared" ref="H79:H89" si="54">ROUND((D79+E79),0)</f>
        <v>0</v>
      </c>
      <c r="I79" s="1384"/>
      <c r="J79" s="1367"/>
      <c r="K79" s="1384"/>
      <c r="L79" s="1367"/>
      <c r="M79" s="1967">
        <f t="shared" si="45"/>
        <v>0</v>
      </c>
      <c r="N79" s="1967"/>
      <c r="O79" s="1058"/>
      <c r="P79" s="1485"/>
      <c r="Q79" s="1367">
        <f>ROUND(2725814421.57,0)</f>
        <v>2725814422</v>
      </c>
      <c r="R79" s="1485">
        <f t="shared" ref="R79:R89" si="55">ROUND((P79+Q79),0)</f>
        <v>2725814422</v>
      </c>
      <c r="S79" s="1481"/>
      <c r="T79" s="1485"/>
      <c r="U79" s="1481"/>
      <c r="V79" s="1485"/>
      <c r="W79" s="1485">
        <f t="shared" si="47"/>
        <v>2725814422</v>
      </c>
      <c r="X79" s="1187"/>
      <c r="Y79" s="106">
        <v>0</v>
      </c>
      <c r="Z79" s="710">
        <v>1811698562</v>
      </c>
      <c r="AA79" s="698">
        <f t="shared" si="48"/>
        <v>1811698562</v>
      </c>
      <c r="AB79" s="253"/>
      <c r="AC79" s="106"/>
      <c r="AD79" s="253"/>
      <c r="AE79" s="106"/>
      <c r="AF79" s="106">
        <f t="shared" si="49"/>
        <v>1811698562</v>
      </c>
      <c r="AG79" s="106"/>
      <c r="AH79" s="208"/>
      <c r="AI79" s="9">
        <v>0</v>
      </c>
      <c r="AJ79" s="9"/>
      <c r="AK79" s="9"/>
      <c r="AL79" s="667"/>
      <c r="AM79" s="9"/>
      <c r="AN79" s="9">
        <v>1686790125</v>
      </c>
      <c r="AO79" s="9">
        <f t="shared" si="50"/>
        <v>1686790125</v>
      </c>
      <c r="AP79" s="769"/>
      <c r="AQ79" s="9"/>
      <c r="AR79" s="769"/>
      <c r="AS79" s="9"/>
      <c r="AT79" s="9">
        <f t="shared" si="51"/>
        <v>1686790125</v>
      </c>
      <c r="AU79" s="37"/>
      <c r="AV79" s="9"/>
      <c r="AW79" s="9"/>
      <c r="AX79" s="9">
        <f t="shared" si="52"/>
        <v>0</v>
      </c>
      <c r="AY79" s="769"/>
      <c r="AZ79" s="9"/>
      <c r="BA79" s="769"/>
      <c r="BB79" s="9"/>
      <c r="BC79" s="9">
        <f t="shared" si="53"/>
        <v>0</v>
      </c>
      <c r="BD79" s="14"/>
      <c r="BE79" s="128"/>
      <c r="BF79" s="219">
        <v>1924366936</v>
      </c>
      <c r="BG79" s="37"/>
      <c r="BH79" s="219">
        <v>2179230314</v>
      </c>
      <c r="BI79" s="11"/>
      <c r="BJ79" s="2121"/>
    </row>
    <row r="80" spans="2:62" s="1" customFormat="1">
      <c r="B80" s="30" t="s">
        <v>407</v>
      </c>
      <c r="C80" s="13" t="s">
        <v>457</v>
      </c>
      <c r="D80" s="1367"/>
      <c r="E80" s="1367"/>
      <c r="F80" s="1365">
        <f t="shared" si="1"/>
        <v>0</v>
      </c>
      <c r="G80" s="1365">
        <f t="shared" ref="G80:G144" si="56">F80-H80</f>
        <v>0</v>
      </c>
      <c r="H80" s="1367">
        <f t="shared" si="54"/>
        <v>0</v>
      </c>
      <c r="I80" s="1384"/>
      <c r="J80" s="1367"/>
      <c r="K80" s="1384"/>
      <c r="L80" s="1367"/>
      <c r="M80" s="1967">
        <f t="shared" si="45"/>
        <v>0</v>
      </c>
      <c r="N80" s="1967"/>
      <c r="O80" s="1058"/>
      <c r="P80" s="1485"/>
      <c r="Q80" s="1367"/>
      <c r="R80" s="1485">
        <f t="shared" si="55"/>
        <v>0</v>
      </c>
      <c r="S80" s="1481"/>
      <c r="T80" s="1485"/>
      <c r="U80" s="1481"/>
      <c r="V80" s="1485"/>
      <c r="W80" s="1485">
        <f t="shared" si="47"/>
        <v>0</v>
      </c>
      <c r="X80" s="1187"/>
      <c r="Y80" s="106">
        <v>0</v>
      </c>
      <c r="Z80" s="698"/>
      <c r="AA80" s="698">
        <f t="shared" si="48"/>
        <v>0</v>
      </c>
      <c r="AB80" s="253"/>
      <c r="AC80" s="106"/>
      <c r="AD80" s="253"/>
      <c r="AE80" s="106"/>
      <c r="AF80" s="106">
        <f t="shared" si="49"/>
        <v>0</v>
      </c>
      <c r="AG80" s="106"/>
      <c r="AH80" s="208"/>
      <c r="AI80" s="9">
        <v>0</v>
      </c>
      <c r="AJ80" s="9"/>
      <c r="AK80" s="9"/>
      <c r="AL80" s="667"/>
      <c r="AM80" s="9"/>
      <c r="AN80" s="9"/>
      <c r="AO80" s="9">
        <f t="shared" si="50"/>
        <v>0</v>
      </c>
      <c r="AP80" s="769"/>
      <c r="AQ80" s="9"/>
      <c r="AR80" s="769"/>
      <c r="AS80" s="9"/>
      <c r="AT80" s="9">
        <f t="shared" si="51"/>
        <v>0</v>
      </c>
      <c r="AU80" s="37"/>
      <c r="AV80" s="9"/>
      <c r="AW80" s="9"/>
      <c r="AX80" s="9">
        <f t="shared" si="52"/>
        <v>0</v>
      </c>
      <c r="AY80" s="769"/>
      <c r="AZ80" s="9"/>
      <c r="BA80" s="769"/>
      <c r="BB80" s="9"/>
      <c r="BC80" s="9">
        <f t="shared" si="53"/>
        <v>0</v>
      </c>
      <c r="BD80" s="14"/>
      <c r="BE80" s="128"/>
      <c r="BF80" s="219">
        <v>0</v>
      </c>
      <c r="BG80" s="37"/>
      <c r="BH80" s="219">
        <v>0</v>
      </c>
      <c r="BI80" s="11"/>
      <c r="BJ80" s="2121"/>
    </row>
    <row r="81" spans="1:62" s="1" customFormat="1">
      <c r="B81" s="30"/>
      <c r="C81" s="13" t="s">
        <v>458</v>
      </c>
      <c r="D81" s="1375">
        <v>3791605200</v>
      </c>
      <c r="E81" s="1367"/>
      <c r="F81" s="1365">
        <f t="shared" si="1"/>
        <v>3791605200</v>
      </c>
      <c r="G81" s="1365">
        <f t="shared" si="56"/>
        <v>0</v>
      </c>
      <c r="H81" s="1367">
        <f t="shared" si="54"/>
        <v>3791605200</v>
      </c>
      <c r="I81" s="1384"/>
      <c r="J81" s="1367"/>
      <c r="K81" s="1384"/>
      <c r="L81" s="1367"/>
      <c r="M81" s="2284">
        <f t="shared" si="45"/>
        <v>3791605200</v>
      </c>
      <c r="N81" s="1967" t="s">
        <v>453</v>
      </c>
      <c r="O81" s="1058" t="s">
        <v>427</v>
      </c>
      <c r="P81" s="1485"/>
      <c r="Q81" s="1367"/>
      <c r="R81" s="1485">
        <f t="shared" si="55"/>
        <v>0</v>
      </c>
      <c r="S81" s="1481"/>
      <c r="T81" s="1485"/>
      <c r="U81" s="1481"/>
      <c r="V81" s="1485"/>
      <c r="W81" s="1485">
        <f t="shared" si="47"/>
        <v>0</v>
      </c>
      <c r="X81" s="1187"/>
      <c r="Y81" s="106">
        <v>0</v>
      </c>
      <c r="Z81" s="698"/>
      <c r="AA81" s="698">
        <f t="shared" si="48"/>
        <v>0</v>
      </c>
      <c r="AB81" s="253"/>
      <c r="AC81" s="106"/>
      <c r="AD81" s="253"/>
      <c r="AE81" s="106"/>
      <c r="AF81" s="106">
        <f t="shared" si="49"/>
        <v>0</v>
      </c>
      <c r="AG81" s="106"/>
      <c r="AH81" s="208"/>
      <c r="AI81" s="9">
        <v>0</v>
      </c>
      <c r="AJ81" s="9"/>
      <c r="AK81" s="9"/>
      <c r="AL81" s="667"/>
      <c r="AM81" s="9"/>
      <c r="AN81" s="9"/>
      <c r="AO81" s="9">
        <f t="shared" si="50"/>
        <v>0</v>
      </c>
      <c r="AP81" s="769"/>
      <c r="AQ81" s="9"/>
      <c r="AR81" s="769"/>
      <c r="AS81" s="9"/>
      <c r="AT81" s="9">
        <f t="shared" si="51"/>
        <v>0</v>
      </c>
      <c r="AU81" s="37"/>
      <c r="AV81" s="9"/>
      <c r="AW81" s="9"/>
      <c r="AX81" s="9">
        <f t="shared" si="52"/>
        <v>0</v>
      </c>
      <c r="AY81" s="769"/>
      <c r="AZ81" s="9"/>
      <c r="BA81" s="769"/>
      <c r="BB81" s="9"/>
      <c r="BC81" s="9">
        <f t="shared" si="53"/>
        <v>0</v>
      </c>
      <c r="BD81" s="14"/>
      <c r="BE81" s="128"/>
      <c r="BF81" s="219">
        <v>0</v>
      </c>
      <c r="BG81" s="37"/>
      <c r="BH81" s="219">
        <v>2037613200</v>
      </c>
      <c r="BI81" s="11"/>
      <c r="BJ81" s="2121"/>
    </row>
    <row r="82" spans="1:62" s="1" customFormat="1">
      <c r="B82" s="30"/>
      <c r="C82" s="13" t="s">
        <v>459</v>
      </c>
      <c r="D82" s="1367">
        <v>0</v>
      </c>
      <c r="E82" s="1367"/>
      <c r="F82" s="1365">
        <f t="shared" ref="F82:F146" si="57">D82+E82</f>
        <v>0</v>
      </c>
      <c r="G82" s="1365">
        <f t="shared" si="56"/>
        <v>0</v>
      </c>
      <c r="H82" s="1367">
        <f t="shared" si="54"/>
        <v>0</v>
      </c>
      <c r="I82" s="1384"/>
      <c r="J82" s="1367"/>
      <c r="K82" s="1384"/>
      <c r="L82" s="1367"/>
      <c r="M82" s="1967">
        <f t="shared" si="45"/>
        <v>0</v>
      </c>
      <c r="N82" s="1967" t="s">
        <v>453</v>
      </c>
      <c r="O82" s="1058" t="s">
        <v>427</v>
      </c>
      <c r="P82" s="1485">
        <v>1353639940</v>
      </c>
      <c r="Q82" s="1367"/>
      <c r="R82" s="1485">
        <f t="shared" si="55"/>
        <v>1353639940</v>
      </c>
      <c r="S82" s="1481"/>
      <c r="T82" s="1485"/>
      <c r="U82" s="1481"/>
      <c r="V82" s="1485"/>
      <c r="W82" s="1485">
        <f t="shared" si="47"/>
        <v>1353639940</v>
      </c>
      <c r="X82" s="1187"/>
      <c r="Y82" s="106">
        <v>1514886513</v>
      </c>
      <c r="Z82" s="698"/>
      <c r="AA82" s="698">
        <f t="shared" si="48"/>
        <v>1514886513</v>
      </c>
      <c r="AB82" s="253"/>
      <c r="AC82" s="106"/>
      <c r="AD82" s="253"/>
      <c r="AE82" s="106"/>
      <c r="AF82" s="106">
        <f t="shared" si="49"/>
        <v>1514886513</v>
      </c>
      <c r="AG82" s="106"/>
      <c r="AH82" s="208"/>
      <c r="AI82" s="790">
        <v>1661844801</v>
      </c>
      <c r="AJ82" s="790"/>
      <c r="AK82" s="790"/>
      <c r="AL82" s="667"/>
      <c r="AM82" s="35">
        <v>1864082613</v>
      </c>
      <c r="AN82" s="35"/>
      <c r="AO82" s="35">
        <f t="shared" si="50"/>
        <v>1864082613</v>
      </c>
      <c r="AP82" s="784"/>
      <c r="AQ82" s="35"/>
      <c r="AR82" s="784"/>
      <c r="AS82" s="35"/>
      <c r="AT82" s="35">
        <f t="shared" si="51"/>
        <v>1864082613</v>
      </c>
      <c r="AU82" s="37"/>
      <c r="AV82" s="35">
        <v>6587398401</v>
      </c>
      <c r="AW82" s="35"/>
      <c r="AX82" s="35">
        <f t="shared" si="52"/>
        <v>6587398401</v>
      </c>
      <c r="AY82" s="784"/>
      <c r="AZ82" s="35"/>
      <c r="BA82" s="784"/>
      <c r="BB82" s="35"/>
      <c r="BC82" s="35">
        <f t="shared" si="53"/>
        <v>6587398401</v>
      </c>
      <c r="BD82" s="14"/>
      <c r="BE82" s="128"/>
      <c r="BF82" s="219">
        <v>9670160321</v>
      </c>
      <c r="BG82" s="37"/>
      <c r="BH82" s="219">
        <v>8722639700</v>
      </c>
      <c r="BI82" s="11"/>
      <c r="BJ82" s="2121"/>
    </row>
    <row r="83" spans="1:62" s="1" customFormat="1">
      <c r="B83" s="30" t="s">
        <v>407</v>
      </c>
      <c r="C83" s="13" t="s">
        <v>460</v>
      </c>
      <c r="D83" s="1367"/>
      <c r="E83" s="1367">
        <v>1895802600</v>
      </c>
      <c r="F83" s="1365">
        <f t="shared" si="57"/>
        <v>1895802600</v>
      </c>
      <c r="G83" s="1365">
        <f t="shared" si="56"/>
        <v>0</v>
      </c>
      <c r="H83" s="1367">
        <f t="shared" si="54"/>
        <v>1895802600</v>
      </c>
      <c r="I83" s="1384"/>
      <c r="J83" s="1367"/>
      <c r="K83" s="1384"/>
      <c r="L83" s="1367"/>
      <c r="M83" s="2284">
        <f t="shared" si="45"/>
        <v>1895802600</v>
      </c>
      <c r="N83" s="1967" t="s">
        <v>453</v>
      </c>
      <c r="O83" s="1058" t="s">
        <v>427</v>
      </c>
      <c r="P83" s="1485"/>
      <c r="Q83" s="1367"/>
      <c r="R83" s="1485">
        <f t="shared" si="55"/>
        <v>0</v>
      </c>
      <c r="S83" s="1481"/>
      <c r="T83" s="1485"/>
      <c r="U83" s="1481"/>
      <c r="V83" s="1485"/>
      <c r="W83" s="1485">
        <f t="shared" si="47"/>
        <v>0</v>
      </c>
      <c r="X83" s="1187"/>
      <c r="Y83" s="106">
        <v>0</v>
      </c>
      <c r="Z83" s="698"/>
      <c r="AA83" s="698">
        <f t="shared" si="48"/>
        <v>0</v>
      </c>
      <c r="AB83" s="253"/>
      <c r="AC83" s="106"/>
      <c r="AD83" s="253"/>
      <c r="AE83" s="106"/>
      <c r="AF83" s="106">
        <f t="shared" si="49"/>
        <v>0</v>
      </c>
      <c r="AG83" s="106"/>
      <c r="AH83" s="208"/>
      <c r="AI83" s="9">
        <v>0</v>
      </c>
      <c r="AJ83" s="9"/>
      <c r="AK83" s="9"/>
      <c r="AL83" s="667"/>
      <c r="AM83" s="9">
        <v>1079988560</v>
      </c>
      <c r="AN83" s="9"/>
      <c r="AO83" s="9">
        <f t="shared" si="50"/>
        <v>1079988560</v>
      </c>
      <c r="AP83" s="769"/>
      <c r="AQ83" s="9"/>
      <c r="AR83" s="769"/>
      <c r="AS83" s="9"/>
      <c r="AT83" s="9">
        <f t="shared" si="51"/>
        <v>1079988560</v>
      </c>
      <c r="AU83" s="37"/>
      <c r="AV83" s="9"/>
      <c r="AW83" s="9"/>
      <c r="AX83" s="9">
        <f t="shared" si="52"/>
        <v>0</v>
      </c>
      <c r="AY83" s="769"/>
      <c r="AZ83" s="9"/>
      <c r="BA83" s="769"/>
      <c r="BB83" s="9"/>
      <c r="BC83" s="9">
        <f t="shared" si="53"/>
        <v>0</v>
      </c>
      <c r="BD83" s="14"/>
      <c r="BE83" s="128"/>
      <c r="BF83" s="219">
        <v>0</v>
      </c>
      <c r="BG83" s="37"/>
      <c r="BH83" s="219">
        <v>1989098600</v>
      </c>
      <c r="BI83" s="11"/>
      <c r="BJ83" s="2121"/>
    </row>
    <row r="84" spans="1:62" s="1" customFormat="1">
      <c r="B84" s="30"/>
      <c r="C84" s="13" t="s">
        <v>461</v>
      </c>
      <c r="D84" s="1367"/>
      <c r="E84" s="1367"/>
      <c r="F84" s="1365">
        <f t="shared" si="57"/>
        <v>0</v>
      </c>
      <c r="G84" s="1365">
        <f t="shared" si="56"/>
        <v>0</v>
      </c>
      <c r="H84" s="1367">
        <f t="shared" si="54"/>
        <v>0</v>
      </c>
      <c r="I84" s="1384"/>
      <c r="J84" s="1367"/>
      <c r="K84" s="1384"/>
      <c r="L84" s="1367"/>
      <c r="M84" s="1967">
        <f t="shared" si="45"/>
        <v>0</v>
      </c>
      <c r="N84" s="1967"/>
      <c r="O84" s="1058"/>
      <c r="P84" s="1485"/>
      <c r="Q84" s="1367"/>
      <c r="R84" s="1485">
        <f t="shared" si="55"/>
        <v>0</v>
      </c>
      <c r="S84" s="1481"/>
      <c r="T84" s="1485"/>
      <c r="U84" s="1481"/>
      <c r="V84" s="1485"/>
      <c r="W84" s="1485">
        <f t="shared" si="47"/>
        <v>0</v>
      </c>
      <c r="X84" s="1187"/>
      <c r="Y84" s="106">
        <v>0</v>
      </c>
      <c r="Z84" s="698"/>
      <c r="AA84" s="698">
        <f t="shared" si="48"/>
        <v>0</v>
      </c>
      <c r="AB84" s="253"/>
      <c r="AC84" s="106"/>
      <c r="AD84" s="253"/>
      <c r="AE84" s="106"/>
      <c r="AF84" s="106">
        <f t="shared" si="49"/>
        <v>0</v>
      </c>
      <c r="AG84" s="106"/>
      <c r="AH84" s="208"/>
      <c r="AI84" s="9">
        <v>0</v>
      </c>
      <c r="AJ84" s="9"/>
      <c r="AK84" s="9"/>
      <c r="AL84" s="667"/>
      <c r="AM84" s="9"/>
      <c r="AN84" s="9"/>
      <c r="AO84" s="9">
        <f t="shared" si="50"/>
        <v>0</v>
      </c>
      <c r="AP84" s="769"/>
      <c r="AQ84" s="9"/>
      <c r="AR84" s="769"/>
      <c r="AS84" s="9"/>
      <c r="AT84" s="9">
        <f t="shared" si="51"/>
        <v>0</v>
      </c>
      <c r="AU84" s="37"/>
      <c r="AV84" s="9">
        <v>4246347600</v>
      </c>
      <c r="AW84" s="9"/>
      <c r="AX84" s="9">
        <f t="shared" si="52"/>
        <v>4246347600</v>
      </c>
      <c r="AY84" s="769"/>
      <c r="AZ84" s="9"/>
      <c r="BA84" s="769"/>
      <c r="BB84" s="9"/>
      <c r="BC84" s="9">
        <f t="shared" si="53"/>
        <v>4246347600</v>
      </c>
      <c r="BD84" s="14"/>
      <c r="BE84" s="128"/>
      <c r="BF84" s="219">
        <v>0</v>
      </c>
      <c r="BG84" s="37"/>
      <c r="BH84" s="219">
        <v>0</v>
      </c>
      <c r="BI84" s="11"/>
      <c r="BJ84" s="2121"/>
    </row>
    <row r="85" spans="1:62" s="1" customFormat="1">
      <c r="B85" s="30"/>
      <c r="C85" s="13" t="s">
        <v>462</v>
      </c>
      <c r="D85" s="1367"/>
      <c r="E85" s="1367"/>
      <c r="F85" s="1365">
        <f t="shared" si="57"/>
        <v>0</v>
      </c>
      <c r="G85" s="1365">
        <f t="shared" si="56"/>
        <v>0</v>
      </c>
      <c r="H85" s="1367">
        <f t="shared" si="54"/>
        <v>0</v>
      </c>
      <c r="I85" s="1384"/>
      <c r="J85" s="1367"/>
      <c r="K85" s="1384"/>
      <c r="L85" s="1367"/>
      <c r="M85" s="1967">
        <f t="shared" si="45"/>
        <v>0</v>
      </c>
      <c r="N85" s="1967"/>
      <c r="O85" s="1058"/>
      <c r="P85" s="1485"/>
      <c r="Q85" s="1367"/>
      <c r="R85" s="1485">
        <f t="shared" si="55"/>
        <v>0</v>
      </c>
      <c r="S85" s="1481"/>
      <c r="T85" s="1485"/>
      <c r="U85" s="1481"/>
      <c r="V85" s="1485"/>
      <c r="W85" s="1485">
        <f t="shared" si="47"/>
        <v>0</v>
      </c>
      <c r="X85" s="1187"/>
      <c r="Y85" s="106">
        <v>0</v>
      </c>
      <c r="Z85" s="698"/>
      <c r="AA85" s="698">
        <f t="shared" si="48"/>
        <v>0</v>
      </c>
      <c r="AB85" s="253"/>
      <c r="AC85" s="106"/>
      <c r="AD85" s="253"/>
      <c r="AE85" s="106"/>
      <c r="AF85" s="106">
        <f t="shared" si="49"/>
        <v>0</v>
      </c>
      <c r="AG85" s="106"/>
      <c r="AH85" s="208"/>
      <c r="AI85" s="9">
        <v>0</v>
      </c>
      <c r="AJ85" s="9"/>
      <c r="AK85" s="9"/>
      <c r="AL85" s="667"/>
      <c r="AM85" s="9"/>
      <c r="AN85" s="9"/>
      <c r="AO85" s="9">
        <f t="shared" si="50"/>
        <v>0</v>
      </c>
      <c r="AP85" s="769"/>
      <c r="AQ85" s="9"/>
      <c r="AR85" s="769"/>
      <c r="AS85" s="9"/>
      <c r="AT85" s="9">
        <f t="shared" si="51"/>
        <v>0</v>
      </c>
      <c r="AU85" s="37"/>
      <c r="AV85" s="9"/>
      <c r="AW85" s="9"/>
      <c r="AX85" s="9">
        <f t="shared" si="52"/>
        <v>0</v>
      </c>
      <c r="AY85" s="769"/>
      <c r="AZ85" s="9"/>
      <c r="BA85" s="769"/>
      <c r="BB85" s="9"/>
      <c r="BC85" s="9">
        <f t="shared" si="53"/>
        <v>0</v>
      </c>
      <c r="BD85" s="14"/>
      <c r="BE85" s="128"/>
      <c r="BF85" s="219">
        <v>0</v>
      </c>
      <c r="BG85" s="37"/>
      <c r="BH85" s="219">
        <v>0</v>
      </c>
      <c r="BI85" s="11"/>
    </row>
    <row r="86" spans="1:62" s="1" customFormat="1">
      <c r="B86" s="30"/>
      <c r="C86" s="13" t="s">
        <v>463</v>
      </c>
      <c r="D86" s="1367">
        <v>0</v>
      </c>
      <c r="E86" s="1367"/>
      <c r="F86" s="1365">
        <f t="shared" si="57"/>
        <v>0</v>
      </c>
      <c r="G86" s="1365">
        <f t="shared" si="56"/>
        <v>0</v>
      </c>
      <c r="H86" s="1367">
        <f t="shared" si="54"/>
        <v>0</v>
      </c>
      <c r="I86" s="1384"/>
      <c r="J86" s="1367"/>
      <c r="K86" s="1384"/>
      <c r="L86" s="1367"/>
      <c r="M86" s="1967">
        <f t="shared" si="45"/>
        <v>0</v>
      </c>
      <c r="N86" s="1967" t="s">
        <v>453</v>
      </c>
      <c r="O86" s="1058" t="s">
        <v>427</v>
      </c>
      <c r="P86" s="1485"/>
      <c r="Q86" s="1367"/>
      <c r="R86" s="1485">
        <f t="shared" si="55"/>
        <v>0</v>
      </c>
      <c r="S86" s="1481"/>
      <c r="T86" s="1485"/>
      <c r="U86" s="1481"/>
      <c r="V86" s="1485"/>
      <c r="W86" s="1485">
        <f t="shared" si="47"/>
        <v>0</v>
      </c>
      <c r="X86" s="1187"/>
      <c r="Y86" s="106">
        <v>0</v>
      </c>
      <c r="Z86" s="698"/>
      <c r="AA86" s="698">
        <f t="shared" si="48"/>
        <v>0</v>
      </c>
      <c r="AB86" s="253"/>
      <c r="AC86" s="106"/>
      <c r="AD86" s="253"/>
      <c r="AE86" s="106"/>
      <c r="AF86" s="106">
        <f t="shared" si="49"/>
        <v>0</v>
      </c>
      <c r="AG86" s="106"/>
      <c r="AH86" s="208"/>
      <c r="AI86" s="790">
        <v>550050588</v>
      </c>
      <c r="AJ86" s="790"/>
      <c r="AK86" s="790"/>
      <c r="AL86" s="667"/>
      <c r="AM86" s="35"/>
      <c r="AN86" s="35"/>
      <c r="AO86" s="35">
        <f t="shared" si="50"/>
        <v>0</v>
      </c>
      <c r="AP86" s="784"/>
      <c r="AQ86" s="35"/>
      <c r="AR86" s="784"/>
      <c r="AS86" s="35"/>
      <c r="AT86" s="35">
        <f t="shared" si="51"/>
        <v>0</v>
      </c>
      <c r="AU86" s="37"/>
      <c r="AV86" s="35"/>
      <c r="AW86" s="35"/>
      <c r="AX86" s="35">
        <f t="shared" si="52"/>
        <v>0</v>
      </c>
      <c r="AY86" s="784"/>
      <c r="AZ86" s="35"/>
      <c r="BA86" s="784"/>
      <c r="BB86" s="35"/>
      <c r="BC86" s="35">
        <f t="shared" si="53"/>
        <v>0</v>
      </c>
      <c r="BD86" s="14"/>
      <c r="BE86" s="128"/>
      <c r="BF86" s="219">
        <v>1469275400</v>
      </c>
      <c r="BG86" s="37"/>
      <c r="BH86" s="219">
        <v>0</v>
      </c>
      <c r="BI86" s="11"/>
    </row>
    <row r="87" spans="1:62" s="1" customFormat="1">
      <c r="B87" s="30"/>
      <c r="C87" s="13" t="s">
        <v>464</v>
      </c>
      <c r="D87" s="1367">
        <v>0</v>
      </c>
      <c r="E87" s="1367"/>
      <c r="F87" s="1365">
        <f t="shared" si="57"/>
        <v>0</v>
      </c>
      <c r="G87" s="1365">
        <f t="shared" si="56"/>
        <v>0</v>
      </c>
      <c r="H87" s="1367">
        <f t="shared" si="54"/>
        <v>0</v>
      </c>
      <c r="I87" s="1384"/>
      <c r="J87" s="1367"/>
      <c r="K87" s="1384"/>
      <c r="L87" s="1367"/>
      <c r="M87" s="1967">
        <f t="shared" si="45"/>
        <v>0</v>
      </c>
      <c r="N87" s="1967"/>
      <c r="O87" s="1058"/>
      <c r="P87" s="1485"/>
      <c r="Q87" s="1367"/>
      <c r="R87" s="1485">
        <f t="shared" si="55"/>
        <v>0</v>
      </c>
      <c r="S87" s="1481"/>
      <c r="T87" s="1485"/>
      <c r="U87" s="1481"/>
      <c r="V87" s="1485"/>
      <c r="W87" s="1485">
        <f t="shared" si="47"/>
        <v>0</v>
      </c>
      <c r="X87" s="1187"/>
      <c r="Y87" s="106">
        <v>0</v>
      </c>
      <c r="Z87" s="698"/>
      <c r="AA87" s="698">
        <f t="shared" si="48"/>
        <v>0</v>
      </c>
      <c r="AB87" s="253"/>
      <c r="AC87" s="106"/>
      <c r="AD87" s="253"/>
      <c r="AE87" s="106"/>
      <c r="AF87" s="106">
        <f t="shared" si="49"/>
        <v>0</v>
      </c>
      <c r="AG87" s="106"/>
      <c r="AH87" s="208"/>
      <c r="AI87" s="9">
        <v>0</v>
      </c>
      <c r="AJ87" s="9"/>
      <c r="AK87" s="9"/>
      <c r="AL87" s="667"/>
      <c r="AM87" s="9"/>
      <c r="AN87" s="9"/>
      <c r="AO87" s="9">
        <f t="shared" si="50"/>
        <v>0</v>
      </c>
      <c r="AP87" s="769"/>
      <c r="AQ87" s="9"/>
      <c r="AR87" s="769"/>
      <c r="AS87" s="9"/>
      <c r="AT87" s="9">
        <f t="shared" si="51"/>
        <v>0</v>
      </c>
      <c r="AU87" s="37"/>
      <c r="AV87" s="9"/>
      <c r="AW87" s="9"/>
      <c r="AX87" s="9">
        <f t="shared" si="52"/>
        <v>0</v>
      </c>
      <c r="AY87" s="769"/>
      <c r="AZ87" s="9"/>
      <c r="BA87" s="769"/>
      <c r="BB87" s="9"/>
      <c r="BC87" s="9">
        <f t="shared" si="53"/>
        <v>0</v>
      </c>
      <c r="BD87" s="14"/>
      <c r="BE87" s="128"/>
      <c r="BF87" s="219">
        <v>398482118</v>
      </c>
      <c r="BG87" s="37"/>
      <c r="BH87" s="219">
        <v>0</v>
      </c>
      <c r="BI87" s="11"/>
    </row>
    <row r="88" spans="1:62" s="1" customFormat="1">
      <c r="B88" s="30"/>
      <c r="C88" s="13" t="s">
        <v>465</v>
      </c>
      <c r="D88" s="1367">
        <v>0</v>
      </c>
      <c r="E88" s="1367"/>
      <c r="F88" s="1365">
        <f t="shared" si="57"/>
        <v>0</v>
      </c>
      <c r="G88" s="1365">
        <f t="shared" si="56"/>
        <v>0</v>
      </c>
      <c r="H88" s="1367">
        <f t="shared" si="54"/>
        <v>0</v>
      </c>
      <c r="I88" s="1384"/>
      <c r="J88" s="1367"/>
      <c r="K88" s="1384"/>
      <c r="L88" s="1367"/>
      <c r="M88" s="1967">
        <f t="shared" si="45"/>
        <v>0</v>
      </c>
      <c r="N88" s="1967"/>
      <c r="O88" s="1058"/>
      <c r="P88" s="1485"/>
      <c r="Q88" s="1367"/>
      <c r="R88" s="1485">
        <f t="shared" si="55"/>
        <v>0</v>
      </c>
      <c r="S88" s="1481"/>
      <c r="T88" s="1485"/>
      <c r="U88" s="1481"/>
      <c r="V88" s="1485"/>
      <c r="W88" s="1485">
        <f t="shared" si="47"/>
        <v>0</v>
      </c>
      <c r="X88" s="1187"/>
      <c r="Y88" s="106">
        <v>0</v>
      </c>
      <c r="Z88" s="698"/>
      <c r="AA88" s="698">
        <f t="shared" si="48"/>
        <v>0</v>
      </c>
      <c r="AB88" s="253"/>
      <c r="AC88" s="106"/>
      <c r="AD88" s="253"/>
      <c r="AE88" s="106"/>
      <c r="AF88" s="106">
        <f t="shared" si="49"/>
        <v>0</v>
      </c>
      <c r="AG88" s="106"/>
      <c r="AH88" s="208"/>
      <c r="AI88" s="9">
        <v>0</v>
      </c>
      <c r="AJ88" s="9"/>
      <c r="AK88" s="9"/>
      <c r="AL88" s="667"/>
      <c r="AM88" s="9"/>
      <c r="AN88" s="9"/>
      <c r="AO88" s="9">
        <f t="shared" si="50"/>
        <v>0</v>
      </c>
      <c r="AP88" s="769"/>
      <c r="AQ88" s="9"/>
      <c r="AR88" s="769"/>
      <c r="AS88" s="9"/>
      <c r="AT88" s="9">
        <f t="shared" si="51"/>
        <v>0</v>
      </c>
      <c r="AU88" s="37"/>
      <c r="AV88" s="9"/>
      <c r="AW88" s="9"/>
      <c r="AX88" s="9">
        <f t="shared" si="52"/>
        <v>0</v>
      </c>
      <c r="AY88" s="769"/>
      <c r="AZ88" s="9"/>
      <c r="BA88" s="769"/>
      <c r="BB88" s="9"/>
      <c r="BC88" s="9">
        <f t="shared" si="53"/>
        <v>0</v>
      </c>
      <c r="BD88" s="14"/>
      <c r="BE88" s="128"/>
      <c r="BF88" s="219">
        <v>0</v>
      </c>
      <c r="BG88" s="37"/>
      <c r="BH88" s="219">
        <v>0</v>
      </c>
      <c r="BI88" s="11"/>
    </row>
    <row r="89" spans="1:62" s="1" customFormat="1">
      <c r="B89" s="30"/>
      <c r="C89" s="13" t="s">
        <v>466</v>
      </c>
      <c r="D89" s="1367"/>
      <c r="E89" s="1367">
        <v>10062759227.679996</v>
      </c>
      <c r="F89" s="1365">
        <f t="shared" si="57"/>
        <v>10062759227.679996</v>
      </c>
      <c r="G89" s="1365">
        <f t="shared" si="56"/>
        <v>-0.32000350952148438</v>
      </c>
      <c r="H89" s="1367">
        <f t="shared" si="54"/>
        <v>10062759228</v>
      </c>
      <c r="I89" s="1384"/>
      <c r="J89" s="1367"/>
      <c r="K89" s="1384"/>
      <c r="L89" s="1367"/>
      <c r="M89" s="2284">
        <f t="shared" si="45"/>
        <v>10062759228</v>
      </c>
      <c r="N89" s="1967" t="s">
        <v>453</v>
      </c>
      <c r="O89" s="1058" t="s">
        <v>427</v>
      </c>
      <c r="P89" s="1485"/>
      <c r="Q89" s="1367">
        <v>1589028594</v>
      </c>
      <c r="R89" s="1485">
        <f t="shared" si="55"/>
        <v>1589028594</v>
      </c>
      <c r="S89" s="1481"/>
      <c r="T89" s="1485"/>
      <c r="U89" s="1481"/>
      <c r="V89" s="1485"/>
      <c r="W89" s="1485">
        <f t="shared" si="47"/>
        <v>1589028594</v>
      </c>
      <c r="X89" s="1187"/>
      <c r="Y89" s="106">
        <v>0</v>
      </c>
      <c r="Z89" s="698"/>
      <c r="AA89" s="698">
        <f t="shared" si="48"/>
        <v>0</v>
      </c>
      <c r="AB89" s="253"/>
      <c r="AC89" s="106"/>
      <c r="AD89" s="253"/>
      <c r="AE89" s="106"/>
      <c r="AF89" s="106">
        <f t="shared" si="49"/>
        <v>0</v>
      </c>
      <c r="AG89" s="106"/>
      <c r="AH89" s="208"/>
      <c r="AI89" s="790">
        <v>4226586219</v>
      </c>
      <c r="AJ89" s="790"/>
      <c r="AK89" s="790"/>
      <c r="AL89" s="667"/>
      <c r="AM89" s="35"/>
      <c r="AN89" s="35"/>
      <c r="AO89" s="35">
        <f t="shared" si="50"/>
        <v>0</v>
      </c>
      <c r="AP89" s="784"/>
      <c r="AQ89" s="35"/>
      <c r="AR89" s="784"/>
      <c r="AS89" s="35"/>
      <c r="AT89" s="35">
        <f t="shared" si="51"/>
        <v>0</v>
      </c>
      <c r="AU89" s="37"/>
      <c r="AV89" s="35"/>
      <c r="AW89" s="35">
        <v>2142544861</v>
      </c>
      <c r="AX89" s="35">
        <f t="shared" si="52"/>
        <v>2142544861</v>
      </c>
      <c r="AY89" s="784"/>
      <c r="AZ89" s="35"/>
      <c r="BA89" s="784"/>
      <c r="BB89" s="35"/>
      <c r="BC89" s="35">
        <f t="shared" si="53"/>
        <v>2142544861</v>
      </c>
      <c r="BD89" s="14"/>
      <c r="BE89" s="128"/>
      <c r="BF89" s="219">
        <v>4709628265</v>
      </c>
      <c r="BG89" s="37"/>
      <c r="BH89" s="219">
        <v>1330066570</v>
      </c>
      <c r="BI89" s="11"/>
    </row>
    <row r="90" spans="1:62" s="1" customFormat="1">
      <c r="B90" s="30" t="s">
        <v>407</v>
      </c>
      <c r="C90" s="13" t="s">
        <v>467</v>
      </c>
      <c r="D90" s="1367"/>
      <c r="E90" s="1367">
        <v>13036668401.900002</v>
      </c>
      <c r="F90" s="1365">
        <f t="shared" si="57"/>
        <v>13036668401.900002</v>
      </c>
      <c r="G90" s="1365">
        <f t="shared" si="56"/>
        <v>-9.999847412109375E-2</v>
      </c>
      <c r="H90" s="1367">
        <f>ROUND((D90+E90),0)</f>
        <v>13036668402</v>
      </c>
      <c r="I90" s="1384"/>
      <c r="J90" s="1367"/>
      <c r="K90" s="1384"/>
      <c r="L90" s="1367"/>
      <c r="M90" s="2284">
        <f t="shared" si="45"/>
        <v>13036668402</v>
      </c>
      <c r="N90" s="1967" t="s">
        <v>453</v>
      </c>
      <c r="O90" s="1058" t="s">
        <v>427</v>
      </c>
      <c r="P90" s="1485"/>
      <c r="Q90" s="1367">
        <f>ROUND(4404451408.5,0)</f>
        <v>4404451409</v>
      </c>
      <c r="R90" s="1485">
        <f>ROUND((P90+Q90),0)</f>
        <v>4404451409</v>
      </c>
      <c r="S90" s="1481"/>
      <c r="T90" s="1485"/>
      <c r="U90" s="1481"/>
      <c r="V90" s="1485"/>
      <c r="W90" s="1485">
        <f t="shared" si="47"/>
        <v>4404451409</v>
      </c>
      <c r="X90" s="1187"/>
      <c r="Y90" s="106">
        <v>0</v>
      </c>
      <c r="Z90" s="710">
        <v>2323553040</v>
      </c>
      <c r="AA90" s="698">
        <f>ROUND((Y90+Z90),0)</f>
        <v>2323553040</v>
      </c>
      <c r="AB90" s="253"/>
      <c r="AC90" s="106"/>
      <c r="AD90" s="253"/>
      <c r="AE90" s="106"/>
      <c r="AF90" s="106">
        <f t="shared" si="49"/>
        <v>2323553040</v>
      </c>
      <c r="AG90" s="106"/>
      <c r="AH90" s="208"/>
      <c r="AI90" s="35"/>
      <c r="AJ90" s="35"/>
      <c r="AK90" s="35"/>
      <c r="AL90" s="667"/>
      <c r="AM90" s="35"/>
      <c r="AN90" s="35"/>
      <c r="AO90" s="35">
        <f t="shared" si="50"/>
        <v>0</v>
      </c>
      <c r="AP90" s="784"/>
      <c r="AQ90" s="35"/>
      <c r="AR90" s="784"/>
      <c r="AS90" s="35"/>
      <c r="AT90" s="35">
        <f t="shared" si="51"/>
        <v>0</v>
      </c>
      <c r="AU90" s="37"/>
      <c r="AV90" s="35"/>
      <c r="AW90" s="35"/>
      <c r="AX90" s="35">
        <f t="shared" si="52"/>
        <v>0</v>
      </c>
      <c r="AY90" s="784"/>
      <c r="AZ90" s="35"/>
      <c r="BA90" s="784"/>
      <c r="BB90" s="35"/>
      <c r="BC90" s="35">
        <f t="shared" si="53"/>
        <v>0</v>
      </c>
      <c r="BD90" s="14"/>
      <c r="BE90" s="128"/>
      <c r="BF90" s="219"/>
      <c r="BG90" s="37"/>
      <c r="BH90" s="219"/>
      <c r="BI90" s="11"/>
    </row>
    <row r="91" spans="1:62" s="1" customFormat="1">
      <c r="A91" s="1" t="s">
        <v>468</v>
      </c>
      <c r="B91" s="30" t="s">
        <v>407</v>
      </c>
      <c r="C91" s="13" t="s">
        <v>469</v>
      </c>
      <c r="D91" s="1367"/>
      <c r="E91" s="1367"/>
      <c r="F91" s="1365">
        <f t="shared" si="57"/>
        <v>0</v>
      </c>
      <c r="G91" s="1365">
        <f t="shared" si="56"/>
        <v>0</v>
      </c>
      <c r="H91" s="1367">
        <f t="shared" ref="H91:H103" si="58">ROUND((D91+E91),0)</f>
        <v>0</v>
      </c>
      <c r="I91" s="1384"/>
      <c r="J91" s="1367"/>
      <c r="K91" s="1384"/>
      <c r="L91" s="1367"/>
      <c r="M91" s="1967">
        <f t="shared" si="45"/>
        <v>0</v>
      </c>
      <c r="N91" s="1967"/>
      <c r="O91" s="1058"/>
      <c r="P91" s="1485"/>
      <c r="Q91" s="1367"/>
      <c r="R91" s="1485">
        <f t="shared" ref="R91:R102" si="59">ROUND((P91+Q91),0)</f>
        <v>0</v>
      </c>
      <c r="S91" s="1481"/>
      <c r="T91" s="1485"/>
      <c r="U91" s="1481"/>
      <c r="V91" s="1485"/>
      <c r="W91" s="1485">
        <f t="shared" si="47"/>
        <v>0</v>
      </c>
      <c r="X91" s="1187"/>
      <c r="Y91" s="106">
        <v>0</v>
      </c>
      <c r="Z91" s="698"/>
      <c r="AA91" s="698">
        <f t="shared" si="48"/>
        <v>0</v>
      </c>
      <c r="AB91" s="253"/>
      <c r="AC91" s="106"/>
      <c r="AD91" s="253"/>
      <c r="AE91" s="106"/>
      <c r="AF91" s="106">
        <f t="shared" si="49"/>
        <v>0</v>
      </c>
      <c r="AG91" s="106"/>
      <c r="AH91" s="208"/>
      <c r="AI91" s="9">
        <v>0</v>
      </c>
      <c r="AJ91" s="9"/>
      <c r="AK91" s="9"/>
      <c r="AL91" s="667"/>
      <c r="AM91" s="9"/>
      <c r="AN91" s="9"/>
      <c r="AO91" s="9">
        <f t="shared" si="50"/>
        <v>0</v>
      </c>
      <c r="AP91" s="769"/>
      <c r="AQ91" s="9"/>
      <c r="AR91" s="769"/>
      <c r="AS91" s="9"/>
      <c r="AT91" s="9">
        <f t="shared" si="51"/>
        <v>0</v>
      </c>
      <c r="AU91" s="37"/>
      <c r="AV91" s="9"/>
      <c r="AW91" s="9"/>
      <c r="AX91" s="9">
        <f t="shared" si="52"/>
        <v>0</v>
      </c>
      <c r="AY91" s="769"/>
      <c r="AZ91" s="9"/>
      <c r="BA91" s="769"/>
      <c r="BB91" s="9"/>
      <c r="BC91" s="9">
        <f t="shared" si="53"/>
        <v>0</v>
      </c>
      <c r="BD91" s="14"/>
      <c r="BE91" s="128"/>
      <c r="BF91" s="219">
        <v>0</v>
      </c>
      <c r="BG91" s="37"/>
      <c r="BH91" s="219">
        <v>0</v>
      </c>
      <c r="BI91" s="11"/>
    </row>
    <row r="92" spans="1:62" s="1" customFormat="1">
      <c r="B92" s="30" t="s">
        <v>407</v>
      </c>
      <c r="C92" s="13" t="s">
        <v>470</v>
      </c>
      <c r="D92" s="1367"/>
      <c r="E92" s="1367"/>
      <c r="F92" s="1365">
        <f t="shared" si="57"/>
        <v>0</v>
      </c>
      <c r="G92" s="1365">
        <f t="shared" si="56"/>
        <v>0</v>
      </c>
      <c r="H92" s="1367">
        <f t="shared" si="58"/>
        <v>0</v>
      </c>
      <c r="I92" s="1384"/>
      <c r="J92" s="1367"/>
      <c r="K92" s="1384"/>
      <c r="L92" s="1367"/>
      <c r="M92" s="1967">
        <f t="shared" si="45"/>
        <v>0</v>
      </c>
      <c r="N92" s="1967"/>
      <c r="O92" s="1058"/>
      <c r="P92" s="1485"/>
      <c r="Q92" s="1367"/>
      <c r="R92" s="1485">
        <f t="shared" si="59"/>
        <v>0</v>
      </c>
      <c r="S92" s="1481"/>
      <c r="T92" s="1485"/>
      <c r="U92" s="1481"/>
      <c r="V92" s="1485"/>
      <c r="W92" s="1485">
        <f t="shared" si="47"/>
        <v>0</v>
      </c>
      <c r="X92" s="1187"/>
      <c r="Y92" s="106">
        <v>0</v>
      </c>
      <c r="Z92" s="698"/>
      <c r="AA92" s="698">
        <f t="shared" si="48"/>
        <v>0</v>
      </c>
      <c r="AB92" s="253"/>
      <c r="AC92" s="106"/>
      <c r="AD92" s="253"/>
      <c r="AE92" s="106"/>
      <c r="AF92" s="106">
        <f t="shared" si="49"/>
        <v>0</v>
      </c>
      <c r="AG92" s="106"/>
      <c r="AH92" s="208"/>
      <c r="AI92" s="9">
        <v>0</v>
      </c>
      <c r="AJ92" s="9"/>
      <c r="AK92" s="9"/>
      <c r="AL92" s="667"/>
      <c r="AM92" s="9"/>
      <c r="AN92" s="9"/>
      <c r="AO92" s="9">
        <f t="shared" si="50"/>
        <v>0</v>
      </c>
      <c r="AP92" s="769"/>
      <c r="AQ92" s="9"/>
      <c r="AR92" s="769"/>
      <c r="AS92" s="9"/>
      <c r="AT92" s="9">
        <f t="shared" si="51"/>
        <v>0</v>
      </c>
      <c r="AU92" s="37"/>
      <c r="AV92" s="9"/>
      <c r="AW92" s="9"/>
      <c r="AX92" s="9">
        <f t="shared" si="52"/>
        <v>0</v>
      </c>
      <c r="AY92" s="769"/>
      <c r="AZ92" s="9"/>
      <c r="BA92" s="769"/>
      <c r="BB92" s="9"/>
      <c r="BC92" s="9">
        <f t="shared" si="53"/>
        <v>0</v>
      </c>
      <c r="BD92" s="14"/>
      <c r="BE92" s="128"/>
      <c r="BF92" s="219">
        <v>0</v>
      </c>
      <c r="BG92" s="37"/>
      <c r="BH92" s="219">
        <v>0</v>
      </c>
      <c r="BI92" s="11"/>
    </row>
    <row r="93" spans="1:62" s="1" customFormat="1">
      <c r="B93" s="30" t="s">
        <v>407</v>
      </c>
      <c r="C93" s="93" t="s">
        <v>471</v>
      </c>
      <c r="D93" s="1367"/>
      <c r="E93" s="1367"/>
      <c r="F93" s="1365">
        <f t="shared" si="57"/>
        <v>0</v>
      </c>
      <c r="G93" s="1365">
        <f t="shared" si="56"/>
        <v>0</v>
      </c>
      <c r="H93" s="1367">
        <f t="shared" si="58"/>
        <v>0</v>
      </c>
      <c r="I93" s="1384"/>
      <c r="J93" s="1367"/>
      <c r="K93" s="1384"/>
      <c r="L93" s="1367"/>
      <c r="M93" s="1967">
        <f t="shared" si="45"/>
        <v>0</v>
      </c>
      <c r="N93" s="1967"/>
      <c r="O93" s="1058"/>
      <c r="P93" s="1485"/>
      <c r="Q93" s="1367"/>
      <c r="R93" s="1485">
        <f t="shared" si="59"/>
        <v>0</v>
      </c>
      <c r="S93" s="1481"/>
      <c r="T93" s="1485"/>
      <c r="U93" s="1481"/>
      <c r="V93" s="1485"/>
      <c r="W93" s="1485">
        <f t="shared" si="47"/>
        <v>0</v>
      </c>
      <c r="X93" s="1187"/>
      <c r="Y93" s="106">
        <v>0</v>
      </c>
      <c r="Z93" s="698"/>
      <c r="AA93" s="698">
        <f t="shared" si="48"/>
        <v>0</v>
      </c>
      <c r="AB93" s="253"/>
      <c r="AC93" s="106"/>
      <c r="AD93" s="253"/>
      <c r="AE93" s="106"/>
      <c r="AF93" s="106">
        <f t="shared" si="49"/>
        <v>0</v>
      </c>
      <c r="AG93" s="106"/>
      <c r="AH93" s="208"/>
      <c r="AI93" s="9">
        <v>0</v>
      </c>
      <c r="AJ93" s="9"/>
      <c r="AK93" s="9"/>
      <c r="AL93" s="667"/>
      <c r="AM93" s="9"/>
      <c r="AN93" s="9"/>
      <c r="AO93" s="9">
        <f t="shared" si="50"/>
        <v>0</v>
      </c>
      <c r="AP93" s="769"/>
      <c r="AQ93" s="9"/>
      <c r="AR93" s="769"/>
      <c r="AS93" s="9"/>
      <c r="AT93" s="9">
        <f t="shared" si="51"/>
        <v>0</v>
      </c>
      <c r="AU93" s="37"/>
      <c r="AV93" s="9"/>
      <c r="AW93" s="9"/>
      <c r="AX93" s="9">
        <f t="shared" si="52"/>
        <v>0</v>
      </c>
      <c r="AY93" s="769"/>
      <c r="AZ93" s="9"/>
      <c r="BA93" s="769"/>
      <c r="BB93" s="9"/>
      <c r="BC93" s="9">
        <f t="shared" si="53"/>
        <v>0</v>
      </c>
      <c r="BD93" s="14"/>
      <c r="BE93" s="128"/>
      <c r="BF93" s="219">
        <v>0</v>
      </c>
      <c r="BG93" s="37"/>
      <c r="BH93" s="219">
        <v>0</v>
      </c>
      <c r="BI93" s="11"/>
    </row>
    <row r="94" spans="1:62" s="1" customFormat="1">
      <c r="B94" s="30" t="s">
        <v>407</v>
      </c>
      <c r="C94" s="13" t="s">
        <v>472</v>
      </c>
      <c r="D94" s="1367"/>
      <c r="E94" s="1367"/>
      <c r="F94" s="1365">
        <f t="shared" si="57"/>
        <v>0</v>
      </c>
      <c r="G94" s="1365">
        <f t="shared" si="56"/>
        <v>0</v>
      </c>
      <c r="H94" s="1367">
        <f t="shared" si="58"/>
        <v>0</v>
      </c>
      <c r="I94" s="1384"/>
      <c r="J94" s="1367"/>
      <c r="K94" s="1384"/>
      <c r="L94" s="1367"/>
      <c r="M94" s="1967">
        <f t="shared" si="45"/>
        <v>0</v>
      </c>
      <c r="N94" s="1967"/>
      <c r="O94" s="1058"/>
      <c r="P94" s="1485"/>
      <c r="Q94" s="1367"/>
      <c r="R94" s="1485">
        <f t="shared" si="59"/>
        <v>0</v>
      </c>
      <c r="S94" s="1481"/>
      <c r="T94" s="1485"/>
      <c r="U94" s="1481"/>
      <c r="V94" s="1485"/>
      <c r="W94" s="1485">
        <f t="shared" si="47"/>
        <v>0</v>
      </c>
      <c r="X94" s="1187"/>
      <c r="Y94" s="106">
        <v>0</v>
      </c>
      <c r="Z94" s="698"/>
      <c r="AA94" s="698">
        <f t="shared" si="48"/>
        <v>0</v>
      </c>
      <c r="AB94" s="253"/>
      <c r="AC94" s="106"/>
      <c r="AD94" s="253"/>
      <c r="AE94" s="106"/>
      <c r="AF94" s="106">
        <f t="shared" si="49"/>
        <v>0</v>
      </c>
      <c r="AG94" s="106"/>
      <c r="AH94" s="208"/>
      <c r="AI94" s="9">
        <v>0</v>
      </c>
      <c r="AJ94" s="9"/>
      <c r="AK94" s="9"/>
      <c r="AL94" s="667"/>
      <c r="AM94" s="9"/>
      <c r="AN94" s="9"/>
      <c r="AO94" s="9">
        <f t="shared" si="50"/>
        <v>0</v>
      </c>
      <c r="AP94" s="769"/>
      <c r="AQ94" s="9"/>
      <c r="AR94" s="769"/>
      <c r="AS94" s="9"/>
      <c r="AT94" s="9">
        <f t="shared" si="51"/>
        <v>0</v>
      </c>
      <c r="AU94" s="37"/>
      <c r="AV94" s="9"/>
      <c r="AW94" s="9"/>
      <c r="AX94" s="9">
        <f t="shared" si="52"/>
        <v>0</v>
      </c>
      <c r="AY94" s="769"/>
      <c r="AZ94" s="9"/>
      <c r="BA94" s="769"/>
      <c r="BB94" s="9"/>
      <c r="BC94" s="9">
        <f t="shared" si="53"/>
        <v>0</v>
      </c>
      <c r="BD94" s="14"/>
      <c r="BE94" s="128"/>
      <c r="BF94" s="219">
        <v>0</v>
      </c>
      <c r="BG94" s="37"/>
      <c r="BH94" s="219">
        <v>0</v>
      </c>
      <c r="BI94" s="11"/>
    </row>
    <row r="95" spans="1:62" s="1" customFormat="1">
      <c r="B95" s="30"/>
      <c r="C95" s="13" t="s">
        <v>473</v>
      </c>
      <c r="D95" s="1367"/>
      <c r="E95" s="1367"/>
      <c r="F95" s="1365">
        <f t="shared" si="57"/>
        <v>0</v>
      </c>
      <c r="G95" s="1365">
        <f t="shared" si="56"/>
        <v>0</v>
      </c>
      <c r="H95" s="1367">
        <f t="shared" si="58"/>
        <v>0</v>
      </c>
      <c r="I95" s="1384"/>
      <c r="J95" s="1367"/>
      <c r="K95" s="1384"/>
      <c r="L95" s="1367"/>
      <c r="M95" s="1967">
        <f t="shared" si="45"/>
        <v>0</v>
      </c>
      <c r="N95" s="1967"/>
      <c r="O95" s="1058"/>
      <c r="P95" s="1485"/>
      <c r="Q95" s="1367"/>
      <c r="R95" s="1485">
        <f t="shared" si="59"/>
        <v>0</v>
      </c>
      <c r="S95" s="1481"/>
      <c r="T95" s="1485"/>
      <c r="U95" s="1481"/>
      <c r="V95" s="1485"/>
      <c r="W95" s="1485">
        <f t="shared" si="47"/>
        <v>0</v>
      </c>
      <c r="X95" s="1187"/>
      <c r="Y95" s="106">
        <v>0</v>
      </c>
      <c r="Z95" s="698"/>
      <c r="AA95" s="698">
        <f t="shared" si="48"/>
        <v>0</v>
      </c>
      <c r="AB95" s="253"/>
      <c r="AC95" s="106"/>
      <c r="AD95" s="253"/>
      <c r="AE95" s="106"/>
      <c r="AF95" s="106">
        <f t="shared" si="49"/>
        <v>0</v>
      </c>
      <c r="AG95" s="106"/>
      <c r="AH95" s="208"/>
      <c r="AI95" s="9">
        <v>0</v>
      </c>
      <c r="AJ95" s="9"/>
      <c r="AK95" s="9"/>
      <c r="AL95" s="667"/>
      <c r="AM95" s="9"/>
      <c r="AN95" s="9"/>
      <c r="AO95" s="9">
        <f t="shared" si="50"/>
        <v>0</v>
      </c>
      <c r="AP95" s="769"/>
      <c r="AQ95" s="9"/>
      <c r="AR95" s="769"/>
      <c r="AS95" s="9"/>
      <c r="AT95" s="9">
        <f t="shared" si="51"/>
        <v>0</v>
      </c>
      <c r="AU95" s="37"/>
      <c r="AV95" s="9"/>
      <c r="AW95" s="9"/>
      <c r="AX95" s="9">
        <f t="shared" si="52"/>
        <v>0</v>
      </c>
      <c r="AY95" s="769"/>
      <c r="AZ95" s="9"/>
      <c r="BA95" s="769"/>
      <c r="BB95" s="9"/>
      <c r="BC95" s="9">
        <f t="shared" si="53"/>
        <v>0</v>
      </c>
      <c r="BD95" s="14"/>
      <c r="BE95" s="128"/>
      <c r="BF95" s="219">
        <v>0</v>
      </c>
      <c r="BG95" s="37"/>
      <c r="BH95" s="219">
        <v>0</v>
      </c>
      <c r="BI95" s="11"/>
    </row>
    <row r="96" spans="1:62" s="1" customFormat="1">
      <c r="B96" s="30"/>
      <c r="C96" s="13" t="s">
        <v>474</v>
      </c>
      <c r="D96" s="1367"/>
      <c r="E96" s="1367"/>
      <c r="F96" s="1365">
        <f t="shared" si="57"/>
        <v>0</v>
      </c>
      <c r="G96" s="1365">
        <f t="shared" si="56"/>
        <v>0</v>
      </c>
      <c r="H96" s="1367">
        <f t="shared" si="58"/>
        <v>0</v>
      </c>
      <c r="I96" s="1384"/>
      <c r="J96" s="1367"/>
      <c r="K96" s="1384"/>
      <c r="L96" s="1367"/>
      <c r="M96" s="1967">
        <f t="shared" si="45"/>
        <v>0</v>
      </c>
      <c r="N96" s="1967"/>
      <c r="O96" s="1058"/>
      <c r="P96" s="1485"/>
      <c r="Q96" s="1367"/>
      <c r="R96" s="1485">
        <f t="shared" si="59"/>
        <v>0</v>
      </c>
      <c r="S96" s="1481"/>
      <c r="T96" s="1485"/>
      <c r="U96" s="1481"/>
      <c r="V96" s="1485"/>
      <c r="W96" s="1485">
        <f t="shared" si="47"/>
        <v>0</v>
      </c>
      <c r="X96" s="1187"/>
      <c r="Y96" s="106">
        <v>0</v>
      </c>
      <c r="Z96" s="698"/>
      <c r="AA96" s="698">
        <f t="shared" si="48"/>
        <v>0</v>
      </c>
      <c r="AB96" s="253"/>
      <c r="AC96" s="106"/>
      <c r="AD96" s="253"/>
      <c r="AE96" s="106"/>
      <c r="AF96" s="106">
        <f t="shared" si="49"/>
        <v>0</v>
      </c>
      <c r="AG96" s="106"/>
      <c r="AH96" s="208"/>
      <c r="AI96" s="9">
        <v>0</v>
      </c>
      <c r="AJ96" s="9"/>
      <c r="AK96" s="9"/>
      <c r="AL96" s="667"/>
      <c r="AM96" s="9"/>
      <c r="AN96" s="9"/>
      <c r="AO96" s="9">
        <f t="shared" si="50"/>
        <v>0</v>
      </c>
      <c r="AP96" s="769"/>
      <c r="AQ96" s="9"/>
      <c r="AR96" s="769"/>
      <c r="AS96" s="9"/>
      <c r="AT96" s="9">
        <f t="shared" si="51"/>
        <v>0</v>
      </c>
      <c r="AU96" s="37"/>
      <c r="AV96" s="9"/>
      <c r="AW96" s="9"/>
      <c r="AX96" s="9">
        <f t="shared" si="52"/>
        <v>0</v>
      </c>
      <c r="AY96" s="769"/>
      <c r="AZ96" s="9"/>
      <c r="BA96" s="769"/>
      <c r="BB96" s="9"/>
      <c r="BC96" s="9">
        <f t="shared" si="53"/>
        <v>0</v>
      </c>
      <c r="BD96" s="14"/>
      <c r="BE96" s="128"/>
      <c r="BF96" s="219">
        <v>0</v>
      </c>
      <c r="BG96" s="37"/>
      <c r="BH96" s="219">
        <v>0</v>
      </c>
      <c r="BI96" s="11"/>
    </row>
    <row r="97" spans="2:64" s="1" customFormat="1">
      <c r="B97" s="30"/>
      <c r="C97" s="13" t="s">
        <v>475</v>
      </c>
      <c r="D97" s="1367">
        <v>0</v>
      </c>
      <c r="E97" s="1367"/>
      <c r="F97" s="1365">
        <f t="shared" si="57"/>
        <v>0</v>
      </c>
      <c r="G97" s="1365">
        <f t="shared" si="56"/>
        <v>0</v>
      </c>
      <c r="H97" s="1367">
        <f t="shared" si="58"/>
        <v>0</v>
      </c>
      <c r="I97" s="1384"/>
      <c r="J97" s="1367"/>
      <c r="K97" s="1384"/>
      <c r="L97" s="1367"/>
      <c r="M97" s="1967">
        <f t="shared" si="45"/>
        <v>0</v>
      </c>
      <c r="N97" s="1967"/>
      <c r="O97" s="1058"/>
      <c r="P97" s="1485"/>
      <c r="Q97" s="1367"/>
      <c r="R97" s="1485">
        <f t="shared" si="59"/>
        <v>0</v>
      </c>
      <c r="S97" s="1481"/>
      <c r="T97" s="1485"/>
      <c r="U97" s="1481"/>
      <c r="V97" s="1485"/>
      <c r="W97" s="1485">
        <f t="shared" si="47"/>
        <v>0</v>
      </c>
      <c r="X97" s="1187"/>
      <c r="Y97" s="106">
        <v>0</v>
      </c>
      <c r="Z97" s="698"/>
      <c r="AA97" s="698">
        <f t="shared" si="48"/>
        <v>0</v>
      </c>
      <c r="AB97" s="253"/>
      <c r="AC97" s="106"/>
      <c r="AD97" s="253"/>
      <c r="AE97" s="106"/>
      <c r="AF97" s="106">
        <f t="shared" si="49"/>
        <v>0</v>
      </c>
      <c r="AG97" s="106"/>
      <c r="AH97" s="208"/>
      <c r="AI97" s="9">
        <v>0</v>
      </c>
      <c r="AJ97" s="9"/>
      <c r="AK97" s="9"/>
      <c r="AL97" s="667"/>
      <c r="AM97" s="9"/>
      <c r="AN97" s="9"/>
      <c r="AO97" s="9">
        <f t="shared" si="50"/>
        <v>0</v>
      </c>
      <c r="AP97" s="769"/>
      <c r="AQ97" s="9"/>
      <c r="AR97" s="769"/>
      <c r="AS97" s="9"/>
      <c r="AT97" s="9">
        <f t="shared" si="51"/>
        <v>0</v>
      </c>
      <c r="AU97" s="37"/>
      <c r="AV97" s="9"/>
      <c r="AW97" s="9"/>
      <c r="AX97" s="9">
        <f t="shared" si="52"/>
        <v>0</v>
      </c>
      <c r="AY97" s="769"/>
      <c r="AZ97" s="9"/>
      <c r="BA97" s="769"/>
      <c r="BB97" s="9"/>
      <c r="BC97" s="9">
        <f t="shared" si="53"/>
        <v>0</v>
      </c>
      <c r="BD97" s="14"/>
      <c r="BE97" s="128"/>
      <c r="BF97" s="219">
        <v>0</v>
      </c>
      <c r="BG97" s="37"/>
      <c r="BH97" s="219">
        <v>5278388480</v>
      </c>
      <c r="BI97" s="11"/>
    </row>
    <row r="98" spans="2:64" s="1" customFormat="1">
      <c r="B98" s="30"/>
      <c r="C98" s="13" t="s">
        <v>476</v>
      </c>
      <c r="D98" s="1367">
        <v>0</v>
      </c>
      <c r="E98" s="1367"/>
      <c r="F98" s="1365">
        <f t="shared" si="57"/>
        <v>0</v>
      </c>
      <c r="G98" s="1365">
        <f t="shared" si="56"/>
        <v>0</v>
      </c>
      <c r="H98" s="1367">
        <f t="shared" si="58"/>
        <v>0</v>
      </c>
      <c r="I98" s="1384"/>
      <c r="J98" s="1367"/>
      <c r="K98" s="1384"/>
      <c r="L98" s="1367"/>
      <c r="M98" s="1967">
        <f t="shared" si="45"/>
        <v>0</v>
      </c>
      <c r="N98" s="1967" t="s">
        <v>453</v>
      </c>
      <c r="O98" s="1058" t="s">
        <v>427</v>
      </c>
      <c r="P98" s="1485"/>
      <c r="Q98" s="1367"/>
      <c r="R98" s="1485">
        <f t="shared" si="59"/>
        <v>0</v>
      </c>
      <c r="S98" s="1481"/>
      <c r="T98" s="1485"/>
      <c r="U98" s="1481"/>
      <c r="V98" s="1485"/>
      <c r="W98" s="1485">
        <f t="shared" si="47"/>
        <v>0</v>
      </c>
      <c r="X98" s="1187"/>
      <c r="Y98" s="106">
        <v>0</v>
      </c>
      <c r="Z98" s="698"/>
      <c r="AA98" s="698">
        <f t="shared" si="48"/>
        <v>0</v>
      </c>
      <c r="AB98" s="253"/>
      <c r="AC98" s="106"/>
      <c r="AD98" s="253"/>
      <c r="AE98" s="106"/>
      <c r="AF98" s="106">
        <f t="shared" si="49"/>
        <v>0</v>
      </c>
      <c r="AG98" s="106"/>
      <c r="AH98" s="208">
        <v>27739814719</v>
      </c>
      <c r="AI98" s="790">
        <v>2028899760</v>
      </c>
      <c r="AJ98" s="790"/>
      <c r="AK98" s="790"/>
      <c r="AL98" s="667"/>
      <c r="AM98" s="35"/>
      <c r="AN98" s="35"/>
      <c r="AO98" s="35">
        <f t="shared" si="50"/>
        <v>0</v>
      </c>
      <c r="AP98" s="784"/>
      <c r="AQ98" s="35"/>
      <c r="AR98" s="784"/>
      <c r="AS98" s="35"/>
      <c r="AT98" s="35">
        <f t="shared" si="51"/>
        <v>0</v>
      </c>
      <c r="AU98" s="37"/>
      <c r="AV98" s="35"/>
      <c r="AW98" s="35"/>
      <c r="AX98" s="35">
        <f t="shared" si="52"/>
        <v>0</v>
      </c>
      <c r="AY98" s="784"/>
      <c r="AZ98" s="35"/>
      <c r="BA98" s="784"/>
      <c r="BB98" s="35"/>
      <c r="BC98" s="35">
        <f t="shared" si="53"/>
        <v>0</v>
      </c>
      <c r="BD98" s="14"/>
      <c r="BE98" s="128"/>
      <c r="BF98" s="219">
        <v>1060584019</v>
      </c>
      <c r="BG98" s="37"/>
      <c r="BH98" s="219">
        <v>2374932359</v>
      </c>
      <c r="BI98" s="11"/>
    </row>
    <row r="99" spans="2:64" s="1" customFormat="1">
      <c r="B99" s="30"/>
      <c r="C99" s="13" t="s">
        <v>477</v>
      </c>
      <c r="D99" s="1375">
        <v>2033454354</v>
      </c>
      <c r="E99" s="1367"/>
      <c r="F99" s="1365">
        <f t="shared" si="57"/>
        <v>2033454354</v>
      </c>
      <c r="G99" s="1365">
        <f t="shared" si="56"/>
        <v>0</v>
      </c>
      <c r="H99" s="1367">
        <f t="shared" si="58"/>
        <v>2033454354</v>
      </c>
      <c r="I99" s="1384"/>
      <c r="J99" s="1367"/>
      <c r="K99" s="1384"/>
      <c r="L99" s="1367"/>
      <c r="M99" s="2284">
        <f t="shared" si="45"/>
        <v>2033454354</v>
      </c>
      <c r="N99" s="1967" t="s">
        <v>453</v>
      </c>
      <c r="O99" s="1058"/>
      <c r="P99" s="1485">
        <v>3523030954</v>
      </c>
      <c r="Q99" s="1367"/>
      <c r="R99" s="1485">
        <f t="shared" si="59"/>
        <v>3523030954</v>
      </c>
      <c r="S99" s="1481"/>
      <c r="T99" s="1485"/>
      <c r="U99" s="1481"/>
      <c r="V99" s="1485"/>
      <c r="W99" s="1485">
        <f t="shared" si="47"/>
        <v>3523030954</v>
      </c>
      <c r="X99" s="1187"/>
      <c r="Y99" s="106">
        <v>0</v>
      </c>
      <c r="Z99" s="698"/>
      <c r="AA99" s="698">
        <f t="shared" si="48"/>
        <v>0</v>
      </c>
      <c r="AB99" s="253"/>
      <c r="AC99" s="106"/>
      <c r="AD99" s="253"/>
      <c r="AE99" s="106"/>
      <c r="AF99" s="106">
        <f t="shared" si="49"/>
        <v>0</v>
      </c>
      <c r="AG99" s="106"/>
      <c r="AH99" s="208">
        <f>AF105-AH98</f>
        <v>22200778</v>
      </c>
      <c r="AI99" s="9">
        <v>0</v>
      </c>
      <c r="AJ99" s="9"/>
      <c r="AK99" s="9"/>
      <c r="AL99" s="667"/>
      <c r="AM99" s="9"/>
      <c r="AN99" s="9"/>
      <c r="AO99" s="9">
        <f t="shared" si="50"/>
        <v>0</v>
      </c>
      <c r="AP99" s="769"/>
      <c r="AQ99" s="9"/>
      <c r="AR99" s="769"/>
      <c r="AS99" s="9"/>
      <c r="AT99" s="9">
        <f t="shared" si="51"/>
        <v>0</v>
      </c>
      <c r="AU99" s="37"/>
      <c r="AV99" s="9"/>
      <c r="AW99" s="9"/>
      <c r="AX99" s="9">
        <f t="shared" si="52"/>
        <v>0</v>
      </c>
      <c r="AY99" s="769"/>
      <c r="AZ99" s="9"/>
      <c r="BA99" s="769"/>
      <c r="BB99" s="9"/>
      <c r="BC99" s="9">
        <f t="shared" si="53"/>
        <v>0</v>
      </c>
      <c r="BD99" s="14"/>
      <c r="BE99" s="128"/>
      <c r="BF99" s="219">
        <v>1678812320</v>
      </c>
      <c r="BG99" s="37"/>
      <c r="BH99" s="219">
        <v>0</v>
      </c>
      <c r="BI99" s="11"/>
    </row>
    <row r="100" spans="2:64" s="1" customFormat="1">
      <c r="B100" s="30"/>
      <c r="C100" s="13" t="s">
        <v>465</v>
      </c>
      <c r="D100" s="1367">
        <v>0</v>
      </c>
      <c r="E100" s="1367"/>
      <c r="F100" s="1365">
        <f t="shared" si="57"/>
        <v>0</v>
      </c>
      <c r="G100" s="1365">
        <f t="shared" si="56"/>
        <v>0</v>
      </c>
      <c r="H100" s="1367">
        <f t="shared" si="58"/>
        <v>0</v>
      </c>
      <c r="I100" s="1384"/>
      <c r="J100" s="1367"/>
      <c r="K100" s="1384"/>
      <c r="L100" s="1367"/>
      <c r="M100" s="1967">
        <f t="shared" si="45"/>
        <v>0</v>
      </c>
      <c r="N100" s="1967"/>
      <c r="O100" s="1058"/>
      <c r="P100" s="1485">
        <v>1981564200</v>
      </c>
      <c r="Q100" s="1367"/>
      <c r="R100" s="1485">
        <f t="shared" ref="R100" si="60">ROUND((P100+Q100),0)</f>
        <v>1981564200</v>
      </c>
      <c r="S100" s="1481"/>
      <c r="T100" s="1485"/>
      <c r="U100" s="1481"/>
      <c r="V100" s="1485"/>
      <c r="W100" s="1485">
        <f t="shared" ref="W100" si="61">ROUND((R100+T100-V100),0)</f>
        <v>1981564200</v>
      </c>
      <c r="X100" s="1187"/>
      <c r="Y100" s="106"/>
      <c r="Z100" s="698"/>
      <c r="AA100" s="698"/>
      <c r="AB100" s="253"/>
      <c r="AC100" s="106"/>
      <c r="AD100" s="253"/>
      <c r="AE100" s="106"/>
      <c r="AF100" s="106"/>
      <c r="AG100" s="106"/>
      <c r="AH100" s="208"/>
      <c r="AI100" s="9"/>
      <c r="AJ100" s="9"/>
      <c r="AK100" s="9"/>
      <c r="AL100" s="667"/>
      <c r="AM100" s="9"/>
      <c r="AN100" s="9"/>
      <c r="AO100" s="9"/>
      <c r="AP100" s="769"/>
      <c r="AQ100" s="9"/>
      <c r="AR100" s="769"/>
      <c r="AS100" s="9"/>
      <c r="AT100" s="9"/>
      <c r="AU100" s="37"/>
      <c r="AV100" s="9"/>
      <c r="AW100" s="9"/>
      <c r="AX100" s="9"/>
      <c r="AY100" s="769"/>
      <c r="AZ100" s="9"/>
      <c r="BA100" s="769"/>
      <c r="BB100" s="9"/>
      <c r="BC100" s="9"/>
      <c r="BD100" s="14"/>
      <c r="BE100" s="128"/>
      <c r="BF100" s="219"/>
      <c r="BG100" s="37"/>
      <c r="BH100" s="219"/>
      <c r="BI100" s="11"/>
    </row>
    <row r="101" spans="2:64" s="1" customFormat="1">
      <c r="B101" s="30"/>
      <c r="C101" s="13" t="s">
        <v>478</v>
      </c>
      <c r="D101" s="1375">
        <v>752163318</v>
      </c>
      <c r="E101" s="1367"/>
      <c r="F101" s="1365">
        <f t="shared" si="57"/>
        <v>752163318</v>
      </c>
      <c r="G101" s="1365">
        <f t="shared" si="56"/>
        <v>0</v>
      </c>
      <c r="H101" s="1367">
        <f t="shared" si="58"/>
        <v>752163318</v>
      </c>
      <c r="I101" s="1384"/>
      <c r="J101" s="1367"/>
      <c r="K101" s="1384"/>
      <c r="L101" s="1367"/>
      <c r="M101" s="2284">
        <f t="shared" si="45"/>
        <v>752163318</v>
      </c>
      <c r="N101" s="1967" t="s">
        <v>453</v>
      </c>
      <c r="O101" s="1058" t="s">
        <v>427</v>
      </c>
      <c r="P101" s="1485"/>
      <c r="Q101" s="1367"/>
      <c r="R101" s="1485">
        <f t="shared" si="59"/>
        <v>0</v>
      </c>
      <c r="S101" s="1481"/>
      <c r="T101" s="1485"/>
      <c r="U101" s="1481"/>
      <c r="V101" s="1485"/>
      <c r="W101" s="1485">
        <f t="shared" si="47"/>
        <v>0</v>
      </c>
      <c r="X101" s="1187"/>
      <c r="Y101" s="106">
        <v>0</v>
      </c>
      <c r="Z101" s="698"/>
      <c r="AA101" s="698">
        <f t="shared" si="48"/>
        <v>0</v>
      </c>
      <c r="AB101" s="253"/>
      <c r="AC101" s="106"/>
      <c r="AD101" s="253"/>
      <c r="AE101" s="106"/>
      <c r="AF101" s="106">
        <f t="shared" si="49"/>
        <v>0</v>
      </c>
      <c r="AG101" s="106"/>
      <c r="AH101" s="208"/>
      <c r="AI101" s="790">
        <v>624270920</v>
      </c>
      <c r="AJ101" s="790"/>
      <c r="AK101" s="790"/>
      <c r="AL101" s="667"/>
      <c r="AM101" s="35"/>
      <c r="AN101" s="35"/>
      <c r="AO101" s="35">
        <f t="shared" si="50"/>
        <v>0</v>
      </c>
      <c r="AP101" s="784"/>
      <c r="AQ101" s="35"/>
      <c r="AR101" s="784"/>
      <c r="AS101" s="35"/>
      <c r="AT101" s="35">
        <f t="shared" si="51"/>
        <v>0</v>
      </c>
      <c r="AU101" s="37"/>
      <c r="AV101" s="35"/>
      <c r="AW101" s="35"/>
      <c r="AX101" s="35">
        <f t="shared" si="52"/>
        <v>0</v>
      </c>
      <c r="AY101" s="784"/>
      <c r="AZ101" s="35"/>
      <c r="BA101" s="784"/>
      <c r="BB101" s="35"/>
      <c r="BC101" s="35">
        <f t="shared" si="53"/>
        <v>0</v>
      </c>
      <c r="BD101" s="14"/>
      <c r="BE101" s="128"/>
      <c r="BF101" s="219">
        <v>0</v>
      </c>
      <c r="BG101" s="37"/>
      <c r="BH101" s="219">
        <v>0</v>
      </c>
      <c r="BI101" s="11"/>
    </row>
    <row r="102" spans="2:64" s="1" customFormat="1">
      <c r="B102" s="30"/>
      <c r="C102" s="13" t="s">
        <v>479</v>
      </c>
      <c r="D102" s="1375">
        <v>1353696796</v>
      </c>
      <c r="E102" s="1367">
        <v>2807044281.0699997</v>
      </c>
      <c r="F102" s="1365">
        <f t="shared" si="57"/>
        <v>4160741077.0699997</v>
      </c>
      <c r="G102" s="1365">
        <f t="shared" si="56"/>
        <v>6.999969482421875E-2</v>
      </c>
      <c r="H102" s="1367">
        <f t="shared" si="58"/>
        <v>4160741077</v>
      </c>
      <c r="I102" s="1384"/>
      <c r="J102" s="1367"/>
      <c r="K102" s="1384"/>
      <c r="L102" s="1367"/>
      <c r="M102" s="2284">
        <f t="shared" si="45"/>
        <v>4160741077</v>
      </c>
      <c r="N102" s="1967" t="s">
        <v>453</v>
      </c>
      <c r="O102" s="1058" t="s">
        <v>427</v>
      </c>
      <c r="P102" s="1485"/>
      <c r="Q102" s="1367"/>
      <c r="R102" s="1485">
        <f t="shared" si="59"/>
        <v>0</v>
      </c>
      <c r="S102" s="1481"/>
      <c r="T102" s="1485"/>
      <c r="U102" s="1481"/>
      <c r="V102" s="1485"/>
      <c r="W102" s="1485">
        <f t="shared" si="47"/>
        <v>0</v>
      </c>
      <c r="X102" s="1187"/>
      <c r="Y102" s="106">
        <v>0</v>
      </c>
      <c r="Z102" s="698"/>
      <c r="AA102" s="698">
        <f t="shared" si="48"/>
        <v>0</v>
      </c>
      <c r="AB102" s="253"/>
      <c r="AC102" s="106"/>
      <c r="AD102" s="253"/>
      <c r="AE102" s="106"/>
      <c r="AF102" s="106">
        <f t="shared" si="49"/>
        <v>0</v>
      </c>
      <c r="AG102" s="106"/>
      <c r="AH102" s="208"/>
      <c r="AI102" s="790">
        <v>890274000</v>
      </c>
      <c r="AJ102" s="790"/>
      <c r="AK102" s="790"/>
      <c r="AL102" s="667"/>
      <c r="AM102" s="35"/>
      <c r="AN102" s="35"/>
      <c r="AO102" s="35">
        <f t="shared" si="50"/>
        <v>0</v>
      </c>
      <c r="AP102" s="784"/>
      <c r="AQ102" s="35"/>
      <c r="AR102" s="784"/>
      <c r="AS102" s="35"/>
      <c r="AT102" s="35">
        <f t="shared" si="51"/>
        <v>0</v>
      </c>
      <c r="AU102" s="37"/>
      <c r="AV102" s="35"/>
      <c r="AW102" s="35"/>
      <c r="AX102" s="35">
        <f t="shared" si="52"/>
        <v>0</v>
      </c>
      <c r="AY102" s="784"/>
      <c r="AZ102" s="35"/>
      <c r="BA102" s="784"/>
      <c r="BB102" s="35"/>
      <c r="BC102" s="35">
        <f t="shared" si="53"/>
        <v>0</v>
      </c>
      <c r="BD102" s="14"/>
      <c r="BE102" s="128"/>
      <c r="BF102" s="219"/>
      <c r="BG102" s="37"/>
      <c r="BH102" s="219"/>
      <c r="BI102" s="11"/>
    </row>
    <row r="103" spans="2:64" s="1" customFormat="1">
      <c r="B103" s="30"/>
      <c r="C103" s="13" t="s">
        <v>480</v>
      </c>
      <c r="D103" s="1375">
        <v>10343356760</v>
      </c>
      <c r="E103" s="1367"/>
      <c r="F103" s="1365"/>
      <c r="G103" s="1365"/>
      <c r="H103" s="1367">
        <f t="shared" si="58"/>
        <v>10343356760</v>
      </c>
      <c r="I103" s="1384"/>
      <c r="J103" s="1367"/>
      <c r="K103" s="1384"/>
      <c r="L103" s="1367"/>
      <c r="M103" s="2284">
        <f t="shared" si="45"/>
        <v>10343356760</v>
      </c>
      <c r="N103" s="1967" t="s">
        <v>453</v>
      </c>
      <c r="O103" s="1058"/>
      <c r="P103" s="1485"/>
      <c r="Q103" s="1367"/>
      <c r="R103" s="1485"/>
      <c r="S103" s="1481"/>
      <c r="T103" s="1485"/>
      <c r="U103" s="1481"/>
      <c r="V103" s="1485"/>
      <c r="W103" s="1485"/>
      <c r="X103" s="1187"/>
      <c r="Y103" s="106"/>
      <c r="Z103" s="698"/>
      <c r="AA103" s="698"/>
      <c r="AB103" s="253"/>
      <c r="AC103" s="106"/>
      <c r="AD103" s="253"/>
      <c r="AE103" s="106"/>
      <c r="AF103" s="106"/>
      <c r="AG103" s="106"/>
      <c r="AH103" s="208"/>
      <c r="AI103" s="790"/>
      <c r="AJ103" s="790"/>
      <c r="AK103" s="790"/>
      <c r="AL103" s="667"/>
      <c r="AM103" s="35"/>
      <c r="AN103" s="35"/>
      <c r="AO103" s="35"/>
      <c r="AP103" s="784"/>
      <c r="AQ103" s="35"/>
      <c r="AR103" s="784"/>
      <c r="AS103" s="35"/>
      <c r="AT103" s="35"/>
      <c r="AU103" s="37"/>
      <c r="AV103" s="35"/>
      <c r="AW103" s="35"/>
      <c r="AX103" s="35"/>
      <c r="AY103" s="784"/>
      <c r="AZ103" s="35"/>
      <c r="BA103" s="784"/>
      <c r="BB103" s="35"/>
      <c r="BC103" s="35"/>
      <c r="BD103" s="14"/>
      <c r="BE103" s="128"/>
      <c r="BF103" s="219"/>
      <c r="BG103" s="37"/>
      <c r="BH103" s="219"/>
      <c r="BI103" s="11"/>
    </row>
    <row r="104" spans="2:64" s="1" customFormat="1">
      <c r="B104" s="30"/>
      <c r="C104" s="13" t="s">
        <v>481</v>
      </c>
      <c r="D104" s="1375">
        <v>4654491525</v>
      </c>
      <c r="E104" s="1367">
        <v>6034244320</v>
      </c>
      <c r="F104" s="1365">
        <f t="shared" si="57"/>
        <v>10688735845</v>
      </c>
      <c r="G104" s="1365">
        <f t="shared" si="56"/>
        <v>0</v>
      </c>
      <c r="H104" s="1367">
        <f t="shared" ref="H104" si="62">ROUND((D104+E104),0)</f>
        <v>10688735845</v>
      </c>
      <c r="I104" s="1384"/>
      <c r="J104" s="1367"/>
      <c r="K104" s="1384"/>
      <c r="L104" s="1367"/>
      <c r="M104" s="2284">
        <f t="shared" ref="M104" si="63">ROUND((H104+J104-L104),0)</f>
        <v>10688735845</v>
      </c>
      <c r="N104" s="1967" t="s">
        <v>453</v>
      </c>
      <c r="O104" s="1058" t="s">
        <v>427</v>
      </c>
      <c r="P104" s="1485"/>
      <c r="Q104" s="1367"/>
      <c r="R104" s="1485"/>
      <c r="S104" s="1481"/>
      <c r="T104" s="1485"/>
      <c r="U104" s="1481"/>
      <c r="V104" s="1485"/>
      <c r="W104" s="1485"/>
      <c r="X104" s="1187"/>
      <c r="Y104" s="106"/>
      <c r="Z104" s="698"/>
      <c r="AA104" s="698"/>
      <c r="AB104" s="253"/>
      <c r="AC104" s="106"/>
      <c r="AD104" s="253"/>
      <c r="AE104" s="106"/>
      <c r="AF104" s="106"/>
      <c r="AG104" s="106"/>
      <c r="AH104" s="208"/>
      <c r="AI104" s="790"/>
      <c r="AJ104" s="790"/>
      <c r="AK104" s="790"/>
      <c r="AL104" s="667"/>
      <c r="AM104" s="35"/>
      <c r="AN104" s="35"/>
      <c r="AO104" s="35"/>
      <c r="AP104" s="784"/>
      <c r="AQ104" s="35"/>
      <c r="AR104" s="784"/>
      <c r="AS104" s="35"/>
      <c r="AT104" s="35"/>
      <c r="AU104" s="37"/>
      <c r="AV104" s="35"/>
      <c r="AW104" s="35"/>
      <c r="AX104" s="35"/>
      <c r="AY104" s="784"/>
      <c r="AZ104" s="35"/>
      <c r="BA104" s="784"/>
      <c r="BB104" s="35"/>
      <c r="BC104" s="35"/>
      <c r="BD104" s="14"/>
      <c r="BE104" s="128"/>
      <c r="BF104" s="219"/>
      <c r="BG104" s="37"/>
      <c r="BH104" s="219"/>
      <c r="BI104" s="11"/>
      <c r="BJ104" s="2121"/>
      <c r="BK104" s="2117"/>
      <c r="BL104" s="2121"/>
    </row>
    <row r="105" spans="2:64" s="1" customFormat="1">
      <c r="B105" s="27"/>
      <c r="C105" s="19" t="s">
        <v>482</v>
      </c>
      <c r="D105" s="1369">
        <f>SUM(D57:D104)</f>
        <v>49819021127.099998</v>
      </c>
      <c r="E105" s="1369">
        <f>SUM(E57:E104)</f>
        <v>46560431755.639999</v>
      </c>
      <c r="F105" s="1365">
        <f t="shared" si="57"/>
        <v>96379452882.73999</v>
      </c>
      <c r="G105" s="1365">
        <f t="shared" si="56"/>
        <v>-1.260009765625</v>
      </c>
      <c r="H105" s="1369">
        <f>SUM(H57:H104)</f>
        <v>96379452884</v>
      </c>
      <c r="I105" s="1944"/>
      <c r="J105" s="1369"/>
      <c r="K105" s="1944"/>
      <c r="L105" s="1369"/>
      <c r="M105" s="1369">
        <f>SUM(M57:M104)</f>
        <v>96379452884</v>
      </c>
      <c r="N105" s="226" t="s">
        <v>427</v>
      </c>
      <c r="O105" s="1217">
        <f>M104+M103+M102+M101+M99+M90+M89+M98+M86+M83+M82+M81+M76+M77+M78</f>
        <v>96263112109</v>
      </c>
      <c r="P105" s="1488">
        <f>SUM(P57:P102)</f>
        <v>23531180114</v>
      </c>
      <c r="Q105" s="1369">
        <f>SUM(Q57:Q102)</f>
        <v>15888228836</v>
      </c>
      <c r="R105" s="1488">
        <f>SUM(R57:R102)</f>
        <v>39419408950</v>
      </c>
      <c r="S105" s="1489"/>
      <c r="T105" s="1488"/>
      <c r="U105" s="1489"/>
      <c r="V105" s="1488"/>
      <c r="W105" s="1488">
        <f>SUM(W57:W102)</f>
        <v>39419408952</v>
      </c>
      <c r="X105" s="1187"/>
      <c r="Y105" s="224">
        <f>SUM(Y57:Y102)</f>
        <v>10900752430</v>
      </c>
      <c r="Z105" s="711">
        <f>SUM(Z57:Z102)</f>
        <v>16861263065</v>
      </c>
      <c r="AA105" s="711">
        <f>SUM(AA57:AA102)</f>
        <v>27762015495</v>
      </c>
      <c r="AB105" s="601"/>
      <c r="AC105" s="223"/>
      <c r="AD105" s="601"/>
      <c r="AE105" s="223"/>
      <c r="AF105" s="224">
        <f>SUM(AF57:AF102)</f>
        <v>27762015497</v>
      </c>
      <c r="AG105" s="224"/>
      <c r="AH105" s="228">
        <v>20766978877</v>
      </c>
      <c r="AI105" s="224">
        <f>SUM(AI57:AI102)</f>
        <v>21543451046</v>
      </c>
      <c r="AJ105" s="224"/>
      <c r="AK105" s="224"/>
      <c r="AL105" s="672">
        <f>AI105-AL72</f>
        <v>9163700470</v>
      </c>
      <c r="AM105" s="224">
        <f>SUM(AM57:AM102)</f>
        <v>4740863993</v>
      </c>
      <c r="AN105" s="224">
        <f>SUM(AN57:AN102)</f>
        <v>1915930900</v>
      </c>
      <c r="AO105" s="224">
        <f>SUM(AO57:AO102)</f>
        <v>6656794893</v>
      </c>
      <c r="AP105" s="764"/>
      <c r="AQ105" s="224"/>
      <c r="AR105" s="764"/>
      <c r="AS105" s="224"/>
      <c r="AT105" s="224">
        <f>SUM(AT57:AT102)</f>
        <v>6656794893</v>
      </c>
      <c r="AU105" s="1227" t="s">
        <v>427</v>
      </c>
      <c r="AV105" s="224">
        <f>SUM(AV57:AV102)</f>
        <v>18132452571</v>
      </c>
      <c r="AW105" s="224">
        <f>SUM(AW57:AW102)</f>
        <v>8427027247</v>
      </c>
      <c r="AX105" s="224">
        <f>SUM(AX57:AX102)</f>
        <v>26559479818</v>
      </c>
      <c r="AY105" s="764"/>
      <c r="AZ105" s="224"/>
      <c r="BA105" s="764"/>
      <c r="BB105" s="224"/>
      <c r="BC105" s="224">
        <f>SUM(BC57:BC102)</f>
        <v>26559479818</v>
      </c>
      <c r="BD105" s="105"/>
      <c r="BE105" s="28">
        <f>AI105+BE73</f>
        <v>21543508268</v>
      </c>
      <c r="BF105" s="224">
        <f>SUM(BF57:BF102)</f>
        <v>54238817698</v>
      </c>
      <c r="BG105" s="29"/>
      <c r="BH105" s="224">
        <f>SUM(BH57:BH102)</f>
        <v>39402765052</v>
      </c>
      <c r="BI105" s="29"/>
      <c r="BJ105" s="2121"/>
    </row>
    <row r="106" spans="2:64" s="1" customFormat="1">
      <c r="B106" s="2" t="s">
        <v>483</v>
      </c>
      <c r="C106" s="2"/>
      <c r="D106" s="217"/>
      <c r="E106" s="217"/>
      <c r="F106" s="1365">
        <f t="shared" si="57"/>
        <v>0</v>
      </c>
      <c r="G106" s="1365">
        <f t="shared" si="56"/>
        <v>0</v>
      </c>
      <c r="H106" s="217"/>
      <c r="I106" s="1384"/>
      <c r="J106" s="217"/>
      <c r="K106" s="1384"/>
      <c r="L106" s="217"/>
      <c r="M106" s="217"/>
      <c r="N106" s="226"/>
      <c r="O106" s="1058"/>
      <c r="P106" s="1480"/>
      <c r="Q106" s="217"/>
      <c r="R106" s="1480"/>
      <c r="S106" s="1481"/>
      <c r="T106" s="1480"/>
      <c r="U106" s="1481"/>
      <c r="V106" s="1480"/>
      <c r="W106" s="1480"/>
      <c r="X106" s="1187"/>
      <c r="Y106" s="118"/>
      <c r="Z106" s="705"/>
      <c r="AA106" s="705"/>
      <c r="AB106" s="253"/>
      <c r="AC106" s="118"/>
      <c r="AD106" s="253"/>
      <c r="AE106" s="118"/>
      <c r="AF106" s="118"/>
      <c r="AG106" s="118"/>
      <c r="AH106" s="209">
        <f>AF105-AH105</f>
        <v>6995036620</v>
      </c>
      <c r="AI106" s="138"/>
      <c r="AJ106" s="138"/>
      <c r="AK106" s="138"/>
      <c r="AL106" s="670"/>
      <c r="AM106" s="138"/>
      <c r="AN106" s="138"/>
      <c r="AO106" s="138"/>
      <c r="AP106" s="437"/>
      <c r="AQ106" s="138"/>
      <c r="AR106" s="437"/>
      <c r="AS106" s="138"/>
      <c r="AT106" s="138"/>
      <c r="AU106" s="43"/>
      <c r="AV106" s="138"/>
      <c r="AW106" s="138"/>
      <c r="AX106" s="138"/>
      <c r="AY106" s="437"/>
      <c r="AZ106" s="138"/>
      <c r="BA106" s="437"/>
      <c r="BB106" s="138"/>
      <c r="BC106" s="138"/>
      <c r="BD106" s="138"/>
      <c r="BE106" s="42" t="s">
        <v>427</v>
      </c>
      <c r="BF106" s="105"/>
      <c r="BG106" s="43"/>
      <c r="BH106" s="105"/>
      <c r="BI106" s="36"/>
    </row>
    <row r="107" spans="2:64" s="1" customFormat="1">
      <c r="B107" s="4"/>
      <c r="C107" s="4" t="s">
        <v>484</v>
      </c>
      <c r="D107" s="1365"/>
      <c r="E107" s="1365"/>
      <c r="F107" s="1365">
        <f t="shared" si="57"/>
        <v>0</v>
      </c>
      <c r="G107" s="1365">
        <f t="shared" si="56"/>
        <v>0</v>
      </c>
      <c r="H107" s="1365">
        <f>ROUND((D107+E107),0)</f>
        <v>0</v>
      </c>
      <c r="I107" s="1384"/>
      <c r="J107" s="1365"/>
      <c r="K107" s="1384"/>
      <c r="L107" s="1365"/>
      <c r="M107" s="1365">
        <f t="shared" ref="M107:M109" si="64">ROUND((H107+J107-L107),0)</f>
        <v>0</v>
      </c>
      <c r="N107" s="226">
        <f>O105+M56+M58+M60+M69+M73</f>
        <v>96773388314</v>
      </c>
      <c r="O107" s="1058"/>
      <c r="P107" s="1482"/>
      <c r="Q107" s="1365"/>
      <c r="R107" s="1482">
        <f>ROUND((P107+Q107),0)</f>
        <v>0</v>
      </c>
      <c r="S107" s="1481"/>
      <c r="T107" s="1482"/>
      <c r="U107" s="1481"/>
      <c r="V107" s="1482"/>
      <c r="W107" s="1482">
        <f t="shared" ref="W107:W109" si="65">ROUND((R107+T107-V107),0)</f>
        <v>0</v>
      </c>
      <c r="X107" s="1187"/>
      <c r="Y107" s="90">
        <v>0</v>
      </c>
      <c r="Z107" s="697"/>
      <c r="AA107" s="697">
        <f>ROUND((Y107+Z107),0)</f>
        <v>0</v>
      </c>
      <c r="AB107" s="253"/>
      <c r="AC107" s="90"/>
      <c r="AD107" s="253"/>
      <c r="AE107" s="90"/>
      <c r="AF107" s="90">
        <f t="shared" ref="AF107:AF109" si="66">ROUND((AA107+AC107-AE107),0)</f>
        <v>0</v>
      </c>
      <c r="AG107" s="90"/>
      <c r="AH107" s="207"/>
      <c r="AI107" s="9">
        <v>0</v>
      </c>
      <c r="AJ107" s="9"/>
      <c r="AK107" s="9"/>
      <c r="AL107" s="667"/>
      <c r="AM107" s="9"/>
      <c r="AN107" s="9"/>
      <c r="AO107" s="9">
        <f t="shared" ref="AO107:AO109" si="67">ROUND((AM107+AN107),0)</f>
        <v>0</v>
      </c>
      <c r="AP107" s="769"/>
      <c r="AQ107" s="9"/>
      <c r="AR107" s="769"/>
      <c r="AS107" s="9"/>
      <c r="AT107" s="9">
        <f t="shared" ref="AT107:AT109" si="68">ROUND((AO107+AQ107-AS107),0)</f>
        <v>0</v>
      </c>
      <c r="AU107" s="37"/>
      <c r="AV107" s="9">
        <v>1390788402</v>
      </c>
      <c r="AW107" s="9"/>
      <c r="AX107" s="9">
        <f t="shared" ref="AX107:AX109" si="69">ROUND((AV107+AW107),0)</f>
        <v>1390788402</v>
      </c>
      <c r="AY107" s="769"/>
      <c r="AZ107" s="9"/>
      <c r="BA107" s="769"/>
      <c r="BB107" s="9"/>
      <c r="BC107" s="9">
        <f t="shared" ref="BC107:BC109" si="70">ROUND((AX107+AZ107-BB107),0)</f>
        <v>1390788402</v>
      </c>
      <c r="BD107" s="14"/>
      <c r="BE107" s="128"/>
      <c r="BF107" s="219">
        <v>1390788402</v>
      </c>
      <c r="BG107" s="37"/>
      <c r="BH107" s="219">
        <v>1391538507</v>
      </c>
      <c r="BI107" s="37"/>
    </row>
    <row r="108" spans="2:64" s="1" customFormat="1">
      <c r="B108" s="4"/>
      <c r="C108" s="4" t="s">
        <v>15</v>
      </c>
      <c r="D108" s="1365">
        <v>4557621225</v>
      </c>
      <c r="E108" s="1365"/>
      <c r="F108" s="1365">
        <f t="shared" si="57"/>
        <v>4557621225</v>
      </c>
      <c r="G108" s="1365">
        <f t="shared" si="56"/>
        <v>0</v>
      </c>
      <c r="H108" s="1365">
        <f>ROUND((D108+E108),0)</f>
        <v>4557621225</v>
      </c>
      <c r="I108" s="1384"/>
      <c r="J108" s="1365"/>
      <c r="K108" s="1384" t="str">
        <f>'ELIM &amp; CAJE Des 24'!A14</f>
        <v>ELIM 3</v>
      </c>
      <c r="L108" s="1365">
        <f>'ELIM &amp; CAJE Des 24'!G15</f>
        <v>4557621225</v>
      </c>
      <c r="M108" s="1365">
        <f>ROUND((H108+J108-L108),0)</f>
        <v>0</v>
      </c>
      <c r="N108" s="2259"/>
      <c r="O108" s="1058"/>
      <c r="P108" s="1482">
        <f>ROUND(2637090788.15,0)</f>
        <v>2637090788</v>
      </c>
      <c r="Q108" s="1365"/>
      <c r="R108" s="1482">
        <f>ROUND((P108+Q108),0)</f>
        <v>2637090788</v>
      </c>
      <c r="S108" s="1481"/>
      <c r="T108" s="1482"/>
      <c r="U108" s="1481" t="str">
        <f>'ELIM &amp; CAJE Sept 24'!B15</f>
        <v>ELIM 3</v>
      </c>
      <c r="V108" s="1482">
        <f>'ELIM &amp; CAJE Sept 24'!H15</f>
        <v>2637090788</v>
      </c>
      <c r="W108" s="1482">
        <f t="shared" si="65"/>
        <v>0</v>
      </c>
      <c r="X108" s="1187"/>
      <c r="Y108" s="90">
        <v>2563261534</v>
      </c>
      <c r="Z108" s="697"/>
      <c r="AA108" s="697">
        <f>ROUND((Y108+Z108),0)</f>
        <v>2563261534</v>
      </c>
      <c r="AB108" s="253"/>
      <c r="AC108" s="90"/>
      <c r="AD108" s="253" t="str">
        <f>'ELIM &amp; CAJE Juni 24'!B15</f>
        <v>ELIM 3</v>
      </c>
      <c r="AE108" s="90">
        <f>'ELIM &amp; CAJE Juni 24'!H15</f>
        <v>2563261534</v>
      </c>
      <c r="AF108" s="90">
        <f t="shared" si="66"/>
        <v>0</v>
      </c>
      <c r="AG108" s="90"/>
      <c r="AH108" s="207"/>
      <c r="AI108" s="9">
        <v>0</v>
      </c>
      <c r="AJ108" s="9"/>
      <c r="AK108" s="9"/>
      <c r="AL108" s="667"/>
      <c r="AM108" s="9">
        <v>6441405695</v>
      </c>
      <c r="AN108" s="9"/>
      <c r="AO108" s="9">
        <f t="shared" si="67"/>
        <v>6441405695</v>
      </c>
      <c r="AP108" s="769"/>
      <c r="AQ108" s="9"/>
      <c r="AR108" s="769" t="str">
        <f>'ELIM &amp; CAJE Sept 23'!A10</f>
        <v>ELIM 2</v>
      </c>
      <c r="AS108" s="9">
        <f>'ELIM &amp; CAJE Sept 23'!G11</f>
        <v>6441405695</v>
      </c>
      <c r="AT108" s="9">
        <f t="shared" si="68"/>
        <v>0</v>
      </c>
      <c r="AU108" s="37"/>
      <c r="AV108" s="9">
        <v>7507763245</v>
      </c>
      <c r="AW108" s="9"/>
      <c r="AX108" s="9">
        <f t="shared" si="69"/>
        <v>7507763245</v>
      </c>
      <c r="AY108" s="769"/>
      <c r="AZ108" s="9"/>
      <c r="BA108" s="769" t="str">
        <f>'ELIM Juni 23'!A14</f>
        <v>ELIM 3</v>
      </c>
      <c r="BB108" s="9">
        <f>'ELIM Juni 23'!G14</f>
        <v>7507763245</v>
      </c>
      <c r="BC108" s="9">
        <f t="shared" si="70"/>
        <v>0</v>
      </c>
      <c r="BD108" s="14"/>
      <c r="BE108" s="128"/>
      <c r="BF108" s="219">
        <v>0</v>
      </c>
      <c r="BG108" s="37"/>
      <c r="BH108" s="219">
        <v>0</v>
      </c>
      <c r="BI108" s="37"/>
    </row>
    <row r="109" spans="2:64" s="1" customFormat="1">
      <c r="B109" s="4" t="s">
        <v>407</v>
      </c>
      <c r="C109" s="38" t="s">
        <v>17</v>
      </c>
      <c r="D109" s="1373"/>
      <c r="E109" s="1373">
        <f>ROUND(29592782261,0)</f>
        <v>29592782261</v>
      </c>
      <c r="F109" s="1365">
        <f t="shared" si="57"/>
        <v>29592782261</v>
      </c>
      <c r="G109" s="1365">
        <f t="shared" si="56"/>
        <v>0</v>
      </c>
      <c r="H109" s="1373">
        <f>ROUND((D109+E109),0)</f>
        <v>29592782261</v>
      </c>
      <c r="I109" s="1391"/>
      <c r="J109" s="1373"/>
      <c r="K109" s="1391" t="str">
        <f>'ELIM &amp; CAJE Des 24'!A12</f>
        <v>ELIM 2</v>
      </c>
      <c r="L109" s="1373">
        <f>'ELIM &amp; CAJE Des 24'!F11</f>
        <v>29592782261</v>
      </c>
      <c r="M109" s="1373">
        <f t="shared" si="64"/>
        <v>0</v>
      </c>
      <c r="N109" s="2259"/>
      <c r="O109" s="1058">
        <f>M109+M56</f>
        <v>393935430</v>
      </c>
      <c r="P109" s="1495"/>
      <c r="Q109" s="1373">
        <f>ROUND(34916763131.9,0)</f>
        <v>34916763132</v>
      </c>
      <c r="R109" s="1495">
        <f>ROUND((P109+Q109),0)</f>
        <v>34916763132</v>
      </c>
      <c r="S109" s="1496"/>
      <c r="T109" s="1495"/>
      <c r="U109" s="1496" t="str">
        <f>'ELIM &amp; CAJE Sept 24'!B12</f>
        <v>ELIM 2</v>
      </c>
      <c r="V109" s="1495">
        <f>'ELIM &amp; CAJE Sept 24'!H12</f>
        <v>34916763132</v>
      </c>
      <c r="W109" s="1495">
        <f t="shared" si="65"/>
        <v>0</v>
      </c>
      <c r="X109" s="1187"/>
      <c r="Y109" s="234">
        <v>0</v>
      </c>
      <c r="Z109" s="712">
        <v>58472629508</v>
      </c>
      <c r="AA109" s="712">
        <f>ROUND((Y109+Z109),0)</f>
        <v>58472629508</v>
      </c>
      <c r="AB109" s="274"/>
      <c r="AC109" s="234"/>
      <c r="AD109" s="274" t="str">
        <f>'ELIM &amp; CAJE Juni 24'!B12</f>
        <v>ELIM 2</v>
      </c>
      <c r="AE109" s="234">
        <f>'ELIM &amp; CAJE Juni 24'!H12</f>
        <v>58472629508</v>
      </c>
      <c r="AF109" s="234">
        <f t="shared" si="66"/>
        <v>0</v>
      </c>
      <c r="AG109" s="234"/>
      <c r="AH109" s="207"/>
      <c r="AI109" s="35">
        <v>0</v>
      </c>
      <c r="AJ109" s="35"/>
      <c r="AK109" s="35"/>
      <c r="AL109" s="667"/>
      <c r="AM109" s="35"/>
      <c r="AN109" s="35">
        <v>55459611170</v>
      </c>
      <c r="AO109" s="35">
        <f t="shared" si="67"/>
        <v>55459611170</v>
      </c>
      <c r="AP109" s="784"/>
      <c r="AQ109" s="35"/>
      <c r="AR109" s="784" t="str">
        <f>'ELIM &amp; CAJE Sept 23'!A13</f>
        <v>ELIM 3</v>
      </c>
      <c r="AS109" s="35">
        <f>'ELIM &amp; CAJE Sept 23'!G14</f>
        <v>55459611170</v>
      </c>
      <c r="AT109" s="35">
        <f t="shared" si="68"/>
        <v>0</v>
      </c>
      <c r="AU109" s="37"/>
      <c r="AV109" s="35"/>
      <c r="AW109" s="35">
        <v>39815441380</v>
      </c>
      <c r="AX109" s="35">
        <f t="shared" si="69"/>
        <v>39815441380</v>
      </c>
      <c r="AY109" s="784"/>
      <c r="AZ109" s="35"/>
      <c r="BA109" s="784" t="str">
        <f>'ELIM Juni 23'!A11</f>
        <v>ELIM 2</v>
      </c>
      <c r="BB109" s="35">
        <f>'ELIM Juni 23'!G11</f>
        <v>39815441380</v>
      </c>
      <c r="BC109" s="35">
        <f t="shared" si="70"/>
        <v>0</v>
      </c>
      <c r="BD109" s="14"/>
      <c r="BE109" s="128"/>
      <c r="BF109" s="219">
        <v>0</v>
      </c>
      <c r="BG109" s="37"/>
      <c r="BH109" s="219">
        <v>0</v>
      </c>
      <c r="BI109" s="37"/>
    </row>
    <row r="110" spans="2:64" s="1" customFormat="1">
      <c r="B110" s="4"/>
      <c r="C110" s="4"/>
      <c r="D110" s="1365"/>
      <c r="E110" s="1365"/>
      <c r="F110" s="1365">
        <f t="shared" si="57"/>
        <v>0</v>
      </c>
      <c r="G110" s="1365">
        <f t="shared" si="56"/>
        <v>0</v>
      </c>
      <c r="H110" s="1365"/>
      <c r="I110" s="1384"/>
      <c r="J110" s="1365"/>
      <c r="K110" s="1384"/>
      <c r="L110" s="1365"/>
      <c r="M110" s="1365"/>
      <c r="N110" s="2259"/>
      <c r="O110" s="1058">
        <f>O109-'BS Konsol-Des 24'!G13</f>
        <v>0</v>
      </c>
      <c r="P110" s="1482"/>
      <c r="Q110" s="1365"/>
      <c r="R110" s="1482"/>
      <c r="S110" s="1481"/>
      <c r="T110" s="1482"/>
      <c r="U110" s="1481"/>
      <c r="V110" s="1482"/>
      <c r="W110" s="1482"/>
      <c r="X110" s="1187"/>
      <c r="Y110" s="90"/>
      <c r="Z110" s="697"/>
      <c r="AA110" s="697"/>
      <c r="AB110" s="253"/>
      <c r="AC110" s="90"/>
      <c r="AD110" s="253"/>
      <c r="AE110" s="90"/>
      <c r="AF110" s="90"/>
      <c r="AG110" s="90"/>
      <c r="AH110" s="207"/>
      <c r="AI110" s="140"/>
      <c r="AJ110" s="140"/>
      <c r="AK110" s="140"/>
      <c r="AL110" s="673"/>
      <c r="AM110" s="140"/>
      <c r="AN110" s="140"/>
      <c r="AO110" s="140"/>
      <c r="AP110" s="437"/>
      <c r="AQ110" s="140"/>
      <c r="AR110" s="437"/>
      <c r="AS110" s="140"/>
      <c r="AT110" s="140"/>
      <c r="AU110" s="66"/>
      <c r="AV110" s="140"/>
      <c r="AW110" s="140"/>
      <c r="AX110" s="140"/>
      <c r="AY110" s="437"/>
      <c r="AZ110" s="140"/>
      <c r="BA110" s="437"/>
      <c r="BB110" s="140"/>
      <c r="BC110" s="140"/>
      <c r="BD110" s="140"/>
      <c r="BE110" s="40"/>
      <c r="BF110" s="235"/>
      <c r="BG110" s="37"/>
      <c r="BH110" s="221">
        <v>0</v>
      </c>
      <c r="BI110" s="37"/>
    </row>
    <row r="111" spans="2:64" s="1" customFormat="1">
      <c r="B111" s="27"/>
      <c r="C111" s="19" t="s">
        <v>485</v>
      </c>
      <c r="D111" s="1369">
        <f>SUM(D107:D110)+D56</f>
        <v>4951556655</v>
      </c>
      <c r="E111" s="1369">
        <f>SUM(E107:E110)+E56</f>
        <v>29592782261</v>
      </c>
      <c r="F111" s="1365">
        <f t="shared" si="57"/>
        <v>34544338916</v>
      </c>
      <c r="G111" s="1365">
        <f t="shared" si="56"/>
        <v>0</v>
      </c>
      <c r="H111" s="1369">
        <f>SUM(H107:H110)+H56</f>
        <v>34544338916</v>
      </c>
      <c r="I111" s="1944"/>
      <c r="J111" s="1369"/>
      <c r="K111" s="1944"/>
      <c r="L111" s="1369"/>
      <c r="M111" s="1369">
        <f>SUM(M107:M110)+M56</f>
        <v>393935430</v>
      </c>
      <c r="N111" s="226" t="s">
        <v>427</v>
      </c>
      <c r="O111" s="1058"/>
      <c r="P111" s="1488">
        <f>SUM(P107:P110)+P56</f>
        <v>2976985269</v>
      </c>
      <c r="Q111" s="1369">
        <f>SUM(Q107:Q110)+Q56</f>
        <v>34916763132</v>
      </c>
      <c r="R111" s="1488">
        <f>SUM(R107:R110)+R56</f>
        <v>37893748401</v>
      </c>
      <c r="S111" s="1489"/>
      <c r="T111" s="1488"/>
      <c r="U111" s="1489"/>
      <c r="V111" s="1488"/>
      <c r="W111" s="1488">
        <f>SUM(W107:W110)+W56</f>
        <v>339894481</v>
      </c>
      <c r="X111" s="1187"/>
      <c r="Y111" s="428">
        <f>SUM(Y107:Y110)+Y56</f>
        <v>2985901209</v>
      </c>
      <c r="Z111" s="707">
        <f>SUM(Z107:Z110)+Z56</f>
        <v>58472629508</v>
      </c>
      <c r="AA111" s="707">
        <f>SUM(AA107:AA110)+AA56</f>
        <v>61458530717</v>
      </c>
      <c r="AB111" s="601"/>
      <c r="AC111" s="223"/>
      <c r="AD111" s="601"/>
      <c r="AE111" s="223"/>
      <c r="AF111" s="428">
        <f>SUM(AF107:AF110)+AF56</f>
        <v>422639675</v>
      </c>
      <c r="AG111" s="428"/>
      <c r="AH111" s="228"/>
      <c r="AI111" s="428">
        <f>SUM(AI107:AI110)+AI56</f>
        <v>211054410</v>
      </c>
      <c r="AJ111" s="428"/>
      <c r="AK111" s="428"/>
      <c r="AL111" s="670"/>
      <c r="AM111" s="428">
        <f>SUM(AM107:AM110)+AM56</f>
        <v>6924280104</v>
      </c>
      <c r="AN111" s="428">
        <f>SUM(AN107:AN110)+AN56</f>
        <v>55459611170</v>
      </c>
      <c r="AO111" s="428">
        <f>SUM(AO107:AO110)+AO56</f>
        <v>62383891274</v>
      </c>
      <c r="AP111" s="762"/>
      <c r="AQ111" s="428"/>
      <c r="AR111" s="762"/>
      <c r="AS111" s="428"/>
      <c r="AT111" s="428">
        <f>SUM(AT107:AT110)+AT56</f>
        <v>482874409</v>
      </c>
      <c r="AU111" s="29"/>
      <c r="AV111" s="428">
        <f>SUM(AV107:AV110)+AV56</f>
        <v>9290960652</v>
      </c>
      <c r="AW111" s="428">
        <f>SUM(AW107:AW110)+AW56</f>
        <v>39815621755</v>
      </c>
      <c r="AX111" s="428">
        <f>SUM(AX107:AX110)+AX56</f>
        <v>49106582407</v>
      </c>
      <c r="AY111" s="762"/>
      <c r="AZ111" s="428"/>
      <c r="BA111" s="762"/>
      <c r="BB111" s="428"/>
      <c r="BC111" s="428">
        <f>SUM(BC107:BC110)+BC56</f>
        <v>1783377782</v>
      </c>
      <c r="BD111" s="138"/>
      <c r="BE111" s="28"/>
      <c r="BF111" s="428">
        <f>SUM(BF107:BF110)+BF56</f>
        <v>1729176327</v>
      </c>
      <c r="BG111" s="29"/>
      <c r="BH111" s="428">
        <f>SUM(BH107:BH110)+BH56</f>
        <v>1565918952</v>
      </c>
      <c r="BI111" s="29"/>
    </row>
    <row r="112" spans="2:64" s="41" customFormat="1">
      <c r="B112" s="2" t="s">
        <v>191</v>
      </c>
      <c r="C112" s="2"/>
      <c r="D112" s="217"/>
      <c r="E112" s="217"/>
      <c r="F112" s="1365">
        <f t="shared" si="57"/>
        <v>0</v>
      </c>
      <c r="G112" s="1365">
        <f t="shared" si="56"/>
        <v>0</v>
      </c>
      <c r="H112" s="217"/>
      <c r="I112" s="1384"/>
      <c r="J112" s="217"/>
      <c r="K112" s="1384"/>
      <c r="L112" s="217"/>
      <c r="M112" s="217"/>
      <c r="N112" s="226"/>
      <c r="O112" s="1058"/>
      <c r="P112" s="1480"/>
      <c r="Q112" s="217"/>
      <c r="R112" s="1480"/>
      <c r="S112" s="1481"/>
      <c r="T112" s="1480"/>
      <c r="U112" s="1481"/>
      <c r="V112" s="1480"/>
      <c r="W112" s="1480"/>
      <c r="X112" s="1187"/>
      <c r="Y112" s="118"/>
      <c r="Z112" s="705"/>
      <c r="AA112" s="705"/>
      <c r="AB112" s="253"/>
      <c r="AC112" s="118"/>
      <c r="AD112" s="253"/>
      <c r="AE112" s="118"/>
      <c r="AF112" s="118"/>
      <c r="AG112" s="118"/>
      <c r="AH112" s="209"/>
      <c r="AI112" s="138"/>
      <c r="AJ112" s="138"/>
      <c r="AK112" s="138"/>
      <c r="AL112" s="670"/>
      <c r="AM112" s="138"/>
      <c r="AN112" s="138"/>
      <c r="AO112" s="138"/>
      <c r="AP112" s="437"/>
      <c r="AQ112" s="138"/>
      <c r="AR112" s="437"/>
      <c r="AS112" s="138"/>
      <c r="AT112" s="138"/>
      <c r="AU112" s="43"/>
      <c r="AV112" s="138"/>
      <c r="AW112" s="138"/>
      <c r="AX112" s="138"/>
      <c r="AY112" s="437"/>
      <c r="AZ112" s="138"/>
      <c r="BA112" s="437"/>
      <c r="BB112" s="138"/>
      <c r="BC112" s="138"/>
      <c r="BD112" s="138"/>
      <c r="BE112" s="42"/>
      <c r="BF112" s="105"/>
      <c r="BG112" s="43"/>
      <c r="BH112" s="105"/>
      <c r="BI112" s="43"/>
    </row>
    <row r="113" spans="2:61" s="1" customFormat="1">
      <c r="B113" s="4"/>
      <c r="C113" s="44" t="s">
        <v>486</v>
      </c>
      <c r="D113" s="1374">
        <v>-1089661114.386528</v>
      </c>
      <c r="E113" s="1374">
        <v>-890536921</v>
      </c>
      <c r="F113" s="1365">
        <f t="shared" si="57"/>
        <v>-1980198035.386528</v>
      </c>
      <c r="G113" s="1365">
        <f t="shared" si="56"/>
        <v>-0.38652801513671875</v>
      </c>
      <c r="H113" s="1374">
        <f>ROUND((D113+E113),0)</f>
        <v>-1980198035</v>
      </c>
      <c r="I113" s="1943"/>
      <c r="J113" s="1374"/>
      <c r="K113" s="1943"/>
      <c r="L113" s="1374"/>
      <c r="M113" s="1374">
        <f>ROUND((H113+J113-L113),0)</f>
        <v>-1980198035</v>
      </c>
      <c r="N113" s="2259"/>
      <c r="O113" s="1058"/>
      <c r="P113" s="1497">
        <v>-907026824</v>
      </c>
      <c r="Q113" s="1374">
        <f>ROUND(-655404110.32745,0)</f>
        <v>-655404110</v>
      </c>
      <c r="R113" s="1497">
        <f>ROUND((P113+Q113),0)</f>
        <v>-1562430934</v>
      </c>
      <c r="S113" s="1487"/>
      <c r="T113" s="1497"/>
      <c r="U113" s="1487"/>
      <c r="V113" s="1497"/>
      <c r="W113" s="1497">
        <f>ROUND((R113+T113-V113),0)</f>
        <v>-1562430934</v>
      </c>
      <c r="X113" s="1187"/>
      <c r="Y113" s="236">
        <v>-907026824</v>
      </c>
      <c r="Z113" s="713">
        <v>-655404110</v>
      </c>
      <c r="AA113" s="713">
        <f>ROUND((Y113+Z113),0)</f>
        <v>-1562430934</v>
      </c>
      <c r="AB113" s="617"/>
      <c r="AC113" s="236"/>
      <c r="AD113" s="617"/>
      <c r="AE113" s="236"/>
      <c r="AF113" s="236">
        <f>ROUND((AA113+AC113-AE113),0)</f>
        <v>-1562430934</v>
      </c>
      <c r="AG113" s="236"/>
      <c r="AH113" s="207" t="s">
        <v>487</v>
      </c>
      <c r="AI113" s="9">
        <v>-1562430934</v>
      </c>
      <c r="AJ113" s="9"/>
      <c r="AK113" s="9"/>
      <c r="AL113" s="667"/>
      <c r="AM113" s="9">
        <v>-787722760</v>
      </c>
      <c r="AN113" s="9">
        <v>-348286059</v>
      </c>
      <c r="AO113" s="9">
        <f>ROUND((AM113+AN113),0)</f>
        <v>-1136008819</v>
      </c>
      <c r="AP113" s="769"/>
      <c r="AQ113" s="9"/>
      <c r="AR113" s="769"/>
      <c r="AS113" s="9"/>
      <c r="AT113" s="9">
        <f>ROUND((AO113+AQ113-AS113),0)</f>
        <v>-1136008819</v>
      </c>
      <c r="AU113" s="37"/>
      <c r="AV113" s="9">
        <v>-787722760</v>
      </c>
      <c r="AW113" s="9">
        <v>-348286059</v>
      </c>
      <c r="AX113" s="9">
        <f>ROUND((AV113+AW113),0)</f>
        <v>-1136008819</v>
      </c>
      <c r="AY113" s="769"/>
      <c r="AZ113" s="9"/>
      <c r="BA113" s="769"/>
      <c r="BB113" s="9"/>
      <c r="BC113" s="9">
        <f>ROUND((AX113+AZ113-BB113),0)</f>
        <v>-1136008819</v>
      </c>
      <c r="BD113" s="14"/>
      <c r="BE113" s="128" t="e">
        <f>#REF!-#REF!</f>
        <v>#REF!</v>
      </c>
      <c r="BF113" s="219">
        <v>-1136008818</v>
      </c>
      <c r="BG113" s="37"/>
      <c r="BH113" s="219">
        <v>-729479234</v>
      </c>
      <c r="BI113" s="37"/>
    </row>
    <row r="114" spans="2:61" s="1" customFormat="1">
      <c r="B114" s="4"/>
      <c r="C114" s="2"/>
      <c r="D114" s="217"/>
      <c r="E114" s="217"/>
      <c r="F114" s="1365">
        <f t="shared" si="57"/>
        <v>0</v>
      </c>
      <c r="G114" s="1365">
        <f t="shared" si="56"/>
        <v>0</v>
      </c>
      <c r="H114" s="217"/>
      <c r="I114" s="1384"/>
      <c r="J114" s="217"/>
      <c r="K114" s="1384"/>
      <c r="L114" s="217"/>
      <c r="M114" s="217"/>
      <c r="N114" s="226"/>
      <c r="O114" s="1217">
        <f>N107+M113</f>
        <v>94793190279</v>
      </c>
      <c r="P114" s="1480"/>
      <c r="Q114" s="217"/>
      <c r="R114" s="1480"/>
      <c r="S114" s="1481"/>
      <c r="T114" s="1480"/>
      <c r="U114" s="1481"/>
      <c r="V114" s="1480"/>
      <c r="W114" s="1480"/>
      <c r="X114" s="1187"/>
      <c r="Y114" s="118"/>
      <c r="Z114" s="705"/>
      <c r="AA114" s="705"/>
      <c r="AB114" s="253"/>
      <c r="AC114" s="118"/>
      <c r="AD114" s="253"/>
      <c r="AE114" s="118"/>
      <c r="AF114" s="118"/>
      <c r="AG114" s="118"/>
      <c r="AH114" s="209"/>
      <c r="AI114" s="138"/>
      <c r="AJ114" s="138"/>
      <c r="AK114" s="138"/>
      <c r="AL114" s="670"/>
      <c r="AM114" s="138"/>
      <c r="AN114" s="138"/>
      <c r="AO114" s="138"/>
      <c r="AP114" s="437"/>
      <c r="AQ114" s="138"/>
      <c r="AR114" s="437"/>
      <c r="AS114" s="138"/>
      <c r="AT114" s="138"/>
      <c r="AU114" s="43"/>
      <c r="AV114" s="138"/>
      <c r="AW114" s="138"/>
      <c r="AX114" s="138"/>
      <c r="AY114" s="437"/>
      <c r="AZ114" s="138"/>
      <c r="BA114" s="437"/>
      <c r="BB114" s="138"/>
      <c r="BC114" s="138"/>
      <c r="BD114" s="138"/>
      <c r="BE114" s="42"/>
      <c r="BF114" s="105"/>
      <c r="BG114" s="43"/>
      <c r="BH114" s="105"/>
      <c r="BI114" s="43"/>
    </row>
    <row r="115" spans="2:61" s="1" customFormat="1">
      <c r="B115" s="27"/>
      <c r="C115" s="19" t="s">
        <v>488</v>
      </c>
      <c r="D115" s="1369">
        <f>SUM(D112:D114)</f>
        <v>-1089661114.386528</v>
      </c>
      <c r="E115" s="1369">
        <f>SUM(E112:E114)</f>
        <v>-890536921</v>
      </c>
      <c r="F115" s="1365">
        <f t="shared" si="57"/>
        <v>-1980198035.386528</v>
      </c>
      <c r="G115" s="1365">
        <f t="shared" si="56"/>
        <v>-0.38652801513671875</v>
      </c>
      <c r="H115" s="1369">
        <f>SUM(H112:H114)</f>
        <v>-1980198035</v>
      </c>
      <c r="I115" s="1944"/>
      <c r="J115" s="1369"/>
      <c r="K115" s="1944"/>
      <c r="L115" s="1369"/>
      <c r="M115" s="1369">
        <f>SUM(M112:M114)</f>
        <v>-1980198035</v>
      </c>
      <c r="N115" s="226" t="s">
        <v>427</v>
      </c>
      <c r="O115" s="1058" t="s">
        <v>427</v>
      </c>
      <c r="P115" s="1488">
        <f>SUM(P112:P114)</f>
        <v>-907026824</v>
      </c>
      <c r="Q115" s="1369">
        <f>SUM(Q112:Q114)</f>
        <v>-655404110</v>
      </c>
      <c r="R115" s="1488">
        <f>SUM(R112:R114)</f>
        <v>-1562430934</v>
      </c>
      <c r="S115" s="1489"/>
      <c r="T115" s="1488"/>
      <c r="U115" s="1489"/>
      <c r="V115" s="1488"/>
      <c r="W115" s="1488">
        <f>SUM(W112:W114)</f>
        <v>-1562430934</v>
      </c>
      <c r="X115" s="1187"/>
      <c r="Y115" s="428">
        <f>SUM(Y112:Y114)</f>
        <v>-907026824</v>
      </c>
      <c r="Z115" s="707">
        <f>SUM(Z112:Z114)</f>
        <v>-655404110</v>
      </c>
      <c r="AA115" s="707">
        <f>SUM(AA112:AA114)</f>
        <v>-1562430934</v>
      </c>
      <c r="AB115" s="601"/>
      <c r="AC115" s="223"/>
      <c r="AD115" s="601"/>
      <c r="AE115" s="223"/>
      <c r="AF115" s="428">
        <f>SUM(AF112:AF114)</f>
        <v>-1562430934</v>
      </c>
      <c r="AG115" s="428"/>
      <c r="AH115" s="228"/>
      <c r="AI115" s="428">
        <f>SUM(AI112:AI114)</f>
        <v>-1562430934</v>
      </c>
      <c r="AJ115" s="428"/>
      <c r="AK115" s="428"/>
      <c r="AL115" s="670"/>
      <c r="AM115" s="428">
        <f>SUM(AM112:AM114)</f>
        <v>-787722760</v>
      </c>
      <c r="AN115" s="428">
        <f>SUM(AN112:AN114)</f>
        <v>-348286059</v>
      </c>
      <c r="AO115" s="428">
        <f>SUM(AO112:AO114)</f>
        <v>-1136008819</v>
      </c>
      <c r="AP115" s="762"/>
      <c r="AQ115" s="428"/>
      <c r="AR115" s="762"/>
      <c r="AS115" s="428"/>
      <c r="AT115" s="428">
        <f>SUM(AT112:AT114)</f>
        <v>-1136008819</v>
      </c>
      <c r="AU115" s="29"/>
      <c r="AV115" s="428">
        <f>SUM(AV112:AV114)</f>
        <v>-787722760</v>
      </c>
      <c r="AW115" s="428">
        <f>SUM(AW112:AW114)</f>
        <v>-348286059</v>
      </c>
      <c r="AX115" s="428">
        <f>SUM(AX112:AX114)</f>
        <v>-1136008819</v>
      </c>
      <c r="AY115" s="762"/>
      <c r="AZ115" s="428"/>
      <c r="BA115" s="762"/>
      <c r="BB115" s="428"/>
      <c r="BC115" s="428">
        <f>SUM(BC112:BC114)</f>
        <v>-1136008819</v>
      </c>
      <c r="BD115" s="138"/>
      <c r="BE115" s="28"/>
      <c r="BF115" s="428">
        <f>SUM(BF112:BF114)</f>
        <v>-1136008818</v>
      </c>
      <c r="BG115" s="29"/>
      <c r="BH115" s="428">
        <f>SUM(BH112:BH114)</f>
        <v>-729479234</v>
      </c>
      <c r="BI115" s="29"/>
    </row>
    <row r="116" spans="2:61" s="1" customFormat="1">
      <c r="B116" s="2" t="s">
        <v>489</v>
      </c>
      <c r="C116" s="4"/>
      <c r="D116" s="1365"/>
      <c r="E116" s="1365"/>
      <c r="F116" s="1365">
        <f t="shared" si="57"/>
        <v>0</v>
      </c>
      <c r="G116" s="1365">
        <f t="shared" si="56"/>
        <v>0</v>
      </c>
      <c r="H116" s="1365"/>
      <c r="I116" s="1384"/>
      <c r="J116" s="1365"/>
      <c r="K116" s="1384"/>
      <c r="L116" s="1365"/>
      <c r="M116" s="1365"/>
      <c r="N116" s="2259"/>
      <c r="O116" s="1058"/>
      <c r="P116" s="1482"/>
      <c r="Q116" s="1365"/>
      <c r="R116" s="1482"/>
      <c r="S116" s="1481"/>
      <c r="T116" s="1482"/>
      <c r="U116" s="1481"/>
      <c r="V116" s="1482"/>
      <c r="W116" s="1482"/>
      <c r="X116" s="1187"/>
      <c r="Y116" s="90"/>
      <c r="Z116" s="697"/>
      <c r="AA116" s="697"/>
      <c r="AB116" s="253"/>
      <c r="AC116" s="90"/>
      <c r="AD116" s="253"/>
      <c r="AE116" s="90"/>
      <c r="AF116" s="90"/>
      <c r="AG116" s="90"/>
      <c r="AH116" s="207"/>
      <c r="AI116" s="424"/>
      <c r="AJ116" s="424"/>
      <c r="AK116" s="424"/>
      <c r="AL116" s="666"/>
      <c r="AM116" s="424"/>
      <c r="AN116" s="424"/>
      <c r="AO116" s="424"/>
      <c r="AP116" s="765"/>
      <c r="AQ116" s="424"/>
      <c r="AR116" s="765"/>
      <c r="AS116" s="424"/>
      <c r="AT116" s="424"/>
      <c r="AU116" s="127"/>
      <c r="AV116" s="424"/>
      <c r="AW116" s="424"/>
      <c r="AX116" s="424"/>
      <c r="AY116" s="765"/>
      <c r="AZ116" s="424"/>
      <c r="BA116" s="765"/>
      <c r="BB116" s="424"/>
      <c r="BC116" s="424"/>
      <c r="BD116" s="586"/>
      <c r="BE116" s="126"/>
      <c r="BF116" s="218"/>
      <c r="BG116" s="127"/>
      <c r="BH116" s="218"/>
      <c r="BI116" s="6"/>
    </row>
    <row r="117" spans="2:61" s="1" customFormat="1">
      <c r="B117" s="24" t="s">
        <v>428</v>
      </c>
      <c r="C117" s="4"/>
      <c r="D117" s="1365"/>
      <c r="E117" s="1365"/>
      <c r="F117" s="1365">
        <f t="shared" si="57"/>
        <v>0</v>
      </c>
      <c r="G117" s="1365">
        <f t="shared" si="56"/>
        <v>0</v>
      </c>
      <c r="H117" s="1365"/>
      <c r="I117" s="1384"/>
      <c r="J117" s="1365"/>
      <c r="K117" s="1384"/>
      <c r="L117" s="1365"/>
      <c r="M117" s="1365"/>
      <c r="N117" s="2259"/>
      <c r="O117" s="1058"/>
      <c r="P117" s="1482"/>
      <c r="Q117" s="1365"/>
      <c r="R117" s="1482"/>
      <c r="S117" s="1481"/>
      <c r="T117" s="1482"/>
      <c r="U117" s="1481"/>
      <c r="V117" s="1482"/>
      <c r="W117" s="1482"/>
      <c r="X117" s="1187"/>
      <c r="Y117" s="90"/>
      <c r="Z117" s="697"/>
      <c r="AA117" s="697"/>
      <c r="AB117" s="253"/>
      <c r="AC117" s="90"/>
      <c r="AD117" s="253"/>
      <c r="AE117" s="90"/>
      <c r="AF117" s="90"/>
      <c r="AG117" s="90"/>
      <c r="AH117" s="207"/>
      <c r="AI117" s="424"/>
      <c r="AJ117" s="424"/>
      <c r="AK117" s="424"/>
      <c r="AL117" s="666"/>
      <c r="AM117" s="424"/>
      <c r="AN117" s="424"/>
      <c r="AO117" s="424"/>
      <c r="AP117" s="765"/>
      <c r="AQ117" s="424"/>
      <c r="AR117" s="765"/>
      <c r="AS117" s="424"/>
      <c r="AT117" s="424"/>
      <c r="AU117" s="127"/>
      <c r="AV117" s="424"/>
      <c r="AW117" s="424"/>
      <c r="AX117" s="424"/>
      <c r="AY117" s="765"/>
      <c r="AZ117" s="424"/>
      <c r="BA117" s="765"/>
      <c r="BB117" s="424"/>
      <c r="BC117" s="424"/>
      <c r="BD117" s="586"/>
      <c r="BE117" s="126"/>
      <c r="BF117" s="218"/>
      <c r="BG117" s="127"/>
      <c r="BH117" s="218"/>
      <c r="BI117" s="6"/>
    </row>
    <row r="118" spans="2:61" s="1" customFormat="1">
      <c r="B118" s="30"/>
      <c r="C118" s="4" t="s">
        <v>490</v>
      </c>
      <c r="D118" s="1365"/>
      <c r="E118" s="1365"/>
      <c r="F118" s="1365">
        <f t="shared" si="57"/>
        <v>0</v>
      </c>
      <c r="G118" s="1365">
        <f t="shared" si="56"/>
        <v>0</v>
      </c>
      <c r="H118" s="1365">
        <f t="shared" ref="H118:H134" si="71">ROUND((D118+E118),0)</f>
        <v>0</v>
      </c>
      <c r="I118" s="1384"/>
      <c r="J118" s="1365"/>
      <c r="K118" s="1384"/>
      <c r="L118" s="1365"/>
      <c r="M118" s="1365">
        <f t="shared" ref="M118:M134" si="72">ROUND((H118+J118-L118),0)</f>
        <v>0</v>
      </c>
      <c r="N118" s="2259"/>
      <c r="O118" s="1058"/>
      <c r="P118" s="1482"/>
      <c r="Q118" s="1365"/>
      <c r="R118" s="1482">
        <f t="shared" ref="R118:R134" si="73">ROUND((P118+Q118),0)</f>
        <v>0</v>
      </c>
      <c r="S118" s="1481"/>
      <c r="T118" s="1482"/>
      <c r="U118" s="1481"/>
      <c r="V118" s="1482"/>
      <c r="W118" s="1482">
        <f t="shared" ref="W118:W134" si="74">ROUND((R118+T118-V118),0)</f>
        <v>0</v>
      </c>
      <c r="X118" s="1187"/>
      <c r="Y118" s="90"/>
      <c r="Z118" s="697"/>
      <c r="AA118" s="697">
        <f t="shared" ref="AA118:AA134" si="75">ROUND((Y118+Z118),0)</f>
        <v>0</v>
      </c>
      <c r="AB118" s="253"/>
      <c r="AC118" s="90"/>
      <c r="AD118" s="253"/>
      <c r="AE118" s="90"/>
      <c r="AF118" s="90">
        <f t="shared" ref="AF118:AF134" si="76">ROUND((AA118+AC118-AE118),0)</f>
        <v>0</v>
      </c>
      <c r="AG118" s="90"/>
      <c r="AH118" s="207"/>
      <c r="AI118" s="45">
        <v>0</v>
      </c>
      <c r="AJ118" s="47"/>
      <c r="AK118" s="47"/>
      <c r="AL118" s="674"/>
      <c r="AM118" s="47"/>
      <c r="AN118" s="47"/>
      <c r="AO118" s="47">
        <f t="shared" ref="AO118:AO134" si="77">ROUND((AM118+AN118),0)</f>
        <v>0</v>
      </c>
      <c r="AP118" s="785"/>
      <c r="AQ118" s="47"/>
      <c r="AR118" s="785"/>
      <c r="AS118" s="47"/>
      <c r="AT118" s="47">
        <f t="shared" ref="AT118:AT134" si="78">ROUND((AO118+AQ118-AS118),0)</f>
        <v>0</v>
      </c>
      <c r="AU118" s="46"/>
      <c r="AV118" s="47"/>
      <c r="AW118" s="47"/>
      <c r="AX118" s="47">
        <f t="shared" ref="AX118:AX134" si="79">ROUND((AV118+AW118),0)</f>
        <v>0</v>
      </c>
      <c r="AY118" s="785"/>
      <c r="AZ118" s="47"/>
      <c r="BA118" s="785"/>
      <c r="BB118" s="47"/>
      <c r="BC118" s="47">
        <f t="shared" ref="BC118:BC134" si="80">ROUND((AX118+AZ118-BB118),0)</f>
        <v>0</v>
      </c>
      <c r="BD118" s="47"/>
      <c r="BE118" s="40"/>
      <c r="BF118" s="235">
        <v>0</v>
      </c>
      <c r="BG118" s="66"/>
      <c r="BH118" s="219">
        <v>0</v>
      </c>
      <c r="BI118" s="46"/>
    </row>
    <row r="119" spans="2:61" s="1" customFormat="1">
      <c r="B119" s="30"/>
      <c r="C119" s="4" t="s">
        <v>491</v>
      </c>
      <c r="D119" s="1365"/>
      <c r="E119" s="1365"/>
      <c r="F119" s="1365">
        <f t="shared" si="57"/>
        <v>0</v>
      </c>
      <c r="G119" s="1365">
        <f t="shared" si="56"/>
        <v>0</v>
      </c>
      <c r="H119" s="1365">
        <f t="shared" si="71"/>
        <v>0</v>
      </c>
      <c r="I119" s="1384"/>
      <c r="J119" s="1365"/>
      <c r="K119" s="1384"/>
      <c r="L119" s="1365"/>
      <c r="M119" s="1365">
        <f t="shared" si="72"/>
        <v>0</v>
      </c>
      <c r="N119" s="2259"/>
      <c r="O119" s="1058"/>
      <c r="P119" s="1482"/>
      <c r="Q119" s="1365"/>
      <c r="R119" s="1482">
        <f t="shared" si="73"/>
        <v>0</v>
      </c>
      <c r="S119" s="1481"/>
      <c r="T119" s="1482"/>
      <c r="U119" s="1481"/>
      <c r="V119" s="1482"/>
      <c r="W119" s="1482">
        <f t="shared" si="74"/>
        <v>0</v>
      </c>
      <c r="X119" s="1187"/>
      <c r="Y119" s="90"/>
      <c r="Z119" s="697"/>
      <c r="AA119" s="697">
        <f t="shared" si="75"/>
        <v>0</v>
      </c>
      <c r="AB119" s="253"/>
      <c r="AC119" s="90"/>
      <c r="AD119" s="253"/>
      <c r="AE119" s="90"/>
      <c r="AF119" s="90">
        <f t="shared" si="76"/>
        <v>0</v>
      </c>
      <c r="AG119" s="90"/>
      <c r="AH119" s="207"/>
      <c r="AI119" s="45">
        <v>0</v>
      </c>
      <c r="AJ119" s="47"/>
      <c r="AK119" s="47"/>
      <c r="AL119" s="674"/>
      <c r="AM119" s="47"/>
      <c r="AN119" s="47"/>
      <c r="AO119" s="47">
        <f t="shared" si="77"/>
        <v>0</v>
      </c>
      <c r="AP119" s="785"/>
      <c r="AQ119" s="47"/>
      <c r="AR119" s="785"/>
      <c r="AS119" s="47"/>
      <c r="AT119" s="47">
        <f t="shared" si="78"/>
        <v>0</v>
      </c>
      <c r="AU119" s="46"/>
      <c r="AV119" s="47"/>
      <c r="AW119" s="47"/>
      <c r="AX119" s="47">
        <f t="shared" si="79"/>
        <v>0</v>
      </c>
      <c r="AY119" s="785"/>
      <c r="AZ119" s="47"/>
      <c r="BA119" s="785"/>
      <c r="BB119" s="47"/>
      <c r="BC119" s="47">
        <f t="shared" si="80"/>
        <v>0</v>
      </c>
      <c r="BD119" s="47"/>
      <c r="BE119" s="40"/>
      <c r="BF119" s="235">
        <v>0</v>
      </c>
      <c r="BG119" s="66"/>
      <c r="BH119" s="219">
        <v>0</v>
      </c>
      <c r="BI119" s="46"/>
    </row>
    <row r="120" spans="2:61" s="1" customFormat="1">
      <c r="B120" s="30"/>
      <c r="C120" s="4" t="s">
        <v>492</v>
      </c>
      <c r="D120" s="1365"/>
      <c r="E120" s="1365"/>
      <c r="F120" s="1365">
        <f t="shared" si="57"/>
        <v>0</v>
      </c>
      <c r="G120" s="1365">
        <f t="shared" si="56"/>
        <v>0</v>
      </c>
      <c r="H120" s="1365">
        <f t="shared" si="71"/>
        <v>0</v>
      </c>
      <c r="I120" s="1384"/>
      <c r="J120" s="1365"/>
      <c r="K120" s="1384"/>
      <c r="L120" s="1365"/>
      <c r="M120" s="1365">
        <f t="shared" si="72"/>
        <v>0</v>
      </c>
      <c r="N120" s="2259"/>
      <c r="O120" s="1058"/>
      <c r="P120" s="1482"/>
      <c r="Q120" s="1365"/>
      <c r="R120" s="1482">
        <f t="shared" si="73"/>
        <v>0</v>
      </c>
      <c r="S120" s="1481"/>
      <c r="T120" s="1482"/>
      <c r="U120" s="1481"/>
      <c r="V120" s="1482"/>
      <c r="W120" s="1482">
        <f t="shared" si="74"/>
        <v>0</v>
      </c>
      <c r="X120" s="1187"/>
      <c r="Y120" s="90"/>
      <c r="Z120" s="697"/>
      <c r="AA120" s="697">
        <f t="shared" si="75"/>
        <v>0</v>
      </c>
      <c r="AB120" s="253"/>
      <c r="AC120" s="90"/>
      <c r="AD120" s="253"/>
      <c r="AE120" s="90"/>
      <c r="AF120" s="90">
        <f t="shared" si="76"/>
        <v>0</v>
      </c>
      <c r="AG120" s="90"/>
      <c r="AH120" s="207"/>
      <c r="AI120" s="45">
        <v>0</v>
      </c>
      <c r="AJ120" s="47"/>
      <c r="AK120" s="47"/>
      <c r="AL120" s="674"/>
      <c r="AM120" s="47"/>
      <c r="AN120" s="47"/>
      <c r="AO120" s="47">
        <f t="shared" si="77"/>
        <v>0</v>
      </c>
      <c r="AP120" s="785"/>
      <c r="AQ120" s="47"/>
      <c r="AR120" s="785"/>
      <c r="AS120" s="47"/>
      <c r="AT120" s="47">
        <f t="shared" si="78"/>
        <v>0</v>
      </c>
      <c r="AU120" s="46"/>
      <c r="AV120" s="47"/>
      <c r="AW120" s="47"/>
      <c r="AX120" s="47">
        <f t="shared" si="79"/>
        <v>0</v>
      </c>
      <c r="AY120" s="785"/>
      <c r="AZ120" s="47"/>
      <c r="BA120" s="785"/>
      <c r="BB120" s="47"/>
      <c r="BC120" s="47">
        <f t="shared" si="80"/>
        <v>0</v>
      </c>
      <c r="BD120" s="47"/>
      <c r="BE120" s="40"/>
      <c r="BF120" s="235">
        <v>0</v>
      </c>
      <c r="BG120" s="66"/>
      <c r="BH120" s="219">
        <v>53692084</v>
      </c>
      <c r="BI120" s="46"/>
    </row>
    <row r="121" spans="2:61" s="1" customFormat="1">
      <c r="B121" s="30"/>
      <c r="C121" s="4" t="s">
        <v>493</v>
      </c>
      <c r="D121" s="1365"/>
      <c r="E121" s="1365"/>
      <c r="F121" s="1365">
        <f t="shared" si="57"/>
        <v>0</v>
      </c>
      <c r="G121" s="1365">
        <f t="shared" si="56"/>
        <v>0</v>
      </c>
      <c r="H121" s="1365">
        <f t="shared" si="71"/>
        <v>0</v>
      </c>
      <c r="I121" s="1384"/>
      <c r="J121" s="1365"/>
      <c r="K121" s="1384"/>
      <c r="L121" s="1365"/>
      <c r="M121" s="1365">
        <f t="shared" si="72"/>
        <v>0</v>
      </c>
      <c r="N121" s="2259"/>
      <c r="O121" s="1058"/>
      <c r="P121" s="1482"/>
      <c r="Q121" s="1365"/>
      <c r="R121" s="1482">
        <f t="shared" si="73"/>
        <v>0</v>
      </c>
      <c r="S121" s="1481"/>
      <c r="T121" s="1482"/>
      <c r="U121" s="1481"/>
      <c r="V121" s="1482"/>
      <c r="W121" s="1482">
        <f t="shared" si="74"/>
        <v>0</v>
      </c>
      <c r="X121" s="1187"/>
      <c r="Y121" s="90"/>
      <c r="Z121" s="697"/>
      <c r="AA121" s="697">
        <f t="shared" si="75"/>
        <v>0</v>
      </c>
      <c r="AB121" s="253"/>
      <c r="AC121" s="90"/>
      <c r="AD121" s="253"/>
      <c r="AE121" s="90"/>
      <c r="AF121" s="90">
        <f t="shared" si="76"/>
        <v>0</v>
      </c>
      <c r="AG121" s="90"/>
      <c r="AH121" s="207"/>
      <c r="AI121" s="45">
        <v>0</v>
      </c>
      <c r="AJ121" s="47"/>
      <c r="AK121" s="47"/>
      <c r="AL121" s="674"/>
      <c r="AM121" s="47"/>
      <c r="AN121" s="47"/>
      <c r="AO121" s="47">
        <f t="shared" si="77"/>
        <v>0</v>
      </c>
      <c r="AP121" s="785"/>
      <c r="AQ121" s="47"/>
      <c r="AR121" s="785"/>
      <c r="AS121" s="47"/>
      <c r="AT121" s="47">
        <f t="shared" si="78"/>
        <v>0</v>
      </c>
      <c r="AU121" s="46"/>
      <c r="AV121" s="47"/>
      <c r="AW121" s="47"/>
      <c r="AX121" s="47">
        <f t="shared" si="79"/>
        <v>0</v>
      </c>
      <c r="AY121" s="785"/>
      <c r="AZ121" s="47"/>
      <c r="BA121" s="785"/>
      <c r="BB121" s="47"/>
      <c r="BC121" s="47">
        <f t="shared" si="80"/>
        <v>0</v>
      </c>
      <c r="BD121" s="47"/>
      <c r="BE121" s="40"/>
      <c r="BF121" s="235">
        <v>0</v>
      </c>
      <c r="BG121" s="66"/>
      <c r="BH121" s="219">
        <v>0</v>
      </c>
      <c r="BI121" s="46"/>
    </row>
    <row r="122" spans="2:61" s="1" customFormat="1">
      <c r="B122" s="30"/>
      <c r="C122" s="4" t="s">
        <v>494</v>
      </c>
      <c r="D122" s="1365"/>
      <c r="E122" s="1365"/>
      <c r="F122" s="1365">
        <f t="shared" si="57"/>
        <v>0</v>
      </c>
      <c r="G122" s="1365">
        <f t="shared" si="56"/>
        <v>0</v>
      </c>
      <c r="H122" s="1365">
        <f t="shared" si="71"/>
        <v>0</v>
      </c>
      <c r="I122" s="1384"/>
      <c r="J122" s="1365"/>
      <c r="K122" s="1384"/>
      <c r="L122" s="1365"/>
      <c r="M122" s="1365">
        <f t="shared" si="72"/>
        <v>0</v>
      </c>
      <c r="N122" s="2259"/>
      <c r="O122" s="1058"/>
      <c r="P122" s="1482"/>
      <c r="Q122" s="1365"/>
      <c r="R122" s="1482">
        <f t="shared" si="73"/>
        <v>0</v>
      </c>
      <c r="S122" s="1481"/>
      <c r="T122" s="1482"/>
      <c r="U122" s="1481"/>
      <c r="V122" s="1482"/>
      <c r="W122" s="1482">
        <f t="shared" si="74"/>
        <v>0</v>
      </c>
      <c r="X122" s="1187"/>
      <c r="Y122" s="90"/>
      <c r="Z122" s="697"/>
      <c r="AA122" s="697">
        <f t="shared" si="75"/>
        <v>0</v>
      </c>
      <c r="AB122" s="253"/>
      <c r="AC122" s="90"/>
      <c r="AD122" s="253"/>
      <c r="AE122" s="90"/>
      <c r="AF122" s="90">
        <f t="shared" si="76"/>
        <v>0</v>
      </c>
      <c r="AG122" s="90"/>
      <c r="AH122" s="207"/>
      <c r="AI122" s="45">
        <v>0</v>
      </c>
      <c r="AJ122" s="47"/>
      <c r="AK122" s="47"/>
      <c r="AL122" s="674"/>
      <c r="AM122" s="47"/>
      <c r="AN122" s="47"/>
      <c r="AO122" s="47">
        <f t="shared" si="77"/>
        <v>0</v>
      </c>
      <c r="AP122" s="785"/>
      <c r="AQ122" s="47"/>
      <c r="AR122" s="785"/>
      <c r="AS122" s="47"/>
      <c r="AT122" s="47">
        <f t="shared" si="78"/>
        <v>0</v>
      </c>
      <c r="AU122" s="46"/>
      <c r="AV122" s="47"/>
      <c r="AW122" s="47"/>
      <c r="AX122" s="47">
        <f t="shared" si="79"/>
        <v>0</v>
      </c>
      <c r="AY122" s="785"/>
      <c r="AZ122" s="47"/>
      <c r="BA122" s="785"/>
      <c r="BB122" s="47"/>
      <c r="BC122" s="47">
        <f t="shared" si="80"/>
        <v>0</v>
      </c>
      <c r="BD122" s="47"/>
      <c r="BE122" s="40"/>
      <c r="BF122" s="235">
        <v>0</v>
      </c>
      <c r="BG122" s="66"/>
      <c r="BH122" s="219">
        <v>0</v>
      </c>
      <c r="BI122" s="46"/>
    </row>
    <row r="123" spans="2:61" s="1" customFormat="1">
      <c r="B123" s="30"/>
      <c r="C123" s="4" t="s">
        <v>495</v>
      </c>
      <c r="D123" s="1365"/>
      <c r="E123" s="1365"/>
      <c r="F123" s="1365">
        <f t="shared" si="57"/>
        <v>0</v>
      </c>
      <c r="G123" s="1365">
        <f t="shared" si="56"/>
        <v>0</v>
      </c>
      <c r="H123" s="1365">
        <f t="shared" si="71"/>
        <v>0</v>
      </c>
      <c r="I123" s="1384"/>
      <c r="J123" s="1365"/>
      <c r="K123" s="1384"/>
      <c r="L123" s="1365"/>
      <c r="M123" s="1365">
        <f t="shared" si="72"/>
        <v>0</v>
      </c>
      <c r="N123" s="2259"/>
      <c r="O123" s="1058"/>
      <c r="P123" s="1482"/>
      <c r="Q123" s="1365"/>
      <c r="R123" s="1482">
        <f t="shared" si="73"/>
        <v>0</v>
      </c>
      <c r="S123" s="1481"/>
      <c r="T123" s="1482"/>
      <c r="U123" s="1481"/>
      <c r="V123" s="1482"/>
      <c r="W123" s="1482">
        <f t="shared" si="74"/>
        <v>0</v>
      </c>
      <c r="X123" s="1187"/>
      <c r="Y123" s="90"/>
      <c r="Z123" s="697"/>
      <c r="AA123" s="697">
        <f t="shared" si="75"/>
        <v>0</v>
      </c>
      <c r="AB123" s="253"/>
      <c r="AC123" s="90"/>
      <c r="AD123" s="253"/>
      <c r="AE123" s="90"/>
      <c r="AF123" s="90">
        <f t="shared" si="76"/>
        <v>0</v>
      </c>
      <c r="AG123" s="90"/>
      <c r="AH123" s="207"/>
      <c r="AI123" s="45">
        <v>0</v>
      </c>
      <c r="AJ123" s="47"/>
      <c r="AK123" s="47"/>
      <c r="AL123" s="674"/>
      <c r="AM123" s="47"/>
      <c r="AN123" s="47"/>
      <c r="AO123" s="47">
        <f t="shared" si="77"/>
        <v>0</v>
      </c>
      <c r="AP123" s="785"/>
      <c r="AQ123" s="47"/>
      <c r="AR123" s="785"/>
      <c r="AS123" s="47"/>
      <c r="AT123" s="47">
        <f t="shared" si="78"/>
        <v>0</v>
      </c>
      <c r="AU123" s="46"/>
      <c r="AV123" s="47"/>
      <c r="AW123" s="47"/>
      <c r="AX123" s="47">
        <f t="shared" si="79"/>
        <v>0</v>
      </c>
      <c r="AY123" s="785"/>
      <c r="AZ123" s="47"/>
      <c r="BA123" s="785"/>
      <c r="BB123" s="47"/>
      <c r="BC123" s="47">
        <f t="shared" si="80"/>
        <v>0</v>
      </c>
      <c r="BD123" s="47"/>
      <c r="BE123" s="40"/>
      <c r="BF123" s="235">
        <v>0</v>
      </c>
      <c r="BG123" s="66"/>
      <c r="BH123" s="219">
        <v>0</v>
      </c>
      <c r="BI123" s="46"/>
    </row>
    <row r="124" spans="2:61" s="1" customFormat="1">
      <c r="B124" s="30"/>
      <c r="C124" s="4" t="s">
        <v>496</v>
      </c>
      <c r="D124" s="1365"/>
      <c r="E124" s="1365"/>
      <c r="F124" s="1365">
        <f t="shared" si="57"/>
        <v>0</v>
      </c>
      <c r="G124" s="1365">
        <f t="shared" si="56"/>
        <v>0</v>
      </c>
      <c r="H124" s="1365">
        <f t="shared" si="71"/>
        <v>0</v>
      </c>
      <c r="I124" s="1384"/>
      <c r="J124" s="1365"/>
      <c r="K124" s="1384"/>
      <c r="L124" s="1365"/>
      <c r="M124" s="1365">
        <f t="shared" si="72"/>
        <v>0</v>
      </c>
      <c r="N124" s="2259"/>
      <c r="O124" s="1058"/>
      <c r="P124" s="1482"/>
      <c r="Q124" s="1365"/>
      <c r="R124" s="1482">
        <f t="shared" si="73"/>
        <v>0</v>
      </c>
      <c r="S124" s="1481"/>
      <c r="T124" s="1482"/>
      <c r="U124" s="1481"/>
      <c r="V124" s="1482"/>
      <c r="W124" s="1482">
        <f t="shared" si="74"/>
        <v>0</v>
      </c>
      <c r="X124" s="1187"/>
      <c r="Y124" s="90"/>
      <c r="Z124" s="697"/>
      <c r="AA124" s="697">
        <f t="shared" si="75"/>
        <v>0</v>
      </c>
      <c r="AB124" s="253"/>
      <c r="AC124" s="90"/>
      <c r="AD124" s="253"/>
      <c r="AE124" s="90"/>
      <c r="AF124" s="90">
        <f t="shared" si="76"/>
        <v>0</v>
      </c>
      <c r="AG124" s="90"/>
      <c r="AH124" s="207"/>
      <c r="AI124" s="45">
        <v>0</v>
      </c>
      <c r="AJ124" s="47"/>
      <c r="AK124" s="47"/>
      <c r="AL124" s="674"/>
      <c r="AM124" s="47"/>
      <c r="AN124" s="47"/>
      <c r="AO124" s="47">
        <f t="shared" si="77"/>
        <v>0</v>
      </c>
      <c r="AP124" s="785"/>
      <c r="AQ124" s="47"/>
      <c r="AR124" s="785"/>
      <c r="AS124" s="47"/>
      <c r="AT124" s="47">
        <f t="shared" si="78"/>
        <v>0</v>
      </c>
      <c r="AU124" s="46"/>
      <c r="AV124" s="47"/>
      <c r="AW124" s="47"/>
      <c r="AX124" s="47">
        <f t="shared" si="79"/>
        <v>0</v>
      </c>
      <c r="AY124" s="785"/>
      <c r="AZ124" s="47"/>
      <c r="BA124" s="785"/>
      <c r="BB124" s="47"/>
      <c r="BC124" s="47">
        <f t="shared" si="80"/>
        <v>0</v>
      </c>
      <c r="BD124" s="47"/>
      <c r="BE124" s="40"/>
      <c r="BF124" s="235">
        <v>0</v>
      </c>
      <c r="BG124" s="66"/>
      <c r="BH124" s="219">
        <v>0</v>
      </c>
      <c r="BI124" s="46"/>
    </row>
    <row r="125" spans="2:61" s="1" customFormat="1">
      <c r="B125" s="30"/>
      <c r="C125" s="4" t="s">
        <v>497</v>
      </c>
      <c r="D125" s="1365"/>
      <c r="E125" s="1365"/>
      <c r="F125" s="1365">
        <f t="shared" si="57"/>
        <v>0</v>
      </c>
      <c r="G125" s="1365">
        <f t="shared" si="56"/>
        <v>0</v>
      </c>
      <c r="H125" s="1365">
        <f t="shared" si="71"/>
        <v>0</v>
      </c>
      <c r="I125" s="1384"/>
      <c r="J125" s="1365"/>
      <c r="K125" s="1384"/>
      <c r="L125" s="1365"/>
      <c r="M125" s="1365">
        <f t="shared" si="72"/>
        <v>0</v>
      </c>
      <c r="N125" s="2259"/>
      <c r="O125" s="1058"/>
      <c r="P125" s="1482"/>
      <c r="Q125" s="1365"/>
      <c r="R125" s="1482">
        <f t="shared" si="73"/>
        <v>0</v>
      </c>
      <c r="S125" s="1481"/>
      <c r="T125" s="1482"/>
      <c r="U125" s="1481"/>
      <c r="V125" s="1482"/>
      <c r="W125" s="1482">
        <f t="shared" si="74"/>
        <v>0</v>
      </c>
      <c r="X125" s="1187"/>
      <c r="Y125" s="90"/>
      <c r="Z125" s="697"/>
      <c r="AA125" s="697">
        <f t="shared" si="75"/>
        <v>0</v>
      </c>
      <c r="AB125" s="253"/>
      <c r="AC125" s="90"/>
      <c r="AD125" s="253"/>
      <c r="AE125" s="90"/>
      <c r="AF125" s="90">
        <f t="shared" si="76"/>
        <v>0</v>
      </c>
      <c r="AG125" s="90"/>
      <c r="AH125" s="207"/>
      <c r="AI125" s="45">
        <v>0</v>
      </c>
      <c r="AJ125" s="47"/>
      <c r="AK125" s="47"/>
      <c r="AL125" s="674"/>
      <c r="AM125" s="47"/>
      <c r="AN125" s="47"/>
      <c r="AO125" s="47">
        <f t="shared" si="77"/>
        <v>0</v>
      </c>
      <c r="AP125" s="785"/>
      <c r="AQ125" s="47"/>
      <c r="AR125" s="785"/>
      <c r="AS125" s="47"/>
      <c r="AT125" s="47">
        <f t="shared" si="78"/>
        <v>0</v>
      </c>
      <c r="AU125" s="46"/>
      <c r="AV125" s="47"/>
      <c r="AW125" s="47"/>
      <c r="AX125" s="47">
        <f t="shared" si="79"/>
        <v>0</v>
      </c>
      <c r="AY125" s="785"/>
      <c r="AZ125" s="47"/>
      <c r="BA125" s="785"/>
      <c r="BB125" s="47"/>
      <c r="BC125" s="47">
        <f t="shared" si="80"/>
        <v>0</v>
      </c>
      <c r="BD125" s="47"/>
      <c r="BE125" s="40"/>
      <c r="BF125" s="235">
        <v>0</v>
      </c>
      <c r="BG125" s="66"/>
      <c r="BH125" s="219">
        <v>0</v>
      </c>
      <c r="BI125" s="46"/>
    </row>
    <row r="126" spans="2:61" s="1" customFormat="1">
      <c r="B126" s="30"/>
      <c r="C126" s="4" t="s">
        <v>498</v>
      </c>
      <c r="D126" s="1365"/>
      <c r="E126" s="1365"/>
      <c r="F126" s="1365">
        <f t="shared" si="57"/>
        <v>0</v>
      </c>
      <c r="G126" s="1365">
        <f t="shared" si="56"/>
        <v>0</v>
      </c>
      <c r="H126" s="1365">
        <f t="shared" si="71"/>
        <v>0</v>
      </c>
      <c r="I126" s="1384"/>
      <c r="J126" s="1365"/>
      <c r="K126" s="1384"/>
      <c r="L126" s="1365"/>
      <c r="M126" s="1365">
        <f t="shared" si="72"/>
        <v>0</v>
      </c>
      <c r="N126" s="2259"/>
      <c r="O126" s="1058"/>
      <c r="P126" s="1482"/>
      <c r="Q126" s="1365"/>
      <c r="R126" s="1482">
        <f t="shared" si="73"/>
        <v>0</v>
      </c>
      <c r="S126" s="1481"/>
      <c r="T126" s="1482"/>
      <c r="U126" s="1481"/>
      <c r="V126" s="1482"/>
      <c r="W126" s="1482">
        <f t="shared" si="74"/>
        <v>0</v>
      </c>
      <c r="X126" s="1187"/>
      <c r="Y126" s="90"/>
      <c r="Z126" s="697"/>
      <c r="AA126" s="697">
        <f t="shared" si="75"/>
        <v>0</v>
      </c>
      <c r="AB126" s="253"/>
      <c r="AC126" s="90"/>
      <c r="AD126" s="253"/>
      <c r="AE126" s="90"/>
      <c r="AF126" s="90">
        <f t="shared" si="76"/>
        <v>0</v>
      </c>
      <c r="AG126" s="90"/>
      <c r="AH126" s="207"/>
      <c r="AI126" s="45">
        <v>0</v>
      </c>
      <c r="AJ126" s="47"/>
      <c r="AK126" s="47"/>
      <c r="AL126" s="674"/>
      <c r="AM126" s="47"/>
      <c r="AN126" s="47"/>
      <c r="AO126" s="47">
        <f t="shared" si="77"/>
        <v>0</v>
      </c>
      <c r="AP126" s="785"/>
      <c r="AQ126" s="47"/>
      <c r="AR126" s="785"/>
      <c r="AS126" s="47"/>
      <c r="AT126" s="47">
        <f t="shared" si="78"/>
        <v>0</v>
      </c>
      <c r="AU126" s="46"/>
      <c r="AV126" s="47"/>
      <c r="AW126" s="47"/>
      <c r="AX126" s="47">
        <f t="shared" si="79"/>
        <v>0</v>
      </c>
      <c r="AY126" s="785"/>
      <c r="AZ126" s="47"/>
      <c r="BA126" s="785"/>
      <c r="BB126" s="47"/>
      <c r="BC126" s="47">
        <f t="shared" si="80"/>
        <v>0</v>
      </c>
      <c r="BD126" s="47"/>
      <c r="BE126" s="40"/>
      <c r="BF126" s="235">
        <v>0</v>
      </c>
      <c r="BG126" s="66"/>
      <c r="BH126" s="219">
        <v>0</v>
      </c>
      <c r="BI126" s="46"/>
    </row>
    <row r="127" spans="2:61" s="1" customFormat="1">
      <c r="B127" s="30"/>
      <c r="C127" s="44" t="s">
        <v>499</v>
      </c>
      <c r="D127" s="1374"/>
      <c r="E127" s="1374"/>
      <c r="F127" s="1365">
        <f t="shared" si="57"/>
        <v>0</v>
      </c>
      <c r="G127" s="1365">
        <f t="shared" si="56"/>
        <v>0</v>
      </c>
      <c r="H127" s="1374">
        <f t="shared" si="71"/>
        <v>0</v>
      </c>
      <c r="I127" s="1943"/>
      <c r="J127" s="1374"/>
      <c r="K127" s="1943"/>
      <c r="L127" s="1374"/>
      <c r="M127" s="1374">
        <f t="shared" si="72"/>
        <v>0</v>
      </c>
      <c r="N127" s="2277" t="s">
        <v>427</v>
      </c>
      <c r="O127" s="1058" t="s">
        <v>427</v>
      </c>
      <c r="P127" s="1497"/>
      <c r="Q127" s="1374"/>
      <c r="R127" s="1497">
        <f t="shared" si="73"/>
        <v>0</v>
      </c>
      <c r="S127" s="1487"/>
      <c r="T127" s="1497"/>
      <c r="U127" s="1487"/>
      <c r="V127" s="1497"/>
      <c r="W127" s="1497">
        <f t="shared" si="74"/>
        <v>0</v>
      </c>
      <c r="X127" s="1187"/>
      <c r="Y127" s="236"/>
      <c r="Z127" s="713"/>
      <c r="AA127" s="713">
        <f t="shared" si="75"/>
        <v>0</v>
      </c>
      <c r="AB127" s="617"/>
      <c r="AC127" s="236"/>
      <c r="AD127" s="617"/>
      <c r="AE127" s="236"/>
      <c r="AF127" s="236">
        <f t="shared" si="76"/>
        <v>0</v>
      </c>
      <c r="AG127" s="236"/>
      <c r="AH127" s="207"/>
      <c r="AI127" s="45">
        <v>0</v>
      </c>
      <c r="AJ127" s="47"/>
      <c r="AK127" s="47"/>
      <c r="AL127" s="674"/>
      <c r="AM127" s="47"/>
      <c r="AN127" s="47">
        <v>2574988</v>
      </c>
      <c r="AO127" s="47">
        <f t="shared" si="77"/>
        <v>2574988</v>
      </c>
      <c r="AP127" s="785"/>
      <c r="AQ127" s="47"/>
      <c r="AR127" s="785"/>
      <c r="AS127" s="47"/>
      <c r="AT127" s="53">
        <f t="shared" si="78"/>
        <v>2574988</v>
      </c>
      <c r="AU127" s="46"/>
      <c r="AV127" s="47"/>
      <c r="AW127" s="47"/>
      <c r="AX127" s="47">
        <f t="shared" si="79"/>
        <v>0</v>
      </c>
      <c r="AY127" s="785"/>
      <c r="AZ127" s="47"/>
      <c r="BA127" s="785"/>
      <c r="BB127" s="47"/>
      <c r="BC127" s="47">
        <f t="shared" si="80"/>
        <v>0</v>
      </c>
      <c r="BD127" s="47"/>
      <c r="BE127" s="40">
        <v>57222</v>
      </c>
      <c r="BF127" s="235">
        <v>0</v>
      </c>
      <c r="BG127" s="66"/>
      <c r="BH127" s="219">
        <v>0</v>
      </c>
      <c r="BI127" s="46"/>
    </row>
    <row r="128" spans="2:61" s="1" customFormat="1">
      <c r="B128" s="24" t="s">
        <v>483</v>
      </c>
      <c r="C128" s="4" t="s">
        <v>368</v>
      </c>
      <c r="D128" s="1365"/>
      <c r="E128" s="1365"/>
      <c r="F128" s="1365">
        <f t="shared" si="57"/>
        <v>0</v>
      </c>
      <c r="G128" s="1365">
        <f t="shared" si="56"/>
        <v>0</v>
      </c>
      <c r="H128" s="1365">
        <f t="shared" si="71"/>
        <v>0</v>
      </c>
      <c r="I128" s="1384"/>
      <c r="J128" s="1365"/>
      <c r="K128" s="1384"/>
      <c r="L128" s="1365"/>
      <c r="M128" s="1365">
        <f t="shared" si="72"/>
        <v>0</v>
      </c>
      <c r="N128" s="2259"/>
      <c r="O128" s="1058"/>
      <c r="P128" s="1482"/>
      <c r="Q128" s="1365"/>
      <c r="R128" s="1482">
        <f t="shared" si="73"/>
        <v>0</v>
      </c>
      <c r="S128" s="1481"/>
      <c r="T128" s="1482"/>
      <c r="U128" s="1481"/>
      <c r="V128" s="1482"/>
      <c r="W128" s="1482">
        <f t="shared" si="74"/>
        <v>0</v>
      </c>
      <c r="X128" s="1187"/>
      <c r="Y128" s="90"/>
      <c r="Z128" s="697"/>
      <c r="AA128" s="697">
        <f t="shared" si="75"/>
        <v>0</v>
      </c>
      <c r="AB128" s="253"/>
      <c r="AC128" s="90"/>
      <c r="AD128" s="253"/>
      <c r="AE128" s="90"/>
      <c r="AF128" s="90">
        <f t="shared" si="76"/>
        <v>0</v>
      </c>
      <c r="AG128" s="90"/>
      <c r="AH128" s="207"/>
      <c r="AI128" s="140"/>
      <c r="AJ128" s="140"/>
      <c r="AK128" s="140"/>
      <c r="AL128" s="673"/>
      <c r="AM128" s="140"/>
      <c r="AN128" s="140"/>
      <c r="AO128" s="140">
        <f t="shared" si="77"/>
        <v>0</v>
      </c>
      <c r="AP128" s="437"/>
      <c r="AQ128" s="140"/>
      <c r="AR128" s="437"/>
      <c r="AS128" s="140"/>
      <c r="AT128" s="140">
        <f t="shared" si="78"/>
        <v>0</v>
      </c>
      <c r="AU128" s="66"/>
      <c r="AV128" s="140"/>
      <c r="AW128" s="140"/>
      <c r="AX128" s="140">
        <f t="shared" si="79"/>
        <v>0</v>
      </c>
      <c r="AY128" s="437"/>
      <c r="AZ128" s="140"/>
      <c r="BA128" s="437"/>
      <c r="BB128" s="140"/>
      <c r="BC128" s="140">
        <f t="shared" si="80"/>
        <v>0</v>
      </c>
      <c r="BD128" s="140"/>
      <c r="BE128" s="40" t="s">
        <v>500</v>
      </c>
      <c r="BF128" s="235"/>
      <c r="BG128" s="66"/>
      <c r="BH128" s="235"/>
      <c r="BI128" s="46"/>
    </row>
    <row r="129" spans="2:61" s="1" customFormat="1">
      <c r="B129" s="30"/>
      <c r="C129" s="4" t="s">
        <v>13</v>
      </c>
      <c r="D129" s="1365">
        <v>86709426551</v>
      </c>
      <c r="E129" s="1365"/>
      <c r="F129" s="1365">
        <f t="shared" si="57"/>
        <v>86709426551</v>
      </c>
      <c r="G129" s="1365">
        <f t="shared" si="56"/>
        <v>0</v>
      </c>
      <c r="H129" s="1365">
        <f t="shared" si="71"/>
        <v>86709426551</v>
      </c>
      <c r="I129" s="1384"/>
      <c r="J129" s="1365"/>
      <c r="K129" s="1384" t="str">
        <f>'ELIM &amp; CAJE Des 24'!A9</f>
        <v>ELIM 1</v>
      </c>
      <c r="L129" s="1365">
        <f>'ELIM &amp; CAJE Des 24'!G9</f>
        <v>86709426551</v>
      </c>
      <c r="M129" s="1365">
        <f t="shared" si="72"/>
        <v>0</v>
      </c>
      <c r="N129" s="2277" t="s">
        <v>427</v>
      </c>
      <c r="O129" s="1058"/>
      <c r="P129" s="1482">
        <v>94963698422</v>
      </c>
      <c r="Q129" s="1365"/>
      <c r="R129" s="1482">
        <f t="shared" si="73"/>
        <v>94963698422</v>
      </c>
      <c r="S129" s="1481"/>
      <c r="T129" s="1482"/>
      <c r="U129" s="1481" t="str">
        <f>'ELIM &amp; CAJE Sept 24'!B9</f>
        <v>ELIM 1</v>
      </c>
      <c r="V129" s="1482">
        <f>'ELIM &amp; CAJE Sept 24'!H9</f>
        <v>94963698422</v>
      </c>
      <c r="W129" s="1482">
        <f t="shared" si="74"/>
        <v>0</v>
      </c>
      <c r="X129" s="1187"/>
      <c r="Y129" s="90">
        <v>101208651861</v>
      </c>
      <c r="Z129" s="697"/>
      <c r="AA129" s="697">
        <f t="shared" si="75"/>
        <v>101208651861</v>
      </c>
      <c r="AB129" s="253"/>
      <c r="AC129" s="90"/>
      <c r="AD129" s="253" t="str">
        <f>'ELIM &amp; CAJE Juni 24'!B9</f>
        <v>ELIM 1</v>
      </c>
      <c r="AE129" s="90">
        <f>'ELIM &amp; CAJE Juni 24'!H9</f>
        <v>101208651861</v>
      </c>
      <c r="AF129" s="90">
        <f t="shared" si="76"/>
        <v>0</v>
      </c>
      <c r="AG129" s="90"/>
      <c r="AH129" s="207"/>
      <c r="AI129" s="45">
        <v>0</v>
      </c>
      <c r="AJ129" s="47"/>
      <c r="AK129" s="47"/>
      <c r="AL129" s="674"/>
      <c r="AM129" s="47">
        <v>123411723048</v>
      </c>
      <c r="AN129" s="47"/>
      <c r="AO129" s="47">
        <f t="shared" si="77"/>
        <v>123411723048</v>
      </c>
      <c r="AP129" s="785"/>
      <c r="AQ129" s="47"/>
      <c r="AR129" s="785" t="str">
        <f>'ELIM &amp; CAJE Sept 23'!A8</f>
        <v>ELIM 1</v>
      </c>
      <c r="AS129" s="47">
        <f>'ELIM &amp; CAJE Sept 23'!G8</f>
        <v>123411723048</v>
      </c>
      <c r="AT129" s="47">
        <f t="shared" si="78"/>
        <v>0</v>
      </c>
      <c r="AU129" s="46"/>
      <c r="AV129" s="47">
        <v>97221191334</v>
      </c>
      <c r="AW129" s="47"/>
      <c r="AX129" s="47">
        <f t="shared" si="79"/>
        <v>97221191334</v>
      </c>
      <c r="AY129" s="785"/>
      <c r="AZ129" s="47"/>
      <c r="BA129" s="785" t="str">
        <f>'ELIM Juni 23'!A8</f>
        <v>ELIM 1</v>
      </c>
      <c r="BB129" s="47">
        <f>'ELIM Juni 23'!G8</f>
        <v>97221191334</v>
      </c>
      <c r="BC129" s="47">
        <f t="shared" si="80"/>
        <v>0</v>
      </c>
      <c r="BD129" s="47"/>
      <c r="BE129" s="40"/>
      <c r="BF129" s="235">
        <v>0</v>
      </c>
      <c r="BG129" s="66"/>
      <c r="BH129" s="219">
        <v>0</v>
      </c>
      <c r="BI129" s="46"/>
    </row>
    <row r="130" spans="2:61" s="1" customFormat="1">
      <c r="B130" s="30"/>
      <c r="C130" s="4" t="s">
        <v>484</v>
      </c>
      <c r="D130" s="1365">
        <v>222225120</v>
      </c>
      <c r="E130" s="1365"/>
      <c r="F130" s="1365">
        <f t="shared" si="57"/>
        <v>222225120</v>
      </c>
      <c r="G130" s="1365">
        <f t="shared" si="56"/>
        <v>0</v>
      </c>
      <c r="H130" s="1365">
        <f t="shared" si="71"/>
        <v>222225120</v>
      </c>
      <c r="I130" s="1384"/>
      <c r="J130" s="1365"/>
      <c r="K130" s="1384"/>
      <c r="L130" s="1365"/>
      <c r="M130" s="1373">
        <f t="shared" si="72"/>
        <v>222225120</v>
      </c>
      <c r="N130" s="2277" t="s">
        <v>427</v>
      </c>
      <c r="O130" s="1058"/>
      <c r="P130" s="1482"/>
      <c r="Q130" s="1365"/>
      <c r="R130" s="1482">
        <f t="shared" si="73"/>
        <v>0</v>
      </c>
      <c r="S130" s="1481"/>
      <c r="T130" s="1482"/>
      <c r="U130" s="1481"/>
      <c r="V130" s="1482"/>
      <c r="W130" s="1482">
        <f t="shared" si="74"/>
        <v>0</v>
      </c>
      <c r="X130" s="1187"/>
      <c r="Y130" s="90"/>
      <c r="Z130" s="697"/>
      <c r="AA130" s="697">
        <f t="shared" si="75"/>
        <v>0</v>
      </c>
      <c r="AB130" s="253"/>
      <c r="AC130" s="90"/>
      <c r="AD130" s="253"/>
      <c r="AE130" s="90"/>
      <c r="AF130" s="90">
        <f t="shared" si="76"/>
        <v>0</v>
      </c>
      <c r="AG130" s="90"/>
      <c r="AH130" s="207"/>
      <c r="AI130" s="45">
        <v>0</v>
      </c>
      <c r="AJ130" s="47"/>
      <c r="AK130" s="47"/>
      <c r="AL130" s="674"/>
      <c r="AM130" s="47"/>
      <c r="AN130" s="47"/>
      <c r="AO130" s="47">
        <f t="shared" si="77"/>
        <v>0</v>
      </c>
      <c r="AP130" s="785"/>
      <c r="AQ130" s="47"/>
      <c r="AR130" s="785"/>
      <c r="AS130" s="47"/>
      <c r="AT130" s="47">
        <f t="shared" si="78"/>
        <v>0</v>
      </c>
      <c r="AU130" s="46"/>
      <c r="AV130" s="47">
        <v>200000000</v>
      </c>
      <c r="AW130" s="47"/>
      <c r="AX130" s="47">
        <f t="shared" si="79"/>
        <v>200000000</v>
      </c>
      <c r="AY130" s="785"/>
      <c r="AZ130" s="47"/>
      <c r="BA130" s="785"/>
      <c r="BB130" s="47"/>
      <c r="BC130" s="47">
        <f t="shared" si="80"/>
        <v>200000000</v>
      </c>
      <c r="BD130" s="47"/>
      <c r="BE130" s="40"/>
      <c r="BF130" s="235">
        <v>200000000</v>
      </c>
      <c r="BG130" s="66"/>
      <c r="BH130" s="219">
        <v>200000000</v>
      </c>
      <c r="BI130" s="46"/>
    </row>
    <row r="131" spans="2:61" s="1" customFormat="1">
      <c r="B131" s="30"/>
      <c r="C131" s="13" t="s">
        <v>501</v>
      </c>
      <c r="D131" s="1367"/>
      <c r="E131" s="1367"/>
      <c r="F131" s="1365">
        <f t="shared" si="57"/>
        <v>0</v>
      </c>
      <c r="G131" s="1365">
        <f t="shared" si="56"/>
        <v>0</v>
      </c>
      <c r="H131" s="1367">
        <f t="shared" si="71"/>
        <v>0</v>
      </c>
      <c r="I131" s="1384"/>
      <c r="J131" s="1367"/>
      <c r="K131" s="1384"/>
      <c r="L131" s="1367"/>
      <c r="M131" s="1367">
        <f t="shared" si="72"/>
        <v>0</v>
      </c>
      <c r="N131" s="1967"/>
      <c r="O131" s="1058"/>
      <c r="P131" s="1485"/>
      <c r="Q131" s="1367"/>
      <c r="R131" s="1485">
        <f t="shared" si="73"/>
        <v>0</v>
      </c>
      <c r="S131" s="1481"/>
      <c r="T131" s="1485"/>
      <c r="U131" s="1481"/>
      <c r="V131" s="1485"/>
      <c r="W131" s="1485">
        <f t="shared" si="74"/>
        <v>0</v>
      </c>
      <c r="X131" s="1187"/>
      <c r="Y131" s="106"/>
      <c r="Z131" s="698"/>
      <c r="AA131" s="698">
        <f t="shared" si="75"/>
        <v>0</v>
      </c>
      <c r="AB131" s="253"/>
      <c r="AC131" s="106"/>
      <c r="AD131" s="253"/>
      <c r="AE131" s="106"/>
      <c r="AF131" s="106">
        <f t="shared" si="76"/>
        <v>0</v>
      </c>
      <c r="AG131" s="106"/>
      <c r="AH131" s="208"/>
      <c r="AI131" s="45">
        <v>0</v>
      </c>
      <c r="AJ131" s="47"/>
      <c r="AK131" s="47"/>
      <c r="AL131" s="674"/>
      <c r="AM131" s="47">
        <v>100000</v>
      </c>
      <c r="AN131" s="47"/>
      <c r="AO131" s="47">
        <f t="shared" si="77"/>
        <v>100000</v>
      </c>
      <c r="AP131" s="785"/>
      <c r="AQ131" s="47"/>
      <c r="AR131" s="785"/>
      <c r="AS131" s="47"/>
      <c r="AT131" s="1562">
        <f t="shared" si="78"/>
        <v>100000</v>
      </c>
      <c r="AU131" s="46"/>
      <c r="AV131" s="47"/>
      <c r="AW131" s="47"/>
      <c r="AX131" s="47">
        <f t="shared" si="79"/>
        <v>0</v>
      </c>
      <c r="AY131" s="785"/>
      <c r="AZ131" s="47"/>
      <c r="BA131" s="785"/>
      <c r="BB131" s="47"/>
      <c r="BC131" s="47">
        <f t="shared" si="80"/>
        <v>0</v>
      </c>
      <c r="BD131" s="47"/>
      <c r="BE131" s="40"/>
      <c r="BF131" s="235">
        <v>0</v>
      </c>
      <c r="BG131" s="37"/>
      <c r="BH131" s="219">
        <v>0</v>
      </c>
      <c r="BI131" s="11"/>
    </row>
    <row r="132" spans="2:61" s="1" customFormat="1">
      <c r="B132" s="30"/>
      <c r="C132" s="23" t="s">
        <v>502</v>
      </c>
      <c r="D132" s="1368"/>
      <c r="E132" s="1367">
        <v>549732399</v>
      </c>
      <c r="F132" s="1365">
        <f t="shared" si="57"/>
        <v>549732399</v>
      </c>
      <c r="G132" s="1365">
        <f t="shared" si="56"/>
        <v>0</v>
      </c>
      <c r="H132" s="1368">
        <f t="shared" si="71"/>
        <v>549732399</v>
      </c>
      <c r="I132" s="1943"/>
      <c r="J132" s="1368"/>
      <c r="K132" s="1943"/>
      <c r="L132" s="1368"/>
      <c r="M132" s="1375">
        <f t="shared" si="72"/>
        <v>549732399</v>
      </c>
      <c r="N132" s="1967" t="s">
        <v>427</v>
      </c>
      <c r="O132" s="1058"/>
      <c r="P132" s="1486"/>
      <c r="Q132" s="1368">
        <v>549732399</v>
      </c>
      <c r="R132" s="1486">
        <f t="shared" si="73"/>
        <v>549732399</v>
      </c>
      <c r="S132" s="1487"/>
      <c r="T132" s="1486"/>
      <c r="U132" s="1487"/>
      <c r="V132" s="1486"/>
      <c r="W132" s="1486">
        <f t="shared" si="74"/>
        <v>549732399</v>
      </c>
      <c r="X132" s="1187"/>
      <c r="Y132" s="225"/>
      <c r="Z132" s="699">
        <v>549732399</v>
      </c>
      <c r="AA132" s="699">
        <f t="shared" si="75"/>
        <v>549732399</v>
      </c>
      <c r="AB132" s="617"/>
      <c r="AC132" s="225"/>
      <c r="AD132" s="617"/>
      <c r="AE132" s="225"/>
      <c r="AF132" s="225">
        <f t="shared" si="76"/>
        <v>549732399</v>
      </c>
      <c r="AG132" s="225"/>
      <c r="AH132" s="208"/>
      <c r="AI132" s="45">
        <v>549732399</v>
      </c>
      <c r="AJ132" s="47"/>
      <c r="AK132" s="47"/>
      <c r="AL132" s="674"/>
      <c r="AM132" s="47"/>
      <c r="AN132" s="47">
        <v>549732399</v>
      </c>
      <c r="AO132" s="47">
        <f t="shared" si="77"/>
        <v>549732399</v>
      </c>
      <c r="AP132" s="785"/>
      <c r="AQ132" s="47"/>
      <c r="AR132" s="785"/>
      <c r="AS132" s="47"/>
      <c r="AT132" s="1562">
        <f t="shared" si="78"/>
        <v>549732399</v>
      </c>
      <c r="AU132" s="46"/>
      <c r="AV132" s="47"/>
      <c r="AW132" s="47">
        <v>549732399</v>
      </c>
      <c r="AX132" s="47">
        <f t="shared" si="79"/>
        <v>549732399</v>
      </c>
      <c r="AY132" s="785"/>
      <c r="AZ132" s="47"/>
      <c r="BA132" s="785"/>
      <c r="BB132" s="47"/>
      <c r="BC132" s="47">
        <f t="shared" si="80"/>
        <v>549732399</v>
      </c>
      <c r="BD132" s="47"/>
      <c r="BE132" s="40"/>
      <c r="BF132" s="235">
        <v>549732399</v>
      </c>
      <c r="BG132" s="37"/>
      <c r="BH132" s="219">
        <v>412461935</v>
      </c>
      <c r="BI132" s="11"/>
    </row>
    <row r="133" spans="2:61" s="1" customFormat="1">
      <c r="B133" s="30"/>
      <c r="C133" s="13" t="s">
        <v>431</v>
      </c>
      <c r="D133" s="1367">
        <v>0</v>
      </c>
      <c r="E133" s="1367"/>
      <c r="F133" s="1365">
        <f t="shared" si="57"/>
        <v>0</v>
      </c>
      <c r="G133" s="1365">
        <f t="shared" si="56"/>
        <v>0</v>
      </c>
      <c r="H133" s="1367">
        <f t="shared" si="71"/>
        <v>0</v>
      </c>
      <c r="I133" s="1384"/>
      <c r="J133" s="1367"/>
      <c r="K133" s="1384"/>
      <c r="L133" s="1367"/>
      <c r="M133" s="1367">
        <f t="shared" si="72"/>
        <v>0</v>
      </c>
      <c r="N133" s="1967" t="s">
        <v>427</v>
      </c>
      <c r="O133" s="1058"/>
      <c r="P133" s="1485"/>
      <c r="Q133" s="1367"/>
      <c r="R133" s="1485">
        <f t="shared" si="73"/>
        <v>0</v>
      </c>
      <c r="S133" s="1481"/>
      <c r="T133" s="1485"/>
      <c r="U133" s="1481"/>
      <c r="V133" s="1485"/>
      <c r="W133" s="1485">
        <f t="shared" si="74"/>
        <v>0</v>
      </c>
      <c r="X133" s="1187"/>
      <c r="Y133" s="106"/>
      <c r="Z133" s="698">
        <v>0</v>
      </c>
      <c r="AA133" s="698">
        <f t="shared" si="75"/>
        <v>0</v>
      </c>
      <c r="AB133" s="253"/>
      <c r="AC133" s="106"/>
      <c r="AD133" s="253"/>
      <c r="AE133" s="106"/>
      <c r="AF133" s="106">
        <f t="shared" si="76"/>
        <v>0</v>
      </c>
      <c r="AG133" s="106"/>
      <c r="AH133" s="208"/>
      <c r="AI133" s="45">
        <v>512207423</v>
      </c>
      <c r="AJ133" s="47"/>
      <c r="AK133" s="47"/>
      <c r="AL133" s="674"/>
      <c r="AM133" s="47">
        <v>638397634</v>
      </c>
      <c r="AN133" s="47"/>
      <c r="AO133" s="47">
        <f t="shared" si="77"/>
        <v>638397634</v>
      </c>
      <c r="AP133" s="785"/>
      <c r="AQ133" s="47"/>
      <c r="AR133" s="785"/>
      <c r="AS133" s="47"/>
      <c r="AT133" s="53">
        <f t="shared" si="78"/>
        <v>638397634</v>
      </c>
      <c r="AU133" s="46"/>
      <c r="AV133" s="47">
        <v>638397634</v>
      </c>
      <c r="AW133" s="47"/>
      <c r="AX133" s="47">
        <f t="shared" si="79"/>
        <v>638397634</v>
      </c>
      <c r="AY133" s="785"/>
      <c r="AZ133" s="47"/>
      <c r="BA133" s="785"/>
      <c r="BB133" s="47"/>
      <c r="BC133" s="47">
        <f t="shared" si="80"/>
        <v>638397634</v>
      </c>
      <c r="BD133" s="47"/>
      <c r="BE133" s="40"/>
      <c r="BF133" s="235">
        <v>486943207</v>
      </c>
      <c r="BG133" s="37"/>
      <c r="BH133" s="219">
        <v>126190211</v>
      </c>
      <c r="BI133" s="11"/>
    </row>
    <row r="134" spans="2:61" s="1" customFormat="1">
      <c r="B134" s="30" t="s">
        <v>503</v>
      </c>
      <c r="C134" s="13" t="s">
        <v>504</v>
      </c>
      <c r="D134" s="1367">
        <v>0</v>
      </c>
      <c r="E134" s="1367"/>
      <c r="F134" s="1365">
        <f t="shared" si="57"/>
        <v>0</v>
      </c>
      <c r="G134" s="1365">
        <f t="shared" si="56"/>
        <v>0</v>
      </c>
      <c r="H134" s="1367">
        <f t="shared" si="71"/>
        <v>0</v>
      </c>
      <c r="I134" s="1384"/>
      <c r="J134" s="1367"/>
      <c r="K134" s="1384"/>
      <c r="L134" s="1367"/>
      <c r="M134" s="1367">
        <f t="shared" si="72"/>
        <v>0</v>
      </c>
      <c r="N134" s="1967"/>
      <c r="O134" s="1058"/>
      <c r="P134" s="1485"/>
      <c r="Q134" s="1367"/>
      <c r="R134" s="1485">
        <f t="shared" si="73"/>
        <v>0</v>
      </c>
      <c r="S134" s="1481"/>
      <c r="T134" s="1485"/>
      <c r="U134" s="1481"/>
      <c r="V134" s="1485"/>
      <c r="W134" s="1485">
        <f t="shared" si="74"/>
        <v>0</v>
      </c>
      <c r="X134" s="1187"/>
      <c r="Y134" s="106"/>
      <c r="Z134" s="698">
        <v>0</v>
      </c>
      <c r="AA134" s="698">
        <f t="shared" si="75"/>
        <v>0</v>
      </c>
      <c r="AB134" s="253"/>
      <c r="AC134" s="106"/>
      <c r="AD134" s="253"/>
      <c r="AE134" s="106"/>
      <c r="AF134" s="106">
        <f t="shared" si="76"/>
        <v>0</v>
      </c>
      <c r="AG134" s="106"/>
      <c r="AH134" s="208"/>
      <c r="AI134" s="45">
        <v>0</v>
      </c>
      <c r="AJ134" s="47"/>
      <c r="AK134" s="47"/>
      <c r="AL134" s="674"/>
      <c r="AM134" s="47"/>
      <c r="AN134" s="47"/>
      <c r="AO134" s="47">
        <f t="shared" si="77"/>
        <v>0</v>
      </c>
      <c r="AP134" s="785"/>
      <c r="AQ134" s="47"/>
      <c r="AR134" s="785"/>
      <c r="AS134" s="47"/>
      <c r="AT134" s="47">
        <f t="shared" si="78"/>
        <v>0</v>
      </c>
      <c r="AU134" s="46"/>
      <c r="AV134" s="47"/>
      <c r="AW134" s="47"/>
      <c r="AX134" s="47">
        <f t="shared" si="79"/>
        <v>0</v>
      </c>
      <c r="AY134" s="785"/>
      <c r="AZ134" s="47"/>
      <c r="BA134" s="785"/>
      <c r="BB134" s="47"/>
      <c r="BC134" s="47">
        <f t="shared" si="80"/>
        <v>0</v>
      </c>
      <c r="BD134" s="47"/>
      <c r="BE134" s="40"/>
      <c r="BF134" s="235">
        <v>0</v>
      </c>
      <c r="BG134" s="14"/>
      <c r="BH134" s="219">
        <v>0</v>
      </c>
      <c r="BI134" s="25"/>
    </row>
    <row r="135" spans="2:61" s="1" customFormat="1">
      <c r="B135" s="30"/>
      <c r="C135" s="13" t="s">
        <v>193</v>
      </c>
      <c r="D135" s="1367">
        <v>0</v>
      </c>
      <c r="E135" s="1367"/>
      <c r="F135" s="1365">
        <f t="shared" si="57"/>
        <v>0</v>
      </c>
      <c r="G135" s="1365">
        <f t="shared" si="56"/>
        <v>0</v>
      </c>
      <c r="H135" s="1367"/>
      <c r="I135" s="1384"/>
      <c r="J135" s="1367"/>
      <c r="K135" s="1384"/>
      <c r="L135" s="1367"/>
      <c r="M135" s="1367"/>
      <c r="N135" s="1967"/>
      <c r="O135" s="1058"/>
      <c r="P135" s="1485"/>
      <c r="Q135" s="1367"/>
      <c r="R135" s="1485"/>
      <c r="S135" s="1481"/>
      <c r="T135" s="1485"/>
      <c r="U135" s="1481"/>
      <c r="V135" s="1485"/>
      <c r="W135" s="1485"/>
      <c r="X135" s="1187"/>
      <c r="Y135" s="106"/>
      <c r="Z135" s="698">
        <v>0</v>
      </c>
      <c r="AA135" s="698"/>
      <c r="AB135" s="253"/>
      <c r="AC135" s="106"/>
      <c r="AD135" s="253"/>
      <c r="AE135" s="106"/>
      <c r="AF135" s="106"/>
      <c r="AG135" s="106"/>
      <c r="AH135" s="208"/>
      <c r="AI135" s="47"/>
      <c r="AJ135" s="47"/>
      <c r="AK135" s="47"/>
      <c r="AL135" s="674"/>
      <c r="AM135" s="47">
        <v>88924000</v>
      </c>
      <c r="AN135" s="47"/>
      <c r="AO135" s="47">
        <f t="shared" ref="AO135" si="81">ROUND((AM135+AN135),0)</f>
        <v>88924000</v>
      </c>
      <c r="AP135" s="785"/>
      <c r="AQ135" s="47"/>
      <c r="AR135" s="785"/>
      <c r="AS135" s="47"/>
      <c r="AT135" s="1562">
        <f t="shared" ref="AT135" si="82">ROUND((AO135+AQ135-AS135),0)</f>
        <v>88924000</v>
      </c>
      <c r="AU135" s="46"/>
      <c r="AV135" s="47"/>
      <c r="AW135" s="47"/>
      <c r="AX135" s="47"/>
      <c r="AY135" s="785"/>
      <c r="AZ135" s="47"/>
      <c r="BA135" s="785"/>
      <c r="BB135" s="47"/>
      <c r="BC135" s="47"/>
      <c r="BD135" s="47"/>
      <c r="BE135" s="40"/>
      <c r="BF135" s="235"/>
      <c r="BG135" s="14"/>
      <c r="BH135" s="219"/>
      <c r="BI135" s="25"/>
    </row>
    <row r="136" spans="2:61" s="1" customFormat="1">
      <c r="B136" s="2" t="s">
        <v>191</v>
      </c>
      <c r="C136" s="13"/>
      <c r="D136" s="1367"/>
      <c r="E136" s="1367"/>
      <c r="F136" s="1365">
        <f t="shared" si="57"/>
        <v>0</v>
      </c>
      <c r="G136" s="1365">
        <f t="shared" si="56"/>
        <v>0</v>
      </c>
      <c r="H136" s="1367"/>
      <c r="I136" s="1384"/>
      <c r="J136" s="1367"/>
      <c r="K136" s="1384"/>
      <c r="L136" s="1367"/>
      <c r="M136" s="1367"/>
      <c r="N136" s="1967"/>
      <c r="O136" s="1058"/>
      <c r="P136" s="1485"/>
      <c r="Q136" s="1367"/>
      <c r="R136" s="1485"/>
      <c r="S136" s="1481"/>
      <c r="T136" s="1485"/>
      <c r="U136" s="1481"/>
      <c r="V136" s="1485"/>
      <c r="W136" s="1485"/>
      <c r="X136" s="1187"/>
      <c r="Y136" s="106"/>
      <c r="Z136" s="698">
        <v>0</v>
      </c>
      <c r="AA136" s="698"/>
      <c r="AB136" s="253"/>
      <c r="AC136" s="106"/>
      <c r="AD136" s="253"/>
      <c r="AE136" s="106"/>
      <c r="AF136" s="106"/>
      <c r="AG136" s="106"/>
      <c r="AH136" s="208"/>
      <c r="AI136" s="47"/>
      <c r="AJ136" s="47"/>
      <c r="AK136" s="47"/>
      <c r="AL136" s="674"/>
      <c r="AM136" s="47"/>
      <c r="AN136" s="47"/>
      <c r="AO136" s="47"/>
      <c r="AP136" s="785"/>
      <c r="AQ136" s="47"/>
      <c r="AR136" s="785"/>
      <c r="AS136" s="47"/>
      <c r="AT136" s="47"/>
      <c r="AU136" s="46"/>
      <c r="AV136" s="47"/>
      <c r="AW136" s="47"/>
      <c r="AX136" s="47"/>
      <c r="AY136" s="785"/>
      <c r="AZ136" s="47"/>
      <c r="BA136" s="785"/>
      <c r="BB136" s="47"/>
      <c r="BC136" s="47"/>
      <c r="BD136" s="47"/>
      <c r="BE136" s="40"/>
      <c r="BF136" s="235"/>
      <c r="BG136" s="14"/>
      <c r="BH136" s="219"/>
      <c r="BI136" s="25"/>
    </row>
    <row r="137" spans="2:61" s="1" customFormat="1">
      <c r="B137" s="30"/>
      <c r="C137" s="44" t="s">
        <v>505</v>
      </c>
      <c r="D137" s="1374"/>
      <c r="E137" s="1367">
        <v>-74725262</v>
      </c>
      <c r="F137" s="1365">
        <f t="shared" si="57"/>
        <v>-74725262</v>
      </c>
      <c r="G137" s="1365">
        <f t="shared" si="56"/>
        <v>0</v>
      </c>
      <c r="H137" s="1374">
        <f>ROUND((D137+E137),0)</f>
        <v>-74725262</v>
      </c>
      <c r="I137" s="1943"/>
      <c r="J137" s="1374"/>
      <c r="K137" s="1943"/>
      <c r="L137" s="1374"/>
      <c r="M137" s="1373">
        <f>ROUND((H137+J137-L137),0)</f>
        <v>-74725262</v>
      </c>
      <c r="N137" s="2277" t="s">
        <v>427</v>
      </c>
      <c r="O137" s="1058"/>
      <c r="P137" s="1497"/>
      <c r="Q137" s="1374">
        <f>ROUND(-39098295.0381091,0)</f>
        <v>-39098295</v>
      </c>
      <c r="R137" s="1497">
        <f>ROUND((P137+Q137),0)</f>
        <v>-39098295</v>
      </c>
      <c r="S137" s="1487"/>
      <c r="T137" s="1497"/>
      <c r="U137" s="1487"/>
      <c r="V137" s="1497"/>
      <c r="W137" s="1497">
        <f>ROUND((R137+T137-V137),0)</f>
        <v>-39098295</v>
      </c>
      <c r="X137" s="1187"/>
      <c r="Y137" s="236"/>
      <c r="Z137" s="713">
        <v>-39098295</v>
      </c>
      <c r="AA137" s="713">
        <f>ROUND((Y137+Z137),0)</f>
        <v>-39098295</v>
      </c>
      <c r="AB137" s="617"/>
      <c r="AC137" s="236"/>
      <c r="AD137" s="617"/>
      <c r="AE137" s="236"/>
      <c r="AF137" s="236">
        <f>ROUND((AA137+AC137-AE137),0)</f>
        <v>-39098295</v>
      </c>
      <c r="AG137" s="236"/>
      <c r="AH137" s="207"/>
      <c r="AI137" s="9">
        <v>-39098295</v>
      </c>
      <c r="AJ137" s="9"/>
      <c r="AK137" s="9"/>
      <c r="AL137" s="667"/>
      <c r="AM137" s="9"/>
      <c r="AN137" s="9"/>
      <c r="AO137" s="9">
        <f>ROUND((AM137+AN137),0)</f>
        <v>0</v>
      </c>
      <c r="AP137" s="769"/>
      <c r="AQ137" s="9"/>
      <c r="AR137" s="769"/>
      <c r="AS137" s="9"/>
      <c r="AT137" s="136">
        <f>ROUND((AO137+AQ137-AS137),0)</f>
        <v>0</v>
      </c>
      <c r="AU137" s="37"/>
      <c r="AV137" s="9"/>
      <c r="AW137" s="9"/>
      <c r="AX137" s="9">
        <f>ROUND((AV137+AW137),0)</f>
        <v>0</v>
      </c>
      <c r="AY137" s="769"/>
      <c r="AZ137" s="9"/>
      <c r="BA137" s="769"/>
      <c r="BB137" s="9"/>
      <c r="BC137" s="9">
        <f>ROUND((AX137+AZ137-BB137),0)</f>
        <v>0</v>
      </c>
      <c r="BD137" s="14"/>
      <c r="BE137" s="40"/>
      <c r="BF137" s="235"/>
      <c r="BG137" s="14"/>
      <c r="BH137" s="219"/>
      <c r="BI137" s="25"/>
    </row>
    <row r="138" spans="2:61" s="1" customFormat="1">
      <c r="B138" s="27"/>
      <c r="C138" s="19" t="s">
        <v>506</v>
      </c>
      <c r="D138" s="1369">
        <f>SUM(D118:D137)</f>
        <v>86931651671</v>
      </c>
      <c r="E138" s="1369">
        <f>SUM(E118:E137)</f>
        <v>475007137</v>
      </c>
      <c r="F138" s="1365">
        <f t="shared" si="57"/>
        <v>87406658808</v>
      </c>
      <c r="G138" s="1365">
        <f t="shared" si="56"/>
        <v>0</v>
      </c>
      <c r="H138" s="1369">
        <f>SUM(H118:H137)</f>
        <v>87406658808</v>
      </c>
      <c r="I138" s="1944"/>
      <c r="J138" s="1369"/>
      <c r="K138" s="1944"/>
      <c r="L138" s="1369"/>
      <c r="M138" s="1369">
        <f>SUM(M118:M137)</f>
        <v>697232257</v>
      </c>
      <c r="N138" s="226"/>
      <c r="O138" s="1058"/>
      <c r="P138" s="1488">
        <f>SUM(P118:P137)</f>
        <v>94963698422</v>
      </c>
      <c r="Q138" s="1369">
        <f>SUM(Q118:Q137)</f>
        <v>510634104</v>
      </c>
      <c r="R138" s="1488">
        <f>SUM(R118:R137)</f>
        <v>95474332526</v>
      </c>
      <c r="S138" s="1489"/>
      <c r="T138" s="1488"/>
      <c r="U138" s="1489"/>
      <c r="V138" s="1488"/>
      <c r="W138" s="1488">
        <f>SUM(W118:W137)</f>
        <v>510634104</v>
      </c>
      <c r="X138" s="1187"/>
      <c r="Y138" s="428">
        <f>SUM(Y118:Y137)</f>
        <v>101208651861</v>
      </c>
      <c r="Z138" s="707">
        <f>SUM(Z118:Z137)</f>
        <v>510634104</v>
      </c>
      <c r="AA138" s="707">
        <f>SUM(AA118:AA137)</f>
        <v>101719285965</v>
      </c>
      <c r="AB138" s="601"/>
      <c r="AC138" s="223"/>
      <c r="AD138" s="601"/>
      <c r="AE138" s="223"/>
      <c r="AF138" s="428">
        <f>SUM(AF118:AF137)</f>
        <v>510634104</v>
      </c>
      <c r="AG138" s="428"/>
      <c r="AH138" s="228"/>
      <c r="AI138" s="428">
        <f>SUM(AI118:AI137)</f>
        <v>1022841527</v>
      </c>
      <c r="AJ138" s="428"/>
      <c r="AK138" s="428"/>
      <c r="AL138" s="670"/>
      <c r="AM138" s="428">
        <f>SUM(AM118:AM137)</f>
        <v>124139144682</v>
      </c>
      <c r="AN138" s="428">
        <f>SUM(AN118:AN137)</f>
        <v>552307387</v>
      </c>
      <c r="AO138" s="428">
        <f>SUM(AO118:AO137)</f>
        <v>124691452069</v>
      </c>
      <c r="AP138" s="762"/>
      <c r="AQ138" s="428"/>
      <c r="AR138" s="762"/>
      <c r="AS138" s="428"/>
      <c r="AT138" s="428">
        <f>SUM(AT118:AT137)</f>
        <v>1279729021</v>
      </c>
      <c r="AU138" s="29"/>
      <c r="AV138" s="428">
        <f>SUM(AV118:AV137)</f>
        <v>98059588968</v>
      </c>
      <c r="AW138" s="428">
        <f>SUM(AW118:AW137)</f>
        <v>549732399</v>
      </c>
      <c r="AX138" s="428">
        <f>SUM(AX118:AX137)</f>
        <v>98609321367</v>
      </c>
      <c r="AY138" s="762"/>
      <c r="AZ138" s="428"/>
      <c r="BA138" s="762"/>
      <c r="BB138" s="428"/>
      <c r="BC138" s="428">
        <f>SUM(BC118:BC137)</f>
        <v>1388130033</v>
      </c>
      <c r="BD138" s="138"/>
      <c r="BE138" s="28"/>
      <c r="BF138" s="428">
        <f>SUM(BF118:BF137)</f>
        <v>1236675606</v>
      </c>
      <c r="BG138" s="29"/>
      <c r="BH138" s="428">
        <f>SUM(BH118:BH137)</f>
        <v>792344230</v>
      </c>
      <c r="BI138" s="29"/>
    </row>
    <row r="139" spans="2:61" s="1" customFormat="1">
      <c r="B139" s="2" t="s">
        <v>507</v>
      </c>
      <c r="C139" s="2"/>
      <c r="D139" s="217"/>
      <c r="E139" s="217"/>
      <c r="F139" s="1365">
        <f t="shared" si="57"/>
        <v>0</v>
      </c>
      <c r="G139" s="1365">
        <f t="shared" si="56"/>
        <v>0</v>
      </c>
      <c r="H139" s="217"/>
      <c r="I139" s="1384"/>
      <c r="J139" s="217"/>
      <c r="K139" s="1384"/>
      <c r="L139" s="217"/>
      <c r="M139" s="217"/>
      <c r="N139" s="226"/>
      <c r="O139" s="1058"/>
      <c r="P139" s="1480"/>
      <c r="Q139" s="217"/>
      <c r="R139" s="1480"/>
      <c r="S139" s="1481"/>
      <c r="T139" s="1480"/>
      <c r="U139" s="1481"/>
      <c r="V139" s="1480"/>
      <c r="W139" s="1480"/>
      <c r="X139" s="1187"/>
      <c r="Y139" s="118"/>
      <c r="Z139" s="705"/>
      <c r="AA139" s="705"/>
      <c r="AB139" s="253"/>
      <c r="AC139" s="118"/>
      <c r="AD139" s="253"/>
      <c r="AE139" s="118"/>
      <c r="AF139" s="118"/>
      <c r="AG139" s="118"/>
      <c r="AH139" s="209"/>
      <c r="AI139" s="431"/>
      <c r="AJ139" s="431"/>
      <c r="AK139" s="431"/>
      <c r="AL139" s="669"/>
      <c r="AM139" s="431"/>
      <c r="AN139" s="431"/>
      <c r="AO139" s="431"/>
      <c r="AP139" s="765"/>
      <c r="AQ139" s="431"/>
      <c r="AR139" s="765"/>
      <c r="AS139" s="431"/>
      <c r="AT139" s="431"/>
      <c r="AU139" s="132"/>
      <c r="AV139" s="431"/>
      <c r="AW139" s="431"/>
      <c r="AX139" s="431"/>
      <c r="AY139" s="765"/>
      <c r="AZ139" s="431"/>
      <c r="BA139" s="765"/>
      <c r="BB139" s="431"/>
      <c r="BC139" s="431"/>
      <c r="BD139" s="427"/>
      <c r="BE139" s="131"/>
      <c r="BF139" s="217"/>
      <c r="BG139" s="132"/>
      <c r="BH139" s="217"/>
      <c r="BI139" s="3"/>
    </row>
    <row r="140" spans="2:61" s="1" customFormat="1">
      <c r="B140" s="30"/>
      <c r="C140" s="23" t="s">
        <v>508</v>
      </c>
      <c r="D140" s="1368"/>
      <c r="E140" s="1368"/>
      <c r="F140" s="1365">
        <f t="shared" si="57"/>
        <v>0</v>
      </c>
      <c r="G140" s="1365">
        <f t="shared" si="56"/>
        <v>0</v>
      </c>
      <c r="H140" s="1368">
        <f t="shared" ref="H140:H145" si="83">ROUND((D140+E140),0)</f>
        <v>0</v>
      </c>
      <c r="I140" s="1943"/>
      <c r="J140" s="1368"/>
      <c r="K140" s="1943"/>
      <c r="L140" s="1368"/>
      <c r="M140" s="1368">
        <f t="shared" ref="M140:M142" si="84">ROUND((H140+J140-L140),0)</f>
        <v>0</v>
      </c>
      <c r="N140" s="1967"/>
      <c r="O140" s="1058"/>
      <c r="P140" s="1486"/>
      <c r="Q140" s="1368"/>
      <c r="R140" s="1486">
        <f t="shared" ref="R140:R145" si="85">ROUND((P140+Q140),0)</f>
        <v>0</v>
      </c>
      <c r="S140" s="1487"/>
      <c r="T140" s="1486"/>
      <c r="U140" s="1487"/>
      <c r="V140" s="1486"/>
      <c r="W140" s="1486">
        <f t="shared" ref="W140:W145" si="86">ROUND((R140+T140-V140),0)</f>
        <v>0</v>
      </c>
      <c r="X140" s="1187"/>
      <c r="Y140" s="225"/>
      <c r="Z140" s="699"/>
      <c r="AA140" s="699">
        <f t="shared" ref="AA140:AA145" si="87">ROUND((Y140+Z140),0)</f>
        <v>0</v>
      </c>
      <c r="AB140" s="617"/>
      <c r="AC140" s="225"/>
      <c r="AD140" s="617"/>
      <c r="AE140" s="225"/>
      <c r="AF140" s="225">
        <f t="shared" ref="AF140:AF145" si="88">ROUND((AA140+AC140-AE140),0)</f>
        <v>0</v>
      </c>
      <c r="AG140" s="225"/>
      <c r="AH140" s="208"/>
      <c r="AI140" s="9">
        <v>0</v>
      </c>
      <c r="AJ140" s="9"/>
      <c r="AK140" s="9"/>
      <c r="AL140" s="667"/>
      <c r="AM140" s="9"/>
      <c r="AN140" s="9"/>
      <c r="AO140" s="9">
        <f t="shared" ref="AO140:AO145" si="89">ROUND((AM140+AN140),0)</f>
        <v>0</v>
      </c>
      <c r="AP140" s="769"/>
      <c r="AQ140" s="9"/>
      <c r="AR140" s="769"/>
      <c r="AS140" s="9"/>
      <c r="AT140" s="9">
        <f t="shared" ref="AT140:AT145" si="90">ROUND((AO140+AQ140-AS140),0)</f>
        <v>0</v>
      </c>
      <c r="AU140" s="37"/>
      <c r="AV140" s="9"/>
      <c r="AW140" s="9"/>
      <c r="AX140" s="9">
        <f t="shared" ref="AX140:AX145" si="91">ROUND((AV140+AW140),0)</f>
        <v>0</v>
      </c>
      <c r="AY140" s="769"/>
      <c r="AZ140" s="9"/>
      <c r="BA140" s="769"/>
      <c r="BB140" s="9"/>
      <c r="BC140" s="9">
        <f t="shared" ref="BC140:BC145" si="92">ROUND((AX140+AZ140-BB140),0)</f>
        <v>0</v>
      </c>
      <c r="BD140" s="14"/>
      <c r="BE140" s="128"/>
      <c r="BF140" s="219">
        <v>0</v>
      </c>
      <c r="BG140" s="37"/>
      <c r="BH140" s="219">
        <v>0</v>
      </c>
      <c r="BI140" s="11"/>
    </row>
    <row r="141" spans="2:61" s="691" customFormat="1">
      <c r="B141" s="690"/>
      <c r="C141" s="93" t="s">
        <v>509</v>
      </c>
      <c r="D141" s="1375">
        <v>18499017334.48</v>
      </c>
      <c r="E141" s="1367">
        <v>11693749527</v>
      </c>
      <c r="F141" s="1365">
        <f t="shared" si="57"/>
        <v>30192766861.48</v>
      </c>
      <c r="G141" s="1365">
        <f t="shared" si="56"/>
        <v>0.47999954223632813</v>
      </c>
      <c r="H141" s="1375">
        <f t="shared" si="83"/>
        <v>30192766861</v>
      </c>
      <c r="I141" s="1391"/>
      <c r="J141" s="1375"/>
      <c r="K141" s="1391"/>
      <c r="L141" s="1375"/>
      <c r="M141" s="1375">
        <f t="shared" si="84"/>
        <v>30192766861</v>
      </c>
      <c r="N141" s="1967"/>
      <c r="O141" s="1058"/>
      <c r="P141" s="1498">
        <f>ROUND(20674773552.8,0)</f>
        <v>20674773553</v>
      </c>
      <c r="Q141" s="1375">
        <v>16462186989</v>
      </c>
      <c r="R141" s="1498">
        <f t="shared" si="85"/>
        <v>37136960542</v>
      </c>
      <c r="S141" s="1496"/>
      <c r="T141" s="1498"/>
      <c r="U141" s="1496"/>
      <c r="V141" s="1498"/>
      <c r="W141" s="1375">
        <f t="shared" si="86"/>
        <v>37136960542</v>
      </c>
      <c r="X141" s="1187"/>
      <c r="Y141" s="278">
        <v>18114515166</v>
      </c>
      <c r="Z141" s="714">
        <v>11579259858</v>
      </c>
      <c r="AA141" s="714">
        <f t="shared" si="87"/>
        <v>29693775024</v>
      </c>
      <c r="AB141" s="274"/>
      <c r="AC141" s="278"/>
      <c r="AD141" s="274"/>
      <c r="AE141" s="278"/>
      <c r="AF141" s="278">
        <f t="shared" si="88"/>
        <v>29693775024</v>
      </c>
      <c r="AG141" s="278"/>
      <c r="AH141" s="278"/>
      <c r="AI141" s="35">
        <v>27252363563</v>
      </c>
      <c r="AJ141" s="35"/>
      <c r="AK141" s="35"/>
      <c r="AL141" s="35"/>
      <c r="AM141" s="35">
        <v>17383013044</v>
      </c>
      <c r="AN141" s="35">
        <v>11458462034</v>
      </c>
      <c r="AO141" s="35">
        <f t="shared" si="89"/>
        <v>28841475078</v>
      </c>
      <c r="AP141" s="784"/>
      <c r="AQ141" s="35"/>
      <c r="AR141" s="784"/>
      <c r="AS141" s="35"/>
      <c r="AT141" s="35">
        <f t="shared" si="90"/>
        <v>28841475078</v>
      </c>
      <c r="AU141" s="37"/>
      <c r="AV141" s="35">
        <v>15866341315</v>
      </c>
      <c r="AW141" s="35">
        <v>10668850873</v>
      </c>
      <c r="AX141" s="35">
        <f t="shared" si="91"/>
        <v>26535192188</v>
      </c>
      <c r="AY141" s="784"/>
      <c r="AZ141" s="35"/>
      <c r="BA141" s="784"/>
      <c r="BB141" s="35"/>
      <c r="BC141" s="35">
        <f t="shared" si="92"/>
        <v>26535192188</v>
      </c>
      <c r="BD141" s="14"/>
      <c r="BE141" s="35"/>
      <c r="BF141" s="233">
        <v>20527092362</v>
      </c>
      <c r="BG141" s="35"/>
      <c r="BH141" s="233">
        <v>19063486374</v>
      </c>
      <c r="BI141" s="94"/>
    </row>
    <row r="142" spans="2:61" s="1" customFormat="1">
      <c r="B142" s="30"/>
      <c r="C142" s="13" t="s">
        <v>510</v>
      </c>
      <c r="D142" s="1367"/>
      <c r="E142" s="1367"/>
      <c r="F142" s="1365">
        <f t="shared" si="57"/>
        <v>0</v>
      </c>
      <c r="G142" s="1365">
        <f t="shared" si="56"/>
        <v>0</v>
      </c>
      <c r="H142" s="1367">
        <f t="shared" si="83"/>
        <v>0</v>
      </c>
      <c r="I142" s="1384"/>
      <c r="J142" s="1367"/>
      <c r="K142" s="1384"/>
      <c r="L142" s="1367"/>
      <c r="M142" s="1367">
        <f t="shared" si="84"/>
        <v>0</v>
      </c>
      <c r="N142" s="1967"/>
      <c r="O142" s="1058"/>
      <c r="P142" s="1485"/>
      <c r="Q142" s="1367"/>
      <c r="R142" s="1485">
        <f t="shared" si="85"/>
        <v>0</v>
      </c>
      <c r="S142" s="1481"/>
      <c r="T142" s="1485"/>
      <c r="U142" s="1481"/>
      <c r="V142" s="1485"/>
      <c r="W142" s="1367">
        <f t="shared" si="86"/>
        <v>0</v>
      </c>
      <c r="X142" s="1187"/>
      <c r="Y142" s="106">
        <v>0</v>
      </c>
      <c r="Z142" s="698">
        <v>0</v>
      </c>
      <c r="AA142" s="698">
        <f t="shared" si="87"/>
        <v>0</v>
      </c>
      <c r="AB142" s="253"/>
      <c r="AC142" s="106"/>
      <c r="AD142" s="253"/>
      <c r="AE142" s="106"/>
      <c r="AF142" s="106">
        <f t="shared" si="88"/>
        <v>0</v>
      </c>
      <c r="AG142" s="106"/>
      <c r="AH142" s="208"/>
      <c r="AI142" s="9">
        <v>0</v>
      </c>
      <c r="AJ142" s="9"/>
      <c r="AK142" s="9"/>
      <c r="AL142" s="667"/>
      <c r="AM142" s="9"/>
      <c r="AN142" s="9"/>
      <c r="AO142" s="9">
        <f t="shared" si="89"/>
        <v>0</v>
      </c>
      <c r="AP142" s="769"/>
      <c r="AQ142" s="9"/>
      <c r="AR142" s="769"/>
      <c r="AS142" s="9"/>
      <c r="AT142" s="9">
        <f t="shared" si="90"/>
        <v>0</v>
      </c>
      <c r="AU142" s="37"/>
      <c r="AV142" s="9"/>
      <c r="AW142" s="9"/>
      <c r="AX142" s="9">
        <f t="shared" si="91"/>
        <v>0</v>
      </c>
      <c r="AY142" s="769"/>
      <c r="AZ142" s="9"/>
      <c r="BA142" s="769"/>
      <c r="BB142" s="9"/>
      <c r="BC142" s="9">
        <f t="shared" si="92"/>
        <v>0</v>
      </c>
      <c r="BD142" s="14"/>
      <c r="BE142" s="128"/>
      <c r="BF142" s="219">
        <v>0</v>
      </c>
      <c r="BG142" s="37"/>
      <c r="BH142" s="219">
        <v>0</v>
      </c>
      <c r="BI142" s="11"/>
    </row>
    <row r="143" spans="2:61" s="691" customFormat="1">
      <c r="B143" s="690"/>
      <c r="C143" s="93" t="s">
        <v>511</v>
      </c>
      <c r="D143" s="1375">
        <v>28060854.120000001</v>
      </c>
      <c r="E143" s="1367">
        <v>527514066</v>
      </c>
      <c r="F143" s="1365">
        <f t="shared" si="57"/>
        <v>555574920.12</v>
      </c>
      <c r="G143" s="1365">
        <f t="shared" si="56"/>
        <v>0.12000000476837158</v>
      </c>
      <c r="H143" s="1375">
        <f t="shared" si="83"/>
        <v>555574920</v>
      </c>
      <c r="I143" s="1391"/>
      <c r="J143" s="1375"/>
      <c r="K143" s="1391"/>
      <c r="L143" s="1375"/>
      <c r="M143" s="1375">
        <f>ROUND((H143+J143-L143),0)</f>
        <v>555574920</v>
      </c>
      <c r="N143" s="1967"/>
      <c r="O143" s="1058"/>
      <c r="P143" s="1498">
        <f>ROUND(34860372.94,0)</f>
        <v>34860373</v>
      </c>
      <c r="Q143" s="1375">
        <f>ROUND(384980844.22,0)</f>
        <v>384980844</v>
      </c>
      <c r="R143" s="1498">
        <f t="shared" si="85"/>
        <v>419841217</v>
      </c>
      <c r="S143" s="1496"/>
      <c r="T143" s="1498"/>
      <c r="U143" s="1496"/>
      <c r="V143" s="1498"/>
      <c r="W143" s="1375">
        <f>ROUND((R143+T143-V143),0)</f>
        <v>419841217</v>
      </c>
      <c r="X143" s="1187"/>
      <c r="Y143" s="278">
        <v>37188506</v>
      </c>
      <c r="Z143" s="714">
        <v>370551831</v>
      </c>
      <c r="AA143" s="714">
        <f t="shared" si="87"/>
        <v>407740337</v>
      </c>
      <c r="AB143" s="274"/>
      <c r="AC143" s="278"/>
      <c r="AD143" s="274"/>
      <c r="AE143" s="278"/>
      <c r="AF143" s="278">
        <f t="shared" si="88"/>
        <v>407740337</v>
      </c>
      <c r="AG143" s="278"/>
      <c r="AH143" s="278"/>
      <c r="AI143" s="35">
        <v>434192365</v>
      </c>
      <c r="AJ143" s="35"/>
      <c r="AK143" s="35"/>
      <c r="AL143" s="35"/>
      <c r="AM143" s="35">
        <v>84387986</v>
      </c>
      <c r="AN143" s="35">
        <v>407655747</v>
      </c>
      <c r="AO143" s="35">
        <f t="shared" si="89"/>
        <v>492043733</v>
      </c>
      <c r="AP143" s="784"/>
      <c r="AQ143" s="35"/>
      <c r="AR143" s="784"/>
      <c r="AS143" s="35"/>
      <c r="AT143" s="35">
        <f t="shared" si="90"/>
        <v>492043733</v>
      </c>
      <c r="AU143" s="37"/>
      <c r="AV143" s="35">
        <v>85764324</v>
      </c>
      <c r="AW143" s="35">
        <v>449119407</v>
      </c>
      <c r="AX143" s="35">
        <f t="shared" si="91"/>
        <v>534883731</v>
      </c>
      <c r="AY143" s="784"/>
      <c r="AZ143" s="35"/>
      <c r="BA143" s="784"/>
      <c r="BB143" s="35"/>
      <c r="BC143" s="35">
        <f t="shared" si="92"/>
        <v>534883731</v>
      </c>
      <c r="BD143" s="14"/>
      <c r="BE143" s="35"/>
      <c r="BF143" s="233">
        <v>693639232</v>
      </c>
      <c r="BG143" s="39"/>
      <c r="BH143" s="233">
        <v>587707389</v>
      </c>
      <c r="BI143" s="692"/>
    </row>
    <row r="144" spans="2:61" s="691" customFormat="1">
      <c r="B144" s="690"/>
      <c r="C144" s="93" t="s">
        <v>512</v>
      </c>
      <c r="D144" s="1981">
        <v>94113724883.270004</v>
      </c>
      <c r="E144" s="1367">
        <v>88265637010</v>
      </c>
      <c r="F144" s="1365">
        <f t="shared" si="57"/>
        <v>182379361893.27002</v>
      </c>
      <c r="G144" s="1365">
        <f t="shared" si="56"/>
        <v>0.27001953125</v>
      </c>
      <c r="H144" s="1375">
        <f>ROUND((D144+E144),0)</f>
        <v>182379361893</v>
      </c>
      <c r="I144" s="1391"/>
      <c r="J144" s="1375"/>
      <c r="K144" s="1391"/>
      <c r="L144" s="1375"/>
      <c r="M144" s="1375">
        <f t="shared" ref="M144:M145" si="93">ROUND((H144+J144-L144),0)</f>
        <v>182379361893</v>
      </c>
      <c r="N144" s="1967"/>
      <c r="O144" s="1058"/>
      <c r="P144" s="1555">
        <f>ROUND(108490508463.9,0)</f>
        <v>108490508464</v>
      </c>
      <c r="Q144" s="1375">
        <v>109925410997</v>
      </c>
      <c r="R144" s="1498">
        <f t="shared" si="85"/>
        <v>218415919461</v>
      </c>
      <c r="S144" s="1496"/>
      <c r="T144" s="1498"/>
      <c r="U144" s="1496"/>
      <c r="V144" s="1498"/>
      <c r="W144" s="1375">
        <f t="shared" si="86"/>
        <v>218415919461</v>
      </c>
      <c r="X144" s="1187"/>
      <c r="Y144" s="278">
        <v>89449789570</v>
      </c>
      <c r="Z144" s="714">
        <v>99446493906</v>
      </c>
      <c r="AA144" s="714">
        <f t="shared" si="87"/>
        <v>188896283476</v>
      </c>
      <c r="AB144" s="274"/>
      <c r="AC144" s="278"/>
      <c r="AD144" s="274"/>
      <c r="AE144" s="278"/>
      <c r="AF144" s="278">
        <f t="shared" si="88"/>
        <v>188896283476</v>
      </c>
      <c r="AG144" s="278"/>
      <c r="AH144" s="278"/>
      <c r="AI144" s="35">
        <v>186576651865</v>
      </c>
      <c r="AJ144" s="35"/>
      <c r="AK144" s="35"/>
      <c r="AL144" s="35"/>
      <c r="AM144" s="35">
        <v>87174436355</v>
      </c>
      <c r="AN144" s="35">
        <v>93932007715</v>
      </c>
      <c r="AO144" s="35">
        <f t="shared" si="89"/>
        <v>181106444070</v>
      </c>
      <c r="AP144" s="784"/>
      <c r="AQ144" s="35"/>
      <c r="AR144" s="784"/>
      <c r="AS144" s="35"/>
      <c r="AT144" s="35">
        <f t="shared" si="90"/>
        <v>181106444070</v>
      </c>
      <c r="AU144" s="37"/>
      <c r="AV144" s="35">
        <v>89064219308</v>
      </c>
      <c r="AW144" s="35">
        <f>'[191]WBS '!$AF$143</f>
        <v>94699458944</v>
      </c>
      <c r="AX144" s="35">
        <f t="shared" si="91"/>
        <v>183763678252</v>
      </c>
      <c r="AY144" s="784"/>
      <c r="AZ144" s="35"/>
      <c r="BA144" s="784"/>
      <c r="BB144" s="35"/>
      <c r="BC144" s="35">
        <f t="shared" si="92"/>
        <v>183763678252</v>
      </c>
      <c r="BD144" s="14"/>
      <c r="BE144" s="35"/>
      <c r="BF144" s="233">
        <v>111840608096</v>
      </c>
      <c r="BG144" s="39"/>
      <c r="BH144" s="233">
        <v>72395175828</v>
      </c>
      <c r="BI144" s="692"/>
    </row>
    <row r="145" spans="2:61" s="1" customFormat="1">
      <c r="B145" s="30"/>
      <c r="C145" s="13" t="s">
        <v>513</v>
      </c>
      <c r="D145" s="1367">
        <v>4614448027.1300001</v>
      </c>
      <c r="E145" s="1367"/>
      <c r="F145" s="1365">
        <f t="shared" si="57"/>
        <v>4614448027.1300001</v>
      </c>
      <c r="G145" s="1365">
        <f t="shared" ref="G145:G208" si="94">F145-H145</f>
        <v>0.13000011444091797</v>
      </c>
      <c r="H145" s="1367">
        <f t="shared" si="83"/>
        <v>4614448027</v>
      </c>
      <c r="I145" s="1384"/>
      <c r="J145" s="1367"/>
      <c r="K145" s="1384"/>
      <c r="L145" s="1367"/>
      <c r="M145" s="1367">
        <f t="shared" si="93"/>
        <v>4614448027</v>
      </c>
      <c r="N145" s="1967"/>
      <c r="O145" s="1058"/>
      <c r="P145" s="1485">
        <f>ROUND(6129938496.79,0)</f>
        <v>6129938497</v>
      </c>
      <c r="Q145" s="1367"/>
      <c r="R145" s="1485">
        <f t="shared" si="85"/>
        <v>6129938497</v>
      </c>
      <c r="S145" s="1481"/>
      <c r="T145" s="1485"/>
      <c r="U145" s="1481"/>
      <c r="V145" s="1485"/>
      <c r="W145" s="1367">
        <f t="shared" si="86"/>
        <v>6129938497</v>
      </c>
      <c r="X145" s="1187"/>
      <c r="Y145" s="106">
        <v>5993032339</v>
      </c>
      <c r="Z145" s="698"/>
      <c r="AA145" s="698">
        <f t="shared" si="87"/>
        <v>5993032339</v>
      </c>
      <c r="AB145" s="253"/>
      <c r="AC145" s="106"/>
      <c r="AD145" s="253"/>
      <c r="AE145" s="106"/>
      <c r="AF145" s="106">
        <f t="shared" si="88"/>
        <v>5993032339</v>
      </c>
      <c r="AG145" s="106"/>
      <c r="AH145" s="208"/>
      <c r="AI145" s="9">
        <v>3808188569</v>
      </c>
      <c r="AJ145" s="9"/>
      <c r="AK145" s="9"/>
      <c r="AL145" s="667"/>
      <c r="AM145" s="9">
        <v>4720465278</v>
      </c>
      <c r="AN145" s="9"/>
      <c r="AO145" s="9">
        <f t="shared" si="89"/>
        <v>4720465278</v>
      </c>
      <c r="AP145" s="769"/>
      <c r="AQ145" s="9"/>
      <c r="AR145" s="769"/>
      <c r="AS145" s="9"/>
      <c r="AT145" s="9">
        <f t="shared" si="90"/>
        <v>4720465278</v>
      </c>
      <c r="AU145" s="37"/>
      <c r="AV145" s="9">
        <v>4344319666</v>
      </c>
      <c r="AW145" s="9"/>
      <c r="AX145" s="9">
        <f t="shared" si="91"/>
        <v>4344319666</v>
      </c>
      <c r="AY145" s="769"/>
      <c r="AZ145" s="9"/>
      <c r="BA145" s="769"/>
      <c r="BB145" s="9"/>
      <c r="BC145" s="9">
        <f t="shared" si="92"/>
        <v>4344319666</v>
      </c>
      <c r="BD145" s="14"/>
      <c r="BE145" s="128"/>
      <c r="BF145" s="219">
        <v>4118553810</v>
      </c>
      <c r="BG145" s="66"/>
      <c r="BH145" s="219">
        <v>3819276495</v>
      </c>
      <c r="BI145" s="46"/>
    </row>
    <row r="146" spans="2:61" s="1" customFormat="1">
      <c r="B146" s="30"/>
      <c r="C146" s="13"/>
      <c r="D146" s="1367"/>
      <c r="E146" s="1367"/>
      <c r="F146" s="1365">
        <f t="shared" si="57"/>
        <v>0</v>
      </c>
      <c r="G146" s="1365">
        <f t="shared" si="94"/>
        <v>0</v>
      </c>
      <c r="H146" s="1367"/>
      <c r="I146" s="1384"/>
      <c r="J146" s="1367"/>
      <c r="K146" s="1384"/>
      <c r="L146" s="1367"/>
      <c r="M146" s="1367"/>
      <c r="N146" s="1967"/>
      <c r="O146" s="1058"/>
      <c r="P146" s="1485"/>
      <c r="Q146" s="1367"/>
      <c r="R146" s="1485"/>
      <c r="S146" s="1481"/>
      <c r="T146" s="1485"/>
      <c r="U146" s="1481"/>
      <c r="V146" s="1485"/>
      <c r="W146" s="1485"/>
      <c r="X146" s="1187"/>
      <c r="Y146" s="106"/>
      <c r="Z146" s="698"/>
      <c r="AA146" s="698"/>
      <c r="AB146" s="253"/>
      <c r="AC146" s="106"/>
      <c r="AD146" s="253"/>
      <c r="AE146" s="106"/>
      <c r="AF146" s="106"/>
      <c r="AG146" s="106"/>
      <c r="AH146" s="208"/>
      <c r="AI146" s="9"/>
      <c r="AJ146" s="9"/>
      <c r="AK146" s="9"/>
      <c r="AL146" s="667"/>
      <c r="AM146" s="9"/>
      <c r="AN146" s="9"/>
      <c r="AO146" s="9"/>
      <c r="AP146" s="769"/>
      <c r="AQ146" s="9"/>
      <c r="AR146" s="769"/>
      <c r="AS146" s="9"/>
      <c r="AT146" s="9"/>
      <c r="AU146" s="37"/>
      <c r="AV146" s="9"/>
      <c r="AW146" s="9"/>
      <c r="AX146" s="9"/>
      <c r="AY146" s="769"/>
      <c r="AZ146" s="9"/>
      <c r="BA146" s="769"/>
      <c r="BB146" s="9"/>
      <c r="BC146" s="9"/>
      <c r="BD146" s="14"/>
      <c r="BE146" s="128"/>
      <c r="BF146" s="219"/>
      <c r="BG146" s="37"/>
      <c r="BH146" s="219"/>
      <c r="BI146" s="11"/>
    </row>
    <row r="147" spans="2:61" s="1" customFormat="1">
      <c r="B147" s="27"/>
      <c r="C147" s="19" t="s">
        <v>514</v>
      </c>
      <c r="D147" s="1366">
        <f>SUM(D140:D146)</f>
        <v>117255251099</v>
      </c>
      <c r="E147" s="1366">
        <f>SUM(E140:E146)</f>
        <v>100486900603</v>
      </c>
      <c r="F147" s="1365">
        <f t="shared" ref="F147:F210" si="95">D147+E147</f>
        <v>217742151702</v>
      </c>
      <c r="G147" s="1365">
        <f t="shared" si="94"/>
        <v>1</v>
      </c>
      <c r="H147" s="1366">
        <f>SUM(H140:H146)</f>
        <v>217742151701</v>
      </c>
      <c r="I147" s="1942"/>
      <c r="J147" s="1366"/>
      <c r="K147" s="1942"/>
      <c r="L147" s="1366"/>
      <c r="M147" s="1366">
        <f>SUM(M140:M146)</f>
        <v>217742151701</v>
      </c>
      <c r="N147" s="2260" t="s">
        <v>427</v>
      </c>
      <c r="O147" s="1058">
        <f>P147/6</f>
        <v>22555013481.166668</v>
      </c>
      <c r="P147" s="1483">
        <f>SUM(P140:P146)</f>
        <v>135330080887</v>
      </c>
      <c r="Q147" s="1366">
        <f>SUM(Q140:Q146)</f>
        <v>126772578830</v>
      </c>
      <c r="R147" s="1483">
        <f>SUM(R140:R146)</f>
        <v>262102659717</v>
      </c>
      <c r="S147" s="1484"/>
      <c r="T147" s="1483"/>
      <c r="U147" s="1484"/>
      <c r="V147" s="1483"/>
      <c r="W147" s="1483">
        <f>SUM(W140:W146)</f>
        <v>262102659717</v>
      </c>
      <c r="X147" s="1058">
        <f>Y147/6</f>
        <v>18932420930.166668</v>
      </c>
      <c r="Y147" s="426">
        <f>SUM(Y140:Y146)</f>
        <v>113594525581</v>
      </c>
      <c r="Z147" s="706">
        <f>SUM(Z140:Z146)</f>
        <v>111396305595</v>
      </c>
      <c r="AA147" s="706">
        <f>SUM(AA140:AA146)</f>
        <v>224990831176</v>
      </c>
      <c r="AB147" s="601"/>
      <c r="AC147" s="223"/>
      <c r="AD147" s="601"/>
      <c r="AE147" s="223"/>
      <c r="AF147" s="426">
        <f>SUM(AF140:AF146)</f>
        <v>224990831176</v>
      </c>
      <c r="AG147" s="448"/>
      <c r="AH147" s="228"/>
      <c r="AI147" s="426">
        <f>SUM(AI140:AI146)</f>
        <v>218071396362</v>
      </c>
      <c r="AJ147" s="448"/>
      <c r="AK147" s="448"/>
      <c r="AL147" s="668"/>
      <c r="AM147" s="448">
        <f>SUM(AM140:AM146)</f>
        <v>109362302663</v>
      </c>
      <c r="AN147" s="448">
        <f>SUM(AN140:AN146)</f>
        <v>105798125496</v>
      </c>
      <c r="AO147" s="448">
        <f>SUM(AO140:AO146)</f>
        <v>215160428159</v>
      </c>
      <c r="AP147" s="759"/>
      <c r="AQ147" s="448"/>
      <c r="AR147" s="759"/>
      <c r="AS147" s="448"/>
      <c r="AT147" s="448">
        <f>SUM(AT140:AT146)</f>
        <v>215160428159</v>
      </c>
      <c r="AU147" s="20"/>
      <c r="AV147" s="448">
        <f>SUM(AV140:AV146)</f>
        <v>109360644613</v>
      </c>
      <c r="AW147" s="448">
        <f>SUM(AW140:AW146)</f>
        <v>105817429224</v>
      </c>
      <c r="AX147" s="448">
        <f>SUM(AX140:AX146)</f>
        <v>215178073837</v>
      </c>
      <c r="AY147" s="759"/>
      <c r="AZ147" s="448"/>
      <c r="BA147" s="759"/>
      <c r="BB147" s="448"/>
      <c r="BC147" s="448">
        <f>SUM(BC140:BC146)</f>
        <v>215178073837</v>
      </c>
      <c r="BD147" s="53"/>
      <c r="BE147" s="28"/>
      <c r="BF147" s="426">
        <f>SUM(BF140:BF146)</f>
        <v>137179893500</v>
      </c>
      <c r="BG147" s="29"/>
      <c r="BH147" s="426">
        <f>SUM(BH140:BH146)</f>
        <v>95865646086</v>
      </c>
      <c r="BI147" s="20"/>
    </row>
    <row r="148" spans="2:61" s="1" customFormat="1">
      <c r="B148" s="2" t="s">
        <v>196</v>
      </c>
      <c r="C148" s="2"/>
      <c r="D148" s="217"/>
      <c r="E148" s="217"/>
      <c r="F148" s="1365">
        <f t="shared" si="95"/>
        <v>0</v>
      </c>
      <c r="G148" s="1365">
        <f t="shared" si="94"/>
        <v>0</v>
      </c>
      <c r="H148" s="217"/>
      <c r="I148" s="1384"/>
      <c r="J148" s="217"/>
      <c r="K148" s="1384"/>
      <c r="L148" s="217"/>
      <c r="M148" s="217"/>
      <c r="N148" s="226"/>
      <c r="O148" s="1058"/>
      <c r="P148" s="1480"/>
      <c r="Q148" s="217"/>
      <c r="R148" s="1480"/>
      <c r="S148" s="1481"/>
      <c r="T148" s="1480"/>
      <c r="U148" s="1481"/>
      <c r="V148" s="1480"/>
      <c r="W148" s="1480"/>
      <c r="X148" s="1187"/>
      <c r="Y148" s="118"/>
      <c r="Z148" s="705"/>
      <c r="AA148" s="705"/>
      <c r="AB148" s="253"/>
      <c r="AC148" s="118"/>
      <c r="AD148" s="253"/>
      <c r="AE148" s="118"/>
      <c r="AF148" s="118"/>
      <c r="AG148" s="118"/>
      <c r="AH148" s="209"/>
      <c r="AI148" s="431"/>
      <c r="AJ148" s="431"/>
      <c r="AK148" s="431"/>
      <c r="AL148" s="669"/>
      <c r="AM148" s="431"/>
      <c r="AN148" s="431"/>
      <c r="AO148" s="431"/>
      <c r="AP148" s="765"/>
      <c r="AQ148" s="431"/>
      <c r="AR148" s="765"/>
      <c r="AS148" s="431"/>
      <c r="AT148" s="431"/>
      <c r="AU148" s="132"/>
      <c r="AV148" s="431"/>
      <c r="AW148" s="431"/>
      <c r="AX148" s="431"/>
      <c r="AY148" s="765"/>
      <c r="AZ148" s="431"/>
      <c r="BA148" s="765"/>
      <c r="BB148" s="431"/>
      <c r="BC148" s="431"/>
      <c r="BD148" s="427"/>
      <c r="BE148" s="131"/>
      <c r="BF148" s="217"/>
      <c r="BG148" s="132"/>
      <c r="BH148" s="217"/>
      <c r="BI148" s="3"/>
    </row>
    <row r="149" spans="2:61" s="1" customFormat="1">
      <c r="B149" s="30"/>
      <c r="C149" s="23" t="s">
        <v>515</v>
      </c>
      <c r="D149" s="1368">
        <f>ROUND(8286797875.91,0)</f>
        <v>8286797876</v>
      </c>
      <c r="E149" s="1367">
        <f>ROUND(429540002.8,0)</f>
        <v>429540003</v>
      </c>
      <c r="F149" s="1365">
        <f t="shared" si="95"/>
        <v>8716337879</v>
      </c>
      <c r="G149" s="1365">
        <f t="shared" si="94"/>
        <v>0</v>
      </c>
      <c r="H149" s="1368">
        <f t="shared" ref="H149:H156" si="96">ROUND((D149+E149),0)</f>
        <v>8716337879</v>
      </c>
      <c r="I149" s="1943"/>
      <c r="J149" s="1368"/>
      <c r="K149" s="1943"/>
      <c r="L149" s="1368"/>
      <c r="M149" s="2278">
        <f t="shared" ref="M149:M156" si="97">ROUND((H149+J149-L149),0)</f>
        <v>8716337879</v>
      </c>
      <c r="N149" s="1967" t="s">
        <v>427</v>
      </c>
      <c r="O149" s="1058"/>
      <c r="P149" s="1486">
        <f>ROUND(7905640514.88,0)</f>
        <v>7905640515</v>
      </c>
      <c r="Q149" s="1368">
        <f>ROUND(3144737538.63,0)</f>
        <v>3144737539</v>
      </c>
      <c r="R149" s="1486">
        <f t="shared" ref="R149:R156" si="98">ROUND((P149+Q149),0)</f>
        <v>11050378054</v>
      </c>
      <c r="S149" s="1487"/>
      <c r="T149" s="1486"/>
      <c r="U149" s="1487"/>
      <c r="V149" s="1486"/>
      <c r="W149" s="1486">
        <f t="shared" ref="W149:W156" si="99">ROUND((R149+T149-V149),0)</f>
        <v>11050378054</v>
      </c>
      <c r="X149" s="1187"/>
      <c r="Y149" s="225">
        <v>7342364272</v>
      </c>
      <c r="Z149" s="699">
        <v>2788089189</v>
      </c>
      <c r="AA149" s="699">
        <f t="shared" ref="AA149:AA156" si="100">ROUND((Y149+Z149),0)</f>
        <v>10130453461</v>
      </c>
      <c r="AB149" s="617"/>
      <c r="AC149" s="225"/>
      <c r="AD149" s="617"/>
      <c r="AE149" s="225"/>
      <c r="AF149" s="225">
        <f t="shared" ref="AF149:AF156" si="101">ROUND((AA149+AC149-AE149),0)</f>
        <v>10130453461</v>
      </c>
      <c r="AG149" s="225"/>
      <c r="AH149" s="208"/>
      <c r="AI149" s="140">
        <v>9368724599</v>
      </c>
      <c r="AJ149" s="140"/>
      <c r="AK149" s="140"/>
      <c r="AL149" s="673"/>
      <c r="AM149" s="140">
        <v>6411571554</v>
      </c>
      <c r="AN149" s="140">
        <v>2681288525</v>
      </c>
      <c r="AO149" s="140">
        <f t="shared" ref="AO149:AO156" si="102">ROUND((AM149+AN149),0)</f>
        <v>9092860079</v>
      </c>
      <c r="AP149" s="437"/>
      <c r="AQ149" s="140"/>
      <c r="AR149" s="437"/>
      <c r="AS149" s="140"/>
      <c r="AT149" s="138">
        <f t="shared" ref="AT149:AT156" si="103">ROUND((AO149+AQ149-AS149),0)</f>
        <v>9092860079</v>
      </c>
      <c r="AU149" s="66"/>
      <c r="AV149" s="140">
        <v>6092673299</v>
      </c>
      <c r="AW149" s="140">
        <v>2654128734</v>
      </c>
      <c r="AX149" s="140">
        <f t="shared" ref="AX149:AX156" si="104">ROUND((AV149+AW149),0)</f>
        <v>8746802033</v>
      </c>
      <c r="AY149" s="437"/>
      <c r="AZ149" s="140"/>
      <c r="BA149" s="437"/>
      <c r="BB149" s="140"/>
      <c r="BC149" s="140">
        <f t="shared" ref="BC149:BC156" si="105">ROUND((AX149+AZ149-BB149),0)</f>
        <v>8746802033</v>
      </c>
      <c r="BD149" s="140"/>
      <c r="BE149" s="40">
        <f>AI149+AI150</f>
        <v>9663458887</v>
      </c>
      <c r="BF149" s="235">
        <v>7736992638</v>
      </c>
      <c r="BG149" s="134"/>
      <c r="BH149" s="219">
        <v>8635897222</v>
      </c>
      <c r="BI149" s="48"/>
    </row>
    <row r="150" spans="2:61" s="1" customFormat="1">
      <c r="B150" s="30"/>
      <c r="C150" s="13" t="s">
        <v>516</v>
      </c>
      <c r="D150" s="1367">
        <v>98344793</v>
      </c>
      <c r="E150" s="1367">
        <v>196389495</v>
      </c>
      <c r="F150" s="1365">
        <f t="shared" si="95"/>
        <v>294734288</v>
      </c>
      <c r="G150" s="1365">
        <f t="shared" si="94"/>
        <v>0</v>
      </c>
      <c r="H150" s="1367">
        <f t="shared" si="96"/>
        <v>294734288</v>
      </c>
      <c r="I150" s="1384"/>
      <c r="J150" s="1367"/>
      <c r="K150" s="1384"/>
      <c r="L150" s="1367"/>
      <c r="M150" s="2278">
        <f t="shared" si="97"/>
        <v>294734288</v>
      </c>
      <c r="N150" s="1967" t="s">
        <v>427</v>
      </c>
      <c r="O150" s="1058"/>
      <c r="P150" s="1485">
        <v>98344793</v>
      </c>
      <c r="Q150" s="1367">
        <v>196389495</v>
      </c>
      <c r="R150" s="1485">
        <f t="shared" si="98"/>
        <v>294734288</v>
      </c>
      <c r="S150" s="1481"/>
      <c r="T150" s="1485"/>
      <c r="U150" s="1481"/>
      <c r="V150" s="1485"/>
      <c r="W150" s="1485">
        <f t="shared" si="99"/>
        <v>294734288</v>
      </c>
      <c r="X150" s="1187"/>
      <c r="Y150" s="106">
        <v>98344793</v>
      </c>
      <c r="Z150" s="698">
        <v>196389495</v>
      </c>
      <c r="AA150" s="698">
        <f t="shared" si="100"/>
        <v>294734288</v>
      </c>
      <c r="AB150" s="253"/>
      <c r="AC150" s="106"/>
      <c r="AD150" s="253"/>
      <c r="AE150" s="106"/>
      <c r="AF150" s="106">
        <f t="shared" si="101"/>
        <v>294734288</v>
      </c>
      <c r="AG150" s="106"/>
      <c r="AH150" s="208"/>
      <c r="AI150" s="140">
        <v>294734288</v>
      </c>
      <c r="AJ150" s="140"/>
      <c r="AK150" s="140"/>
      <c r="AL150" s="673"/>
      <c r="AM150" s="140">
        <v>98344793</v>
      </c>
      <c r="AN150" s="140">
        <v>196389495</v>
      </c>
      <c r="AO150" s="140">
        <f t="shared" si="102"/>
        <v>294734288</v>
      </c>
      <c r="AP150" s="437"/>
      <c r="AQ150" s="140"/>
      <c r="AR150" s="437"/>
      <c r="AS150" s="140"/>
      <c r="AT150" s="138">
        <f t="shared" si="103"/>
        <v>294734288</v>
      </c>
      <c r="AU150" s="66"/>
      <c r="AV150" s="140">
        <v>98344793</v>
      </c>
      <c r="AW150" s="140">
        <v>196389495</v>
      </c>
      <c r="AX150" s="140">
        <f t="shared" si="104"/>
        <v>294734288</v>
      </c>
      <c r="AY150" s="437"/>
      <c r="AZ150" s="140"/>
      <c r="BA150" s="437"/>
      <c r="BB150" s="140"/>
      <c r="BC150" s="140">
        <f t="shared" si="105"/>
        <v>294734288</v>
      </c>
      <c r="BD150" s="140"/>
      <c r="BE150" s="40"/>
      <c r="BF150" s="235">
        <v>298446132</v>
      </c>
      <c r="BG150" s="134"/>
      <c r="BH150" s="219">
        <v>0</v>
      </c>
      <c r="BI150" s="48"/>
    </row>
    <row r="151" spans="2:61" s="1" customFormat="1">
      <c r="B151" s="30"/>
      <c r="C151" s="4" t="s">
        <v>517</v>
      </c>
      <c r="D151" s="1365">
        <v>0</v>
      </c>
      <c r="E151" s="1365">
        <v>0</v>
      </c>
      <c r="F151" s="1365">
        <f t="shared" si="95"/>
        <v>0</v>
      </c>
      <c r="G151" s="1365">
        <f t="shared" si="94"/>
        <v>0</v>
      </c>
      <c r="H151" s="1365">
        <f t="shared" si="96"/>
        <v>0</v>
      </c>
      <c r="I151" s="1384"/>
      <c r="J151" s="1365"/>
      <c r="K151" s="1384"/>
      <c r="L151" s="1365"/>
      <c r="M151" s="1394">
        <f t="shared" si="97"/>
        <v>0</v>
      </c>
      <c r="N151" s="2259"/>
      <c r="O151" s="1058"/>
      <c r="P151" s="1482"/>
      <c r="Q151" s="1365"/>
      <c r="R151" s="1482">
        <f t="shared" si="98"/>
        <v>0</v>
      </c>
      <c r="S151" s="1481"/>
      <c r="T151" s="1482"/>
      <c r="U151" s="1481"/>
      <c r="V151" s="1482"/>
      <c r="W151" s="1482">
        <f t="shared" si="99"/>
        <v>0</v>
      </c>
      <c r="X151" s="1187"/>
      <c r="Y151" s="90"/>
      <c r="Z151" s="697">
        <v>0</v>
      </c>
      <c r="AA151" s="697">
        <f t="shared" si="100"/>
        <v>0</v>
      </c>
      <c r="AB151" s="253"/>
      <c r="AC151" s="90"/>
      <c r="AD151" s="253"/>
      <c r="AE151" s="90"/>
      <c r="AF151" s="90">
        <f t="shared" si="101"/>
        <v>0</v>
      </c>
      <c r="AG151" s="90"/>
      <c r="AH151" s="207"/>
      <c r="AI151" s="140">
        <v>0</v>
      </c>
      <c r="AJ151" s="140"/>
      <c r="AK151" s="140"/>
      <c r="AL151" s="673"/>
      <c r="AM151" s="140"/>
      <c r="AN151" s="140"/>
      <c r="AO151" s="140">
        <f t="shared" si="102"/>
        <v>0</v>
      </c>
      <c r="AP151" s="437"/>
      <c r="AQ151" s="140"/>
      <c r="AR151" s="437"/>
      <c r="AS151" s="140"/>
      <c r="AT151" s="138">
        <f t="shared" si="103"/>
        <v>0</v>
      </c>
      <c r="AU151" s="66"/>
      <c r="AV151" s="140"/>
      <c r="AW151" s="140"/>
      <c r="AX151" s="140">
        <f t="shared" si="104"/>
        <v>0</v>
      </c>
      <c r="AY151" s="437"/>
      <c r="AZ151" s="140"/>
      <c r="BA151" s="437"/>
      <c r="BB151" s="140"/>
      <c r="BC151" s="140">
        <f t="shared" si="105"/>
        <v>0</v>
      </c>
      <c r="BD151" s="140"/>
      <c r="BE151" s="40"/>
      <c r="BF151" s="235">
        <v>0</v>
      </c>
      <c r="BG151" s="134"/>
      <c r="BH151" s="219">
        <v>0</v>
      </c>
      <c r="BI151" s="48"/>
    </row>
    <row r="152" spans="2:61" s="1" customFormat="1">
      <c r="B152" s="30"/>
      <c r="C152" s="44" t="s">
        <v>518</v>
      </c>
      <c r="D152" s="1374">
        <v>0</v>
      </c>
      <c r="E152" s="1374">
        <v>0</v>
      </c>
      <c r="F152" s="1365">
        <f t="shared" si="95"/>
        <v>0</v>
      </c>
      <c r="G152" s="1365">
        <f t="shared" si="94"/>
        <v>0</v>
      </c>
      <c r="H152" s="1374">
        <f t="shared" si="96"/>
        <v>0</v>
      </c>
      <c r="I152" s="1943"/>
      <c r="J152" s="1374"/>
      <c r="K152" s="1943"/>
      <c r="L152" s="1374"/>
      <c r="M152" s="1394">
        <f t="shared" si="97"/>
        <v>0</v>
      </c>
      <c r="N152" s="2259"/>
      <c r="O152" s="1058"/>
      <c r="P152" s="1497"/>
      <c r="Q152" s="1374"/>
      <c r="R152" s="1497">
        <f t="shared" si="98"/>
        <v>0</v>
      </c>
      <c r="S152" s="1487"/>
      <c r="T152" s="1497"/>
      <c r="U152" s="1487"/>
      <c r="V152" s="1497"/>
      <c r="W152" s="1497">
        <f t="shared" si="99"/>
        <v>0</v>
      </c>
      <c r="X152" s="1187"/>
      <c r="Y152" s="236"/>
      <c r="Z152" s="713">
        <v>0</v>
      </c>
      <c r="AA152" s="713">
        <f t="shared" si="100"/>
        <v>0</v>
      </c>
      <c r="AB152" s="617"/>
      <c r="AC152" s="236"/>
      <c r="AD152" s="617"/>
      <c r="AE152" s="236"/>
      <c r="AF152" s="236">
        <f t="shared" si="101"/>
        <v>0</v>
      </c>
      <c r="AG152" s="236"/>
      <c r="AH152" s="207"/>
      <c r="AI152" s="140">
        <v>0</v>
      </c>
      <c r="AJ152" s="140"/>
      <c r="AK152" s="140"/>
      <c r="AL152" s="673"/>
      <c r="AM152" s="140"/>
      <c r="AN152" s="140"/>
      <c r="AO152" s="140">
        <f t="shared" si="102"/>
        <v>0</v>
      </c>
      <c r="AP152" s="437"/>
      <c r="AQ152" s="140"/>
      <c r="AR152" s="437"/>
      <c r="AS152" s="140"/>
      <c r="AT152" s="138">
        <f t="shared" si="103"/>
        <v>0</v>
      </c>
      <c r="AU152" s="66"/>
      <c r="AV152" s="140"/>
      <c r="AW152" s="140"/>
      <c r="AX152" s="140">
        <f t="shared" si="104"/>
        <v>0</v>
      </c>
      <c r="AY152" s="437"/>
      <c r="AZ152" s="140"/>
      <c r="BA152" s="437"/>
      <c r="BB152" s="140"/>
      <c r="BC152" s="140">
        <f t="shared" si="105"/>
        <v>0</v>
      </c>
      <c r="BD152" s="140"/>
      <c r="BE152" s="40"/>
      <c r="BF152" s="235">
        <v>0</v>
      </c>
      <c r="BG152" s="134"/>
      <c r="BH152" s="219">
        <v>0</v>
      </c>
      <c r="BI152" s="48"/>
    </row>
    <row r="153" spans="2:61" s="1" customFormat="1">
      <c r="B153" s="30" t="s">
        <v>407</v>
      </c>
      <c r="C153" s="4" t="s">
        <v>519</v>
      </c>
      <c r="D153" s="1365"/>
      <c r="E153" s="1365"/>
      <c r="F153" s="1365">
        <f t="shared" si="95"/>
        <v>0</v>
      </c>
      <c r="G153" s="1365">
        <f t="shared" si="94"/>
        <v>0</v>
      </c>
      <c r="H153" s="1365">
        <f t="shared" si="96"/>
        <v>0</v>
      </c>
      <c r="I153" s="1384"/>
      <c r="J153" s="1365"/>
      <c r="K153" s="1384"/>
      <c r="L153" s="1365"/>
      <c r="M153" s="1394">
        <f t="shared" si="97"/>
        <v>0</v>
      </c>
      <c r="N153" s="2259"/>
      <c r="O153" s="1058"/>
      <c r="P153" s="1482"/>
      <c r="Q153" s="1365"/>
      <c r="R153" s="1482">
        <f t="shared" si="98"/>
        <v>0</v>
      </c>
      <c r="S153" s="1481"/>
      <c r="T153" s="1482"/>
      <c r="U153" s="1481"/>
      <c r="V153" s="1482"/>
      <c r="W153" s="1482">
        <f t="shared" si="99"/>
        <v>0</v>
      </c>
      <c r="X153" s="1187"/>
      <c r="Y153" s="90"/>
      <c r="Z153" s="697">
        <v>0</v>
      </c>
      <c r="AA153" s="697">
        <f t="shared" si="100"/>
        <v>0</v>
      </c>
      <c r="AB153" s="253"/>
      <c r="AC153" s="90"/>
      <c r="AD153" s="253"/>
      <c r="AE153" s="90"/>
      <c r="AF153" s="90">
        <f t="shared" si="101"/>
        <v>0</v>
      </c>
      <c r="AG153" s="90"/>
      <c r="AH153" s="207"/>
      <c r="AI153" s="140">
        <v>0</v>
      </c>
      <c r="AJ153" s="140"/>
      <c r="AK153" s="140"/>
      <c r="AL153" s="673"/>
      <c r="AM153" s="140"/>
      <c r="AN153" s="140"/>
      <c r="AO153" s="140">
        <f t="shared" si="102"/>
        <v>0</v>
      </c>
      <c r="AP153" s="437"/>
      <c r="AQ153" s="140"/>
      <c r="AR153" s="437"/>
      <c r="AS153" s="140"/>
      <c r="AT153" s="138">
        <f t="shared" si="103"/>
        <v>0</v>
      </c>
      <c r="AU153" s="66"/>
      <c r="AV153" s="140"/>
      <c r="AW153" s="140"/>
      <c r="AX153" s="140">
        <f t="shared" si="104"/>
        <v>0</v>
      </c>
      <c r="AY153" s="437"/>
      <c r="AZ153" s="140"/>
      <c r="BA153" s="437"/>
      <c r="BB153" s="140"/>
      <c r="BC153" s="140">
        <f t="shared" si="105"/>
        <v>0</v>
      </c>
      <c r="BD153" s="140"/>
      <c r="BE153" s="40"/>
      <c r="BF153" s="235">
        <v>0</v>
      </c>
      <c r="BG153" s="134"/>
      <c r="BH153" s="219">
        <v>0</v>
      </c>
      <c r="BI153" s="48"/>
    </row>
    <row r="154" spans="2:61" s="1" customFormat="1">
      <c r="B154" s="30" t="s">
        <v>407</v>
      </c>
      <c r="C154" s="4" t="s">
        <v>520</v>
      </c>
      <c r="D154" s="1365"/>
      <c r="E154" s="1365"/>
      <c r="F154" s="1365">
        <f t="shared" si="95"/>
        <v>0</v>
      </c>
      <c r="G154" s="1365">
        <f t="shared" si="94"/>
        <v>0</v>
      </c>
      <c r="H154" s="1365">
        <f t="shared" si="96"/>
        <v>0</v>
      </c>
      <c r="I154" s="1384"/>
      <c r="J154" s="1365"/>
      <c r="K154" s="1384"/>
      <c r="L154" s="1365"/>
      <c r="M154" s="1394">
        <f t="shared" si="97"/>
        <v>0</v>
      </c>
      <c r="N154" s="2259"/>
      <c r="O154" s="1058"/>
      <c r="P154" s="1482"/>
      <c r="Q154" s="1365"/>
      <c r="R154" s="1482">
        <f t="shared" si="98"/>
        <v>0</v>
      </c>
      <c r="S154" s="1481"/>
      <c r="T154" s="1482"/>
      <c r="U154" s="1481"/>
      <c r="V154" s="1482"/>
      <c r="W154" s="1482">
        <f t="shared" si="99"/>
        <v>0</v>
      </c>
      <c r="X154" s="1187"/>
      <c r="Y154" s="90"/>
      <c r="Z154" s="697">
        <v>0</v>
      </c>
      <c r="AA154" s="697">
        <f t="shared" si="100"/>
        <v>0</v>
      </c>
      <c r="AB154" s="253"/>
      <c r="AC154" s="90"/>
      <c r="AD154" s="253"/>
      <c r="AE154" s="90"/>
      <c r="AF154" s="90">
        <f t="shared" si="101"/>
        <v>0</v>
      </c>
      <c r="AG154" s="90"/>
      <c r="AH154" s="207"/>
      <c r="AI154" s="140">
        <v>0</v>
      </c>
      <c r="AJ154" s="140"/>
      <c r="AK154" s="140"/>
      <c r="AL154" s="673"/>
      <c r="AM154" s="140"/>
      <c r="AN154" s="140"/>
      <c r="AO154" s="140">
        <f t="shared" si="102"/>
        <v>0</v>
      </c>
      <c r="AP154" s="437"/>
      <c r="AQ154" s="140"/>
      <c r="AR154" s="437"/>
      <c r="AS154" s="140"/>
      <c r="AT154" s="138">
        <f t="shared" si="103"/>
        <v>0</v>
      </c>
      <c r="AU154" s="66"/>
      <c r="AV154" s="140"/>
      <c r="AW154" s="140"/>
      <c r="AX154" s="140">
        <f t="shared" si="104"/>
        <v>0</v>
      </c>
      <c r="AY154" s="437"/>
      <c r="AZ154" s="140"/>
      <c r="BA154" s="437"/>
      <c r="BB154" s="140"/>
      <c r="BC154" s="140">
        <f t="shared" si="105"/>
        <v>0</v>
      </c>
      <c r="BD154" s="140"/>
      <c r="BE154" s="40"/>
      <c r="BF154" s="235">
        <v>0</v>
      </c>
      <c r="BG154" s="134"/>
      <c r="BH154" s="219">
        <v>0</v>
      </c>
      <c r="BI154" s="48"/>
    </row>
    <row r="155" spans="2:61" s="1" customFormat="1">
      <c r="B155" s="30"/>
      <c r="C155" s="4" t="s">
        <v>521</v>
      </c>
      <c r="D155" s="1365">
        <v>0</v>
      </c>
      <c r="E155" s="1365">
        <v>0</v>
      </c>
      <c r="F155" s="1365">
        <f t="shared" si="95"/>
        <v>0</v>
      </c>
      <c r="G155" s="1365">
        <f t="shared" si="94"/>
        <v>0</v>
      </c>
      <c r="H155" s="1365">
        <f t="shared" si="96"/>
        <v>0</v>
      </c>
      <c r="I155" s="1384"/>
      <c r="J155" s="1365"/>
      <c r="K155" s="1384"/>
      <c r="L155" s="1365"/>
      <c r="M155" s="1394">
        <f t="shared" si="97"/>
        <v>0</v>
      </c>
      <c r="N155" s="2259"/>
      <c r="O155" s="1058"/>
      <c r="P155" s="1482"/>
      <c r="Q155" s="1365"/>
      <c r="R155" s="1482">
        <f t="shared" si="98"/>
        <v>0</v>
      </c>
      <c r="S155" s="1481"/>
      <c r="T155" s="1482"/>
      <c r="U155" s="1481"/>
      <c r="V155" s="1482"/>
      <c r="W155" s="1482">
        <f t="shared" si="99"/>
        <v>0</v>
      </c>
      <c r="X155" s="1187"/>
      <c r="Y155" s="90"/>
      <c r="Z155" s="697">
        <v>0</v>
      </c>
      <c r="AA155" s="697">
        <f t="shared" si="100"/>
        <v>0</v>
      </c>
      <c r="AB155" s="253"/>
      <c r="AC155" s="90"/>
      <c r="AD155" s="253"/>
      <c r="AE155" s="90"/>
      <c r="AF155" s="90">
        <f t="shared" si="101"/>
        <v>0</v>
      </c>
      <c r="AG155" s="90"/>
      <c r="AH155" s="207"/>
      <c r="AI155" s="140">
        <v>0</v>
      </c>
      <c r="AJ155" s="140"/>
      <c r="AK155" s="140"/>
      <c r="AL155" s="673"/>
      <c r="AM155" s="140"/>
      <c r="AN155" s="140"/>
      <c r="AO155" s="140">
        <f t="shared" si="102"/>
        <v>0</v>
      </c>
      <c r="AP155" s="437"/>
      <c r="AQ155" s="140"/>
      <c r="AR155" s="437"/>
      <c r="AS155" s="140"/>
      <c r="AT155" s="138">
        <f t="shared" si="103"/>
        <v>0</v>
      </c>
      <c r="AU155" s="66"/>
      <c r="AV155" s="140">
        <v>0</v>
      </c>
      <c r="AW155" s="140"/>
      <c r="AX155" s="140">
        <f t="shared" si="104"/>
        <v>0</v>
      </c>
      <c r="AY155" s="437"/>
      <c r="AZ155" s="140"/>
      <c r="BA155" s="437"/>
      <c r="BB155" s="140"/>
      <c r="BC155" s="140">
        <f t="shared" si="105"/>
        <v>0</v>
      </c>
      <c r="BD155" s="140"/>
      <c r="BE155" s="40"/>
      <c r="BF155" s="235">
        <v>0</v>
      </c>
      <c r="BG155" s="66"/>
      <c r="BH155" s="219">
        <v>0</v>
      </c>
      <c r="BI155" s="46"/>
    </row>
    <row r="156" spans="2:61" s="1" customFormat="1">
      <c r="B156" s="30"/>
      <c r="C156" s="135" t="s">
        <v>522</v>
      </c>
      <c r="D156" s="1376"/>
      <c r="E156" s="1376"/>
      <c r="F156" s="1365">
        <f t="shared" si="95"/>
        <v>0</v>
      </c>
      <c r="G156" s="1365">
        <f t="shared" si="94"/>
        <v>0</v>
      </c>
      <c r="H156" s="1376">
        <f t="shared" si="96"/>
        <v>0</v>
      </c>
      <c r="I156" s="1990"/>
      <c r="J156" s="1376"/>
      <c r="K156" s="1990"/>
      <c r="L156" s="1376"/>
      <c r="M156" s="2279">
        <f t="shared" si="97"/>
        <v>0</v>
      </c>
      <c r="N156" s="1975"/>
      <c r="O156" s="1058"/>
      <c r="P156" s="1499"/>
      <c r="Q156" s="1376"/>
      <c r="R156" s="1499">
        <f t="shared" si="98"/>
        <v>0</v>
      </c>
      <c r="S156" s="1500"/>
      <c r="T156" s="1499"/>
      <c r="U156" s="1500"/>
      <c r="V156" s="1499"/>
      <c r="W156" s="1499">
        <f t="shared" si="99"/>
        <v>0</v>
      </c>
      <c r="X156" s="1187"/>
      <c r="Y156" s="237"/>
      <c r="Z156" s="715">
        <v>0</v>
      </c>
      <c r="AA156" s="715">
        <f t="shared" si="100"/>
        <v>0</v>
      </c>
      <c r="AB156" s="618"/>
      <c r="AC156" s="237"/>
      <c r="AD156" s="618"/>
      <c r="AE156" s="237"/>
      <c r="AF156" s="237">
        <f t="shared" si="101"/>
        <v>0</v>
      </c>
      <c r="AG156" s="237"/>
      <c r="AH156" s="238"/>
      <c r="AI156" s="140">
        <v>0</v>
      </c>
      <c r="AJ156" s="140"/>
      <c r="AK156" s="140"/>
      <c r="AL156" s="673"/>
      <c r="AM156" s="140"/>
      <c r="AN156" s="140"/>
      <c r="AO156" s="140">
        <f t="shared" si="102"/>
        <v>0</v>
      </c>
      <c r="AP156" s="437"/>
      <c r="AQ156" s="140"/>
      <c r="AR156" s="437"/>
      <c r="AS156" s="140"/>
      <c r="AT156" s="138">
        <f t="shared" si="103"/>
        <v>0</v>
      </c>
      <c r="AU156" s="66"/>
      <c r="AV156" s="140"/>
      <c r="AW156" s="140"/>
      <c r="AX156" s="140">
        <f t="shared" si="104"/>
        <v>0</v>
      </c>
      <c r="AY156" s="437"/>
      <c r="AZ156" s="140"/>
      <c r="BA156" s="437"/>
      <c r="BB156" s="140"/>
      <c r="BC156" s="140">
        <f t="shared" si="105"/>
        <v>0</v>
      </c>
      <c r="BD156" s="140"/>
      <c r="BE156" s="40"/>
      <c r="BF156" s="235">
        <v>0</v>
      </c>
      <c r="BG156" s="66"/>
      <c r="BH156" s="219">
        <v>0</v>
      </c>
      <c r="BI156" s="46"/>
    </row>
    <row r="157" spans="2:61" s="1" customFormat="1">
      <c r="B157" s="30"/>
      <c r="C157" s="135" t="s">
        <v>523</v>
      </c>
      <c r="D157" s="1376">
        <v>3806151</v>
      </c>
      <c r="E157" s="1376">
        <v>20723387</v>
      </c>
      <c r="F157" s="1365">
        <f t="shared" si="95"/>
        <v>24529538</v>
      </c>
      <c r="G157" s="1365">
        <f t="shared" si="94"/>
        <v>0</v>
      </c>
      <c r="H157" s="1376">
        <f t="shared" ref="H157" si="106">ROUND((D157+E157),0)</f>
        <v>24529538</v>
      </c>
      <c r="I157" s="1990"/>
      <c r="J157" s="1376"/>
      <c r="K157" s="1990"/>
      <c r="L157" s="1376"/>
      <c r="M157" s="2279">
        <f t="shared" ref="M157" si="107">ROUND((H157+J157-L157),0)</f>
        <v>24529538</v>
      </c>
      <c r="N157" s="1975" t="s">
        <v>427</v>
      </c>
      <c r="O157" s="1058"/>
      <c r="P157" s="1499"/>
      <c r="Q157" s="1376"/>
      <c r="R157" s="1499"/>
      <c r="S157" s="1500"/>
      <c r="T157" s="1499"/>
      <c r="U157" s="1500"/>
      <c r="V157" s="1499"/>
      <c r="W157" s="1499"/>
      <c r="X157" s="1187"/>
      <c r="Y157" s="237"/>
      <c r="Z157" s="715"/>
      <c r="AA157" s="715"/>
      <c r="AB157" s="618"/>
      <c r="AC157" s="237"/>
      <c r="AD157" s="618"/>
      <c r="AE157" s="237"/>
      <c r="AF157" s="237"/>
      <c r="AG157" s="237"/>
      <c r="AH157" s="238"/>
      <c r="AI157" s="140"/>
      <c r="AJ157" s="140"/>
      <c r="AK157" s="140"/>
      <c r="AL157" s="673"/>
      <c r="AM157" s="140"/>
      <c r="AN157" s="140"/>
      <c r="AO157" s="140"/>
      <c r="AP157" s="437"/>
      <c r="AQ157" s="140"/>
      <c r="AR157" s="437"/>
      <c r="AS157" s="140"/>
      <c r="AT157" s="138"/>
      <c r="AU157" s="66"/>
      <c r="AV157" s="140"/>
      <c r="AW157" s="140"/>
      <c r="AX157" s="140"/>
      <c r="AY157" s="437"/>
      <c r="AZ157" s="140"/>
      <c r="BA157" s="437"/>
      <c r="BB157" s="140"/>
      <c r="BC157" s="140"/>
      <c r="BD157" s="140"/>
      <c r="BE157" s="40"/>
      <c r="BF157" s="235"/>
      <c r="BG157" s="66"/>
      <c r="BH157" s="219"/>
      <c r="BI157" s="46"/>
    </row>
    <row r="158" spans="2:61" s="41" customFormat="1">
      <c r="B158" s="2" t="s">
        <v>524</v>
      </c>
      <c r="C158" s="2"/>
      <c r="D158" s="217"/>
      <c r="E158" s="217"/>
      <c r="F158" s="1365">
        <f t="shared" si="95"/>
        <v>0</v>
      </c>
      <c r="G158" s="1365">
        <f t="shared" si="94"/>
        <v>0</v>
      </c>
      <c r="H158" s="217"/>
      <c r="I158" s="1384"/>
      <c r="J158" s="217"/>
      <c r="K158" s="1384"/>
      <c r="L158" s="217"/>
      <c r="M158" s="217"/>
      <c r="N158" s="226"/>
      <c r="O158" s="1058"/>
      <c r="P158" s="1480"/>
      <c r="Q158" s="217"/>
      <c r="R158" s="1480"/>
      <c r="S158" s="1481"/>
      <c r="T158" s="1480"/>
      <c r="U158" s="1481"/>
      <c r="V158" s="1480"/>
      <c r="W158" s="1480"/>
      <c r="X158" s="1187"/>
      <c r="Y158" s="118"/>
      <c r="Z158" s="705">
        <v>0</v>
      </c>
      <c r="AA158" s="705"/>
      <c r="AB158" s="253"/>
      <c r="AC158" s="118"/>
      <c r="AD158" s="253"/>
      <c r="AE158" s="118"/>
      <c r="AF158" s="118"/>
      <c r="AG158" s="118"/>
      <c r="AH158" s="209"/>
      <c r="AI158" s="432"/>
      <c r="AJ158" s="432"/>
      <c r="AK158" s="432"/>
      <c r="AL158" s="675"/>
      <c r="AM158" s="432"/>
      <c r="AN158" s="432"/>
      <c r="AO158" s="432"/>
      <c r="AP158" s="437"/>
      <c r="AQ158" s="432"/>
      <c r="AR158" s="437"/>
      <c r="AS158" s="432"/>
      <c r="AT158" s="432"/>
      <c r="AU158" s="139"/>
      <c r="AV158" s="432"/>
      <c r="AW158" s="432"/>
      <c r="AX158" s="432"/>
      <c r="AY158" s="437"/>
      <c r="AZ158" s="432"/>
      <c r="BA158" s="437"/>
      <c r="BB158" s="432"/>
      <c r="BC158" s="432"/>
      <c r="BD158" s="432"/>
      <c r="BE158" s="136"/>
      <c r="BF158" s="239"/>
      <c r="BG158" s="66"/>
      <c r="BH158" s="239"/>
      <c r="BI158" s="46"/>
    </row>
    <row r="159" spans="2:61" s="1" customFormat="1">
      <c r="B159" s="30"/>
      <c r="C159" s="4" t="s">
        <v>525</v>
      </c>
      <c r="D159" s="1365">
        <v>10093167</v>
      </c>
      <c r="E159" s="1365">
        <f>ROUND(177832552.75,0)</f>
        <v>177832553</v>
      </c>
      <c r="F159" s="1365">
        <f t="shared" si="95"/>
        <v>187925720</v>
      </c>
      <c r="G159" s="1365">
        <f t="shared" si="94"/>
        <v>0</v>
      </c>
      <c r="H159" s="1365">
        <f>ROUND((D159+E159),0)</f>
        <v>187925720</v>
      </c>
      <c r="I159" s="1384"/>
      <c r="J159" s="1365"/>
      <c r="K159" s="1384"/>
      <c r="L159" s="1365"/>
      <c r="M159" s="1992">
        <f t="shared" ref="M159:M160" si="108">ROUND((H159+J159-L159),0)</f>
        <v>187925720</v>
      </c>
      <c r="N159" s="2277" t="s">
        <v>427</v>
      </c>
      <c r="O159" s="1058"/>
      <c r="P159" s="1482">
        <v>40372668</v>
      </c>
      <c r="Q159" s="1365">
        <f>ROUND(280247926.91,0)</f>
        <v>280247927</v>
      </c>
      <c r="R159" s="1482">
        <f>ROUND((P159+Q159),0)</f>
        <v>320620595</v>
      </c>
      <c r="S159" s="1481"/>
      <c r="T159" s="1482"/>
      <c r="U159" s="1481"/>
      <c r="V159" s="1482"/>
      <c r="W159" s="1482">
        <f t="shared" ref="W159:W160" si="109">ROUND((R159+T159-V159),0)</f>
        <v>320620595</v>
      </c>
      <c r="X159" s="1187"/>
      <c r="Y159" s="90">
        <v>70652169</v>
      </c>
      <c r="Z159" s="697">
        <v>103487013</v>
      </c>
      <c r="AA159" s="697">
        <f>ROUND((Y159+Z159),0)</f>
        <v>174139182</v>
      </c>
      <c r="AB159" s="253"/>
      <c r="AC159" s="90"/>
      <c r="AD159" s="253"/>
      <c r="AE159" s="90"/>
      <c r="AF159" s="90">
        <f t="shared" ref="AF159:AF160" si="110">ROUND((AA159+AC159-AE159),0)</f>
        <v>174139182</v>
      </c>
      <c r="AG159" s="90"/>
      <c r="AH159" s="207"/>
      <c r="AI159" s="140">
        <v>206973825</v>
      </c>
      <c r="AJ159" s="140"/>
      <c r="AK159" s="140"/>
      <c r="AL159" s="673"/>
      <c r="AM159" s="140">
        <v>27000417</v>
      </c>
      <c r="AN159" s="140"/>
      <c r="AO159" s="140">
        <f t="shared" ref="AO159:AO160" si="111">ROUND((AM159+AN159),0)</f>
        <v>27000417</v>
      </c>
      <c r="AP159" s="437"/>
      <c r="AQ159" s="140"/>
      <c r="AR159" s="437"/>
      <c r="AS159" s="140"/>
      <c r="AT159" s="138">
        <f t="shared" ref="AT159:AT160" si="112">ROUND((AO159+AQ159-AS159),0)</f>
        <v>27000417</v>
      </c>
      <c r="AU159" s="43"/>
      <c r="AV159" s="140">
        <v>63745902</v>
      </c>
      <c r="AW159" s="140">
        <v>62357839</v>
      </c>
      <c r="AX159" s="140">
        <f t="shared" ref="AX159:AX160" si="113">ROUND((AV159+AW159),0)</f>
        <v>126103741</v>
      </c>
      <c r="AY159" s="437"/>
      <c r="AZ159" s="140"/>
      <c r="BA159" s="437"/>
      <c r="BB159" s="140"/>
      <c r="BC159" s="138">
        <f t="shared" ref="BC159:BC160" si="114">ROUND((AX159+AZ159-BB159),0)</f>
        <v>126103741</v>
      </c>
      <c r="BD159" s="138"/>
      <c r="BE159" s="40"/>
      <c r="BF159" s="235">
        <v>324309986</v>
      </c>
      <c r="BG159" s="37"/>
      <c r="BH159" s="219">
        <v>175597483</v>
      </c>
      <c r="BI159" s="11"/>
    </row>
    <row r="160" spans="2:61" s="1" customFormat="1">
      <c r="B160" s="30"/>
      <c r="C160" s="4" t="s">
        <v>526</v>
      </c>
      <c r="D160" s="1365"/>
      <c r="E160" s="1365"/>
      <c r="F160" s="1365">
        <f t="shared" si="95"/>
        <v>0</v>
      </c>
      <c r="G160" s="1365">
        <f t="shared" si="94"/>
        <v>0</v>
      </c>
      <c r="H160" s="1365">
        <f>ROUND((D160+E160),0)</f>
        <v>0</v>
      </c>
      <c r="I160" s="1384"/>
      <c r="J160" s="1365"/>
      <c r="K160" s="1384"/>
      <c r="L160" s="1365"/>
      <c r="M160" s="1365">
        <f t="shared" si="108"/>
        <v>0</v>
      </c>
      <c r="N160" s="2259"/>
      <c r="O160" s="1058"/>
      <c r="P160" s="1482"/>
      <c r="Q160" s="1365"/>
      <c r="R160" s="1482">
        <f>ROUND((P160+Q160),0)</f>
        <v>0</v>
      </c>
      <c r="S160" s="1481"/>
      <c r="T160" s="1482"/>
      <c r="U160" s="1481"/>
      <c r="V160" s="1482"/>
      <c r="W160" s="1482">
        <f t="shared" si="109"/>
        <v>0</v>
      </c>
      <c r="X160" s="1187"/>
      <c r="Y160" s="90"/>
      <c r="Z160" s="697">
        <v>0</v>
      </c>
      <c r="AA160" s="697">
        <f>ROUND((Y160+Z160),0)</f>
        <v>0</v>
      </c>
      <c r="AB160" s="253"/>
      <c r="AC160" s="90"/>
      <c r="AD160" s="253"/>
      <c r="AE160" s="90"/>
      <c r="AF160" s="90">
        <f t="shared" si="110"/>
        <v>0</v>
      </c>
      <c r="AG160" s="90"/>
      <c r="AH160" s="207"/>
      <c r="AI160" s="140">
        <v>0</v>
      </c>
      <c r="AJ160" s="140"/>
      <c r="AK160" s="140"/>
      <c r="AL160" s="673"/>
      <c r="AM160" s="140"/>
      <c r="AN160" s="140"/>
      <c r="AO160" s="140">
        <f t="shared" si="111"/>
        <v>0</v>
      </c>
      <c r="AP160" s="437"/>
      <c r="AQ160" s="140"/>
      <c r="AR160" s="437"/>
      <c r="AS160" s="140"/>
      <c r="AT160" s="140">
        <f t="shared" si="112"/>
        <v>0</v>
      </c>
      <c r="AU160" s="66"/>
      <c r="AV160" s="140"/>
      <c r="AW160" s="140"/>
      <c r="AX160" s="140">
        <f t="shared" si="113"/>
        <v>0</v>
      </c>
      <c r="AY160" s="437"/>
      <c r="AZ160" s="140"/>
      <c r="BA160" s="437"/>
      <c r="BB160" s="140"/>
      <c r="BC160" s="140">
        <f t="shared" si="114"/>
        <v>0</v>
      </c>
      <c r="BD160" s="140"/>
      <c r="BE160" s="40"/>
      <c r="BF160" s="235">
        <v>0</v>
      </c>
      <c r="BG160" s="37"/>
      <c r="BH160" s="219">
        <v>0</v>
      </c>
      <c r="BI160" s="11"/>
    </row>
    <row r="161" spans="2:61" s="1" customFormat="1">
      <c r="B161" s="30"/>
      <c r="C161" s="1940" t="s">
        <v>527</v>
      </c>
      <c r="D161" s="1376">
        <v>0</v>
      </c>
      <c r="E161" s="1376">
        <v>0</v>
      </c>
      <c r="F161" s="1365">
        <f t="shared" si="95"/>
        <v>0</v>
      </c>
      <c r="G161" s="1365">
        <f t="shared" si="94"/>
        <v>0</v>
      </c>
      <c r="H161" s="1365">
        <f>ROUND((D161+E161),0)</f>
        <v>0</v>
      </c>
      <c r="I161" s="1384"/>
      <c r="J161" s="1365"/>
      <c r="K161" s="1384"/>
      <c r="L161" s="1365"/>
      <c r="M161" s="1992">
        <f t="shared" ref="M161" si="115">ROUND((H161+J161-L161),0)</f>
        <v>0</v>
      </c>
      <c r="N161" s="2277" t="s">
        <v>427</v>
      </c>
      <c r="O161" s="1058"/>
      <c r="P161" s="1482"/>
      <c r="Q161" s="1365"/>
      <c r="R161" s="1482"/>
      <c r="S161" s="1481"/>
      <c r="T161" s="1482"/>
      <c r="U161" s="1481"/>
      <c r="V161" s="1482"/>
      <c r="W161" s="1482"/>
      <c r="X161" s="1187"/>
      <c r="Y161" s="90"/>
      <c r="Z161" s="697"/>
      <c r="AA161" s="697"/>
      <c r="AB161" s="253"/>
      <c r="AC161" s="90"/>
      <c r="AD161" s="253"/>
      <c r="AE161" s="90"/>
      <c r="AF161" s="90"/>
      <c r="AG161" s="90"/>
      <c r="AH161" s="207"/>
      <c r="AI161" s="140"/>
      <c r="AJ161" s="140"/>
      <c r="AK161" s="140"/>
      <c r="AL161" s="673"/>
      <c r="AM161" s="140"/>
      <c r="AN161" s="140"/>
      <c r="AO161" s="140"/>
      <c r="AP161" s="437"/>
      <c r="AQ161" s="140"/>
      <c r="AR161" s="437"/>
      <c r="AS161" s="140"/>
      <c r="AT161" s="140"/>
      <c r="AU161" s="66"/>
      <c r="AV161" s="140"/>
      <c r="AW161" s="140"/>
      <c r="AX161" s="140"/>
      <c r="AY161" s="437"/>
      <c r="AZ161" s="140"/>
      <c r="BA161" s="437"/>
      <c r="BB161" s="140"/>
      <c r="BC161" s="140"/>
      <c r="BD161" s="140"/>
      <c r="BE161" s="40"/>
      <c r="BF161" s="235"/>
      <c r="BG161" s="37"/>
      <c r="BH161" s="219"/>
      <c r="BI161" s="11"/>
    </row>
    <row r="162" spans="2:61" s="1" customFormat="1">
      <c r="B162" s="30"/>
      <c r="C162" s="4"/>
      <c r="D162" s="1365"/>
      <c r="E162" s="1365"/>
      <c r="F162" s="1365">
        <f t="shared" si="95"/>
        <v>0</v>
      </c>
      <c r="G162" s="1365">
        <f t="shared" si="94"/>
        <v>0</v>
      </c>
      <c r="H162" s="1365"/>
      <c r="I162" s="1384"/>
      <c r="J162" s="1365"/>
      <c r="K162" s="1384"/>
      <c r="L162" s="1365"/>
      <c r="M162" s="1365"/>
      <c r="N162" s="2259"/>
      <c r="O162" s="1058"/>
      <c r="P162" s="1482"/>
      <c r="Q162" s="1365"/>
      <c r="R162" s="1482"/>
      <c r="S162" s="1481"/>
      <c r="T162" s="1482"/>
      <c r="U162" s="1481"/>
      <c r="V162" s="1482"/>
      <c r="W162" s="1482"/>
      <c r="X162" s="1187"/>
      <c r="Y162" s="90"/>
      <c r="Z162" s="697">
        <v>0</v>
      </c>
      <c r="AA162" s="697"/>
      <c r="AB162" s="253"/>
      <c r="AC162" s="90"/>
      <c r="AD162" s="253"/>
      <c r="AE162" s="90"/>
      <c r="AF162" s="90"/>
      <c r="AG162" s="90"/>
      <c r="AH162" s="207"/>
      <c r="AI162" s="140"/>
      <c r="AJ162" s="140"/>
      <c r="AK162" s="140"/>
      <c r="AL162" s="673"/>
      <c r="AM162" s="140"/>
      <c r="AN162" s="140"/>
      <c r="AO162" s="140"/>
      <c r="AP162" s="437"/>
      <c r="AQ162" s="140"/>
      <c r="AR162" s="437"/>
      <c r="AS162" s="140"/>
      <c r="AT162" s="140"/>
      <c r="AU162" s="66"/>
      <c r="AV162" s="140"/>
      <c r="AW162" s="140"/>
      <c r="AX162" s="140"/>
      <c r="AY162" s="437"/>
      <c r="AZ162" s="140"/>
      <c r="BA162" s="437"/>
      <c r="BB162" s="140"/>
      <c r="BC162" s="140"/>
      <c r="BD162" s="140"/>
      <c r="BE162" s="40"/>
      <c r="BF162" s="235"/>
      <c r="BG162" s="37"/>
      <c r="BH162" s="235"/>
      <c r="BI162" s="11"/>
    </row>
    <row r="163" spans="2:61" s="41" customFormat="1">
      <c r="B163" s="2" t="s">
        <v>199</v>
      </c>
      <c r="C163" s="2"/>
      <c r="D163" s="217"/>
      <c r="E163" s="217"/>
      <c r="F163" s="1365">
        <f t="shared" si="95"/>
        <v>0</v>
      </c>
      <c r="G163" s="1365">
        <f t="shared" si="94"/>
        <v>0</v>
      </c>
      <c r="H163" s="217"/>
      <c r="I163" s="1384"/>
      <c r="J163" s="217"/>
      <c r="K163" s="1384"/>
      <c r="L163" s="217"/>
      <c r="M163" s="217"/>
      <c r="N163" s="226"/>
      <c r="O163" s="1058"/>
      <c r="P163" s="1480"/>
      <c r="Q163" s="217"/>
      <c r="R163" s="1480"/>
      <c r="S163" s="1481"/>
      <c r="T163" s="1480"/>
      <c r="U163" s="1481"/>
      <c r="V163" s="1480"/>
      <c r="W163" s="1480"/>
      <c r="X163" s="1187"/>
      <c r="Y163" s="118"/>
      <c r="Z163" s="705">
        <v>0</v>
      </c>
      <c r="AA163" s="705"/>
      <c r="AB163" s="253"/>
      <c r="AC163" s="118"/>
      <c r="AD163" s="253"/>
      <c r="AE163" s="118"/>
      <c r="AF163" s="118"/>
      <c r="AG163" s="118"/>
      <c r="AH163" s="209"/>
      <c r="AI163" s="432"/>
      <c r="AJ163" s="432"/>
      <c r="AK163" s="432"/>
      <c r="AL163" s="675"/>
      <c r="AM163" s="432"/>
      <c r="AN163" s="432"/>
      <c r="AO163" s="432"/>
      <c r="AP163" s="437"/>
      <c r="AQ163" s="432"/>
      <c r="AR163" s="437"/>
      <c r="AS163" s="432"/>
      <c r="AT163" s="432"/>
      <c r="AU163" s="139"/>
      <c r="AV163" s="432"/>
      <c r="AW163" s="432"/>
      <c r="AX163" s="432"/>
      <c r="AY163" s="437"/>
      <c r="AZ163" s="432"/>
      <c r="BA163" s="437"/>
      <c r="BB163" s="432"/>
      <c r="BC163" s="432"/>
      <c r="BD163" s="432"/>
      <c r="BE163" s="136"/>
      <c r="BF163" s="239"/>
      <c r="BG163" s="66"/>
      <c r="BH163" s="239"/>
      <c r="BI163" s="46"/>
    </row>
    <row r="164" spans="2:61" s="1" customFormat="1">
      <c r="B164" s="30"/>
      <c r="C164" s="4" t="s">
        <v>528</v>
      </c>
      <c r="D164" s="1365"/>
      <c r="E164" s="1365"/>
      <c r="F164" s="1365">
        <f t="shared" si="95"/>
        <v>0</v>
      </c>
      <c r="G164" s="1365">
        <f t="shared" si="94"/>
        <v>0</v>
      </c>
      <c r="H164" s="1365">
        <f t="shared" ref="H164:H175" si="116">ROUND((D164+E164),0)</f>
        <v>0</v>
      </c>
      <c r="I164" s="1384"/>
      <c r="J164" s="1365"/>
      <c r="K164" s="1384"/>
      <c r="L164" s="1365"/>
      <c r="M164" s="1992">
        <f t="shared" ref="M164:M175" si="117">ROUND((H164+J164-L164),0)</f>
        <v>0</v>
      </c>
      <c r="N164" s="2277" t="s">
        <v>427</v>
      </c>
      <c r="O164" s="1058"/>
      <c r="P164" s="1482"/>
      <c r="Q164" s="1365"/>
      <c r="R164" s="1482">
        <f t="shared" ref="R164:R174" si="118">ROUND((P164+Q164),0)</f>
        <v>0</v>
      </c>
      <c r="S164" s="1481"/>
      <c r="T164" s="1482"/>
      <c r="U164" s="1481"/>
      <c r="V164" s="1482"/>
      <c r="W164" s="1482">
        <f t="shared" ref="W164:W174" si="119">ROUND((R164+T164-V164),0)</f>
        <v>0</v>
      </c>
      <c r="X164" s="1187"/>
      <c r="Y164" s="90"/>
      <c r="Z164" s="697">
        <v>30000000</v>
      </c>
      <c r="AA164" s="697">
        <f t="shared" ref="AA164:AA174" si="120">ROUND((Y164+Z164),0)</f>
        <v>30000000</v>
      </c>
      <c r="AB164" s="253"/>
      <c r="AC164" s="90"/>
      <c r="AD164" s="253"/>
      <c r="AE164" s="90"/>
      <c r="AF164" s="90">
        <f t="shared" ref="AF164:AF174" si="121">ROUND((AA164+AC164-AE164),0)</f>
        <v>30000000</v>
      </c>
      <c r="AG164" s="90"/>
      <c r="AH164" s="207"/>
      <c r="AI164" s="140">
        <v>0</v>
      </c>
      <c r="AJ164" s="140"/>
      <c r="AK164" s="140"/>
      <c r="AL164" s="673"/>
      <c r="AM164" s="140"/>
      <c r="AN164" s="140"/>
      <c r="AO164" s="140">
        <f t="shared" ref="AO164:AO174" si="122">ROUND((AM164+AN164),0)</f>
        <v>0</v>
      </c>
      <c r="AP164" s="437"/>
      <c r="AQ164" s="140"/>
      <c r="AR164" s="437"/>
      <c r="AS164" s="140"/>
      <c r="AT164" s="140">
        <f t="shared" ref="AT164:AT174" si="123">ROUND((AO164+AQ164-AS164),0)</f>
        <v>0</v>
      </c>
      <c r="AU164" s="66"/>
      <c r="AV164" s="140"/>
      <c r="AW164" s="140"/>
      <c r="AX164" s="140">
        <f t="shared" ref="AX164:AX174" si="124">ROUND((AV164+AW164),0)</f>
        <v>0</v>
      </c>
      <c r="AY164" s="437"/>
      <c r="AZ164" s="140"/>
      <c r="BA164" s="437"/>
      <c r="BB164" s="140"/>
      <c r="BC164" s="140">
        <f t="shared" ref="BC164:BC174" si="125">ROUND((AX164+AZ164-BB164),0)</f>
        <v>0</v>
      </c>
      <c r="BD164" s="140"/>
      <c r="BE164" s="40"/>
      <c r="BF164" s="235">
        <v>25000000</v>
      </c>
      <c r="BG164" s="37"/>
      <c r="BH164" s="219">
        <v>0</v>
      </c>
      <c r="BI164" s="11"/>
    </row>
    <row r="165" spans="2:61" s="1" customFormat="1">
      <c r="B165" s="30"/>
      <c r="C165" s="4" t="s">
        <v>469</v>
      </c>
      <c r="D165" s="1365"/>
      <c r="E165" s="1365"/>
      <c r="F165" s="1365">
        <f t="shared" si="95"/>
        <v>0</v>
      </c>
      <c r="G165" s="1365">
        <f t="shared" si="94"/>
        <v>0</v>
      </c>
      <c r="H165" s="1365">
        <f t="shared" si="116"/>
        <v>0</v>
      </c>
      <c r="I165" s="1384"/>
      <c r="J165" s="1365"/>
      <c r="K165" s="1384"/>
      <c r="L165" s="1365"/>
      <c r="M165" s="1365">
        <f t="shared" si="117"/>
        <v>0</v>
      </c>
      <c r="N165" s="2259"/>
      <c r="O165" s="1058"/>
      <c r="P165" s="1482"/>
      <c r="Q165" s="1365"/>
      <c r="R165" s="1482">
        <f t="shared" si="118"/>
        <v>0</v>
      </c>
      <c r="S165" s="1481"/>
      <c r="T165" s="1482"/>
      <c r="U165" s="1481"/>
      <c r="V165" s="1482"/>
      <c r="W165" s="1482">
        <f t="shared" si="119"/>
        <v>0</v>
      </c>
      <c r="X165" s="1187"/>
      <c r="Y165" s="90"/>
      <c r="Z165" s="697">
        <v>0</v>
      </c>
      <c r="AA165" s="697">
        <f t="shared" si="120"/>
        <v>0</v>
      </c>
      <c r="AB165" s="253"/>
      <c r="AC165" s="90"/>
      <c r="AD165" s="253"/>
      <c r="AE165" s="90"/>
      <c r="AF165" s="90">
        <f t="shared" si="121"/>
        <v>0</v>
      </c>
      <c r="AG165" s="90"/>
      <c r="AH165" s="207"/>
      <c r="AI165" s="140">
        <v>0</v>
      </c>
      <c r="AJ165" s="140"/>
      <c r="AK165" s="140"/>
      <c r="AL165" s="673"/>
      <c r="AM165" s="140"/>
      <c r="AN165" s="140"/>
      <c r="AO165" s="140">
        <f t="shared" si="122"/>
        <v>0</v>
      </c>
      <c r="AP165" s="437"/>
      <c r="AQ165" s="140"/>
      <c r="AR165" s="437"/>
      <c r="AS165" s="140"/>
      <c r="AT165" s="140">
        <f t="shared" si="123"/>
        <v>0</v>
      </c>
      <c r="AU165" s="66"/>
      <c r="AV165" s="140"/>
      <c r="AW165" s="140"/>
      <c r="AX165" s="140">
        <f t="shared" si="124"/>
        <v>0</v>
      </c>
      <c r="AY165" s="437"/>
      <c r="AZ165" s="140"/>
      <c r="BA165" s="437"/>
      <c r="BB165" s="140"/>
      <c r="BC165" s="140">
        <f t="shared" si="125"/>
        <v>0</v>
      </c>
      <c r="BD165" s="140"/>
      <c r="BE165" s="40"/>
      <c r="BF165" s="235">
        <v>0</v>
      </c>
      <c r="BG165" s="37"/>
      <c r="BH165" s="219">
        <v>0</v>
      </c>
      <c r="BI165" s="11"/>
    </row>
    <row r="166" spans="2:61" s="1" customFormat="1">
      <c r="B166" s="30"/>
      <c r="C166" s="4" t="s">
        <v>470</v>
      </c>
      <c r="D166" s="1365"/>
      <c r="E166" s="1365"/>
      <c r="F166" s="1365">
        <f t="shared" si="95"/>
        <v>0</v>
      </c>
      <c r="G166" s="1365">
        <f t="shared" si="94"/>
        <v>0</v>
      </c>
      <c r="H166" s="1365">
        <f t="shared" si="116"/>
        <v>0</v>
      </c>
      <c r="I166" s="1384"/>
      <c r="J166" s="1365"/>
      <c r="K166" s="1384"/>
      <c r="L166" s="1365"/>
      <c r="M166" s="1365">
        <f t="shared" si="117"/>
        <v>0</v>
      </c>
      <c r="N166" s="2259"/>
      <c r="O166" s="1058"/>
      <c r="P166" s="1482"/>
      <c r="Q166" s="1365"/>
      <c r="R166" s="1482">
        <f t="shared" si="118"/>
        <v>0</v>
      </c>
      <c r="S166" s="1481"/>
      <c r="T166" s="1482"/>
      <c r="U166" s="1481"/>
      <c r="V166" s="1482"/>
      <c r="W166" s="1482">
        <f t="shared" si="119"/>
        <v>0</v>
      </c>
      <c r="X166" s="1187"/>
      <c r="Y166" s="90"/>
      <c r="Z166" s="697">
        <v>0</v>
      </c>
      <c r="AA166" s="697">
        <f t="shared" si="120"/>
        <v>0</v>
      </c>
      <c r="AB166" s="253"/>
      <c r="AC166" s="90"/>
      <c r="AD166" s="253"/>
      <c r="AE166" s="90"/>
      <c r="AF166" s="90">
        <f t="shared" si="121"/>
        <v>0</v>
      </c>
      <c r="AG166" s="90"/>
      <c r="AH166" s="207"/>
      <c r="AI166" s="140">
        <v>0</v>
      </c>
      <c r="AJ166" s="140"/>
      <c r="AK166" s="140"/>
      <c r="AL166" s="673"/>
      <c r="AM166" s="140"/>
      <c r="AN166" s="140"/>
      <c r="AO166" s="140">
        <f t="shared" si="122"/>
        <v>0</v>
      </c>
      <c r="AP166" s="437"/>
      <c r="AQ166" s="140"/>
      <c r="AR166" s="437"/>
      <c r="AS166" s="140"/>
      <c r="AT166" s="140">
        <f t="shared" si="123"/>
        <v>0</v>
      </c>
      <c r="AU166" s="66"/>
      <c r="AV166" s="140"/>
      <c r="AW166" s="140"/>
      <c r="AX166" s="140">
        <f t="shared" si="124"/>
        <v>0</v>
      </c>
      <c r="AY166" s="437"/>
      <c r="AZ166" s="140"/>
      <c r="BA166" s="437"/>
      <c r="BB166" s="140"/>
      <c r="BC166" s="140">
        <f t="shared" si="125"/>
        <v>0</v>
      </c>
      <c r="BD166" s="140"/>
      <c r="BE166" s="40"/>
      <c r="BF166" s="235">
        <v>0</v>
      </c>
      <c r="BG166" s="37"/>
      <c r="BH166" s="219">
        <v>0</v>
      </c>
      <c r="BI166" s="11"/>
    </row>
    <row r="167" spans="2:61" s="1" customFormat="1">
      <c r="B167" s="30"/>
      <c r="C167" s="4" t="s">
        <v>440</v>
      </c>
      <c r="D167" s="1365"/>
      <c r="E167" s="1365"/>
      <c r="F167" s="1365">
        <f t="shared" si="95"/>
        <v>0</v>
      </c>
      <c r="G167" s="1365">
        <f t="shared" si="94"/>
        <v>0</v>
      </c>
      <c r="H167" s="1365">
        <f t="shared" si="116"/>
        <v>0</v>
      </c>
      <c r="I167" s="1384"/>
      <c r="J167" s="1365"/>
      <c r="K167" s="1384"/>
      <c r="L167" s="1365"/>
      <c r="M167" s="1365">
        <f t="shared" si="117"/>
        <v>0</v>
      </c>
      <c r="N167" s="2259"/>
      <c r="O167" s="1058"/>
      <c r="P167" s="1482"/>
      <c r="Q167" s="1365"/>
      <c r="R167" s="1482">
        <f t="shared" si="118"/>
        <v>0</v>
      </c>
      <c r="S167" s="1481"/>
      <c r="T167" s="1482"/>
      <c r="U167" s="1481"/>
      <c r="V167" s="1482"/>
      <c r="W167" s="1482">
        <f t="shared" si="119"/>
        <v>0</v>
      </c>
      <c r="X167" s="1187"/>
      <c r="Y167" s="90"/>
      <c r="Z167" s="697">
        <v>0</v>
      </c>
      <c r="AA167" s="697">
        <f t="shared" si="120"/>
        <v>0</v>
      </c>
      <c r="AB167" s="253"/>
      <c r="AC167" s="90"/>
      <c r="AD167" s="253"/>
      <c r="AE167" s="90"/>
      <c r="AF167" s="90">
        <f t="shared" si="121"/>
        <v>0</v>
      </c>
      <c r="AG167" s="90"/>
      <c r="AH167" s="207"/>
      <c r="AI167" s="140">
        <v>0</v>
      </c>
      <c r="AJ167" s="140"/>
      <c r="AK167" s="140"/>
      <c r="AL167" s="673"/>
      <c r="AM167" s="140"/>
      <c r="AN167" s="140"/>
      <c r="AO167" s="140">
        <f t="shared" si="122"/>
        <v>0</v>
      </c>
      <c r="AP167" s="437"/>
      <c r="AQ167" s="140"/>
      <c r="AR167" s="437"/>
      <c r="AS167" s="140"/>
      <c r="AT167" s="140">
        <f t="shared" si="123"/>
        <v>0</v>
      </c>
      <c r="AU167" s="66"/>
      <c r="AV167" s="140"/>
      <c r="AW167" s="140"/>
      <c r="AX167" s="140">
        <f t="shared" si="124"/>
        <v>0</v>
      </c>
      <c r="AY167" s="437"/>
      <c r="AZ167" s="140"/>
      <c r="BA167" s="437"/>
      <c r="BB167" s="140"/>
      <c r="BC167" s="140">
        <f t="shared" si="125"/>
        <v>0</v>
      </c>
      <c r="BD167" s="140"/>
      <c r="BE167" s="40"/>
      <c r="BF167" s="235">
        <v>0</v>
      </c>
      <c r="BG167" s="37"/>
      <c r="BH167" s="219">
        <v>0</v>
      </c>
      <c r="BI167" s="11"/>
    </row>
    <row r="168" spans="2:61" s="1" customFormat="1">
      <c r="B168" s="30"/>
      <c r="C168" s="4" t="s">
        <v>439</v>
      </c>
      <c r="D168" s="1365"/>
      <c r="E168" s="1365"/>
      <c r="F168" s="1365">
        <f t="shared" si="95"/>
        <v>0</v>
      </c>
      <c r="G168" s="1365">
        <f t="shared" si="94"/>
        <v>0</v>
      </c>
      <c r="H168" s="1365">
        <f t="shared" si="116"/>
        <v>0</v>
      </c>
      <c r="I168" s="1384"/>
      <c r="J168" s="1365"/>
      <c r="K168" s="1384"/>
      <c r="L168" s="1365"/>
      <c r="M168" s="1365">
        <f t="shared" si="117"/>
        <v>0</v>
      </c>
      <c r="N168" s="2259"/>
      <c r="O168" s="1058"/>
      <c r="P168" s="1482"/>
      <c r="Q168" s="1365"/>
      <c r="R168" s="1482">
        <f t="shared" si="118"/>
        <v>0</v>
      </c>
      <c r="S168" s="1481"/>
      <c r="T168" s="1482"/>
      <c r="U168" s="1481"/>
      <c r="V168" s="1482"/>
      <c r="W168" s="1482">
        <f t="shared" si="119"/>
        <v>0</v>
      </c>
      <c r="X168" s="1187"/>
      <c r="Y168" s="90"/>
      <c r="Z168" s="697">
        <v>0</v>
      </c>
      <c r="AA168" s="697">
        <f t="shared" si="120"/>
        <v>0</v>
      </c>
      <c r="AB168" s="253"/>
      <c r="AC168" s="90"/>
      <c r="AD168" s="253"/>
      <c r="AE168" s="90"/>
      <c r="AF168" s="90">
        <f t="shared" si="121"/>
        <v>0</v>
      </c>
      <c r="AG168" s="90"/>
      <c r="AH168" s="207"/>
      <c r="AI168" s="140">
        <v>0</v>
      </c>
      <c r="AJ168" s="140"/>
      <c r="AK168" s="140"/>
      <c r="AL168" s="673"/>
      <c r="AM168" s="140"/>
      <c r="AN168" s="140"/>
      <c r="AO168" s="140">
        <f t="shared" si="122"/>
        <v>0</v>
      </c>
      <c r="AP168" s="437"/>
      <c r="AQ168" s="140"/>
      <c r="AR168" s="437"/>
      <c r="AS168" s="140"/>
      <c r="AT168" s="140">
        <f t="shared" si="123"/>
        <v>0</v>
      </c>
      <c r="AU168" s="66"/>
      <c r="AV168" s="140"/>
      <c r="AW168" s="140"/>
      <c r="AX168" s="140">
        <f t="shared" si="124"/>
        <v>0</v>
      </c>
      <c r="AY168" s="437"/>
      <c r="AZ168" s="140"/>
      <c r="BA168" s="437"/>
      <c r="BB168" s="140"/>
      <c r="BC168" s="140">
        <f t="shared" si="125"/>
        <v>0</v>
      </c>
      <c r="BD168" s="140"/>
      <c r="BE168" s="40"/>
      <c r="BF168" s="235">
        <v>0</v>
      </c>
      <c r="BG168" s="37"/>
      <c r="BH168" s="219">
        <v>0</v>
      </c>
      <c r="BI168" s="11"/>
    </row>
    <row r="169" spans="2:61" s="1" customFormat="1">
      <c r="B169" s="30"/>
      <c r="C169" s="4" t="s">
        <v>529</v>
      </c>
      <c r="D169" s="1365"/>
      <c r="E169" s="1365"/>
      <c r="F169" s="1365">
        <f t="shared" si="95"/>
        <v>0</v>
      </c>
      <c r="G169" s="1365">
        <f t="shared" si="94"/>
        <v>0</v>
      </c>
      <c r="H169" s="1365">
        <f t="shared" si="116"/>
        <v>0</v>
      </c>
      <c r="I169" s="1384"/>
      <c r="J169" s="1365"/>
      <c r="K169" s="1384"/>
      <c r="L169" s="1365"/>
      <c r="M169" s="1365">
        <f t="shared" si="117"/>
        <v>0</v>
      </c>
      <c r="N169" s="2259"/>
      <c r="O169" s="1058"/>
      <c r="P169" s="1482"/>
      <c r="Q169" s="1365"/>
      <c r="R169" s="1482">
        <f t="shared" si="118"/>
        <v>0</v>
      </c>
      <c r="S169" s="1481"/>
      <c r="T169" s="1482"/>
      <c r="U169" s="1481"/>
      <c r="V169" s="1482"/>
      <c r="W169" s="1482">
        <f t="shared" si="119"/>
        <v>0</v>
      </c>
      <c r="X169" s="1187"/>
      <c r="Y169" s="90"/>
      <c r="Z169" s="697">
        <v>0</v>
      </c>
      <c r="AA169" s="697">
        <f t="shared" si="120"/>
        <v>0</v>
      </c>
      <c r="AB169" s="253"/>
      <c r="AC169" s="90"/>
      <c r="AD169" s="253"/>
      <c r="AE169" s="90"/>
      <c r="AF169" s="90">
        <f t="shared" si="121"/>
        <v>0</v>
      </c>
      <c r="AG169" s="90"/>
      <c r="AH169" s="207"/>
      <c r="AI169" s="140">
        <v>0</v>
      </c>
      <c r="AJ169" s="140"/>
      <c r="AK169" s="140"/>
      <c r="AL169" s="673"/>
      <c r="AM169" s="140"/>
      <c r="AN169" s="140"/>
      <c r="AO169" s="140">
        <f t="shared" si="122"/>
        <v>0</v>
      </c>
      <c r="AP169" s="437"/>
      <c r="AQ169" s="140"/>
      <c r="AR169" s="437"/>
      <c r="AS169" s="140"/>
      <c r="AT169" s="140">
        <f t="shared" si="123"/>
        <v>0</v>
      </c>
      <c r="AU169" s="66"/>
      <c r="AV169" s="140"/>
      <c r="AW169" s="140"/>
      <c r="AX169" s="140">
        <f t="shared" si="124"/>
        <v>0</v>
      </c>
      <c r="AY169" s="437"/>
      <c r="AZ169" s="140"/>
      <c r="BA169" s="437"/>
      <c r="BB169" s="140"/>
      <c r="BC169" s="140">
        <f t="shared" si="125"/>
        <v>0</v>
      </c>
      <c r="BD169" s="140"/>
      <c r="BE169" s="40"/>
      <c r="BF169" s="235">
        <v>0</v>
      </c>
      <c r="BG169" s="37"/>
      <c r="BH169" s="219">
        <v>0</v>
      </c>
      <c r="BI169" s="11"/>
    </row>
    <row r="170" spans="2:61" s="1" customFormat="1">
      <c r="B170" s="30"/>
      <c r="C170" s="44" t="s">
        <v>530</v>
      </c>
      <c r="D170" s="1374"/>
      <c r="E170" s="1374"/>
      <c r="F170" s="1365">
        <f t="shared" si="95"/>
        <v>0</v>
      </c>
      <c r="G170" s="1365">
        <f t="shared" si="94"/>
        <v>0</v>
      </c>
      <c r="H170" s="1374">
        <f t="shared" si="116"/>
        <v>0</v>
      </c>
      <c r="I170" s="1943"/>
      <c r="J170" s="1374"/>
      <c r="K170" s="1943"/>
      <c r="L170" s="1374"/>
      <c r="M170" s="1374">
        <f t="shared" si="117"/>
        <v>0</v>
      </c>
      <c r="N170" s="2259"/>
      <c r="O170" s="1058"/>
      <c r="P170" s="1497"/>
      <c r="Q170" s="1374"/>
      <c r="R170" s="1497">
        <f t="shared" si="118"/>
        <v>0</v>
      </c>
      <c r="S170" s="1487"/>
      <c r="T170" s="1497"/>
      <c r="U170" s="1487"/>
      <c r="V170" s="1497"/>
      <c r="W170" s="1497">
        <f t="shared" si="119"/>
        <v>0</v>
      </c>
      <c r="X170" s="1187"/>
      <c r="Y170" s="236"/>
      <c r="Z170" s="713">
        <v>0</v>
      </c>
      <c r="AA170" s="713">
        <f t="shared" si="120"/>
        <v>0</v>
      </c>
      <c r="AB170" s="617"/>
      <c r="AC170" s="236"/>
      <c r="AD170" s="617"/>
      <c r="AE170" s="236"/>
      <c r="AF170" s="236">
        <f t="shared" si="121"/>
        <v>0</v>
      </c>
      <c r="AG170" s="236"/>
      <c r="AH170" s="207"/>
      <c r="AI170" s="140">
        <v>0</v>
      </c>
      <c r="AJ170" s="140"/>
      <c r="AK170" s="140"/>
      <c r="AL170" s="673"/>
      <c r="AM170" s="140"/>
      <c r="AN170" s="140"/>
      <c r="AO170" s="140">
        <f t="shared" si="122"/>
        <v>0</v>
      </c>
      <c r="AP170" s="437"/>
      <c r="AQ170" s="140"/>
      <c r="AR170" s="437"/>
      <c r="AS170" s="140"/>
      <c r="AT170" s="140">
        <f t="shared" si="123"/>
        <v>0</v>
      </c>
      <c r="AU170" s="66"/>
      <c r="AV170" s="140"/>
      <c r="AW170" s="140"/>
      <c r="AX170" s="140">
        <f t="shared" si="124"/>
        <v>0</v>
      </c>
      <c r="AY170" s="437"/>
      <c r="AZ170" s="140"/>
      <c r="BA170" s="437"/>
      <c r="BB170" s="140"/>
      <c r="BC170" s="140">
        <f t="shared" si="125"/>
        <v>0</v>
      </c>
      <c r="BD170" s="140"/>
      <c r="BE170" s="40"/>
      <c r="BF170" s="235">
        <v>0</v>
      </c>
      <c r="BG170" s="37"/>
      <c r="BH170" s="219">
        <v>1750000</v>
      </c>
      <c r="BI170" s="11"/>
    </row>
    <row r="171" spans="2:61" s="1" customFormat="1">
      <c r="B171" s="30"/>
      <c r="C171" s="44" t="s">
        <v>531</v>
      </c>
      <c r="D171" s="1374"/>
      <c r="E171" s="1374"/>
      <c r="F171" s="1365">
        <f t="shared" si="95"/>
        <v>0</v>
      </c>
      <c r="G171" s="1365">
        <f t="shared" si="94"/>
        <v>0</v>
      </c>
      <c r="H171" s="1374">
        <f t="shared" si="116"/>
        <v>0</v>
      </c>
      <c r="I171" s="1943"/>
      <c r="J171" s="1374"/>
      <c r="K171" s="1943"/>
      <c r="L171" s="1374"/>
      <c r="M171" s="1374">
        <f t="shared" si="117"/>
        <v>0</v>
      </c>
      <c r="N171" s="2259"/>
      <c r="O171" s="1058"/>
      <c r="P171" s="1497"/>
      <c r="Q171" s="1374"/>
      <c r="R171" s="1497">
        <f t="shared" si="118"/>
        <v>0</v>
      </c>
      <c r="S171" s="1487"/>
      <c r="T171" s="1497"/>
      <c r="U171" s="1487"/>
      <c r="V171" s="1497"/>
      <c r="W171" s="1497">
        <f t="shared" si="119"/>
        <v>0</v>
      </c>
      <c r="X171" s="1187"/>
      <c r="Y171" s="236"/>
      <c r="Z171" s="713">
        <v>0</v>
      </c>
      <c r="AA171" s="713">
        <f t="shared" si="120"/>
        <v>0</v>
      </c>
      <c r="AB171" s="617"/>
      <c r="AC171" s="236"/>
      <c r="AD171" s="617"/>
      <c r="AE171" s="236"/>
      <c r="AF171" s="236">
        <f t="shared" si="121"/>
        <v>0</v>
      </c>
      <c r="AG171" s="236"/>
      <c r="AH171" s="207"/>
      <c r="AI171" s="140">
        <v>0</v>
      </c>
      <c r="AJ171" s="140"/>
      <c r="AK171" s="140"/>
      <c r="AL171" s="673"/>
      <c r="AM171" s="140"/>
      <c r="AN171" s="140"/>
      <c r="AO171" s="140">
        <f t="shared" si="122"/>
        <v>0</v>
      </c>
      <c r="AP171" s="437"/>
      <c r="AQ171" s="140"/>
      <c r="AR171" s="437"/>
      <c r="AS171" s="140"/>
      <c r="AT171" s="140">
        <f t="shared" si="123"/>
        <v>0</v>
      </c>
      <c r="AU171" s="66"/>
      <c r="AV171" s="140"/>
      <c r="AW171" s="140"/>
      <c r="AX171" s="140">
        <f t="shared" si="124"/>
        <v>0</v>
      </c>
      <c r="AY171" s="437"/>
      <c r="AZ171" s="140"/>
      <c r="BA171" s="437"/>
      <c r="BB171" s="140"/>
      <c r="BC171" s="140">
        <f t="shared" si="125"/>
        <v>0</v>
      </c>
      <c r="BD171" s="140"/>
      <c r="BE171" s="40"/>
      <c r="BF171" s="235">
        <v>0</v>
      </c>
      <c r="BG171" s="37"/>
      <c r="BH171" s="219">
        <v>8141364</v>
      </c>
      <c r="BI171" s="11"/>
    </row>
    <row r="172" spans="2:61" s="1" customFormat="1">
      <c r="B172" s="30"/>
      <c r="C172" s="44" t="s">
        <v>532</v>
      </c>
      <c r="D172" s="1374"/>
      <c r="E172" s="1374"/>
      <c r="F172" s="1365">
        <f t="shared" si="95"/>
        <v>0</v>
      </c>
      <c r="G172" s="1365">
        <f t="shared" si="94"/>
        <v>0</v>
      </c>
      <c r="H172" s="1374">
        <f t="shared" si="116"/>
        <v>0</v>
      </c>
      <c r="I172" s="1943"/>
      <c r="J172" s="1374"/>
      <c r="K172" s="1943"/>
      <c r="L172" s="1374"/>
      <c r="M172" s="1374">
        <f t="shared" si="117"/>
        <v>0</v>
      </c>
      <c r="N172" s="2259"/>
      <c r="O172" s="1058"/>
      <c r="P172" s="1497"/>
      <c r="Q172" s="1374"/>
      <c r="R172" s="1497">
        <f t="shared" si="118"/>
        <v>0</v>
      </c>
      <c r="S172" s="1487"/>
      <c r="T172" s="1497"/>
      <c r="U172" s="1487"/>
      <c r="V172" s="1497"/>
      <c r="W172" s="1497">
        <f t="shared" si="119"/>
        <v>0</v>
      </c>
      <c r="X172" s="1187"/>
      <c r="Y172" s="236"/>
      <c r="Z172" s="713">
        <v>0</v>
      </c>
      <c r="AA172" s="713">
        <f t="shared" si="120"/>
        <v>0</v>
      </c>
      <c r="AB172" s="617"/>
      <c r="AC172" s="236"/>
      <c r="AD172" s="617"/>
      <c r="AE172" s="236"/>
      <c r="AF172" s="236">
        <f t="shared" si="121"/>
        <v>0</v>
      </c>
      <c r="AG172" s="236"/>
      <c r="AH172" s="207"/>
      <c r="AI172" s="140">
        <v>0</v>
      </c>
      <c r="AJ172" s="140"/>
      <c r="AK172" s="140"/>
      <c r="AL172" s="673"/>
      <c r="AM172" s="140"/>
      <c r="AN172" s="140"/>
      <c r="AO172" s="140">
        <f t="shared" si="122"/>
        <v>0</v>
      </c>
      <c r="AP172" s="437"/>
      <c r="AQ172" s="140"/>
      <c r="AR172" s="437"/>
      <c r="AS172" s="140"/>
      <c r="AT172" s="140">
        <f t="shared" si="123"/>
        <v>0</v>
      </c>
      <c r="AU172" s="66"/>
      <c r="AV172" s="140"/>
      <c r="AW172" s="140"/>
      <c r="AX172" s="140">
        <f t="shared" si="124"/>
        <v>0</v>
      </c>
      <c r="AY172" s="437"/>
      <c r="AZ172" s="140"/>
      <c r="BA172" s="437"/>
      <c r="BB172" s="140"/>
      <c r="BC172" s="140">
        <f t="shared" si="125"/>
        <v>0</v>
      </c>
      <c r="BD172" s="140"/>
      <c r="BE172" s="40"/>
      <c r="BF172" s="235">
        <v>0</v>
      </c>
      <c r="BG172" s="37"/>
      <c r="BH172" s="219">
        <v>9221273</v>
      </c>
      <c r="BI172" s="11"/>
    </row>
    <row r="173" spans="2:61" s="1" customFormat="1">
      <c r="B173" s="30"/>
      <c r="C173" s="4" t="s">
        <v>471</v>
      </c>
      <c r="D173" s="1365"/>
      <c r="E173" s="1365"/>
      <c r="F173" s="1365">
        <f t="shared" si="95"/>
        <v>0</v>
      </c>
      <c r="G173" s="1365">
        <f t="shared" si="94"/>
        <v>0</v>
      </c>
      <c r="H173" s="1365">
        <f t="shared" si="116"/>
        <v>0</v>
      </c>
      <c r="I173" s="1384"/>
      <c r="J173" s="1365"/>
      <c r="K173" s="1384"/>
      <c r="L173" s="1365"/>
      <c r="M173" s="1365">
        <f t="shared" si="117"/>
        <v>0</v>
      </c>
      <c r="N173" s="2259"/>
      <c r="O173" s="1058"/>
      <c r="P173" s="1482"/>
      <c r="Q173" s="1365"/>
      <c r="R173" s="1482">
        <f t="shared" si="118"/>
        <v>0</v>
      </c>
      <c r="S173" s="1481"/>
      <c r="T173" s="1482"/>
      <c r="U173" s="1481"/>
      <c r="V173" s="1482"/>
      <c r="W173" s="1482">
        <f t="shared" si="119"/>
        <v>0</v>
      </c>
      <c r="X173" s="1187"/>
      <c r="Y173" s="90"/>
      <c r="Z173" s="697">
        <v>0</v>
      </c>
      <c r="AA173" s="697">
        <f t="shared" si="120"/>
        <v>0</v>
      </c>
      <c r="AB173" s="253"/>
      <c r="AC173" s="90"/>
      <c r="AD173" s="253"/>
      <c r="AE173" s="90"/>
      <c r="AF173" s="90">
        <f t="shared" si="121"/>
        <v>0</v>
      </c>
      <c r="AG173" s="90"/>
      <c r="AH173" s="207"/>
      <c r="AI173" s="140">
        <v>0</v>
      </c>
      <c r="AJ173" s="140"/>
      <c r="AK173" s="140"/>
      <c r="AL173" s="673"/>
      <c r="AM173" s="140"/>
      <c r="AN173" s="140"/>
      <c r="AO173" s="140">
        <f t="shared" si="122"/>
        <v>0</v>
      </c>
      <c r="AP173" s="437"/>
      <c r="AQ173" s="140"/>
      <c r="AR173" s="437"/>
      <c r="AS173" s="140"/>
      <c r="AT173" s="140">
        <f t="shared" si="123"/>
        <v>0</v>
      </c>
      <c r="AU173" s="66"/>
      <c r="AV173" s="140"/>
      <c r="AW173" s="140"/>
      <c r="AX173" s="140">
        <f t="shared" si="124"/>
        <v>0</v>
      </c>
      <c r="AY173" s="437"/>
      <c r="AZ173" s="140"/>
      <c r="BA173" s="437"/>
      <c r="BB173" s="140"/>
      <c r="BC173" s="140">
        <f t="shared" si="125"/>
        <v>0</v>
      </c>
      <c r="BD173" s="140"/>
      <c r="BE173" s="40"/>
      <c r="BF173" s="235">
        <v>0</v>
      </c>
      <c r="BG173" s="37"/>
      <c r="BH173" s="219">
        <v>32752000</v>
      </c>
      <c r="BI173" s="11"/>
    </row>
    <row r="174" spans="2:61" s="1" customFormat="1">
      <c r="B174" s="4"/>
      <c r="C174" s="4" t="s">
        <v>533</v>
      </c>
      <c r="D174" s="1365">
        <v>0</v>
      </c>
      <c r="E174" s="1365"/>
      <c r="F174" s="1365">
        <f t="shared" si="95"/>
        <v>0</v>
      </c>
      <c r="G174" s="1365">
        <f t="shared" si="94"/>
        <v>0</v>
      </c>
      <c r="H174" s="1365">
        <f t="shared" si="116"/>
        <v>0</v>
      </c>
      <c r="I174" s="1384"/>
      <c r="J174" s="1365"/>
      <c r="K174" s="1384"/>
      <c r="L174" s="1365"/>
      <c r="M174" s="1992">
        <f t="shared" si="117"/>
        <v>0</v>
      </c>
      <c r="N174" s="2277" t="s">
        <v>427</v>
      </c>
      <c r="O174" s="1058"/>
      <c r="P174" s="1482"/>
      <c r="Q174" s="1365"/>
      <c r="R174" s="1482">
        <f t="shared" si="118"/>
        <v>0</v>
      </c>
      <c r="S174" s="1481"/>
      <c r="T174" s="1482"/>
      <c r="U174" s="1481"/>
      <c r="V174" s="1482"/>
      <c r="W174" s="1482">
        <f t="shared" si="119"/>
        <v>0</v>
      </c>
      <c r="X174" s="1187"/>
      <c r="Y174" s="90">
        <v>1869973228</v>
      </c>
      <c r="Z174" s="697">
        <v>0</v>
      </c>
      <c r="AA174" s="697">
        <f t="shared" si="120"/>
        <v>1869973228</v>
      </c>
      <c r="AB174" s="253"/>
      <c r="AC174" s="90"/>
      <c r="AD174" s="253"/>
      <c r="AE174" s="90"/>
      <c r="AF174" s="90">
        <f t="shared" si="121"/>
        <v>1869973228</v>
      </c>
      <c r="AG174" s="90"/>
      <c r="AH174" s="207"/>
      <c r="AI174" s="35">
        <v>897473228</v>
      </c>
      <c r="AJ174" s="35"/>
      <c r="AK174" s="35"/>
      <c r="AL174" s="667"/>
      <c r="AM174" s="35">
        <v>897473228</v>
      </c>
      <c r="AN174" s="35"/>
      <c r="AO174" s="35">
        <f t="shared" si="122"/>
        <v>897473228</v>
      </c>
      <c r="AP174" s="784"/>
      <c r="AQ174" s="35"/>
      <c r="AR174" s="784"/>
      <c r="AS174" s="35"/>
      <c r="AT174" s="790">
        <f t="shared" si="123"/>
        <v>897473228</v>
      </c>
      <c r="AU174" s="139"/>
      <c r="AV174" s="35">
        <v>777500000</v>
      </c>
      <c r="AW174" s="35"/>
      <c r="AX174" s="35">
        <f t="shared" si="124"/>
        <v>777500000</v>
      </c>
      <c r="AY174" s="784"/>
      <c r="AZ174" s="35"/>
      <c r="BA174" s="784"/>
      <c r="BB174" s="35"/>
      <c r="BC174" s="790">
        <f t="shared" si="125"/>
        <v>777500000</v>
      </c>
      <c r="BD174" s="432"/>
      <c r="BE174" s="137"/>
      <c r="BF174" s="219">
        <v>0</v>
      </c>
      <c r="BG174" s="37"/>
      <c r="BH174" s="219">
        <v>0</v>
      </c>
      <c r="BI174" s="37"/>
    </row>
    <row r="175" spans="2:61" s="1" customFormat="1">
      <c r="B175" s="30"/>
      <c r="C175" s="135" t="s">
        <v>534</v>
      </c>
      <c r="D175" s="1376">
        <v>27862788399</v>
      </c>
      <c r="E175" s="1376">
        <v>5842960616.1399994</v>
      </c>
      <c r="F175" s="1365">
        <f t="shared" si="95"/>
        <v>33705749015.139999</v>
      </c>
      <c r="G175" s="1365">
        <f t="shared" si="94"/>
        <v>0.1399993896484375</v>
      </c>
      <c r="H175" s="1365">
        <f t="shared" si="116"/>
        <v>33705749015</v>
      </c>
      <c r="I175" s="1384"/>
      <c r="J175" s="1365"/>
      <c r="K175" s="1384"/>
      <c r="L175" s="1365"/>
      <c r="M175" s="1992">
        <f t="shared" si="117"/>
        <v>33705749015</v>
      </c>
      <c r="N175" s="2277" t="s">
        <v>427</v>
      </c>
      <c r="O175" s="1058"/>
      <c r="P175" s="1499">
        <f>ROUND(1168062258.8,0)</f>
        <v>1168062259</v>
      </c>
      <c r="Q175" s="1376"/>
      <c r="R175" s="1482">
        <f t="shared" ref="R175" si="126">ROUND((P175+Q175),0)</f>
        <v>1168062259</v>
      </c>
      <c r="S175" s="1481"/>
      <c r="T175" s="1482"/>
      <c r="U175" s="1481"/>
      <c r="V175" s="1482"/>
      <c r="W175" s="1482">
        <f t="shared" ref="W175" si="127">ROUND((R175+T175-V175),0)</f>
        <v>1168062259</v>
      </c>
      <c r="X175" s="1187"/>
      <c r="Y175" s="237"/>
      <c r="Z175" s="715"/>
      <c r="AA175" s="715"/>
      <c r="AB175" s="618"/>
      <c r="AC175" s="237"/>
      <c r="AD175" s="618"/>
      <c r="AE175" s="237"/>
      <c r="AF175" s="237"/>
      <c r="AG175" s="237"/>
      <c r="AH175" s="238"/>
      <c r="AI175" s="14"/>
      <c r="AJ175" s="14"/>
      <c r="AK175" s="14"/>
      <c r="AL175" s="667"/>
      <c r="AM175" s="14"/>
      <c r="AN175" s="14"/>
      <c r="AO175" s="14"/>
      <c r="AP175" s="437"/>
      <c r="AQ175" s="14"/>
      <c r="AR175" s="437"/>
      <c r="AS175" s="14"/>
      <c r="AT175" s="14"/>
      <c r="AU175" s="37"/>
      <c r="AV175" s="14"/>
      <c r="AW175" s="14"/>
      <c r="AX175" s="14"/>
      <c r="AY175" s="437"/>
      <c r="AZ175" s="14"/>
      <c r="BA175" s="437"/>
      <c r="BB175" s="14"/>
      <c r="BC175" s="14"/>
      <c r="BD175" s="14"/>
      <c r="BE175" s="128"/>
      <c r="BF175" s="220"/>
      <c r="BG175" s="37"/>
      <c r="BH175" s="220"/>
      <c r="BI175" s="11"/>
    </row>
    <row r="176" spans="2:61" s="1" customFormat="1">
      <c r="B176" s="30"/>
      <c r="C176" s="1974"/>
      <c r="D176" s="1975"/>
      <c r="E176" s="1975"/>
      <c r="F176" s="1365">
        <f t="shared" si="95"/>
        <v>0</v>
      </c>
      <c r="G176" s="1365">
        <f t="shared" si="94"/>
        <v>0</v>
      </c>
      <c r="H176" s="1365">
        <f t="shared" ref="H176" si="128">ROUND((D176+E176),0)</f>
        <v>0</v>
      </c>
      <c r="I176" s="1384"/>
      <c r="J176" s="1365"/>
      <c r="K176" s="1384"/>
      <c r="L176" s="1365"/>
      <c r="M176" s="1365">
        <f t="shared" ref="M176" si="129">ROUND((H176+J176-L176),0)</f>
        <v>0</v>
      </c>
      <c r="N176" s="2259"/>
      <c r="O176" s="1058"/>
      <c r="P176" s="1499"/>
      <c r="Q176" s="1376"/>
      <c r="R176" s="1482"/>
      <c r="S176" s="1481"/>
      <c r="T176" s="1482"/>
      <c r="U176" s="1481"/>
      <c r="V176" s="1482"/>
      <c r="W176" s="1482"/>
      <c r="X176" s="1187"/>
      <c r="Y176" s="237"/>
      <c r="Z176" s="715"/>
      <c r="AA176" s="715"/>
      <c r="AB176" s="618"/>
      <c r="AC176" s="237"/>
      <c r="AD176" s="618"/>
      <c r="AE176" s="237"/>
      <c r="AF176" s="237"/>
      <c r="AG176" s="237"/>
      <c r="AH176" s="238"/>
      <c r="AI176" s="14"/>
      <c r="AJ176" s="14"/>
      <c r="AK176" s="14"/>
      <c r="AL176" s="667"/>
      <c r="AM176" s="14"/>
      <c r="AN176" s="14"/>
      <c r="AO176" s="14"/>
      <c r="AP176" s="437"/>
      <c r="AQ176" s="14"/>
      <c r="AR176" s="437"/>
      <c r="AS176" s="14"/>
      <c r="AT176" s="14"/>
      <c r="AU176" s="37"/>
      <c r="AV176" s="14"/>
      <c r="AW176" s="14"/>
      <c r="AX176" s="14"/>
      <c r="AY176" s="437"/>
      <c r="AZ176" s="14"/>
      <c r="BA176" s="437"/>
      <c r="BB176" s="14"/>
      <c r="BC176" s="14"/>
      <c r="BD176" s="14"/>
      <c r="BE176" s="128"/>
      <c r="BF176" s="220"/>
      <c r="BG176" s="37"/>
      <c r="BH176" s="220"/>
      <c r="BI176" s="11"/>
    </row>
    <row r="177" spans="2:62" s="1" customFormat="1">
      <c r="B177" s="19"/>
      <c r="C177" s="19" t="s">
        <v>252</v>
      </c>
      <c r="D177" s="1369">
        <f>SUM(D149:D176)</f>
        <v>36261830386</v>
      </c>
      <c r="E177" s="1369">
        <f>SUM(E149:E175)</f>
        <v>6667446054.1399994</v>
      </c>
      <c r="F177" s="1365">
        <f t="shared" si="95"/>
        <v>42929276440.139999</v>
      </c>
      <c r="G177" s="1365">
        <f t="shared" si="94"/>
        <v>0.1399993896484375</v>
      </c>
      <c r="H177" s="1369">
        <f>SUM(H149:L176)</f>
        <v>42929276440</v>
      </c>
      <c r="I177" s="1944"/>
      <c r="J177" s="1369"/>
      <c r="K177" s="1944"/>
      <c r="L177" s="1369"/>
      <c r="M177" s="1369">
        <f>SUM(M149:M176)</f>
        <v>42929276440</v>
      </c>
      <c r="N177" s="226"/>
      <c r="O177" s="1058"/>
      <c r="P177" s="1488">
        <f>SUM(P149:P175)</f>
        <v>9212420235</v>
      </c>
      <c r="Q177" s="1369">
        <f>SUM(Q149:Q175)</f>
        <v>3621374961</v>
      </c>
      <c r="R177" s="1488">
        <f>SUM(R149:R175)</f>
        <v>12833795196</v>
      </c>
      <c r="S177" s="1489"/>
      <c r="T177" s="1488"/>
      <c r="U177" s="1489"/>
      <c r="V177" s="1488"/>
      <c r="W177" s="1488">
        <f>SUM(W149:W175)</f>
        <v>12833795196</v>
      </c>
      <c r="X177" s="1187"/>
      <c r="Y177" s="428">
        <f>SUM(Y149:Y175)</f>
        <v>9381334462</v>
      </c>
      <c r="Z177" s="707">
        <f>SUM(Z149:Z175)</f>
        <v>3117965697</v>
      </c>
      <c r="AA177" s="707">
        <f>SUM(AA149:AA175)</f>
        <v>12499300159</v>
      </c>
      <c r="AB177" s="601"/>
      <c r="AC177" s="223"/>
      <c r="AD177" s="601"/>
      <c r="AE177" s="223"/>
      <c r="AF177" s="428">
        <f>SUM(AF149:AF175)</f>
        <v>12499300159</v>
      </c>
      <c r="AG177" s="428"/>
      <c r="AH177" s="228"/>
      <c r="AI177" s="428">
        <f>SUM(AI149:AI175)</f>
        <v>10767905940</v>
      </c>
      <c r="AJ177" s="428"/>
      <c r="AK177" s="428"/>
      <c r="AL177" s="670"/>
      <c r="AM177" s="428">
        <f>SUM(AM149:AM175)</f>
        <v>7434389992</v>
      </c>
      <c r="AN177" s="428">
        <f>SUM(AN149:AN175)</f>
        <v>2877678020</v>
      </c>
      <c r="AO177" s="428">
        <f>SUM(AO149:AO175)</f>
        <v>10312068012</v>
      </c>
      <c r="AP177" s="762"/>
      <c r="AQ177" s="428"/>
      <c r="AR177" s="762"/>
      <c r="AS177" s="428"/>
      <c r="AT177" s="428">
        <f>SUM(AT149:AT175)</f>
        <v>10312068012</v>
      </c>
      <c r="AU177" s="29"/>
      <c r="AV177" s="428">
        <f>SUM(AV149:AV175)</f>
        <v>7032263994</v>
      </c>
      <c r="AW177" s="428">
        <f>SUM(AW149:AW175)</f>
        <v>2912876068</v>
      </c>
      <c r="AX177" s="428">
        <f>SUM(AX149:AX175)</f>
        <v>9945140062</v>
      </c>
      <c r="AY177" s="762"/>
      <c r="AZ177" s="428"/>
      <c r="BA177" s="762"/>
      <c r="BB177" s="428"/>
      <c r="BC177" s="428">
        <f>SUM(BC149:BC175)</f>
        <v>9945140062</v>
      </c>
      <c r="BD177" s="138"/>
      <c r="BE177" s="28"/>
      <c r="BF177" s="428">
        <f>SUM(BF149:BF175)</f>
        <v>8384748756</v>
      </c>
      <c r="BG177" s="29"/>
      <c r="BH177" s="428">
        <f>SUM(BH149:BH175)</f>
        <v>8863359342</v>
      </c>
      <c r="BI177" s="29"/>
    </row>
    <row r="178" spans="2:62" s="1" customFormat="1">
      <c r="B178" s="31"/>
      <c r="C178" s="31" t="s">
        <v>535</v>
      </c>
      <c r="D178" s="1371">
        <f>D52+D105+D138+D147+D177+D111+D115</f>
        <v>294550332044.71344</v>
      </c>
      <c r="E178" s="1371">
        <f>E52+E105+E138+E147+E177+E111+E115</f>
        <v>183389558153.78003</v>
      </c>
      <c r="F178" s="1365">
        <f t="shared" si="95"/>
        <v>477939890198.49347</v>
      </c>
      <c r="G178" s="1365">
        <f t="shared" si="94"/>
        <v>-0.50653076171875</v>
      </c>
      <c r="H178" s="1371">
        <f>H52+H105+H138+H147+H177+H111+H115</f>
        <v>477939890199</v>
      </c>
      <c r="I178" s="1946"/>
      <c r="J178" s="1371"/>
      <c r="K178" s="1946"/>
      <c r="L178" s="1371"/>
      <c r="M178" s="1371">
        <f>M52+M105+M138+M147+M177+M111+M115</f>
        <v>357080060162</v>
      </c>
      <c r="N178" s="226"/>
      <c r="O178" s="1058"/>
      <c r="P178" s="1492">
        <f>P52+P105+P138+P147+P177+P111+P115</f>
        <v>276505362965</v>
      </c>
      <c r="Q178" s="1371">
        <f>Q52+Q105+Q138+Q147+Q177+Q111+Q115</f>
        <v>182843539290</v>
      </c>
      <c r="R178" s="1492">
        <f>R52+R105+R138+R147+R177+R111+R115</f>
        <v>459348902255</v>
      </c>
      <c r="S178" s="1493"/>
      <c r="T178" s="1492"/>
      <c r="U178" s="1493"/>
      <c r="V178" s="1492"/>
      <c r="W178" s="1492">
        <f>W52+W105+W138+W147+W177+W111+W115</f>
        <v>326831349915</v>
      </c>
      <c r="X178" s="1187"/>
      <c r="Y178" s="430">
        <f>Y52+Y105+Y138+Y147+Y177+Y111+Y115</f>
        <v>237495065405</v>
      </c>
      <c r="Z178" s="709">
        <f>Z52+Z105+Z138+Z147+Z177+Z111+Z115</f>
        <v>189938353970</v>
      </c>
      <c r="AA178" s="709">
        <f>AA52+AA105+AA138+AA147+AA177+AA111+AA115</f>
        <v>427433419375</v>
      </c>
      <c r="AB178" s="602"/>
      <c r="AC178" s="229"/>
      <c r="AD178" s="602"/>
      <c r="AE178" s="229"/>
      <c r="AF178" s="430">
        <f>AF52+AF105+AF138+AF147+AF177+AF111+AF115</f>
        <v>265188876474</v>
      </c>
      <c r="AG178" s="430"/>
      <c r="AH178" s="230"/>
      <c r="AI178" s="430">
        <f>AI52+AI105+AI138+AI147+AI177+AI111+AI115</f>
        <v>252624339706</v>
      </c>
      <c r="AJ178" s="430"/>
      <c r="AK178" s="430"/>
      <c r="AL178" s="670"/>
      <c r="AM178" s="430">
        <f>AM52+AM105+AM138+AM147+AM177+AM111+AM115</f>
        <v>253612158877</v>
      </c>
      <c r="AN178" s="430">
        <f>AN52+AN105+AN138+AN147+AN177+AN111+AN115</f>
        <v>167270839957</v>
      </c>
      <c r="AO178" s="430">
        <f>AO52+AO105+AO138+AO147+AO177+AO111+AO115</f>
        <v>420882998834</v>
      </c>
      <c r="AP178" s="763"/>
      <c r="AQ178" s="430"/>
      <c r="AR178" s="763"/>
      <c r="AS178" s="430"/>
      <c r="AT178" s="430">
        <f>AT52+AT105+AT138+AT147+AT177+AT111+AT115</f>
        <v>235570258921</v>
      </c>
      <c r="AU178" s="33"/>
      <c r="AV178" s="430">
        <f>AV52+AV105+AV138+AV147+AV177+AV111+AV115</f>
        <v>245989681334</v>
      </c>
      <c r="AW178" s="430">
        <f>AW52+AW105+AW138+AW147+AW177+AW111+AW115</f>
        <v>158005970608</v>
      </c>
      <c r="AX178" s="430">
        <f>AX52+AX105+AX138+AX147+AX177+AX111+AX115</f>
        <v>403995651942</v>
      </c>
      <c r="AY178" s="763"/>
      <c r="AZ178" s="430"/>
      <c r="BA178" s="763"/>
      <c r="BB178" s="430"/>
      <c r="BC178" s="430">
        <f>BC52+BC105+BC138+BC147+BC177+BC111+BC115</f>
        <v>259451255983</v>
      </c>
      <c r="BD178" s="138"/>
      <c r="BE178" s="32">
        <f>'BS Konsol'!J22</f>
        <v>260404914646</v>
      </c>
      <c r="BF178" s="430">
        <f>BF52+BF105+BF138+BF147+BF177+BF111+BF115</f>
        <v>206553772032</v>
      </c>
      <c r="BG178" s="33"/>
      <c r="BH178" s="430">
        <f>BH52+BH105+BH138+BH147+BH177+BH111+BH115</f>
        <v>150733400012</v>
      </c>
      <c r="BI178" s="33"/>
    </row>
    <row r="179" spans="2:62" s="1" customFormat="1">
      <c r="B179" s="2" t="s">
        <v>536</v>
      </c>
      <c r="C179" s="4"/>
      <c r="D179" s="1365"/>
      <c r="E179" s="1365"/>
      <c r="F179" s="1365">
        <f t="shared" si="95"/>
        <v>0</v>
      </c>
      <c r="G179" s="1365">
        <f t="shared" si="94"/>
        <v>0</v>
      </c>
      <c r="H179" s="1365"/>
      <c r="I179" s="1384"/>
      <c r="J179" s="1365"/>
      <c r="K179" s="1384"/>
      <c r="L179" s="1365"/>
      <c r="M179" s="1365"/>
      <c r="N179" s="2259"/>
      <c r="O179" s="1058"/>
      <c r="P179" s="1482"/>
      <c r="Q179" s="1365"/>
      <c r="R179" s="1482"/>
      <c r="S179" s="1481"/>
      <c r="T179" s="1482"/>
      <c r="U179" s="1481"/>
      <c r="V179" s="1482"/>
      <c r="W179" s="1482"/>
      <c r="X179" s="1187"/>
      <c r="Y179" s="90"/>
      <c r="Z179" s="697"/>
      <c r="AA179" s="697"/>
      <c r="AB179" s="253"/>
      <c r="AC179" s="90"/>
      <c r="AD179" s="253"/>
      <c r="AE179" s="90"/>
      <c r="AF179" s="90"/>
      <c r="AG179" s="90"/>
      <c r="AH179" s="207"/>
      <c r="AI179" s="424"/>
      <c r="AJ179" s="424"/>
      <c r="AK179" s="424"/>
      <c r="AL179" s="666"/>
      <c r="AM179" s="424"/>
      <c r="AN179" s="424"/>
      <c r="AO179" s="424"/>
      <c r="AP179" s="765"/>
      <c r="AQ179" s="424"/>
      <c r="AR179" s="765"/>
      <c r="AS179" s="424"/>
      <c r="AT179" s="424"/>
      <c r="AU179" s="127"/>
      <c r="AV179" s="424"/>
      <c r="AW179" s="424"/>
      <c r="AX179" s="424"/>
      <c r="AY179" s="765"/>
      <c r="AZ179" s="424"/>
      <c r="BA179" s="765"/>
      <c r="BB179" s="424"/>
      <c r="BC179" s="424"/>
      <c r="BD179" s="586"/>
      <c r="BE179" s="126">
        <f>BE178-BC178</f>
        <v>953658663</v>
      </c>
      <c r="BF179" s="218"/>
      <c r="BG179" s="127"/>
      <c r="BH179" s="218"/>
      <c r="BI179" s="6"/>
    </row>
    <row r="180" spans="2:62" s="1" customFormat="1">
      <c r="B180" s="30" t="s">
        <v>407</v>
      </c>
      <c r="C180" s="23" t="s">
        <v>537</v>
      </c>
      <c r="D180" s="1368"/>
      <c r="E180" s="1367">
        <v>567869984.41000009</v>
      </c>
      <c r="F180" s="1365">
        <f t="shared" si="95"/>
        <v>567869984.41000009</v>
      </c>
      <c r="G180" s="1365">
        <f t="shared" si="94"/>
        <v>0.41000008583068848</v>
      </c>
      <c r="H180" s="1368">
        <f>ROUND((D180+E180),0)</f>
        <v>567869984</v>
      </c>
      <c r="I180" s="1943"/>
      <c r="J180" s="1368"/>
      <c r="K180" s="1943"/>
      <c r="L180" s="1368"/>
      <c r="M180" s="1368">
        <f t="shared" ref="M180:M181" si="130">ROUND((H180+J180-L180),0)</f>
        <v>567869984</v>
      </c>
      <c r="N180" s="1967"/>
      <c r="O180" s="1058"/>
      <c r="P180" s="1486"/>
      <c r="Q180" s="1368">
        <f>ROUND(3015057903.59,0)</f>
        <v>3015057904</v>
      </c>
      <c r="R180" s="1486">
        <f>ROUND((P180+Q180),0)</f>
        <v>3015057904</v>
      </c>
      <c r="S180" s="1487"/>
      <c r="T180" s="1486"/>
      <c r="U180" s="1487"/>
      <c r="V180" s="1486"/>
      <c r="W180" s="1486">
        <f t="shared" ref="W180:W181" si="131">ROUND((R180+T180-V180),0)</f>
        <v>3015057904</v>
      </c>
      <c r="X180" s="1187"/>
      <c r="Y180" s="225"/>
      <c r="Z180" s="699">
        <v>2174654556</v>
      </c>
      <c r="AA180" s="699">
        <f>ROUND((Y180+Z180),0)</f>
        <v>2174654556</v>
      </c>
      <c r="AB180" s="617"/>
      <c r="AC180" s="225"/>
      <c r="AD180" s="617"/>
      <c r="AE180" s="225"/>
      <c r="AF180" s="225">
        <f t="shared" ref="AF180:AF181" si="132">ROUND((AA180+AC180-AE180),0)</f>
        <v>2174654556</v>
      </c>
      <c r="AG180" s="225"/>
      <c r="AH180" s="208"/>
      <c r="AI180" s="9">
        <v>1940969386</v>
      </c>
      <c r="AJ180" s="9"/>
      <c r="AK180" s="9"/>
      <c r="AL180" s="667"/>
      <c r="AM180" s="9"/>
      <c r="AN180" s="9">
        <v>2839109762</v>
      </c>
      <c r="AO180" s="9">
        <f t="shared" ref="AO180:AO181" si="133">ROUND((AM180+AN180),0)</f>
        <v>2839109762</v>
      </c>
      <c r="AP180" s="769"/>
      <c r="AQ180" s="9"/>
      <c r="AR180" s="769"/>
      <c r="AS180" s="9"/>
      <c r="AT180" s="9">
        <f t="shared" ref="AT180:AT181" si="134">ROUND((AO180+AQ180-AS180),0)</f>
        <v>2839109762</v>
      </c>
      <c r="AU180" s="37"/>
      <c r="AV180" s="9"/>
      <c r="AW180" s="9">
        <v>1713643737</v>
      </c>
      <c r="AX180" s="9">
        <f t="shared" ref="AX180:AX181" si="135">ROUND((AV180+AW180),0)</f>
        <v>1713643737</v>
      </c>
      <c r="AY180" s="769"/>
      <c r="AZ180" s="9"/>
      <c r="BA180" s="769"/>
      <c r="BB180" s="9"/>
      <c r="BC180" s="9">
        <f t="shared" ref="BC180:BC181" si="136">ROUND((AX180+AZ180-BB180),0)</f>
        <v>1713643737</v>
      </c>
      <c r="BD180" s="14"/>
      <c r="BE180" s="128"/>
      <c r="BF180" s="219">
        <v>572841269</v>
      </c>
      <c r="BG180" s="37"/>
      <c r="BH180" s="219">
        <v>361846303</v>
      </c>
      <c r="BI180" s="11"/>
    </row>
    <row r="181" spans="2:62" s="1" customFormat="1">
      <c r="B181" s="30" t="s">
        <v>407</v>
      </c>
      <c r="C181" s="23" t="s">
        <v>538</v>
      </c>
      <c r="D181" s="1368"/>
      <c r="E181" s="1367">
        <v>345934000</v>
      </c>
      <c r="F181" s="1365">
        <f t="shared" si="95"/>
        <v>345934000</v>
      </c>
      <c r="G181" s="1365">
        <f t="shared" si="94"/>
        <v>0</v>
      </c>
      <c r="H181" s="1368">
        <f>ROUND((D181+E181),0)</f>
        <v>345934000</v>
      </c>
      <c r="I181" s="1943"/>
      <c r="J181" s="1368"/>
      <c r="K181" s="1943"/>
      <c r="L181" s="1368"/>
      <c r="M181" s="1368">
        <f t="shared" si="130"/>
        <v>345934000</v>
      </c>
      <c r="N181" s="1967"/>
      <c r="O181" s="1058"/>
      <c r="P181" s="1486"/>
      <c r="Q181" s="1368">
        <f>ROUND(474749999.51,0)</f>
        <v>474750000</v>
      </c>
      <c r="R181" s="1486">
        <f>ROUND((P181+Q181),0)</f>
        <v>474750000</v>
      </c>
      <c r="S181" s="1487"/>
      <c r="T181" s="1486"/>
      <c r="U181" s="1487"/>
      <c r="V181" s="1486"/>
      <c r="W181" s="1486">
        <f t="shared" si="131"/>
        <v>474750000</v>
      </c>
      <c r="X181" s="1187"/>
      <c r="Y181" s="225"/>
      <c r="Z181" s="699">
        <v>474750000</v>
      </c>
      <c r="AA181" s="699">
        <f>ROUND((Y181+Z181),0)</f>
        <v>474750000</v>
      </c>
      <c r="AB181" s="617"/>
      <c r="AC181" s="225"/>
      <c r="AD181" s="617"/>
      <c r="AE181" s="225"/>
      <c r="AF181" s="225">
        <f t="shared" si="132"/>
        <v>474750000</v>
      </c>
      <c r="AG181" s="225"/>
      <c r="AH181" s="208"/>
      <c r="AI181" s="9">
        <v>474750000</v>
      </c>
      <c r="AJ181" s="9"/>
      <c r="AK181" s="9"/>
      <c r="AL181" s="667"/>
      <c r="AM181" s="9"/>
      <c r="AN181" s="9">
        <v>78412560</v>
      </c>
      <c r="AO181" s="9">
        <f t="shared" si="133"/>
        <v>78412560</v>
      </c>
      <c r="AP181" s="769"/>
      <c r="AQ181" s="9"/>
      <c r="AR181" s="769"/>
      <c r="AS181" s="9"/>
      <c r="AT181" s="9">
        <f t="shared" si="134"/>
        <v>78412560</v>
      </c>
      <c r="AU181" s="37"/>
      <c r="AV181" s="9"/>
      <c r="AW181" s="9">
        <v>78412560</v>
      </c>
      <c r="AX181" s="9">
        <f t="shared" si="135"/>
        <v>78412560</v>
      </c>
      <c r="AY181" s="769"/>
      <c r="AZ181" s="9"/>
      <c r="BA181" s="769"/>
      <c r="BB181" s="9"/>
      <c r="BC181" s="9">
        <f t="shared" si="136"/>
        <v>78412560</v>
      </c>
      <c r="BD181" s="14"/>
      <c r="BE181" s="128"/>
      <c r="BF181" s="219">
        <v>78412560</v>
      </c>
      <c r="BG181" s="37"/>
      <c r="BH181" s="219">
        <v>509913986</v>
      </c>
      <c r="BI181" s="11"/>
    </row>
    <row r="182" spans="2:62" s="1" customFormat="1">
      <c r="B182" s="19"/>
      <c r="C182" s="19" t="s">
        <v>539</v>
      </c>
      <c r="D182" s="1366">
        <f>SUM(D180:D181)</f>
        <v>0</v>
      </c>
      <c r="E182" s="1366">
        <f>SUM(E180:E181)</f>
        <v>913803984.41000009</v>
      </c>
      <c r="F182" s="1365">
        <f t="shared" si="95"/>
        <v>913803984.41000009</v>
      </c>
      <c r="G182" s="1365">
        <f t="shared" si="94"/>
        <v>0.41000008583068848</v>
      </c>
      <c r="H182" s="1366">
        <f>SUM(H180:H181)</f>
        <v>913803984</v>
      </c>
      <c r="I182" s="1942"/>
      <c r="J182" s="1366"/>
      <c r="K182" s="1942"/>
      <c r="L182" s="1366"/>
      <c r="M182" s="1366">
        <f>SUM(M180:M181)</f>
        <v>913803984</v>
      </c>
      <c r="N182" s="2260" t="s">
        <v>427</v>
      </c>
      <c r="O182" s="1058"/>
      <c r="P182" s="1483">
        <f>SUM(P180:P181)</f>
        <v>0</v>
      </c>
      <c r="Q182" s="1366">
        <f>SUM(Q180:Q181)</f>
        <v>3489807904</v>
      </c>
      <c r="R182" s="1483">
        <f>SUM(R180:R181)</f>
        <v>3489807904</v>
      </c>
      <c r="S182" s="1484"/>
      <c r="T182" s="1483"/>
      <c r="U182" s="1484"/>
      <c r="V182" s="1483"/>
      <c r="W182" s="1483">
        <f>SUM(W180:W181)</f>
        <v>3489807904</v>
      </c>
      <c r="X182" s="1187"/>
      <c r="Y182" s="426">
        <f>SUM(Y180:Y181)</f>
        <v>0</v>
      </c>
      <c r="Z182" s="706">
        <f>SUM(Z180:Z181)</f>
        <v>2649404556</v>
      </c>
      <c r="AA182" s="706">
        <f>SUM(AA180:AA181)</f>
        <v>2649404556</v>
      </c>
      <c r="AB182" s="601"/>
      <c r="AC182" s="223"/>
      <c r="AD182" s="601"/>
      <c r="AE182" s="223"/>
      <c r="AF182" s="426">
        <f>SUM(AF180:AF181)</f>
        <v>2649404556</v>
      </c>
      <c r="AG182" s="448"/>
      <c r="AH182" s="228"/>
      <c r="AI182" s="426">
        <f>SUM(AI180:AI181)</f>
        <v>2415719386</v>
      </c>
      <c r="AJ182" s="448"/>
      <c r="AK182" s="448"/>
      <c r="AL182" s="668"/>
      <c r="AM182" s="448">
        <f>SUM(AM180:AM181)</f>
        <v>0</v>
      </c>
      <c r="AN182" s="448">
        <f>SUM(AN180:AN181)</f>
        <v>2917522322</v>
      </c>
      <c r="AO182" s="448">
        <f>SUM(AO180:AO181)</f>
        <v>2917522322</v>
      </c>
      <c r="AP182" s="759"/>
      <c r="AQ182" s="448"/>
      <c r="AR182" s="759"/>
      <c r="AS182" s="448"/>
      <c r="AT182" s="448">
        <f>SUM(AT180:AT181)</f>
        <v>2917522322</v>
      </c>
      <c r="AU182" s="20"/>
      <c r="AV182" s="448">
        <f>SUM(AV180:AV181)</f>
        <v>0</v>
      </c>
      <c r="AW182" s="448">
        <f>SUM(AW180:AW181)</f>
        <v>1792056297</v>
      </c>
      <c r="AX182" s="448">
        <f>SUM(AX180:AX181)</f>
        <v>1792056297</v>
      </c>
      <c r="AY182" s="759"/>
      <c r="AZ182" s="448"/>
      <c r="BA182" s="759"/>
      <c r="BB182" s="448"/>
      <c r="BC182" s="448">
        <f>SUM(BC180:BC181)</f>
        <v>1792056297</v>
      </c>
      <c r="BD182" s="53"/>
      <c r="BE182" s="28"/>
      <c r="BF182" s="426">
        <f>SUM(BF180:BF181)</f>
        <v>651253829</v>
      </c>
      <c r="BG182" s="29"/>
      <c r="BH182" s="426">
        <f>SUM(BH180:BH181)</f>
        <v>871760289</v>
      </c>
      <c r="BI182" s="20"/>
    </row>
    <row r="183" spans="2:62" s="1" customFormat="1">
      <c r="B183" s="2" t="s">
        <v>540</v>
      </c>
      <c r="C183" s="4"/>
      <c r="D183" s="1365"/>
      <c r="E183" s="1365"/>
      <c r="F183" s="1365">
        <f t="shared" si="95"/>
        <v>0</v>
      </c>
      <c r="G183" s="1365">
        <f t="shared" si="94"/>
        <v>0</v>
      </c>
      <c r="H183" s="1365"/>
      <c r="I183" s="1384"/>
      <c r="J183" s="1365"/>
      <c r="K183" s="1384"/>
      <c r="L183" s="1365"/>
      <c r="M183" s="1365"/>
      <c r="N183" s="2259"/>
      <c r="O183" s="1058"/>
      <c r="P183" s="1482"/>
      <c r="Q183" s="1365"/>
      <c r="R183" s="1482"/>
      <c r="S183" s="1481"/>
      <c r="T183" s="1482"/>
      <c r="U183" s="1481"/>
      <c r="V183" s="1482"/>
      <c r="W183" s="1482"/>
      <c r="X183" s="1187"/>
      <c r="Y183" s="90"/>
      <c r="Z183" s="697"/>
      <c r="AA183" s="697"/>
      <c r="AB183" s="253"/>
      <c r="AC183" s="90"/>
      <c r="AD183" s="253"/>
      <c r="AE183" s="90"/>
      <c r="AF183" s="90"/>
      <c r="AG183" s="90"/>
      <c r="AH183" s="207"/>
      <c r="AI183" s="424"/>
      <c r="AJ183" s="424"/>
      <c r="AK183" s="424"/>
      <c r="AL183" s="666"/>
      <c r="AM183" s="424"/>
      <c r="AN183" s="424"/>
      <c r="AO183" s="424"/>
      <c r="AP183" s="765"/>
      <c r="AQ183" s="424"/>
      <c r="AR183" s="765"/>
      <c r="AS183" s="424"/>
      <c r="AT183" s="424"/>
      <c r="AU183" s="127"/>
      <c r="AV183" s="424"/>
      <c r="AW183" s="424"/>
      <c r="AX183" s="424"/>
      <c r="AY183" s="765"/>
      <c r="AZ183" s="424"/>
      <c r="BA183" s="765"/>
      <c r="BB183" s="424"/>
      <c r="BC183" s="424"/>
      <c r="BD183" s="586"/>
      <c r="BE183" s="126"/>
      <c r="BF183" s="218"/>
      <c r="BG183" s="127"/>
      <c r="BH183" s="218"/>
      <c r="BI183" s="6"/>
    </row>
    <row r="184" spans="2:62" s="1" customFormat="1">
      <c r="B184" s="30" t="s">
        <v>407</v>
      </c>
      <c r="C184" s="23" t="s">
        <v>541</v>
      </c>
      <c r="D184" s="1368"/>
      <c r="E184" s="1368"/>
      <c r="F184" s="1365">
        <f t="shared" si="95"/>
        <v>0</v>
      </c>
      <c r="G184" s="1365">
        <f t="shared" si="94"/>
        <v>0</v>
      </c>
      <c r="H184" s="1368">
        <f>ROUND((D184+E184),0)</f>
        <v>0</v>
      </c>
      <c r="I184" s="1943"/>
      <c r="J184" s="1368"/>
      <c r="K184" s="1943"/>
      <c r="L184" s="1368"/>
      <c r="M184" s="1368">
        <f t="shared" ref="M184:M186" si="137">ROUND((H184+J184-L184),0)</f>
        <v>0</v>
      </c>
      <c r="N184" s="1967"/>
      <c r="O184" s="1058"/>
      <c r="P184" s="1486"/>
      <c r="Q184" s="1368"/>
      <c r="R184" s="1486">
        <f>ROUND((P184+Q184),0)</f>
        <v>0</v>
      </c>
      <c r="S184" s="1487"/>
      <c r="T184" s="1486"/>
      <c r="U184" s="1487"/>
      <c r="V184" s="1486"/>
      <c r="W184" s="1486">
        <f t="shared" ref="W184:W186" si="138">ROUND((R184+T184-V184),0)</f>
        <v>0</v>
      </c>
      <c r="X184" s="1187"/>
      <c r="Y184" s="225"/>
      <c r="Z184" s="699"/>
      <c r="AA184" s="699">
        <f>ROUND((Y184+Z184),0)</f>
        <v>0</v>
      </c>
      <c r="AB184" s="617"/>
      <c r="AC184" s="225"/>
      <c r="AD184" s="617"/>
      <c r="AE184" s="225"/>
      <c r="AF184" s="225">
        <f t="shared" ref="AF184:AF186" si="139">ROUND((AA184+AC184-AE184),0)</f>
        <v>0</v>
      </c>
      <c r="AG184" s="225"/>
      <c r="AH184" s="208"/>
      <c r="AI184" s="9">
        <v>6000000000</v>
      </c>
      <c r="AJ184" s="9"/>
      <c r="AK184" s="9"/>
      <c r="AL184" s="667"/>
      <c r="AM184" s="9"/>
      <c r="AN184" s="9">
        <v>6000000000</v>
      </c>
      <c r="AO184" s="9">
        <f t="shared" ref="AO184:AO186" si="140">ROUND((AM184+AN184),0)</f>
        <v>6000000000</v>
      </c>
      <c r="AP184" s="769"/>
      <c r="AQ184" s="9"/>
      <c r="AR184" s="769"/>
      <c r="AS184" s="9"/>
      <c r="AT184" s="9">
        <f t="shared" ref="AT184:AT186" si="141">ROUND((AO184+AQ184-AS184),0)</f>
        <v>6000000000</v>
      </c>
      <c r="AU184" s="37"/>
      <c r="AV184" s="9"/>
      <c r="AW184" s="9">
        <v>6000000000</v>
      </c>
      <c r="AX184" s="9">
        <f t="shared" ref="AX184:AX186" si="142">ROUND((AV184+AW184),0)</f>
        <v>6000000000</v>
      </c>
      <c r="AY184" s="769"/>
      <c r="AZ184" s="9"/>
      <c r="BA184" s="769"/>
      <c r="BB184" s="9"/>
      <c r="BC184" s="9">
        <f t="shared" ref="BC184:BC186" si="143">ROUND((AX184+AZ184-BB184),0)</f>
        <v>6000000000</v>
      </c>
      <c r="BD184" s="14"/>
      <c r="BE184" s="128"/>
      <c r="BF184" s="219">
        <v>6000000000</v>
      </c>
      <c r="BG184" s="37"/>
      <c r="BH184" s="219">
        <v>6000000000</v>
      </c>
      <c r="BI184" s="11"/>
    </row>
    <row r="185" spans="2:62" s="1" customFormat="1">
      <c r="B185" s="30" t="s">
        <v>407</v>
      </c>
      <c r="C185" s="23" t="s">
        <v>542</v>
      </c>
      <c r="D185" s="1368"/>
      <c r="E185" s="1368"/>
      <c r="F185" s="1365">
        <f t="shared" si="95"/>
        <v>0</v>
      </c>
      <c r="G185" s="1365">
        <f t="shared" si="94"/>
        <v>0</v>
      </c>
      <c r="H185" s="1368">
        <f>ROUND((D185+E185),0)</f>
        <v>0</v>
      </c>
      <c r="I185" s="1943"/>
      <c r="J185" s="1368"/>
      <c r="K185" s="1943"/>
      <c r="L185" s="1368"/>
      <c r="M185" s="1368">
        <f t="shared" si="137"/>
        <v>0</v>
      </c>
      <c r="N185" s="1967"/>
      <c r="O185" s="1058"/>
      <c r="P185" s="1486"/>
      <c r="Q185" s="1368"/>
      <c r="R185" s="1486">
        <f>ROUND((P185+Q185),0)</f>
        <v>0</v>
      </c>
      <c r="S185" s="1487"/>
      <c r="T185" s="1486"/>
      <c r="U185" s="1487"/>
      <c r="V185" s="1486"/>
      <c r="W185" s="1486">
        <f t="shared" si="138"/>
        <v>0</v>
      </c>
      <c r="X185" s="1187"/>
      <c r="Y185" s="225"/>
      <c r="Z185" s="699"/>
      <c r="AA185" s="699">
        <f>ROUND((Y185+Z185),0)</f>
        <v>0</v>
      </c>
      <c r="AB185" s="617"/>
      <c r="AC185" s="225"/>
      <c r="AD185" s="617"/>
      <c r="AE185" s="225"/>
      <c r="AF185" s="225">
        <f t="shared" si="139"/>
        <v>0</v>
      </c>
      <c r="AG185" s="225"/>
      <c r="AH185" s="208"/>
      <c r="AI185" s="9">
        <v>10500000</v>
      </c>
      <c r="AJ185" s="9"/>
      <c r="AK185" s="9"/>
      <c r="AL185" s="667"/>
      <c r="AM185" s="9"/>
      <c r="AN185" s="9">
        <v>10500000</v>
      </c>
      <c r="AO185" s="9">
        <f t="shared" si="140"/>
        <v>10500000</v>
      </c>
      <c r="AP185" s="769"/>
      <c r="AQ185" s="9"/>
      <c r="AR185" s="769"/>
      <c r="AS185" s="9"/>
      <c r="AT185" s="9">
        <f t="shared" si="141"/>
        <v>10500000</v>
      </c>
      <c r="AU185" s="37"/>
      <c r="AV185" s="9"/>
      <c r="AW185" s="9">
        <v>10500000</v>
      </c>
      <c r="AX185" s="9">
        <f t="shared" si="142"/>
        <v>10500000</v>
      </c>
      <c r="AY185" s="769"/>
      <c r="AZ185" s="9"/>
      <c r="BA185" s="769"/>
      <c r="BB185" s="9"/>
      <c r="BC185" s="9">
        <f t="shared" si="143"/>
        <v>10500000</v>
      </c>
      <c r="BD185" s="14"/>
      <c r="BE185" s="128"/>
      <c r="BF185" s="219">
        <v>10500000</v>
      </c>
      <c r="BG185" s="37"/>
      <c r="BH185" s="219">
        <v>10500000</v>
      </c>
      <c r="BI185" s="11"/>
    </row>
    <row r="186" spans="2:62" s="1" customFormat="1">
      <c r="B186" s="30" t="s">
        <v>407</v>
      </c>
      <c r="C186" s="23" t="s">
        <v>543</v>
      </c>
      <c r="D186" s="1368"/>
      <c r="E186" s="1368"/>
      <c r="F186" s="1365">
        <f t="shared" si="95"/>
        <v>0</v>
      </c>
      <c r="G186" s="1365">
        <f t="shared" si="94"/>
        <v>0</v>
      </c>
      <c r="H186" s="1368">
        <f>ROUND((D186+E186),0)</f>
        <v>0</v>
      </c>
      <c r="I186" s="1943"/>
      <c r="J186" s="1368"/>
      <c r="K186" s="1943"/>
      <c r="L186" s="1368"/>
      <c r="M186" s="1368">
        <f t="shared" si="137"/>
        <v>0</v>
      </c>
      <c r="N186" s="1967"/>
      <c r="O186" s="1058"/>
      <c r="P186" s="1486"/>
      <c r="Q186" s="1368"/>
      <c r="R186" s="1486">
        <f>ROUND((P186+Q186),0)</f>
        <v>0</v>
      </c>
      <c r="S186" s="1487"/>
      <c r="T186" s="1486"/>
      <c r="U186" s="1487"/>
      <c r="V186" s="1486"/>
      <c r="W186" s="1486">
        <f t="shared" si="138"/>
        <v>0</v>
      </c>
      <c r="X186" s="1187"/>
      <c r="Y186" s="225"/>
      <c r="Z186" s="699"/>
      <c r="AA186" s="699">
        <f>ROUND((Y186+Z186),0)</f>
        <v>0</v>
      </c>
      <c r="AB186" s="617"/>
      <c r="AC186" s="225"/>
      <c r="AD186" s="617"/>
      <c r="AE186" s="225"/>
      <c r="AF186" s="225">
        <f t="shared" si="139"/>
        <v>0</v>
      </c>
      <c r="AG186" s="225"/>
      <c r="AH186" s="208"/>
      <c r="AI186" s="9">
        <v>500000000</v>
      </c>
      <c r="AJ186" s="9"/>
      <c r="AK186" s="9"/>
      <c r="AL186" s="667"/>
      <c r="AM186" s="9"/>
      <c r="AN186" s="9">
        <v>500000000</v>
      </c>
      <c r="AO186" s="9">
        <f t="shared" si="140"/>
        <v>500000000</v>
      </c>
      <c r="AP186" s="769"/>
      <c r="AQ186" s="9"/>
      <c r="AR186" s="769"/>
      <c r="AS186" s="9"/>
      <c r="AT186" s="9">
        <f t="shared" si="141"/>
        <v>500000000</v>
      </c>
      <c r="AU186" s="37"/>
      <c r="AV186" s="9"/>
      <c r="AW186" s="9">
        <v>500000000</v>
      </c>
      <c r="AX186" s="9">
        <f t="shared" si="142"/>
        <v>500000000</v>
      </c>
      <c r="AY186" s="769"/>
      <c r="AZ186" s="9"/>
      <c r="BA186" s="769"/>
      <c r="BB186" s="9"/>
      <c r="BC186" s="9">
        <f t="shared" si="143"/>
        <v>500000000</v>
      </c>
      <c r="BD186" s="14"/>
      <c r="BE186" s="128"/>
      <c r="BF186" s="219">
        <v>500000000</v>
      </c>
      <c r="BG186" s="37"/>
      <c r="BH186" s="219">
        <v>500000000</v>
      </c>
      <c r="BI186" s="11"/>
    </row>
    <row r="187" spans="2:62" s="1" customFormat="1">
      <c r="B187" s="19"/>
      <c r="C187" s="19" t="s">
        <v>544</v>
      </c>
      <c r="D187" s="1366">
        <f>SUM(D184:D186)</f>
        <v>0</v>
      </c>
      <c r="E187" s="1366">
        <f>SUM(E184:E186)</f>
        <v>0</v>
      </c>
      <c r="F187" s="1365">
        <f t="shared" si="95"/>
        <v>0</v>
      </c>
      <c r="G187" s="1365">
        <f t="shared" si="94"/>
        <v>0</v>
      </c>
      <c r="H187" s="1366">
        <f>SUM(H184:H186)</f>
        <v>0</v>
      </c>
      <c r="I187" s="1942"/>
      <c r="J187" s="1366"/>
      <c r="K187" s="1942"/>
      <c r="L187" s="1366"/>
      <c r="M187" s="1366">
        <f>SUM(M184:M186)</f>
        <v>0</v>
      </c>
      <c r="N187" s="2260"/>
      <c r="O187" s="1058"/>
      <c r="P187" s="1483">
        <f>SUM(P184:P186)</f>
        <v>0</v>
      </c>
      <c r="Q187" s="1366">
        <f>SUM(Q184:Q186)</f>
        <v>0</v>
      </c>
      <c r="R187" s="1483">
        <f>SUM(R184:R186)</f>
        <v>0</v>
      </c>
      <c r="S187" s="1484"/>
      <c r="T187" s="1483"/>
      <c r="U187" s="1484"/>
      <c r="V187" s="1483"/>
      <c r="W187" s="1483">
        <f>SUM(W184:W186)</f>
        <v>0</v>
      </c>
      <c r="X187" s="1187"/>
      <c r="Y187" s="426">
        <f>SUM(Y184:Y186)</f>
        <v>0</v>
      </c>
      <c r="Z187" s="706">
        <f>SUM(Z184:Z186)</f>
        <v>0</v>
      </c>
      <c r="AA187" s="706">
        <f>SUM(AA184:AA186)</f>
        <v>0</v>
      </c>
      <c r="AB187" s="601"/>
      <c r="AC187" s="223"/>
      <c r="AD187" s="601"/>
      <c r="AE187" s="223"/>
      <c r="AF187" s="426">
        <f>SUM(AF184:AF186)</f>
        <v>0</v>
      </c>
      <c r="AG187" s="448"/>
      <c r="AH187" s="228"/>
      <c r="AI187" s="426">
        <f>SUM(AI184:AI186)</f>
        <v>6510500000</v>
      </c>
      <c r="AJ187" s="448"/>
      <c r="AK187" s="448"/>
      <c r="AL187" s="668"/>
      <c r="AM187" s="448">
        <f>SUM(AM184:AM186)</f>
        <v>0</v>
      </c>
      <c r="AN187" s="448">
        <f>SUM(AN184:AN186)</f>
        <v>6510500000</v>
      </c>
      <c r="AO187" s="448">
        <f>SUM(AO184:AO186)</f>
        <v>6510500000</v>
      </c>
      <c r="AP187" s="759"/>
      <c r="AQ187" s="448"/>
      <c r="AR187" s="759"/>
      <c r="AS187" s="448"/>
      <c r="AT187" s="448">
        <f>SUM(AT184:AT186)</f>
        <v>6510500000</v>
      </c>
      <c r="AU187" s="20"/>
      <c r="AV187" s="448">
        <f>SUM(AV184:AV186)</f>
        <v>0</v>
      </c>
      <c r="AW187" s="448">
        <f>SUM(AW184:AW186)</f>
        <v>6510500000</v>
      </c>
      <c r="AX187" s="448">
        <f>SUM(AX184:AX186)</f>
        <v>6510500000</v>
      </c>
      <c r="AY187" s="759"/>
      <c r="AZ187" s="448"/>
      <c r="BA187" s="759"/>
      <c r="BB187" s="448"/>
      <c r="BC187" s="448">
        <f>SUM(BC184:BC186)</f>
        <v>6510500000</v>
      </c>
      <c r="BD187" s="53"/>
      <c r="BE187" s="28"/>
      <c r="BF187" s="426">
        <f>SUM(BF184:BF186)</f>
        <v>6510500000</v>
      </c>
      <c r="BG187" s="58"/>
      <c r="BH187" s="426">
        <f>SUM(BH184:BH186)</f>
        <v>6510500000</v>
      </c>
      <c r="BI187" s="20"/>
    </row>
    <row r="188" spans="2:62" s="1" customFormat="1">
      <c r="B188" s="2" t="s">
        <v>545</v>
      </c>
      <c r="C188" s="4"/>
      <c r="D188" s="1365"/>
      <c r="E188" s="1365"/>
      <c r="F188" s="1365">
        <f t="shared" si="95"/>
        <v>0</v>
      </c>
      <c r="G188" s="1365">
        <f t="shared" si="94"/>
        <v>0</v>
      </c>
      <c r="H188" s="1365"/>
      <c r="I188" s="1384"/>
      <c r="J188" s="1365"/>
      <c r="K188" s="1384"/>
      <c r="L188" s="1365"/>
      <c r="M188" s="1365"/>
      <c r="N188" s="2259"/>
      <c r="O188" s="1058"/>
      <c r="P188" s="1482"/>
      <c r="Q188" s="1365"/>
      <c r="R188" s="1482"/>
      <c r="S188" s="1481"/>
      <c r="T188" s="1482"/>
      <c r="U188" s="1481"/>
      <c r="V188" s="1482"/>
      <c r="W188" s="1482"/>
      <c r="X188" s="1187"/>
      <c r="Y188" s="90"/>
      <c r="Z188" s="697"/>
      <c r="AA188" s="697"/>
      <c r="AB188" s="253"/>
      <c r="AC188" s="90"/>
      <c r="AD188" s="253"/>
      <c r="AE188" s="90"/>
      <c r="AF188" s="90"/>
      <c r="AG188" s="90"/>
      <c r="AH188" s="207"/>
      <c r="AI188" s="424"/>
      <c r="AJ188" s="424"/>
      <c r="AK188" s="424"/>
      <c r="AL188" s="666"/>
      <c r="AM188" s="424"/>
      <c r="AN188" s="424"/>
      <c r="AO188" s="424"/>
      <c r="AP188" s="765"/>
      <c r="AQ188" s="424"/>
      <c r="AR188" s="765"/>
      <c r="AS188" s="424"/>
      <c r="AT188" s="424"/>
      <c r="AU188" s="127"/>
      <c r="AV188" s="424"/>
      <c r="AW188" s="424"/>
      <c r="AX188" s="424"/>
      <c r="AY188" s="765"/>
      <c r="AZ188" s="424"/>
      <c r="BA188" s="765"/>
      <c r="BB188" s="424"/>
      <c r="BC188" s="424"/>
      <c r="BD188" s="586"/>
      <c r="BE188" s="126"/>
      <c r="BF188" s="218"/>
      <c r="BG188" s="127"/>
      <c r="BH188" s="218"/>
      <c r="BI188" s="6"/>
    </row>
    <row r="189" spans="2:62" s="1" customFormat="1">
      <c r="B189" s="30"/>
      <c r="C189" s="13" t="s">
        <v>546</v>
      </c>
      <c r="D189" s="1367">
        <v>2598340000</v>
      </c>
      <c r="E189" s="1367"/>
      <c r="F189" s="1365">
        <f t="shared" si="95"/>
        <v>2598340000</v>
      </c>
      <c r="G189" s="1365">
        <f t="shared" si="94"/>
        <v>0</v>
      </c>
      <c r="H189" s="1367">
        <f t="shared" ref="H189:H200" si="144">ROUND((D189+E189),0)</f>
        <v>2598340000</v>
      </c>
      <c r="I189" s="1384"/>
      <c r="J189" s="1367"/>
      <c r="K189" s="1384"/>
      <c r="L189" s="1367"/>
      <c r="M189" s="1967">
        <f t="shared" ref="M189:M200" si="145">ROUND((H189+J189-L189),0)</f>
        <v>2598340000</v>
      </c>
      <c r="N189" s="1967"/>
      <c r="O189" s="1058">
        <f>M189-AI189</f>
        <v>0</v>
      </c>
      <c r="P189" s="1485">
        <v>2598340000</v>
      </c>
      <c r="Q189" s="1367"/>
      <c r="R189" s="1485">
        <f t="shared" ref="R189:R200" si="146">ROUND((P189+Q189),0)</f>
        <v>2598340000</v>
      </c>
      <c r="S189" s="1481"/>
      <c r="T189" s="1485"/>
      <c r="U189" s="1481"/>
      <c r="V189" s="1485"/>
      <c r="W189" s="1485">
        <f t="shared" ref="W189:W200" si="147">ROUND((R189+T189-V189),0)</f>
        <v>2598340000</v>
      </c>
      <c r="X189" s="1187"/>
      <c r="Y189" s="106">
        <v>2598340000</v>
      </c>
      <c r="Z189" s="698"/>
      <c r="AA189" s="698">
        <f t="shared" ref="AA189:AA200" si="148">ROUND((Y189+Z189),0)</f>
        <v>2598340000</v>
      </c>
      <c r="AB189" s="253"/>
      <c r="AC189" s="106"/>
      <c r="AD189" s="253"/>
      <c r="AE189" s="106"/>
      <c r="AF189" s="106">
        <f t="shared" ref="AF189:AF200" si="149">ROUND((AA189+AC189-AE189),0)</f>
        <v>2598340000</v>
      </c>
      <c r="AG189" s="106"/>
      <c r="AH189" s="208"/>
      <c r="AI189" s="9">
        <v>2598340000</v>
      </c>
      <c r="AJ189" s="9"/>
      <c r="AK189" s="9"/>
      <c r="AL189" s="667"/>
      <c r="AM189" s="9">
        <v>2598340000</v>
      </c>
      <c r="AN189" s="9"/>
      <c r="AO189" s="9">
        <f t="shared" ref="AO189:AO200" si="150">ROUND((AM189+AN189),0)</f>
        <v>2598340000</v>
      </c>
      <c r="AP189" s="769"/>
      <c r="AQ189" s="9"/>
      <c r="AR189" s="769"/>
      <c r="AS189" s="9"/>
      <c r="AT189" s="9">
        <f t="shared" ref="AT189:AT200" si="151">ROUND((AO189+AQ189-AS189),0)</f>
        <v>2598340000</v>
      </c>
      <c r="AU189" s="37"/>
      <c r="AV189" s="9">
        <v>2598340000</v>
      </c>
      <c r="AW189" s="9"/>
      <c r="AX189" s="9">
        <f t="shared" ref="AX189:AX200" si="152">ROUND((AV189+AW189),0)</f>
        <v>2598340000</v>
      </c>
      <c r="AY189" s="769"/>
      <c r="AZ189" s="9"/>
      <c r="BA189" s="769"/>
      <c r="BB189" s="9"/>
      <c r="BC189" s="9">
        <f t="shared" ref="BC189:BC200" si="153">ROUND((AX189+AZ189-BB189),0)</f>
        <v>2598340000</v>
      </c>
      <c r="BD189" s="14"/>
      <c r="BE189" s="128">
        <f t="shared" ref="BE189:BE218" si="154">BF189-AI189</f>
        <v>0</v>
      </c>
      <c r="BF189" s="219">
        <v>2598340000</v>
      </c>
      <c r="BG189" s="128">
        <f t="shared" ref="BG189:BG200" si="155">BH189-BF189</f>
        <v>0</v>
      </c>
      <c r="BH189" s="219">
        <v>2598340000</v>
      </c>
      <c r="BI189" s="11"/>
    </row>
    <row r="190" spans="2:62" s="1" customFormat="1">
      <c r="B190" s="30"/>
      <c r="C190" s="23" t="s">
        <v>547</v>
      </c>
      <c r="D190" s="1368">
        <v>24671108216</v>
      </c>
      <c r="E190" s="1368">
        <f>ROUND(37188156151.9,0)</f>
        <v>37188156152</v>
      </c>
      <c r="F190" s="1365">
        <f t="shared" si="95"/>
        <v>61859264368</v>
      </c>
      <c r="G190" s="1365">
        <f t="shared" si="94"/>
        <v>0</v>
      </c>
      <c r="H190" s="1368">
        <f t="shared" si="144"/>
        <v>61859264368</v>
      </c>
      <c r="I190" s="1943"/>
      <c r="J190" s="1368"/>
      <c r="K190" s="1943"/>
      <c r="L190" s="1368"/>
      <c r="M190" s="1967">
        <f t="shared" si="145"/>
        <v>61859264368</v>
      </c>
      <c r="N190" s="1967"/>
      <c r="O190" s="1058">
        <f t="shared" ref="O190:O200" si="156">M190-AI190</f>
        <v>0</v>
      </c>
      <c r="P190" s="1486">
        <v>24671108216</v>
      </c>
      <c r="Q190" s="1368">
        <f>ROUND(37188156151.9,0)</f>
        <v>37188156152</v>
      </c>
      <c r="R190" s="1486">
        <f t="shared" si="146"/>
        <v>61859264368</v>
      </c>
      <c r="S190" s="1487"/>
      <c r="T190" s="1486"/>
      <c r="U190" s="1487"/>
      <c r="V190" s="1486"/>
      <c r="W190" s="1486">
        <f t="shared" si="147"/>
        <v>61859264368</v>
      </c>
      <c r="X190" s="1187"/>
      <c r="Y190" s="225">
        <v>24671108216</v>
      </c>
      <c r="Z190" s="699">
        <v>37188156152</v>
      </c>
      <c r="AA190" s="699">
        <f t="shared" si="148"/>
        <v>61859264368</v>
      </c>
      <c r="AB190" s="617"/>
      <c r="AC190" s="225"/>
      <c r="AD190" s="617"/>
      <c r="AE190" s="225"/>
      <c r="AF190" s="225">
        <f t="shared" si="149"/>
        <v>61859264368</v>
      </c>
      <c r="AG190" s="225"/>
      <c r="AH190" s="208" t="s">
        <v>548</v>
      </c>
      <c r="AI190" s="9">
        <v>61859264368</v>
      </c>
      <c r="AJ190" s="9"/>
      <c r="AK190" s="9"/>
      <c r="AL190" s="667"/>
      <c r="AM190" s="9">
        <v>24671108216</v>
      </c>
      <c r="AN190" s="9">
        <v>37188156152</v>
      </c>
      <c r="AO190" s="9">
        <f t="shared" si="150"/>
        <v>61859264368</v>
      </c>
      <c r="AP190" s="769"/>
      <c r="AQ190" s="9"/>
      <c r="AR190" s="769"/>
      <c r="AS190" s="9"/>
      <c r="AT190" s="9">
        <f t="shared" si="151"/>
        <v>61859264368</v>
      </c>
      <c r="AU190" s="37"/>
      <c r="AV190" s="9">
        <v>24671108216</v>
      </c>
      <c r="AW190" s="9">
        <v>37188156152</v>
      </c>
      <c r="AX190" s="9">
        <f t="shared" si="152"/>
        <v>61859264368</v>
      </c>
      <c r="AY190" s="769"/>
      <c r="AZ190" s="9"/>
      <c r="BA190" s="769"/>
      <c r="BB190" s="9"/>
      <c r="BC190" s="9">
        <f t="shared" si="153"/>
        <v>61859264368</v>
      </c>
      <c r="BD190" s="208" t="s">
        <v>548</v>
      </c>
      <c r="BE190" s="128">
        <f t="shared" si="154"/>
        <v>0</v>
      </c>
      <c r="BF190" s="219">
        <v>61859264368</v>
      </c>
      <c r="BG190" s="128">
        <f t="shared" si="155"/>
        <v>0</v>
      </c>
      <c r="BH190" s="219">
        <v>61859264368</v>
      </c>
      <c r="BI190" s="11"/>
    </row>
    <row r="191" spans="2:62" s="1" customFormat="1">
      <c r="B191" s="30" t="s">
        <v>407</v>
      </c>
      <c r="C191" s="13" t="s">
        <v>549</v>
      </c>
      <c r="D191" s="1367"/>
      <c r="E191" s="1367">
        <v>6200217370</v>
      </c>
      <c r="F191" s="1365">
        <f t="shared" si="95"/>
        <v>6200217370</v>
      </c>
      <c r="G191" s="1365">
        <f t="shared" si="94"/>
        <v>0</v>
      </c>
      <c r="H191" s="1367">
        <f t="shared" si="144"/>
        <v>6200217370</v>
      </c>
      <c r="I191" s="1384"/>
      <c r="J191" s="1367"/>
      <c r="K191" s="1384"/>
      <c r="L191" s="1367"/>
      <c r="M191" s="1967">
        <f t="shared" si="145"/>
        <v>6200217370</v>
      </c>
      <c r="N191" s="1967"/>
      <c r="O191" s="1058">
        <f t="shared" si="156"/>
        <v>0</v>
      </c>
      <c r="P191" s="1485"/>
      <c r="Q191" s="1367">
        <v>6200217370</v>
      </c>
      <c r="R191" s="1485">
        <f t="shared" si="146"/>
        <v>6200217370</v>
      </c>
      <c r="S191" s="1481"/>
      <c r="T191" s="1485"/>
      <c r="U191" s="1481"/>
      <c r="V191" s="1485"/>
      <c r="W191" s="1485">
        <f t="shared" si="147"/>
        <v>6200217370</v>
      </c>
      <c r="X191" s="1187"/>
      <c r="Y191" s="106">
        <v>0</v>
      </c>
      <c r="Z191" s="698">
        <v>6200217370</v>
      </c>
      <c r="AA191" s="698">
        <f t="shared" si="148"/>
        <v>6200217370</v>
      </c>
      <c r="AB191" s="253"/>
      <c r="AC191" s="106"/>
      <c r="AD191" s="253"/>
      <c r="AE191" s="106"/>
      <c r="AF191" s="106">
        <f t="shared" si="149"/>
        <v>6200217370</v>
      </c>
      <c r="AG191" s="106"/>
      <c r="AH191" s="208" t="s">
        <v>550</v>
      </c>
      <c r="AI191" s="9">
        <v>6200217370</v>
      </c>
      <c r="AJ191" s="9"/>
      <c r="AK191" s="9"/>
      <c r="AL191" s="667"/>
      <c r="AM191" s="9"/>
      <c r="AN191" s="9">
        <v>6200217370</v>
      </c>
      <c r="AO191" s="9">
        <f t="shared" si="150"/>
        <v>6200217370</v>
      </c>
      <c r="AP191" s="769"/>
      <c r="AQ191" s="9"/>
      <c r="AR191" s="769"/>
      <c r="AS191" s="9"/>
      <c r="AT191" s="9">
        <f t="shared" si="151"/>
        <v>6200217370</v>
      </c>
      <c r="AU191" s="37"/>
      <c r="AV191" s="9"/>
      <c r="AW191" s="9">
        <v>6200217370</v>
      </c>
      <c r="AX191" s="9">
        <f t="shared" si="152"/>
        <v>6200217370</v>
      </c>
      <c r="AY191" s="769"/>
      <c r="AZ191" s="9"/>
      <c r="BA191" s="769"/>
      <c r="BB191" s="9"/>
      <c r="BC191" s="9">
        <f t="shared" si="153"/>
        <v>6200217370</v>
      </c>
      <c r="BD191" s="208" t="s">
        <v>550</v>
      </c>
      <c r="BE191" s="128">
        <f t="shared" si="154"/>
        <v>0</v>
      </c>
      <c r="BF191" s="219">
        <v>6200217370</v>
      </c>
      <c r="BG191" s="128">
        <f t="shared" si="155"/>
        <v>0</v>
      </c>
      <c r="BH191" s="219">
        <v>6200217370</v>
      </c>
      <c r="BI191" s="11"/>
      <c r="BJ191" s="2121">
        <f>AI191+AI192+AI193+AI195+AI197</f>
        <v>79083989410</v>
      </c>
    </row>
    <row r="192" spans="2:62" s="1" customFormat="1">
      <c r="B192" s="30"/>
      <c r="C192" s="23" t="s">
        <v>551</v>
      </c>
      <c r="D192" s="1368">
        <v>12464903552</v>
      </c>
      <c r="E192" s="1368">
        <f>ROUND(37788136452.3,0)</f>
        <v>37788136452</v>
      </c>
      <c r="F192" s="1365">
        <f t="shared" si="95"/>
        <v>50253040004</v>
      </c>
      <c r="G192" s="1365">
        <f t="shared" si="94"/>
        <v>0</v>
      </c>
      <c r="H192" s="1368">
        <f t="shared" si="144"/>
        <v>50253040004</v>
      </c>
      <c r="I192" s="1943"/>
      <c r="J192" s="1368"/>
      <c r="K192" s="1943"/>
      <c r="L192" s="1368"/>
      <c r="M192" s="1967">
        <f t="shared" si="145"/>
        <v>50253040004</v>
      </c>
      <c r="N192" s="1967"/>
      <c r="O192" s="1058">
        <f t="shared" si="156"/>
        <v>170000000</v>
      </c>
      <c r="P192" s="1486">
        <v>12464903552</v>
      </c>
      <c r="Q192" s="1368">
        <f>ROUND(37618136452.3,0)</f>
        <v>37618136452</v>
      </c>
      <c r="R192" s="1486">
        <f t="shared" si="146"/>
        <v>50083040004</v>
      </c>
      <c r="S192" s="1487"/>
      <c r="T192" s="1486"/>
      <c r="U192" s="1487"/>
      <c r="V192" s="1486"/>
      <c r="W192" s="1486">
        <f t="shared" si="147"/>
        <v>50083040004</v>
      </c>
      <c r="X192" s="1187"/>
      <c r="Y192" s="225">
        <v>12464903552</v>
      </c>
      <c r="Z192" s="699">
        <v>37618136452</v>
      </c>
      <c r="AA192" s="699">
        <f t="shared" si="148"/>
        <v>50083040004</v>
      </c>
      <c r="AB192" s="617"/>
      <c r="AC192" s="225"/>
      <c r="AD192" s="617"/>
      <c r="AE192" s="225"/>
      <c r="AF192" s="225">
        <f t="shared" si="149"/>
        <v>50083040004</v>
      </c>
      <c r="AG192" s="225"/>
      <c r="AH192" s="208" t="s">
        <v>552</v>
      </c>
      <c r="AI192" s="9">
        <v>50083040004</v>
      </c>
      <c r="AJ192" s="9"/>
      <c r="AK192" s="9"/>
      <c r="AL192" s="667"/>
      <c r="AM192" s="9">
        <v>12464903552</v>
      </c>
      <c r="AN192" s="9">
        <v>37618136452</v>
      </c>
      <c r="AO192" s="9">
        <f t="shared" si="150"/>
        <v>50083040004</v>
      </c>
      <c r="AP192" s="769"/>
      <c r="AQ192" s="9"/>
      <c r="AR192" s="769"/>
      <c r="AS192" s="9"/>
      <c r="AT192" s="9">
        <f t="shared" si="151"/>
        <v>50083040004</v>
      </c>
      <c r="AU192" s="37"/>
      <c r="AV192" s="9">
        <v>12464903552</v>
      </c>
      <c r="AW192" s="9">
        <v>37618136452</v>
      </c>
      <c r="AX192" s="9">
        <f t="shared" si="152"/>
        <v>50083040004</v>
      </c>
      <c r="AY192" s="769"/>
      <c r="AZ192" s="9"/>
      <c r="BA192" s="769"/>
      <c r="BB192" s="9"/>
      <c r="BC192" s="9">
        <f t="shared" si="153"/>
        <v>50083040004</v>
      </c>
      <c r="BD192" s="208" t="s">
        <v>552</v>
      </c>
      <c r="BE192" s="128">
        <f t="shared" si="154"/>
        <v>0</v>
      </c>
      <c r="BF192" s="219">
        <v>50083040004</v>
      </c>
      <c r="BG192" s="128">
        <f t="shared" si="155"/>
        <v>-54759730</v>
      </c>
      <c r="BH192" s="219">
        <v>50028280274</v>
      </c>
      <c r="BI192" s="11">
        <f>BQ192-BG192</f>
        <v>54759730</v>
      </c>
    </row>
    <row r="193" spans="2:61" s="1" customFormat="1">
      <c r="B193" s="30"/>
      <c r="C193" s="23" t="s">
        <v>553</v>
      </c>
      <c r="D193" s="1368">
        <v>1630238788</v>
      </c>
      <c r="E193" s="1368">
        <v>8462660000</v>
      </c>
      <c r="F193" s="1365">
        <f t="shared" si="95"/>
        <v>10092898788</v>
      </c>
      <c r="G193" s="1365">
        <f t="shared" si="94"/>
        <v>0</v>
      </c>
      <c r="H193" s="1368">
        <f t="shared" si="144"/>
        <v>10092898788</v>
      </c>
      <c r="I193" s="1943"/>
      <c r="J193" s="1368"/>
      <c r="K193" s="1943"/>
      <c r="L193" s="1368"/>
      <c r="M193" s="1967">
        <f t="shared" si="145"/>
        <v>10092898788</v>
      </c>
      <c r="N193" s="1967"/>
      <c r="O193" s="1058">
        <f t="shared" si="156"/>
        <v>0</v>
      </c>
      <c r="P193" s="1486">
        <v>1630238788</v>
      </c>
      <c r="Q193" s="1368">
        <v>8462660000</v>
      </c>
      <c r="R193" s="1486">
        <f t="shared" si="146"/>
        <v>10092898788</v>
      </c>
      <c r="S193" s="1487"/>
      <c r="T193" s="1486"/>
      <c r="U193" s="1487"/>
      <c r="V193" s="1486"/>
      <c r="W193" s="1486">
        <f t="shared" si="147"/>
        <v>10092898788</v>
      </c>
      <c r="X193" s="1187"/>
      <c r="Y193" s="225">
        <v>1630238788</v>
      </c>
      <c r="Z193" s="699">
        <v>8462660000</v>
      </c>
      <c r="AA193" s="699">
        <f t="shared" si="148"/>
        <v>10092898788</v>
      </c>
      <c r="AB193" s="617"/>
      <c r="AC193" s="225"/>
      <c r="AD193" s="617"/>
      <c r="AE193" s="225"/>
      <c r="AF193" s="225">
        <f t="shared" si="149"/>
        <v>10092898788</v>
      </c>
      <c r="AG193" s="225"/>
      <c r="AH193" s="208"/>
      <c r="AI193" s="9">
        <v>10092898788</v>
      </c>
      <c r="AJ193" s="9"/>
      <c r="AK193" s="9"/>
      <c r="AL193" s="667"/>
      <c r="AM193" s="9">
        <v>1630238788</v>
      </c>
      <c r="AN193" s="9">
        <v>8462660000</v>
      </c>
      <c r="AO193" s="9">
        <f t="shared" si="150"/>
        <v>10092898788</v>
      </c>
      <c r="AP193" s="769"/>
      <c r="AQ193" s="9"/>
      <c r="AR193" s="769"/>
      <c r="AS193" s="9"/>
      <c r="AT193" s="9">
        <f t="shared" si="151"/>
        <v>10092898788</v>
      </c>
      <c r="AU193" s="37"/>
      <c r="AV193" s="9">
        <v>1630238788</v>
      </c>
      <c r="AW193" s="9">
        <v>8462660000</v>
      </c>
      <c r="AX193" s="9">
        <f t="shared" si="152"/>
        <v>10092898788</v>
      </c>
      <c r="AY193" s="769"/>
      <c r="AZ193" s="9"/>
      <c r="BA193" s="769"/>
      <c r="BB193" s="9"/>
      <c r="BC193" s="9">
        <f t="shared" si="153"/>
        <v>10092898788</v>
      </c>
      <c r="BD193" s="208"/>
      <c r="BE193" s="128">
        <f t="shared" si="154"/>
        <v>-120000000</v>
      </c>
      <c r="BF193" s="219">
        <v>9972898788</v>
      </c>
      <c r="BG193" s="128">
        <f t="shared" si="155"/>
        <v>-198767788</v>
      </c>
      <c r="BH193" s="219">
        <v>9774131000</v>
      </c>
      <c r="BI193" s="11"/>
    </row>
    <row r="194" spans="2:61" s="1" customFormat="1">
      <c r="B194" s="30"/>
      <c r="C194" s="13" t="s">
        <v>554</v>
      </c>
      <c r="D194" s="1367">
        <v>545000000</v>
      </c>
      <c r="E194" s="1367"/>
      <c r="F194" s="1365">
        <f t="shared" si="95"/>
        <v>545000000</v>
      </c>
      <c r="G194" s="1365">
        <f t="shared" si="94"/>
        <v>0</v>
      </c>
      <c r="H194" s="1367">
        <f t="shared" si="144"/>
        <v>545000000</v>
      </c>
      <c r="I194" s="1384"/>
      <c r="J194" s="1367"/>
      <c r="K194" s="1384"/>
      <c r="L194" s="1367"/>
      <c r="M194" s="1967">
        <f t="shared" si="145"/>
        <v>545000000</v>
      </c>
      <c r="N194" s="1967"/>
      <c r="O194" s="1058">
        <f t="shared" si="156"/>
        <v>0</v>
      </c>
      <c r="P194" s="1485">
        <v>545000000</v>
      </c>
      <c r="Q194" s="1367"/>
      <c r="R194" s="1485">
        <f t="shared" si="146"/>
        <v>545000000</v>
      </c>
      <c r="S194" s="1481"/>
      <c r="T194" s="1485"/>
      <c r="U194" s="1481"/>
      <c r="V194" s="1485"/>
      <c r="W194" s="1485">
        <f t="shared" si="147"/>
        <v>545000000</v>
      </c>
      <c r="X194" s="1187"/>
      <c r="Y194" s="106">
        <v>545000000</v>
      </c>
      <c r="Z194" s="698">
        <v>0</v>
      </c>
      <c r="AA194" s="698">
        <f t="shared" si="148"/>
        <v>545000000</v>
      </c>
      <c r="AB194" s="253"/>
      <c r="AC194" s="106"/>
      <c r="AD194" s="253"/>
      <c r="AE194" s="106"/>
      <c r="AF194" s="106">
        <f t="shared" si="149"/>
        <v>545000000</v>
      </c>
      <c r="AG194" s="106"/>
      <c r="AH194" s="208"/>
      <c r="AI194" s="9">
        <v>545000000</v>
      </c>
      <c r="AJ194" s="9"/>
      <c r="AK194" s="9"/>
      <c r="AL194" s="667"/>
      <c r="AM194" s="9">
        <v>545000000</v>
      </c>
      <c r="AN194" s="9"/>
      <c r="AO194" s="9">
        <f t="shared" si="150"/>
        <v>545000000</v>
      </c>
      <c r="AP194" s="769"/>
      <c r="AQ194" s="9"/>
      <c r="AR194" s="769"/>
      <c r="AS194" s="9"/>
      <c r="AT194" s="9">
        <f t="shared" si="151"/>
        <v>545000000</v>
      </c>
      <c r="AU194" s="37"/>
      <c r="AV194" s="9">
        <v>545000000</v>
      </c>
      <c r="AW194" s="9"/>
      <c r="AX194" s="9">
        <f t="shared" si="152"/>
        <v>545000000</v>
      </c>
      <c r="AY194" s="769"/>
      <c r="AZ194" s="9"/>
      <c r="BA194" s="769"/>
      <c r="BB194" s="9"/>
      <c r="BC194" s="9">
        <f t="shared" si="153"/>
        <v>545000000</v>
      </c>
      <c r="BD194" s="208"/>
      <c r="BE194" s="128">
        <f t="shared" si="154"/>
        <v>0</v>
      </c>
      <c r="BF194" s="219">
        <v>545000000</v>
      </c>
      <c r="BG194" s="128">
        <f t="shared" si="155"/>
        <v>0</v>
      </c>
      <c r="BH194" s="219">
        <v>545000000</v>
      </c>
      <c r="BI194" s="11"/>
    </row>
    <row r="195" spans="2:61" s="1" customFormat="1">
      <c r="B195" s="30"/>
      <c r="C195" s="13" t="s">
        <v>555</v>
      </c>
      <c r="D195" s="1367">
        <v>234184005</v>
      </c>
      <c r="E195" s="1367">
        <v>1303269796</v>
      </c>
      <c r="F195" s="1365">
        <f t="shared" si="95"/>
        <v>1537453801</v>
      </c>
      <c r="G195" s="1365">
        <f t="shared" si="94"/>
        <v>0</v>
      </c>
      <c r="H195" s="1367">
        <f t="shared" si="144"/>
        <v>1537453801</v>
      </c>
      <c r="I195" s="1384"/>
      <c r="J195" s="1367"/>
      <c r="K195" s="1384"/>
      <c r="L195" s="1367"/>
      <c r="M195" s="1967">
        <f t="shared" si="145"/>
        <v>1537453801</v>
      </c>
      <c r="N195" s="1967"/>
      <c r="O195" s="1058">
        <f t="shared" si="156"/>
        <v>0</v>
      </c>
      <c r="P195" s="1485">
        <v>234184005</v>
      </c>
      <c r="Q195" s="1367">
        <v>1303269796</v>
      </c>
      <c r="R195" s="1485">
        <f t="shared" si="146"/>
        <v>1537453801</v>
      </c>
      <c r="S195" s="1481"/>
      <c r="T195" s="1485"/>
      <c r="U195" s="1481"/>
      <c r="V195" s="1485"/>
      <c r="W195" s="1485">
        <f t="shared" si="147"/>
        <v>1537453801</v>
      </c>
      <c r="X195" s="1187"/>
      <c r="Y195" s="106">
        <v>234184005</v>
      </c>
      <c r="Z195" s="698">
        <v>1303269796</v>
      </c>
      <c r="AA195" s="698">
        <f t="shared" si="148"/>
        <v>1537453801</v>
      </c>
      <c r="AB195" s="253"/>
      <c r="AC195" s="106"/>
      <c r="AD195" s="253"/>
      <c r="AE195" s="106"/>
      <c r="AF195" s="106">
        <f t="shared" si="149"/>
        <v>1537453801</v>
      </c>
      <c r="AG195" s="106"/>
      <c r="AH195" s="208" t="s">
        <v>556</v>
      </c>
      <c r="AI195" s="9">
        <v>1537453801</v>
      </c>
      <c r="AJ195" s="9"/>
      <c r="AK195" s="9"/>
      <c r="AL195" s="667"/>
      <c r="AM195" s="9">
        <v>234184005</v>
      </c>
      <c r="AN195" s="9">
        <v>1303269796</v>
      </c>
      <c r="AO195" s="9">
        <f t="shared" si="150"/>
        <v>1537453801</v>
      </c>
      <c r="AP195" s="769"/>
      <c r="AQ195" s="9"/>
      <c r="AR195" s="769"/>
      <c r="AS195" s="9"/>
      <c r="AT195" s="9">
        <f t="shared" si="151"/>
        <v>1537453801</v>
      </c>
      <c r="AU195" s="37"/>
      <c r="AV195" s="9">
        <v>234184005</v>
      </c>
      <c r="AW195" s="9">
        <v>1303269796</v>
      </c>
      <c r="AX195" s="9">
        <f t="shared" si="152"/>
        <v>1537453801</v>
      </c>
      <c r="AY195" s="769"/>
      <c r="AZ195" s="9"/>
      <c r="BA195" s="769"/>
      <c r="BB195" s="9"/>
      <c r="BC195" s="9">
        <f t="shared" si="153"/>
        <v>1537453801</v>
      </c>
      <c r="BD195" s="208" t="s">
        <v>556</v>
      </c>
      <c r="BE195" s="128">
        <f t="shared" si="154"/>
        <v>-29115000</v>
      </c>
      <c r="BF195" s="219">
        <v>1508338801</v>
      </c>
      <c r="BG195" s="128">
        <f t="shared" si="155"/>
        <v>-66405000</v>
      </c>
      <c r="BH195" s="219">
        <v>1441933801</v>
      </c>
      <c r="BI195" s="11"/>
    </row>
    <row r="196" spans="2:61" s="1" customFormat="1">
      <c r="B196" s="30" t="s">
        <v>407</v>
      </c>
      <c r="C196" s="13" t="s">
        <v>557</v>
      </c>
      <c r="D196" s="1367"/>
      <c r="E196" s="1367">
        <v>1452280000</v>
      </c>
      <c r="F196" s="1365">
        <f t="shared" si="95"/>
        <v>1452280000</v>
      </c>
      <c r="G196" s="1365">
        <f t="shared" si="94"/>
        <v>0</v>
      </c>
      <c r="H196" s="1367">
        <f t="shared" si="144"/>
        <v>1452280000</v>
      </c>
      <c r="I196" s="1384"/>
      <c r="J196" s="1367"/>
      <c r="K196" s="1384"/>
      <c r="L196" s="1367"/>
      <c r="M196" s="1967">
        <f t="shared" si="145"/>
        <v>1452280000</v>
      </c>
      <c r="N196" s="1967"/>
      <c r="O196" s="1058">
        <f t="shared" si="156"/>
        <v>0</v>
      </c>
      <c r="P196" s="1485"/>
      <c r="Q196" s="1367">
        <v>1452280000</v>
      </c>
      <c r="R196" s="1485">
        <f t="shared" si="146"/>
        <v>1452280000</v>
      </c>
      <c r="S196" s="1481"/>
      <c r="T196" s="1485"/>
      <c r="U196" s="1481"/>
      <c r="V196" s="1485"/>
      <c r="W196" s="1485">
        <f t="shared" si="147"/>
        <v>1452280000</v>
      </c>
      <c r="X196" s="1187"/>
      <c r="Y196" s="106">
        <v>0</v>
      </c>
      <c r="Z196" s="698">
        <v>1452280000</v>
      </c>
      <c r="AA196" s="698">
        <f t="shared" si="148"/>
        <v>1452280000</v>
      </c>
      <c r="AB196" s="253"/>
      <c r="AC196" s="106"/>
      <c r="AD196" s="253"/>
      <c r="AE196" s="106"/>
      <c r="AF196" s="106">
        <f t="shared" si="149"/>
        <v>1452280000</v>
      </c>
      <c r="AG196" s="106"/>
      <c r="AH196" s="208" t="s">
        <v>548</v>
      </c>
      <c r="AI196" s="9">
        <v>1452280000</v>
      </c>
      <c r="AJ196" s="9"/>
      <c r="AK196" s="9"/>
      <c r="AL196" s="667"/>
      <c r="AM196" s="9"/>
      <c r="AN196" s="9">
        <v>1452280000</v>
      </c>
      <c r="AO196" s="9">
        <f t="shared" si="150"/>
        <v>1452280000</v>
      </c>
      <c r="AP196" s="769"/>
      <c r="AQ196" s="9"/>
      <c r="AR196" s="769"/>
      <c r="AS196" s="9"/>
      <c r="AT196" s="9">
        <f t="shared" si="151"/>
        <v>1452280000</v>
      </c>
      <c r="AU196" s="37"/>
      <c r="AV196" s="9"/>
      <c r="AW196" s="9">
        <v>1452280000</v>
      </c>
      <c r="AX196" s="9">
        <f t="shared" si="152"/>
        <v>1452280000</v>
      </c>
      <c r="AY196" s="769"/>
      <c r="AZ196" s="9"/>
      <c r="BA196" s="769"/>
      <c r="BB196" s="9"/>
      <c r="BC196" s="9">
        <f t="shared" si="153"/>
        <v>1452280000</v>
      </c>
      <c r="BD196" s="208" t="s">
        <v>548</v>
      </c>
      <c r="BE196" s="128">
        <f t="shared" si="154"/>
        <v>0</v>
      </c>
      <c r="BF196" s="219">
        <v>1452280000</v>
      </c>
      <c r="BG196" s="128">
        <f t="shared" si="155"/>
        <v>0</v>
      </c>
      <c r="BH196" s="219">
        <v>1452280000</v>
      </c>
      <c r="BI196" s="11"/>
    </row>
    <row r="197" spans="2:61" s="1" customFormat="1">
      <c r="B197" s="30" t="s">
        <v>407</v>
      </c>
      <c r="C197" s="23" t="s">
        <v>558</v>
      </c>
      <c r="D197" s="1368"/>
      <c r="E197" s="1368">
        <v>11170379447</v>
      </c>
      <c r="F197" s="1365">
        <f t="shared" si="95"/>
        <v>11170379447</v>
      </c>
      <c r="G197" s="1365">
        <f t="shared" si="94"/>
        <v>0</v>
      </c>
      <c r="H197" s="1368">
        <f t="shared" si="144"/>
        <v>11170379447</v>
      </c>
      <c r="I197" s="1943"/>
      <c r="J197" s="1368"/>
      <c r="K197" s="1943"/>
      <c r="L197" s="1368"/>
      <c r="M197" s="1967">
        <f t="shared" si="145"/>
        <v>11170379447</v>
      </c>
      <c r="N197" s="1967"/>
      <c r="O197" s="1058">
        <f t="shared" si="156"/>
        <v>0</v>
      </c>
      <c r="P197" s="1486"/>
      <c r="Q197" s="1368">
        <v>11170379447</v>
      </c>
      <c r="R197" s="1486">
        <f t="shared" si="146"/>
        <v>11170379447</v>
      </c>
      <c r="S197" s="1487"/>
      <c r="T197" s="1486"/>
      <c r="U197" s="1487"/>
      <c r="V197" s="1486"/>
      <c r="W197" s="1486">
        <f t="shared" si="147"/>
        <v>11170379447</v>
      </c>
      <c r="X197" s="1187"/>
      <c r="Y197" s="225">
        <v>0</v>
      </c>
      <c r="Z197" s="699">
        <v>11170379447</v>
      </c>
      <c r="AA197" s="699">
        <f t="shared" si="148"/>
        <v>11170379447</v>
      </c>
      <c r="AB197" s="617"/>
      <c r="AC197" s="225"/>
      <c r="AD197" s="617"/>
      <c r="AE197" s="225"/>
      <c r="AF197" s="225">
        <f t="shared" si="149"/>
        <v>11170379447</v>
      </c>
      <c r="AG197" s="225"/>
      <c r="AH197" s="208" t="s">
        <v>550</v>
      </c>
      <c r="AI197" s="9">
        <v>11170379447</v>
      </c>
      <c r="AJ197" s="9"/>
      <c r="AK197" s="9"/>
      <c r="AL197" s="667"/>
      <c r="AM197" s="9"/>
      <c r="AN197" s="9">
        <v>11170379447</v>
      </c>
      <c r="AO197" s="9">
        <f t="shared" si="150"/>
        <v>11170379447</v>
      </c>
      <c r="AP197" s="769"/>
      <c r="AQ197" s="9"/>
      <c r="AR197" s="769"/>
      <c r="AS197" s="9"/>
      <c r="AT197" s="9">
        <f t="shared" si="151"/>
        <v>11170379447</v>
      </c>
      <c r="AU197" s="37"/>
      <c r="AV197" s="9"/>
      <c r="AW197" s="9">
        <v>11170379447</v>
      </c>
      <c r="AX197" s="9">
        <f t="shared" si="152"/>
        <v>11170379447</v>
      </c>
      <c r="AY197" s="769"/>
      <c r="AZ197" s="9"/>
      <c r="BA197" s="769"/>
      <c r="BB197" s="9"/>
      <c r="BC197" s="9">
        <f t="shared" si="153"/>
        <v>11170379447</v>
      </c>
      <c r="BD197" s="208" t="s">
        <v>550</v>
      </c>
      <c r="BE197" s="128">
        <f t="shared" si="154"/>
        <v>0</v>
      </c>
      <c r="BF197" s="219">
        <v>11170379447</v>
      </c>
      <c r="BG197" s="128">
        <f t="shared" si="155"/>
        <v>0</v>
      </c>
      <c r="BH197" s="219">
        <v>11170379447</v>
      </c>
      <c r="BI197" s="11"/>
    </row>
    <row r="198" spans="2:61" s="1" customFormat="1">
      <c r="B198" s="30"/>
      <c r="C198" s="13" t="s">
        <v>559</v>
      </c>
      <c r="D198" s="1367">
        <v>1389452351</v>
      </c>
      <c r="E198" s="1367"/>
      <c r="F198" s="1365">
        <f t="shared" si="95"/>
        <v>1389452351</v>
      </c>
      <c r="G198" s="1365">
        <f t="shared" si="94"/>
        <v>0</v>
      </c>
      <c r="H198" s="1367">
        <f t="shared" si="144"/>
        <v>1389452351</v>
      </c>
      <c r="I198" s="1384"/>
      <c r="J198" s="1367"/>
      <c r="K198" s="1384"/>
      <c r="L198" s="1367"/>
      <c r="M198" s="1967">
        <f t="shared" si="145"/>
        <v>1389452351</v>
      </c>
      <c r="N198" s="1967"/>
      <c r="O198" s="1058">
        <f t="shared" si="156"/>
        <v>0</v>
      </c>
      <c r="P198" s="1485">
        <v>1389452351</v>
      </c>
      <c r="Q198" s="1367"/>
      <c r="R198" s="1485">
        <f t="shared" si="146"/>
        <v>1389452351</v>
      </c>
      <c r="S198" s="1481"/>
      <c r="T198" s="1485"/>
      <c r="U198" s="1481"/>
      <c r="V198" s="1485"/>
      <c r="W198" s="1485">
        <f t="shared" si="147"/>
        <v>1389452351</v>
      </c>
      <c r="X198" s="1187"/>
      <c r="Y198" s="106">
        <v>1389452351</v>
      </c>
      <c r="Z198" s="698">
        <v>0</v>
      </c>
      <c r="AA198" s="698">
        <f t="shared" si="148"/>
        <v>1389452351</v>
      </c>
      <c r="AB198" s="253"/>
      <c r="AC198" s="106"/>
      <c r="AD198" s="253"/>
      <c r="AE198" s="106"/>
      <c r="AF198" s="106">
        <f t="shared" si="149"/>
        <v>1389452351</v>
      </c>
      <c r="AG198" s="106"/>
      <c r="AH198" s="208" t="s">
        <v>550</v>
      </c>
      <c r="AI198" s="9">
        <v>1389452351</v>
      </c>
      <c r="AJ198" s="9"/>
      <c r="AK198" s="9"/>
      <c r="AL198" s="667"/>
      <c r="AM198" s="9">
        <v>1389452351</v>
      </c>
      <c r="AN198" s="9"/>
      <c r="AO198" s="9">
        <f t="shared" si="150"/>
        <v>1389452351</v>
      </c>
      <c r="AP198" s="769"/>
      <c r="AQ198" s="9"/>
      <c r="AR198" s="769"/>
      <c r="AS198" s="9"/>
      <c r="AT198" s="9">
        <f t="shared" si="151"/>
        <v>1389452351</v>
      </c>
      <c r="AU198" s="37"/>
      <c r="AV198" s="9">
        <v>1389452351</v>
      </c>
      <c r="AW198" s="9"/>
      <c r="AX198" s="9">
        <f t="shared" si="152"/>
        <v>1389452351</v>
      </c>
      <c r="AY198" s="769"/>
      <c r="AZ198" s="9"/>
      <c r="BA198" s="769"/>
      <c r="BB198" s="9"/>
      <c r="BC198" s="9">
        <f t="shared" si="153"/>
        <v>1389452351</v>
      </c>
      <c r="BD198" s="208" t="s">
        <v>550</v>
      </c>
      <c r="BE198" s="128">
        <f t="shared" si="154"/>
        <v>0</v>
      </c>
      <c r="BF198" s="219">
        <v>1389452351</v>
      </c>
      <c r="BG198" s="128">
        <f t="shared" si="155"/>
        <v>-17884600</v>
      </c>
      <c r="BH198" s="219">
        <v>1371567751</v>
      </c>
      <c r="BI198" s="11"/>
    </row>
    <row r="199" spans="2:61" s="1" customFormat="1">
      <c r="B199" s="30"/>
      <c r="C199" s="13" t="s">
        <v>560</v>
      </c>
      <c r="D199" s="1367">
        <v>337941600</v>
      </c>
      <c r="E199" s="1367">
        <v>445059500</v>
      </c>
      <c r="F199" s="1365">
        <f t="shared" si="95"/>
        <v>783001100</v>
      </c>
      <c r="G199" s="1365">
        <f t="shared" si="94"/>
        <v>0</v>
      </c>
      <c r="H199" s="1367">
        <f t="shared" si="144"/>
        <v>783001100</v>
      </c>
      <c r="I199" s="1384"/>
      <c r="J199" s="1367"/>
      <c r="K199" s="1384"/>
      <c r="L199" s="1367"/>
      <c r="M199" s="1967">
        <f t="shared" si="145"/>
        <v>783001100</v>
      </c>
      <c r="N199" s="1967"/>
      <c r="O199" s="1058">
        <f t="shared" si="156"/>
        <v>0</v>
      </c>
      <c r="P199" s="1485">
        <v>337941600</v>
      </c>
      <c r="Q199" s="1367">
        <v>445059500</v>
      </c>
      <c r="R199" s="1485">
        <f t="shared" si="146"/>
        <v>783001100</v>
      </c>
      <c r="S199" s="1481"/>
      <c r="T199" s="1485"/>
      <c r="U199" s="1481"/>
      <c r="V199" s="1485"/>
      <c r="W199" s="1485">
        <f t="shared" si="147"/>
        <v>783001100</v>
      </c>
      <c r="X199" s="1187"/>
      <c r="Y199" s="106">
        <v>337941600</v>
      </c>
      <c r="Z199" s="698">
        <v>445059500</v>
      </c>
      <c r="AA199" s="698">
        <f t="shared" si="148"/>
        <v>783001100</v>
      </c>
      <c r="AB199" s="253"/>
      <c r="AC199" s="106"/>
      <c r="AD199" s="253"/>
      <c r="AE199" s="106"/>
      <c r="AF199" s="106">
        <f t="shared" si="149"/>
        <v>783001100</v>
      </c>
      <c r="AG199" s="106"/>
      <c r="AH199" s="208" t="s">
        <v>552</v>
      </c>
      <c r="AI199" s="9">
        <v>783001100</v>
      </c>
      <c r="AJ199" s="9"/>
      <c r="AK199" s="9"/>
      <c r="AL199" s="667"/>
      <c r="AM199" s="9">
        <v>337941600</v>
      </c>
      <c r="AN199" s="9">
        <v>445059500</v>
      </c>
      <c r="AO199" s="9">
        <f t="shared" si="150"/>
        <v>783001100</v>
      </c>
      <c r="AP199" s="769"/>
      <c r="AQ199" s="9"/>
      <c r="AR199" s="769"/>
      <c r="AS199" s="9"/>
      <c r="AT199" s="9">
        <f t="shared" si="151"/>
        <v>783001100</v>
      </c>
      <c r="AU199" s="37"/>
      <c r="AV199" s="9">
        <v>337941600</v>
      </c>
      <c r="AW199" s="9">
        <v>445059500</v>
      </c>
      <c r="AX199" s="9">
        <f t="shared" si="152"/>
        <v>783001100</v>
      </c>
      <c r="AY199" s="769"/>
      <c r="AZ199" s="9"/>
      <c r="BA199" s="769"/>
      <c r="BB199" s="9"/>
      <c r="BC199" s="9">
        <f t="shared" si="153"/>
        <v>783001100</v>
      </c>
      <c r="BD199" s="208" t="s">
        <v>552</v>
      </c>
      <c r="BE199" s="128">
        <f t="shared" si="154"/>
        <v>0</v>
      </c>
      <c r="BF199" s="219">
        <v>783001100</v>
      </c>
      <c r="BG199" s="128">
        <f t="shared" si="155"/>
        <v>0</v>
      </c>
      <c r="BH199" s="219">
        <v>783001100</v>
      </c>
      <c r="BI199" s="11"/>
    </row>
    <row r="200" spans="2:61" s="1" customFormat="1">
      <c r="B200" s="30"/>
      <c r="C200" s="13" t="s">
        <v>561</v>
      </c>
      <c r="D200" s="1367">
        <v>112970000</v>
      </c>
      <c r="E200" s="1367"/>
      <c r="F200" s="1365">
        <f t="shared" si="95"/>
        <v>112970000</v>
      </c>
      <c r="G200" s="1365">
        <f t="shared" si="94"/>
        <v>0</v>
      </c>
      <c r="H200" s="1367">
        <f t="shared" si="144"/>
        <v>112970000</v>
      </c>
      <c r="I200" s="1384"/>
      <c r="J200" s="1367"/>
      <c r="K200" s="1384"/>
      <c r="L200" s="1367"/>
      <c r="M200" s="1967">
        <f t="shared" si="145"/>
        <v>112970000</v>
      </c>
      <c r="N200" s="1967"/>
      <c r="O200" s="1058">
        <f t="shared" si="156"/>
        <v>0</v>
      </c>
      <c r="P200" s="1485">
        <v>112970000</v>
      </c>
      <c r="Q200" s="1367"/>
      <c r="R200" s="1485">
        <f t="shared" si="146"/>
        <v>112970000</v>
      </c>
      <c r="S200" s="1481"/>
      <c r="T200" s="1485"/>
      <c r="U200" s="1481"/>
      <c r="V200" s="1485"/>
      <c r="W200" s="1485">
        <f t="shared" si="147"/>
        <v>112970000</v>
      </c>
      <c r="X200" s="1187"/>
      <c r="Y200" s="106">
        <v>112970000</v>
      </c>
      <c r="Z200" s="698">
        <v>0</v>
      </c>
      <c r="AA200" s="698">
        <f t="shared" si="148"/>
        <v>112970000</v>
      </c>
      <c r="AB200" s="253"/>
      <c r="AC200" s="106"/>
      <c r="AD200" s="253"/>
      <c r="AE200" s="106"/>
      <c r="AF200" s="106">
        <f t="shared" si="149"/>
        <v>112970000</v>
      </c>
      <c r="AG200" s="106"/>
      <c r="AH200" s="208" t="s">
        <v>550</v>
      </c>
      <c r="AI200" s="9">
        <v>112970000</v>
      </c>
      <c r="AJ200" s="9"/>
      <c r="AK200" s="9"/>
      <c r="AL200" s="667"/>
      <c r="AM200" s="9">
        <v>112970000</v>
      </c>
      <c r="AN200" s="9"/>
      <c r="AO200" s="9">
        <f t="shared" si="150"/>
        <v>112970000</v>
      </c>
      <c r="AP200" s="769"/>
      <c r="AQ200" s="9"/>
      <c r="AR200" s="769"/>
      <c r="AS200" s="9"/>
      <c r="AT200" s="9">
        <f t="shared" si="151"/>
        <v>112970000</v>
      </c>
      <c r="AU200" s="37"/>
      <c r="AV200" s="9">
        <v>112970000</v>
      </c>
      <c r="AW200" s="9"/>
      <c r="AX200" s="9">
        <f t="shared" si="152"/>
        <v>112970000</v>
      </c>
      <c r="AY200" s="769"/>
      <c r="AZ200" s="9"/>
      <c r="BA200" s="769"/>
      <c r="BB200" s="9"/>
      <c r="BC200" s="9">
        <f t="shared" si="153"/>
        <v>112970000</v>
      </c>
      <c r="BD200" s="208" t="s">
        <v>550</v>
      </c>
      <c r="BE200" s="128">
        <f t="shared" si="154"/>
        <v>0</v>
      </c>
      <c r="BF200" s="219">
        <v>112970000</v>
      </c>
      <c r="BG200" s="128">
        <f t="shared" si="155"/>
        <v>0</v>
      </c>
      <c r="BH200" s="219">
        <v>112970000</v>
      </c>
      <c r="BI200" s="11"/>
    </row>
    <row r="201" spans="2:61" s="1" customFormat="1">
      <c r="B201" s="19"/>
      <c r="C201" s="19" t="s">
        <v>562</v>
      </c>
      <c r="D201" s="1366">
        <f>SUM(D189:D200)</f>
        <v>43984138512</v>
      </c>
      <c r="E201" s="1366">
        <f>SUM(E189:E200)</f>
        <v>104010158717</v>
      </c>
      <c r="F201" s="1365">
        <f t="shared" si="95"/>
        <v>147994297229</v>
      </c>
      <c r="G201" s="1365">
        <f t="shared" si="94"/>
        <v>0</v>
      </c>
      <c r="H201" s="1366">
        <f>SUM(H189:H200)</f>
        <v>147994297229</v>
      </c>
      <c r="I201" s="1942"/>
      <c r="J201" s="1366"/>
      <c r="K201" s="1942"/>
      <c r="L201" s="1366"/>
      <c r="M201" s="1366">
        <f>SUM(M189:M200)</f>
        <v>147994297229</v>
      </c>
      <c r="N201" s="2260" t="s">
        <v>427</v>
      </c>
      <c r="O201" s="1217" t="s">
        <v>166</v>
      </c>
      <c r="P201" s="1483">
        <f>SUM(P189:P200)</f>
        <v>43984138512</v>
      </c>
      <c r="Q201" s="1366">
        <f>SUM(Q189:Q200)</f>
        <v>103840158717</v>
      </c>
      <c r="R201" s="1483">
        <f>SUM(R189:R200)</f>
        <v>147824297229</v>
      </c>
      <c r="S201" s="1484"/>
      <c r="T201" s="1483"/>
      <c r="U201" s="1484"/>
      <c r="V201" s="1483"/>
      <c r="W201" s="1483">
        <f>SUM(W189:W200)</f>
        <v>147824297229</v>
      </c>
      <c r="X201" s="1187"/>
      <c r="Y201" s="426">
        <f>SUM(Y189:Y200)</f>
        <v>43984138512</v>
      </c>
      <c r="Z201" s="706">
        <f>SUM(Z189:Z200)</f>
        <v>103840158717</v>
      </c>
      <c r="AA201" s="706">
        <f>SUM(AA189:AA200)</f>
        <v>147824297229</v>
      </c>
      <c r="AB201" s="601"/>
      <c r="AC201" s="223"/>
      <c r="AD201" s="601"/>
      <c r="AE201" s="223"/>
      <c r="AF201" s="426">
        <f>SUM(AF189:AF200)</f>
        <v>147824297229</v>
      </c>
      <c r="AG201" s="448"/>
      <c r="AH201" s="228"/>
      <c r="AI201" s="426">
        <f>SUM(AI189:AI200)</f>
        <v>147824297229</v>
      </c>
      <c r="AJ201" s="448"/>
      <c r="AK201" s="448"/>
      <c r="AL201" s="668"/>
      <c r="AM201" s="448">
        <f>SUM(AM189:AM200)</f>
        <v>43984138512</v>
      </c>
      <c r="AN201" s="448">
        <f>SUM(AN189:AN200)</f>
        <v>103840158717</v>
      </c>
      <c r="AO201" s="448">
        <f>SUM(AO189:AO200)</f>
        <v>147824297229</v>
      </c>
      <c r="AP201" s="759"/>
      <c r="AQ201" s="448"/>
      <c r="AR201" s="759"/>
      <c r="AS201" s="448"/>
      <c r="AT201" s="448">
        <f>SUM(AT189:AT200)</f>
        <v>147824297229</v>
      </c>
      <c r="AU201" s="20"/>
      <c r="AV201" s="448">
        <f>SUM(AV189:AV200)</f>
        <v>43984138512</v>
      </c>
      <c r="AW201" s="448">
        <f>SUM(AW189:AW200)</f>
        <v>103840158717</v>
      </c>
      <c r="AX201" s="448">
        <f>SUM(AX189:AX200)</f>
        <v>147824297229</v>
      </c>
      <c r="AY201" s="759"/>
      <c r="AZ201" s="448"/>
      <c r="BA201" s="759"/>
      <c r="BB201" s="448"/>
      <c r="BC201" s="448">
        <f>SUM(BC189:BC200)</f>
        <v>147824297229</v>
      </c>
      <c r="BD201" s="228"/>
      <c r="BE201" s="128">
        <f t="shared" si="154"/>
        <v>-149115000</v>
      </c>
      <c r="BF201" s="426">
        <f>SUM(BF189:BF200)</f>
        <v>147675182229</v>
      </c>
      <c r="BG201" s="29"/>
      <c r="BH201" s="426">
        <f>SUM(BH189:BH200)</f>
        <v>147337365111</v>
      </c>
      <c r="BI201" s="20"/>
    </row>
    <row r="202" spans="2:61" s="1" customFormat="1">
      <c r="B202" s="2" t="s">
        <v>563</v>
      </c>
      <c r="C202" s="4"/>
      <c r="D202" s="1365"/>
      <c r="E202" s="1365"/>
      <c r="F202" s="1365">
        <f t="shared" si="95"/>
        <v>0</v>
      </c>
      <c r="G202" s="1365">
        <f t="shared" si="94"/>
        <v>0</v>
      </c>
      <c r="H202" s="1365"/>
      <c r="I202" s="1384"/>
      <c r="J202" s="1365"/>
      <c r="K202" s="1384"/>
      <c r="L202" s="1365"/>
      <c r="M202" s="1365"/>
      <c r="N202" s="2259"/>
      <c r="O202" s="1058"/>
      <c r="P202" s="1482"/>
      <c r="Q202" s="1365"/>
      <c r="R202" s="1482"/>
      <c r="S202" s="1481"/>
      <c r="T202" s="1482"/>
      <c r="U202" s="1481"/>
      <c r="V202" s="1482"/>
      <c r="W202" s="1482"/>
      <c r="X202" s="1187"/>
      <c r="Y202" s="90"/>
      <c r="Z202" s="697"/>
      <c r="AA202" s="697"/>
      <c r="AB202" s="253"/>
      <c r="AC202" s="90"/>
      <c r="AD202" s="253"/>
      <c r="AE202" s="90"/>
      <c r="AF202" s="90"/>
      <c r="AG202" s="90"/>
      <c r="AH202" s="207"/>
      <c r="AI202" s="424"/>
      <c r="AJ202" s="424"/>
      <c r="AK202" s="424"/>
      <c r="AL202" s="666"/>
      <c r="AM202" s="424"/>
      <c r="AN202" s="424"/>
      <c r="AO202" s="424"/>
      <c r="AP202" s="765"/>
      <c r="AQ202" s="424"/>
      <c r="AR202" s="765"/>
      <c r="AS202" s="424"/>
      <c r="AT202" s="424"/>
      <c r="AU202" s="127"/>
      <c r="AV202" s="424"/>
      <c r="AW202" s="424"/>
      <c r="AX202" s="424"/>
      <c r="AY202" s="765"/>
      <c r="AZ202" s="424"/>
      <c r="BA202" s="765"/>
      <c r="BB202" s="424"/>
      <c r="BC202" s="424"/>
      <c r="BD202" s="207"/>
      <c r="BE202" s="128">
        <f t="shared" si="154"/>
        <v>0</v>
      </c>
      <c r="BF202" s="218"/>
      <c r="BG202" s="127"/>
      <c r="BH202" s="218"/>
      <c r="BI202" s="6"/>
    </row>
    <row r="203" spans="2:61" s="1" customFormat="1">
      <c r="B203" s="30"/>
      <c r="C203" s="50" t="s">
        <v>564</v>
      </c>
      <c r="D203" s="757">
        <f>-ROUND(8354860415.28333,0)</f>
        <v>-8354860415</v>
      </c>
      <c r="E203" s="757">
        <v>-12933038789.372463</v>
      </c>
      <c r="F203" s="1365">
        <f t="shared" si="95"/>
        <v>-21287899204.372463</v>
      </c>
      <c r="G203" s="1365">
        <f t="shared" si="94"/>
        <v>-0.37246322631835938</v>
      </c>
      <c r="H203" s="757">
        <f t="shared" ref="H203:H213" si="157">ROUND((D203+E203),0)</f>
        <v>-21287899204</v>
      </c>
      <c r="I203" s="1943"/>
      <c r="J203" s="757"/>
      <c r="K203" s="1943"/>
      <c r="L203" s="757"/>
      <c r="M203" s="2285">
        <f t="shared" ref="M203:M213" si="158">ROUND((H203-J203+L203),0)</f>
        <v>-21287899204</v>
      </c>
      <c r="N203" s="2262"/>
      <c r="O203" s="1373">
        <f>M203-AI203</f>
        <v>-39481869490</v>
      </c>
      <c r="P203" s="1501">
        <v>8046471563</v>
      </c>
      <c r="Q203" s="757">
        <f>ROUND(12467945412.4712,0)</f>
        <v>12467945412</v>
      </c>
      <c r="R203" s="1501">
        <f t="shared" ref="R203:R213" si="159">ROUND((P203+Q203),0)</f>
        <v>20514416975</v>
      </c>
      <c r="S203" s="1487"/>
      <c r="T203" s="1501"/>
      <c r="U203" s="1487"/>
      <c r="V203" s="1501"/>
      <c r="W203" s="1501">
        <f t="shared" ref="W203:W213" si="160">ROUND((R203-T203+V203),0)</f>
        <v>20514416975</v>
      </c>
      <c r="X203" s="1583">
        <f t="shared" ref="X203:X213" si="161">W203-AI203</f>
        <v>2320446689</v>
      </c>
      <c r="Y203" s="240">
        <v>7738082710</v>
      </c>
      <c r="Z203" s="716">
        <v>12002852036</v>
      </c>
      <c r="AA203" s="716">
        <f t="shared" ref="AA203:AA213" si="162">ROUND((Y203+Z203),0)</f>
        <v>19740934746</v>
      </c>
      <c r="AB203" s="617"/>
      <c r="AC203" s="240"/>
      <c r="AD203" s="617"/>
      <c r="AE203" s="240"/>
      <c r="AF203" s="240">
        <f t="shared" ref="AF203:AF213" si="163">ROUND((AA203-AC203+AE203),0)</f>
        <v>19740934746</v>
      </c>
      <c r="AG203" s="240">
        <f>AF203-AI203</f>
        <v>1546964460</v>
      </c>
      <c r="AH203" s="208" t="s">
        <v>548</v>
      </c>
      <c r="AI203" s="432">
        <v>18193970286</v>
      </c>
      <c r="AJ203" s="432">
        <v>15100041368</v>
      </c>
      <c r="AK203" s="432">
        <f>AI203-AJ203</f>
        <v>3093928918</v>
      </c>
      <c r="AL203" s="208" t="s">
        <v>548</v>
      </c>
      <c r="AM203" s="14">
        <v>6812916152</v>
      </c>
      <c r="AN203" s="14">
        <v>10607571905</v>
      </c>
      <c r="AO203" s="14">
        <f t="shared" ref="AO203:AO213" si="164">ROUND((AM203+AN203),0)</f>
        <v>17420488057</v>
      </c>
      <c r="AP203" s="437"/>
      <c r="AQ203" s="14"/>
      <c r="AR203" s="437"/>
      <c r="AS203" s="14"/>
      <c r="AT203" s="14">
        <f t="shared" ref="AT203:AT213" si="165">ROUND((AO203-AQ203+AS203),0)</f>
        <v>17420488057</v>
      </c>
      <c r="AU203" s="37"/>
      <c r="AV203" s="14">
        <v>6504527299</v>
      </c>
      <c r="AW203" s="14">
        <v>10142478528</v>
      </c>
      <c r="AX203" s="14">
        <f t="shared" ref="AX203:AX213" si="166">ROUND((AV203+AW203),0)</f>
        <v>16647005827</v>
      </c>
      <c r="AY203" s="437"/>
      <c r="AZ203" s="14"/>
      <c r="BA203" s="437"/>
      <c r="BB203" s="14"/>
      <c r="BC203" s="14">
        <f t="shared" ref="BC203:BC213" si="167">ROUND((AX203-AZ203+BB203),0)</f>
        <v>16647005827</v>
      </c>
      <c r="BD203" s="208" t="s">
        <v>548</v>
      </c>
      <c r="BE203" s="128">
        <f t="shared" si="154"/>
        <v>-3093928918</v>
      </c>
      <c r="BF203" s="220">
        <v>15100041368</v>
      </c>
      <c r="BG203" s="37"/>
      <c r="BH203" s="219">
        <v>12006112450</v>
      </c>
      <c r="BI203" s="11"/>
    </row>
    <row r="204" spans="2:61" s="1" customFormat="1">
      <c r="B204" s="30" t="s">
        <v>407</v>
      </c>
      <c r="C204" s="51" t="s">
        <v>565</v>
      </c>
      <c r="D204" s="1377"/>
      <c r="E204" s="1377">
        <v>-4052297995</v>
      </c>
      <c r="F204" s="1365">
        <f t="shared" si="95"/>
        <v>-4052297995</v>
      </c>
      <c r="G204" s="1365">
        <f t="shared" si="94"/>
        <v>0</v>
      </c>
      <c r="H204" s="1377">
        <f t="shared" si="157"/>
        <v>-4052297995</v>
      </c>
      <c r="I204" s="1384"/>
      <c r="J204" s="1377"/>
      <c r="K204" s="1384"/>
      <c r="L204" s="1377"/>
      <c r="M204" s="2262">
        <f t="shared" si="158"/>
        <v>-4052297995</v>
      </c>
      <c r="N204" s="2262"/>
      <c r="O204" s="1992">
        <f t="shared" ref="O204:O213" si="168">M204-AI204</f>
        <v>-7797750365</v>
      </c>
      <c r="P204" s="1502"/>
      <c r="Q204" s="1377">
        <f>ROUND(3975586588.75,0)</f>
        <v>3975586589</v>
      </c>
      <c r="R204" s="1502">
        <f t="shared" si="159"/>
        <v>3975586589</v>
      </c>
      <c r="S204" s="1481"/>
      <c r="T204" s="1502"/>
      <c r="U204" s="1481"/>
      <c r="V204" s="1502"/>
      <c r="W204" s="1502">
        <f t="shared" si="160"/>
        <v>3975586589</v>
      </c>
      <c r="X204" s="1585">
        <f t="shared" si="161"/>
        <v>230134219</v>
      </c>
      <c r="Y204" s="241">
        <v>0</v>
      </c>
      <c r="Z204" s="717">
        <v>3898875183</v>
      </c>
      <c r="AA204" s="717">
        <f t="shared" si="162"/>
        <v>3898875183</v>
      </c>
      <c r="AB204" s="253"/>
      <c r="AC204" s="241"/>
      <c r="AD204" s="253"/>
      <c r="AE204" s="241"/>
      <c r="AF204" s="241">
        <f t="shared" si="163"/>
        <v>3898875183</v>
      </c>
      <c r="AG204" s="241">
        <f t="shared" ref="AG204:AG213" si="169">AF204-AI204</f>
        <v>153422813</v>
      </c>
      <c r="AH204" s="208" t="s">
        <v>550</v>
      </c>
      <c r="AI204" s="432">
        <v>3745452370</v>
      </c>
      <c r="AJ204" s="432">
        <v>3366962620</v>
      </c>
      <c r="AK204" s="432">
        <f t="shared" ref="AK204:AK213" si="170">AI204-AJ204</f>
        <v>378489750</v>
      </c>
      <c r="AL204" s="208" t="s">
        <v>550</v>
      </c>
      <c r="AM204" s="14"/>
      <c r="AN204" s="14">
        <v>3650829932</v>
      </c>
      <c r="AO204" s="14">
        <f t="shared" si="164"/>
        <v>3650829932</v>
      </c>
      <c r="AP204" s="437"/>
      <c r="AQ204" s="14"/>
      <c r="AR204" s="437"/>
      <c r="AS204" s="14"/>
      <c r="AT204" s="14">
        <f t="shared" si="165"/>
        <v>3650829932</v>
      </c>
      <c r="AU204" s="37"/>
      <c r="AV204" s="14"/>
      <c r="AW204" s="14">
        <v>3556207495</v>
      </c>
      <c r="AX204" s="14">
        <f t="shared" si="166"/>
        <v>3556207495</v>
      </c>
      <c r="AY204" s="437"/>
      <c r="AZ204" s="14"/>
      <c r="BA204" s="437"/>
      <c r="BB204" s="14"/>
      <c r="BC204" s="14">
        <f t="shared" si="167"/>
        <v>3556207495</v>
      </c>
      <c r="BD204" s="208" t="s">
        <v>550</v>
      </c>
      <c r="BE204" s="128">
        <f t="shared" si="154"/>
        <v>-378489750</v>
      </c>
      <c r="BF204" s="220">
        <v>3366962620</v>
      </c>
      <c r="BG204" s="37"/>
      <c r="BH204" s="219">
        <v>2876203996</v>
      </c>
      <c r="BI204" s="11"/>
    </row>
    <row r="205" spans="2:61" s="1" customFormat="1">
      <c r="B205" s="30"/>
      <c r="C205" s="50" t="s">
        <v>566</v>
      </c>
      <c r="D205" s="757">
        <v>-6880352921.9375</v>
      </c>
      <c r="E205" s="757">
        <v>-23755900439.128128</v>
      </c>
      <c r="F205" s="1365">
        <f t="shared" si="95"/>
        <v>-30636253361.065628</v>
      </c>
      <c r="G205" s="1365">
        <f t="shared" si="94"/>
        <v>-6.56280517578125E-2</v>
      </c>
      <c r="H205" s="757">
        <f t="shared" si="157"/>
        <v>-30636253361</v>
      </c>
      <c r="I205" s="1943"/>
      <c r="J205" s="757"/>
      <c r="K205" s="1943"/>
      <c r="L205" s="757"/>
      <c r="M205" s="2262">
        <f t="shared" si="158"/>
        <v>-30636253361</v>
      </c>
      <c r="N205" s="2262"/>
      <c r="O205" s="1373">
        <f t="shared" si="168"/>
        <v>-58038384981</v>
      </c>
      <c r="P205" s="1501">
        <f>ROUND(6685588803.9375,0)</f>
        <v>6685588804</v>
      </c>
      <c r="Q205" s="757">
        <f>ROUND(23136864396.4552,0)</f>
        <v>23136864396</v>
      </c>
      <c r="R205" s="1501">
        <f t="shared" si="159"/>
        <v>29822453200</v>
      </c>
      <c r="S205" s="1487"/>
      <c r="T205" s="1501"/>
      <c r="U205" s="1487"/>
      <c r="V205" s="1501"/>
      <c r="W205" s="1501">
        <f t="shared" si="160"/>
        <v>29822453200</v>
      </c>
      <c r="X205" s="1584">
        <f t="shared" si="161"/>
        <v>2420321580</v>
      </c>
      <c r="Y205" s="757">
        <v>6427805405</v>
      </c>
      <c r="Z205" s="716">
        <v>22554286578</v>
      </c>
      <c r="AA205" s="716">
        <f t="shared" si="162"/>
        <v>28982091983</v>
      </c>
      <c r="AB205" s="617"/>
      <c r="AC205" s="240"/>
      <c r="AD205" s="617"/>
      <c r="AE205" s="240"/>
      <c r="AF205" s="240">
        <f t="shared" si="163"/>
        <v>28982091983</v>
      </c>
      <c r="AG205" s="240">
        <f t="shared" si="169"/>
        <v>1579960363</v>
      </c>
      <c r="AH205" s="208" t="s">
        <v>552</v>
      </c>
      <c r="AI205" s="432">
        <v>27402131620</v>
      </c>
      <c r="AJ205" s="432">
        <v>23405292879</v>
      </c>
      <c r="AK205" s="432">
        <f t="shared" si="170"/>
        <v>3996838741</v>
      </c>
      <c r="AL205" s="208" t="s">
        <v>552</v>
      </c>
      <c r="AM205" s="14">
        <v>5843513051</v>
      </c>
      <c r="AN205" s="14">
        <v>20547535712</v>
      </c>
      <c r="AO205" s="14">
        <f t="shared" si="164"/>
        <v>26391048763</v>
      </c>
      <c r="AP205" s="437"/>
      <c r="AQ205" s="14"/>
      <c r="AR205" s="437"/>
      <c r="AS205" s="14"/>
      <c r="AT205" s="14">
        <f t="shared" si="165"/>
        <v>26391048763</v>
      </c>
      <c r="AU205" s="37"/>
      <c r="AV205" s="14">
        <v>5648748933</v>
      </c>
      <c r="AW205" s="14">
        <v>19755588775</v>
      </c>
      <c r="AX205" s="14">
        <f t="shared" si="166"/>
        <v>25404337708</v>
      </c>
      <c r="AY205" s="437"/>
      <c r="AZ205" s="14"/>
      <c r="BA205" s="437"/>
      <c r="BB205" s="14"/>
      <c r="BC205" s="14">
        <f t="shared" si="167"/>
        <v>25404337708</v>
      </c>
      <c r="BD205" s="208" t="s">
        <v>552</v>
      </c>
      <c r="BE205" s="128">
        <f t="shared" si="154"/>
        <v>-3996838741</v>
      </c>
      <c r="BF205" s="220">
        <v>23405292879</v>
      </c>
      <c r="BG205" s="37"/>
      <c r="BH205" s="219">
        <v>19246119173</v>
      </c>
      <c r="BI205" s="11"/>
    </row>
    <row r="206" spans="2:61" s="1" customFormat="1">
      <c r="B206" s="30"/>
      <c r="C206" s="23" t="s">
        <v>567</v>
      </c>
      <c r="D206" s="1368">
        <v>-1187135110</v>
      </c>
      <c r="E206" s="1368">
        <v>-8372660000.5</v>
      </c>
      <c r="F206" s="1365">
        <f t="shared" si="95"/>
        <v>-9559795110.5</v>
      </c>
      <c r="G206" s="1365">
        <f t="shared" si="94"/>
        <v>0.5</v>
      </c>
      <c r="H206" s="1368">
        <f t="shared" si="157"/>
        <v>-9559795111</v>
      </c>
      <c r="I206" s="1943"/>
      <c r="J206" s="1368"/>
      <c r="K206" s="1943"/>
      <c r="L206" s="1368"/>
      <c r="M206" s="1967">
        <f t="shared" si="158"/>
        <v>-9559795111</v>
      </c>
      <c r="N206" s="1967"/>
      <c r="O206" s="1373">
        <f t="shared" si="168"/>
        <v>-18872060373</v>
      </c>
      <c r="P206" s="1486">
        <f>ROUND(1141395242.125,0)</f>
        <v>1141395242</v>
      </c>
      <c r="Q206" s="1368">
        <v>8361722500</v>
      </c>
      <c r="R206" s="1486">
        <f t="shared" si="159"/>
        <v>9503117742</v>
      </c>
      <c r="S206" s="1487"/>
      <c r="T206" s="1486"/>
      <c r="U206" s="1487"/>
      <c r="V206" s="1486"/>
      <c r="W206" s="1486">
        <f t="shared" si="160"/>
        <v>9503117742</v>
      </c>
      <c r="X206" s="1582">
        <f t="shared" si="161"/>
        <v>190852480</v>
      </c>
      <c r="Y206" s="240">
        <v>1085245186</v>
      </c>
      <c r="Z206" s="699">
        <v>8350785001</v>
      </c>
      <c r="AA206" s="699">
        <f t="shared" si="162"/>
        <v>9436030187</v>
      </c>
      <c r="AB206" s="617"/>
      <c r="AC206" s="225"/>
      <c r="AD206" s="617"/>
      <c r="AE206" s="225"/>
      <c r="AF206" s="225">
        <f t="shared" si="163"/>
        <v>9436030187</v>
      </c>
      <c r="AG206" s="225">
        <f t="shared" si="169"/>
        <v>123764925</v>
      </c>
      <c r="AH206" s="208"/>
      <c r="AI206" s="14">
        <v>9312265262</v>
      </c>
      <c r="AJ206" s="14">
        <v>8126010411</v>
      </c>
      <c r="AK206" s="432">
        <f t="shared" si="170"/>
        <v>1186254851</v>
      </c>
      <c r="AL206" s="208">
        <v>-15000000</v>
      </c>
      <c r="AM206" s="14">
        <v>932410299</v>
      </c>
      <c r="AN206" s="14">
        <v>8083291250</v>
      </c>
      <c r="AO206" s="14">
        <f t="shared" si="164"/>
        <v>9015701549</v>
      </c>
      <c r="AP206" s="437"/>
      <c r="AQ206" s="14"/>
      <c r="AR206" s="437"/>
      <c r="AS206" s="14"/>
      <c r="AT206" s="14">
        <f t="shared" si="165"/>
        <v>9015701549</v>
      </c>
      <c r="AU206" s="37"/>
      <c r="AV206" s="14">
        <v>893652837</v>
      </c>
      <c r="AW206" s="14">
        <v>7837672500</v>
      </c>
      <c r="AX206" s="14">
        <f t="shared" si="166"/>
        <v>8731325337</v>
      </c>
      <c r="AY206" s="437"/>
      <c r="AZ206" s="14"/>
      <c r="BA206" s="437"/>
      <c r="BB206" s="14"/>
      <c r="BC206" s="14">
        <f t="shared" si="167"/>
        <v>8731325337</v>
      </c>
      <c r="BD206" s="208">
        <v>-15000000</v>
      </c>
      <c r="BE206" s="128">
        <f t="shared" si="154"/>
        <v>-1186254851</v>
      </c>
      <c r="BF206" s="220">
        <v>8126010411</v>
      </c>
      <c r="BG206" s="37"/>
      <c r="BH206" s="219">
        <v>6880373063</v>
      </c>
      <c r="BI206" s="11"/>
    </row>
    <row r="207" spans="2:61" s="1" customFormat="1">
      <c r="B207" s="30"/>
      <c r="C207" s="13" t="s">
        <v>568</v>
      </c>
      <c r="D207" s="1367">
        <v>-545000000</v>
      </c>
      <c r="E207" s="1367"/>
      <c r="F207" s="1365">
        <f t="shared" si="95"/>
        <v>-545000000</v>
      </c>
      <c r="G207" s="1365">
        <f t="shared" si="94"/>
        <v>0</v>
      </c>
      <c r="H207" s="1367">
        <f t="shared" si="157"/>
        <v>-545000000</v>
      </c>
      <c r="I207" s="1384"/>
      <c r="J207" s="1367"/>
      <c r="K207" s="1384"/>
      <c r="L207" s="1367"/>
      <c r="M207" s="1967">
        <f t="shared" si="158"/>
        <v>-545000000</v>
      </c>
      <c r="N207" s="1967"/>
      <c r="O207" s="1373">
        <f t="shared" si="168"/>
        <v>-1071718750</v>
      </c>
      <c r="P207" s="1485">
        <v>545000000</v>
      </c>
      <c r="Q207" s="1367"/>
      <c r="R207" s="1485">
        <f t="shared" si="159"/>
        <v>545000000</v>
      </c>
      <c r="S207" s="1481"/>
      <c r="T207" s="1485"/>
      <c r="U207" s="1481"/>
      <c r="V207" s="1485"/>
      <c r="W207" s="1485">
        <f t="shared" si="160"/>
        <v>545000000</v>
      </c>
      <c r="X207" s="1582">
        <f t="shared" si="161"/>
        <v>18281250</v>
      </c>
      <c r="Y207" s="106">
        <v>538906250</v>
      </c>
      <c r="Z207" s="698">
        <v>0</v>
      </c>
      <c r="AA207" s="698">
        <f t="shared" si="162"/>
        <v>538906250</v>
      </c>
      <c r="AB207" s="253"/>
      <c r="AC207" s="106"/>
      <c r="AD207" s="253"/>
      <c r="AE207" s="106"/>
      <c r="AF207" s="106">
        <f t="shared" si="163"/>
        <v>538906250</v>
      </c>
      <c r="AG207" s="106">
        <f t="shared" si="169"/>
        <v>12187500</v>
      </c>
      <c r="AH207" s="208"/>
      <c r="AI207" s="14">
        <v>526718750</v>
      </c>
      <c r="AJ207" s="14">
        <v>502343750</v>
      </c>
      <c r="AK207" s="432">
        <f t="shared" si="170"/>
        <v>24375000</v>
      </c>
      <c r="AL207" s="208"/>
      <c r="AM207" s="14">
        <v>520625000</v>
      </c>
      <c r="AN207" s="14"/>
      <c r="AO207" s="14">
        <f t="shared" si="164"/>
        <v>520625000</v>
      </c>
      <c r="AP207" s="437"/>
      <c r="AQ207" s="14"/>
      <c r="AR207" s="437"/>
      <c r="AS207" s="14"/>
      <c r="AT207" s="14">
        <f t="shared" si="165"/>
        <v>520625000</v>
      </c>
      <c r="AU207" s="37"/>
      <c r="AV207" s="14">
        <v>502343750</v>
      </c>
      <c r="AW207" s="14"/>
      <c r="AX207" s="14">
        <f t="shared" si="166"/>
        <v>502343750</v>
      </c>
      <c r="AY207" s="437"/>
      <c r="AZ207" s="14"/>
      <c r="BA207" s="437"/>
      <c r="BB207" s="14"/>
      <c r="BC207" s="14">
        <f t="shared" si="167"/>
        <v>502343750</v>
      </c>
      <c r="BD207" s="208"/>
      <c r="BE207" s="128">
        <f t="shared" si="154"/>
        <v>-24375000</v>
      </c>
      <c r="BF207" s="220">
        <v>502343750</v>
      </c>
      <c r="BG207" s="37"/>
      <c r="BH207" s="219">
        <v>463385417</v>
      </c>
      <c r="BI207" s="11"/>
    </row>
    <row r="208" spans="2:61" s="1" customFormat="1">
      <c r="B208" s="30"/>
      <c r="C208" s="13" t="s">
        <v>569</v>
      </c>
      <c r="D208" s="1367">
        <v>-231802755</v>
      </c>
      <c r="E208" s="1367">
        <v>-1262602546</v>
      </c>
      <c r="F208" s="1365">
        <f t="shared" si="95"/>
        <v>-1494405301</v>
      </c>
      <c r="G208" s="1365">
        <f t="shared" si="94"/>
        <v>0</v>
      </c>
      <c r="H208" s="1367">
        <f t="shared" si="157"/>
        <v>-1494405301</v>
      </c>
      <c r="I208" s="1384"/>
      <c r="J208" s="1367"/>
      <c r="K208" s="1384"/>
      <c r="L208" s="1367"/>
      <c r="M208" s="1967">
        <f t="shared" si="158"/>
        <v>-1494405301</v>
      </c>
      <c r="N208" s="1967"/>
      <c r="O208" s="1373">
        <f t="shared" si="168"/>
        <v>-2954887331</v>
      </c>
      <c r="P208" s="1485">
        <f>ROUND(230651713.333333,0)</f>
        <v>230651713</v>
      </c>
      <c r="Q208" s="1367">
        <v>1257029921</v>
      </c>
      <c r="R208" s="1485">
        <f t="shared" si="159"/>
        <v>1487681634</v>
      </c>
      <c r="S208" s="1481"/>
      <c r="T208" s="1485"/>
      <c r="U208" s="1481"/>
      <c r="V208" s="1485"/>
      <c r="W208" s="1485">
        <f t="shared" si="160"/>
        <v>1487681634</v>
      </c>
      <c r="X208" s="1582">
        <f t="shared" si="161"/>
        <v>27199604</v>
      </c>
      <c r="Y208" s="106">
        <v>227891422</v>
      </c>
      <c r="Z208" s="698">
        <v>1250642400</v>
      </c>
      <c r="AA208" s="698">
        <f t="shared" si="162"/>
        <v>1478533822</v>
      </c>
      <c r="AB208" s="253"/>
      <c r="AC208" s="106"/>
      <c r="AD208" s="253"/>
      <c r="AE208" s="106"/>
      <c r="AF208" s="106">
        <f t="shared" si="163"/>
        <v>1478533822</v>
      </c>
      <c r="AG208" s="106">
        <f t="shared" si="169"/>
        <v>18051792</v>
      </c>
      <c r="AH208" s="208" t="s">
        <v>556</v>
      </c>
      <c r="AI208" s="14">
        <v>1460482030</v>
      </c>
      <c r="AJ208" s="14">
        <v>1377087944</v>
      </c>
      <c r="AK208" s="432">
        <f t="shared" si="170"/>
        <v>83394086</v>
      </c>
      <c r="AL208" s="208">
        <v>-7278750</v>
      </c>
      <c r="AM208" s="14">
        <v>217235255</v>
      </c>
      <c r="AN208" s="14">
        <v>1231562859</v>
      </c>
      <c r="AO208" s="14">
        <f t="shared" si="164"/>
        <v>1448798114</v>
      </c>
      <c r="AP208" s="437"/>
      <c r="AQ208" s="14"/>
      <c r="AR208" s="437"/>
      <c r="AS208" s="14"/>
      <c r="AT208" s="14">
        <f t="shared" si="165"/>
        <v>1448798114</v>
      </c>
      <c r="AU208" s="37"/>
      <c r="AV208" s="14">
        <v>212308130</v>
      </c>
      <c r="AW208" s="14">
        <v>1220473463</v>
      </c>
      <c r="AX208" s="14">
        <f t="shared" si="166"/>
        <v>1432781593</v>
      </c>
      <c r="AY208" s="437"/>
      <c r="AZ208" s="14"/>
      <c r="BA208" s="437"/>
      <c r="BB208" s="14"/>
      <c r="BC208" s="14">
        <f t="shared" si="167"/>
        <v>1432781593</v>
      </c>
      <c r="BD208" s="208">
        <v>-7278750</v>
      </c>
      <c r="BE208" s="128">
        <f t="shared" si="154"/>
        <v>-83394086</v>
      </c>
      <c r="BF208" s="220">
        <v>1377087944</v>
      </c>
      <c r="BG208" s="37"/>
      <c r="BH208" s="219">
        <v>1265023960</v>
      </c>
      <c r="BI208" s="11"/>
    </row>
    <row r="209" spans="2:61" s="1" customFormat="1">
      <c r="B209" s="30" t="s">
        <v>407</v>
      </c>
      <c r="C209" s="13" t="s">
        <v>570</v>
      </c>
      <c r="D209" s="1367"/>
      <c r="E209" s="1367">
        <v>-542406000</v>
      </c>
      <c r="F209" s="1365">
        <f t="shared" si="95"/>
        <v>-542406000</v>
      </c>
      <c r="G209" s="1365">
        <f t="shared" ref="G209:G272" si="171">F209-H209</f>
        <v>0</v>
      </c>
      <c r="H209" s="1367">
        <f t="shared" si="157"/>
        <v>-542406000</v>
      </c>
      <c r="I209" s="1384"/>
      <c r="J209" s="1367"/>
      <c r="K209" s="1384"/>
      <c r="L209" s="1367"/>
      <c r="M209" s="1967">
        <f t="shared" si="158"/>
        <v>-542406000</v>
      </c>
      <c r="N209" s="1967"/>
      <c r="O209" s="1991">
        <f t="shared" si="168"/>
        <v>-1012198000</v>
      </c>
      <c r="P209" s="1485"/>
      <c r="Q209" s="1367">
        <v>524252500</v>
      </c>
      <c r="R209" s="1485">
        <f t="shared" si="159"/>
        <v>524252500</v>
      </c>
      <c r="S209" s="1481"/>
      <c r="T209" s="1485"/>
      <c r="U209" s="1481"/>
      <c r="V209" s="1485"/>
      <c r="W209" s="1485">
        <f t="shared" si="160"/>
        <v>524252500</v>
      </c>
      <c r="X209" s="1583">
        <f t="shared" si="161"/>
        <v>54460500</v>
      </c>
      <c r="Y209" s="106">
        <v>0</v>
      </c>
      <c r="Z209" s="698">
        <v>506099000</v>
      </c>
      <c r="AA209" s="698">
        <f t="shared" si="162"/>
        <v>506099000</v>
      </c>
      <c r="AB209" s="253"/>
      <c r="AC209" s="106"/>
      <c r="AD209" s="253"/>
      <c r="AE209" s="106"/>
      <c r="AF209" s="106">
        <f t="shared" si="163"/>
        <v>506099000</v>
      </c>
      <c r="AG209" s="106">
        <f t="shared" si="169"/>
        <v>36307000</v>
      </c>
      <c r="AH209" s="208" t="s">
        <v>548</v>
      </c>
      <c r="AI209" s="432">
        <v>469792000</v>
      </c>
      <c r="AJ209" s="432">
        <v>397178000</v>
      </c>
      <c r="AK209" s="432">
        <f t="shared" si="170"/>
        <v>72614000</v>
      </c>
      <c r="AL209" s="208" t="s">
        <v>548</v>
      </c>
      <c r="AM209" s="14"/>
      <c r="AN209" s="14">
        <v>451638500</v>
      </c>
      <c r="AO209" s="14">
        <f t="shared" si="164"/>
        <v>451638500</v>
      </c>
      <c r="AP209" s="437"/>
      <c r="AQ209" s="14"/>
      <c r="AR209" s="437"/>
      <c r="AS209" s="14"/>
      <c r="AT209" s="14">
        <f t="shared" si="165"/>
        <v>451638500</v>
      </c>
      <c r="AU209" s="37"/>
      <c r="AV209" s="14"/>
      <c r="AW209" s="14">
        <v>433485000</v>
      </c>
      <c r="AX209" s="14">
        <f t="shared" si="166"/>
        <v>433485000</v>
      </c>
      <c r="AY209" s="437"/>
      <c r="AZ209" s="14"/>
      <c r="BA209" s="437"/>
      <c r="BB209" s="14"/>
      <c r="BC209" s="14">
        <f t="shared" si="167"/>
        <v>433485000</v>
      </c>
      <c r="BD209" s="208" t="s">
        <v>548</v>
      </c>
      <c r="BE209" s="128">
        <f t="shared" si="154"/>
        <v>-72614000</v>
      </c>
      <c r="BF209" s="220">
        <v>397178000</v>
      </c>
      <c r="BG209" s="37"/>
      <c r="BH209" s="219">
        <v>324564000</v>
      </c>
      <c r="BI209" s="11"/>
    </row>
    <row r="210" spans="2:61" s="1" customFormat="1">
      <c r="B210" s="30" t="s">
        <v>407</v>
      </c>
      <c r="C210" s="23" t="s">
        <v>571</v>
      </c>
      <c r="D210" s="1368"/>
      <c r="E210" s="1368">
        <v>-10993366890.725</v>
      </c>
      <c r="F210" s="1365">
        <f t="shared" si="95"/>
        <v>-10993366890.725</v>
      </c>
      <c r="G210" s="1365">
        <f t="shared" si="171"/>
        <v>0.27499961853027344</v>
      </c>
      <c r="H210" s="1368">
        <f t="shared" si="157"/>
        <v>-10993366891</v>
      </c>
      <c r="I210" s="1943"/>
      <c r="J210" s="1368"/>
      <c r="K210" s="1943"/>
      <c r="L210" s="1368"/>
      <c r="M210" s="1967">
        <f t="shared" si="158"/>
        <v>-10993366891</v>
      </c>
      <c r="N210" s="1967"/>
      <c r="O210" s="1992">
        <f t="shared" si="168"/>
        <v>-21391252969</v>
      </c>
      <c r="P210" s="1486"/>
      <c r="Q210" s="1368">
        <f>ROUND(10844496687.1,0)</f>
        <v>10844496687</v>
      </c>
      <c r="R210" s="1486">
        <f t="shared" si="159"/>
        <v>10844496687</v>
      </c>
      <c r="S210" s="1487"/>
      <c r="T210" s="1486"/>
      <c r="U210" s="1487"/>
      <c r="V210" s="1486"/>
      <c r="W210" s="1486">
        <f t="shared" si="160"/>
        <v>10844496687</v>
      </c>
      <c r="X210" s="1585">
        <f t="shared" si="161"/>
        <v>446610609</v>
      </c>
      <c r="Y210" s="225">
        <v>0</v>
      </c>
      <c r="Z210" s="699">
        <v>10695626484</v>
      </c>
      <c r="AA210" s="699">
        <f t="shared" si="162"/>
        <v>10695626484</v>
      </c>
      <c r="AB210" s="617"/>
      <c r="AC210" s="225"/>
      <c r="AD210" s="617"/>
      <c r="AE210" s="225"/>
      <c r="AF210" s="225">
        <f t="shared" si="163"/>
        <v>10695626484</v>
      </c>
      <c r="AG210" s="225">
        <f t="shared" si="169"/>
        <v>297740406</v>
      </c>
      <c r="AH210" s="208" t="s">
        <v>550</v>
      </c>
      <c r="AI210" s="432">
        <v>10397886078</v>
      </c>
      <c r="AJ210" s="432">
        <v>9073132585</v>
      </c>
      <c r="AK210" s="432">
        <f t="shared" si="170"/>
        <v>1324753493</v>
      </c>
      <c r="AL210" s="208" t="s">
        <v>550</v>
      </c>
      <c r="AM210" s="14"/>
      <c r="AN210" s="14">
        <v>10066697705</v>
      </c>
      <c r="AO210" s="14">
        <f t="shared" si="164"/>
        <v>10066697705</v>
      </c>
      <c r="AP210" s="437"/>
      <c r="AQ210" s="14"/>
      <c r="AR210" s="437"/>
      <c r="AS210" s="14"/>
      <c r="AT210" s="14">
        <f t="shared" si="165"/>
        <v>10066697705</v>
      </c>
      <c r="AU210" s="37"/>
      <c r="AV210" s="14"/>
      <c r="AW210" s="14">
        <v>9735509332</v>
      </c>
      <c r="AX210" s="14">
        <f t="shared" si="166"/>
        <v>9735509332</v>
      </c>
      <c r="AY210" s="437"/>
      <c r="AZ210" s="14"/>
      <c r="BA210" s="437"/>
      <c r="BB210" s="14"/>
      <c r="BC210" s="14">
        <f t="shared" si="167"/>
        <v>9735509332</v>
      </c>
      <c r="BD210" s="208" t="s">
        <v>550</v>
      </c>
      <c r="BE210" s="128">
        <f t="shared" si="154"/>
        <v>-1324753493</v>
      </c>
      <c r="BF210" s="220">
        <v>9073132585</v>
      </c>
      <c r="BG210" s="37"/>
      <c r="BH210" s="219">
        <v>7738782011</v>
      </c>
      <c r="BI210" s="11"/>
    </row>
    <row r="211" spans="2:61" s="1" customFormat="1">
      <c r="B211" s="30"/>
      <c r="C211" s="13" t="s">
        <v>572</v>
      </c>
      <c r="D211" s="1367">
        <f>-ROUND(1381169493.16667,0)</f>
        <v>-1381169493</v>
      </c>
      <c r="E211" s="1367"/>
      <c r="F211" s="1365">
        <f t="shared" ref="F211:F274" si="172">D211+E211</f>
        <v>-1381169493</v>
      </c>
      <c r="G211" s="1365">
        <f t="shared" si="171"/>
        <v>0</v>
      </c>
      <c r="H211" s="1367">
        <f t="shared" si="157"/>
        <v>-1381169493</v>
      </c>
      <c r="I211" s="1384"/>
      <c r="J211" s="1367"/>
      <c r="K211" s="1384"/>
      <c r="L211" s="1367"/>
      <c r="M211" s="1967">
        <f t="shared" si="158"/>
        <v>-1381169493</v>
      </c>
      <c r="N211" s="1967"/>
      <c r="O211" s="1373">
        <f t="shared" si="168"/>
        <v>-2748406537</v>
      </c>
      <c r="P211" s="1485">
        <f>ROUND(1379099268.16667,0)</f>
        <v>1379099268</v>
      </c>
      <c r="Q211" s="1367"/>
      <c r="R211" s="1485">
        <f t="shared" si="159"/>
        <v>1379099268</v>
      </c>
      <c r="S211" s="1481"/>
      <c r="T211" s="1485"/>
      <c r="U211" s="1481"/>
      <c r="V211" s="1485"/>
      <c r="W211" s="1485">
        <f t="shared" si="160"/>
        <v>1379099268</v>
      </c>
      <c r="X211" s="1585">
        <f t="shared" si="161"/>
        <v>11862224</v>
      </c>
      <c r="Y211" s="106">
        <v>1376721335</v>
      </c>
      <c r="Z211" s="698">
        <v>0</v>
      </c>
      <c r="AA211" s="698">
        <f t="shared" si="162"/>
        <v>1376721335</v>
      </c>
      <c r="AB211" s="253"/>
      <c r="AC211" s="106"/>
      <c r="AD211" s="253"/>
      <c r="AE211" s="106"/>
      <c r="AF211" s="106">
        <f t="shared" si="163"/>
        <v>1376721335</v>
      </c>
      <c r="AG211" s="106">
        <f t="shared" si="169"/>
        <v>9484291</v>
      </c>
      <c r="AH211" s="208" t="s">
        <v>550</v>
      </c>
      <c r="AI211" s="432">
        <v>1367237044</v>
      </c>
      <c r="AJ211" s="432">
        <v>1323116933</v>
      </c>
      <c r="AK211" s="432">
        <f t="shared" si="170"/>
        <v>44120111</v>
      </c>
      <c r="AL211" s="208" t="s">
        <v>550</v>
      </c>
      <c r="AM211" s="14">
        <v>1356207016</v>
      </c>
      <c r="AN211" s="14"/>
      <c r="AO211" s="14">
        <f t="shared" si="164"/>
        <v>1356207016</v>
      </c>
      <c r="AP211" s="437"/>
      <c r="AQ211" s="14"/>
      <c r="AR211" s="437"/>
      <c r="AS211" s="14"/>
      <c r="AT211" s="14">
        <f t="shared" si="165"/>
        <v>1356207016</v>
      </c>
      <c r="AU211" s="37"/>
      <c r="AV211" s="14">
        <v>1345176988</v>
      </c>
      <c r="AW211" s="14"/>
      <c r="AX211" s="14">
        <f t="shared" si="166"/>
        <v>1345176988</v>
      </c>
      <c r="AY211" s="437"/>
      <c r="AZ211" s="14"/>
      <c r="BA211" s="437"/>
      <c r="BB211" s="14"/>
      <c r="BC211" s="14">
        <f t="shared" si="167"/>
        <v>1345176988</v>
      </c>
      <c r="BD211" s="208" t="s">
        <v>550</v>
      </c>
      <c r="BE211" s="128">
        <f t="shared" si="154"/>
        <v>-44120111</v>
      </c>
      <c r="BF211" s="220">
        <v>1323116933</v>
      </c>
      <c r="BG211" s="37"/>
      <c r="BH211" s="219">
        <v>1279490990</v>
      </c>
      <c r="BI211" s="11"/>
    </row>
    <row r="212" spans="2:61" s="1" customFormat="1">
      <c r="B212" s="30"/>
      <c r="C212" s="13" t="s">
        <v>573</v>
      </c>
      <c r="D212" s="1367">
        <v>-330584250</v>
      </c>
      <c r="E212" s="1367">
        <v>-420635937.5</v>
      </c>
      <c r="F212" s="1365">
        <f t="shared" si="172"/>
        <v>-751220187.5</v>
      </c>
      <c r="G212" s="1365">
        <f t="shared" si="171"/>
        <v>0.5</v>
      </c>
      <c r="H212" s="1367">
        <f t="shared" si="157"/>
        <v>-751220188</v>
      </c>
      <c r="I212" s="1384"/>
      <c r="J212" s="1367"/>
      <c r="K212" s="1384"/>
      <c r="L212" s="1367"/>
      <c r="M212" s="1967">
        <f t="shared" si="158"/>
        <v>-751220188</v>
      </c>
      <c r="N212" s="1967"/>
      <c r="O212" s="1373">
        <f>M212-AI212</f>
        <v>-1473507395</v>
      </c>
      <c r="P212" s="1485">
        <v>329735325</v>
      </c>
      <c r="Q212" s="1367">
        <f>ROUND(418493453.5,0)</f>
        <v>418493454</v>
      </c>
      <c r="R212" s="1485">
        <f t="shared" si="159"/>
        <v>748228779</v>
      </c>
      <c r="S212" s="1481"/>
      <c r="T212" s="1485"/>
      <c r="U212" s="1481"/>
      <c r="V212" s="1485"/>
      <c r="W212" s="1485">
        <f t="shared" si="160"/>
        <v>748228779</v>
      </c>
      <c r="X212" s="1584">
        <f>W212-AI212</f>
        <v>25941572</v>
      </c>
      <c r="Y212" s="106">
        <v>323230619</v>
      </c>
      <c r="Z212" s="698">
        <v>416350969</v>
      </c>
      <c r="AA212" s="698">
        <f t="shared" si="162"/>
        <v>739581588</v>
      </c>
      <c r="AB212" s="253"/>
      <c r="AC212" s="106"/>
      <c r="AD212" s="253"/>
      <c r="AE212" s="106"/>
      <c r="AF212" s="106">
        <f t="shared" si="163"/>
        <v>739581588</v>
      </c>
      <c r="AG212" s="106">
        <f t="shared" si="169"/>
        <v>17294381</v>
      </c>
      <c r="AH212" s="208" t="s">
        <v>552</v>
      </c>
      <c r="AI212" s="432">
        <v>722287207</v>
      </c>
      <c r="AJ212" s="432">
        <v>642760944</v>
      </c>
      <c r="AK212" s="432">
        <f t="shared" si="170"/>
        <v>79526263</v>
      </c>
      <c r="AL212" s="208" t="s">
        <v>552</v>
      </c>
      <c r="AM212" s="14">
        <v>303716500</v>
      </c>
      <c r="AN212" s="14">
        <v>398689141</v>
      </c>
      <c r="AO212" s="14">
        <f t="shared" si="164"/>
        <v>702405641</v>
      </c>
      <c r="AP212" s="437"/>
      <c r="AQ212" s="14"/>
      <c r="AR212" s="437"/>
      <c r="AS212" s="14"/>
      <c r="AT212" s="14">
        <f t="shared" si="165"/>
        <v>702405641</v>
      </c>
      <c r="AU212" s="37"/>
      <c r="AV212" s="14">
        <v>297211794</v>
      </c>
      <c r="AW212" s="14">
        <v>385312281</v>
      </c>
      <c r="AX212" s="14">
        <f t="shared" si="166"/>
        <v>682524075</v>
      </c>
      <c r="AY212" s="437"/>
      <c r="AZ212" s="14"/>
      <c r="BA212" s="437"/>
      <c r="BB212" s="14"/>
      <c r="BC212" s="14">
        <f t="shared" si="167"/>
        <v>682524075</v>
      </c>
      <c r="BD212" s="208" t="s">
        <v>552</v>
      </c>
      <c r="BE212" s="128">
        <f t="shared" si="154"/>
        <v>-79526263</v>
      </c>
      <c r="BF212" s="220">
        <v>642760944</v>
      </c>
      <c r="BG212" s="37"/>
      <c r="BH212" s="219">
        <v>548941775</v>
      </c>
      <c r="BI212" s="11"/>
    </row>
    <row r="213" spans="2:61" s="1" customFormat="1">
      <c r="B213" s="30"/>
      <c r="C213" s="13" t="s">
        <v>574</v>
      </c>
      <c r="D213" s="1367">
        <v>-112970000</v>
      </c>
      <c r="E213" s="1367"/>
      <c r="F213" s="1365">
        <f t="shared" si="172"/>
        <v>-112970000</v>
      </c>
      <c r="G213" s="1365">
        <f t="shared" si="171"/>
        <v>0</v>
      </c>
      <c r="H213" s="1367">
        <f t="shared" si="157"/>
        <v>-112970000</v>
      </c>
      <c r="I213" s="1384"/>
      <c r="J213" s="1367"/>
      <c r="K213" s="1384"/>
      <c r="L213" s="1367"/>
      <c r="M213" s="1967">
        <f t="shared" si="158"/>
        <v>-112970000</v>
      </c>
      <c r="N213" s="1967"/>
      <c r="O213" s="1992">
        <f t="shared" si="168"/>
        <v>-225940000</v>
      </c>
      <c r="P213" s="1485">
        <v>112970000</v>
      </c>
      <c r="Q213" s="1367"/>
      <c r="R213" s="1485">
        <f t="shared" si="159"/>
        <v>112970000</v>
      </c>
      <c r="S213" s="1481"/>
      <c r="T213" s="1485"/>
      <c r="U213" s="1481"/>
      <c r="V213" s="1485"/>
      <c r="W213" s="1485">
        <f t="shared" si="160"/>
        <v>112970000</v>
      </c>
      <c r="X213" s="1585">
        <f t="shared" si="161"/>
        <v>0</v>
      </c>
      <c r="Y213" s="106">
        <v>112970000</v>
      </c>
      <c r="Z213" s="698">
        <v>0</v>
      </c>
      <c r="AA213" s="698">
        <f t="shared" si="162"/>
        <v>112970000</v>
      </c>
      <c r="AB213" s="253"/>
      <c r="AC213" s="106"/>
      <c r="AD213" s="253"/>
      <c r="AE213" s="106"/>
      <c r="AF213" s="106">
        <f t="shared" si="163"/>
        <v>112970000</v>
      </c>
      <c r="AG213" s="106">
        <f t="shared" si="169"/>
        <v>0</v>
      </c>
      <c r="AH213" s="208" t="s">
        <v>550</v>
      </c>
      <c r="AI213" s="432">
        <v>112970000</v>
      </c>
      <c r="AJ213" s="432">
        <v>112970000</v>
      </c>
      <c r="AK213" s="432">
        <f t="shared" si="170"/>
        <v>0</v>
      </c>
      <c r="AL213" s="208" t="s">
        <v>550</v>
      </c>
      <c r="AM213" s="14">
        <v>112970000</v>
      </c>
      <c r="AN213" s="14"/>
      <c r="AO213" s="14">
        <f t="shared" si="164"/>
        <v>112970000</v>
      </c>
      <c r="AP213" s="437"/>
      <c r="AQ213" s="14"/>
      <c r="AR213" s="437"/>
      <c r="AS213" s="14"/>
      <c r="AT213" s="14">
        <f t="shared" si="165"/>
        <v>112970000</v>
      </c>
      <c r="AU213" s="37"/>
      <c r="AV213" s="14">
        <v>112970000</v>
      </c>
      <c r="AW213" s="14"/>
      <c r="AX213" s="14">
        <f t="shared" si="166"/>
        <v>112970000</v>
      </c>
      <c r="AY213" s="437"/>
      <c r="AZ213" s="14"/>
      <c r="BA213" s="437"/>
      <c r="BB213" s="14"/>
      <c r="BC213" s="14">
        <f t="shared" si="167"/>
        <v>112970000</v>
      </c>
      <c r="BD213" s="208" t="s">
        <v>550</v>
      </c>
      <c r="BE213" s="128">
        <f t="shared" si="154"/>
        <v>0</v>
      </c>
      <c r="BF213" s="220">
        <v>112970000</v>
      </c>
      <c r="BG213" s="37"/>
      <c r="BH213" s="219">
        <v>96085000</v>
      </c>
      <c r="BI213" s="11"/>
    </row>
    <row r="214" spans="2:61" s="1" customFormat="1">
      <c r="B214" s="19"/>
      <c r="C214" s="19" t="s">
        <v>575</v>
      </c>
      <c r="D214" s="1366">
        <f>SUM(D203:D213)</f>
        <v>-19023874944.9375</v>
      </c>
      <c r="E214" s="1366">
        <f>SUM(E203:E213)</f>
        <v>-62332908598.225594</v>
      </c>
      <c r="F214" s="1365">
        <f t="shared" si="172"/>
        <v>-81356783543.163086</v>
      </c>
      <c r="G214" s="1365">
        <f t="shared" si="171"/>
        <v>0.8369140625</v>
      </c>
      <c r="H214" s="1366">
        <f>SUM(H203:H213)</f>
        <v>-81356783544</v>
      </c>
      <c r="I214" s="1942"/>
      <c r="J214" s="1366"/>
      <c r="K214" s="1942"/>
      <c r="L214" s="1366"/>
      <c r="M214" s="1366">
        <f>SUM(M203:M213)</f>
        <v>-81356783544</v>
      </c>
      <c r="N214" s="2260" t="s">
        <v>427</v>
      </c>
      <c r="O214" s="1217" t="s">
        <v>166</v>
      </c>
      <c r="P214" s="1483">
        <f>SUM(P203:P213)</f>
        <v>18470911915</v>
      </c>
      <c r="Q214" s="1366">
        <f>SUM(Q203:Q213)</f>
        <v>60986391459</v>
      </c>
      <c r="R214" s="1483">
        <f>SUM(R203:R213)</f>
        <v>79457303374</v>
      </c>
      <c r="S214" s="1484"/>
      <c r="T214" s="1483"/>
      <c r="U214" s="1484"/>
      <c r="V214" s="1483"/>
      <c r="W214" s="1483">
        <f>SUM(W203:W213)</f>
        <v>79457303374</v>
      </c>
      <c r="X214" s="1187"/>
      <c r="Y214" s="426">
        <f>SUM(Y203:Y213)</f>
        <v>17830852927</v>
      </c>
      <c r="Z214" s="706">
        <f>SUM(Z203:Z213)</f>
        <v>59675517651</v>
      </c>
      <c r="AA214" s="706">
        <f>SUM(AA203:AA213)</f>
        <v>77506370578</v>
      </c>
      <c r="AB214" s="601"/>
      <c r="AC214" s="223"/>
      <c r="AD214" s="601"/>
      <c r="AE214" s="223"/>
      <c r="AF214" s="426">
        <f>SUM(AF203:AF213)</f>
        <v>77506370578</v>
      </c>
      <c r="AG214" s="448"/>
      <c r="AH214" s="228">
        <v>77506370578</v>
      </c>
      <c r="AI214" s="426">
        <f>SUM(AI203:AI213)</f>
        <v>73711192647</v>
      </c>
      <c r="AJ214" s="448"/>
      <c r="AK214" s="448"/>
      <c r="AL214" s="668"/>
      <c r="AM214" s="448">
        <f>SUM(AM203:AM213)</f>
        <v>16099593273</v>
      </c>
      <c r="AN214" s="448">
        <f>SUM(AN203:AN213)</f>
        <v>55037817004</v>
      </c>
      <c r="AO214" s="448">
        <f>SUM(AO203:AO213)</f>
        <v>71137410277</v>
      </c>
      <c r="AP214" s="759"/>
      <c r="AQ214" s="448"/>
      <c r="AR214" s="759"/>
      <c r="AS214" s="448"/>
      <c r="AT214" s="448">
        <f>SUM(AT203:AT213)</f>
        <v>71137410277</v>
      </c>
      <c r="AU214" s="20"/>
      <c r="AV214" s="448">
        <f>SUM(AV203:AV213)</f>
        <v>15516939731</v>
      </c>
      <c r="AW214" s="448">
        <f>SUM(AW203:AW213)</f>
        <v>53066727374</v>
      </c>
      <c r="AX214" s="448">
        <f>SUM(AX203:AX213)</f>
        <v>68583667105</v>
      </c>
      <c r="AY214" s="759"/>
      <c r="AZ214" s="448"/>
      <c r="BA214" s="759"/>
      <c r="BB214" s="448"/>
      <c r="BC214" s="448">
        <f>SUM(BC203:BC213)</f>
        <v>68583667105</v>
      </c>
      <c r="BD214" s="53"/>
      <c r="BE214" s="128">
        <f t="shared" si="154"/>
        <v>-10284295213</v>
      </c>
      <c r="BF214" s="426">
        <f>SUM(BF203:BF213)</f>
        <v>63426897434</v>
      </c>
      <c r="BG214" s="29"/>
      <c r="BH214" s="426">
        <f>SUM(BH203:BH213)</f>
        <v>52725081835</v>
      </c>
      <c r="BI214" s="20"/>
    </row>
    <row r="215" spans="2:61" s="1" customFormat="1">
      <c r="B215" s="2" t="s">
        <v>576</v>
      </c>
      <c r="C215" s="2"/>
      <c r="D215" s="217"/>
      <c r="E215" s="217"/>
      <c r="F215" s="1365">
        <f t="shared" si="172"/>
        <v>0</v>
      </c>
      <c r="G215" s="1365">
        <f t="shared" si="171"/>
        <v>0</v>
      </c>
      <c r="H215" s="217"/>
      <c r="I215" s="1384"/>
      <c r="J215" s="217"/>
      <c r="K215" s="1384"/>
      <c r="L215" s="217"/>
      <c r="M215" s="217"/>
      <c r="N215" s="226"/>
      <c r="O215" s="1058"/>
      <c r="P215" s="1480"/>
      <c r="Q215" s="217"/>
      <c r="R215" s="1480"/>
      <c r="S215" s="1481"/>
      <c r="T215" s="1480"/>
      <c r="U215" s="1481"/>
      <c r="V215" s="1480"/>
      <c r="W215" s="1480"/>
      <c r="X215" s="1581"/>
      <c r="Y215" s="118"/>
      <c r="Z215" s="705"/>
      <c r="AA215" s="705"/>
      <c r="AB215" s="253"/>
      <c r="AC215" s="118"/>
      <c r="AD215" s="253"/>
      <c r="AE215" s="118"/>
      <c r="AF215" s="118"/>
      <c r="AG215" s="118"/>
      <c r="AH215" s="209"/>
      <c r="AI215" s="138"/>
      <c r="AJ215" s="138"/>
      <c r="AK215" s="138"/>
      <c r="AL215" s="670"/>
      <c r="AM215" s="138"/>
      <c r="AN215" s="138"/>
      <c r="AO215" s="138"/>
      <c r="AP215" s="437"/>
      <c r="AQ215" s="138"/>
      <c r="AR215" s="437"/>
      <c r="AS215" s="138"/>
      <c r="AT215" s="138"/>
      <c r="AU215" s="43"/>
      <c r="AV215" s="138"/>
      <c r="AW215" s="138"/>
      <c r="AX215" s="138"/>
      <c r="AY215" s="437"/>
      <c r="AZ215" s="138"/>
      <c r="BA215" s="437"/>
      <c r="BB215" s="138"/>
      <c r="BC215" s="138"/>
      <c r="BD215" s="138"/>
      <c r="BE215" s="128">
        <f t="shared" si="154"/>
        <v>0</v>
      </c>
      <c r="BF215" s="105"/>
      <c r="BG215" s="43"/>
      <c r="BH215" s="105"/>
      <c r="BI215" s="36"/>
    </row>
    <row r="216" spans="2:61" s="1" customFormat="1">
      <c r="B216" s="4"/>
      <c r="C216" s="4" t="s">
        <v>577</v>
      </c>
      <c r="D216" s="1365">
        <v>0</v>
      </c>
      <c r="E216" s="1365"/>
      <c r="F216" s="1365">
        <f t="shared" si="172"/>
        <v>0</v>
      </c>
      <c r="G216" s="1365">
        <f t="shared" si="171"/>
        <v>0</v>
      </c>
      <c r="H216" s="1365">
        <f>ROUND((D216+E216),0)</f>
        <v>0</v>
      </c>
      <c r="I216" s="1384"/>
      <c r="J216" s="1365"/>
      <c r="K216" s="1384"/>
      <c r="L216" s="1365"/>
      <c r="M216" s="1365">
        <f>ROUND((H216+J216-L216),0)</f>
        <v>0</v>
      </c>
      <c r="N216" s="2259"/>
      <c r="O216" s="1058"/>
      <c r="P216" s="1482"/>
      <c r="Q216" s="1365"/>
      <c r="R216" s="1482">
        <f>ROUND((P216+Q216),0)</f>
        <v>0</v>
      </c>
      <c r="S216" s="1481"/>
      <c r="T216" s="1482"/>
      <c r="U216" s="1481"/>
      <c r="V216" s="1482"/>
      <c r="W216" s="1482">
        <f>ROUND((R216+T216-V216),0)</f>
        <v>0</v>
      </c>
      <c r="X216" s="1581"/>
      <c r="Y216" s="90"/>
      <c r="Z216" s="697"/>
      <c r="AA216" s="697">
        <f>ROUND((Y216+Z216),0)</f>
        <v>0</v>
      </c>
      <c r="AB216" s="253"/>
      <c r="AC216" s="90"/>
      <c r="AD216" s="253"/>
      <c r="AE216" s="90"/>
      <c r="AF216" s="90">
        <f>ROUND((AA216+AC216-AE216),0)</f>
        <v>0</v>
      </c>
      <c r="AG216" s="90"/>
      <c r="AH216" s="207"/>
      <c r="AI216" s="9">
        <v>0</v>
      </c>
      <c r="AJ216" s="9"/>
      <c r="AK216" s="9"/>
      <c r="AL216" s="667"/>
      <c r="AM216" s="9"/>
      <c r="AN216" s="9"/>
      <c r="AO216" s="9">
        <f>ROUND((AM216+AN216),0)</f>
        <v>0</v>
      </c>
      <c r="AP216" s="769"/>
      <c r="AQ216" s="9"/>
      <c r="AR216" s="769"/>
      <c r="AS216" s="9"/>
      <c r="AT216" s="9">
        <f>ROUND((AO216+AQ216-AS216),0)</f>
        <v>0</v>
      </c>
      <c r="AU216" s="37"/>
      <c r="AV216" s="9"/>
      <c r="AW216" s="9"/>
      <c r="AX216" s="9">
        <f>ROUND((AV216+AW216),0)</f>
        <v>0</v>
      </c>
      <c r="AY216" s="769"/>
      <c r="AZ216" s="9"/>
      <c r="BA216" s="769"/>
      <c r="BB216" s="9"/>
      <c r="BC216" s="9">
        <f>ROUND((AX216+AZ216-BB216),0)</f>
        <v>0</v>
      </c>
      <c r="BD216" s="14"/>
      <c r="BE216" s="128">
        <f t="shared" si="154"/>
        <v>0</v>
      </c>
      <c r="BF216" s="219">
        <v>0</v>
      </c>
      <c r="BG216" s="37"/>
      <c r="BH216" s="219">
        <v>0</v>
      </c>
      <c r="BI216" s="37"/>
    </row>
    <row r="217" spans="2:61" s="1" customFormat="1">
      <c r="B217" s="4"/>
      <c r="C217" s="4" t="s">
        <v>578</v>
      </c>
      <c r="D217" s="1365">
        <v>0</v>
      </c>
      <c r="E217" s="1365"/>
      <c r="F217" s="1365">
        <f t="shared" si="172"/>
        <v>0</v>
      </c>
      <c r="G217" s="1365">
        <f t="shared" si="171"/>
        <v>0</v>
      </c>
      <c r="H217" s="1365">
        <f>ROUND((D217+E217),0)</f>
        <v>0</v>
      </c>
      <c r="I217" s="1384"/>
      <c r="J217" s="1365"/>
      <c r="K217" s="1384"/>
      <c r="L217" s="1365"/>
      <c r="M217" s="1365">
        <f>ROUND((H217+J217-L217),0)</f>
        <v>0</v>
      </c>
      <c r="N217" s="2259"/>
      <c r="O217" s="1058"/>
      <c r="P217" s="1482"/>
      <c r="Q217" s="1365"/>
      <c r="R217" s="1482">
        <f>ROUND((P217+Q217),0)</f>
        <v>0</v>
      </c>
      <c r="S217" s="1481"/>
      <c r="T217" s="1482"/>
      <c r="U217" s="1481"/>
      <c r="V217" s="1482"/>
      <c r="W217" s="1482">
        <f>ROUND((R217+T217-V217),0)</f>
        <v>0</v>
      </c>
      <c r="X217" s="1187"/>
      <c r="Y217" s="90"/>
      <c r="Z217" s="697"/>
      <c r="AA217" s="697">
        <f>ROUND((Y217+Z217),0)</f>
        <v>0</v>
      </c>
      <c r="AB217" s="253"/>
      <c r="AC217" s="90"/>
      <c r="AD217" s="253"/>
      <c r="AE217" s="90"/>
      <c r="AF217" s="90">
        <f>ROUND((AA217+AC217-AE217),0)</f>
        <v>0</v>
      </c>
      <c r="AG217" s="90"/>
      <c r="AH217" s="207"/>
      <c r="AI217" s="9">
        <v>0</v>
      </c>
      <c r="AJ217" s="9"/>
      <c r="AK217" s="9"/>
      <c r="AL217" s="667"/>
      <c r="AM217" s="9"/>
      <c r="AN217" s="9"/>
      <c r="AO217" s="9">
        <f>ROUND((AM217+AN217),0)</f>
        <v>0</v>
      </c>
      <c r="AP217" s="769"/>
      <c r="AQ217" s="9"/>
      <c r="AR217" s="769"/>
      <c r="AS217" s="9"/>
      <c r="AT217" s="9">
        <f>ROUND((AO217+AQ217-AS217),0)</f>
        <v>0</v>
      </c>
      <c r="AU217" s="37"/>
      <c r="AV217" s="9"/>
      <c r="AW217" s="9"/>
      <c r="AX217" s="9">
        <f>ROUND((AV217+AW217),0)</f>
        <v>0</v>
      </c>
      <c r="AY217" s="769"/>
      <c r="AZ217" s="9"/>
      <c r="BA217" s="769"/>
      <c r="BB217" s="9"/>
      <c r="BC217" s="9">
        <f>ROUND((AX217+AZ217-BB217),0)</f>
        <v>0</v>
      </c>
      <c r="BD217" s="14"/>
      <c r="BE217" s="128">
        <f t="shared" si="154"/>
        <v>0</v>
      </c>
      <c r="BF217" s="219">
        <v>0</v>
      </c>
      <c r="BG217" s="37"/>
      <c r="BH217" s="219">
        <v>0</v>
      </c>
      <c r="BI217" s="37"/>
    </row>
    <row r="218" spans="2:61" s="1" customFormat="1">
      <c r="B218" s="19"/>
      <c r="C218" s="19" t="s">
        <v>579</v>
      </c>
      <c r="D218" s="1369">
        <f>SUM(D216:D217)</f>
        <v>0</v>
      </c>
      <c r="E218" s="1369">
        <f>SUM(E216:E217)</f>
        <v>0</v>
      </c>
      <c r="F218" s="1365">
        <f t="shared" si="172"/>
        <v>0</v>
      </c>
      <c r="G218" s="1365">
        <f t="shared" si="171"/>
        <v>0</v>
      </c>
      <c r="H218" s="1369">
        <f>SUM(H216:H217)</f>
        <v>0</v>
      </c>
      <c r="I218" s="1944"/>
      <c r="J218" s="1369"/>
      <c r="K218" s="1944"/>
      <c r="L218" s="1369"/>
      <c r="M218" s="1369">
        <f>SUM(M216:M217)</f>
        <v>0</v>
      </c>
      <c r="N218" s="226" t="s">
        <v>427</v>
      </c>
      <c r="O218" s="1217" t="s">
        <v>166</v>
      </c>
      <c r="P218" s="1488">
        <f>SUM(P216:P217)</f>
        <v>0</v>
      </c>
      <c r="Q218" s="1369">
        <f>SUM(Q216:Q217)</f>
        <v>0</v>
      </c>
      <c r="R218" s="1488">
        <f>SUM(R216:R217)</f>
        <v>0</v>
      </c>
      <c r="S218" s="1489"/>
      <c r="T218" s="1488"/>
      <c r="U218" s="1489"/>
      <c r="V218" s="1488"/>
      <c r="W218" s="1488">
        <f>SUM(W216:W217)</f>
        <v>0</v>
      </c>
      <c r="X218" s="1187"/>
      <c r="Y218" s="428">
        <f>SUM(Y216:Y217)</f>
        <v>0</v>
      </c>
      <c r="Z218" s="707">
        <f>SUM(Z216:Z217)</f>
        <v>0</v>
      </c>
      <c r="AA218" s="707">
        <f>SUM(AA216:AA217)</f>
        <v>0</v>
      </c>
      <c r="AB218" s="601"/>
      <c r="AC218" s="223"/>
      <c r="AD218" s="601"/>
      <c r="AE218" s="223"/>
      <c r="AF218" s="428">
        <f>SUM(AF216:AF217)</f>
        <v>0</v>
      </c>
      <c r="AG218" s="428"/>
      <c r="AH218" s="228"/>
      <c r="AI218" s="428">
        <f>SUM(AI216:AI217)</f>
        <v>0</v>
      </c>
      <c r="AJ218" s="428"/>
      <c r="AK218" s="428"/>
      <c r="AL218" s="670"/>
      <c r="AM218" s="428">
        <f>SUM(AM216:AM217)</f>
        <v>0</v>
      </c>
      <c r="AN218" s="428">
        <f>SUM(AN216:AN217)</f>
        <v>0</v>
      </c>
      <c r="AO218" s="428">
        <f>SUM(AO216:AO217)</f>
        <v>0</v>
      </c>
      <c r="AP218" s="762"/>
      <c r="AQ218" s="428"/>
      <c r="AR218" s="762"/>
      <c r="AS218" s="428"/>
      <c r="AT218" s="428">
        <f>SUM(AT216:AT217)</f>
        <v>0</v>
      </c>
      <c r="AU218" s="29"/>
      <c r="AV218" s="428">
        <f>SUM(AV216:AV217)</f>
        <v>0</v>
      </c>
      <c r="AW218" s="428">
        <f>SUM(AW216:AW217)</f>
        <v>0</v>
      </c>
      <c r="AX218" s="428">
        <f>SUM(AX216:AX217)</f>
        <v>0</v>
      </c>
      <c r="AY218" s="762"/>
      <c r="AZ218" s="428"/>
      <c r="BA218" s="762"/>
      <c r="BB218" s="428"/>
      <c r="BC218" s="428">
        <f>SUM(BC216:BC217)</f>
        <v>0</v>
      </c>
      <c r="BD218" s="138"/>
      <c r="BE218" s="128">
        <f t="shared" si="154"/>
        <v>0</v>
      </c>
      <c r="BF218" s="428">
        <f>SUM(BF216:BF217)</f>
        <v>0</v>
      </c>
      <c r="BG218" s="29"/>
      <c r="BH218" s="428">
        <f>SUM(BH216:BH217)</f>
        <v>0</v>
      </c>
      <c r="BI218" s="29"/>
    </row>
    <row r="219" spans="2:61" s="1" customFormat="1">
      <c r="B219" s="31"/>
      <c r="C219" s="31" t="s">
        <v>580</v>
      </c>
      <c r="D219" s="1371">
        <f>(D201+D218)+D214</f>
        <v>24960263567.0625</v>
      </c>
      <c r="E219" s="1371">
        <f>(E201+E218)+E214</f>
        <v>41677250118.774406</v>
      </c>
      <c r="F219" s="1365">
        <f t="shared" si="172"/>
        <v>66637513685.836906</v>
      </c>
      <c r="G219" s="1365">
        <f t="shared" si="171"/>
        <v>0.83690643310546875</v>
      </c>
      <c r="H219" s="1371">
        <f>(H201+H218)+H214</f>
        <v>66637513685</v>
      </c>
      <c r="I219" s="1946"/>
      <c r="J219" s="1371"/>
      <c r="K219" s="1946"/>
      <c r="L219" s="1371"/>
      <c r="M219" s="1371">
        <f>(M201+M218)+M214</f>
        <v>66637513685</v>
      </c>
      <c r="N219" s="226"/>
      <c r="O219" s="1058"/>
      <c r="P219" s="1492">
        <f>(P201+P218)-P214</f>
        <v>25513226597</v>
      </c>
      <c r="Q219" s="1371">
        <f>(Q201+Q218)-Q214</f>
        <v>42853767258</v>
      </c>
      <c r="R219" s="1492">
        <f>(R201+R218)-R214</f>
        <v>68366993855</v>
      </c>
      <c r="S219" s="1493"/>
      <c r="T219" s="1492"/>
      <c r="U219" s="1493"/>
      <c r="V219" s="1492"/>
      <c r="W219" s="1492">
        <f>(W201+W218)-W214</f>
        <v>68366993855</v>
      </c>
      <c r="X219" s="1187"/>
      <c r="Y219" s="430">
        <f>(Y201+Y218)-Y214</f>
        <v>26153285585</v>
      </c>
      <c r="Z219" s="709">
        <f>(Z201+Z218)-Z214</f>
        <v>44164641066</v>
      </c>
      <c r="AA219" s="709">
        <f>(AA201+AA218)-AA214</f>
        <v>70317926651</v>
      </c>
      <c r="AB219" s="602"/>
      <c r="AC219" s="229"/>
      <c r="AD219" s="602"/>
      <c r="AE219" s="229"/>
      <c r="AF219" s="430">
        <f>(AF201+AF218)-AF214</f>
        <v>70317926651</v>
      </c>
      <c r="AG219" s="430"/>
      <c r="AH219" s="230"/>
      <c r="AI219" s="430">
        <f>(AI201+AI218)-AI214</f>
        <v>74113104582</v>
      </c>
      <c r="AJ219" s="430"/>
      <c r="AK219" s="430"/>
      <c r="AL219" s="670"/>
      <c r="AM219" s="430">
        <f>(AM201+AM218)-AM214</f>
        <v>27884545239</v>
      </c>
      <c r="AN219" s="430">
        <f>(AN201+AN218)-AN214</f>
        <v>48802341713</v>
      </c>
      <c r="AO219" s="430">
        <f>(AO201+AO218)-AO214</f>
        <v>76686886952</v>
      </c>
      <c r="AP219" s="763"/>
      <c r="AQ219" s="430"/>
      <c r="AR219" s="763"/>
      <c r="AS219" s="430"/>
      <c r="AT219" s="430">
        <f>(AT201+AT218)-AT214</f>
        <v>76686886952</v>
      </c>
      <c r="AU219" s="33"/>
      <c r="AV219" s="430">
        <f>(AV201+AV218)-AV214</f>
        <v>28467198781</v>
      </c>
      <c r="AW219" s="430">
        <f>(AW201+AW218)-AW214</f>
        <v>50773431343</v>
      </c>
      <c r="AX219" s="430">
        <f>(AX201+AX218)-AX214</f>
        <v>79240630124</v>
      </c>
      <c r="AY219" s="763"/>
      <c r="AZ219" s="430"/>
      <c r="BA219" s="763"/>
      <c r="BB219" s="430"/>
      <c r="BC219" s="430">
        <f>(BC201+BC218)-BC214</f>
        <v>79240630124</v>
      </c>
      <c r="BD219" s="138"/>
      <c r="BE219" s="32"/>
      <c r="BF219" s="430">
        <f>(BF201+BF218)-BF214</f>
        <v>84248284795</v>
      </c>
      <c r="BG219" s="33"/>
      <c r="BH219" s="430">
        <f>(BH201+BH218)-BH214</f>
        <v>94612283276</v>
      </c>
      <c r="BI219" s="33"/>
    </row>
    <row r="220" spans="2:61" s="1" customFormat="1">
      <c r="B220" s="52" t="s">
        <v>581</v>
      </c>
      <c r="C220" s="2"/>
      <c r="D220" s="217"/>
      <c r="E220" s="217"/>
      <c r="F220" s="1365">
        <f t="shared" si="172"/>
        <v>0</v>
      </c>
      <c r="G220" s="1365">
        <f t="shared" si="171"/>
        <v>0</v>
      </c>
      <c r="H220" s="217"/>
      <c r="I220" s="1384"/>
      <c r="J220" s="217"/>
      <c r="K220" s="1384"/>
      <c r="L220" s="217"/>
      <c r="M220" s="217"/>
      <c r="N220" s="226"/>
      <c r="O220" s="1058"/>
      <c r="P220" s="1480"/>
      <c r="Q220" s="217"/>
      <c r="R220" s="1480"/>
      <c r="S220" s="1481"/>
      <c r="T220" s="1480"/>
      <c r="U220" s="1481"/>
      <c r="V220" s="1480"/>
      <c r="W220" s="1480"/>
      <c r="X220" s="1187"/>
      <c r="Y220" s="118"/>
      <c r="Z220" s="705"/>
      <c r="AA220" s="705"/>
      <c r="AB220" s="253"/>
      <c r="AC220" s="118"/>
      <c r="AD220" s="253"/>
      <c r="AE220" s="118"/>
      <c r="AF220" s="118"/>
      <c r="AG220" s="118"/>
      <c r="AH220" s="209"/>
      <c r="AI220" s="138"/>
      <c r="AJ220" s="138"/>
      <c r="AK220" s="138"/>
      <c r="AL220" s="670"/>
      <c r="AM220" s="138"/>
      <c r="AN220" s="138"/>
      <c r="AO220" s="138"/>
      <c r="AP220" s="437"/>
      <c r="AQ220" s="138"/>
      <c r="AR220" s="437"/>
      <c r="AS220" s="138"/>
      <c r="AT220" s="138"/>
      <c r="AU220" s="43"/>
      <c r="AV220" s="138"/>
      <c r="AW220" s="138"/>
      <c r="AX220" s="138"/>
      <c r="AY220" s="437"/>
      <c r="AZ220" s="138"/>
      <c r="BA220" s="437"/>
      <c r="BB220" s="138"/>
      <c r="BC220" s="138"/>
      <c r="BD220" s="138"/>
      <c r="BE220" s="138"/>
      <c r="BF220" s="105"/>
      <c r="BG220" s="138"/>
      <c r="BH220" s="105"/>
      <c r="BI220" s="53"/>
    </row>
    <row r="221" spans="2:61" s="1" customFormat="1">
      <c r="B221" s="2"/>
      <c r="C221" s="4" t="s">
        <v>582</v>
      </c>
      <c r="D221" s="1365">
        <v>1050000000</v>
      </c>
      <c r="E221" s="1365"/>
      <c r="F221" s="1365">
        <f t="shared" si="172"/>
        <v>1050000000</v>
      </c>
      <c r="G221" s="1365">
        <f t="shared" si="171"/>
        <v>0</v>
      </c>
      <c r="H221" s="1365">
        <f>ROUND((D221+E221),0)</f>
        <v>1050000000</v>
      </c>
      <c r="I221" s="1384"/>
      <c r="J221" s="1365"/>
      <c r="K221" s="1384" t="str">
        <f>'ELIM &amp; CAJE Des 24'!A18</f>
        <v>ELIM 4</v>
      </c>
      <c r="L221" s="1365">
        <f>'ELIM &amp; CAJE Des 24'!G18</f>
        <v>1050000000</v>
      </c>
      <c r="M221" s="1365">
        <f>ROUND((H221+J221-L221),0)</f>
        <v>0</v>
      </c>
      <c r="N221" s="2259"/>
      <c r="O221" s="1058"/>
      <c r="P221" s="1482">
        <v>1050000000</v>
      </c>
      <c r="Q221" s="1365"/>
      <c r="R221" s="1482">
        <f>ROUND((P221+Q221),0)</f>
        <v>1050000000</v>
      </c>
      <c r="S221" s="1481"/>
      <c r="T221" s="1482"/>
      <c r="U221" s="1481" t="str">
        <f>'ELIM &amp; CAJE Sept 24'!B18</f>
        <v>ELIM 4</v>
      </c>
      <c r="V221" s="1482">
        <f>'ELIM &amp; CAJE Sept 24'!H18</f>
        <v>1050000000</v>
      </c>
      <c r="W221" s="1482">
        <f>ROUND((R221+T221-V221),0)</f>
        <v>0</v>
      </c>
      <c r="X221" s="1187"/>
      <c r="Y221" s="90">
        <v>1050000000</v>
      </c>
      <c r="Z221" s="697"/>
      <c r="AA221" s="697">
        <f>ROUND((Y221+Z221),0)</f>
        <v>1050000000</v>
      </c>
      <c r="AB221" s="253"/>
      <c r="AC221" s="90"/>
      <c r="AD221" s="253" t="str">
        <f>'ELIM &amp; CAJE Juni 24'!B17</f>
        <v>ELIM 4</v>
      </c>
      <c r="AE221" s="90">
        <f>'ELIM &amp; CAJE Juni 24'!H18</f>
        <v>1050000000</v>
      </c>
      <c r="AF221" s="90">
        <f>ROUND((AA221+AC221-AE221),0)</f>
        <v>0</v>
      </c>
      <c r="AG221" s="90"/>
      <c r="AH221" s="207"/>
      <c r="AI221" s="9">
        <v>0</v>
      </c>
      <c r="AJ221" s="9"/>
      <c r="AK221" s="9"/>
      <c r="AL221" s="667"/>
      <c r="AM221" s="9"/>
      <c r="AN221" s="9"/>
      <c r="AO221" s="9">
        <f>ROUND((AM221+AN221),0)</f>
        <v>0</v>
      </c>
      <c r="AP221" s="769"/>
      <c r="AQ221" s="9"/>
      <c r="AR221" s="769"/>
      <c r="AS221" s="9"/>
      <c r="AT221" s="9">
        <f>ROUND((AO221+AQ221-AS221),0)</f>
        <v>0</v>
      </c>
      <c r="AU221" s="37"/>
      <c r="AV221" s="9"/>
      <c r="AW221" s="9"/>
      <c r="AX221" s="9">
        <f>ROUND((AV221+AW221),0)</f>
        <v>0</v>
      </c>
      <c r="AY221" s="769"/>
      <c r="AZ221" s="9"/>
      <c r="BA221" s="769"/>
      <c r="BB221" s="9"/>
      <c r="BC221" s="9">
        <f>ROUND((AX221+AZ221-BB221),0)</f>
        <v>0</v>
      </c>
      <c r="BD221" s="14"/>
      <c r="BE221" s="138"/>
      <c r="BF221" s="105"/>
      <c r="BG221" s="138"/>
      <c r="BH221" s="105"/>
      <c r="BI221" s="53"/>
    </row>
    <row r="222" spans="2:61" s="1" customFormat="1">
      <c r="B222" s="2"/>
      <c r="C222" s="2"/>
      <c r="D222" s="217"/>
      <c r="E222" s="217"/>
      <c r="F222" s="1365">
        <f t="shared" si="172"/>
        <v>0</v>
      </c>
      <c r="G222" s="1365">
        <f t="shared" si="171"/>
        <v>0</v>
      </c>
      <c r="H222" s="217"/>
      <c r="I222" s="1384"/>
      <c r="J222" s="217"/>
      <c r="K222" s="1384"/>
      <c r="L222" s="217"/>
      <c r="M222" s="217"/>
      <c r="N222" s="226"/>
      <c r="O222" s="1058"/>
      <c r="P222" s="1480"/>
      <c r="Q222" s="217"/>
      <c r="R222" s="1480"/>
      <c r="S222" s="1481"/>
      <c r="T222" s="1480"/>
      <c r="U222" s="1481"/>
      <c r="V222" s="1480"/>
      <c r="W222" s="1480"/>
      <c r="X222" s="1187"/>
      <c r="Y222" s="118"/>
      <c r="Z222" s="705"/>
      <c r="AA222" s="705"/>
      <c r="AB222" s="253"/>
      <c r="AC222" s="118"/>
      <c r="AD222" s="253"/>
      <c r="AE222" s="118"/>
      <c r="AF222" s="118"/>
      <c r="AG222" s="118"/>
      <c r="AH222" s="209"/>
      <c r="AI222" s="138"/>
      <c r="AJ222" s="138"/>
      <c r="AK222" s="138"/>
      <c r="AL222" s="670"/>
      <c r="AM222" s="138"/>
      <c r="AN222" s="138"/>
      <c r="AO222" s="138"/>
      <c r="AP222" s="437"/>
      <c r="AQ222" s="138"/>
      <c r="AR222" s="437"/>
      <c r="AS222" s="138"/>
      <c r="AT222" s="138"/>
      <c r="AU222" s="43"/>
      <c r="AV222" s="138"/>
      <c r="AW222" s="138"/>
      <c r="AX222" s="138"/>
      <c r="AY222" s="437"/>
      <c r="AZ222" s="138"/>
      <c r="BA222" s="437"/>
      <c r="BB222" s="138"/>
      <c r="BC222" s="138"/>
      <c r="BD222" s="138"/>
      <c r="BE222" s="138"/>
      <c r="BF222" s="105"/>
      <c r="BG222" s="138"/>
      <c r="BH222" s="105"/>
      <c r="BI222" s="53"/>
    </row>
    <row r="223" spans="2:61" s="1" customFormat="1">
      <c r="B223" s="19"/>
      <c r="C223" s="54" t="s">
        <v>583</v>
      </c>
      <c r="D223" s="1369">
        <f>D221</f>
        <v>1050000000</v>
      </c>
      <c r="E223" s="1369">
        <f>E221</f>
        <v>0</v>
      </c>
      <c r="F223" s="1365">
        <f t="shared" si="172"/>
        <v>1050000000</v>
      </c>
      <c r="G223" s="1365">
        <f t="shared" si="171"/>
        <v>0</v>
      </c>
      <c r="H223" s="1369">
        <f>H221</f>
        <v>1050000000</v>
      </c>
      <c r="I223" s="1944"/>
      <c r="J223" s="1369"/>
      <c r="K223" s="1944"/>
      <c r="L223" s="1369"/>
      <c r="M223" s="1369">
        <f>M221</f>
        <v>0</v>
      </c>
      <c r="N223" s="226"/>
      <c r="O223" s="1058"/>
      <c r="P223" s="1488">
        <f>P221</f>
        <v>1050000000</v>
      </c>
      <c r="Q223" s="1369">
        <f>Q221</f>
        <v>0</v>
      </c>
      <c r="R223" s="1488">
        <f>R221</f>
        <v>1050000000</v>
      </c>
      <c r="S223" s="1489"/>
      <c r="T223" s="1488"/>
      <c r="U223" s="1489"/>
      <c r="V223" s="1488"/>
      <c r="W223" s="1488">
        <f>W221</f>
        <v>0</v>
      </c>
      <c r="X223" s="1187"/>
      <c r="Y223" s="223">
        <f>Y221</f>
        <v>1050000000</v>
      </c>
      <c r="Z223" s="718">
        <f>Z221</f>
        <v>0</v>
      </c>
      <c r="AA223" s="718">
        <f>AA221</f>
        <v>1050000000</v>
      </c>
      <c r="AB223" s="603"/>
      <c r="AC223" s="242"/>
      <c r="AD223" s="603"/>
      <c r="AE223" s="242"/>
      <c r="AF223" s="223">
        <f>AF221</f>
        <v>0</v>
      </c>
      <c r="AG223" s="223"/>
      <c r="AH223" s="243"/>
      <c r="AI223" s="223">
        <f>AI221</f>
        <v>0</v>
      </c>
      <c r="AJ223" s="223"/>
      <c r="AK223" s="223"/>
      <c r="AL223" s="676"/>
      <c r="AM223" s="223">
        <f>AM221</f>
        <v>0</v>
      </c>
      <c r="AN223" s="223">
        <f>AN221</f>
        <v>0</v>
      </c>
      <c r="AO223" s="223">
        <f>AO221</f>
        <v>0</v>
      </c>
      <c r="AP223" s="601"/>
      <c r="AQ223" s="223"/>
      <c r="AR223" s="601"/>
      <c r="AS223" s="223"/>
      <c r="AT223" s="223">
        <f>AT221</f>
        <v>0</v>
      </c>
      <c r="AU223" s="1228"/>
      <c r="AV223" s="223">
        <f>AV221</f>
        <v>0</v>
      </c>
      <c r="AW223" s="223">
        <f>AW221</f>
        <v>0</v>
      </c>
      <c r="AX223" s="223">
        <f>AX221</f>
        <v>0</v>
      </c>
      <c r="AY223" s="601"/>
      <c r="AZ223" s="223"/>
      <c r="BA223" s="601"/>
      <c r="BB223" s="223"/>
      <c r="BC223" s="223">
        <f>BC221</f>
        <v>0</v>
      </c>
      <c r="BD223" s="118"/>
      <c r="BE223" s="223"/>
      <c r="BF223" s="223">
        <f>BF221</f>
        <v>0</v>
      </c>
      <c r="BG223" s="223"/>
      <c r="BH223" s="223">
        <f>BH221</f>
        <v>0</v>
      </c>
      <c r="BI223" s="19"/>
    </row>
    <row r="224" spans="2:61" s="1" customFormat="1" hidden="1">
      <c r="B224" s="55"/>
      <c r="C224" s="55"/>
      <c r="D224" s="1378"/>
      <c r="E224" s="1378"/>
      <c r="F224" s="1365">
        <f t="shared" si="172"/>
        <v>0</v>
      </c>
      <c r="G224" s="1365">
        <f t="shared" si="171"/>
        <v>0</v>
      </c>
      <c r="H224" s="1378"/>
      <c r="I224" s="1947"/>
      <c r="J224" s="1378"/>
      <c r="K224" s="1947"/>
      <c r="L224" s="1378"/>
      <c r="M224" s="1378"/>
      <c r="N224" s="226"/>
      <c r="O224" s="1058"/>
      <c r="P224" s="1503"/>
      <c r="Q224" s="1378"/>
      <c r="R224" s="1503"/>
      <c r="S224" s="1504"/>
      <c r="T224" s="1503"/>
      <c r="U224" s="1504"/>
      <c r="V224" s="1503"/>
      <c r="W224" s="1503"/>
      <c r="X224" s="1187"/>
      <c r="Y224" s="244"/>
      <c r="Z224" s="719"/>
      <c r="AA224" s="719"/>
      <c r="AB224" s="604"/>
      <c r="AC224" s="244"/>
      <c r="AD224" s="604"/>
      <c r="AE224" s="244"/>
      <c r="AF224" s="244"/>
      <c r="AG224" s="244"/>
      <c r="AH224" s="230"/>
      <c r="AI224" s="433"/>
      <c r="AJ224" s="654"/>
      <c r="AK224" s="654"/>
      <c r="AL224" s="668"/>
      <c r="AM224" s="654"/>
      <c r="AN224" s="654"/>
      <c r="AO224" s="654"/>
      <c r="AP224" s="766"/>
      <c r="AQ224" s="654"/>
      <c r="AR224" s="766"/>
      <c r="AS224" s="654"/>
      <c r="AT224" s="654"/>
      <c r="AU224" s="114"/>
      <c r="AV224" s="654"/>
      <c r="AW224" s="654"/>
      <c r="AX224" s="654"/>
      <c r="AY224" s="766"/>
      <c r="AZ224" s="654"/>
      <c r="BA224" s="766"/>
      <c r="BB224" s="654"/>
      <c r="BC224" s="654"/>
      <c r="BD224" s="53"/>
      <c r="BE224" s="32"/>
      <c r="BF224" s="245"/>
      <c r="BG224" s="33"/>
      <c r="BH224" s="245"/>
      <c r="BI224" s="56"/>
    </row>
    <row r="225" spans="2:61" s="1" customFormat="1">
      <c r="B225" s="2"/>
      <c r="C225" s="2"/>
      <c r="D225" s="226"/>
      <c r="E225" s="226"/>
      <c r="F225" s="1365">
        <f t="shared" si="172"/>
        <v>0</v>
      </c>
      <c r="G225" s="1365">
        <f t="shared" si="171"/>
        <v>0</v>
      </c>
      <c r="H225" s="226"/>
      <c r="I225" s="612"/>
      <c r="J225" s="226"/>
      <c r="K225" s="612"/>
      <c r="L225" s="226"/>
      <c r="M225" s="226"/>
      <c r="N225" s="226"/>
      <c r="O225" s="90"/>
      <c r="P225" s="2249"/>
      <c r="Q225" s="226"/>
      <c r="R225" s="2249"/>
      <c r="S225" s="1537"/>
      <c r="T225" s="2249"/>
      <c r="U225" s="1537"/>
      <c r="V225" s="2249"/>
      <c r="W225" s="2249"/>
      <c r="X225" s="4"/>
      <c r="Y225" s="118"/>
      <c r="Z225" s="705"/>
      <c r="AA225" s="705"/>
      <c r="AB225" s="253"/>
      <c r="AC225" s="118"/>
      <c r="AD225" s="253"/>
      <c r="AE225" s="118"/>
      <c r="AF225" s="118"/>
      <c r="AG225" s="118"/>
      <c r="AH225" s="118"/>
      <c r="AI225" s="53"/>
      <c r="AJ225" s="654"/>
      <c r="AK225" s="654"/>
      <c r="AL225" s="668"/>
      <c r="AM225" s="654"/>
      <c r="AN225" s="654"/>
      <c r="AO225" s="654"/>
      <c r="AP225" s="766"/>
      <c r="AQ225" s="654"/>
      <c r="AR225" s="766"/>
      <c r="AS225" s="654"/>
      <c r="AT225" s="654"/>
      <c r="AU225" s="114"/>
      <c r="AV225" s="654"/>
      <c r="AW225" s="654"/>
      <c r="AX225" s="654"/>
      <c r="AY225" s="766"/>
      <c r="AZ225" s="654"/>
      <c r="BA225" s="766"/>
      <c r="BB225" s="654"/>
      <c r="BC225" s="654"/>
      <c r="BD225" s="53"/>
      <c r="BE225" s="32"/>
      <c r="BF225" s="245"/>
      <c r="BG225" s="33"/>
      <c r="BH225" s="245"/>
      <c r="BI225" s="114"/>
    </row>
    <row r="226" spans="2:61" s="1" customFormat="1">
      <c r="B226" s="2250" t="s">
        <v>584</v>
      </c>
      <c r="C226" s="2"/>
      <c r="D226" s="226"/>
      <c r="E226" s="226"/>
      <c r="F226" s="1365">
        <f t="shared" si="172"/>
        <v>0</v>
      </c>
      <c r="G226" s="1365">
        <f t="shared" si="171"/>
        <v>0</v>
      </c>
      <c r="H226" s="226"/>
      <c r="I226" s="612"/>
      <c r="J226" s="226"/>
      <c r="K226" s="612"/>
      <c r="L226" s="226"/>
      <c r="M226" s="226"/>
      <c r="N226" s="226"/>
      <c r="O226" s="90"/>
      <c r="P226" s="2249"/>
      <c r="Q226" s="226"/>
      <c r="R226" s="2249"/>
      <c r="S226" s="1537"/>
      <c r="T226" s="2249"/>
      <c r="U226" s="1537"/>
      <c r="V226" s="2249"/>
      <c r="W226" s="2249"/>
      <c r="X226" s="4"/>
      <c r="Y226" s="118"/>
      <c r="Z226" s="705"/>
      <c r="AA226" s="705"/>
      <c r="AB226" s="253"/>
      <c r="AC226" s="118"/>
      <c r="AD226" s="253"/>
      <c r="AE226" s="118"/>
      <c r="AF226" s="118"/>
      <c r="AG226" s="118"/>
      <c r="AH226" s="118"/>
      <c r="AI226" s="53"/>
      <c r="AJ226" s="654"/>
      <c r="AK226" s="654"/>
      <c r="AL226" s="668"/>
      <c r="AM226" s="654"/>
      <c r="AN226" s="654"/>
      <c r="AO226" s="654"/>
      <c r="AP226" s="766"/>
      <c r="AQ226" s="654"/>
      <c r="AR226" s="766"/>
      <c r="AS226" s="654"/>
      <c r="AT226" s="654"/>
      <c r="AU226" s="114"/>
      <c r="AV226" s="654"/>
      <c r="AW226" s="654"/>
      <c r="AX226" s="654"/>
      <c r="AY226" s="766"/>
      <c r="AZ226" s="654"/>
      <c r="BA226" s="766"/>
      <c r="BB226" s="654"/>
      <c r="BC226" s="654"/>
      <c r="BD226" s="53"/>
      <c r="BE226" s="32"/>
      <c r="BF226" s="245"/>
      <c r="BG226" s="33"/>
      <c r="BH226" s="245"/>
      <c r="BI226" s="114"/>
    </row>
    <row r="227" spans="2:61" s="1" customFormat="1">
      <c r="B227" s="2"/>
      <c r="C227" s="2251" t="s">
        <v>585</v>
      </c>
      <c r="D227" s="587">
        <v>1616200000</v>
      </c>
      <c r="E227" s="587">
        <v>1616200000</v>
      </c>
      <c r="F227" s="1365">
        <f t="shared" si="172"/>
        <v>3232400000</v>
      </c>
      <c r="G227" s="1365">
        <f t="shared" si="171"/>
        <v>0</v>
      </c>
      <c r="H227" s="1365">
        <f>ROUND((D227+E227),0)</f>
        <v>3232400000</v>
      </c>
      <c r="I227" s="612"/>
      <c r="J227" s="226"/>
      <c r="K227" s="612"/>
      <c r="L227" s="226"/>
      <c r="M227" s="1365">
        <f>ROUND((H227+J227-L227),0)</f>
        <v>3232400000</v>
      </c>
      <c r="N227" s="2259"/>
      <c r="O227" s="90"/>
      <c r="P227" s="2249"/>
      <c r="Q227" s="226"/>
      <c r="R227" s="2249"/>
      <c r="S227" s="1537"/>
      <c r="T227" s="2249"/>
      <c r="U227" s="1537"/>
      <c r="V227" s="2249"/>
      <c r="W227" s="2249"/>
      <c r="X227" s="4"/>
      <c r="Y227" s="118"/>
      <c r="Z227" s="705"/>
      <c r="AA227" s="705"/>
      <c r="AB227" s="253"/>
      <c r="AC227" s="118"/>
      <c r="AD227" s="253"/>
      <c r="AE227" s="118"/>
      <c r="AF227" s="118"/>
      <c r="AG227" s="118"/>
      <c r="AH227" s="118"/>
      <c r="AI227" s="53"/>
      <c r="AJ227" s="654"/>
      <c r="AK227" s="654"/>
      <c r="AL227" s="668"/>
      <c r="AM227" s="654"/>
      <c r="AN227" s="654"/>
      <c r="AO227" s="654"/>
      <c r="AP227" s="766"/>
      <c r="AQ227" s="654"/>
      <c r="AR227" s="766"/>
      <c r="AS227" s="654"/>
      <c r="AT227" s="654"/>
      <c r="AU227" s="114"/>
      <c r="AV227" s="654"/>
      <c r="AW227" s="654"/>
      <c r="AX227" s="654"/>
      <c r="AY227" s="766"/>
      <c r="AZ227" s="654"/>
      <c r="BA227" s="766"/>
      <c r="BB227" s="654"/>
      <c r="BC227" s="654"/>
      <c r="BD227" s="53"/>
      <c r="BE227" s="32"/>
      <c r="BF227" s="245"/>
      <c r="BG227" s="33"/>
      <c r="BH227" s="245"/>
      <c r="BI227" s="114"/>
    </row>
    <row r="228" spans="2:61" s="1" customFormat="1">
      <c r="B228" s="2"/>
      <c r="C228" s="2251"/>
      <c r="D228" s="226"/>
      <c r="E228" s="226"/>
      <c r="F228" s="1365">
        <f t="shared" si="172"/>
        <v>0</v>
      </c>
      <c r="G228" s="1365">
        <f t="shared" si="171"/>
        <v>0</v>
      </c>
      <c r="H228" s="226"/>
      <c r="I228" s="612"/>
      <c r="J228" s="226"/>
      <c r="K228" s="612"/>
      <c r="L228" s="226"/>
      <c r="M228" s="226"/>
      <c r="N228" s="226"/>
      <c r="O228" s="90"/>
      <c r="P228" s="2249"/>
      <c r="Q228" s="226"/>
      <c r="R228" s="2249"/>
      <c r="S228" s="1537"/>
      <c r="T228" s="2249"/>
      <c r="U228" s="1537"/>
      <c r="V228" s="2249"/>
      <c r="W228" s="2249"/>
      <c r="X228" s="4"/>
      <c r="Y228" s="118"/>
      <c r="Z228" s="705"/>
      <c r="AA228" s="705"/>
      <c r="AB228" s="253"/>
      <c r="AC228" s="118"/>
      <c r="AD228" s="253"/>
      <c r="AE228" s="118"/>
      <c r="AF228" s="118"/>
      <c r="AG228" s="118"/>
      <c r="AH228" s="118"/>
      <c r="AI228" s="53"/>
      <c r="AJ228" s="654"/>
      <c r="AK228" s="654"/>
      <c r="AL228" s="668"/>
      <c r="AM228" s="654"/>
      <c r="AN228" s="654"/>
      <c r="AO228" s="654"/>
      <c r="AP228" s="766"/>
      <c r="AQ228" s="654"/>
      <c r="AR228" s="766"/>
      <c r="AS228" s="654"/>
      <c r="AT228" s="654"/>
      <c r="AU228" s="114"/>
      <c r="AV228" s="654"/>
      <c r="AW228" s="654"/>
      <c r="AX228" s="654"/>
      <c r="AY228" s="766"/>
      <c r="AZ228" s="654"/>
      <c r="BA228" s="766"/>
      <c r="BB228" s="654"/>
      <c r="BC228" s="654"/>
      <c r="BD228" s="53"/>
      <c r="BE228" s="32"/>
      <c r="BF228" s="245"/>
      <c r="BG228" s="33"/>
      <c r="BH228" s="245"/>
      <c r="BI228" s="114"/>
    </row>
    <row r="229" spans="2:61" s="1" customFormat="1">
      <c r="B229" s="19"/>
      <c r="C229" s="54" t="s">
        <v>586</v>
      </c>
      <c r="D229" s="1369">
        <f>D227</f>
        <v>1616200000</v>
      </c>
      <c r="E229" s="1369">
        <f>E227</f>
        <v>1616200000</v>
      </c>
      <c r="F229" s="1365">
        <f t="shared" si="172"/>
        <v>3232400000</v>
      </c>
      <c r="G229" s="1365">
        <f t="shared" si="171"/>
        <v>0</v>
      </c>
      <c r="H229" s="1369">
        <f>H227</f>
        <v>3232400000</v>
      </c>
      <c r="I229" s="1944"/>
      <c r="J229" s="1369"/>
      <c r="K229" s="1944"/>
      <c r="L229" s="1369"/>
      <c r="M229" s="1369">
        <f>M227</f>
        <v>3232400000</v>
      </c>
      <c r="N229" s="226" t="s">
        <v>427</v>
      </c>
      <c r="O229" s="90"/>
      <c r="P229" s="2249"/>
      <c r="Q229" s="226"/>
      <c r="R229" s="2249"/>
      <c r="S229" s="1537"/>
      <c r="T229" s="2249"/>
      <c r="U229" s="1537"/>
      <c r="V229" s="2249"/>
      <c r="W229" s="2249"/>
      <c r="X229" s="4"/>
      <c r="Y229" s="118"/>
      <c r="Z229" s="705"/>
      <c r="AA229" s="705"/>
      <c r="AB229" s="253"/>
      <c r="AC229" s="118"/>
      <c r="AD229" s="253"/>
      <c r="AE229" s="118"/>
      <c r="AF229" s="118"/>
      <c r="AG229" s="118"/>
      <c r="AH229" s="118"/>
      <c r="AI229" s="53"/>
      <c r="AJ229" s="654"/>
      <c r="AK229" s="654"/>
      <c r="AL229" s="668"/>
      <c r="AM229" s="654"/>
      <c r="AN229" s="654"/>
      <c r="AO229" s="654"/>
      <c r="AP229" s="766"/>
      <c r="AQ229" s="654"/>
      <c r="AR229" s="766"/>
      <c r="AS229" s="654"/>
      <c r="AT229" s="654"/>
      <c r="AU229" s="114"/>
      <c r="AV229" s="654"/>
      <c r="AW229" s="654"/>
      <c r="AX229" s="654"/>
      <c r="AY229" s="766"/>
      <c r="AZ229" s="654"/>
      <c r="BA229" s="766"/>
      <c r="BB229" s="654"/>
      <c r="BC229" s="654"/>
      <c r="BD229" s="53"/>
      <c r="BE229" s="32"/>
      <c r="BF229" s="245"/>
      <c r="BG229" s="33"/>
      <c r="BH229" s="245"/>
      <c r="BI229" s="114"/>
    </row>
    <row r="230" spans="2:61" s="1" customFormat="1">
      <c r="B230" s="2"/>
      <c r="C230" s="2"/>
      <c r="D230" s="226"/>
      <c r="E230" s="226"/>
      <c r="F230" s="1365">
        <f t="shared" si="172"/>
        <v>0</v>
      </c>
      <c r="G230" s="1365">
        <f t="shared" si="171"/>
        <v>0</v>
      </c>
      <c r="H230" s="226"/>
      <c r="I230" s="612"/>
      <c r="J230" s="226"/>
      <c r="K230" s="612"/>
      <c r="L230" s="226"/>
      <c r="M230" s="226"/>
      <c r="N230" s="226"/>
      <c r="O230" s="90"/>
      <c r="P230" s="2249"/>
      <c r="Q230" s="226"/>
      <c r="R230" s="2249"/>
      <c r="S230" s="1537"/>
      <c r="T230" s="2249"/>
      <c r="U230" s="1537"/>
      <c r="V230" s="2249"/>
      <c r="W230" s="2249"/>
      <c r="X230" s="4"/>
      <c r="Y230" s="118"/>
      <c r="Z230" s="705"/>
      <c r="AA230" s="705"/>
      <c r="AB230" s="253"/>
      <c r="AC230" s="118"/>
      <c r="AD230" s="253"/>
      <c r="AE230" s="118"/>
      <c r="AF230" s="118"/>
      <c r="AG230" s="118"/>
      <c r="AH230" s="118"/>
      <c r="AI230" s="53"/>
      <c r="AJ230" s="654"/>
      <c r="AK230" s="654"/>
      <c r="AL230" s="668"/>
      <c r="AM230" s="654"/>
      <c r="AN230" s="654"/>
      <c r="AO230" s="654"/>
      <c r="AP230" s="766"/>
      <c r="AQ230" s="654"/>
      <c r="AR230" s="766"/>
      <c r="AS230" s="654"/>
      <c r="AT230" s="654"/>
      <c r="AU230" s="114"/>
      <c r="AV230" s="654"/>
      <c r="AW230" s="654"/>
      <c r="AX230" s="654"/>
      <c r="AY230" s="766"/>
      <c r="AZ230" s="654"/>
      <c r="BA230" s="766"/>
      <c r="BB230" s="654"/>
      <c r="BC230" s="654"/>
      <c r="BD230" s="53"/>
      <c r="BE230" s="32"/>
      <c r="BF230" s="245"/>
      <c r="BG230" s="33"/>
      <c r="BH230" s="245"/>
      <c r="BI230" s="114"/>
    </row>
    <row r="231" spans="2:61" s="1" customFormat="1">
      <c r="B231" s="2" t="s">
        <v>204</v>
      </c>
      <c r="C231" s="2"/>
      <c r="D231" s="217"/>
      <c r="E231" s="217"/>
      <c r="F231" s="1365">
        <f t="shared" si="172"/>
        <v>0</v>
      </c>
      <c r="G231" s="1365">
        <f t="shared" si="171"/>
        <v>0</v>
      </c>
      <c r="H231" s="217"/>
      <c r="I231" s="1384"/>
      <c r="J231" s="217"/>
      <c r="K231" s="1384"/>
      <c r="L231" s="217"/>
      <c r="M231" s="217"/>
      <c r="N231" s="226"/>
      <c r="O231" s="1058"/>
      <c r="P231" s="1480"/>
      <c r="Q231" s="217"/>
      <c r="R231" s="1480"/>
      <c r="S231" s="1481"/>
      <c r="T231" s="1480"/>
      <c r="U231" s="1481"/>
      <c r="V231" s="1480"/>
      <c r="W231" s="1480"/>
      <c r="X231" s="1187"/>
      <c r="Y231" s="118"/>
      <c r="Z231" s="705"/>
      <c r="AA231" s="705"/>
      <c r="AB231" s="253"/>
      <c r="AC231" s="118"/>
      <c r="AD231" s="253"/>
      <c r="AE231" s="118"/>
      <c r="AF231" s="118"/>
      <c r="AG231" s="118"/>
      <c r="AH231" s="209"/>
      <c r="AI231" s="138"/>
      <c r="AJ231" s="138"/>
      <c r="AK231" s="138"/>
      <c r="AL231" s="670"/>
      <c r="AM231" s="138"/>
      <c r="AN231" s="138"/>
      <c r="AO231" s="138"/>
      <c r="AP231" s="437"/>
      <c r="AQ231" s="138"/>
      <c r="AR231" s="437"/>
      <c r="AS231" s="138"/>
      <c r="AT231" s="138"/>
      <c r="AU231" s="43"/>
      <c r="AV231" s="138"/>
      <c r="AW231" s="138"/>
      <c r="AX231" s="138"/>
      <c r="AY231" s="437"/>
      <c r="AZ231" s="138"/>
      <c r="BA231" s="437"/>
      <c r="BB231" s="138"/>
      <c r="BC231" s="138"/>
      <c r="BD231" s="138"/>
      <c r="BE231" s="42"/>
      <c r="BF231" s="105"/>
      <c r="BG231" s="43"/>
      <c r="BH231" s="105"/>
      <c r="BI231" s="36"/>
    </row>
    <row r="232" spans="2:61" s="1" customFormat="1">
      <c r="B232" s="4"/>
      <c r="C232" s="4" t="s">
        <v>204</v>
      </c>
      <c r="D232" s="1365"/>
      <c r="E232" s="1365">
        <f>ROUND(9445772618.23811,0)</f>
        <v>9445772618</v>
      </c>
      <c r="F232" s="1365">
        <f t="shared" si="172"/>
        <v>9445772618</v>
      </c>
      <c r="G232" s="1365">
        <f t="shared" si="171"/>
        <v>0</v>
      </c>
      <c r="H232" s="1365">
        <f>ROUND((D232+E232),0)</f>
        <v>9445772618</v>
      </c>
      <c r="I232" s="1384"/>
      <c r="J232" s="1365"/>
      <c r="K232" s="1384"/>
      <c r="L232" s="1365"/>
      <c r="M232" s="1365">
        <f>ROUND((H232+J232-L232),0)</f>
        <v>9445772618</v>
      </c>
      <c r="N232" s="2259"/>
      <c r="O232" s="1058"/>
      <c r="P232" s="1482"/>
      <c r="Q232" s="1365">
        <f>ROUND(9445772618.23811,0)</f>
        <v>9445772618</v>
      </c>
      <c r="R232" s="1482">
        <f>ROUND((P232+Q232),0)</f>
        <v>9445772618</v>
      </c>
      <c r="S232" s="1481"/>
      <c r="T232" s="1482"/>
      <c r="U232" s="1481"/>
      <c r="V232" s="1482"/>
      <c r="W232" s="1482">
        <f>ROUND((R232+T232-V232),0)</f>
        <v>9445772618</v>
      </c>
      <c r="X232" s="1581"/>
      <c r="Y232" s="90"/>
      <c r="Z232" s="697">
        <v>9445772618</v>
      </c>
      <c r="AA232" s="697">
        <f>ROUND((Y232+Z232),0)</f>
        <v>9445772618</v>
      </c>
      <c r="AB232" s="253"/>
      <c r="AC232" s="90"/>
      <c r="AD232" s="253"/>
      <c r="AE232" s="90"/>
      <c r="AF232" s="90">
        <f>ROUND((AA232+AC232-AE232),0)</f>
        <v>9445772618</v>
      </c>
      <c r="AG232" s="90"/>
      <c r="AH232" s="207"/>
      <c r="AI232" s="9">
        <v>9445772618</v>
      </c>
      <c r="AJ232" s="9"/>
      <c r="AK232" s="9"/>
      <c r="AL232" s="667">
        <v>147675182229</v>
      </c>
      <c r="AM232" s="9"/>
      <c r="AN232" s="9">
        <v>9445772618</v>
      </c>
      <c r="AO232" s="9">
        <f>ROUND((AM232+AN232),0)</f>
        <v>9445772618</v>
      </c>
      <c r="AP232" s="769"/>
      <c r="AQ232" s="9"/>
      <c r="AR232" s="769"/>
      <c r="AS232" s="9"/>
      <c r="AT232" s="9">
        <f>ROUND((AO232+AQ232-AS232),0)</f>
        <v>9445772618</v>
      </c>
      <c r="AU232" s="37"/>
      <c r="AV232" s="9"/>
      <c r="AW232" s="9">
        <v>9445772618</v>
      </c>
      <c r="AX232" s="9">
        <f>ROUND((AV232+AW232),0)</f>
        <v>9445772618</v>
      </c>
      <c r="AY232" s="769"/>
      <c r="AZ232" s="9"/>
      <c r="BA232" s="769"/>
      <c r="BB232" s="9"/>
      <c r="BC232" s="9">
        <f>ROUND((AX232+AZ232-BB232),0)</f>
        <v>9445772618</v>
      </c>
      <c r="BD232" s="14"/>
      <c r="BE232" s="128"/>
      <c r="BF232" s="219">
        <v>9445772618</v>
      </c>
      <c r="BG232" s="37"/>
      <c r="BH232" s="219">
        <v>9445772618</v>
      </c>
      <c r="BI232" s="37"/>
    </row>
    <row r="233" spans="2:61" s="1" customFormat="1">
      <c r="B233" s="4"/>
      <c r="C233" s="4"/>
      <c r="D233" s="1365"/>
      <c r="E233" s="1365"/>
      <c r="F233" s="1365">
        <f t="shared" si="172"/>
        <v>0</v>
      </c>
      <c r="G233" s="1365">
        <f t="shared" si="171"/>
        <v>0</v>
      </c>
      <c r="H233" s="1365"/>
      <c r="I233" s="1384"/>
      <c r="J233" s="1365"/>
      <c r="K233" s="1384"/>
      <c r="L233" s="1365"/>
      <c r="M233" s="1365"/>
      <c r="N233" s="2259"/>
      <c r="O233" s="1058"/>
      <c r="P233" s="1482"/>
      <c r="Q233" s="1365"/>
      <c r="R233" s="1482"/>
      <c r="S233" s="1481"/>
      <c r="T233" s="1482"/>
      <c r="U233" s="1481"/>
      <c r="V233" s="1482"/>
      <c r="W233" s="1482"/>
      <c r="X233" s="1187"/>
      <c r="Y233" s="90"/>
      <c r="Z233" s="697">
        <v>0</v>
      </c>
      <c r="AA233" s="697"/>
      <c r="AB233" s="253"/>
      <c r="AC233" s="90"/>
      <c r="AD233" s="253"/>
      <c r="AE233" s="90"/>
      <c r="AF233" s="90"/>
      <c r="AG233" s="90"/>
      <c r="AH233" s="207"/>
      <c r="AI233" s="140"/>
      <c r="AJ233" s="140"/>
      <c r="AK233" s="140"/>
      <c r="AL233" s="673"/>
      <c r="AM233" s="140"/>
      <c r="AN233" s="140"/>
      <c r="AO233" s="140"/>
      <c r="AP233" s="437"/>
      <c r="AQ233" s="140"/>
      <c r="AR233" s="437"/>
      <c r="AS233" s="140"/>
      <c r="AT233" s="140"/>
      <c r="AU233" s="66"/>
      <c r="AV233" s="140"/>
      <c r="AW233" s="140"/>
      <c r="AX233" s="140"/>
      <c r="AY233" s="437"/>
      <c r="AZ233" s="140"/>
      <c r="BA233" s="437"/>
      <c r="BB233" s="140"/>
      <c r="BC233" s="140"/>
      <c r="BD233" s="140"/>
      <c r="BE233" s="40"/>
      <c r="BF233" s="235"/>
      <c r="BG233" s="66"/>
      <c r="BH233" s="235"/>
      <c r="BI233" s="46"/>
    </row>
    <row r="234" spans="2:61" s="1" customFormat="1">
      <c r="B234" s="2" t="s">
        <v>563</v>
      </c>
      <c r="C234" s="2"/>
      <c r="D234" s="217"/>
      <c r="E234" s="217"/>
      <c r="F234" s="1365">
        <f t="shared" si="172"/>
        <v>0</v>
      </c>
      <c r="G234" s="1365">
        <f t="shared" si="171"/>
        <v>0</v>
      </c>
      <c r="H234" s="217"/>
      <c r="I234" s="1384"/>
      <c r="J234" s="217"/>
      <c r="K234" s="1384"/>
      <c r="L234" s="217"/>
      <c r="M234" s="217"/>
      <c r="N234" s="226"/>
      <c r="O234" s="1058"/>
      <c r="P234" s="1480"/>
      <c r="Q234" s="217"/>
      <c r="R234" s="1480"/>
      <c r="S234" s="1481"/>
      <c r="T234" s="1480"/>
      <c r="U234" s="1481"/>
      <c r="V234" s="1480"/>
      <c r="W234" s="1480"/>
      <c r="X234" s="1586"/>
      <c r="Y234" s="118"/>
      <c r="Z234" s="705">
        <v>0</v>
      </c>
      <c r="AA234" s="705"/>
      <c r="AB234" s="253"/>
      <c r="AC234" s="118"/>
      <c r="AD234" s="253"/>
      <c r="AE234" s="118"/>
      <c r="AF234" s="118"/>
      <c r="AG234" s="118"/>
      <c r="AH234" s="209"/>
      <c r="AI234" s="138"/>
      <c r="AJ234" s="138"/>
      <c r="AK234" s="138"/>
      <c r="AL234" s="670"/>
      <c r="AM234" s="138"/>
      <c r="AN234" s="138"/>
      <c r="AO234" s="138"/>
      <c r="AP234" s="437"/>
      <c r="AQ234" s="138"/>
      <c r="AR234" s="437"/>
      <c r="AS234" s="138"/>
      <c r="AT234" s="138"/>
      <c r="AU234" s="43"/>
      <c r="AV234" s="138"/>
      <c r="AW234" s="138"/>
      <c r="AX234" s="138"/>
      <c r="AY234" s="437"/>
      <c r="AZ234" s="138"/>
      <c r="BA234" s="437"/>
      <c r="BB234" s="138"/>
      <c r="BC234" s="138"/>
      <c r="BD234" s="138"/>
      <c r="BE234" s="42"/>
      <c r="BF234" s="105"/>
      <c r="BG234" s="43"/>
      <c r="BH234" s="105"/>
      <c r="BI234" s="36"/>
    </row>
    <row r="235" spans="2:61" s="1" customFormat="1">
      <c r="B235" s="4"/>
      <c r="C235" s="4" t="s">
        <v>587</v>
      </c>
      <c r="D235" s="1365"/>
      <c r="E235" s="1365">
        <f>ROUND(-1889154523.64762,0)</f>
        <v>-1889154524</v>
      </c>
      <c r="F235" s="1365">
        <f t="shared" si="172"/>
        <v>-1889154524</v>
      </c>
      <c r="G235" s="1365">
        <f t="shared" si="171"/>
        <v>0</v>
      </c>
      <c r="H235" s="1365">
        <f>ROUND((D235+E235),0)</f>
        <v>-1889154524</v>
      </c>
      <c r="I235" s="1384"/>
      <c r="J235" s="1365"/>
      <c r="K235" s="1384"/>
      <c r="L235" s="1365"/>
      <c r="M235" s="1365">
        <f>ROUND((H235+J235-L235),0)</f>
        <v>-1889154524</v>
      </c>
      <c r="N235" s="2259"/>
      <c r="O235" s="1058">
        <f>Z235-M235</f>
        <v>157429544</v>
      </c>
      <c r="P235" s="1482"/>
      <c r="Q235" s="1365">
        <f>ROUND(-1810439751.82897,0)</f>
        <v>-1810439752</v>
      </c>
      <c r="R235" s="1482">
        <f>ROUND((P235+Q235),0)</f>
        <v>-1810439752</v>
      </c>
      <c r="S235" s="1481"/>
      <c r="T235" s="1482"/>
      <c r="U235" s="1481"/>
      <c r="V235" s="1482"/>
      <c r="W235" s="1482">
        <f>ROUND((R235+T235-V235),0)</f>
        <v>-1810439752</v>
      </c>
      <c r="X235" s="1581">
        <f>AI235-W235</f>
        <v>236144316</v>
      </c>
      <c r="Y235" s="90"/>
      <c r="Z235" s="697">
        <v>-1731724980</v>
      </c>
      <c r="AA235" s="697">
        <f>ROUND((Y235+Z235),0)</f>
        <v>-1731724980</v>
      </c>
      <c r="AB235" s="253"/>
      <c r="AC235" s="90"/>
      <c r="AD235" s="253"/>
      <c r="AE235" s="90"/>
      <c r="AF235" s="90">
        <f>ROUND((AA235+AC235-AE235),0)</f>
        <v>-1731724980</v>
      </c>
      <c r="AG235" s="90"/>
      <c r="AH235" s="207">
        <f>AI235-AF235</f>
        <v>157429544</v>
      </c>
      <c r="AI235" s="9">
        <v>-1574295436</v>
      </c>
      <c r="AJ235" s="9"/>
      <c r="AK235" s="9"/>
      <c r="AL235" s="667">
        <f>AI235-BF235</f>
        <v>-314859087</v>
      </c>
      <c r="AM235" s="9"/>
      <c r="AN235" s="9">
        <v>-1495580665</v>
      </c>
      <c r="AO235" s="9">
        <f>ROUND((AM235+AN235),0)</f>
        <v>-1495580665</v>
      </c>
      <c r="AP235" s="769"/>
      <c r="AQ235" s="9"/>
      <c r="AR235" s="769"/>
      <c r="AS235" s="9"/>
      <c r="AT235" s="9">
        <f>ROUND((AO235+AQ235-AS235),0)</f>
        <v>-1495580665</v>
      </c>
      <c r="AU235" s="37"/>
      <c r="AV235" s="9"/>
      <c r="AW235" s="9">
        <v>-1416865893</v>
      </c>
      <c r="AX235" s="9">
        <f>ROUND((AV235+AW235),0)</f>
        <v>-1416865893</v>
      </c>
      <c r="AY235" s="769"/>
      <c r="AZ235" s="9"/>
      <c r="BA235" s="769"/>
      <c r="BB235" s="9"/>
      <c r="BC235" s="9">
        <f>ROUND((AX235+AZ235-BB235),0)</f>
        <v>-1416865893</v>
      </c>
      <c r="BD235" s="14"/>
      <c r="BE235" s="128"/>
      <c r="BF235" s="219">
        <v>-1259436349</v>
      </c>
      <c r="BG235" s="37"/>
      <c r="BH235" s="219">
        <v>-944577262</v>
      </c>
      <c r="BI235" s="37"/>
    </row>
    <row r="236" spans="2:61" s="1" customFormat="1">
      <c r="B236" s="55"/>
      <c r="C236" s="55" t="s">
        <v>588</v>
      </c>
      <c r="D236" s="1379">
        <f>D232+D235</f>
        <v>0</v>
      </c>
      <c r="E236" s="1379">
        <f>E232+E235+1</f>
        <v>7556618095</v>
      </c>
      <c r="F236" s="1365">
        <f t="shared" si="172"/>
        <v>7556618095</v>
      </c>
      <c r="G236" s="1365">
        <f t="shared" si="171"/>
        <v>1</v>
      </c>
      <c r="H236" s="1379">
        <f>H232+H235</f>
        <v>7556618094</v>
      </c>
      <c r="I236" s="1948"/>
      <c r="J236" s="1379"/>
      <c r="K236" s="1948"/>
      <c r="L236" s="1379"/>
      <c r="M236" s="1379">
        <f>M232+M235</f>
        <v>7556618094</v>
      </c>
      <c r="N236" s="2260" t="s">
        <v>427</v>
      </c>
      <c r="O236" s="1058"/>
      <c r="P236" s="1505">
        <f>P232+P235</f>
        <v>0</v>
      </c>
      <c r="Q236" s="1379">
        <f>Q232+Q235</f>
        <v>7635332866</v>
      </c>
      <c r="R236" s="1505">
        <f>R232+R235</f>
        <v>7635332866</v>
      </c>
      <c r="S236" s="1506"/>
      <c r="T236" s="1505"/>
      <c r="U236" s="1506"/>
      <c r="V236" s="1505"/>
      <c r="W236" s="1505">
        <f>W232+W235</f>
        <v>7635332866</v>
      </c>
      <c r="X236" s="1187"/>
      <c r="Y236" s="433">
        <f>Y232+Y235</f>
        <v>0</v>
      </c>
      <c r="Z236" s="720">
        <f>Z232+Z235</f>
        <v>7714047638</v>
      </c>
      <c r="AA236" s="720">
        <f>AA232+AA235</f>
        <v>7714047638</v>
      </c>
      <c r="AB236" s="604"/>
      <c r="AC236" s="244"/>
      <c r="AD236" s="604"/>
      <c r="AE236" s="244"/>
      <c r="AF236" s="433">
        <f>AF232+AF235</f>
        <v>7714047638</v>
      </c>
      <c r="AG236" s="654"/>
      <c r="AH236" s="230"/>
      <c r="AI236" s="433">
        <f>AI232+AI235</f>
        <v>7871477182</v>
      </c>
      <c r="AJ236" s="654"/>
      <c r="AK236" s="654"/>
      <c r="AL236" s="668"/>
      <c r="AM236" s="654">
        <f>AM232+AM235</f>
        <v>0</v>
      </c>
      <c r="AN236" s="654">
        <f>AN232+AN235</f>
        <v>7950191953</v>
      </c>
      <c r="AO236" s="654">
        <f>AO232+AO235</f>
        <v>7950191953</v>
      </c>
      <c r="AP236" s="766"/>
      <c r="AQ236" s="654"/>
      <c r="AR236" s="766"/>
      <c r="AS236" s="654"/>
      <c r="AT236" s="654">
        <f>AT232+AT235</f>
        <v>7950191953</v>
      </c>
      <c r="AU236" s="114"/>
      <c r="AV236" s="654">
        <f>AV232+AV235</f>
        <v>0</v>
      </c>
      <c r="AW236" s="654">
        <f>AW232+AW235</f>
        <v>8028906725</v>
      </c>
      <c r="AX236" s="654">
        <f>AX232+AX235</f>
        <v>8028906725</v>
      </c>
      <c r="AY236" s="766"/>
      <c r="AZ236" s="654"/>
      <c r="BA236" s="766"/>
      <c r="BB236" s="654"/>
      <c r="BC236" s="654">
        <f>BC232+BC235</f>
        <v>8028906725</v>
      </c>
      <c r="BD236" s="53"/>
      <c r="BE236" s="32"/>
      <c r="BF236" s="433">
        <f>BF232+BF235</f>
        <v>8186336269</v>
      </c>
      <c r="BG236" s="33"/>
      <c r="BH236" s="433">
        <f>BH232+BH235</f>
        <v>8501195356</v>
      </c>
      <c r="BI236" s="56"/>
    </row>
    <row r="237" spans="2:61" s="1" customFormat="1">
      <c r="B237" s="57"/>
      <c r="C237" s="57"/>
      <c r="D237" s="1380"/>
      <c r="E237" s="1380"/>
      <c r="F237" s="1365">
        <f t="shared" si="172"/>
        <v>0</v>
      </c>
      <c r="G237" s="1365">
        <f t="shared" si="171"/>
        <v>0</v>
      </c>
      <c r="H237" s="1380"/>
      <c r="I237" s="1949"/>
      <c r="J237" s="1380"/>
      <c r="K237" s="1949"/>
      <c r="L237" s="1380"/>
      <c r="M237" s="1380"/>
      <c r="N237" s="226"/>
      <c r="O237" s="1058"/>
      <c r="P237" s="1507"/>
      <c r="Q237" s="1380"/>
      <c r="R237" s="1507"/>
      <c r="S237" s="1508"/>
      <c r="T237" s="1507"/>
      <c r="U237" s="1508"/>
      <c r="V237" s="1507"/>
      <c r="W237" s="1507"/>
      <c r="X237" s="1187"/>
      <c r="Y237" s="246"/>
      <c r="Z237" s="721"/>
      <c r="AA237" s="721"/>
      <c r="AB237" s="605"/>
      <c r="AC237" s="246"/>
      <c r="AD237" s="605"/>
      <c r="AE237" s="246"/>
      <c r="AF237" s="246"/>
      <c r="AG237" s="246"/>
      <c r="AH237" s="209"/>
      <c r="AI237" s="431"/>
      <c r="AJ237" s="431"/>
      <c r="AK237" s="431"/>
      <c r="AL237" s="669"/>
      <c r="AM237" s="431"/>
      <c r="AN237" s="431"/>
      <c r="AO237" s="431"/>
      <c r="AP237" s="765"/>
      <c r="AQ237" s="431"/>
      <c r="AR237" s="765"/>
      <c r="AS237" s="431"/>
      <c r="AT237" s="431"/>
      <c r="AU237" s="132"/>
      <c r="AV237" s="431"/>
      <c r="AW237" s="431"/>
      <c r="AX237" s="431"/>
      <c r="AY237" s="765"/>
      <c r="AZ237" s="431"/>
      <c r="BA237" s="765"/>
      <c r="BB237" s="431"/>
      <c r="BC237" s="431"/>
      <c r="BD237" s="427"/>
      <c r="BE237" s="131"/>
      <c r="BF237" s="217"/>
      <c r="BG237" s="132"/>
      <c r="BH237" s="217"/>
      <c r="BI237" s="3"/>
    </row>
    <row r="238" spans="2:61" s="1" customFormat="1">
      <c r="B238" s="2" t="s">
        <v>589</v>
      </c>
      <c r="C238" s="4"/>
      <c r="D238" s="1365"/>
      <c r="E238" s="1365"/>
      <c r="F238" s="1365">
        <f t="shared" si="172"/>
        <v>0</v>
      </c>
      <c r="G238" s="1365">
        <f t="shared" si="171"/>
        <v>0</v>
      </c>
      <c r="H238" s="1365"/>
      <c r="I238" s="1384"/>
      <c r="J238" s="1365"/>
      <c r="K238" s="1384"/>
      <c r="L238" s="1365"/>
      <c r="M238" s="1365"/>
      <c r="N238" s="2259"/>
      <c r="O238" s="1058"/>
      <c r="P238" s="1482"/>
      <c r="Q238" s="1365"/>
      <c r="R238" s="1482"/>
      <c r="S238" s="1481"/>
      <c r="T238" s="1482"/>
      <c r="U238" s="1481"/>
      <c r="V238" s="1482"/>
      <c r="W238" s="1482"/>
      <c r="X238" s="1187"/>
      <c r="Y238" s="90"/>
      <c r="Z238" s="697"/>
      <c r="AA238" s="697"/>
      <c r="AB238" s="253"/>
      <c r="AC238" s="90"/>
      <c r="AD238" s="253"/>
      <c r="AE238" s="90"/>
      <c r="AF238" s="90"/>
      <c r="AG238" s="90"/>
      <c r="AH238" s="207"/>
      <c r="AI238" s="424"/>
      <c r="AJ238" s="424"/>
      <c r="AK238" s="424"/>
      <c r="AL238" s="666"/>
      <c r="AM238" s="424"/>
      <c r="AN238" s="424"/>
      <c r="AO238" s="424"/>
      <c r="AP238" s="765"/>
      <c r="AQ238" s="424"/>
      <c r="AR238" s="765"/>
      <c r="AS238" s="424"/>
      <c r="AT238" s="424"/>
      <c r="AU238" s="127"/>
      <c r="AV238" s="424"/>
      <c r="AW238" s="424"/>
      <c r="AX238" s="424"/>
      <c r="AY238" s="765"/>
      <c r="AZ238" s="424"/>
      <c r="BA238" s="765"/>
      <c r="BB238" s="424"/>
      <c r="BC238" s="424"/>
      <c r="BD238" s="586"/>
      <c r="BE238" s="126"/>
      <c r="BF238" s="218"/>
      <c r="BG238" s="127"/>
      <c r="BH238" s="218"/>
      <c r="BI238" s="6"/>
    </row>
    <row r="239" spans="2:61" s="1" customFormat="1">
      <c r="B239" s="2"/>
      <c r="C239" s="4" t="s">
        <v>191</v>
      </c>
      <c r="D239" s="1365">
        <v>150529856.17453313</v>
      </c>
      <c r="E239" s="1365"/>
      <c r="F239" s="1365">
        <f t="shared" si="172"/>
        <v>150529856.17453313</v>
      </c>
      <c r="G239" s="1365">
        <f t="shared" si="171"/>
        <v>0.17453312873840332</v>
      </c>
      <c r="H239" s="1365">
        <f>ROUND((D239+E239),0)</f>
        <v>150529856</v>
      </c>
      <c r="I239" s="1384"/>
      <c r="J239" s="1365"/>
      <c r="K239" s="1384"/>
      <c r="L239" s="1365"/>
      <c r="M239" s="1365">
        <f>ROUND((H239+J239-L239),0)</f>
        <v>150529856</v>
      </c>
      <c r="N239" s="2259"/>
      <c r="O239" s="1058"/>
      <c r="P239" s="1482">
        <f>ROUND(150529856.174533,0)</f>
        <v>150529856</v>
      </c>
      <c r="Q239" s="1365"/>
      <c r="R239" s="1482">
        <f>ROUND((P239+Q239),0)</f>
        <v>150529856</v>
      </c>
      <c r="S239" s="1481"/>
      <c r="T239" s="1482"/>
      <c r="U239" s="1481"/>
      <c r="V239" s="1482"/>
      <c r="W239" s="1482">
        <f>ROUND((R239+T239-V239),0)</f>
        <v>150529856</v>
      </c>
      <c r="X239" s="1187"/>
      <c r="Y239" s="90">
        <v>150529856</v>
      </c>
      <c r="Z239" s="697"/>
      <c r="AA239" s="697">
        <f>ROUND((Y239+Z239),0)</f>
        <v>150529856</v>
      </c>
      <c r="AB239" s="253"/>
      <c r="AC239" s="90"/>
      <c r="AD239" s="253"/>
      <c r="AE239" s="90"/>
      <c r="AF239" s="90">
        <f>ROUND((AA239+AC239-AE239),0)</f>
        <v>150529856</v>
      </c>
      <c r="AG239" s="90"/>
      <c r="AH239" s="207"/>
      <c r="AI239" s="14">
        <v>150529856</v>
      </c>
      <c r="AJ239" s="14"/>
      <c r="AK239" s="14"/>
      <c r="AL239" s="667"/>
      <c r="AM239" s="14">
        <v>124282962</v>
      </c>
      <c r="AN239" s="14"/>
      <c r="AO239" s="14">
        <f>ROUND((AM239+AN239),0)</f>
        <v>124282962</v>
      </c>
      <c r="AP239" s="437"/>
      <c r="AQ239" s="14"/>
      <c r="AR239" s="437"/>
      <c r="AS239" s="14"/>
      <c r="AT239" s="14">
        <f>ROUND((AO239+AQ239-AS239),0)</f>
        <v>124282962</v>
      </c>
      <c r="AU239" s="37"/>
      <c r="AV239" s="14">
        <v>124282962</v>
      </c>
      <c r="AW239" s="14"/>
      <c r="AX239" s="14">
        <f>ROUND((AV239+AW239),0)</f>
        <v>124282962</v>
      </c>
      <c r="AY239" s="437"/>
      <c r="AZ239" s="14"/>
      <c r="BA239" s="437"/>
      <c r="BB239" s="14"/>
      <c r="BC239" s="14">
        <f>ROUND((AX239+AZ239-BB239),0)</f>
        <v>124282962</v>
      </c>
      <c r="BD239" s="14"/>
      <c r="BE239" s="128"/>
      <c r="BF239" s="220">
        <v>124282962</v>
      </c>
      <c r="BG239" s="37"/>
      <c r="BH239" s="219">
        <v>0</v>
      </c>
      <c r="BI239" s="11"/>
    </row>
    <row r="240" spans="2:61" s="1" customFormat="1">
      <c r="B240" s="118"/>
      <c r="C240" s="44" t="s">
        <v>589</v>
      </c>
      <c r="D240" s="1374"/>
      <c r="E240" s="1374">
        <v>1553926682</v>
      </c>
      <c r="F240" s="1365">
        <f t="shared" si="172"/>
        <v>1553926682</v>
      </c>
      <c r="G240" s="1365">
        <f t="shared" si="171"/>
        <v>0</v>
      </c>
      <c r="H240" s="1374">
        <f>ROUND((D240+E240),0)</f>
        <v>1553926682</v>
      </c>
      <c r="I240" s="1943"/>
      <c r="J240" s="1374"/>
      <c r="K240" s="1943"/>
      <c r="L240" s="1374"/>
      <c r="M240" s="1374">
        <f>ROUND((H240+J240-L240),0)</f>
        <v>1553926682</v>
      </c>
      <c r="N240" s="2259"/>
      <c r="O240" s="1058"/>
      <c r="P240" s="1497"/>
      <c r="Q240" s="1374">
        <f>ROUND(1547612355.41113,0)</f>
        <v>1547612355</v>
      </c>
      <c r="R240" s="1497">
        <f>ROUND((P240+Q240),0)</f>
        <v>1547612355</v>
      </c>
      <c r="S240" s="1487"/>
      <c r="T240" s="1497"/>
      <c r="U240" s="1487"/>
      <c r="V240" s="1497"/>
      <c r="W240" s="1497">
        <f>ROUND((R240+T240-V240),0)</f>
        <v>1547612355</v>
      </c>
      <c r="X240" s="1187"/>
      <c r="Y240" s="236">
        <v>143502898</v>
      </c>
      <c r="Z240" s="713">
        <v>1547612355</v>
      </c>
      <c r="AA240" s="713">
        <f>ROUND((Y240+Z240),0)</f>
        <v>1691115253</v>
      </c>
      <c r="AB240" s="617"/>
      <c r="AC240" s="236"/>
      <c r="AD240" s="617"/>
      <c r="AE240" s="236"/>
      <c r="AF240" s="236">
        <f>ROUND((AA240+AC240-AE240),0)</f>
        <v>1691115253</v>
      </c>
      <c r="AG240" s="236"/>
      <c r="AH240" s="207"/>
      <c r="AI240" s="14">
        <v>1547612355</v>
      </c>
      <c r="AJ240" s="14"/>
      <c r="AK240" s="14"/>
      <c r="AL240" s="667"/>
      <c r="AM240" s="14"/>
      <c r="AN240" s="14">
        <v>1328719599</v>
      </c>
      <c r="AO240" s="14">
        <f>ROUND((AM240+AN240),0)</f>
        <v>1328719599</v>
      </c>
      <c r="AP240" s="437"/>
      <c r="AQ240" s="14"/>
      <c r="AR240" s="437"/>
      <c r="AS240" s="14"/>
      <c r="AT240" s="14">
        <f>ROUND((AO240+AQ240-AS240),0)</f>
        <v>1328719599</v>
      </c>
      <c r="AU240" s="37"/>
      <c r="AV240" s="14"/>
      <c r="AW240" s="14">
        <v>1328719599</v>
      </c>
      <c r="AX240" s="14">
        <f>ROUND((AV240+AW240),0)</f>
        <v>1328719599</v>
      </c>
      <c r="AY240" s="437"/>
      <c r="AZ240" s="14"/>
      <c r="BA240" s="437"/>
      <c r="BB240" s="14"/>
      <c r="BC240" s="14">
        <f>ROUND((AX240+AZ240-BB240),0)</f>
        <v>1328719599</v>
      </c>
      <c r="BD240" s="14"/>
      <c r="BE240" s="128"/>
      <c r="BF240" s="220">
        <v>1328719599</v>
      </c>
      <c r="BG240" s="37"/>
      <c r="BH240" s="219">
        <v>1354368903</v>
      </c>
      <c r="BI240" s="11">
        <v>1354368903.4654627</v>
      </c>
    </row>
    <row r="241" spans="2:61" s="1" customFormat="1">
      <c r="B241" s="30"/>
      <c r="C241" s="13" t="s">
        <v>590</v>
      </c>
      <c r="D241" s="1367">
        <v>195984209.5</v>
      </c>
      <c r="E241" s="1367"/>
      <c r="F241" s="1365">
        <f t="shared" si="172"/>
        <v>195984209.5</v>
      </c>
      <c r="G241" s="1365">
        <f t="shared" si="171"/>
        <v>-0.5</v>
      </c>
      <c r="H241" s="1367">
        <f>ROUND((D241+E241),0)</f>
        <v>195984210</v>
      </c>
      <c r="I241" s="1384"/>
      <c r="J241" s="1367"/>
      <c r="K241" s="1384"/>
      <c r="L241" s="1367"/>
      <c r="M241" s="1367">
        <f>ROUND((H241+J241-L241),0)</f>
        <v>195984210</v>
      </c>
      <c r="N241" s="1967"/>
      <c r="O241" s="1058"/>
      <c r="P241" s="1485">
        <f>ROUND(143502898.42,0)</f>
        <v>143502898</v>
      </c>
      <c r="Q241" s="1367"/>
      <c r="R241" s="1485">
        <f>ROUND((P241+Q241),0)</f>
        <v>143502898</v>
      </c>
      <c r="S241" s="1481"/>
      <c r="T241" s="1485"/>
      <c r="U241" s="1481"/>
      <c r="V241" s="1485"/>
      <c r="W241" s="1485">
        <f>ROUND((R241+T241-V241),0)</f>
        <v>143502898</v>
      </c>
      <c r="X241" s="1187"/>
      <c r="Y241" s="106">
        <v>0</v>
      </c>
      <c r="Z241" s="698"/>
      <c r="AA241" s="698">
        <f>ROUND((Y241+Z241),0)</f>
        <v>0</v>
      </c>
      <c r="AB241" s="253"/>
      <c r="AC241" s="106"/>
      <c r="AD241" s="253"/>
      <c r="AE241" s="106"/>
      <c r="AF241" s="106">
        <f>ROUND((AA241+AC241-AE241),0)</f>
        <v>0</v>
      </c>
      <c r="AG241" s="106"/>
      <c r="AH241" s="208"/>
      <c r="AI241" s="14">
        <v>143502898</v>
      </c>
      <c r="AJ241" s="14"/>
      <c r="AK241" s="14"/>
      <c r="AL241" s="667"/>
      <c r="AM241" s="14">
        <v>80811168</v>
      </c>
      <c r="AN241" s="14"/>
      <c r="AO241" s="14">
        <f>ROUND((AM241+AN241),0)</f>
        <v>80811168</v>
      </c>
      <c r="AP241" s="437"/>
      <c r="AQ241" s="14"/>
      <c r="AR241" s="437"/>
      <c r="AS241" s="14"/>
      <c r="AT241" s="14">
        <f>ROUND((AO241+AQ241-AS241),0)</f>
        <v>80811168</v>
      </c>
      <c r="AU241" s="37"/>
      <c r="AV241" s="14">
        <v>80811168</v>
      </c>
      <c r="AW241" s="14"/>
      <c r="AX241" s="14">
        <f>ROUND((AV241+AW241),0)</f>
        <v>80811168</v>
      </c>
      <c r="AY241" s="437"/>
      <c r="AZ241" s="14"/>
      <c r="BA241" s="437"/>
      <c r="BB241" s="14"/>
      <c r="BC241" s="14">
        <f>ROUND((AX241+AZ241-BB241),0)</f>
        <v>80811168</v>
      </c>
      <c r="BD241" s="14"/>
      <c r="BE241" s="128"/>
      <c r="BF241" s="220">
        <v>80811168</v>
      </c>
      <c r="BG241" s="37"/>
      <c r="BH241" s="219">
        <v>620209995</v>
      </c>
      <c r="BI241" s="11">
        <f>AE240-BI240</f>
        <v>-1354368903.4654627</v>
      </c>
    </row>
    <row r="242" spans="2:61" s="1" customFormat="1">
      <c r="B242" s="30"/>
      <c r="C242" s="13" t="s">
        <v>201</v>
      </c>
      <c r="D242" s="1367"/>
      <c r="E242" s="1367"/>
      <c r="F242" s="1365">
        <f t="shared" si="172"/>
        <v>0</v>
      </c>
      <c r="G242" s="1365">
        <f t="shared" si="171"/>
        <v>0</v>
      </c>
      <c r="H242" s="1367">
        <f>ROUND((D242+E242),0)</f>
        <v>0</v>
      </c>
      <c r="I242" s="1384"/>
      <c r="J242" s="1367"/>
      <c r="K242" s="1384"/>
      <c r="L242" s="1367"/>
      <c r="M242" s="1367">
        <f>ROUND((H242+J242-L242),0)</f>
        <v>0</v>
      </c>
      <c r="N242" s="1967"/>
      <c r="O242" s="1058"/>
      <c r="P242" s="1485"/>
      <c r="Q242" s="1367"/>
      <c r="R242" s="1485">
        <f>ROUND((P242+Q242),0)</f>
        <v>0</v>
      </c>
      <c r="S242" s="1481"/>
      <c r="T242" s="1485"/>
      <c r="U242" s="1481"/>
      <c r="V242" s="1485"/>
      <c r="W242" s="1485">
        <f>ROUND((R242+T242-V242),0)</f>
        <v>0</v>
      </c>
      <c r="X242" s="1187"/>
      <c r="Y242" s="106">
        <v>0</v>
      </c>
      <c r="Z242" s="698"/>
      <c r="AA242" s="698">
        <f>ROUND((Y242+Z242),0)</f>
        <v>0</v>
      </c>
      <c r="AB242" s="253"/>
      <c r="AC242" s="106"/>
      <c r="AD242" s="253"/>
      <c r="AE242" s="106"/>
      <c r="AF242" s="106">
        <f>ROUND((AA242+AC242-AE242),0)</f>
        <v>0</v>
      </c>
      <c r="AG242" s="106"/>
      <c r="AH242" s="208"/>
      <c r="AI242" s="14">
        <v>0</v>
      </c>
      <c r="AJ242" s="14"/>
      <c r="AK242" s="14"/>
      <c r="AL242" s="667"/>
      <c r="AM242" s="14"/>
      <c r="AN242" s="14"/>
      <c r="AO242" s="14">
        <f>ROUND((AM242+AN242),0)</f>
        <v>0</v>
      </c>
      <c r="AP242" s="437"/>
      <c r="AQ242" s="14"/>
      <c r="AR242" s="437"/>
      <c r="AS242" s="14"/>
      <c r="AT242" s="14">
        <f>ROUND((AO242+AQ242-AS242),0)</f>
        <v>0</v>
      </c>
      <c r="AU242" s="37"/>
      <c r="AV242" s="14">
        <v>25536424</v>
      </c>
      <c r="AW242" s="14"/>
      <c r="AX242" s="14">
        <f>ROUND((AV242+AW242),0)</f>
        <v>25536424</v>
      </c>
      <c r="AY242" s="437"/>
      <c r="AZ242" s="14"/>
      <c r="BA242" s="437"/>
      <c r="BB242" s="14"/>
      <c r="BC242" s="14">
        <f>ROUND((AX242+AZ242-BB242),0)</f>
        <v>25536424</v>
      </c>
      <c r="BD242" s="14"/>
      <c r="BE242" s="128"/>
      <c r="BF242" s="220">
        <v>0</v>
      </c>
      <c r="BG242" s="37"/>
      <c r="BH242" s="219"/>
      <c r="BI242" s="11"/>
    </row>
    <row r="243" spans="2:61" s="1" customFormat="1">
      <c r="B243" s="2" t="s">
        <v>591</v>
      </c>
      <c r="C243" s="13"/>
      <c r="D243" s="1367"/>
      <c r="E243" s="1367"/>
      <c r="F243" s="1365">
        <f t="shared" si="172"/>
        <v>0</v>
      </c>
      <c r="G243" s="1365">
        <f t="shared" si="171"/>
        <v>0</v>
      </c>
      <c r="H243" s="1367"/>
      <c r="I243" s="1384"/>
      <c r="J243" s="1367"/>
      <c r="K243" s="1384"/>
      <c r="L243" s="1367"/>
      <c r="M243" s="1367"/>
      <c r="N243" s="1967"/>
      <c r="O243" s="1058"/>
      <c r="P243" s="1485"/>
      <c r="Q243" s="1367"/>
      <c r="R243" s="1485"/>
      <c r="S243" s="1481"/>
      <c r="T243" s="1485"/>
      <c r="U243" s="1481"/>
      <c r="V243" s="1485"/>
      <c r="W243" s="1485"/>
      <c r="X243" s="1187"/>
      <c r="Y243" s="106">
        <v>0</v>
      </c>
      <c r="Z243" s="698"/>
      <c r="AA243" s="698"/>
      <c r="AB243" s="253"/>
      <c r="AC243" s="106"/>
      <c r="AD243" s="253"/>
      <c r="AE243" s="106"/>
      <c r="AF243" s="106"/>
      <c r="AG243" s="106"/>
      <c r="AH243" s="208"/>
      <c r="AI243" s="14"/>
      <c r="AJ243" s="14"/>
      <c r="AK243" s="14"/>
      <c r="AL243" s="667"/>
      <c r="AM243" s="14"/>
      <c r="AN243" s="14"/>
      <c r="AO243" s="14"/>
      <c r="AP243" s="437"/>
      <c r="AQ243" s="14"/>
      <c r="AR243" s="437"/>
      <c r="AS243" s="14"/>
      <c r="AT243" s="14"/>
      <c r="AU243" s="37"/>
      <c r="AV243" s="14"/>
      <c r="AW243" s="14"/>
      <c r="AX243" s="14"/>
      <c r="AY243" s="437"/>
      <c r="AZ243" s="14"/>
      <c r="BA243" s="437"/>
      <c r="BB243" s="14"/>
      <c r="BC243" s="14"/>
      <c r="BD243" s="14"/>
      <c r="BE243" s="128"/>
      <c r="BF243" s="220"/>
      <c r="BG243" s="37"/>
      <c r="BH243" s="220"/>
      <c r="BI243" s="11"/>
    </row>
    <row r="244" spans="2:61" s="1" customFormat="1">
      <c r="B244" s="30"/>
      <c r="C244" s="13" t="s">
        <v>365</v>
      </c>
      <c r="D244" s="1367">
        <f>ROUND(51462969.5625,0)</f>
        <v>51462970</v>
      </c>
      <c r="E244" s="1367"/>
      <c r="F244" s="1365">
        <f t="shared" si="172"/>
        <v>51462970</v>
      </c>
      <c r="G244" s="1365">
        <f t="shared" si="171"/>
        <v>0</v>
      </c>
      <c r="H244" s="1367">
        <f>ROUND((D244+E244),0)</f>
        <v>51462970</v>
      </c>
      <c r="I244" s="1384"/>
      <c r="J244" s="1367"/>
      <c r="K244" s="1384"/>
      <c r="L244" s="1367"/>
      <c r="M244" s="1367">
        <f>ROUND((H244+J244-L244),0)</f>
        <v>51462970</v>
      </c>
      <c r="N244" s="1967"/>
      <c r="O244" s="1058"/>
      <c r="P244" s="1485">
        <f>ROUND(51462969.5625,0)</f>
        <v>51462970</v>
      </c>
      <c r="Q244" s="1367"/>
      <c r="R244" s="1485">
        <f>ROUND((P244+Q244),0)</f>
        <v>51462970</v>
      </c>
      <c r="S244" s="1481"/>
      <c r="T244" s="1485"/>
      <c r="U244" s="1481"/>
      <c r="V244" s="1485"/>
      <c r="W244" s="1485">
        <f>ROUND((R244+T244-V244),0)</f>
        <v>51462970</v>
      </c>
      <c r="X244" s="1187"/>
      <c r="Y244" s="106">
        <v>51462970</v>
      </c>
      <c r="Z244" s="698"/>
      <c r="AA244" s="698">
        <f>ROUND((Y244+Z244),0)</f>
        <v>51462970</v>
      </c>
      <c r="AB244" s="253"/>
      <c r="AC244" s="106"/>
      <c r="AD244" s="253"/>
      <c r="AE244" s="106"/>
      <c r="AF244" s="106">
        <f>ROUND((AA244+AC244-AE244),0)</f>
        <v>51462970</v>
      </c>
      <c r="AG244" s="106"/>
      <c r="AH244" s="208"/>
      <c r="AI244" s="14">
        <v>51462970</v>
      </c>
      <c r="AJ244" s="14"/>
      <c r="AK244" s="14"/>
      <c r="AL244" s="667"/>
      <c r="AM244" s="14">
        <v>25536424</v>
      </c>
      <c r="AN244" s="14"/>
      <c r="AO244" s="14">
        <f>ROUND((AM244+AN244),0)</f>
        <v>25536424</v>
      </c>
      <c r="AP244" s="437"/>
      <c r="AQ244" s="14"/>
      <c r="AR244" s="437"/>
      <c r="AS244" s="14"/>
      <c r="AT244" s="14">
        <f>ROUND((AO244+AQ244-AS244),0)</f>
        <v>25536424</v>
      </c>
      <c r="AU244" s="37"/>
      <c r="AV244" s="14"/>
      <c r="AW244" s="14"/>
      <c r="AX244" s="14">
        <f>ROUND((AV244+AW244),0)</f>
        <v>0</v>
      </c>
      <c r="AY244" s="437"/>
      <c r="AZ244" s="14"/>
      <c r="BA244" s="437"/>
      <c r="BB244" s="14"/>
      <c r="BC244" s="14">
        <f>ROUND((AX244+AZ244-BB244),0)</f>
        <v>0</v>
      </c>
      <c r="BD244" s="14"/>
      <c r="BE244" s="128"/>
      <c r="BF244" s="220">
        <v>25536424</v>
      </c>
      <c r="BG244" s="37"/>
      <c r="BH244" s="219">
        <v>488017253</v>
      </c>
      <c r="BI244" s="37"/>
    </row>
    <row r="245" spans="2:61" s="1" customFormat="1">
      <c r="B245" s="19"/>
      <c r="C245" s="19" t="s">
        <v>592</v>
      </c>
      <c r="D245" s="1369">
        <f>(D239+D240+D241+D242)-D244</f>
        <v>295051095.67453313</v>
      </c>
      <c r="E245" s="1369">
        <f>(E239+E240+E241+E242)-E244</f>
        <v>1553926682</v>
      </c>
      <c r="F245" s="1365">
        <f t="shared" si="172"/>
        <v>1848977777.6745331</v>
      </c>
      <c r="G245" s="1365">
        <f t="shared" si="171"/>
        <v>-0.32546687126159668</v>
      </c>
      <c r="H245" s="1369">
        <f>(H239+H240+H241+H242)-H244</f>
        <v>1848977778</v>
      </c>
      <c r="I245" s="1944"/>
      <c r="J245" s="1369"/>
      <c r="K245" s="1944"/>
      <c r="L245" s="1369"/>
      <c r="M245" s="1369">
        <f>(M239+M240+M241+M242)-M244</f>
        <v>1848977778</v>
      </c>
      <c r="N245" s="226" t="s">
        <v>427</v>
      </c>
      <c r="O245" s="1058"/>
      <c r="P245" s="1488">
        <f>(P239+P240+P241+P242)-P244</f>
        <v>242569784</v>
      </c>
      <c r="Q245" s="1369">
        <f>(Q239+Q240+Q241+Q242)-Q244</f>
        <v>1547612355</v>
      </c>
      <c r="R245" s="1488">
        <f>(R239+R240+R241+R242)-R244</f>
        <v>1790182139</v>
      </c>
      <c r="S245" s="1489"/>
      <c r="T245" s="1488"/>
      <c r="U245" s="1489"/>
      <c r="V245" s="1488"/>
      <c r="W245" s="1488">
        <f>(W239+W240+W241+W242)-W244</f>
        <v>1790182139</v>
      </c>
      <c r="X245" s="1187"/>
      <c r="Y245" s="428">
        <f>(Y239+Y240+Y241+Y242)-Y244</f>
        <v>242569784</v>
      </c>
      <c r="Z245" s="707">
        <f>(Z239+Z240+Z241+Z242)-Z244</f>
        <v>1547612355</v>
      </c>
      <c r="AA245" s="707">
        <f>(AA239+AA240+AA241+AA242)-AA244</f>
        <v>1790182139</v>
      </c>
      <c r="AB245" s="601"/>
      <c r="AC245" s="223"/>
      <c r="AD245" s="601"/>
      <c r="AE245" s="223"/>
      <c r="AF245" s="428">
        <f>(AF239+AF240+AF241+AF242)-AF244</f>
        <v>1790182139</v>
      </c>
      <c r="AG245" s="428"/>
      <c r="AH245" s="228"/>
      <c r="AI245" s="428">
        <f>(AI239+AI240+AI241+AI242)-AI244</f>
        <v>1790182139</v>
      </c>
      <c r="AJ245" s="428"/>
      <c r="AK245" s="428"/>
      <c r="AL245" s="670"/>
      <c r="AM245" s="428">
        <f>(AM239+AM240+AM241-AM242)-AM244</f>
        <v>179557706</v>
      </c>
      <c r="AN245" s="428">
        <f>(AN239+AN240+AN241+AN242)-AN244</f>
        <v>1328719599</v>
      </c>
      <c r="AO245" s="428">
        <f>(AO239+AO240+AO241-AO242)-AO244</f>
        <v>1508277305</v>
      </c>
      <c r="AP245" s="762"/>
      <c r="AQ245" s="428"/>
      <c r="AR245" s="762"/>
      <c r="AS245" s="428"/>
      <c r="AT245" s="428">
        <f>(AT239+AT240+AT241-AT242)-AT244</f>
        <v>1508277305</v>
      </c>
      <c r="AU245" s="29"/>
      <c r="AV245" s="428">
        <f>(AV239+AV240+AV241-AV242)-AV244</f>
        <v>179557706</v>
      </c>
      <c r="AW245" s="428">
        <f>(AW239+AW240+AW241+AW242)-AW244</f>
        <v>1328719599</v>
      </c>
      <c r="AX245" s="428">
        <f>(AX239+AX240+AX241-AX242)-AX244</f>
        <v>1508277305</v>
      </c>
      <c r="AY245" s="762"/>
      <c r="AZ245" s="428"/>
      <c r="BA245" s="762"/>
      <c r="BB245" s="428"/>
      <c r="BC245" s="428">
        <f>(BC239+BC240+BC241-BC242)-BC244</f>
        <v>1508277305</v>
      </c>
      <c r="BD245" s="138"/>
      <c r="BE245" s="28"/>
      <c r="BF245" s="428">
        <f>(BF239+BF240+BF241+BF242)-BF244</f>
        <v>1508277305</v>
      </c>
      <c r="BG245" s="58"/>
      <c r="BH245" s="428">
        <f>(BH239+BH240+BH241+BH242)-BH244</f>
        <v>1486561645</v>
      </c>
      <c r="BI245" s="29"/>
    </row>
    <row r="246" spans="2:61" s="41" customFormat="1">
      <c r="B246" s="2" t="s">
        <v>593</v>
      </c>
      <c r="C246" s="2"/>
      <c r="D246" s="217"/>
      <c r="E246" s="217"/>
      <c r="F246" s="1365">
        <f t="shared" si="172"/>
        <v>0</v>
      </c>
      <c r="G246" s="1365">
        <f t="shared" si="171"/>
        <v>0</v>
      </c>
      <c r="H246" s="217"/>
      <c r="I246" s="1384"/>
      <c r="J246" s="217"/>
      <c r="K246" s="1384"/>
      <c r="L246" s="217"/>
      <c r="M246" s="217"/>
      <c r="N246" s="226"/>
      <c r="O246" s="1058"/>
      <c r="P246" s="1480"/>
      <c r="Q246" s="217"/>
      <c r="R246" s="1480"/>
      <c r="S246" s="1481"/>
      <c r="T246" s="1480"/>
      <c r="U246" s="1481"/>
      <c r="V246" s="1480"/>
      <c r="W246" s="1480"/>
      <c r="X246" s="1187"/>
      <c r="Y246" s="118"/>
      <c r="Z246" s="705"/>
      <c r="AA246" s="705"/>
      <c r="AB246" s="253"/>
      <c r="AC246" s="118"/>
      <c r="AD246" s="253"/>
      <c r="AE246" s="118"/>
      <c r="AF246" s="118"/>
      <c r="AG246" s="118"/>
      <c r="AH246" s="209"/>
      <c r="AI246" s="138"/>
      <c r="AJ246" s="138"/>
      <c r="AK246" s="138"/>
      <c r="AL246" s="670"/>
      <c r="AM246" s="138"/>
      <c r="AN246" s="138"/>
      <c r="AO246" s="138"/>
      <c r="AP246" s="437"/>
      <c r="AQ246" s="138"/>
      <c r="AR246" s="437"/>
      <c r="AS246" s="138"/>
      <c r="AT246" s="138"/>
      <c r="AU246" s="43"/>
      <c r="AV246" s="138"/>
      <c r="AW246" s="138"/>
      <c r="AX246" s="138"/>
      <c r="AY246" s="437"/>
      <c r="AZ246" s="138"/>
      <c r="BA246" s="437"/>
      <c r="BB246" s="138"/>
      <c r="BC246" s="138"/>
      <c r="BD246" s="138"/>
      <c r="BE246" s="42"/>
      <c r="BF246" s="105"/>
      <c r="BG246" s="43"/>
      <c r="BH246" s="105"/>
      <c r="BI246" s="36"/>
    </row>
    <row r="247" spans="2:61" s="1" customFormat="1">
      <c r="B247" s="4"/>
      <c r="C247" s="4" t="s">
        <v>202</v>
      </c>
      <c r="D247" s="1365"/>
      <c r="E247" s="1365"/>
      <c r="F247" s="1365">
        <f t="shared" si="172"/>
        <v>0</v>
      </c>
      <c r="G247" s="1365">
        <f t="shared" si="171"/>
        <v>0</v>
      </c>
      <c r="H247" s="1365">
        <f>ROUND((D247+E247),0)</f>
        <v>0</v>
      </c>
      <c r="I247" s="1384"/>
      <c r="J247" s="1365"/>
      <c r="K247" s="1384"/>
      <c r="L247" s="1365"/>
      <c r="M247" s="1365">
        <f>H247+J247-L247</f>
        <v>0</v>
      </c>
      <c r="N247" s="2259"/>
      <c r="O247" s="1058"/>
      <c r="P247" s="1482"/>
      <c r="Q247" s="1365"/>
      <c r="R247" s="1482">
        <f>ROUND((P247+Q247),0)</f>
        <v>0</v>
      </c>
      <c r="S247" s="1481"/>
      <c r="T247" s="1482"/>
      <c r="U247" s="1481"/>
      <c r="V247" s="1482"/>
      <c r="W247" s="1482">
        <f>R247+T247-V247</f>
        <v>0</v>
      </c>
      <c r="X247" s="1187"/>
      <c r="Y247" s="90"/>
      <c r="Z247" s="697"/>
      <c r="AA247" s="697">
        <f>ROUND((Y247+Z247),0)</f>
        <v>0</v>
      </c>
      <c r="AB247" s="253"/>
      <c r="AC247" s="90"/>
      <c r="AD247" s="253"/>
      <c r="AE247" s="90"/>
      <c r="AF247" s="90">
        <f>AA247+AC247-AE247</f>
        <v>0</v>
      </c>
      <c r="AG247" s="90"/>
      <c r="AH247" s="207"/>
      <c r="AI247" s="9">
        <v>0</v>
      </c>
      <c r="AJ247" s="9"/>
      <c r="AK247" s="9"/>
      <c r="AL247" s="667"/>
      <c r="AM247" s="9"/>
      <c r="AN247" s="9"/>
      <c r="AO247" s="9">
        <f>ROUND((AM247+AN247),0)</f>
        <v>0</v>
      </c>
      <c r="AP247" s="769"/>
      <c r="AQ247" s="9"/>
      <c r="AR247" s="769"/>
      <c r="AS247" s="9"/>
      <c r="AT247" s="9">
        <f>AO247+AQ247-AS247</f>
        <v>0</v>
      </c>
      <c r="AU247" s="37"/>
      <c r="AV247" s="9"/>
      <c r="AW247" s="9"/>
      <c r="AX247" s="9">
        <f>ROUND((AV247+AW247),0)</f>
        <v>0</v>
      </c>
      <c r="AY247" s="769"/>
      <c r="AZ247" s="9"/>
      <c r="BA247" s="769"/>
      <c r="BB247" s="9"/>
      <c r="BC247" s="9">
        <f>AX247+AZ247-BB247</f>
        <v>0</v>
      </c>
      <c r="BD247" s="14"/>
      <c r="BE247" s="128"/>
      <c r="BF247" s="219">
        <v>0</v>
      </c>
      <c r="BG247" s="37"/>
      <c r="BH247" s="219">
        <v>0</v>
      </c>
      <c r="BI247" s="37"/>
    </row>
    <row r="248" spans="2:61" s="1" customFormat="1">
      <c r="B248" s="27"/>
      <c r="C248" s="19" t="s">
        <v>594</v>
      </c>
      <c r="D248" s="1369">
        <f>SUM(D247)</f>
        <v>0</v>
      </c>
      <c r="E248" s="1369">
        <f>SUM(E247)</f>
        <v>0</v>
      </c>
      <c r="F248" s="1365">
        <f t="shared" si="172"/>
        <v>0</v>
      </c>
      <c r="G248" s="1365">
        <f t="shared" si="171"/>
        <v>0</v>
      </c>
      <c r="H248" s="1369">
        <f>SUM(H247)</f>
        <v>0</v>
      </c>
      <c r="I248" s="1944"/>
      <c r="J248" s="1369"/>
      <c r="K248" s="1944"/>
      <c r="L248" s="1369"/>
      <c r="M248" s="1369">
        <f>SUM(M247)</f>
        <v>0</v>
      </c>
      <c r="N248" s="226"/>
      <c r="O248" s="1058"/>
      <c r="P248" s="1488">
        <f>SUM(P247)</f>
        <v>0</v>
      </c>
      <c r="Q248" s="1369">
        <f>SUM(Q247)</f>
        <v>0</v>
      </c>
      <c r="R248" s="1488">
        <f>SUM(R247)</f>
        <v>0</v>
      </c>
      <c r="S248" s="1489"/>
      <c r="T248" s="1488"/>
      <c r="U248" s="1489"/>
      <c r="V248" s="1488"/>
      <c r="W248" s="1488">
        <f>SUM(W247)</f>
        <v>0</v>
      </c>
      <c r="X248" s="1187"/>
      <c r="Y248" s="428">
        <f>SUM(Y247)</f>
        <v>0</v>
      </c>
      <c r="Z248" s="707">
        <f>SUM(Z247)</f>
        <v>0</v>
      </c>
      <c r="AA248" s="707">
        <f>SUM(AA247)</f>
        <v>0</v>
      </c>
      <c r="AB248" s="601"/>
      <c r="AC248" s="223"/>
      <c r="AD248" s="601"/>
      <c r="AE248" s="223"/>
      <c r="AF248" s="428">
        <f>SUM(AF247)</f>
        <v>0</v>
      </c>
      <c r="AG248" s="428"/>
      <c r="AH248" s="228"/>
      <c r="AI248" s="428">
        <f>SUM(AI247)</f>
        <v>0</v>
      </c>
      <c r="AJ248" s="428"/>
      <c r="AK248" s="428"/>
      <c r="AL248" s="670"/>
      <c r="AM248" s="428">
        <f>SUM(AM247)</f>
        <v>0</v>
      </c>
      <c r="AN248" s="428">
        <f>SUM(AN247)</f>
        <v>0</v>
      </c>
      <c r="AO248" s="428">
        <f>SUM(AO247)</f>
        <v>0</v>
      </c>
      <c r="AP248" s="762"/>
      <c r="AQ248" s="428"/>
      <c r="AR248" s="762"/>
      <c r="AS248" s="428"/>
      <c r="AT248" s="428">
        <f>SUM(AT247)</f>
        <v>0</v>
      </c>
      <c r="AU248" s="29"/>
      <c r="AV248" s="428">
        <f>SUM(AV247)</f>
        <v>0</v>
      </c>
      <c r="AW248" s="428">
        <f>SUM(AW247)</f>
        <v>0</v>
      </c>
      <c r="AX248" s="428">
        <f>SUM(AX247)</f>
        <v>0</v>
      </c>
      <c r="AY248" s="762"/>
      <c r="AZ248" s="428"/>
      <c r="BA248" s="762"/>
      <c r="BB248" s="428"/>
      <c r="BC248" s="428">
        <f>SUM(BC247)</f>
        <v>0</v>
      </c>
      <c r="BD248" s="138"/>
      <c r="BE248" s="28"/>
      <c r="BF248" s="428">
        <f>SUM(BF247)</f>
        <v>0</v>
      </c>
      <c r="BG248" s="29"/>
      <c r="BH248" s="428">
        <f>SUM(BH247)</f>
        <v>0</v>
      </c>
      <c r="BI248" s="29"/>
    </row>
    <row r="249" spans="2:61" s="1" customFormat="1">
      <c r="B249" s="2" t="s">
        <v>595</v>
      </c>
      <c r="C249" s="4"/>
      <c r="D249" s="1365"/>
      <c r="E249" s="1365"/>
      <c r="F249" s="1365">
        <f t="shared" si="172"/>
        <v>0</v>
      </c>
      <c r="G249" s="1365">
        <f t="shared" si="171"/>
        <v>0</v>
      </c>
      <c r="H249" s="1365"/>
      <c r="I249" s="1384"/>
      <c r="J249" s="1365"/>
      <c r="K249" s="1384"/>
      <c r="L249" s="1365"/>
      <c r="M249" s="1365"/>
      <c r="N249" s="2259"/>
      <c r="O249" s="1058"/>
      <c r="P249" s="1482"/>
      <c r="Q249" s="1365"/>
      <c r="R249" s="1482"/>
      <c r="S249" s="1481"/>
      <c r="T249" s="1482"/>
      <c r="U249" s="1481"/>
      <c r="V249" s="1482"/>
      <c r="W249" s="1482"/>
      <c r="X249" s="1187"/>
      <c r="Y249" s="90"/>
      <c r="Z249" s="697"/>
      <c r="AA249" s="697"/>
      <c r="AB249" s="253"/>
      <c r="AC249" s="90"/>
      <c r="AD249" s="253"/>
      <c r="AE249" s="90"/>
      <c r="AF249" s="90"/>
      <c r="AG249" s="90"/>
      <c r="AH249" s="207"/>
      <c r="AI249" s="424"/>
      <c r="AJ249" s="424"/>
      <c r="AK249" s="424"/>
      <c r="AL249" s="666"/>
      <c r="AM249" s="424"/>
      <c r="AN249" s="424"/>
      <c r="AO249" s="424"/>
      <c r="AP249" s="765"/>
      <c r="AQ249" s="424"/>
      <c r="AR249" s="765"/>
      <c r="AS249" s="424"/>
      <c r="AT249" s="424"/>
      <c r="AU249" s="127"/>
      <c r="AV249" s="424"/>
      <c r="AW249" s="424"/>
      <c r="AX249" s="424"/>
      <c r="AY249" s="765"/>
      <c r="AZ249" s="424"/>
      <c r="BA249" s="765"/>
      <c r="BB249" s="424"/>
      <c r="BC249" s="424"/>
      <c r="BD249" s="586"/>
      <c r="BE249" s="126"/>
      <c r="BF249" s="218"/>
      <c r="BG249" s="127"/>
      <c r="BH249" s="218"/>
      <c r="BI249" s="6"/>
    </row>
    <row r="250" spans="2:61" s="1" customFormat="1">
      <c r="B250" s="30"/>
      <c r="C250" s="13" t="s">
        <v>596</v>
      </c>
      <c r="D250" s="1367"/>
      <c r="E250" s="1367"/>
      <c r="F250" s="1365">
        <f t="shared" si="172"/>
        <v>0</v>
      </c>
      <c r="G250" s="1365">
        <f t="shared" si="171"/>
        <v>0</v>
      </c>
      <c r="H250" s="1367">
        <f>ROUND((D250+E250),0)</f>
        <v>0</v>
      </c>
      <c r="I250" s="1384"/>
      <c r="J250" s="1367"/>
      <c r="K250" s="1384"/>
      <c r="L250" s="1367"/>
      <c r="M250" s="1367">
        <f>H250+J250-L250</f>
        <v>0</v>
      </c>
      <c r="N250" s="1967"/>
      <c r="O250" s="1058"/>
      <c r="P250" s="1485"/>
      <c r="Q250" s="1367"/>
      <c r="R250" s="1485">
        <f>ROUND((P250+Q250),0)</f>
        <v>0</v>
      </c>
      <c r="S250" s="1481"/>
      <c r="T250" s="1485"/>
      <c r="U250" s="1481"/>
      <c r="V250" s="1485"/>
      <c r="W250" s="1485">
        <f>R250+T250-V250</f>
        <v>0</v>
      </c>
      <c r="X250" s="1187"/>
      <c r="Y250" s="106"/>
      <c r="Z250" s="698"/>
      <c r="AA250" s="698">
        <f>ROUND((Y250+Z250),0)</f>
        <v>0</v>
      </c>
      <c r="AB250" s="253"/>
      <c r="AC250" s="106"/>
      <c r="AD250" s="253"/>
      <c r="AE250" s="106"/>
      <c r="AF250" s="106">
        <f>AA250+AC250-AE250</f>
        <v>0</v>
      </c>
      <c r="AG250" s="106"/>
      <c r="AH250" s="208"/>
      <c r="AI250" s="9">
        <v>0</v>
      </c>
      <c r="AJ250" s="9"/>
      <c r="AK250" s="9"/>
      <c r="AL250" s="667"/>
      <c r="AM250" s="9"/>
      <c r="AN250" s="9"/>
      <c r="AO250" s="9">
        <f>ROUND((AM250+AN250),0)</f>
        <v>0</v>
      </c>
      <c r="AP250" s="769"/>
      <c r="AQ250" s="9"/>
      <c r="AR250" s="769"/>
      <c r="AS250" s="9"/>
      <c r="AT250" s="9">
        <f>AO250+AQ250-AS250</f>
        <v>0</v>
      </c>
      <c r="AU250" s="37"/>
      <c r="AV250" s="9"/>
      <c r="AW250" s="9"/>
      <c r="AX250" s="9">
        <f>ROUND((AV250+AW250),0)</f>
        <v>0</v>
      </c>
      <c r="AY250" s="769"/>
      <c r="AZ250" s="9"/>
      <c r="BA250" s="769"/>
      <c r="BB250" s="9"/>
      <c r="BC250" s="9">
        <f>AX250+AZ250-BB250</f>
        <v>0</v>
      </c>
      <c r="BD250" s="14"/>
      <c r="BE250" s="128"/>
      <c r="BF250" s="219">
        <v>0</v>
      </c>
      <c r="BG250" s="37"/>
      <c r="BH250" s="219">
        <v>0</v>
      </c>
      <c r="BI250" s="11"/>
    </row>
    <row r="251" spans="2:61" s="1" customFormat="1" hidden="1">
      <c r="B251" s="2"/>
      <c r="C251" s="13"/>
      <c r="D251" s="1367"/>
      <c r="E251" s="1367"/>
      <c r="F251" s="1365">
        <f t="shared" si="172"/>
        <v>0</v>
      </c>
      <c r="G251" s="1365">
        <f t="shared" si="171"/>
        <v>0</v>
      </c>
      <c r="H251" s="1367"/>
      <c r="I251" s="1384"/>
      <c r="J251" s="1367"/>
      <c r="K251" s="1384"/>
      <c r="L251" s="1367"/>
      <c r="M251" s="1367"/>
      <c r="N251" s="1967"/>
      <c r="O251" s="1058"/>
      <c r="P251" s="1485"/>
      <c r="Q251" s="1367"/>
      <c r="R251" s="1485"/>
      <c r="S251" s="1481"/>
      <c r="T251" s="1485"/>
      <c r="U251" s="1481"/>
      <c r="V251" s="1485"/>
      <c r="W251" s="1485"/>
      <c r="X251" s="1187"/>
      <c r="Y251" s="106"/>
      <c r="Z251" s="698"/>
      <c r="AA251" s="698"/>
      <c r="AB251" s="253"/>
      <c r="AC251" s="106"/>
      <c r="AD251" s="253"/>
      <c r="AE251" s="106"/>
      <c r="AF251" s="106"/>
      <c r="AG251" s="106"/>
      <c r="AH251" s="208"/>
      <c r="AI251" s="9"/>
      <c r="AJ251" s="9"/>
      <c r="AK251" s="9"/>
      <c r="AL251" s="667"/>
      <c r="AM251" s="9"/>
      <c r="AN251" s="9"/>
      <c r="AO251" s="9"/>
      <c r="AP251" s="769"/>
      <c r="AQ251" s="9"/>
      <c r="AR251" s="769"/>
      <c r="AS251" s="9"/>
      <c r="AT251" s="9"/>
      <c r="AU251" s="37"/>
      <c r="AV251" s="9"/>
      <c r="AW251" s="9"/>
      <c r="AX251" s="9"/>
      <c r="AY251" s="769"/>
      <c r="AZ251" s="9"/>
      <c r="BA251" s="769"/>
      <c r="BB251" s="9"/>
      <c r="BC251" s="9"/>
      <c r="BD251" s="14"/>
      <c r="BE251" s="128"/>
      <c r="BF251" s="219"/>
      <c r="BG251" s="37"/>
      <c r="BH251" s="219"/>
      <c r="BI251" s="11"/>
    </row>
    <row r="252" spans="2:61" s="1" customFormat="1">
      <c r="B252" s="19"/>
      <c r="C252" s="19" t="s">
        <v>597</v>
      </c>
      <c r="D252" s="1369">
        <f>SUM(D250:D251)</f>
        <v>0</v>
      </c>
      <c r="E252" s="1369">
        <f>SUM(E250:E251)</f>
        <v>0</v>
      </c>
      <c r="F252" s="1365">
        <f t="shared" si="172"/>
        <v>0</v>
      </c>
      <c r="G252" s="1365">
        <f t="shared" si="171"/>
        <v>0</v>
      </c>
      <c r="H252" s="1369">
        <f>SUM(H250:H251)</f>
        <v>0</v>
      </c>
      <c r="I252" s="1944"/>
      <c r="J252" s="1369"/>
      <c r="K252" s="1944"/>
      <c r="L252" s="1369"/>
      <c r="M252" s="1369">
        <f>SUM(M250:M251)</f>
        <v>0</v>
      </c>
      <c r="N252" s="226"/>
      <c r="O252" s="1058"/>
      <c r="P252" s="1488">
        <f>SUM(P250:P251)</f>
        <v>0</v>
      </c>
      <c r="Q252" s="1369">
        <f>SUM(Q250:Q251)</f>
        <v>0</v>
      </c>
      <c r="R252" s="1488">
        <f>SUM(R250:R251)</f>
        <v>0</v>
      </c>
      <c r="S252" s="1489"/>
      <c r="T252" s="1488"/>
      <c r="U252" s="1489"/>
      <c r="V252" s="1488"/>
      <c r="W252" s="1488">
        <f>SUM(W250:W251)</f>
        <v>0</v>
      </c>
      <c r="X252" s="1187"/>
      <c r="Y252" s="428">
        <f>SUM(Y250:Y251)</f>
        <v>0</v>
      </c>
      <c r="Z252" s="707">
        <f>SUM(Z250:Z251)</f>
        <v>0</v>
      </c>
      <c r="AA252" s="707">
        <f>SUM(AA250:AA251)</f>
        <v>0</v>
      </c>
      <c r="AB252" s="601"/>
      <c r="AC252" s="223"/>
      <c r="AD252" s="601"/>
      <c r="AE252" s="223"/>
      <c r="AF252" s="428">
        <f>SUM(AF250:AF251)</f>
        <v>0</v>
      </c>
      <c r="AG252" s="428"/>
      <c r="AH252" s="228"/>
      <c r="AI252" s="428">
        <f>SUM(AI250:AI251)</f>
        <v>0</v>
      </c>
      <c r="AJ252" s="428"/>
      <c r="AK252" s="428"/>
      <c r="AL252" s="670"/>
      <c r="AM252" s="428">
        <f>SUM(AM250:AM251)</f>
        <v>0</v>
      </c>
      <c r="AN252" s="428">
        <f>SUM(AN250:AN251)</f>
        <v>0</v>
      </c>
      <c r="AO252" s="428">
        <f>SUM(AO250:AO251)</f>
        <v>0</v>
      </c>
      <c r="AP252" s="762"/>
      <c r="AQ252" s="428"/>
      <c r="AR252" s="762"/>
      <c r="AS252" s="428"/>
      <c r="AT252" s="428">
        <f>SUM(AT250:AT251)</f>
        <v>0</v>
      </c>
      <c r="AU252" s="29"/>
      <c r="AV252" s="428">
        <f>SUM(AV250:AV251)</f>
        <v>0</v>
      </c>
      <c r="AW252" s="428">
        <f>SUM(AW250:AW251)</f>
        <v>0</v>
      </c>
      <c r="AX252" s="428">
        <f>SUM(AX250:AX251)</f>
        <v>0</v>
      </c>
      <c r="AY252" s="762"/>
      <c r="AZ252" s="428"/>
      <c r="BA252" s="762"/>
      <c r="BB252" s="428"/>
      <c r="BC252" s="428">
        <f>SUM(BC250:BC251)</f>
        <v>0</v>
      </c>
      <c r="BD252" s="138"/>
      <c r="BE252" s="28"/>
      <c r="BF252" s="428">
        <f>SUM(BF250:BF251)</f>
        <v>0</v>
      </c>
      <c r="BG252" s="29"/>
      <c r="BH252" s="428">
        <f>SUM(BH250:BH251)</f>
        <v>0</v>
      </c>
      <c r="BI252" s="20"/>
    </row>
    <row r="253" spans="2:61" s="1" customFormat="1">
      <c r="B253" s="2"/>
      <c r="C253" s="2"/>
      <c r="D253" s="217"/>
      <c r="E253" s="217"/>
      <c r="F253" s="1365">
        <f t="shared" si="172"/>
        <v>0</v>
      </c>
      <c r="G253" s="1365">
        <f t="shared" si="171"/>
        <v>0</v>
      </c>
      <c r="H253" s="217"/>
      <c r="I253" s="1384"/>
      <c r="J253" s="217"/>
      <c r="K253" s="1384"/>
      <c r="L253" s="217"/>
      <c r="M253" s="217"/>
      <c r="N253" s="226"/>
      <c r="O253" s="1058"/>
      <c r="P253" s="1480"/>
      <c r="Q253" s="217"/>
      <c r="R253" s="1480"/>
      <c r="S253" s="1481"/>
      <c r="T253" s="1480"/>
      <c r="U253" s="1481"/>
      <c r="V253" s="1480"/>
      <c r="W253" s="1480"/>
      <c r="X253" s="1187"/>
      <c r="Y253" s="118"/>
      <c r="Z253" s="705"/>
      <c r="AA253" s="705"/>
      <c r="AB253" s="253"/>
      <c r="AC253" s="118"/>
      <c r="AD253" s="253"/>
      <c r="AE253" s="118"/>
      <c r="AF253" s="118"/>
      <c r="AG253" s="118"/>
      <c r="AH253" s="209"/>
      <c r="AI253" s="138"/>
      <c r="AJ253" s="138"/>
      <c r="AK253" s="138"/>
      <c r="AL253" s="670"/>
      <c r="AM253" s="138"/>
      <c r="AN253" s="138"/>
      <c r="AO253" s="138"/>
      <c r="AP253" s="437"/>
      <c r="AQ253" s="138"/>
      <c r="AR253" s="437"/>
      <c r="AS253" s="138"/>
      <c r="AT253" s="138"/>
      <c r="AU253" s="43"/>
      <c r="AV253" s="138"/>
      <c r="AW253" s="138"/>
      <c r="AX253" s="138"/>
      <c r="AY253" s="437"/>
      <c r="AZ253" s="138"/>
      <c r="BA253" s="437"/>
      <c r="BB253" s="138"/>
      <c r="BC253" s="138"/>
      <c r="BD253" s="138"/>
      <c r="BE253" s="42"/>
      <c r="BF253" s="105"/>
      <c r="BG253" s="43"/>
      <c r="BH253" s="105"/>
      <c r="BI253" s="36"/>
    </row>
    <row r="254" spans="2:61" s="1" customFormat="1">
      <c r="B254" s="59"/>
      <c r="C254" s="59" t="s">
        <v>598</v>
      </c>
      <c r="D254" s="1381">
        <f>D182+D219+D245+D248+D252+D224+D236+D187+D223+D229</f>
        <v>27921514662.737034</v>
      </c>
      <c r="E254" s="1381">
        <f>E182+E219+E245+E248+E252+E224+E236+E187+E223+E229</f>
        <v>53317798880.18441</v>
      </c>
      <c r="F254" s="1365">
        <f t="shared" si="172"/>
        <v>81239313542.921448</v>
      </c>
      <c r="G254" s="1365">
        <f t="shared" si="171"/>
        <v>1.92144775390625</v>
      </c>
      <c r="H254" s="1381">
        <f>H182+H219+H245+H248+H252+H224+H236+H187+H223+H229</f>
        <v>81239313541</v>
      </c>
      <c r="I254" s="1950"/>
      <c r="J254" s="1381"/>
      <c r="K254" s="1950"/>
      <c r="L254" s="1381"/>
      <c r="M254" s="1381">
        <f>M182+M219+M245+M248+M252+M224+M236+M187+M223+M229</f>
        <v>80189313541</v>
      </c>
      <c r="N254" s="226">
        <f>N255/2</f>
        <v>60954915018.5</v>
      </c>
      <c r="O254" s="1058"/>
      <c r="P254" s="1509">
        <f>P182+P219+P245+P248+P252+P224+P236+P187+P223</f>
        <v>26805796381</v>
      </c>
      <c r="Q254" s="1381">
        <f>Q182+Q219+Q245+Q248+Q252+Q224+Q236+Q187+Q223</f>
        <v>55526520383</v>
      </c>
      <c r="R254" s="1509">
        <f>R182+R219+R245+R248+R252+R224+R236+R187+R223</f>
        <v>82332316764</v>
      </c>
      <c r="S254" s="1510"/>
      <c r="T254" s="1509"/>
      <c r="U254" s="1510"/>
      <c r="V254" s="1509"/>
      <c r="W254" s="1509">
        <f>W182+W219+W245+W248+W252+W224+W236+W187+W223</f>
        <v>81282316764</v>
      </c>
      <c r="X254" s="1187"/>
      <c r="Y254" s="434">
        <f>Y182+Y219+Y245+Y248+Y252+Y224+Y236+Y187+Y223</f>
        <v>27445855369</v>
      </c>
      <c r="Z254" s="722">
        <f>Z182+Z219+Z245+Z248+Z252+Z224+Z236+Z187+Z223</f>
        <v>56075705615</v>
      </c>
      <c r="AA254" s="722">
        <f>AA182+AA219+AA245+AA248+AA252+AA224+AA236+AA187+AA223</f>
        <v>83521560984</v>
      </c>
      <c r="AB254" s="606"/>
      <c r="AC254" s="247"/>
      <c r="AD254" s="606"/>
      <c r="AE254" s="247"/>
      <c r="AF254" s="434">
        <f>AF182+AF219+AF245+AF248+AF252+AF224+AF236+AF187+AF223</f>
        <v>82471560984</v>
      </c>
      <c r="AG254" s="434"/>
      <c r="AH254" s="248"/>
      <c r="AI254" s="434">
        <f>AI182+AI219+AI245+AI248+AI252+AI224+AI236+AI187+AI223</f>
        <v>92700983289</v>
      </c>
      <c r="AJ254" s="434"/>
      <c r="AK254" s="434"/>
      <c r="AL254" s="670"/>
      <c r="AM254" s="434">
        <f>AM182+AM219+AM245+AM248+AM252+AM224+AM236+AM187+AM223</f>
        <v>28064102945</v>
      </c>
      <c r="AN254" s="434">
        <f>AN182+AN219+AN245+AN248+AN252+AN224+AN236+AN187+AN223</f>
        <v>67509275587</v>
      </c>
      <c r="AO254" s="434">
        <f>AO182+AO219+AO245+AO248+AO252+AO224+AO236+AO187+AO223</f>
        <v>95573378532</v>
      </c>
      <c r="AP254" s="767"/>
      <c r="AQ254" s="434"/>
      <c r="AR254" s="767"/>
      <c r="AS254" s="434"/>
      <c r="AT254" s="434">
        <f>AT182+AT219+AT245+AT248+AT252+AT224+AT236+AT187+AT223</f>
        <v>95573378532</v>
      </c>
      <c r="AU254" s="61"/>
      <c r="AV254" s="434">
        <f>AV182+AV219+AV245+AV248+AV252+AV224+AV236+AV187+AV223</f>
        <v>28646756487</v>
      </c>
      <c r="AW254" s="434">
        <f>AW182+AW219+AW245+AW248+AW252+AW224+AW236+AW187+AW223</f>
        <v>68433613964</v>
      </c>
      <c r="AX254" s="434">
        <f>AX182+AX219+AX245+AX248+AX252+AX224+AX236+AX187+AX223</f>
        <v>97080370451</v>
      </c>
      <c r="AY254" s="767"/>
      <c r="AZ254" s="434"/>
      <c r="BA254" s="767"/>
      <c r="BB254" s="434"/>
      <c r="BC254" s="434">
        <f>BC182+BC219+BC245+BC248+BC252+BC224+BC236+BC187+BC223</f>
        <v>97080370451</v>
      </c>
      <c r="BD254" s="138"/>
      <c r="BE254" s="60"/>
      <c r="BF254" s="434">
        <f>BF182+BF219+BF245+BF248+BF252+BF224+BF236+BF187+BF223</f>
        <v>101104652198</v>
      </c>
      <c r="BG254" s="61"/>
      <c r="BH254" s="434">
        <f>BH182+BH219+BH245+BH248+BH252+BH224+BH236+BH187+BH223</f>
        <v>111982300566</v>
      </c>
      <c r="BI254" s="61"/>
    </row>
    <row r="255" spans="2:61" s="1" customFormat="1">
      <c r="B255" s="62"/>
      <c r="C255" s="62" t="s">
        <v>599</v>
      </c>
      <c r="D255" s="1382">
        <f>D178+D254</f>
        <v>322471846707.4505</v>
      </c>
      <c r="E255" s="1382">
        <f>E178+E254</f>
        <v>236707357033.96445</v>
      </c>
      <c r="F255" s="1365">
        <f t="shared" si="172"/>
        <v>559179203741.41492</v>
      </c>
      <c r="G255" s="1365">
        <f t="shared" si="171"/>
        <v>1.4149169921875</v>
      </c>
      <c r="H255" s="1382">
        <f>H178+H254</f>
        <v>559179203740</v>
      </c>
      <c r="I255" s="1951"/>
      <c r="J255" s="1382"/>
      <c r="K255" s="1951"/>
      <c r="L255" s="1382"/>
      <c r="M255" s="1382">
        <f>M178+M254</f>
        <v>437269373703</v>
      </c>
      <c r="N255" s="612">
        <f>H255-M255</f>
        <v>121909830037</v>
      </c>
      <c r="O255" s="1058"/>
      <c r="P255" s="1511">
        <f>P178+P254</f>
        <v>303311159346</v>
      </c>
      <c r="Q255" s="1382">
        <f>Q178+Q254</f>
        <v>238370059673</v>
      </c>
      <c r="R255" s="1511">
        <f>R178+R254</f>
        <v>541681219019</v>
      </c>
      <c r="S255" s="1512"/>
      <c r="T255" s="1511"/>
      <c r="U255" s="1512"/>
      <c r="V255" s="1511"/>
      <c r="W255" s="1511">
        <f>W178+W254</f>
        <v>408113666679</v>
      </c>
      <c r="X255" s="1187"/>
      <c r="Y255" s="435">
        <f>Y178+Y254</f>
        <v>264940920774</v>
      </c>
      <c r="Z255" s="723">
        <f>Z178+Z254</f>
        <v>246014059585</v>
      </c>
      <c r="AA255" s="723">
        <f>AA178+AA254</f>
        <v>510954980359</v>
      </c>
      <c r="AB255" s="607"/>
      <c r="AC255" s="249"/>
      <c r="AD255" s="607"/>
      <c r="AE255" s="249"/>
      <c r="AF255" s="435">
        <f>AF178+AF254</f>
        <v>347660437458</v>
      </c>
      <c r="AG255" s="435"/>
      <c r="AH255" s="250"/>
      <c r="AI255" s="435">
        <f>AI178+AI254</f>
        <v>345325322995</v>
      </c>
      <c r="AJ255" s="435"/>
      <c r="AK255" s="435"/>
      <c r="AL255" s="677"/>
      <c r="AM255" s="435">
        <f>AM178+AM254</f>
        <v>281676261822</v>
      </c>
      <c r="AN255" s="435">
        <f>AN178+AN254</f>
        <v>234780115544</v>
      </c>
      <c r="AO255" s="435">
        <f>AO178+AO254</f>
        <v>516456377366</v>
      </c>
      <c r="AP255" s="768"/>
      <c r="AQ255" s="435"/>
      <c r="AR255" s="768"/>
      <c r="AS255" s="435"/>
      <c r="AT255" s="435">
        <f>AT178+AT254</f>
        <v>331143637453</v>
      </c>
      <c r="AU255" s="64"/>
      <c r="AV255" s="435">
        <f>AV178+AV254</f>
        <v>274636437821</v>
      </c>
      <c r="AW255" s="435">
        <f>AW178+AW254</f>
        <v>226439584572</v>
      </c>
      <c r="AX255" s="435">
        <f>AX178+AX254</f>
        <v>501076022393</v>
      </c>
      <c r="AY255" s="768"/>
      <c r="AZ255" s="435"/>
      <c r="BA255" s="768"/>
      <c r="BB255" s="435"/>
      <c r="BC255" s="435">
        <f>BC178+BC254</f>
        <v>356531626434</v>
      </c>
      <c r="BD255" s="1154"/>
      <c r="BE255" s="63"/>
      <c r="BF255" s="435">
        <f>BF178+BF254</f>
        <v>307658424230</v>
      </c>
      <c r="BG255" s="64"/>
      <c r="BH255" s="435">
        <f>BH178+BH254</f>
        <v>262715700578</v>
      </c>
      <c r="BI255" s="64"/>
    </row>
    <row r="256" spans="2:61" s="1" customFormat="1">
      <c r="B256" s="2" t="s">
        <v>600</v>
      </c>
      <c r="C256" s="2"/>
      <c r="D256" s="217"/>
      <c r="E256" s="217"/>
      <c r="F256" s="1365">
        <f t="shared" si="172"/>
        <v>0</v>
      </c>
      <c r="G256" s="1365">
        <f t="shared" si="171"/>
        <v>0</v>
      </c>
      <c r="H256" s="217"/>
      <c r="I256" s="1384"/>
      <c r="J256" s="217"/>
      <c r="K256" s="1384"/>
      <c r="L256" s="217"/>
      <c r="M256" s="217"/>
      <c r="N256" s="226"/>
      <c r="O256" s="1058"/>
      <c r="P256" s="1480"/>
      <c r="Q256" s="217"/>
      <c r="R256" s="1480"/>
      <c r="S256" s="1481"/>
      <c r="T256" s="1480"/>
      <c r="U256" s="1481"/>
      <c r="V256" s="1480"/>
      <c r="W256" s="1480"/>
      <c r="X256" s="1187"/>
      <c r="Y256" s="118"/>
      <c r="Z256" s="705"/>
      <c r="AA256" s="705"/>
      <c r="AB256" s="253"/>
      <c r="AC256" s="118"/>
      <c r="AD256" s="253"/>
      <c r="AE256" s="118"/>
      <c r="AF256" s="118"/>
      <c r="AG256" s="118"/>
      <c r="AH256" s="209"/>
      <c r="AI256" s="436"/>
      <c r="AJ256" s="436"/>
      <c r="AK256" s="436"/>
      <c r="AL256" s="675"/>
      <c r="AM256" s="436"/>
      <c r="AN256" s="436"/>
      <c r="AO256" s="436"/>
      <c r="AP256" s="769"/>
      <c r="AQ256" s="436"/>
      <c r="AR256" s="769"/>
      <c r="AS256" s="436"/>
      <c r="AT256" s="436"/>
      <c r="AU256" s="139"/>
      <c r="AV256" s="436"/>
      <c r="AW256" s="436"/>
      <c r="AX256" s="436"/>
      <c r="AY256" s="769"/>
      <c r="AZ256" s="436"/>
      <c r="BA256" s="769"/>
      <c r="BB256" s="436"/>
      <c r="BC256" s="436"/>
      <c r="BD256" s="432"/>
      <c r="BE256" s="136"/>
      <c r="BF256" s="221"/>
      <c r="BG256" s="139"/>
      <c r="BH256" s="221"/>
      <c r="BI256" s="65"/>
    </row>
    <row r="257" spans="2:61" s="1" customFormat="1">
      <c r="B257" s="2" t="s">
        <v>601</v>
      </c>
      <c r="C257" s="2"/>
      <c r="D257" s="217"/>
      <c r="E257" s="217"/>
      <c r="F257" s="1365">
        <f t="shared" si="172"/>
        <v>0</v>
      </c>
      <c r="G257" s="1365">
        <f t="shared" si="171"/>
        <v>0</v>
      </c>
      <c r="H257" s="217"/>
      <c r="I257" s="1384"/>
      <c r="J257" s="217"/>
      <c r="K257" s="1384"/>
      <c r="L257" s="217"/>
      <c r="M257" s="217"/>
      <c r="N257" s="226"/>
      <c r="O257" s="1058"/>
      <c r="P257" s="1480"/>
      <c r="Q257" s="217"/>
      <c r="R257" s="1480"/>
      <c r="S257" s="1481"/>
      <c r="T257" s="1480"/>
      <c r="U257" s="1481"/>
      <c r="V257" s="1480"/>
      <c r="W257" s="1480"/>
      <c r="X257" s="1187"/>
      <c r="Y257" s="118"/>
      <c r="Z257" s="705"/>
      <c r="AA257" s="705"/>
      <c r="AB257" s="253"/>
      <c r="AC257" s="118"/>
      <c r="AD257" s="253"/>
      <c r="AE257" s="118"/>
      <c r="AF257" s="118"/>
      <c r="AG257" s="118"/>
      <c r="AH257" s="209"/>
      <c r="AI257" s="436"/>
      <c r="AJ257" s="436"/>
      <c r="AK257" s="436"/>
      <c r="AL257" s="675"/>
      <c r="AM257" s="436"/>
      <c r="AN257" s="436"/>
      <c r="AO257" s="436"/>
      <c r="AP257" s="769"/>
      <c r="AQ257" s="436"/>
      <c r="AR257" s="769"/>
      <c r="AS257" s="436"/>
      <c r="AT257" s="436"/>
      <c r="AU257" s="139"/>
      <c r="AV257" s="436"/>
      <c r="AW257" s="436"/>
      <c r="AX257" s="436"/>
      <c r="AY257" s="769"/>
      <c r="AZ257" s="436"/>
      <c r="BA257" s="769"/>
      <c r="BB257" s="436"/>
      <c r="BC257" s="436"/>
      <c r="BD257" s="432"/>
      <c r="BE257" s="136"/>
      <c r="BF257" s="221"/>
      <c r="BG257" s="139"/>
      <c r="BH257" s="221"/>
      <c r="BI257" s="65"/>
    </row>
    <row r="258" spans="2:61" s="1" customFormat="1">
      <c r="B258" s="2" t="s">
        <v>602</v>
      </c>
      <c r="C258" s="2"/>
      <c r="D258" s="217"/>
      <c r="E258" s="217"/>
      <c r="F258" s="1365">
        <f t="shared" si="172"/>
        <v>0</v>
      </c>
      <c r="G258" s="1365">
        <f t="shared" si="171"/>
        <v>0</v>
      </c>
      <c r="H258" s="217"/>
      <c r="I258" s="1384"/>
      <c r="J258" s="217"/>
      <c r="K258" s="1384"/>
      <c r="L258" s="217"/>
      <c r="M258" s="217"/>
      <c r="N258" s="226"/>
      <c r="O258" s="1058"/>
      <c r="P258" s="1480"/>
      <c r="Q258" s="217"/>
      <c r="R258" s="1480"/>
      <c r="S258" s="1481"/>
      <c r="T258" s="1480"/>
      <c r="U258" s="1481"/>
      <c r="V258" s="1480"/>
      <c r="W258" s="1480"/>
      <c r="X258" s="1187"/>
      <c r="Y258" s="118"/>
      <c r="Z258" s="705"/>
      <c r="AA258" s="705"/>
      <c r="AB258" s="253"/>
      <c r="AC258" s="118"/>
      <c r="AD258" s="253"/>
      <c r="AE258" s="118"/>
      <c r="AF258" s="705"/>
      <c r="AG258" s="705"/>
      <c r="AH258" s="209"/>
      <c r="AI258" s="138"/>
      <c r="AJ258" s="138"/>
      <c r="AK258" s="138"/>
      <c r="AL258" s="670"/>
      <c r="AM258" s="138"/>
      <c r="AN258" s="138"/>
      <c r="AO258" s="138"/>
      <c r="AP258" s="437"/>
      <c r="AQ258" s="138"/>
      <c r="AR258" s="437"/>
      <c r="AS258" s="138"/>
      <c r="AT258" s="138"/>
      <c r="AU258" s="43"/>
      <c r="AV258" s="138"/>
      <c r="AW258" s="138"/>
      <c r="AX258" s="138"/>
      <c r="AY258" s="437"/>
      <c r="AZ258" s="138"/>
      <c r="BA258" s="437"/>
      <c r="BB258" s="138"/>
      <c r="BC258" s="138"/>
      <c r="BD258" s="138"/>
      <c r="BE258" s="42"/>
      <c r="BF258" s="105"/>
      <c r="BG258" s="43"/>
      <c r="BH258" s="105"/>
      <c r="BI258" s="36"/>
    </row>
    <row r="259" spans="2:61" s="1" customFormat="1">
      <c r="B259" s="2" t="s">
        <v>603</v>
      </c>
      <c r="C259" s="2"/>
      <c r="D259" s="217"/>
      <c r="E259" s="217"/>
      <c r="F259" s="1365">
        <f t="shared" si="172"/>
        <v>0</v>
      </c>
      <c r="G259" s="1365">
        <f t="shared" si="171"/>
        <v>0</v>
      </c>
      <c r="H259" s="217"/>
      <c r="I259" s="1384"/>
      <c r="J259" s="217"/>
      <c r="K259" s="1384"/>
      <c r="L259" s="217"/>
      <c r="M259" s="217"/>
      <c r="N259" s="226"/>
      <c r="O259" s="1058"/>
      <c r="P259" s="1480"/>
      <c r="Q259" s="217"/>
      <c r="R259" s="1480"/>
      <c r="S259" s="1481"/>
      <c r="T259" s="1480"/>
      <c r="U259" s="1481"/>
      <c r="V259" s="1480"/>
      <c r="W259" s="1480"/>
      <c r="X259" s="1187"/>
      <c r="Y259" s="118"/>
      <c r="Z259" s="705"/>
      <c r="AA259" s="705"/>
      <c r="AB259" s="253"/>
      <c r="AC259" s="118"/>
      <c r="AD259" s="253"/>
      <c r="AE259" s="118"/>
      <c r="AF259" s="705"/>
      <c r="AG259" s="705"/>
      <c r="AH259" s="209"/>
      <c r="AI259" s="138"/>
      <c r="AJ259" s="138"/>
      <c r="AK259" s="138"/>
      <c r="AL259" s="670"/>
      <c r="AM259" s="138"/>
      <c r="AN259" s="138"/>
      <c r="AO259" s="138"/>
      <c r="AP259" s="437"/>
      <c r="AQ259" s="138"/>
      <c r="AR259" s="437"/>
      <c r="AS259" s="138"/>
      <c r="AT259" s="138"/>
      <c r="AU259" s="43"/>
      <c r="AV259" s="138"/>
      <c r="AW259" s="138"/>
      <c r="AX259" s="138"/>
      <c r="AY259" s="437"/>
      <c r="AZ259" s="138"/>
      <c r="BA259" s="437"/>
      <c r="BB259" s="138"/>
      <c r="BC259" s="138"/>
      <c r="BD259" s="138"/>
      <c r="BE259" s="42"/>
      <c r="BF259" s="105"/>
      <c r="BG259" s="43"/>
      <c r="BH259" s="105"/>
      <c r="BI259" s="36"/>
    </row>
    <row r="260" spans="2:61" s="1" customFormat="1">
      <c r="B260" s="4"/>
      <c r="C260" s="4" t="s">
        <v>604</v>
      </c>
      <c r="D260" s="1365">
        <v>0</v>
      </c>
      <c r="E260" s="1365"/>
      <c r="F260" s="1365">
        <f t="shared" si="172"/>
        <v>0</v>
      </c>
      <c r="G260" s="1365">
        <f t="shared" si="171"/>
        <v>0</v>
      </c>
      <c r="H260" s="1365">
        <f t="shared" ref="H260:H287" si="173">ROUND((D260+E260),0)</f>
        <v>0</v>
      </c>
      <c r="I260" s="1384"/>
      <c r="J260" s="1365"/>
      <c r="K260" s="1384"/>
      <c r="L260" s="1365"/>
      <c r="M260" s="1365">
        <f>ROUND((H260-J260+L260),0)</f>
        <v>0</v>
      </c>
      <c r="N260" s="2259"/>
      <c r="O260" s="1058"/>
      <c r="P260" s="1482"/>
      <c r="Q260" s="1365"/>
      <c r="R260" s="1482">
        <f t="shared" ref="R260:R287" si="174">ROUND((P260+Q260),0)</f>
        <v>0</v>
      </c>
      <c r="S260" s="1481"/>
      <c r="T260" s="1482"/>
      <c r="U260" s="1481"/>
      <c r="V260" s="1482"/>
      <c r="W260" s="1482">
        <f>ROUND((R260-T260+V260),0)</f>
        <v>0</v>
      </c>
      <c r="X260" s="1187"/>
      <c r="Y260" s="90"/>
      <c r="Z260" s="697"/>
      <c r="AA260" s="697">
        <f t="shared" ref="AA260:AA287" si="175">ROUND((Y260+Z260),0)</f>
        <v>0</v>
      </c>
      <c r="AB260" s="253"/>
      <c r="AC260" s="90"/>
      <c r="AD260" s="253"/>
      <c r="AE260" s="90"/>
      <c r="AF260" s="697">
        <f>ROUND((AA260-AC260+AE260),0)</f>
        <v>0</v>
      </c>
      <c r="AG260" s="697"/>
      <c r="AH260" s="207"/>
      <c r="AI260" s="140">
        <v>0</v>
      </c>
      <c r="AJ260" s="140"/>
      <c r="AK260" s="140"/>
      <c r="AL260" s="673"/>
      <c r="AM260" s="140">
        <v>29499400000</v>
      </c>
      <c r="AN260" s="140"/>
      <c r="AO260" s="140">
        <f>ROUND((AM260+AN260),0)</f>
        <v>29499400000</v>
      </c>
      <c r="AP260" s="437"/>
      <c r="AQ260" s="140"/>
      <c r="AR260" s="437"/>
      <c r="AS260" s="140"/>
      <c r="AT260" s="140">
        <f>ROUND((AO260-AQ260+AS260),0)</f>
        <v>29499400000</v>
      </c>
      <c r="AU260" s="66"/>
      <c r="AV260" s="140">
        <v>28403106864</v>
      </c>
      <c r="AW260" s="140"/>
      <c r="AX260" s="140">
        <f>ROUND((AV260+AW260),0)</f>
        <v>28403106864</v>
      </c>
      <c r="AY260" s="437"/>
      <c r="AZ260" s="140"/>
      <c r="BA260" s="437"/>
      <c r="BB260" s="140"/>
      <c r="BC260" s="140">
        <f>ROUND((AX260-AZ260+BB260),0)</f>
        <v>28403106864</v>
      </c>
      <c r="BD260" s="140"/>
      <c r="BE260" s="40"/>
      <c r="BF260" s="235">
        <v>29888900000</v>
      </c>
      <c r="BG260" s="66"/>
      <c r="BH260" s="235">
        <v>27111100000</v>
      </c>
      <c r="BI260" s="66"/>
    </row>
    <row r="261" spans="2:61" s="1" customFormat="1">
      <c r="B261" s="4"/>
      <c r="C261" s="4" t="s">
        <v>605</v>
      </c>
      <c r="D261" s="1365">
        <v>0</v>
      </c>
      <c r="E261" s="1365"/>
      <c r="F261" s="1365">
        <f t="shared" si="172"/>
        <v>0</v>
      </c>
      <c r="G261" s="1365">
        <f t="shared" si="171"/>
        <v>0</v>
      </c>
      <c r="H261" s="1365">
        <f t="shared" si="173"/>
        <v>0</v>
      </c>
      <c r="I261" s="1384"/>
      <c r="J261" s="1365"/>
      <c r="K261" s="1384"/>
      <c r="L261" s="1365"/>
      <c r="M261" s="1365">
        <f t="shared" ref="M261:M287" si="176">ROUND((H261-J261+L261),0)</f>
        <v>0</v>
      </c>
      <c r="N261" s="2259"/>
      <c r="O261" s="1058"/>
      <c r="P261" s="1482"/>
      <c r="Q261" s="1365"/>
      <c r="R261" s="1482">
        <f t="shared" si="174"/>
        <v>0</v>
      </c>
      <c r="S261" s="1481"/>
      <c r="T261" s="1482"/>
      <c r="U261" s="1481"/>
      <c r="V261" s="1482"/>
      <c r="W261" s="1482">
        <f t="shared" ref="W261:W287" si="177">ROUND((R261-T261+V261),0)</f>
        <v>0</v>
      </c>
      <c r="X261" s="1187"/>
      <c r="Y261" s="90"/>
      <c r="Z261" s="697"/>
      <c r="AA261" s="697">
        <f t="shared" si="175"/>
        <v>0</v>
      </c>
      <c r="AB261" s="253"/>
      <c r="AC261" s="90"/>
      <c r="AD261" s="253"/>
      <c r="AE261" s="90"/>
      <c r="AF261" s="697">
        <f t="shared" ref="AF261:AF287" si="178">ROUND((AA261-AC261+AE261),0)</f>
        <v>0</v>
      </c>
      <c r="AG261" s="697"/>
      <c r="AH261" s="207"/>
      <c r="AI261" s="140">
        <v>0</v>
      </c>
      <c r="AJ261" s="140"/>
      <c r="AK261" s="140"/>
      <c r="AL261" s="673"/>
      <c r="AM261" s="140">
        <v>32470336781</v>
      </c>
      <c r="AN261" s="140"/>
      <c r="AO261" s="140">
        <f t="shared" ref="AO261:AO287" si="179">ROUND((AM261+AN261),0)</f>
        <v>32470336781</v>
      </c>
      <c r="AP261" s="437"/>
      <c r="AQ261" s="140"/>
      <c r="AR261" s="437"/>
      <c r="AS261" s="140"/>
      <c r="AT261" s="140">
        <f t="shared" ref="AT261:AT287" si="180">ROUND((AO261-AQ261+AS261),0)</f>
        <v>32470336781</v>
      </c>
      <c r="AU261" s="66"/>
      <c r="AV261" s="140">
        <v>31511179907</v>
      </c>
      <c r="AW261" s="140"/>
      <c r="AX261" s="140">
        <f t="shared" ref="AX261:AX287" si="181">ROUND((AV261+AW261),0)</f>
        <v>31511179907</v>
      </c>
      <c r="AY261" s="437"/>
      <c r="AZ261" s="140"/>
      <c r="BA261" s="437"/>
      <c r="BB261" s="140"/>
      <c r="BC261" s="140">
        <f t="shared" ref="BC261:BC287" si="182">ROUND((AX261-AZ261+BB261),0)</f>
        <v>31511179907</v>
      </c>
      <c r="BD261" s="140"/>
      <c r="BE261" s="40"/>
      <c r="BF261" s="235">
        <v>32428172070</v>
      </c>
      <c r="BG261" s="66"/>
      <c r="BH261" s="235">
        <v>10131101106</v>
      </c>
      <c r="BI261" s="66"/>
    </row>
    <row r="262" spans="2:61" s="1" customFormat="1">
      <c r="B262" s="4"/>
      <c r="C262" s="4" t="s">
        <v>606</v>
      </c>
      <c r="D262" s="1365">
        <v>0</v>
      </c>
      <c r="E262" s="1365"/>
      <c r="F262" s="1365">
        <f t="shared" si="172"/>
        <v>0</v>
      </c>
      <c r="G262" s="1365">
        <f t="shared" si="171"/>
        <v>0</v>
      </c>
      <c r="H262" s="1365">
        <f t="shared" si="173"/>
        <v>0</v>
      </c>
      <c r="I262" s="1384"/>
      <c r="J262" s="1365"/>
      <c r="K262" s="1384"/>
      <c r="L262" s="1365"/>
      <c r="M262" s="1365">
        <f t="shared" si="176"/>
        <v>0</v>
      </c>
      <c r="N262" s="2259"/>
      <c r="O262" s="1058"/>
      <c r="P262" s="1482"/>
      <c r="Q262" s="1365"/>
      <c r="R262" s="1482">
        <f t="shared" si="174"/>
        <v>0</v>
      </c>
      <c r="S262" s="1481"/>
      <c r="T262" s="1482"/>
      <c r="U262" s="1481"/>
      <c r="V262" s="1482"/>
      <c r="W262" s="1482">
        <f t="shared" si="177"/>
        <v>0</v>
      </c>
      <c r="X262" s="1187"/>
      <c r="Y262" s="90"/>
      <c r="Z262" s="697"/>
      <c r="AA262" s="697">
        <f t="shared" si="175"/>
        <v>0</v>
      </c>
      <c r="AB262" s="253"/>
      <c r="AC262" s="90"/>
      <c r="AD262" s="253"/>
      <c r="AE262" s="90"/>
      <c r="AF262" s="697">
        <f t="shared" si="178"/>
        <v>0</v>
      </c>
      <c r="AG262" s="697"/>
      <c r="AH262" s="207"/>
      <c r="AI262" s="140">
        <v>0</v>
      </c>
      <c r="AJ262" s="140"/>
      <c r="AK262" s="140"/>
      <c r="AL262" s="673"/>
      <c r="AM262" s="140">
        <v>10000000000</v>
      </c>
      <c r="AN262" s="140"/>
      <c r="AO262" s="140">
        <f t="shared" si="179"/>
        <v>10000000000</v>
      </c>
      <c r="AP262" s="437"/>
      <c r="AQ262" s="140"/>
      <c r="AR262" s="437"/>
      <c r="AS262" s="140"/>
      <c r="AT262" s="140">
        <f t="shared" si="180"/>
        <v>10000000000</v>
      </c>
      <c r="AU262" s="66"/>
      <c r="AV262" s="140">
        <v>10000000000</v>
      </c>
      <c r="AW262" s="140"/>
      <c r="AX262" s="140">
        <f t="shared" si="181"/>
        <v>10000000000</v>
      </c>
      <c r="AY262" s="437"/>
      <c r="AZ262" s="140"/>
      <c r="BA262" s="437"/>
      <c r="BB262" s="140"/>
      <c r="BC262" s="140">
        <f t="shared" si="182"/>
        <v>10000000000</v>
      </c>
      <c r="BD262" s="140"/>
      <c r="BE262" s="40"/>
      <c r="BF262" s="235">
        <v>10000000000</v>
      </c>
      <c r="BG262" s="66"/>
      <c r="BH262" s="235">
        <v>9997780749</v>
      </c>
      <c r="BI262" s="66"/>
    </row>
    <row r="263" spans="2:61" s="1" customFormat="1">
      <c r="B263" s="4"/>
      <c r="C263" s="4" t="s">
        <v>607</v>
      </c>
      <c r="D263" s="1365">
        <v>0</v>
      </c>
      <c r="E263" s="1365"/>
      <c r="F263" s="1365">
        <f t="shared" si="172"/>
        <v>0</v>
      </c>
      <c r="G263" s="1365">
        <f t="shared" si="171"/>
        <v>0</v>
      </c>
      <c r="H263" s="1365">
        <f t="shared" si="173"/>
        <v>0</v>
      </c>
      <c r="I263" s="1384"/>
      <c r="J263" s="1365"/>
      <c r="K263" s="1384"/>
      <c r="L263" s="1365"/>
      <c r="M263" s="1365">
        <f t="shared" si="176"/>
        <v>0</v>
      </c>
      <c r="N263" s="2259"/>
      <c r="O263" s="1058"/>
      <c r="P263" s="1482"/>
      <c r="Q263" s="1365"/>
      <c r="R263" s="1482">
        <f t="shared" si="174"/>
        <v>0</v>
      </c>
      <c r="S263" s="1481"/>
      <c r="T263" s="1482"/>
      <c r="U263" s="1481"/>
      <c r="V263" s="1482"/>
      <c r="W263" s="1482">
        <f t="shared" si="177"/>
        <v>0</v>
      </c>
      <c r="X263" s="1187"/>
      <c r="Y263" s="90"/>
      <c r="Z263" s="697"/>
      <c r="AA263" s="697">
        <f t="shared" si="175"/>
        <v>0</v>
      </c>
      <c r="AB263" s="253"/>
      <c r="AC263" s="90"/>
      <c r="AD263" s="253"/>
      <c r="AE263" s="90"/>
      <c r="AF263" s="697">
        <f t="shared" si="178"/>
        <v>0</v>
      </c>
      <c r="AG263" s="697"/>
      <c r="AH263" s="207"/>
      <c r="AI263" s="140">
        <v>0</v>
      </c>
      <c r="AJ263" s="140"/>
      <c r="AK263" s="140"/>
      <c r="AL263" s="673"/>
      <c r="AM263" s="140"/>
      <c r="AN263" s="140"/>
      <c r="AO263" s="140">
        <f t="shared" si="179"/>
        <v>0</v>
      </c>
      <c r="AP263" s="437"/>
      <c r="AQ263" s="140"/>
      <c r="AR263" s="437"/>
      <c r="AS263" s="140"/>
      <c r="AT263" s="140">
        <f t="shared" si="180"/>
        <v>0</v>
      </c>
      <c r="AU263" s="66"/>
      <c r="AV263" s="140">
        <v>0</v>
      </c>
      <c r="AW263" s="140"/>
      <c r="AX263" s="140">
        <f t="shared" si="181"/>
        <v>0</v>
      </c>
      <c r="AY263" s="437"/>
      <c r="AZ263" s="140"/>
      <c r="BA263" s="437"/>
      <c r="BB263" s="140"/>
      <c r="BC263" s="140">
        <f t="shared" si="182"/>
        <v>0</v>
      </c>
      <c r="BD263" s="140"/>
      <c r="BE263" s="40"/>
      <c r="BF263" s="235">
        <v>0</v>
      </c>
      <c r="BG263" s="66"/>
      <c r="BH263" s="235">
        <v>3075000000</v>
      </c>
      <c r="BI263" s="66"/>
    </row>
    <row r="264" spans="2:61" s="1" customFormat="1">
      <c r="B264" s="2" t="s">
        <v>608</v>
      </c>
      <c r="C264" s="2"/>
      <c r="D264" s="217"/>
      <c r="E264" s="217"/>
      <c r="F264" s="1365">
        <f t="shared" si="172"/>
        <v>0</v>
      </c>
      <c r="G264" s="1365">
        <f t="shared" si="171"/>
        <v>0</v>
      </c>
      <c r="H264" s="217">
        <f t="shared" si="173"/>
        <v>0</v>
      </c>
      <c r="I264" s="1384"/>
      <c r="J264" s="217"/>
      <c r="K264" s="1384"/>
      <c r="L264" s="217"/>
      <c r="M264" s="217">
        <f t="shared" si="176"/>
        <v>0</v>
      </c>
      <c r="N264" s="226"/>
      <c r="O264" s="1058"/>
      <c r="P264" s="1480"/>
      <c r="Q264" s="217"/>
      <c r="R264" s="1480">
        <f t="shared" si="174"/>
        <v>0</v>
      </c>
      <c r="S264" s="1481"/>
      <c r="T264" s="1480"/>
      <c r="U264" s="1481"/>
      <c r="V264" s="1480"/>
      <c r="W264" s="1480">
        <f t="shared" si="177"/>
        <v>0</v>
      </c>
      <c r="X264" s="1187"/>
      <c r="Y264" s="118"/>
      <c r="Z264" s="705"/>
      <c r="AA264" s="705">
        <f t="shared" si="175"/>
        <v>0</v>
      </c>
      <c r="AB264" s="253"/>
      <c r="AC264" s="118"/>
      <c r="AD264" s="253"/>
      <c r="AE264" s="118"/>
      <c r="AF264" s="705">
        <f t="shared" si="178"/>
        <v>0</v>
      </c>
      <c r="AG264" s="705"/>
      <c r="AH264" s="209"/>
      <c r="AI264" s="140"/>
      <c r="AJ264" s="140"/>
      <c r="AK264" s="140"/>
      <c r="AL264" s="673"/>
      <c r="AM264" s="140"/>
      <c r="AN264" s="140"/>
      <c r="AO264" s="140">
        <f t="shared" si="179"/>
        <v>0</v>
      </c>
      <c r="AP264" s="437"/>
      <c r="AQ264" s="140"/>
      <c r="AR264" s="437"/>
      <c r="AS264" s="140"/>
      <c r="AT264" s="140">
        <f t="shared" si="180"/>
        <v>0</v>
      </c>
      <c r="AU264" s="66"/>
      <c r="AV264" s="140"/>
      <c r="AW264" s="140"/>
      <c r="AX264" s="140">
        <f t="shared" si="181"/>
        <v>0</v>
      </c>
      <c r="AY264" s="437"/>
      <c r="AZ264" s="140"/>
      <c r="BA264" s="437"/>
      <c r="BB264" s="140"/>
      <c r="BC264" s="140">
        <f t="shared" si="182"/>
        <v>0</v>
      </c>
      <c r="BD264" s="140"/>
      <c r="BE264" s="40"/>
      <c r="BF264" s="235"/>
      <c r="BG264" s="66"/>
      <c r="BH264" s="235"/>
      <c r="BI264" s="66"/>
    </row>
    <row r="265" spans="2:61" s="1" customFormat="1">
      <c r="B265" s="4"/>
      <c r="C265" s="4" t="s">
        <v>609</v>
      </c>
      <c r="D265" s="1365"/>
      <c r="E265" s="1365"/>
      <c r="F265" s="1365">
        <f t="shared" si="172"/>
        <v>0</v>
      </c>
      <c r="G265" s="1365">
        <f t="shared" si="171"/>
        <v>0</v>
      </c>
      <c r="H265" s="1365">
        <f t="shared" si="173"/>
        <v>0</v>
      </c>
      <c r="I265" s="1384"/>
      <c r="J265" s="1365"/>
      <c r="K265" s="1384"/>
      <c r="L265" s="1365"/>
      <c r="M265" s="1365">
        <f t="shared" si="176"/>
        <v>0</v>
      </c>
      <c r="N265" s="2259"/>
      <c r="O265" s="1058"/>
      <c r="P265" s="1482"/>
      <c r="Q265" s="1365"/>
      <c r="R265" s="1482">
        <f t="shared" si="174"/>
        <v>0</v>
      </c>
      <c r="S265" s="1481"/>
      <c r="T265" s="1482"/>
      <c r="U265" s="1481"/>
      <c r="V265" s="1482"/>
      <c r="W265" s="1482">
        <f t="shared" si="177"/>
        <v>0</v>
      </c>
      <c r="X265" s="1187"/>
      <c r="Y265" s="90"/>
      <c r="Z265" s="697"/>
      <c r="AA265" s="697">
        <f t="shared" si="175"/>
        <v>0</v>
      </c>
      <c r="AB265" s="253"/>
      <c r="AC265" s="90"/>
      <c r="AD265" s="253"/>
      <c r="AE265" s="90"/>
      <c r="AF265" s="697">
        <f t="shared" si="178"/>
        <v>0</v>
      </c>
      <c r="AG265" s="697"/>
      <c r="AH265" s="207"/>
      <c r="AI265" s="140">
        <v>0</v>
      </c>
      <c r="AJ265" s="140"/>
      <c r="AK265" s="140"/>
      <c r="AL265" s="673"/>
      <c r="AM265" s="140"/>
      <c r="AN265" s="140"/>
      <c r="AO265" s="140">
        <f t="shared" si="179"/>
        <v>0</v>
      </c>
      <c r="AP265" s="437"/>
      <c r="AQ265" s="140"/>
      <c r="AR265" s="437"/>
      <c r="AS265" s="140"/>
      <c r="AT265" s="140">
        <f t="shared" si="180"/>
        <v>0</v>
      </c>
      <c r="AU265" s="66"/>
      <c r="AV265" s="140"/>
      <c r="AW265" s="140"/>
      <c r="AX265" s="140">
        <f t="shared" si="181"/>
        <v>0</v>
      </c>
      <c r="AY265" s="437"/>
      <c r="AZ265" s="140"/>
      <c r="BA265" s="437"/>
      <c r="BB265" s="140"/>
      <c r="BC265" s="140">
        <f t="shared" si="182"/>
        <v>0</v>
      </c>
      <c r="BD265" s="140"/>
      <c r="BE265" s="40"/>
      <c r="BF265" s="235">
        <v>0</v>
      </c>
      <c r="BG265" s="66"/>
      <c r="BH265" s="235">
        <v>0</v>
      </c>
      <c r="BI265" s="66"/>
    </row>
    <row r="266" spans="2:61" s="1" customFormat="1">
      <c r="B266" s="4"/>
      <c r="C266" s="4" t="s">
        <v>610</v>
      </c>
      <c r="D266" s="1365"/>
      <c r="E266" s="1365"/>
      <c r="F266" s="1365">
        <f t="shared" si="172"/>
        <v>0</v>
      </c>
      <c r="G266" s="1365">
        <f t="shared" si="171"/>
        <v>0</v>
      </c>
      <c r="H266" s="1365">
        <f t="shared" si="173"/>
        <v>0</v>
      </c>
      <c r="I266" s="1384"/>
      <c r="J266" s="1365"/>
      <c r="K266" s="1384"/>
      <c r="L266" s="1365"/>
      <c r="M266" s="1365">
        <f t="shared" si="176"/>
        <v>0</v>
      </c>
      <c r="N266" s="2259"/>
      <c r="O266" s="1058"/>
      <c r="P266" s="1482"/>
      <c r="Q266" s="1365"/>
      <c r="R266" s="1482">
        <f t="shared" si="174"/>
        <v>0</v>
      </c>
      <c r="S266" s="1481"/>
      <c r="T266" s="1482"/>
      <c r="U266" s="1481"/>
      <c r="V266" s="1482"/>
      <c r="W266" s="1482">
        <f t="shared" si="177"/>
        <v>0</v>
      </c>
      <c r="X266" s="1187"/>
      <c r="Y266" s="90"/>
      <c r="Z266" s="697"/>
      <c r="AA266" s="697">
        <f t="shared" si="175"/>
        <v>0</v>
      </c>
      <c r="AB266" s="253"/>
      <c r="AC266" s="90"/>
      <c r="AD266" s="253"/>
      <c r="AE266" s="90"/>
      <c r="AF266" s="697">
        <f t="shared" si="178"/>
        <v>0</v>
      </c>
      <c r="AG266" s="697"/>
      <c r="AH266" s="207"/>
      <c r="AI266" s="140">
        <v>0</v>
      </c>
      <c r="AJ266" s="140"/>
      <c r="AK266" s="140"/>
      <c r="AL266" s="673"/>
      <c r="AM266" s="140"/>
      <c r="AN266" s="140"/>
      <c r="AO266" s="140">
        <f t="shared" si="179"/>
        <v>0</v>
      </c>
      <c r="AP266" s="437"/>
      <c r="AQ266" s="140"/>
      <c r="AR266" s="437"/>
      <c r="AS266" s="140"/>
      <c r="AT266" s="140">
        <f t="shared" si="180"/>
        <v>0</v>
      </c>
      <c r="AU266" s="66"/>
      <c r="AV266" s="140"/>
      <c r="AW266" s="140"/>
      <c r="AX266" s="140">
        <f t="shared" si="181"/>
        <v>0</v>
      </c>
      <c r="AY266" s="437"/>
      <c r="AZ266" s="140"/>
      <c r="BA266" s="437"/>
      <c r="BB266" s="140"/>
      <c r="BC266" s="140">
        <f t="shared" si="182"/>
        <v>0</v>
      </c>
      <c r="BD266" s="140"/>
      <c r="BE266" s="40"/>
      <c r="BF266" s="235">
        <v>0</v>
      </c>
      <c r="BG266" s="66"/>
      <c r="BH266" s="235">
        <v>0</v>
      </c>
      <c r="BI266" s="66"/>
    </row>
    <row r="267" spans="2:61" s="1" customFormat="1">
      <c r="B267" s="2" t="s">
        <v>611</v>
      </c>
      <c r="C267" s="2"/>
      <c r="D267" s="217"/>
      <c r="E267" s="217"/>
      <c r="F267" s="1365">
        <f t="shared" si="172"/>
        <v>0</v>
      </c>
      <c r="G267" s="1365">
        <f t="shared" si="171"/>
        <v>0</v>
      </c>
      <c r="H267" s="217">
        <f t="shared" si="173"/>
        <v>0</v>
      </c>
      <c r="I267" s="1384"/>
      <c r="J267" s="217"/>
      <c r="K267" s="1384"/>
      <c r="L267" s="217"/>
      <c r="M267" s="217">
        <f t="shared" si="176"/>
        <v>0</v>
      </c>
      <c r="N267" s="226"/>
      <c r="O267" s="1058"/>
      <c r="P267" s="1480"/>
      <c r="Q267" s="217"/>
      <c r="R267" s="1480">
        <f t="shared" si="174"/>
        <v>0</v>
      </c>
      <c r="S267" s="1481"/>
      <c r="T267" s="1480"/>
      <c r="U267" s="1481"/>
      <c r="V267" s="1480"/>
      <c r="W267" s="1480">
        <f t="shared" si="177"/>
        <v>0</v>
      </c>
      <c r="X267" s="1187"/>
      <c r="Y267" s="118"/>
      <c r="Z267" s="705"/>
      <c r="AA267" s="705">
        <f t="shared" si="175"/>
        <v>0</v>
      </c>
      <c r="AB267" s="253"/>
      <c r="AC267" s="118"/>
      <c r="AD267" s="253"/>
      <c r="AE267" s="118"/>
      <c r="AF267" s="705">
        <f t="shared" si="178"/>
        <v>0</v>
      </c>
      <c r="AG267" s="705"/>
      <c r="AH267" s="209"/>
      <c r="AI267" s="140"/>
      <c r="AJ267" s="140"/>
      <c r="AK267" s="140"/>
      <c r="AL267" s="673"/>
      <c r="AM267" s="140"/>
      <c r="AN267" s="140"/>
      <c r="AO267" s="140">
        <f t="shared" si="179"/>
        <v>0</v>
      </c>
      <c r="AP267" s="437"/>
      <c r="AQ267" s="140"/>
      <c r="AR267" s="437"/>
      <c r="AS267" s="140"/>
      <c r="AT267" s="140">
        <f t="shared" si="180"/>
        <v>0</v>
      </c>
      <c r="AU267" s="66"/>
      <c r="AV267" s="140"/>
      <c r="AW267" s="140"/>
      <c r="AX267" s="140">
        <f t="shared" si="181"/>
        <v>0</v>
      </c>
      <c r="AY267" s="437"/>
      <c r="AZ267" s="140"/>
      <c r="BA267" s="437"/>
      <c r="BB267" s="140"/>
      <c r="BC267" s="140">
        <f t="shared" si="182"/>
        <v>0</v>
      </c>
      <c r="BD267" s="140"/>
      <c r="BE267" s="40"/>
      <c r="BF267" s="235"/>
      <c r="BG267" s="66"/>
      <c r="BH267" s="235"/>
      <c r="BI267" s="66"/>
    </row>
    <row r="268" spans="2:61" s="1" customFormat="1">
      <c r="B268" s="4"/>
      <c r="C268" s="4" t="s">
        <v>612</v>
      </c>
      <c r="D268" s="1365"/>
      <c r="E268" s="1365"/>
      <c r="F268" s="1365">
        <f t="shared" si="172"/>
        <v>0</v>
      </c>
      <c r="G268" s="1365">
        <f t="shared" si="171"/>
        <v>0</v>
      </c>
      <c r="H268" s="1365">
        <f t="shared" si="173"/>
        <v>0</v>
      </c>
      <c r="I268" s="1384"/>
      <c r="J268" s="1365"/>
      <c r="K268" s="1384"/>
      <c r="L268" s="1365"/>
      <c r="M268" s="1365">
        <f t="shared" si="176"/>
        <v>0</v>
      </c>
      <c r="N268" s="2259"/>
      <c r="O268" s="1058"/>
      <c r="P268" s="1482"/>
      <c r="Q268" s="1365"/>
      <c r="R268" s="1482">
        <f t="shared" si="174"/>
        <v>0</v>
      </c>
      <c r="S268" s="1481"/>
      <c r="T268" s="1482"/>
      <c r="U268" s="1481"/>
      <c r="V268" s="1482"/>
      <c r="W268" s="1482">
        <f t="shared" si="177"/>
        <v>0</v>
      </c>
      <c r="X268" s="1187"/>
      <c r="Y268" s="90"/>
      <c r="Z268" s="697"/>
      <c r="AA268" s="697">
        <f t="shared" si="175"/>
        <v>0</v>
      </c>
      <c r="AB268" s="253"/>
      <c r="AC268" s="90"/>
      <c r="AD268" s="253"/>
      <c r="AE268" s="90"/>
      <c r="AF268" s="697">
        <f t="shared" si="178"/>
        <v>0</v>
      </c>
      <c r="AG268" s="697"/>
      <c r="AH268" s="207"/>
      <c r="AI268" s="140">
        <v>0</v>
      </c>
      <c r="AJ268" s="140"/>
      <c r="AK268" s="140"/>
      <c r="AL268" s="673"/>
      <c r="AM268" s="140"/>
      <c r="AN268" s="140"/>
      <c r="AO268" s="140">
        <f t="shared" si="179"/>
        <v>0</v>
      </c>
      <c r="AP268" s="437"/>
      <c r="AQ268" s="140"/>
      <c r="AR268" s="437"/>
      <c r="AS268" s="140"/>
      <c r="AT268" s="140">
        <f t="shared" si="180"/>
        <v>0</v>
      </c>
      <c r="AU268" s="66"/>
      <c r="AV268" s="140"/>
      <c r="AW268" s="140"/>
      <c r="AX268" s="140">
        <f t="shared" si="181"/>
        <v>0</v>
      </c>
      <c r="AY268" s="437"/>
      <c r="AZ268" s="140"/>
      <c r="BA268" s="437"/>
      <c r="BB268" s="140"/>
      <c r="BC268" s="140">
        <f t="shared" si="182"/>
        <v>0</v>
      </c>
      <c r="BD268" s="140"/>
      <c r="BE268" s="40"/>
      <c r="BF268" s="235">
        <v>0</v>
      </c>
      <c r="BG268" s="66"/>
      <c r="BH268" s="235">
        <v>27105707842</v>
      </c>
      <c r="BI268" s="66"/>
    </row>
    <row r="269" spans="2:61" s="1" customFormat="1">
      <c r="B269" s="4"/>
      <c r="C269" s="44" t="s">
        <v>613</v>
      </c>
      <c r="D269" s="1374"/>
      <c r="E269" s="1374"/>
      <c r="F269" s="1365">
        <f t="shared" si="172"/>
        <v>0</v>
      </c>
      <c r="G269" s="1365">
        <f t="shared" si="171"/>
        <v>0</v>
      </c>
      <c r="H269" s="1374">
        <f t="shared" si="173"/>
        <v>0</v>
      </c>
      <c r="I269" s="1943"/>
      <c r="J269" s="1374"/>
      <c r="K269" s="1943"/>
      <c r="L269" s="1374"/>
      <c r="M269" s="1374">
        <f t="shared" si="176"/>
        <v>0</v>
      </c>
      <c r="N269" s="2259"/>
      <c r="O269" s="1058"/>
      <c r="P269" s="1497"/>
      <c r="Q269" s="1374"/>
      <c r="R269" s="1497">
        <f t="shared" si="174"/>
        <v>0</v>
      </c>
      <c r="S269" s="1487"/>
      <c r="T269" s="1497"/>
      <c r="U269" s="1487"/>
      <c r="V269" s="1497"/>
      <c r="W269" s="1497">
        <f t="shared" si="177"/>
        <v>0</v>
      </c>
      <c r="X269" s="1187"/>
      <c r="Y269" s="236"/>
      <c r="Z269" s="713"/>
      <c r="AA269" s="713">
        <f t="shared" si="175"/>
        <v>0</v>
      </c>
      <c r="AB269" s="617"/>
      <c r="AC269" s="236"/>
      <c r="AD269" s="617"/>
      <c r="AE269" s="236"/>
      <c r="AF269" s="713">
        <f t="shared" si="178"/>
        <v>0</v>
      </c>
      <c r="AG269" s="713"/>
      <c r="AH269" s="207"/>
      <c r="AI269" s="140">
        <v>0</v>
      </c>
      <c r="AJ269" s="140"/>
      <c r="AK269" s="140"/>
      <c r="AL269" s="673"/>
      <c r="AM269" s="140"/>
      <c r="AN269" s="140"/>
      <c r="AO269" s="140">
        <f t="shared" si="179"/>
        <v>0</v>
      </c>
      <c r="AP269" s="437"/>
      <c r="AQ269" s="140"/>
      <c r="AR269" s="437"/>
      <c r="AS269" s="140"/>
      <c r="AT269" s="140">
        <f t="shared" si="180"/>
        <v>0</v>
      </c>
      <c r="AU269" s="66"/>
      <c r="AV269" s="140"/>
      <c r="AW269" s="140"/>
      <c r="AX269" s="140">
        <f t="shared" si="181"/>
        <v>0</v>
      </c>
      <c r="AY269" s="437"/>
      <c r="AZ269" s="140"/>
      <c r="BA269" s="437"/>
      <c r="BB269" s="140"/>
      <c r="BC269" s="140">
        <f t="shared" si="182"/>
        <v>0</v>
      </c>
      <c r="BD269" s="140"/>
      <c r="BE269" s="40"/>
      <c r="BF269" s="235">
        <v>0</v>
      </c>
      <c r="BG269" s="66"/>
      <c r="BH269" s="235">
        <v>29655853201</v>
      </c>
      <c r="BI269" s="66"/>
    </row>
    <row r="270" spans="2:61" s="1" customFormat="1">
      <c r="B270" s="2" t="s">
        <v>614</v>
      </c>
      <c r="C270" s="4"/>
      <c r="D270" s="1365"/>
      <c r="E270" s="1365"/>
      <c r="F270" s="1365">
        <f t="shared" si="172"/>
        <v>0</v>
      </c>
      <c r="G270" s="1365">
        <f t="shared" si="171"/>
        <v>0</v>
      </c>
      <c r="H270" s="1365">
        <f t="shared" si="173"/>
        <v>0</v>
      </c>
      <c r="I270" s="1384"/>
      <c r="J270" s="1365"/>
      <c r="K270" s="1384"/>
      <c r="L270" s="1365"/>
      <c r="M270" s="1365">
        <f t="shared" si="176"/>
        <v>0</v>
      </c>
      <c r="N270" s="2259"/>
      <c r="O270" s="1058"/>
      <c r="P270" s="1482"/>
      <c r="Q270" s="1365"/>
      <c r="R270" s="1482">
        <f t="shared" si="174"/>
        <v>0</v>
      </c>
      <c r="S270" s="1481"/>
      <c r="T270" s="1482"/>
      <c r="U270" s="1481"/>
      <c r="V270" s="1482"/>
      <c r="W270" s="1482">
        <f t="shared" si="177"/>
        <v>0</v>
      </c>
      <c r="X270" s="1187"/>
      <c r="Y270" s="90"/>
      <c r="Z270" s="697"/>
      <c r="AA270" s="697">
        <f t="shared" si="175"/>
        <v>0</v>
      </c>
      <c r="AB270" s="253"/>
      <c r="AC270" s="90"/>
      <c r="AD270" s="253"/>
      <c r="AE270" s="90"/>
      <c r="AF270" s="697">
        <f t="shared" si="178"/>
        <v>0</v>
      </c>
      <c r="AG270" s="697"/>
      <c r="AH270" s="207"/>
      <c r="AI270" s="140"/>
      <c r="AJ270" s="140"/>
      <c r="AK270" s="140"/>
      <c r="AL270" s="673"/>
      <c r="AM270" s="140"/>
      <c r="AN270" s="140"/>
      <c r="AO270" s="140">
        <f t="shared" si="179"/>
        <v>0</v>
      </c>
      <c r="AP270" s="437"/>
      <c r="AQ270" s="140"/>
      <c r="AR270" s="437"/>
      <c r="AS270" s="140"/>
      <c r="AT270" s="140">
        <f t="shared" si="180"/>
        <v>0</v>
      </c>
      <c r="AU270" s="66"/>
      <c r="AV270" s="140"/>
      <c r="AW270" s="140"/>
      <c r="AX270" s="140">
        <f t="shared" si="181"/>
        <v>0</v>
      </c>
      <c r="AY270" s="437"/>
      <c r="AZ270" s="140"/>
      <c r="BA270" s="437"/>
      <c r="BB270" s="140"/>
      <c r="BC270" s="140">
        <f t="shared" si="182"/>
        <v>0</v>
      </c>
      <c r="BD270" s="140"/>
      <c r="BE270" s="40"/>
      <c r="BF270" s="235"/>
      <c r="BG270" s="66"/>
      <c r="BH270" s="235"/>
      <c r="BI270" s="66"/>
    </row>
    <row r="271" spans="2:61" s="1" customFormat="1">
      <c r="B271" s="4"/>
      <c r="C271" s="4" t="s">
        <v>614</v>
      </c>
      <c r="D271" s="1365"/>
      <c r="E271" s="1365"/>
      <c r="F271" s="1365">
        <f t="shared" si="172"/>
        <v>0</v>
      </c>
      <c r="G271" s="1365">
        <f t="shared" si="171"/>
        <v>0</v>
      </c>
      <c r="H271" s="1365">
        <f t="shared" si="173"/>
        <v>0</v>
      </c>
      <c r="I271" s="1384"/>
      <c r="J271" s="1365"/>
      <c r="K271" s="1384"/>
      <c r="L271" s="1365"/>
      <c r="M271" s="1365">
        <f t="shared" si="176"/>
        <v>0</v>
      </c>
      <c r="N271" s="2259"/>
      <c r="O271" s="1058"/>
      <c r="P271" s="1482"/>
      <c r="Q271" s="1365"/>
      <c r="R271" s="1482">
        <f t="shared" si="174"/>
        <v>0</v>
      </c>
      <c r="S271" s="1481"/>
      <c r="T271" s="1482"/>
      <c r="U271" s="1481"/>
      <c r="V271" s="1482"/>
      <c r="W271" s="1482">
        <f t="shared" si="177"/>
        <v>0</v>
      </c>
      <c r="X271" s="1187"/>
      <c r="Y271" s="90"/>
      <c r="Z271" s="697"/>
      <c r="AA271" s="697">
        <f t="shared" si="175"/>
        <v>0</v>
      </c>
      <c r="AB271" s="253"/>
      <c r="AC271" s="90"/>
      <c r="AD271" s="253"/>
      <c r="AE271" s="90"/>
      <c r="AF271" s="697">
        <f t="shared" si="178"/>
        <v>0</v>
      </c>
      <c r="AG271" s="697"/>
      <c r="AH271" s="207"/>
      <c r="AI271" s="140">
        <v>0</v>
      </c>
      <c r="AJ271" s="140"/>
      <c r="AK271" s="140"/>
      <c r="AL271" s="673"/>
      <c r="AM271" s="140"/>
      <c r="AN271" s="140"/>
      <c r="AO271" s="140">
        <f t="shared" si="179"/>
        <v>0</v>
      </c>
      <c r="AP271" s="437"/>
      <c r="AQ271" s="140"/>
      <c r="AR271" s="437"/>
      <c r="AS271" s="140"/>
      <c r="AT271" s="140">
        <f t="shared" si="180"/>
        <v>0</v>
      </c>
      <c r="AU271" s="66"/>
      <c r="AV271" s="140"/>
      <c r="AW271" s="140"/>
      <c r="AX271" s="140">
        <f t="shared" si="181"/>
        <v>0</v>
      </c>
      <c r="AY271" s="437"/>
      <c r="AZ271" s="140"/>
      <c r="BA271" s="437"/>
      <c r="BB271" s="140"/>
      <c r="BC271" s="140">
        <f t="shared" si="182"/>
        <v>0</v>
      </c>
      <c r="BD271" s="140"/>
      <c r="BE271" s="40"/>
      <c r="BF271" s="235">
        <v>0</v>
      </c>
      <c r="BG271" s="66"/>
      <c r="BH271" s="235">
        <v>0</v>
      </c>
      <c r="BI271" s="66"/>
    </row>
    <row r="272" spans="2:61" s="1" customFormat="1">
      <c r="B272" s="2" t="s">
        <v>615</v>
      </c>
      <c r="C272" s="4"/>
      <c r="D272" s="1365"/>
      <c r="E272" s="1365"/>
      <c r="F272" s="1365">
        <f t="shared" si="172"/>
        <v>0</v>
      </c>
      <c r="G272" s="1365">
        <f t="shared" si="171"/>
        <v>0</v>
      </c>
      <c r="H272" s="1365">
        <f t="shared" si="173"/>
        <v>0</v>
      </c>
      <c r="I272" s="1384"/>
      <c r="J272" s="1365"/>
      <c r="K272" s="1384"/>
      <c r="L272" s="1365"/>
      <c r="M272" s="1365">
        <f t="shared" si="176"/>
        <v>0</v>
      </c>
      <c r="N272" s="2259"/>
      <c r="O272" s="1058"/>
      <c r="P272" s="1482"/>
      <c r="Q272" s="1365"/>
      <c r="R272" s="1482">
        <f t="shared" si="174"/>
        <v>0</v>
      </c>
      <c r="S272" s="1481"/>
      <c r="T272" s="1482"/>
      <c r="U272" s="1481"/>
      <c r="V272" s="1482"/>
      <c r="W272" s="1482">
        <f t="shared" si="177"/>
        <v>0</v>
      </c>
      <c r="X272" s="1187"/>
      <c r="Y272" s="90"/>
      <c r="Z272" s="697"/>
      <c r="AA272" s="697">
        <f t="shared" si="175"/>
        <v>0</v>
      </c>
      <c r="AB272" s="253"/>
      <c r="AC272" s="90"/>
      <c r="AD272" s="253"/>
      <c r="AE272" s="90"/>
      <c r="AF272" s="697">
        <f t="shared" si="178"/>
        <v>0</v>
      </c>
      <c r="AG272" s="697"/>
      <c r="AH272" s="207"/>
      <c r="AI272" s="140"/>
      <c r="AJ272" s="140"/>
      <c r="AK272" s="140"/>
      <c r="AL272" s="673"/>
      <c r="AM272" s="140"/>
      <c r="AN272" s="140"/>
      <c r="AO272" s="140">
        <f t="shared" si="179"/>
        <v>0</v>
      </c>
      <c r="AP272" s="437"/>
      <c r="AQ272" s="140"/>
      <c r="AR272" s="437"/>
      <c r="AS272" s="140"/>
      <c r="AT272" s="140">
        <f t="shared" si="180"/>
        <v>0</v>
      </c>
      <c r="AU272" s="66"/>
      <c r="AV272" s="140"/>
      <c r="AW272" s="140"/>
      <c r="AX272" s="140">
        <f t="shared" si="181"/>
        <v>0</v>
      </c>
      <c r="AY272" s="437"/>
      <c r="AZ272" s="140"/>
      <c r="BA272" s="437"/>
      <c r="BB272" s="140"/>
      <c r="BC272" s="140">
        <f t="shared" si="182"/>
        <v>0</v>
      </c>
      <c r="BD272" s="140"/>
      <c r="BE272" s="40"/>
      <c r="BF272" s="235"/>
      <c r="BG272" s="66"/>
      <c r="BH272" s="235"/>
      <c r="BI272" s="66"/>
    </row>
    <row r="273" spans="2:61" s="1" customFormat="1">
      <c r="B273" s="2" t="s">
        <v>616</v>
      </c>
      <c r="C273" s="4" t="s">
        <v>617</v>
      </c>
      <c r="D273" s="1365"/>
      <c r="E273" s="1365"/>
      <c r="F273" s="1365">
        <f t="shared" si="172"/>
        <v>0</v>
      </c>
      <c r="G273" s="1365">
        <f t="shared" ref="G273:G337" si="183">F273-H273</f>
        <v>0</v>
      </c>
      <c r="H273" s="1365">
        <f t="shared" si="173"/>
        <v>0</v>
      </c>
      <c r="I273" s="1384"/>
      <c r="J273" s="1365"/>
      <c r="K273" s="1384"/>
      <c r="L273" s="1365"/>
      <c r="M273" s="1365">
        <f t="shared" si="176"/>
        <v>0</v>
      </c>
      <c r="N273" s="2259"/>
      <c r="O273" s="1058"/>
      <c r="P273" s="1482"/>
      <c r="Q273" s="1365"/>
      <c r="R273" s="1482">
        <f t="shared" si="174"/>
        <v>0</v>
      </c>
      <c r="S273" s="1481"/>
      <c r="T273" s="1482"/>
      <c r="U273" s="1481"/>
      <c r="V273" s="1482"/>
      <c r="W273" s="1482">
        <f t="shared" si="177"/>
        <v>0</v>
      </c>
      <c r="X273" s="1187"/>
      <c r="Y273" s="90"/>
      <c r="Z273" s="697"/>
      <c r="AA273" s="697">
        <f t="shared" si="175"/>
        <v>0</v>
      </c>
      <c r="AB273" s="253"/>
      <c r="AC273" s="90"/>
      <c r="AD273" s="253"/>
      <c r="AE273" s="90"/>
      <c r="AF273" s="697">
        <f t="shared" si="178"/>
        <v>0</v>
      </c>
      <c r="AG273" s="697"/>
      <c r="AH273" s="207"/>
      <c r="AI273" s="140">
        <v>0</v>
      </c>
      <c r="AJ273" s="140"/>
      <c r="AK273" s="140"/>
      <c r="AL273" s="673"/>
      <c r="AM273" s="140"/>
      <c r="AN273" s="140"/>
      <c r="AO273" s="140">
        <f t="shared" si="179"/>
        <v>0</v>
      </c>
      <c r="AP273" s="437"/>
      <c r="AQ273" s="140"/>
      <c r="AR273" s="437"/>
      <c r="AS273" s="140"/>
      <c r="AT273" s="140">
        <f t="shared" si="180"/>
        <v>0</v>
      </c>
      <c r="AU273" s="66"/>
      <c r="AV273" s="140"/>
      <c r="AW273" s="140"/>
      <c r="AX273" s="140">
        <f t="shared" si="181"/>
        <v>0</v>
      </c>
      <c r="AY273" s="437"/>
      <c r="AZ273" s="140"/>
      <c r="BA273" s="437"/>
      <c r="BB273" s="140"/>
      <c r="BC273" s="140">
        <f t="shared" si="182"/>
        <v>0</v>
      </c>
      <c r="BD273" s="140"/>
      <c r="BE273" s="40"/>
      <c r="BF273" s="235">
        <v>13134191795</v>
      </c>
      <c r="BG273" s="66"/>
      <c r="BH273" s="235">
        <v>0</v>
      </c>
      <c r="BI273" s="66"/>
    </row>
    <row r="274" spans="2:61" s="1" customFormat="1">
      <c r="B274" s="2"/>
      <c r="C274" s="4" t="s">
        <v>618</v>
      </c>
      <c r="D274" s="1365"/>
      <c r="E274" s="1365">
        <v>39848889050</v>
      </c>
      <c r="F274" s="1365">
        <f t="shared" si="172"/>
        <v>39848889050</v>
      </c>
      <c r="G274" s="1365">
        <f t="shared" si="183"/>
        <v>0</v>
      </c>
      <c r="H274" s="1365">
        <f t="shared" si="173"/>
        <v>39848889050</v>
      </c>
      <c r="I274" s="1384"/>
      <c r="J274" s="1365"/>
      <c r="K274" s="1384"/>
      <c r="L274" s="1365"/>
      <c r="M274" s="1365">
        <f t="shared" si="176"/>
        <v>39848889050</v>
      </c>
      <c r="N274" s="2259"/>
      <c r="O274" s="1058"/>
      <c r="P274" s="1482"/>
      <c r="Q274" s="1373">
        <v>25229943029</v>
      </c>
      <c r="R274" s="1482">
        <f t="shared" si="174"/>
        <v>25229943029</v>
      </c>
      <c r="S274" s="1481"/>
      <c r="T274" s="1482"/>
      <c r="U274" s="1481"/>
      <c r="V274" s="1482"/>
      <c r="W274" s="1482">
        <f t="shared" si="177"/>
        <v>25229943029</v>
      </c>
      <c r="X274" s="1187"/>
      <c r="Y274" s="90"/>
      <c r="Z274" s="697">
        <v>15468937211</v>
      </c>
      <c r="AA274" s="697">
        <f t="shared" si="175"/>
        <v>15468937211</v>
      </c>
      <c r="AB274" s="253"/>
      <c r="AC274" s="90"/>
      <c r="AD274" s="253"/>
      <c r="AE274" s="90"/>
      <c r="AF274" s="697">
        <f t="shared" si="178"/>
        <v>15468937211</v>
      </c>
      <c r="AG274" s="697"/>
      <c r="AH274" s="207"/>
      <c r="AI274" s="140">
        <v>18083600543</v>
      </c>
      <c r="AJ274" s="140"/>
      <c r="AK274" s="140"/>
      <c r="AL274" s="673"/>
      <c r="AM274" s="1363">
        <v>31768780647</v>
      </c>
      <c r="AN274" s="140">
        <v>27507080547</v>
      </c>
      <c r="AO274" s="140">
        <f t="shared" si="179"/>
        <v>59275861194</v>
      </c>
      <c r="AP274" s="437"/>
      <c r="AQ274" s="140"/>
      <c r="AR274" s="437"/>
      <c r="AS274" s="140"/>
      <c r="AT274" s="140">
        <f t="shared" si="180"/>
        <v>59275861194</v>
      </c>
      <c r="AU274" s="66"/>
      <c r="AV274" s="140"/>
      <c r="AW274" s="140">
        <v>19041318075</v>
      </c>
      <c r="AX274" s="140">
        <f t="shared" si="181"/>
        <v>19041318075</v>
      </c>
      <c r="AY274" s="437"/>
      <c r="AZ274" s="140"/>
      <c r="BA274" s="437"/>
      <c r="BB274" s="140"/>
      <c r="BC274" s="140">
        <f t="shared" si="182"/>
        <v>19041318075</v>
      </c>
      <c r="BD274" s="140"/>
      <c r="BE274" s="40"/>
      <c r="BF274" s="235">
        <v>41444942607</v>
      </c>
      <c r="BG274" s="66"/>
      <c r="BH274" s="235">
        <v>0</v>
      </c>
      <c r="BI274" s="66"/>
    </row>
    <row r="275" spans="2:61" s="1" customFormat="1">
      <c r="B275" s="2"/>
      <c r="C275" s="4" t="s">
        <v>619</v>
      </c>
      <c r="D275" s="1365"/>
      <c r="E275" s="1365">
        <v>17650000000</v>
      </c>
      <c r="F275" s="1365">
        <f t="shared" ref="F275:F339" si="184">D275+E275</f>
        <v>17650000000</v>
      </c>
      <c r="G275" s="1365">
        <f t="shared" si="183"/>
        <v>0</v>
      </c>
      <c r="H275" s="1365">
        <f t="shared" si="173"/>
        <v>17650000000</v>
      </c>
      <c r="I275" s="1384"/>
      <c r="J275" s="1365"/>
      <c r="K275" s="1384"/>
      <c r="L275" s="1365"/>
      <c r="M275" s="1365">
        <f t="shared" si="176"/>
        <v>17650000000</v>
      </c>
      <c r="N275" s="2259"/>
      <c r="O275" s="1058"/>
      <c r="P275" s="1482"/>
      <c r="Q275" s="1373">
        <v>16700000000</v>
      </c>
      <c r="R275" s="1482">
        <f t="shared" si="174"/>
        <v>16700000000</v>
      </c>
      <c r="S275" s="1481"/>
      <c r="T275" s="1482"/>
      <c r="U275" s="1481"/>
      <c r="V275" s="1482"/>
      <c r="W275" s="1482">
        <f t="shared" si="177"/>
        <v>16700000000</v>
      </c>
      <c r="X275" s="1187"/>
      <c r="Y275" s="90"/>
      <c r="Z275" s="697">
        <v>18285319724</v>
      </c>
      <c r="AA275" s="697">
        <f t="shared" si="175"/>
        <v>18285319724</v>
      </c>
      <c r="AB275" s="253"/>
      <c r="AC275" s="90"/>
      <c r="AD275" s="253"/>
      <c r="AE275" s="90"/>
      <c r="AF275" s="697">
        <f t="shared" si="178"/>
        <v>18285319724</v>
      </c>
      <c r="AG275" s="697"/>
      <c r="AH275" s="207"/>
      <c r="AI275" s="140">
        <v>29800000000</v>
      </c>
      <c r="AJ275" s="140"/>
      <c r="AK275" s="140"/>
      <c r="AL275" s="673"/>
      <c r="AM275" s="140"/>
      <c r="AN275" s="140">
        <v>23950000000</v>
      </c>
      <c r="AO275" s="140">
        <f t="shared" si="179"/>
        <v>23950000000</v>
      </c>
      <c r="AP275" s="437"/>
      <c r="AQ275" s="140"/>
      <c r="AR275" s="437"/>
      <c r="AS275" s="140"/>
      <c r="AT275" s="140">
        <f t="shared" si="180"/>
        <v>23950000000</v>
      </c>
      <c r="AU275" s="66"/>
      <c r="AV275" s="140"/>
      <c r="AW275" s="140">
        <v>29850000000</v>
      </c>
      <c r="AX275" s="140">
        <f t="shared" si="181"/>
        <v>29850000000</v>
      </c>
      <c r="AY275" s="437"/>
      <c r="AZ275" s="140"/>
      <c r="BA275" s="437"/>
      <c r="BB275" s="140"/>
      <c r="BC275" s="140">
        <f t="shared" si="182"/>
        <v>29850000000</v>
      </c>
      <c r="BD275" s="140"/>
      <c r="BE275" s="40"/>
      <c r="BF275" s="235">
        <v>18000000000</v>
      </c>
      <c r="BG275" s="66"/>
      <c r="BH275" s="235">
        <v>0</v>
      </c>
      <c r="BI275" s="66"/>
    </row>
    <row r="276" spans="2:61" s="1" customFormat="1">
      <c r="B276" s="2" t="s">
        <v>620</v>
      </c>
      <c r="C276" s="4" t="s">
        <v>621</v>
      </c>
      <c r="D276" s="1365"/>
      <c r="E276" s="1365"/>
      <c r="F276" s="1365">
        <f t="shared" si="184"/>
        <v>0</v>
      </c>
      <c r="G276" s="1365">
        <f t="shared" si="183"/>
        <v>0</v>
      </c>
      <c r="H276" s="1365">
        <f t="shared" si="173"/>
        <v>0</v>
      </c>
      <c r="I276" s="1384"/>
      <c r="J276" s="1365"/>
      <c r="K276" s="1384"/>
      <c r="L276" s="1365"/>
      <c r="M276" s="1373">
        <f t="shared" si="176"/>
        <v>0</v>
      </c>
      <c r="N276" s="2259"/>
      <c r="O276" s="1058"/>
      <c r="P276" s="1482"/>
      <c r="Q276" s="1365"/>
      <c r="R276" s="1482">
        <f t="shared" si="174"/>
        <v>0</v>
      </c>
      <c r="S276" s="1481"/>
      <c r="T276" s="1482"/>
      <c r="U276" s="1481"/>
      <c r="V276" s="1482"/>
      <c r="W276" s="1482">
        <f t="shared" si="177"/>
        <v>0</v>
      </c>
      <c r="X276" s="1187"/>
      <c r="Y276" s="90"/>
      <c r="Z276" s="697">
        <v>0</v>
      </c>
      <c r="AA276" s="697">
        <f t="shared" si="175"/>
        <v>0</v>
      </c>
      <c r="AB276" s="253"/>
      <c r="AC276" s="90"/>
      <c r="AD276" s="253"/>
      <c r="AE276" s="90"/>
      <c r="AF276" s="697">
        <f t="shared" si="178"/>
        <v>0</v>
      </c>
      <c r="AG276" s="697"/>
      <c r="AH276" s="207"/>
      <c r="AI276" s="140">
        <v>0</v>
      </c>
      <c r="AJ276" s="140"/>
      <c r="AK276" s="140"/>
      <c r="AL276" s="673"/>
      <c r="AM276" s="140"/>
      <c r="AN276" s="140">
        <v>1956496628</v>
      </c>
      <c r="AO276" s="140">
        <f t="shared" si="179"/>
        <v>1956496628</v>
      </c>
      <c r="AP276" s="437"/>
      <c r="AQ276" s="140"/>
      <c r="AR276" s="437"/>
      <c r="AS276" s="140"/>
      <c r="AT276" s="140">
        <f t="shared" si="180"/>
        <v>1956496628</v>
      </c>
      <c r="AU276" s="66"/>
      <c r="AV276" s="140"/>
      <c r="AW276" s="140">
        <v>4607017282</v>
      </c>
      <c r="AX276" s="140">
        <f t="shared" si="181"/>
        <v>4607017282</v>
      </c>
      <c r="AY276" s="437"/>
      <c r="AZ276" s="140"/>
      <c r="BA276" s="437"/>
      <c r="BB276" s="140"/>
      <c r="BC276" s="140">
        <f t="shared" si="182"/>
        <v>4607017282</v>
      </c>
      <c r="BD276" s="140"/>
      <c r="BE276" s="40"/>
      <c r="BF276" s="235">
        <v>7882111937</v>
      </c>
      <c r="BG276" s="66"/>
      <c r="BH276" s="235">
        <v>0</v>
      </c>
      <c r="BI276" s="66"/>
    </row>
    <row r="277" spans="2:61" s="1" customFormat="1">
      <c r="B277" s="2"/>
      <c r="C277" s="4"/>
      <c r="D277" s="1365"/>
      <c r="E277" s="1365"/>
      <c r="F277" s="1365">
        <f t="shared" si="184"/>
        <v>0</v>
      </c>
      <c r="G277" s="1365">
        <f t="shared" si="183"/>
        <v>0</v>
      </c>
      <c r="H277" s="1365">
        <f t="shared" si="173"/>
        <v>0</v>
      </c>
      <c r="I277" s="1384"/>
      <c r="J277" s="1365"/>
      <c r="K277" s="1384"/>
      <c r="L277" s="1365"/>
      <c r="M277" s="1365">
        <f t="shared" si="176"/>
        <v>0</v>
      </c>
      <c r="N277" s="2259"/>
      <c r="O277" s="1058"/>
      <c r="P277" s="1482"/>
      <c r="Q277" s="1365"/>
      <c r="R277" s="1482">
        <f t="shared" si="174"/>
        <v>0</v>
      </c>
      <c r="S277" s="1481"/>
      <c r="T277" s="1482"/>
      <c r="U277" s="1481"/>
      <c r="V277" s="1482"/>
      <c r="W277" s="1482">
        <f t="shared" si="177"/>
        <v>0</v>
      </c>
      <c r="X277" s="1187"/>
      <c r="Y277" s="90"/>
      <c r="Z277" s="697">
        <v>0</v>
      </c>
      <c r="AA277" s="697">
        <f t="shared" si="175"/>
        <v>0</v>
      </c>
      <c r="AB277" s="253"/>
      <c r="AC277" s="90"/>
      <c r="AD277" s="253"/>
      <c r="AE277" s="90"/>
      <c r="AF277" s="697">
        <f t="shared" si="178"/>
        <v>0</v>
      </c>
      <c r="AG277" s="697"/>
      <c r="AH277" s="207"/>
      <c r="AI277" s="140"/>
      <c r="AJ277" s="140"/>
      <c r="AK277" s="140"/>
      <c r="AL277" s="673"/>
      <c r="AM277" s="140"/>
      <c r="AN277" s="140"/>
      <c r="AO277" s="140">
        <f t="shared" si="179"/>
        <v>0</v>
      </c>
      <c r="AP277" s="437"/>
      <c r="AQ277" s="140"/>
      <c r="AR277" s="437"/>
      <c r="AS277" s="140"/>
      <c r="AT277" s="140">
        <f t="shared" si="180"/>
        <v>0</v>
      </c>
      <c r="AU277" s="66"/>
      <c r="AV277" s="140"/>
      <c r="AW277" s="140"/>
      <c r="AX277" s="140">
        <f t="shared" si="181"/>
        <v>0</v>
      </c>
      <c r="AY277" s="437"/>
      <c r="AZ277" s="140"/>
      <c r="BA277" s="437"/>
      <c r="BB277" s="140"/>
      <c r="BC277" s="140">
        <f t="shared" si="182"/>
        <v>0</v>
      </c>
      <c r="BD277" s="140"/>
      <c r="BE277" s="40"/>
      <c r="BF277" s="235"/>
      <c r="BG277" s="66"/>
      <c r="BH277" s="235"/>
      <c r="BI277" s="66"/>
    </row>
    <row r="278" spans="2:61" s="1" customFormat="1">
      <c r="B278" s="2" t="s">
        <v>622</v>
      </c>
      <c r="C278" s="4" t="s">
        <v>623</v>
      </c>
      <c r="D278" s="1365"/>
      <c r="E278" s="1365"/>
      <c r="F278" s="1365">
        <f t="shared" si="184"/>
        <v>0</v>
      </c>
      <c r="G278" s="1365">
        <f t="shared" si="183"/>
        <v>0</v>
      </c>
      <c r="H278" s="1365">
        <f t="shared" si="173"/>
        <v>0</v>
      </c>
      <c r="I278" s="1384"/>
      <c r="J278" s="1365"/>
      <c r="K278" s="1384"/>
      <c r="L278" s="1365"/>
      <c r="M278" s="1365">
        <f t="shared" si="176"/>
        <v>0</v>
      </c>
      <c r="N278" s="2259"/>
      <c r="O278" s="1058"/>
      <c r="P278" s="1482"/>
      <c r="Q278" s="1373">
        <v>900894064</v>
      </c>
      <c r="R278" s="1482">
        <f t="shared" si="174"/>
        <v>900894064</v>
      </c>
      <c r="S278" s="1481"/>
      <c r="T278" s="1482"/>
      <c r="U278" s="1481"/>
      <c r="V278" s="1482"/>
      <c r="W278" s="1482">
        <f t="shared" si="177"/>
        <v>900894064</v>
      </c>
      <c r="X278" s="1187"/>
      <c r="Y278" s="90"/>
      <c r="Z278" s="697">
        <v>1869894064</v>
      </c>
      <c r="AA278" s="697">
        <f t="shared" si="175"/>
        <v>1869894064</v>
      </c>
      <c r="AB278" s="253"/>
      <c r="AC278" s="90"/>
      <c r="AD278" s="253"/>
      <c r="AE278" s="90"/>
      <c r="AF278" s="697">
        <f t="shared" si="178"/>
        <v>1869894064</v>
      </c>
      <c r="AG278" s="697"/>
      <c r="AH278" s="207"/>
      <c r="AI278" s="140">
        <v>3807894064</v>
      </c>
      <c r="AJ278" s="140"/>
      <c r="AK278" s="140"/>
      <c r="AL278" s="673"/>
      <c r="AM278" s="140"/>
      <c r="AN278" s="140">
        <v>4776894064</v>
      </c>
      <c r="AO278" s="140">
        <f t="shared" si="179"/>
        <v>4776894064</v>
      </c>
      <c r="AP278" s="437"/>
      <c r="AQ278" s="140"/>
      <c r="AR278" s="437"/>
      <c r="AS278" s="140"/>
      <c r="AT278" s="1567">
        <f t="shared" si="180"/>
        <v>4776894064</v>
      </c>
      <c r="AU278" s="66"/>
      <c r="AV278" s="140"/>
      <c r="AW278" s="140">
        <v>623298022</v>
      </c>
      <c r="AX278" s="140">
        <f t="shared" si="181"/>
        <v>623298022</v>
      </c>
      <c r="AY278" s="437"/>
      <c r="AZ278" s="140"/>
      <c r="BA278" s="437"/>
      <c r="BB278" s="140"/>
      <c r="BC278" s="140">
        <f t="shared" si="182"/>
        <v>623298022</v>
      </c>
      <c r="BD278" s="140"/>
      <c r="BE278" s="39"/>
      <c r="BF278" s="235">
        <v>2561298022</v>
      </c>
      <c r="BG278" s="66"/>
      <c r="BH278" s="235"/>
      <c r="BI278" s="66"/>
    </row>
    <row r="279" spans="2:61" s="1" customFormat="1">
      <c r="B279" s="2" t="s">
        <v>624</v>
      </c>
      <c r="C279" s="4" t="s">
        <v>625</v>
      </c>
      <c r="D279" s="1365"/>
      <c r="E279" s="1365"/>
      <c r="F279" s="1365">
        <f t="shared" si="184"/>
        <v>0</v>
      </c>
      <c r="G279" s="1365">
        <f t="shared" si="183"/>
        <v>0</v>
      </c>
      <c r="H279" s="1365">
        <f t="shared" si="173"/>
        <v>0</v>
      </c>
      <c r="I279" s="1384"/>
      <c r="J279" s="1365"/>
      <c r="K279" s="1384"/>
      <c r="L279" s="1365"/>
      <c r="M279" s="1365">
        <f t="shared" si="176"/>
        <v>0</v>
      </c>
      <c r="N279" s="2259"/>
      <c r="O279" s="1058"/>
      <c r="P279" s="1482"/>
      <c r="Q279" s="1365"/>
      <c r="R279" s="1482">
        <f t="shared" si="174"/>
        <v>0</v>
      </c>
      <c r="S279" s="1481"/>
      <c r="T279" s="1482"/>
      <c r="U279" s="1481"/>
      <c r="V279" s="1482"/>
      <c r="W279" s="1482">
        <f t="shared" si="177"/>
        <v>0</v>
      </c>
      <c r="X279" s="1187"/>
      <c r="Y279" s="90"/>
      <c r="Z279" s="697">
        <v>0</v>
      </c>
      <c r="AA279" s="697">
        <f t="shared" si="175"/>
        <v>0</v>
      </c>
      <c r="AB279" s="253"/>
      <c r="AC279" s="90"/>
      <c r="AD279" s="253"/>
      <c r="AE279" s="90"/>
      <c r="AF279" s="697">
        <f t="shared" si="178"/>
        <v>0</v>
      </c>
      <c r="AG279" s="697"/>
      <c r="AH279" s="207"/>
      <c r="AI279" s="140"/>
      <c r="AJ279" s="140"/>
      <c r="AK279" s="140"/>
      <c r="AL279" s="673"/>
      <c r="AM279" s="140"/>
      <c r="AN279" s="140"/>
      <c r="AO279" s="140">
        <f t="shared" si="179"/>
        <v>0</v>
      </c>
      <c r="AP279" s="437"/>
      <c r="AQ279" s="140"/>
      <c r="AR279" s="437"/>
      <c r="AS279" s="140"/>
      <c r="AT279" s="140">
        <f t="shared" si="180"/>
        <v>0</v>
      </c>
      <c r="AU279" s="66"/>
      <c r="AV279" s="140"/>
      <c r="AW279" s="140"/>
      <c r="AX279" s="140">
        <f t="shared" si="181"/>
        <v>0</v>
      </c>
      <c r="AY279" s="437"/>
      <c r="AZ279" s="140"/>
      <c r="BA279" s="437"/>
      <c r="BB279" s="140"/>
      <c r="BC279" s="140">
        <f t="shared" si="182"/>
        <v>0</v>
      </c>
      <c r="BD279" s="140"/>
      <c r="BE279" s="40"/>
      <c r="BF279" s="235"/>
      <c r="BG279" s="66"/>
      <c r="BH279" s="235">
        <v>3738904843</v>
      </c>
      <c r="BI279" s="66"/>
    </row>
    <row r="280" spans="2:61" s="1" customFormat="1">
      <c r="B280" s="2" t="s">
        <v>626</v>
      </c>
      <c r="C280" s="4"/>
      <c r="D280" s="1365"/>
      <c r="E280" s="1365"/>
      <c r="F280" s="1365">
        <f t="shared" si="184"/>
        <v>0</v>
      </c>
      <c r="G280" s="1365">
        <f t="shared" si="183"/>
        <v>0</v>
      </c>
      <c r="H280" s="1365">
        <f t="shared" si="173"/>
        <v>0</v>
      </c>
      <c r="I280" s="1384"/>
      <c r="J280" s="1365"/>
      <c r="K280" s="1384"/>
      <c r="L280" s="1365"/>
      <c r="M280" s="1365">
        <f t="shared" si="176"/>
        <v>0</v>
      </c>
      <c r="N280" s="2259"/>
      <c r="O280" s="1058"/>
      <c r="P280" s="1482"/>
      <c r="Q280" s="1365"/>
      <c r="R280" s="1482">
        <f t="shared" si="174"/>
        <v>0</v>
      </c>
      <c r="S280" s="1481"/>
      <c r="T280" s="1482"/>
      <c r="U280" s="1481"/>
      <c r="V280" s="1482"/>
      <c r="W280" s="1482">
        <f t="shared" si="177"/>
        <v>0</v>
      </c>
      <c r="X280" s="1187"/>
      <c r="Y280" s="90"/>
      <c r="Z280" s="697">
        <v>0</v>
      </c>
      <c r="AA280" s="697">
        <f t="shared" si="175"/>
        <v>0</v>
      </c>
      <c r="AB280" s="253"/>
      <c r="AC280" s="90"/>
      <c r="AD280" s="253"/>
      <c r="AE280" s="90"/>
      <c r="AF280" s="697">
        <f t="shared" si="178"/>
        <v>0</v>
      </c>
      <c r="AG280" s="697"/>
      <c r="AH280" s="207"/>
      <c r="AI280" s="140"/>
      <c r="AJ280" s="140"/>
      <c r="AK280" s="140"/>
      <c r="AL280" s="673"/>
      <c r="AM280" s="140"/>
      <c r="AN280" s="140"/>
      <c r="AO280" s="140">
        <f t="shared" si="179"/>
        <v>0</v>
      </c>
      <c r="AP280" s="437"/>
      <c r="AQ280" s="140"/>
      <c r="AR280" s="437"/>
      <c r="AS280" s="140"/>
      <c r="AT280" s="140">
        <f t="shared" si="180"/>
        <v>0</v>
      </c>
      <c r="AU280" s="66"/>
      <c r="AV280" s="140"/>
      <c r="AW280" s="140"/>
      <c r="AX280" s="140">
        <f t="shared" si="181"/>
        <v>0</v>
      </c>
      <c r="AY280" s="437"/>
      <c r="AZ280" s="140"/>
      <c r="BA280" s="437"/>
      <c r="BB280" s="140"/>
      <c r="BC280" s="140">
        <f t="shared" si="182"/>
        <v>0</v>
      </c>
      <c r="BD280" s="140"/>
      <c r="BE280" s="40"/>
      <c r="BF280" s="235"/>
      <c r="BG280" s="66"/>
      <c r="BH280" s="235"/>
      <c r="BI280" s="66"/>
    </row>
    <row r="281" spans="2:61" s="1" customFormat="1">
      <c r="B281" s="2"/>
      <c r="C281" s="4" t="s">
        <v>627</v>
      </c>
      <c r="D281" s="1365">
        <v>44349698871</v>
      </c>
      <c r="E281" s="1365"/>
      <c r="F281" s="1365">
        <f t="shared" si="184"/>
        <v>44349698871</v>
      </c>
      <c r="G281" s="1365">
        <f t="shared" si="183"/>
        <v>0</v>
      </c>
      <c r="H281" s="1365">
        <f t="shared" si="173"/>
        <v>44349698871</v>
      </c>
      <c r="I281" s="1384"/>
      <c r="J281" s="1365"/>
      <c r="K281" s="1384"/>
      <c r="L281" s="1365"/>
      <c r="M281" s="1365">
        <f t="shared" si="176"/>
        <v>44349698871</v>
      </c>
      <c r="N281" s="2259"/>
      <c r="O281" s="1058"/>
      <c r="P281" s="1482">
        <v>24548186154</v>
      </c>
      <c r="Q281" s="1365"/>
      <c r="R281" s="1482">
        <f t="shared" si="174"/>
        <v>24548186154</v>
      </c>
      <c r="S281" s="1481"/>
      <c r="T281" s="1482"/>
      <c r="U281" s="1481"/>
      <c r="V281" s="1482"/>
      <c r="W281" s="1482">
        <f t="shared" si="177"/>
        <v>24548186154</v>
      </c>
      <c r="X281" s="1187"/>
      <c r="Y281" s="90">
        <v>22383550813</v>
      </c>
      <c r="Z281" s="697">
        <v>0</v>
      </c>
      <c r="AA281" s="697">
        <f t="shared" si="175"/>
        <v>22383550813</v>
      </c>
      <c r="AB281" s="253"/>
      <c r="AC281" s="90"/>
      <c r="AD281" s="253"/>
      <c r="AE281" s="90"/>
      <c r="AF281" s="697">
        <f t="shared" si="178"/>
        <v>22383550813</v>
      </c>
      <c r="AG281" s="697"/>
      <c r="AH281" s="207"/>
      <c r="AI281" s="140">
        <v>27745785208</v>
      </c>
      <c r="AJ281" s="140"/>
      <c r="AK281" s="140"/>
      <c r="AL281" s="673"/>
      <c r="AM281" s="140"/>
      <c r="AN281" s="140"/>
      <c r="AO281" s="140">
        <f t="shared" si="179"/>
        <v>0</v>
      </c>
      <c r="AP281" s="437"/>
      <c r="AQ281" s="140"/>
      <c r="AR281" s="437"/>
      <c r="AS281" s="140"/>
      <c r="AT281" s="140">
        <f t="shared" si="180"/>
        <v>0</v>
      </c>
      <c r="AU281" s="66"/>
      <c r="AV281" s="140">
        <v>16346176592</v>
      </c>
      <c r="AW281" s="140"/>
      <c r="AX281" s="140">
        <f t="shared" si="181"/>
        <v>16346176592</v>
      </c>
      <c r="AY281" s="437"/>
      <c r="AZ281" s="140"/>
      <c r="BA281" s="437"/>
      <c r="BB281" s="140"/>
      <c r="BC281" s="140">
        <f t="shared" si="182"/>
        <v>16346176592</v>
      </c>
      <c r="BD281" s="140"/>
      <c r="BE281" s="40"/>
      <c r="BF281" s="235"/>
      <c r="BG281" s="66"/>
      <c r="BH281" s="235"/>
      <c r="BI281" s="66"/>
    </row>
    <row r="282" spans="2:61" s="1" customFormat="1">
      <c r="B282" s="2"/>
      <c r="C282" s="4" t="s">
        <v>628</v>
      </c>
      <c r="D282" s="1365">
        <v>0</v>
      </c>
      <c r="E282" s="1365"/>
      <c r="F282" s="1365">
        <f t="shared" si="184"/>
        <v>0</v>
      </c>
      <c r="G282" s="1365">
        <f t="shared" si="183"/>
        <v>0</v>
      </c>
      <c r="H282" s="1365">
        <f t="shared" si="173"/>
        <v>0</v>
      </c>
      <c r="I282" s="1384"/>
      <c r="J282" s="1365"/>
      <c r="K282" s="1384"/>
      <c r="L282" s="1365"/>
      <c r="M282" s="1365">
        <f t="shared" si="176"/>
        <v>0</v>
      </c>
      <c r="N282" s="2259"/>
      <c r="O282" s="1058"/>
      <c r="P282" s="1482"/>
      <c r="Q282" s="1365"/>
      <c r="R282" s="1482">
        <f t="shared" si="174"/>
        <v>0</v>
      </c>
      <c r="S282" s="1481"/>
      <c r="T282" s="1482"/>
      <c r="U282" s="1481"/>
      <c r="V282" s="1482"/>
      <c r="W282" s="1482">
        <f t="shared" si="177"/>
        <v>0</v>
      </c>
      <c r="X282" s="1187"/>
      <c r="Y282" s="90">
        <v>0</v>
      </c>
      <c r="Z282" s="697">
        <v>0</v>
      </c>
      <c r="AA282" s="697">
        <f t="shared" si="175"/>
        <v>0</v>
      </c>
      <c r="AB282" s="253"/>
      <c r="AC282" s="90"/>
      <c r="AD282" s="253"/>
      <c r="AE282" s="90"/>
      <c r="AF282" s="697">
        <f t="shared" si="178"/>
        <v>0</v>
      </c>
      <c r="AG282" s="697"/>
      <c r="AH282" s="673" t="s">
        <v>620</v>
      </c>
      <c r="AI282" s="140">
        <v>33713322258</v>
      </c>
      <c r="AJ282" s="140"/>
      <c r="AK282" s="140"/>
      <c r="AL282" s="673" t="s">
        <v>620</v>
      </c>
      <c r="AM282" s="140"/>
      <c r="AN282" s="140"/>
      <c r="AO282" s="140">
        <f t="shared" si="179"/>
        <v>0</v>
      </c>
      <c r="AP282" s="437"/>
      <c r="AQ282" s="140"/>
      <c r="AR282" s="437"/>
      <c r="AS282" s="140"/>
      <c r="AT282" s="140">
        <f t="shared" si="180"/>
        <v>0</v>
      </c>
      <c r="AU282" s="66"/>
      <c r="AV282" s="140">
        <v>2418158371</v>
      </c>
      <c r="AW282" s="140"/>
      <c r="AX282" s="140">
        <f t="shared" si="181"/>
        <v>2418158371</v>
      </c>
      <c r="AY282" s="437"/>
      <c r="AZ282" s="140"/>
      <c r="BA282" s="437"/>
      <c r="BB282" s="140"/>
      <c r="BC282" s="140">
        <f t="shared" si="182"/>
        <v>2418158371</v>
      </c>
      <c r="BD282" s="140"/>
      <c r="BE282" s="40"/>
      <c r="BF282" s="235"/>
      <c r="BG282" s="66"/>
      <c r="BH282" s="235"/>
      <c r="BI282" s="66"/>
    </row>
    <row r="283" spans="2:61" s="1" customFormat="1">
      <c r="B283" s="2"/>
      <c r="C283" s="4" t="s">
        <v>629</v>
      </c>
      <c r="D283" s="1365">
        <v>0</v>
      </c>
      <c r="E283" s="1365"/>
      <c r="F283" s="1365">
        <f t="shared" si="184"/>
        <v>0</v>
      </c>
      <c r="G283" s="1365">
        <f t="shared" si="183"/>
        <v>0</v>
      </c>
      <c r="H283" s="1365">
        <f t="shared" si="173"/>
        <v>0</v>
      </c>
      <c r="I283" s="1384"/>
      <c r="J283" s="1365"/>
      <c r="K283" s="1384"/>
      <c r="L283" s="1365"/>
      <c r="M283" s="1373">
        <f t="shared" si="176"/>
        <v>0</v>
      </c>
      <c r="N283" s="2259"/>
      <c r="O283" s="1058"/>
      <c r="P283" s="1482"/>
      <c r="Q283" s="1365"/>
      <c r="R283" s="1482">
        <f t="shared" si="174"/>
        <v>0</v>
      </c>
      <c r="S283" s="1481"/>
      <c r="T283" s="1482"/>
      <c r="U283" s="1481"/>
      <c r="V283" s="1482"/>
      <c r="W283" s="1482">
        <f t="shared" si="177"/>
        <v>0</v>
      </c>
      <c r="X283" s="1187"/>
      <c r="Y283" s="90">
        <v>0</v>
      </c>
      <c r="Z283" s="697">
        <v>0</v>
      </c>
      <c r="AA283" s="697">
        <f t="shared" si="175"/>
        <v>0</v>
      </c>
      <c r="AB283" s="253"/>
      <c r="AC283" s="90"/>
      <c r="AD283" s="253"/>
      <c r="AE283" s="90"/>
      <c r="AF283" s="697">
        <f t="shared" si="178"/>
        <v>0</v>
      </c>
      <c r="AG283" s="697"/>
      <c r="AH283" s="673">
        <f>AF283+AF285+AF286+AF284</f>
        <v>150855621750</v>
      </c>
      <c r="AI283" s="138">
        <v>29290400000</v>
      </c>
      <c r="AJ283" s="140"/>
      <c r="AK283" s="140"/>
      <c r="AL283" s="673">
        <f>AI283+AI285+AI286+AI284</f>
        <v>77499006680</v>
      </c>
      <c r="AM283" s="140"/>
      <c r="AN283" s="140"/>
      <c r="AO283" s="140">
        <f t="shared" si="179"/>
        <v>0</v>
      </c>
      <c r="AP283" s="437"/>
      <c r="AQ283" s="140"/>
      <c r="AR283" s="437"/>
      <c r="AS283" s="140"/>
      <c r="AT283" s="140">
        <f t="shared" si="180"/>
        <v>0</v>
      </c>
      <c r="AU283" s="66"/>
      <c r="AV283" s="140">
        <v>0</v>
      </c>
      <c r="AW283" s="140"/>
      <c r="AX283" s="140">
        <f t="shared" si="181"/>
        <v>0</v>
      </c>
      <c r="AY283" s="437"/>
      <c r="AZ283" s="140"/>
      <c r="BA283" s="437"/>
      <c r="BB283" s="140"/>
      <c r="BC283" s="140">
        <f t="shared" si="182"/>
        <v>0</v>
      </c>
      <c r="BD283" s="140"/>
      <c r="BE283" s="40"/>
      <c r="BF283" s="235"/>
      <c r="BG283" s="66"/>
      <c r="BH283" s="235"/>
      <c r="BI283" s="66"/>
    </row>
    <row r="284" spans="2:61" s="1" customFormat="1">
      <c r="B284" s="2"/>
      <c r="C284" s="4" t="s">
        <v>630</v>
      </c>
      <c r="D284" s="1365">
        <v>27588534000</v>
      </c>
      <c r="E284" s="1365"/>
      <c r="F284" s="1365">
        <f t="shared" si="184"/>
        <v>27588534000</v>
      </c>
      <c r="G284" s="1365">
        <f t="shared" si="183"/>
        <v>0</v>
      </c>
      <c r="H284" s="1365">
        <f t="shared" si="173"/>
        <v>27588534000</v>
      </c>
      <c r="I284" s="1384"/>
      <c r="J284" s="1365"/>
      <c r="K284" s="1384"/>
      <c r="L284" s="1365"/>
      <c r="M284" s="1365">
        <f t="shared" si="176"/>
        <v>27588534000</v>
      </c>
      <c r="N284" s="2259"/>
      <c r="O284" s="1058"/>
      <c r="P284" s="1482">
        <v>30967888000</v>
      </c>
      <c r="Q284" s="1365"/>
      <c r="R284" s="1482">
        <f t="shared" si="174"/>
        <v>30967888000</v>
      </c>
      <c r="S284" s="1481"/>
      <c r="T284" s="1482"/>
      <c r="U284" s="1481"/>
      <c r="V284" s="1482"/>
      <c r="W284" s="1482">
        <f t="shared" si="177"/>
        <v>30967888000</v>
      </c>
      <c r="X284" s="1187"/>
      <c r="Y284" s="90">
        <v>52046359500</v>
      </c>
      <c r="Z284" s="697">
        <v>0</v>
      </c>
      <c r="AA284" s="697">
        <f t="shared" si="175"/>
        <v>52046359500</v>
      </c>
      <c r="AB284" s="253"/>
      <c r="AC284" s="90"/>
      <c r="AD284" s="253"/>
      <c r="AE284" s="90"/>
      <c r="AF284" s="697">
        <f t="shared" si="178"/>
        <v>52046359500</v>
      </c>
      <c r="AG284" s="697"/>
      <c r="AH284" s="207">
        <v>15026</v>
      </c>
      <c r="AI284" s="140">
        <v>15924728000</v>
      </c>
      <c r="AJ284" s="140"/>
      <c r="AK284" s="140"/>
      <c r="AL284" s="673">
        <v>15416</v>
      </c>
      <c r="AM284" s="140">
        <v>13181574000</v>
      </c>
      <c r="AN284" s="140"/>
      <c r="AO284" s="140">
        <f t="shared" si="179"/>
        <v>13181574000</v>
      </c>
      <c r="AP284" s="437"/>
      <c r="AQ284" s="140"/>
      <c r="AR284" s="437"/>
      <c r="AS284" s="140"/>
      <c r="AT284" s="140">
        <f t="shared" si="180"/>
        <v>13181574000</v>
      </c>
      <c r="AU284" s="66"/>
      <c r="AV284" s="140">
        <v>21330909600</v>
      </c>
      <c r="AW284" s="140"/>
      <c r="AX284" s="140">
        <f t="shared" si="181"/>
        <v>21330909600</v>
      </c>
      <c r="AY284" s="437"/>
      <c r="AZ284" s="140"/>
      <c r="BA284" s="437"/>
      <c r="BB284" s="140"/>
      <c r="BC284" s="140">
        <f t="shared" si="182"/>
        <v>21330909600</v>
      </c>
      <c r="BD284" s="140"/>
      <c r="BE284" s="40"/>
      <c r="BF284" s="235"/>
      <c r="BG284" s="66"/>
      <c r="BH284" s="235"/>
      <c r="BI284" s="66"/>
    </row>
    <row r="285" spans="2:61" s="1" customFormat="1">
      <c r="B285" s="2"/>
      <c r="C285" s="4" t="s">
        <v>631</v>
      </c>
      <c r="D285" s="1365">
        <v>32324000000</v>
      </c>
      <c r="E285" s="1365">
        <v>32307838000</v>
      </c>
      <c r="F285" s="1365">
        <f t="shared" si="184"/>
        <v>64631838000</v>
      </c>
      <c r="G285" s="1365">
        <f t="shared" si="183"/>
        <v>0</v>
      </c>
      <c r="H285" s="1365">
        <f t="shared" si="173"/>
        <v>64631838000</v>
      </c>
      <c r="I285" s="1384"/>
      <c r="J285" s="1365"/>
      <c r="K285" s="1384"/>
      <c r="L285" s="1365"/>
      <c r="M285" s="1373">
        <f t="shared" si="176"/>
        <v>64631838000</v>
      </c>
      <c r="N285" s="2259"/>
      <c r="O285" s="1058"/>
      <c r="P285" s="1482">
        <v>22648665000</v>
      </c>
      <c r="Q285" s="1373">
        <v>23747062000</v>
      </c>
      <c r="R285" s="1482">
        <f t="shared" si="174"/>
        <v>46395727000</v>
      </c>
      <c r="S285" s="1481"/>
      <c r="T285" s="1482"/>
      <c r="U285" s="1481"/>
      <c r="V285" s="1482"/>
      <c r="W285" s="1482">
        <f t="shared" si="177"/>
        <v>46395727000</v>
      </c>
      <c r="X285" s="1187"/>
      <c r="Y285" s="90">
        <v>32828863200</v>
      </c>
      <c r="Z285" s="697">
        <v>29279464050</v>
      </c>
      <c r="AA285" s="697">
        <f t="shared" si="175"/>
        <v>62108327250</v>
      </c>
      <c r="AB285" s="253"/>
      <c r="AC285" s="90"/>
      <c r="AD285" s="253"/>
      <c r="AE285" s="90"/>
      <c r="AF285" s="705">
        <f t="shared" si="178"/>
        <v>62108327250</v>
      </c>
      <c r="AG285" s="697"/>
      <c r="AH285" s="207">
        <f>AH283/AH284</f>
        <v>10039639.408358844</v>
      </c>
      <c r="AI285" s="138">
        <v>30711446680</v>
      </c>
      <c r="AJ285" s="140"/>
      <c r="AK285" s="140"/>
      <c r="AL285" s="673">
        <f>AL283/AL284</f>
        <v>5027179.9870264661</v>
      </c>
      <c r="AM285" s="140"/>
      <c r="AN285" s="140"/>
      <c r="AO285" s="140">
        <f t="shared" si="179"/>
        <v>0</v>
      </c>
      <c r="AP285" s="437"/>
      <c r="AQ285" s="140"/>
      <c r="AR285" s="437"/>
      <c r="AS285" s="140"/>
      <c r="AT285" s="140">
        <f t="shared" si="180"/>
        <v>0</v>
      </c>
      <c r="AU285" s="66"/>
      <c r="AV285" s="140">
        <v>0</v>
      </c>
      <c r="AW285" s="140">
        <v>0</v>
      </c>
      <c r="AX285" s="140">
        <f t="shared" si="181"/>
        <v>0</v>
      </c>
      <c r="AY285" s="437"/>
      <c r="AZ285" s="140"/>
      <c r="BA285" s="437"/>
      <c r="BB285" s="140"/>
      <c r="BC285" s="140">
        <f t="shared" si="182"/>
        <v>0</v>
      </c>
      <c r="BD285" s="140"/>
      <c r="BE285" s="40"/>
      <c r="BF285" s="235"/>
      <c r="BG285" s="66"/>
      <c r="BH285" s="235"/>
      <c r="BI285" s="66"/>
    </row>
    <row r="286" spans="2:61" s="1" customFormat="1">
      <c r="B286" s="67" t="s">
        <v>407</v>
      </c>
      <c r="C286" s="44" t="s">
        <v>632</v>
      </c>
      <c r="D286" s="1374"/>
      <c r="E286" s="1367">
        <v>14852878000</v>
      </c>
      <c r="F286" s="1365">
        <f t="shared" si="184"/>
        <v>14852878000</v>
      </c>
      <c r="G286" s="1365">
        <f t="shared" si="183"/>
        <v>0</v>
      </c>
      <c r="H286" s="1374">
        <f t="shared" si="173"/>
        <v>14852878000</v>
      </c>
      <c r="I286" s="1943"/>
      <c r="J286" s="1374"/>
      <c r="K286" s="1943"/>
      <c r="L286" s="1374"/>
      <c r="M286" s="1373">
        <f t="shared" si="176"/>
        <v>14852878000</v>
      </c>
      <c r="N286" s="2259"/>
      <c r="O286" s="1058"/>
      <c r="P286" s="1497"/>
      <c r="Q286" s="1373">
        <v>31028440000</v>
      </c>
      <c r="R286" s="1497">
        <f t="shared" si="174"/>
        <v>31028440000</v>
      </c>
      <c r="S286" s="1487"/>
      <c r="T286" s="1497"/>
      <c r="U286" s="1487"/>
      <c r="V286" s="1497"/>
      <c r="W286" s="1497">
        <f t="shared" si="177"/>
        <v>31028440000</v>
      </c>
      <c r="X286" s="1187"/>
      <c r="Y286" s="236">
        <v>0</v>
      </c>
      <c r="Z286" s="713">
        <v>36700935000</v>
      </c>
      <c r="AA286" s="713">
        <f t="shared" si="175"/>
        <v>36700935000</v>
      </c>
      <c r="AB286" s="617"/>
      <c r="AC286" s="236"/>
      <c r="AD286" s="617"/>
      <c r="AE286" s="236"/>
      <c r="AF286" s="1177">
        <f t="shared" si="178"/>
        <v>36700935000</v>
      </c>
      <c r="AG286" s="713"/>
      <c r="AH286" s="207"/>
      <c r="AI286" s="138">
        <v>1572432000</v>
      </c>
      <c r="AJ286" s="140"/>
      <c r="AK286" s="140"/>
      <c r="AL286" s="673"/>
      <c r="AM286" s="140"/>
      <c r="AN286" s="140"/>
      <c r="AO286" s="140">
        <f t="shared" si="179"/>
        <v>0</v>
      </c>
      <c r="AP286" s="437"/>
      <c r="AQ286" s="140"/>
      <c r="AR286" s="437"/>
      <c r="AS286" s="140"/>
      <c r="AT286" s="140">
        <f t="shared" si="180"/>
        <v>0</v>
      </c>
      <c r="AU286" s="66"/>
      <c r="AV286" s="140"/>
      <c r="AW286" s="140">
        <v>1992447600</v>
      </c>
      <c r="AX286" s="140">
        <f t="shared" si="181"/>
        <v>1992447600</v>
      </c>
      <c r="AY286" s="437"/>
      <c r="AZ286" s="140"/>
      <c r="BA286" s="437"/>
      <c r="BB286" s="140"/>
      <c r="BC286" s="140">
        <f t="shared" si="182"/>
        <v>1992447600</v>
      </c>
      <c r="BD286" s="140"/>
      <c r="BE286" s="40"/>
      <c r="BF286" s="235"/>
      <c r="BG286" s="66"/>
      <c r="BH286" s="235"/>
      <c r="BI286" s="66"/>
    </row>
    <row r="287" spans="2:61" s="1" customFormat="1">
      <c r="B287" s="2"/>
      <c r="C287" s="4" t="s">
        <v>633</v>
      </c>
      <c r="D287" s="1365">
        <v>22350000000</v>
      </c>
      <c r="E287" s="1365"/>
      <c r="F287" s="1365">
        <f t="shared" si="184"/>
        <v>22350000000</v>
      </c>
      <c r="G287" s="1365">
        <f t="shared" si="183"/>
        <v>0</v>
      </c>
      <c r="H287" s="1365">
        <f t="shared" si="173"/>
        <v>22350000000</v>
      </c>
      <c r="I287" s="1384"/>
      <c r="J287" s="1365"/>
      <c r="K287" s="1384"/>
      <c r="L287" s="1365"/>
      <c r="M287" s="1365">
        <f t="shared" si="176"/>
        <v>22350000000</v>
      </c>
      <c r="N287" s="2259"/>
      <c r="O287" s="1058"/>
      <c r="P287" s="1482">
        <v>22000000000</v>
      </c>
      <c r="Q287" s="1365"/>
      <c r="R287" s="1482">
        <f t="shared" si="174"/>
        <v>22000000000</v>
      </c>
      <c r="S287" s="1481"/>
      <c r="T287" s="1482"/>
      <c r="U287" s="1481"/>
      <c r="V287" s="1482"/>
      <c r="W287" s="1482">
        <f t="shared" si="177"/>
        <v>22000000000</v>
      </c>
      <c r="X287" s="1187"/>
      <c r="Y287" s="90">
        <v>377586103</v>
      </c>
      <c r="Z287" s="697">
        <v>0</v>
      </c>
      <c r="AA287" s="697">
        <f t="shared" si="175"/>
        <v>377586103</v>
      </c>
      <c r="AB287" s="253"/>
      <c r="AC287" s="90"/>
      <c r="AD287" s="253"/>
      <c r="AE287" s="90"/>
      <c r="AF287" s="697">
        <f t="shared" si="178"/>
        <v>377586103</v>
      </c>
      <c r="AG287" s="697"/>
      <c r="AH287" s="207"/>
      <c r="AI287" s="140">
        <v>8600000000</v>
      </c>
      <c r="AJ287" s="140"/>
      <c r="AK287" s="140"/>
      <c r="AL287" s="673"/>
      <c r="AM287" s="140"/>
      <c r="AN287" s="140"/>
      <c r="AO287" s="140">
        <f t="shared" si="179"/>
        <v>0</v>
      </c>
      <c r="AP287" s="437"/>
      <c r="AQ287" s="140"/>
      <c r="AR287" s="437"/>
      <c r="AS287" s="140"/>
      <c r="AT287" s="140">
        <f t="shared" si="180"/>
        <v>0</v>
      </c>
      <c r="AU287" s="66"/>
      <c r="AV287" s="140">
        <v>0</v>
      </c>
      <c r="AW287" s="140"/>
      <c r="AX287" s="140">
        <f t="shared" si="181"/>
        <v>0</v>
      </c>
      <c r="AY287" s="437"/>
      <c r="AZ287" s="140"/>
      <c r="BA287" s="437"/>
      <c r="BB287" s="140"/>
      <c r="BC287" s="140">
        <f t="shared" si="182"/>
        <v>0</v>
      </c>
      <c r="BD287" s="140"/>
      <c r="BE287" s="40"/>
      <c r="BF287" s="235"/>
      <c r="BG287" s="66"/>
      <c r="BH287" s="235"/>
      <c r="BI287" s="66"/>
    </row>
    <row r="288" spans="2:61" s="1" customFormat="1">
      <c r="B288" s="19"/>
      <c r="C288" s="19" t="s">
        <v>634</v>
      </c>
      <c r="D288" s="1369">
        <f>SUM(D260:D287)</f>
        <v>126612232871</v>
      </c>
      <c r="E288" s="1369">
        <f>SUM(E260:E287)</f>
        <v>104659605050</v>
      </c>
      <c r="F288" s="1365">
        <f t="shared" si="184"/>
        <v>231271837921</v>
      </c>
      <c r="G288" s="1365">
        <f t="shared" si="183"/>
        <v>0</v>
      </c>
      <c r="H288" s="1369">
        <f>SUM(H260:H287)</f>
        <v>231271837921</v>
      </c>
      <c r="I288" s="1944"/>
      <c r="J288" s="1369"/>
      <c r="K288" s="1944"/>
      <c r="L288" s="1369"/>
      <c r="M288" s="1369">
        <f>SUM(M260:M287)</f>
        <v>231271837921</v>
      </c>
      <c r="N288" s="226"/>
      <c r="O288" s="1469"/>
      <c r="P288" s="1488">
        <f>SUM(P260:P287)</f>
        <v>100164739154</v>
      </c>
      <c r="Q288" s="1369">
        <f>SUM(Q260:Q287)</f>
        <v>97606339093</v>
      </c>
      <c r="R288" s="1488">
        <f>SUM(R260:R287)</f>
        <v>197771078247</v>
      </c>
      <c r="S288" s="1489"/>
      <c r="T288" s="1488"/>
      <c r="U288" s="1489"/>
      <c r="V288" s="1488"/>
      <c r="W288" s="1488">
        <f>SUM(W260:W287)</f>
        <v>197771078247</v>
      </c>
      <c r="X288" s="1190"/>
      <c r="Y288" s="428">
        <f>SUM(Y260:Y287)</f>
        <v>107636359616</v>
      </c>
      <c r="Z288" s="707">
        <f>SUM(Z260:Z287)</f>
        <v>101604550049</v>
      </c>
      <c r="AA288" s="707">
        <f>SUM(AA260:AA287)</f>
        <v>209240909665</v>
      </c>
      <c r="AB288" s="601"/>
      <c r="AC288" s="223"/>
      <c r="AD288" s="601"/>
      <c r="AE288" s="223"/>
      <c r="AF288" s="707">
        <f>SUM(AF260:AF287)</f>
        <v>209240909665</v>
      </c>
      <c r="AG288" s="707"/>
      <c r="AH288" s="228"/>
      <c r="AI288" s="428">
        <f>SUM(AI260:AI287)</f>
        <v>199249608753</v>
      </c>
      <c r="AJ288" s="428"/>
      <c r="AK288" s="428"/>
      <c r="AL288" s="670"/>
      <c r="AM288" s="428">
        <f>SUM(AM260:AM287)</f>
        <v>116920091428</v>
      </c>
      <c r="AN288" s="428">
        <f>SUM(AN260:AN287)</f>
        <v>58190471239</v>
      </c>
      <c r="AO288" s="428">
        <f>SUM(AO260:AO287)</f>
        <v>175110562667</v>
      </c>
      <c r="AP288" s="762"/>
      <c r="AQ288" s="428"/>
      <c r="AR288" s="762"/>
      <c r="AS288" s="428"/>
      <c r="AT288" s="1564">
        <f>SUM(AT260:AT287)</f>
        <v>175110562667</v>
      </c>
      <c r="AU288" s="29"/>
      <c r="AV288" s="428">
        <f>SUM(AV260:AV287)</f>
        <v>110009531334</v>
      </c>
      <c r="AW288" s="428">
        <f>SUM(AW260:AW287)</f>
        <v>56114080979</v>
      </c>
      <c r="AX288" s="428">
        <f>SUM(AX260:AX287)</f>
        <v>166123612313</v>
      </c>
      <c r="AY288" s="762"/>
      <c r="AZ288" s="428"/>
      <c r="BA288" s="762"/>
      <c r="BB288" s="428"/>
      <c r="BC288" s="428">
        <f>SUM(BC260:BC287)</f>
        <v>166123612313</v>
      </c>
      <c r="BD288" s="138"/>
      <c r="BE288" s="28"/>
      <c r="BF288" s="428">
        <f>SUM(BF260:BF287)</f>
        <v>155339616431</v>
      </c>
      <c r="BG288" s="29"/>
      <c r="BH288" s="428">
        <f>SUM(BH260:BH287)</f>
        <v>110815447741</v>
      </c>
      <c r="BI288" s="29"/>
    </row>
    <row r="289" spans="2:61" s="1" customFormat="1">
      <c r="B289" s="2" t="s">
        <v>635</v>
      </c>
      <c r="C289" s="68"/>
      <c r="D289" s="217"/>
      <c r="E289" s="217"/>
      <c r="F289" s="1365">
        <f t="shared" si="184"/>
        <v>0</v>
      </c>
      <c r="G289" s="1365">
        <f t="shared" si="183"/>
        <v>0</v>
      </c>
      <c r="H289" s="217"/>
      <c r="I289" s="1384"/>
      <c r="J289" s="217"/>
      <c r="K289" s="1384"/>
      <c r="L289" s="217"/>
      <c r="M289" s="217"/>
      <c r="N289" s="226"/>
      <c r="O289" s="1217"/>
      <c r="P289" s="1480"/>
      <c r="Q289" s="217"/>
      <c r="R289" s="1480"/>
      <c r="S289" s="1481"/>
      <c r="T289" s="1480"/>
      <c r="U289" s="1481"/>
      <c r="V289" s="1480"/>
      <c r="W289" s="1480"/>
      <c r="X289" s="1194"/>
      <c r="Y289" s="118"/>
      <c r="Z289" s="705"/>
      <c r="AA289" s="705"/>
      <c r="AB289" s="253"/>
      <c r="AC289" s="118"/>
      <c r="AD289" s="253"/>
      <c r="AE289" s="118"/>
      <c r="AF289" s="705"/>
      <c r="AG289" s="705"/>
      <c r="AH289" s="209"/>
      <c r="AI289" s="9"/>
      <c r="AJ289" s="9"/>
      <c r="AK289" s="9"/>
      <c r="AL289" s="667"/>
      <c r="AM289" s="9"/>
      <c r="AN289" s="9"/>
      <c r="AO289" s="9"/>
      <c r="AP289" s="769"/>
      <c r="AQ289" s="9"/>
      <c r="AR289" s="769"/>
      <c r="AS289" s="9"/>
      <c r="AT289" s="9"/>
      <c r="AU289" s="37"/>
      <c r="AV289" s="9"/>
      <c r="AW289" s="9"/>
      <c r="AX289" s="9"/>
      <c r="AY289" s="769"/>
      <c r="AZ289" s="9"/>
      <c r="BA289" s="769"/>
      <c r="BB289" s="9"/>
      <c r="BC289" s="9"/>
      <c r="BD289" s="14"/>
      <c r="BE289" s="128"/>
      <c r="BF289" s="219"/>
      <c r="BG289" s="37"/>
      <c r="BH289" s="219"/>
      <c r="BI289" s="11"/>
    </row>
    <row r="290" spans="2:61" s="1" customFormat="1">
      <c r="B290" s="140"/>
      <c r="C290" s="13" t="s">
        <v>636</v>
      </c>
      <c r="D290" s="1367"/>
      <c r="E290" s="1367"/>
      <c r="F290" s="1365">
        <f t="shared" si="184"/>
        <v>0</v>
      </c>
      <c r="G290" s="1365">
        <f t="shared" si="183"/>
        <v>0</v>
      </c>
      <c r="H290" s="1367">
        <f t="shared" ref="H290:H354" si="185">D290+E290</f>
        <v>0</v>
      </c>
      <c r="I290" s="1384"/>
      <c r="J290" s="1367"/>
      <c r="K290" s="1384"/>
      <c r="L290" s="1367"/>
      <c r="M290" s="1367">
        <f t="shared" ref="M290:M355" si="186">ROUND((H290-J290+L290),0)</f>
        <v>0</v>
      </c>
      <c r="N290" s="1967"/>
      <c r="O290" s="1057"/>
      <c r="P290" s="1485"/>
      <c r="Q290" s="1367"/>
      <c r="R290" s="1485">
        <f t="shared" ref="R290:R354" si="187">P290+Q290</f>
        <v>0</v>
      </c>
      <c r="S290" s="1481"/>
      <c r="T290" s="1485"/>
      <c r="U290" s="1481"/>
      <c r="V290" s="1485"/>
      <c r="W290" s="1485">
        <f t="shared" ref="W290:W355" si="188">ROUND((R290-T290+V290),0)</f>
        <v>0</v>
      </c>
      <c r="X290" s="1189"/>
      <c r="Y290" s="106"/>
      <c r="Z290" s="698"/>
      <c r="AA290" s="698">
        <f t="shared" ref="AA290:AA322" si="189">Y290+Z290</f>
        <v>0</v>
      </c>
      <c r="AB290" s="253"/>
      <c r="AC290" s="106"/>
      <c r="AD290" s="253"/>
      <c r="AE290" s="106"/>
      <c r="AF290" s="698">
        <f t="shared" ref="AF290:AF355" si="190">ROUND((AA290-AC290+AE290),0)</f>
        <v>0</v>
      </c>
      <c r="AG290" s="698"/>
      <c r="AH290" s="208"/>
      <c r="AI290" s="140">
        <v>0</v>
      </c>
      <c r="AJ290" s="140"/>
      <c r="AK290" s="140"/>
      <c r="AL290" s="673"/>
      <c r="AM290" s="140"/>
      <c r="AN290" s="140"/>
      <c r="AO290" s="140">
        <f t="shared" ref="AO290:AO354" si="191">AM290+AN290</f>
        <v>0</v>
      </c>
      <c r="AP290" s="437"/>
      <c r="AQ290" s="140"/>
      <c r="AR290" s="437"/>
      <c r="AS290" s="140"/>
      <c r="AT290" s="140">
        <f t="shared" ref="AT290:AT355" si="192">ROUND((AO290-AQ290+AS290),0)</f>
        <v>0</v>
      </c>
      <c r="AU290" s="66"/>
      <c r="AV290" s="140"/>
      <c r="AW290" s="140"/>
      <c r="AX290" s="140">
        <f t="shared" ref="AX290:AX354" si="193">AV290+AW290</f>
        <v>0</v>
      </c>
      <c r="AY290" s="437"/>
      <c r="AZ290" s="140"/>
      <c r="BA290" s="437"/>
      <c r="BB290" s="140"/>
      <c r="BC290" s="140">
        <f t="shared" ref="BC290:BC355" si="194">ROUND((AX290-AZ290+BB290),0)</f>
        <v>0</v>
      </c>
      <c r="BD290" s="140"/>
      <c r="BE290" s="40"/>
      <c r="BF290" s="235">
        <v>0</v>
      </c>
      <c r="BG290" s="37"/>
      <c r="BH290" s="235">
        <v>0</v>
      </c>
      <c r="BI290" s="11"/>
    </row>
    <row r="291" spans="2:61" s="1" customFormat="1">
      <c r="B291" s="140" t="s">
        <v>407</v>
      </c>
      <c r="C291" s="13" t="s">
        <v>637</v>
      </c>
      <c r="D291" s="1367"/>
      <c r="E291" s="1372">
        <v>19544752</v>
      </c>
      <c r="F291" s="1365">
        <f t="shared" si="184"/>
        <v>19544752</v>
      </c>
      <c r="G291" s="1365">
        <f t="shared" si="183"/>
        <v>0</v>
      </c>
      <c r="H291" s="1367">
        <f t="shared" si="185"/>
        <v>19544752</v>
      </c>
      <c r="I291" s="1384"/>
      <c r="J291" s="1367"/>
      <c r="K291" s="1384"/>
      <c r="L291" s="1367"/>
      <c r="M291" s="2143">
        <f t="shared" si="186"/>
        <v>19544752</v>
      </c>
      <c r="N291" s="1967"/>
      <c r="O291" s="1057"/>
      <c r="P291" s="1485"/>
      <c r="Q291" s="1372">
        <v>27237008</v>
      </c>
      <c r="R291" s="1485">
        <f t="shared" si="187"/>
        <v>27237008</v>
      </c>
      <c r="S291" s="1481"/>
      <c r="T291" s="1485"/>
      <c r="U291" s="1481"/>
      <c r="V291" s="1485"/>
      <c r="W291" s="1485">
        <f t="shared" si="188"/>
        <v>27237008</v>
      </c>
      <c r="X291" s="1189"/>
      <c r="Y291" s="106"/>
      <c r="Z291" s="698">
        <v>11942115</v>
      </c>
      <c r="AA291" s="698">
        <f t="shared" si="189"/>
        <v>11942115</v>
      </c>
      <c r="AB291" s="253"/>
      <c r="AC291" s="106"/>
      <c r="AD291" s="253"/>
      <c r="AE291" s="106"/>
      <c r="AF291" s="698">
        <f t="shared" si="190"/>
        <v>11942115</v>
      </c>
      <c r="AG291" s="698"/>
      <c r="AH291" s="208"/>
      <c r="AI291" s="140">
        <v>21911630</v>
      </c>
      <c r="AJ291" s="140"/>
      <c r="AK291" s="140"/>
      <c r="AL291" s="673"/>
      <c r="AM291" s="140"/>
      <c r="AN291" s="140">
        <v>11147410</v>
      </c>
      <c r="AO291" s="140">
        <f t="shared" si="191"/>
        <v>11147410</v>
      </c>
      <c r="AP291" s="437"/>
      <c r="AQ291" s="140"/>
      <c r="AR291" s="437"/>
      <c r="AS291" s="140"/>
      <c r="AT291" s="140">
        <f t="shared" si="192"/>
        <v>11147410</v>
      </c>
      <c r="AU291" s="66"/>
      <c r="AV291" s="140"/>
      <c r="AW291" s="140">
        <v>13350830</v>
      </c>
      <c r="AX291" s="140">
        <f t="shared" si="193"/>
        <v>13350830</v>
      </c>
      <c r="AY291" s="437"/>
      <c r="AZ291" s="140"/>
      <c r="BA291" s="437"/>
      <c r="BB291" s="140"/>
      <c r="BC291" s="140">
        <f t="shared" si="194"/>
        <v>13350830</v>
      </c>
      <c r="BD291" s="140"/>
      <c r="BE291" s="40"/>
      <c r="BF291" s="235">
        <v>5164730</v>
      </c>
      <c r="BG291" s="37"/>
      <c r="BH291" s="105">
        <v>8843680</v>
      </c>
      <c r="BI291" s="11"/>
    </row>
    <row r="292" spans="2:61" s="1" customFormat="1">
      <c r="B292" s="140" t="s">
        <v>407</v>
      </c>
      <c r="C292" s="13" t="s">
        <v>638</v>
      </c>
      <c r="D292" s="1367"/>
      <c r="E292" s="1367"/>
      <c r="F292" s="1365">
        <f t="shared" si="184"/>
        <v>0</v>
      </c>
      <c r="G292" s="1365">
        <f t="shared" si="183"/>
        <v>0</v>
      </c>
      <c r="H292" s="1367">
        <f t="shared" si="185"/>
        <v>0</v>
      </c>
      <c r="I292" s="1384"/>
      <c r="J292" s="1367"/>
      <c r="K292" s="1384"/>
      <c r="L292" s="1367"/>
      <c r="M292" s="1367">
        <f t="shared" si="186"/>
        <v>0</v>
      </c>
      <c r="N292" s="1967"/>
      <c r="O292" s="1057"/>
      <c r="P292" s="1485"/>
      <c r="Q292" s="1367"/>
      <c r="R292" s="1485">
        <f t="shared" si="187"/>
        <v>0</v>
      </c>
      <c r="S292" s="1481"/>
      <c r="T292" s="1485"/>
      <c r="U292" s="1481"/>
      <c r="V292" s="1485"/>
      <c r="W292" s="1485">
        <f t="shared" si="188"/>
        <v>0</v>
      </c>
      <c r="X292" s="1189"/>
      <c r="Y292" s="106"/>
      <c r="Z292" s="698">
        <v>0</v>
      </c>
      <c r="AA292" s="698">
        <f t="shared" si="189"/>
        <v>0</v>
      </c>
      <c r="AB292" s="253"/>
      <c r="AC292" s="106"/>
      <c r="AD292" s="253"/>
      <c r="AE292" s="106"/>
      <c r="AF292" s="698">
        <f t="shared" si="190"/>
        <v>0</v>
      </c>
      <c r="AG292" s="698"/>
      <c r="AH292" s="208"/>
      <c r="AI292" s="140">
        <v>0</v>
      </c>
      <c r="AJ292" s="140"/>
      <c r="AK292" s="140"/>
      <c r="AL292" s="673"/>
      <c r="AM292" s="140"/>
      <c r="AN292" s="140"/>
      <c r="AO292" s="140">
        <f t="shared" si="191"/>
        <v>0</v>
      </c>
      <c r="AP292" s="437"/>
      <c r="AQ292" s="140"/>
      <c r="AR292" s="437"/>
      <c r="AS292" s="140"/>
      <c r="AT292" s="140">
        <f t="shared" si="192"/>
        <v>0</v>
      </c>
      <c r="AU292" s="66"/>
      <c r="AV292" s="140"/>
      <c r="AW292" s="140"/>
      <c r="AX292" s="140">
        <f t="shared" si="193"/>
        <v>0</v>
      </c>
      <c r="AY292" s="437"/>
      <c r="AZ292" s="140"/>
      <c r="BA292" s="437"/>
      <c r="BB292" s="140"/>
      <c r="BC292" s="140">
        <f t="shared" si="194"/>
        <v>0</v>
      </c>
      <c r="BD292" s="140"/>
      <c r="BE292" s="40"/>
      <c r="BF292" s="235">
        <v>0</v>
      </c>
      <c r="BG292" s="37"/>
      <c r="BH292" s="235">
        <v>0</v>
      </c>
      <c r="BI292" s="11"/>
    </row>
    <row r="293" spans="2:61" s="1" customFormat="1">
      <c r="B293" s="140" t="s">
        <v>407</v>
      </c>
      <c r="C293" s="13" t="s">
        <v>639</v>
      </c>
      <c r="D293" s="1367"/>
      <c r="E293" s="1367"/>
      <c r="F293" s="1365">
        <f t="shared" si="184"/>
        <v>0</v>
      </c>
      <c r="G293" s="1365">
        <f t="shared" si="183"/>
        <v>0</v>
      </c>
      <c r="H293" s="1367">
        <f t="shared" si="185"/>
        <v>0</v>
      </c>
      <c r="I293" s="1384"/>
      <c r="J293" s="1367"/>
      <c r="K293" s="1384"/>
      <c r="L293" s="1367"/>
      <c r="M293" s="1367">
        <f t="shared" si="186"/>
        <v>0</v>
      </c>
      <c r="N293" s="1967"/>
      <c r="O293" s="1057"/>
      <c r="P293" s="1485"/>
      <c r="Q293" s="1367"/>
      <c r="R293" s="1485">
        <f t="shared" si="187"/>
        <v>0</v>
      </c>
      <c r="S293" s="1481"/>
      <c r="T293" s="1485"/>
      <c r="U293" s="1481"/>
      <c r="V293" s="1485"/>
      <c r="W293" s="1485">
        <f t="shared" si="188"/>
        <v>0</v>
      </c>
      <c r="X293" s="1189"/>
      <c r="Y293" s="106"/>
      <c r="Z293" s="698">
        <v>0</v>
      </c>
      <c r="AA293" s="698">
        <f t="shared" si="189"/>
        <v>0</v>
      </c>
      <c r="AB293" s="253"/>
      <c r="AC293" s="106"/>
      <c r="AD293" s="253"/>
      <c r="AE293" s="106"/>
      <c r="AF293" s="698">
        <f t="shared" si="190"/>
        <v>0</v>
      </c>
      <c r="AG293" s="698"/>
      <c r="AH293" s="208"/>
      <c r="AI293" s="140">
        <v>0</v>
      </c>
      <c r="AJ293" s="140"/>
      <c r="AK293" s="140"/>
      <c r="AL293" s="673"/>
      <c r="AM293" s="140"/>
      <c r="AN293" s="140"/>
      <c r="AO293" s="140">
        <f t="shared" si="191"/>
        <v>0</v>
      </c>
      <c r="AP293" s="437"/>
      <c r="AQ293" s="140"/>
      <c r="AR293" s="437"/>
      <c r="AS293" s="140"/>
      <c r="AT293" s="140">
        <f t="shared" si="192"/>
        <v>0</v>
      </c>
      <c r="AU293" s="66"/>
      <c r="AV293" s="140"/>
      <c r="AW293" s="140"/>
      <c r="AX293" s="140">
        <f t="shared" si="193"/>
        <v>0</v>
      </c>
      <c r="AY293" s="437"/>
      <c r="AZ293" s="140"/>
      <c r="BA293" s="437"/>
      <c r="BB293" s="140"/>
      <c r="BC293" s="140">
        <f t="shared" si="194"/>
        <v>0</v>
      </c>
      <c r="BD293" s="140"/>
      <c r="BE293" s="40"/>
      <c r="BF293" s="235">
        <v>112450000</v>
      </c>
      <c r="BG293" s="37"/>
      <c r="BH293" s="105">
        <v>107210000</v>
      </c>
      <c r="BI293" s="11"/>
    </row>
    <row r="294" spans="2:61" s="1" customFormat="1">
      <c r="B294" s="140" t="s">
        <v>407</v>
      </c>
      <c r="C294" s="13" t="s">
        <v>640</v>
      </c>
      <c r="D294" s="1367"/>
      <c r="E294" s="1372">
        <v>40019800</v>
      </c>
      <c r="F294" s="1365">
        <f t="shared" si="184"/>
        <v>40019800</v>
      </c>
      <c r="G294" s="1365">
        <f t="shared" si="183"/>
        <v>0</v>
      </c>
      <c r="H294" s="1367">
        <f t="shared" si="185"/>
        <v>40019800</v>
      </c>
      <c r="I294" s="1384"/>
      <c r="J294" s="1367"/>
      <c r="K294" s="1384"/>
      <c r="L294" s="1367"/>
      <c r="M294" s="2143">
        <f t="shared" si="186"/>
        <v>40019800</v>
      </c>
      <c r="N294" s="1967"/>
      <c r="O294" s="1057"/>
      <c r="P294" s="1485"/>
      <c r="Q294" s="1367"/>
      <c r="R294" s="1485">
        <f t="shared" si="187"/>
        <v>0</v>
      </c>
      <c r="S294" s="1481"/>
      <c r="T294" s="1485"/>
      <c r="U294" s="1481"/>
      <c r="V294" s="1485"/>
      <c r="W294" s="1485">
        <f t="shared" si="188"/>
        <v>0</v>
      </c>
      <c r="X294" s="1189"/>
      <c r="Y294" s="106"/>
      <c r="Z294" s="698">
        <v>0</v>
      </c>
      <c r="AA294" s="698">
        <f t="shared" si="189"/>
        <v>0</v>
      </c>
      <c r="AB294" s="253"/>
      <c r="AC294" s="106"/>
      <c r="AD294" s="253"/>
      <c r="AE294" s="106"/>
      <c r="AF294" s="698">
        <f t="shared" si="190"/>
        <v>0</v>
      </c>
      <c r="AG294" s="698"/>
      <c r="AH294" s="208"/>
      <c r="AI294" s="140">
        <v>0</v>
      </c>
      <c r="AJ294" s="140"/>
      <c r="AK294" s="140"/>
      <c r="AL294" s="673"/>
      <c r="AM294" s="140"/>
      <c r="AN294" s="140">
        <v>44982000</v>
      </c>
      <c r="AO294" s="140">
        <f t="shared" si="191"/>
        <v>44982000</v>
      </c>
      <c r="AP294" s="437"/>
      <c r="AQ294" s="140"/>
      <c r="AR294" s="437"/>
      <c r="AS294" s="140"/>
      <c r="AT294" s="140">
        <f t="shared" si="192"/>
        <v>44982000</v>
      </c>
      <c r="AU294" s="66"/>
      <c r="AV294" s="140"/>
      <c r="AW294" s="140"/>
      <c r="AX294" s="140">
        <f t="shared" si="193"/>
        <v>0</v>
      </c>
      <c r="AY294" s="437"/>
      <c r="AZ294" s="140"/>
      <c r="BA294" s="437"/>
      <c r="BB294" s="140"/>
      <c r="BC294" s="140">
        <f t="shared" si="194"/>
        <v>0</v>
      </c>
      <c r="BD294" s="140"/>
      <c r="BE294" s="40"/>
      <c r="BF294" s="235">
        <v>44910000</v>
      </c>
      <c r="BG294" s="37"/>
      <c r="BH294" s="235">
        <v>0</v>
      </c>
      <c r="BI294" s="11"/>
    </row>
    <row r="295" spans="2:61" s="1" customFormat="1">
      <c r="B295" s="140" t="s">
        <v>407</v>
      </c>
      <c r="C295" s="13" t="s">
        <v>641</v>
      </c>
      <c r="D295" s="1367"/>
      <c r="E295" s="1367"/>
      <c r="F295" s="1365">
        <f t="shared" si="184"/>
        <v>0</v>
      </c>
      <c r="G295" s="1365">
        <f t="shared" si="183"/>
        <v>0</v>
      </c>
      <c r="H295" s="1367">
        <f t="shared" si="185"/>
        <v>0</v>
      </c>
      <c r="I295" s="1384"/>
      <c r="J295" s="1367"/>
      <c r="K295" s="1384"/>
      <c r="L295" s="1367"/>
      <c r="M295" s="1367">
        <f t="shared" si="186"/>
        <v>0</v>
      </c>
      <c r="N295" s="1967"/>
      <c r="O295" s="1057"/>
      <c r="P295" s="1485"/>
      <c r="Q295" s="1367"/>
      <c r="R295" s="1485">
        <f t="shared" si="187"/>
        <v>0</v>
      </c>
      <c r="S295" s="1481"/>
      <c r="T295" s="1485"/>
      <c r="U295" s="1481"/>
      <c r="V295" s="1485"/>
      <c r="W295" s="1485">
        <f t="shared" si="188"/>
        <v>0</v>
      </c>
      <c r="X295" s="1189"/>
      <c r="Y295" s="106"/>
      <c r="Z295" s="698">
        <v>0</v>
      </c>
      <c r="AA295" s="698">
        <f t="shared" si="189"/>
        <v>0</v>
      </c>
      <c r="AB295" s="253"/>
      <c r="AC295" s="106"/>
      <c r="AD295" s="253"/>
      <c r="AE295" s="106"/>
      <c r="AF295" s="698">
        <f t="shared" si="190"/>
        <v>0</v>
      </c>
      <c r="AG295" s="698"/>
      <c r="AH295" s="208"/>
      <c r="AI295" s="140">
        <v>0</v>
      </c>
      <c r="AJ295" s="140"/>
      <c r="AK295" s="140"/>
      <c r="AL295" s="673"/>
      <c r="AM295" s="140"/>
      <c r="AN295" s="140"/>
      <c r="AO295" s="140">
        <f t="shared" si="191"/>
        <v>0</v>
      </c>
      <c r="AP295" s="437"/>
      <c r="AQ295" s="140"/>
      <c r="AR295" s="437"/>
      <c r="AS295" s="140"/>
      <c r="AT295" s="140">
        <f t="shared" si="192"/>
        <v>0</v>
      </c>
      <c r="AU295" s="66"/>
      <c r="AV295" s="140"/>
      <c r="AW295" s="140"/>
      <c r="AX295" s="140">
        <f t="shared" si="193"/>
        <v>0</v>
      </c>
      <c r="AY295" s="437"/>
      <c r="AZ295" s="140"/>
      <c r="BA295" s="437"/>
      <c r="BB295" s="140"/>
      <c r="BC295" s="140">
        <f t="shared" si="194"/>
        <v>0</v>
      </c>
      <c r="BD295" s="140"/>
      <c r="BE295" s="40"/>
      <c r="BF295" s="235">
        <v>0</v>
      </c>
      <c r="BG295" s="37"/>
      <c r="BH295" s="235">
        <v>30451080</v>
      </c>
      <c r="BI295" s="11"/>
    </row>
    <row r="296" spans="2:61" s="1" customFormat="1">
      <c r="B296" s="140" t="s">
        <v>407</v>
      </c>
      <c r="C296" s="13" t="s">
        <v>642</v>
      </c>
      <c r="D296" s="1367"/>
      <c r="E296" s="1372">
        <v>13506480</v>
      </c>
      <c r="F296" s="1365">
        <f t="shared" si="184"/>
        <v>13506480</v>
      </c>
      <c r="G296" s="1365">
        <f t="shared" si="183"/>
        <v>0</v>
      </c>
      <c r="H296" s="1367">
        <f t="shared" si="185"/>
        <v>13506480</v>
      </c>
      <c r="I296" s="1384"/>
      <c r="J296" s="1367"/>
      <c r="K296" s="1384"/>
      <c r="L296" s="1367"/>
      <c r="M296" s="2143">
        <f t="shared" si="186"/>
        <v>13506480</v>
      </c>
      <c r="N296" s="1967"/>
      <c r="O296" s="1057"/>
      <c r="P296" s="1485"/>
      <c r="Q296" s="1372">
        <v>13506480</v>
      </c>
      <c r="R296" s="1485">
        <f t="shared" si="187"/>
        <v>13506480</v>
      </c>
      <c r="S296" s="1481"/>
      <c r="T296" s="1485"/>
      <c r="U296" s="1481"/>
      <c r="V296" s="1485"/>
      <c r="W296" s="1485">
        <f t="shared" si="188"/>
        <v>13506480</v>
      </c>
      <c r="X296" s="1189"/>
      <c r="Y296" s="106"/>
      <c r="Z296" s="698">
        <v>1720500</v>
      </c>
      <c r="AA296" s="698">
        <f t="shared" si="189"/>
        <v>1720500</v>
      </c>
      <c r="AB296" s="253"/>
      <c r="AC296" s="106"/>
      <c r="AD296" s="253"/>
      <c r="AE296" s="106"/>
      <c r="AF296" s="698">
        <f t="shared" si="190"/>
        <v>1720500</v>
      </c>
      <c r="AG296" s="698"/>
      <c r="AH296" s="208"/>
      <c r="AI296" s="140">
        <v>1720500</v>
      </c>
      <c r="AJ296" s="140"/>
      <c r="AK296" s="140"/>
      <c r="AL296" s="673"/>
      <c r="AM296" s="140"/>
      <c r="AN296" s="140"/>
      <c r="AO296" s="140">
        <f t="shared" si="191"/>
        <v>0</v>
      </c>
      <c r="AP296" s="437"/>
      <c r="AQ296" s="140"/>
      <c r="AR296" s="437"/>
      <c r="AS296" s="140"/>
      <c r="AT296" s="140">
        <f t="shared" si="192"/>
        <v>0</v>
      </c>
      <c r="AU296" s="66"/>
      <c r="AV296" s="140"/>
      <c r="AW296" s="140">
        <v>1720500</v>
      </c>
      <c r="AX296" s="140">
        <f t="shared" si="193"/>
        <v>1720500</v>
      </c>
      <c r="AY296" s="437"/>
      <c r="AZ296" s="140"/>
      <c r="BA296" s="437"/>
      <c r="BB296" s="140"/>
      <c r="BC296" s="140">
        <f t="shared" si="194"/>
        <v>1720500</v>
      </c>
      <c r="BD296" s="140"/>
      <c r="BE296" s="40"/>
      <c r="BF296" s="235">
        <v>1720500</v>
      </c>
      <c r="BG296" s="37"/>
      <c r="BH296" s="105">
        <v>0</v>
      </c>
      <c r="BI296" s="11"/>
    </row>
    <row r="297" spans="2:61" s="1" customFormat="1">
      <c r="B297" s="140" t="s">
        <v>407</v>
      </c>
      <c r="C297" s="13" t="s">
        <v>643</v>
      </c>
      <c r="D297" s="1367"/>
      <c r="E297" s="1367"/>
      <c r="F297" s="1365">
        <f t="shared" si="184"/>
        <v>0</v>
      </c>
      <c r="G297" s="1365">
        <f t="shared" si="183"/>
        <v>0</v>
      </c>
      <c r="H297" s="1367">
        <f t="shared" si="185"/>
        <v>0</v>
      </c>
      <c r="I297" s="1384"/>
      <c r="J297" s="1367"/>
      <c r="K297" s="1384"/>
      <c r="L297" s="1367"/>
      <c r="M297" s="1367">
        <f t="shared" si="186"/>
        <v>0</v>
      </c>
      <c r="N297" s="1967"/>
      <c r="O297" s="1057"/>
      <c r="P297" s="1485"/>
      <c r="Q297" s="1367"/>
      <c r="R297" s="1485">
        <f t="shared" si="187"/>
        <v>0</v>
      </c>
      <c r="S297" s="1481"/>
      <c r="T297" s="1485"/>
      <c r="U297" s="1481"/>
      <c r="V297" s="1485"/>
      <c r="W297" s="1485">
        <f t="shared" si="188"/>
        <v>0</v>
      </c>
      <c r="X297" s="1189"/>
      <c r="Y297" s="106"/>
      <c r="Z297" s="698">
        <v>0</v>
      </c>
      <c r="AA297" s="698">
        <f t="shared" si="189"/>
        <v>0</v>
      </c>
      <c r="AB297" s="253"/>
      <c r="AC297" s="106"/>
      <c r="AD297" s="253"/>
      <c r="AE297" s="106"/>
      <c r="AF297" s="698">
        <f t="shared" si="190"/>
        <v>0</v>
      </c>
      <c r="AG297" s="698"/>
      <c r="AH297" s="208"/>
      <c r="AI297" s="140">
        <v>0</v>
      </c>
      <c r="AJ297" s="140"/>
      <c r="AK297" s="140"/>
      <c r="AL297" s="673"/>
      <c r="AM297" s="140"/>
      <c r="AN297" s="140"/>
      <c r="AO297" s="140">
        <f t="shared" si="191"/>
        <v>0</v>
      </c>
      <c r="AP297" s="437"/>
      <c r="AQ297" s="140"/>
      <c r="AR297" s="437"/>
      <c r="AS297" s="140"/>
      <c r="AT297" s="140">
        <f t="shared" si="192"/>
        <v>0</v>
      </c>
      <c r="AU297" s="66"/>
      <c r="AV297" s="140"/>
      <c r="AW297" s="140"/>
      <c r="AX297" s="140">
        <f t="shared" si="193"/>
        <v>0</v>
      </c>
      <c r="AY297" s="437"/>
      <c r="AZ297" s="140"/>
      <c r="BA297" s="437"/>
      <c r="BB297" s="140"/>
      <c r="BC297" s="140">
        <f t="shared" si="194"/>
        <v>0</v>
      </c>
      <c r="BD297" s="140"/>
      <c r="BE297" s="40"/>
      <c r="BF297" s="235">
        <v>0</v>
      </c>
      <c r="BG297" s="37"/>
      <c r="BH297" s="235">
        <v>35250000</v>
      </c>
      <c r="BI297" s="11"/>
    </row>
    <row r="298" spans="2:61" s="1" customFormat="1">
      <c r="B298" s="140" t="s">
        <v>407</v>
      </c>
      <c r="C298" s="13" t="s">
        <v>644</v>
      </c>
      <c r="D298" s="1367"/>
      <c r="E298" s="1372">
        <v>24975000</v>
      </c>
      <c r="F298" s="1365">
        <f t="shared" si="184"/>
        <v>24975000</v>
      </c>
      <c r="G298" s="1365">
        <f t="shared" si="183"/>
        <v>0</v>
      </c>
      <c r="H298" s="1367">
        <f t="shared" si="185"/>
        <v>24975000</v>
      </c>
      <c r="I298" s="1384"/>
      <c r="J298" s="1367"/>
      <c r="K298" s="1384"/>
      <c r="L298" s="1367"/>
      <c r="M298" s="2143">
        <f t="shared" si="186"/>
        <v>24975000</v>
      </c>
      <c r="N298" s="1967"/>
      <c r="O298" s="1057"/>
      <c r="P298" s="1485"/>
      <c r="Q298" s="1372">
        <v>24975000</v>
      </c>
      <c r="R298" s="1485">
        <f t="shared" si="187"/>
        <v>24975000</v>
      </c>
      <c r="S298" s="1481"/>
      <c r="T298" s="1485"/>
      <c r="U298" s="1481"/>
      <c r="V298" s="1485"/>
      <c r="W298" s="1485">
        <f t="shared" si="188"/>
        <v>24975000</v>
      </c>
      <c r="X298" s="1189"/>
      <c r="Y298" s="106"/>
      <c r="Z298" s="698">
        <v>49950000</v>
      </c>
      <c r="AA298" s="698">
        <f t="shared" si="189"/>
        <v>49950000</v>
      </c>
      <c r="AB298" s="253"/>
      <c r="AC298" s="106"/>
      <c r="AD298" s="253"/>
      <c r="AE298" s="106"/>
      <c r="AF298" s="698">
        <f t="shared" si="190"/>
        <v>49950000</v>
      </c>
      <c r="AG298" s="698"/>
      <c r="AH298" s="208"/>
      <c r="AI298" s="2142">
        <v>49950000</v>
      </c>
      <c r="AJ298" s="140"/>
      <c r="AK298" s="140"/>
      <c r="AL298" s="673"/>
      <c r="AM298" s="140"/>
      <c r="AN298" s="140"/>
      <c r="AO298" s="140">
        <f t="shared" si="191"/>
        <v>0</v>
      </c>
      <c r="AP298" s="437"/>
      <c r="AQ298" s="140"/>
      <c r="AR298" s="437"/>
      <c r="AS298" s="140"/>
      <c r="AT298" s="140">
        <f t="shared" si="192"/>
        <v>0</v>
      </c>
      <c r="AU298" s="66"/>
      <c r="AV298" s="140"/>
      <c r="AW298" s="140"/>
      <c r="AX298" s="140">
        <f t="shared" si="193"/>
        <v>0</v>
      </c>
      <c r="AY298" s="437"/>
      <c r="AZ298" s="140"/>
      <c r="BA298" s="437"/>
      <c r="BB298" s="140"/>
      <c r="BC298" s="140">
        <f t="shared" si="194"/>
        <v>0</v>
      </c>
      <c r="BD298" s="140"/>
      <c r="BE298" s="40"/>
      <c r="BF298" s="235">
        <v>51060000</v>
      </c>
      <c r="BG298" s="37"/>
      <c r="BH298" s="105">
        <v>36850000</v>
      </c>
      <c r="BI298" s="11"/>
    </row>
    <row r="299" spans="2:61" s="1" customFormat="1">
      <c r="B299" s="140" t="s">
        <v>407</v>
      </c>
      <c r="C299" s="13" t="s">
        <v>645</v>
      </c>
      <c r="D299" s="1367"/>
      <c r="E299" s="1367"/>
      <c r="F299" s="1365">
        <f t="shared" si="184"/>
        <v>0</v>
      </c>
      <c r="G299" s="1365">
        <f t="shared" si="183"/>
        <v>0</v>
      </c>
      <c r="H299" s="1367">
        <f t="shared" si="185"/>
        <v>0</v>
      </c>
      <c r="I299" s="1384"/>
      <c r="J299" s="1367"/>
      <c r="K299" s="1384"/>
      <c r="L299" s="1367"/>
      <c r="M299" s="1367">
        <f t="shared" si="186"/>
        <v>0</v>
      </c>
      <c r="N299" s="1967"/>
      <c r="O299" s="1057"/>
      <c r="P299" s="1485"/>
      <c r="Q299" s="1367"/>
      <c r="R299" s="1485">
        <f t="shared" si="187"/>
        <v>0</v>
      </c>
      <c r="S299" s="1481"/>
      <c r="T299" s="1485"/>
      <c r="U299" s="1481"/>
      <c r="V299" s="1485"/>
      <c r="W299" s="1485">
        <f t="shared" si="188"/>
        <v>0</v>
      </c>
      <c r="X299" s="1189"/>
      <c r="Y299" s="106"/>
      <c r="Z299" s="698">
        <v>0</v>
      </c>
      <c r="AA299" s="698">
        <f t="shared" si="189"/>
        <v>0</v>
      </c>
      <c r="AB299" s="253"/>
      <c r="AC299" s="106"/>
      <c r="AD299" s="253"/>
      <c r="AE299" s="106"/>
      <c r="AF299" s="698">
        <f t="shared" si="190"/>
        <v>0</v>
      </c>
      <c r="AG299" s="698"/>
      <c r="AH299" s="208"/>
      <c r="AI299" s="140">
        <v>0</v>
      </c>
      <c r="AJ299" s="140"/>
      <c r="AK299" s="140"/>
      <c r="AL299" s="673"/>
      <c r="AM299" s="140"/>
      <c r="AN299" s="140"/>
      <c r="AO299" s="140">
        <f t="shared" si="191"/>
        <v>0</v>
      </c>
      <c r="AP299" s="437"/>
      <c r="AQ299" s="140"/>
      <c r="AR299" s="437"/>
      <c r="AS299" s="140"/>
      <c r="AT299" s="140">
        <f t="shared" si="192"/>
        <v>0</v>
      </c>
      <c r="AU299" s="66"/>
      <c r="AV299" s="140"/>
      <c r="AW299" s="140"/>
      <c r="AX299" s="140">
        <f t="shared" si="193"/>
        <v>0</v>
      </c>
      <c r="AY299" s="437"/>
      <c r="AZ299" s="140"/>
      <c r="BA299" s="437"/>
      <c r="BB299" s="140"/>
      <c r="BC299" s="140">
        <f t="shared" si="194"/>
        <v>0</v>
      </c>
      <c r="BD299" s="140"/>
      <c r="BE299" s="40"/>
      <c r="BF299" s="235">
        <v>80554032</v>
      </c>
      <c r="BG299" s="37"/>
      <c r="BH299" s="235">
        <v>0</v>
      </c>
      <c r="BI299" s="11"/>
    </row>
    <row r="300" spans="2:61" s="1" customFormat="1">
      <c r="B300" s="140"/>
      <c r="C300" s="106" t="s">
        <v>646</v>
      </c>
      <c r="D300" s="1367"/>
      <c r="E300" s="1367">
        <v>355200000</v>
      </c>
      <c r="F300" s="1365"/>
      <c r="G300" s="1365"/>
      <c r="H300" s="1367">
        <f t="shared" si="185"/>
        <v>355200000</v>
      </c>
      <c r="I300" s="1384"/>
      <c r="J300" s="1367"/>
      <c r="K300" s="1384"/>
      <c r="L300" s="1367"/>
      <c r="M300" s="2143">
        <f t="shared" si="186"/>
        <v>355200000</v>
      </c>
      <c r="N300" s="1967">
        <f>M300+M338</f>
        <v>739260000</v>
      </c>
      <c r="O300" s="1057"/>
      <c r="P300" s="1485"/>
      <c r="Q300" s="1367"/>
      <c r="R300" s="1485"/>
      <c r="S300" s="1481"/>
      <c r="T300" s="1485"/>
      <c r="U300" s="1481"/>
      <c r="V300" s="1485"/>
      <c r="W300" s="1485"/>
      <c r="X300" s="1189"/>
      <c r="Y300" s="106"/>
      <c r="Z300" s="698"/>
      <c r="AA300" s="698"/>
      <c r="AB300" s="253"/>
      <c r="AC300" s="106"/>
      <c r="AD300" s="253"/>
      <c r="AE300" s="106"/>
      <c r="AF300" s="698"/>
      <c r="AG300" s="698"/>
      <c r="AH300" s="208"/>
      <c r="AI300" s="140"/>
      <c r="AJ300" s="140"/>
      <c r="AK300" s="140"/>
      <c r="AL300" s="673"/>
      <c r="AM300" s="140"/>
      <c r="AN300" s="140"/>
      <c r="AO300" s="140"/>
      <c r="AP300" s="437"/>
      <c r="AQ300" s="140"/>
      <c r="AR300" s="437"/>
      <c r="AS300" s="140"/>
      <c r="AT300" s="140"/>
      <c r="AU300" s="66"/>
      <c r="AV300" s="140"/>
      <c r="AW300" s="140"/>
      <c r="AX300" s="140"/>
      <c r="AY300" s="437"/>
      <c r="AZ300" s="140"/>
      <c r="BA300" s="437"/>
      <c r="BB300" s="140"/>
      <c r="BC300" s="140"/>
      <c r="BD300" s="140"/>
      <c r="BE300" s="40"/>
      <c r="BF300" s="235"/>
      <c r="BG300" s="37"/>
      <c r="BH300" s="235"/>
      <c r="BI300" s="11"/>
    </row>
    <row r="301" spans="2:61" s="1" customFormat="1">
      <c r="B301" s="140" t="s">
        <v>407</v>
      </c>
      <c r="C301" s="13" t="s">
        <v>647</v>
      </c>
      <c r="D301" s="1367"/>
      <c r="E301" s="1367">
        <v>0</v>
      </c>
      <c r="F301" s="1365">
        <f t="shared" si="184"/>
        <v>0</v>
      </c>
      <c r="G301" s="1365">
        <f t="shared" si="183"/>
        <v>0</v>
      </c>
      <c r="H301" s="1367">
        <f t="shared" si="185"/>
        <v>0</v>
      </c>
      <c r="I301" s="1384"/>
      <c r="J301" s="1367"/>
      <c r="K301" s="1384"/>
      <c r="L301" s="1367"/>
      <c r="M301" s="1367">
        <f t="shared" si="186"/>
        <v>0</v>
      </c>
      <c r="N301" s="1967"/>
      <c r="O301" s="1057"/>
      <c r="P301" s="1485"/>
      <c r="Q301" s="1372">
        <f>ROUND(150131008.8,0)</f>
        <v>150131009</v>
      </c>
      <c r="R301" s="1485">
        <f t="shared" si="187"/>
        <v>150131009</v>
      </c>
      <c r="S301" s="1481"/>
      <c r="T301" s="1485"/>
      <c r="U301" s="1481"/>
      <c r="V301" s="1485"/>
      <c r="W301" s="1485">
        <f t="shared" si="188"/>
        <v>150131009</v>
      </c>
      <c r="X301" s="1189"/>
      <c r="Y301" s="106"/>
      <c r="Z301" s="698">
        <v>90842401</v>
      </c>
      <c r="AA301" s="698">
        <f t="shared" si="189"/>
        <v>90842401</v>
      </c>
      <c r="AB301" s="253"/>
      <c r="AC301" s="106"/>
      <c r="AD301" s="253"/>
      <c r="AE301" s="106"/>
      <c r="AF301" s="698">
        <f t="shared" si="190"/>
        <v>90842401</v>
      </c>
      <c r="AG301" s="698"/>
      <c r="AH301" s="208"/>
      <c r="AI301" s="140">
        <v>122323133</v>
      </c>
      <c r="AJ301" s="140"/>
      <c r="AK301" s="140"/>
      <c r="AL301" s="673"/>
      <c r="AM301" s="140"/>
      <c r="AN301" s="140">
        <v>139544783</v>
      </c>
      <c r="AO301" s="140">
        <f t="shared" si="191"/>
        <v>139544783</v>
      </c>
      <c r="AP301" s="437"/>
      <c r="AQ301" s="140"/>
      <c r="AR301" s="437"/>
      <c r="AS301" s="140"/>
      <c r="AT301" s="140">
        <f t="shared" si="192"/>
        <v>139544783</v>
      </c>
      <c r="AU301" s="66"/>
      <c r="AV301" s="140"/>
      <c r="AW301" s="140">
        <v>71190961</v>
      </c>
      <c r="AX301" s="140">
        <f t="shared" si="193"/>
        <v>71190961</v>
      </c>
      <c r="AY301" s="437"/>
      <c r="AZ301" s="140"/>
      <c r="BA301" s="437"/>
      <c r="BB301" s="140"/>
      <c r="BC301" s="140">
        <f t="shared" si="194"/>
        <v>71190961</v>
      </c>
      <c r="BD301" s="140"/>
      <c r="BE301" s="40"/>
      <c r="BF301" s="235">
        <v>460315835</v>
      </c>
      <c r="BG301" s="37"/>
      <c r="BH301" s="105">
        <v>162501900</v>
      </c>
      <c r="BI301" s="11"/>
    </row>
    <row r="302" spans="2:61" s="1" customFormat="1">
      <c r="B302" s="140" t="s">
        <v>407</v>
      </c>
      <c r="C302" s="13" t="s">
        <v>648</v>
      </c>
      <c r="D302" s="1367"/>
      <c r="E302" s="1372">
        <f>ROUND(29859000.2,0)</f>
        <v>29859000</v>
      </c>
      <c r="F302" s="1365">
        <f t="shared" si="184"/>
        <v>29859000</v>
      </c>
      <c r="G302" s="1365">
        <f t="shared" si="183"/>
        <v>0</v>
      </c>
      <c r="H302" s="1367">
        <f t="shared" si="185"/>
        <v>29859000</v>
      </c>
      <c r="I302" s="1384"/>
      <c r="J302" s="1367"/>
      <c r="K302" s="1384"/>
      <c r="L302" s="1367"/>
      <c r="M302" s="2143">
        <f t="shared" si="186"/>
        <v>29859000</v>
      </c>
      <c r="N302" s="1967"/>
      <c r="O302" s="1057"/>
      <c r="P302" s="1485"/>
      <c r="Q302" s="1372">
        <f>ROUND(29859000.2,0)</f>
        <v>29859000</v>
      </c>
      <c r="R302" s="1485">
        <f t="shared" si="187"/>
        <v>29859000</v>
      </c>
      <c r="S302" s="1481"/>
      <c r="T302" s="1485"/>
      <c r="U302" s="1481"/>
      <c r="V302" s="1485"/>
      <c r="W302" s="1485">
        <f t="shared" si="188"/>
        <v>29859000</v>
      </c>
      <c r="X302" s="1189"/>
      <c r="Y302" s="106"/>
      <c r="Z302" s="698">
        <v>29859000</v>
      </c>
      <c r="AA302" s="698">
        <f t="shared" si="189"/>
        <v>29859000</v>
      </c>
      <c r="AB302" s="253"/>
      <c r="AC302" s="106"/>
      <c r="AD302" s="253"/>
      <c r="AE302" s="106"/>
      <c r="AF302" s="698">
        <f t="shared" si="190"/>
        <v>29859000</v>
      </c>
      <c r="AG302" s="698"/>
      <c r="AH302" s="208"/>
      <c r="AI302" s="140">
        <v>20684850</v>
      </c>
      <c r="AJ302" s="140"/>
      <c r="AK302" s="140"/>
      <c r="AL302" s="673"/>
      <c r="AM302" s="140"/>
      <c r="AN302" s="140">
        <v>19852350</v>
      </c>
      <c r="AO302" s="140">
        <f t="shared" si="191"/>
        <v>19852350</v>
      </c>
      <c r="AP302" s="437"/>
      <c r="AQ302" s="140"/>
      <c r="AR302" s="437"/>
      <c r="AS302" s="140"/>
      <c r="AT302" s="140">
        <f t="shared" si="192"/>
        <v>19852350</v>
      </c>
      <c r="AU302" s="66"/>
      <c r="AV302" s="140"/>
      <c r="AW302" s="140">
        <v>8325000</v>
      </c>
      <c r="AX302" s="140">
        <f t="shared" si="193"/>
        <v>8325000</v>
      </c>
      <c r="AY302" s="437"/>
      <c r="AZ302" s="140"/>
      <c r="BA302" s="437"/>
      <c r="BB302" s="140"/>
      <c r="BC302" s="140">
        <f t="shared" si="194"/>
        <v>8325000</v>
      </c>
      <c r="BD302" s="140"/>
      <c r="BE302" s="40"/>
      <c r="BF302" s="235">
        <v>19517130</v>
      </c>
      <c r="BG302" s="37"/>
      <c r="BH302" s="105">
        <v>37729725</v>
      </c>
      <c r="BI302" s="11"/>
    </row>
    <row r="303" spans="2:61" s="1" customFormat="1">
      <c r="B303" s="140" t="s">
        <v>407</v>
      </c>
      <c r="C303" s="13" t="s">
        <v>649</v>
      </c>
      <c r="D303" s="1367"/>
      <c r="E303" s="1367">
        <v>0</v>
      </c>
      <c r="F303" s="1365">
        <f t="shared" si="184"/>
        <v>0</v>
      </c>
      <c r="G303" s="1365">
        <f t="shared" si="183"/>
        <v>0</v>
      </c>
      <c r="H303" s="1367">
        <f t="shared" si="185"/>
        <v>0</v>
      </c>
      <c r="I303" s="1384"/>
      <c r="J303" s="1367"/>
      <c r="K303" s="1384"/>
      <c r="L303" s="1367"/>
      <c r="M303" s="1367">
        <f t="shared" si="186"/>
        <v>0</v>
      </c>
      <c r="N303" s="1967"/>
      <c r="O303" s="1057"/>
      <c r="P303" s="1485"/>
      <c r="Q303" s="1372">
        <f>ROUND(133404408.75,0)</f>
        <v>133404409</v>
      </c>
      <c r="R303" s="1485">
        <f t="shared" si="187"/>
        <v>133404409</v>
      </c>
      <c r="S303" s="1481"/>
      <c r="T303" s="1485"/>
      <c r="U303" s="1481"/>
      <c r="V303" s="1485"/>
      <c r="W303" s="1485">
        <f t="shared" si="188"/>
        <v>133404409</v>
      </c>
      <c r="X303" s="1189"/>
      <c r="Y303" s="106"/>
      <c r="Z303" s="698">
        <v>97362542</v>
      </c>
      <c r="AA303" s="698">
        <f t="shared" si="189"/>
        <v>97362542</v>
      </c>
      <c r="AB303" s="253"/>
      <c r="AC303" s="106"/>
      <c r="AD303" s="253"/>
      <c r="AE303" s="106"/>
      <c r="AF303" s="698">
        <f t="shared" si="190"/>
        <v>97362542</v>
      </c>
      <c r="AG303" s="698"/>
      <c r="AH303" s="208"/>
      <c r="AI303" s="2142">
        <v>34576502</v>
      </c>
      <c r="AJ303" s="140"/>
      <c r="AK303" s="140"/>
      <c r="AL303" s="673"/>
      <c r="AM303" s="140"/>
      <c r="AN303" s="140">
        <v>85628732</v>
      </c>
      <c r="AO303" s="140">
        <f t="shared" si="191"/>
        <v>85628732</v>
      </c>
      <c r="AP303" s="437"/>
      <c r="AQ303" s="140"/>
      <c r="AR303" s="437"/>
      <c r="AS303" s="140"/>
      <c r="AT303" s="140">
        <f t="shared" si="192"/>
        <v>85628732</v>
      </c>
      <c r="AU303" s="66"/>
      <c r="AV303" s="140"/>
      <c r="AW303" s="140">
        <v>135828038</v>
      </c>
      <c r="AX303" s="140">
        <f t="shared" si="193"/>
        <v>135828038</v>
      </c>
      <c r="AY303" s="437"/>
      <c r="AZ303" s="140"/>
      <c r="BA303" s="437"/>
      <c r="BB303" s="140"/>
      <c r="BC303" s="140">
        <f t="shared" si="194"/>
        <v>135828038</v>
      </c>
      <c r="BD303" s="140"/>
      <c r="BE303" s="40"/>
      <c r="BF303" s="235">
        <v>140831030</v>
      </c>
      <c r="BG303" s="37"/>
      <c r="BH303" s="105">
        <v>119390151</v>
      </c>
      <c r="BI303" s="11"/>
    </row>
    <row r="304" spans="2:61" s="1" customFormat="1">
      <c r="B304" s="140" t="s">
        <v>407</v>
      </c>
      <c r="C304" s="13" t="s">
        <v>650</v>
      </c>
      <c r="D304" s="1367"/>
      <c r="E304" s="1372">
        <v>55230003</v>
      </c>
      <c r="F304" s="1365">
        <f t="shared" si="184"/>
        <v>55230003</v>
      </c>
      <c r="G304" s="1365">
        <f t="shared" si="183"/>
        <v>0</v>
      </c>
      <c r="H304" s="1367">
        <f t="shared" si="185"/>
        <v>55230003</v>
      </c>
      <c r="I304" s="1384"/>
      <c r="J304" s="1367"/>
      <c r="K304" s="1384"/>
      <c r="L304" s="1367"/>
      <c r="M304" s="2143">
        <f t="shared" si="186"/>
        <v>55230003</v>
      </c>
      <c r="N304" s="1967"/>
      <c r="O304" s="1057"/>
      <c r="P304" s="1485"/>
      <c r="Q304" s="1372">
        <f>ROUND(40800003,0)</f>
        <v>40800003</v>
      </c>
      <c r="R304" s="1485">
        <f t="shared" si="187"/>
        <v>40800003</v>
      </c>
      <c r="S304" s="1481"/>
      <c r="T304" s="1485"/>
      <c r="U304" s="1481"/>
      <c r="V304" s="1485"/>
      <c r="W304" s="1485">
        <f t="shared" si="188"/>
        <v>40800003</v>
      </c>
      <c r="X304" s="1189"/>
      <c r="Y304" s="106"/>
      <c r="Z304" s="698">
        <v>42400000</v>
      </c>
      <c r="AA304" s="698">
        <f t="shared" si="189"/>
        <v>42400000</v>
      </c>
      <c r="AB304" s="253"/>
      <c r="AC304" s="106"/>
      <c r="AD304" s="253"/>
      <c r="AE304" s="106"/>
      <c r="AF304" s="698">
        <f t="shared" si="190"/>
        <v>42400000</v>
      </c>
      <c r="AG304" s="698"/>
      <c r="AH304" s="208"/>
      <c r="AI304" s="2142">
        <v>56950000</v>
      </c>
      <c r="AJ304" s="140"/>
      <c r="AK304" s="140"/>
      <c r="AL304" s="673"/>
      <c r="AM304" s="140"/>
      <c r="AN304" s="140">
        <v>59190000</v>
      </c>
      <c r="AO304" s="140">
        <f t="shared" si="191"/>
        <v>59190000</v>
      </c>
      <c r="AP304" s="437"/>
      <c r="AQ304" s="140"/>
      <c r="AR304" s="437"/>
      <c r="AS304" s="140"/>
      <c r="AT304" s="140">
        <f t="shared" si="192"/>
        <v>59190000</v>
      </c>
      <c r="AU304" s="66"/>
      <c r="AV304" s="140"/>
      <c r="AW304" s="140">
        <v>45680000</v>
      </c>
      <c r="AX304" s="140">
        <f t="shared" si="193"/>
        <v>45680000</v>
      </c>
      <c r="AY304" s="437"/>
      <c r="AZ304" s="140"/>
      <c r="BA304" s="437"/>
      <c r="BB304" s="140"/>
      <c r="BC304" s="140">
        <f t="shared" si="194"/>
        <v>45680000</v>
      </c>
      <c r="BD304" s="140"/>
      <c r="BE304" s="40"/>
      <c r="BF304" s="235">
        <v>44640000</v>
      </c>
      <c r="BG304" s="37"/>
      <c r="BH304" s="105">
        <v>12350000</v>
      </c>
      <c r="BI304" s="11"/>
    </row>
    <row r="305" spans="2:61" s="1" customFormat="1">
      <c r="B305" s="8"/>
      <c r="C305" s="4" t="s">
        <v>651</v>
      </c>
      <c r="D305" s="1365"/>
      <c r="E305" s="218"/>
      <c r="F305" s="1365">
        <f t="shared" si="184"/>
        <v>0</v>
      </c>
      <c r="G305" s="1365">
        <f t="shared" si="183"/>
        <v>0</v>
      </c>
      <c r="H305" s="1365">
        <f t="shared" si="185"/>
        <v>0</v>
      </c>
      <c r="I305" s="1384"/>
      <c r="J305" s="1365"/>
      <c r="K305" s="1384"/>
      <c r="L305" s="1365"/>
      <c r="M305" s="1365">
        <f t="shared" si="186"/>
        <v>0</v>
      </c>
      <c r="N305" s="2259"/>
      <c r="O305" s="1058"/>
      <c r="P305" s="1482"/>
      <c r="Q305" s="1365"/>
      <c r="R305" s="1482">
        <f t="shared" si="187"/>
        <v>0</v>
      </c>
      <c r="S305" s="1481"/>
      <c r="T305" s="1482"/>
      <c r="U305" s="1481"/>
      <c r="V305" s="1482"/>
      <c r="W305" s="1482">
        <f t="shared" si="188"/>
        <v>0</v>
      </c>
      <c r="X305" s="1187"/>
      <c r="Y305" s="90"/>
      <c r="Z305" s="697">
        <v>0</v>
      </c>
      <c r="AA305" s="697">
        <f t="shared" si="189"/>
        <v>0</v>
      </c>
      <c r="AB305" s="253"/>
      <c r="AC305" s="90"/>
      <c r="AD305" s="253"/>
      <c r="AE305" s="90"/>
      <c r="AF305" s="697">
        <f t="shared" si="190"/>
        <v>0</v>
      </c>
      <c r="AG305" s="697"/>
      <c r="AH305" s="207"/>
      <c r="AI305" s="140">
        <v>0</v>
      </c>
      <c r="AJ305" s="140"/>
      <c r="AK305" s="140"/>
      <c r="AL305" s="673"/>
      <c r="AM305" s="140"/>
      <c r="AN305" s="140"/>
      <c r="AO305" s="140">
        <f t="shared" si="191"/>
        <v>0</v>
      </c>
      <c r="AP305" s="437"/>
      <c r="AQ305" s="140"/>
      <c r="AR305" s="437"/>
      <c r="AS305" s="140"/>
      <c r="AT305" s="140">
        <f t="shared" si="192"/>
        <v>0</v>
      </c>
      <c r="AU305" s="66"/>
      <c r="AV305" s="140"/>
      <c r="AW305" s="140"/>
      <c r="AX305" s="140">
        <f t="shared" si="193"/>
        <v>0</v>
      </c>
      <c r="AY305" s="437"/>
      <c r="AZ305" s="140"/>
      <c r="BA305" s="437"/>
      <c r="BB305" s="140"/>
      <c r="BC305" s="140">
        <f t="shared" si="194"/>
        <v>0</v>
      </c>
      <c r="BD305" s="140"/>
      <c r="BE305" s="128"/>
      <c r="BF305" s="219"/>
      <c r="BG305" s="37"/>
      <c r="BH305" s="219"/>
      <c r="BI305" s="11"/>
    </row>
    <row r="306" spans="2:61" s="1" customFormat="1">
      <c r="B306" s="140" t="s">
        <v>407</v>
      </c>
      <c r="C306" s="13" t="s">
        <v>652</v>
      </c>
      <c r="D306" s="1367"/>
      <c r="E306" s="1367"/>
      <c r="F306" s="1365">
        <f t="shared" si="184"/>
        <v>0</v>
      </c>
      <c r="G306" s="1365">
        <f t="shared" si="183"/>
        <v>0</v>
      </c>
      <c r="H306" s="1367">
        <f t="shared" si="185"/>
        <v>0</v>
      </c>
      <c r="I306" s="1384"/>
      <c r="J306" s="1367"/>
      <c r="K306" s="1384"/>
      <c r="L306" s="1367"/>
      <c r="M306" s="1367">
        <f t="shared" si="186"/>
        <v>0</v>
      </c>
      <c r="N306" s="1967"/>
      <c r="O306" s="1057"/>
      <c r="P306" s="1485"/>
      <c r="Q306" s="1367"/>
      <c r="R306" s="1485">
        <f t="shared" si="187"/>
        <v>0</v>
      </c>
      <c r="S306" s="1481"/>
      <c r="T306" s="1485"/>
      <c r="U306" s="1481"/>
      <c r="V306" s="1485"/>
      <c r="W306" s="1485">
        <f t="shared" si="188"/>
        <v>0</v>
      </c>
      <c r="X306" s="1189"/>
      <c r="Y306" s="106"/>
      <c r="Z306" s="698">
        <v>0</v>
      </c>
      <c r="AA306" s="698">
        <f t="shared" si="189"/>
        <v>0</v>
      </c>
      <c r="AB306" s="253"/>
      <c r="AC306" s="106"/>
      <c r="AD306" s="253"/>
      <c r="AE306" s="106"/>
      <c r="AF306" s="698">
        <f t="shared" si="190"/>
        <v>0</v>
      </c>
      <c r="AG306" s="698"/>
      <c r="AH306" s="208"/>
      <c r="AI306" s="140">
        <v>0</v>
      </c>
      <c r="AJ306" s="140"/>
      <c r="AK306" s="140"/>
      <c r="AL306" s="673"/>
      <c r="AM306" s="140"/>
      <c r="AN306" s="140"/>
      <c r="AO306" s="140">
        <f t="shared" si="191"/>
        <v>0</v>
      </c>
      <c r="AP306" s="437"/>
      <c r="AQ306" s="140"/>
      <c r="AR306" s="437"/>
      <c r="AS306" s="140"/>
      <c r="AT306" s="140">
        <f t="shared" si="192"/>
        <v>0</v>
      </c>
      <c r="AU306" s="66"/>
      <c r="AV306" s="140"/>
      <c r="AW306" s="140"/>
      <c r="AX306" s="140">
        <f t="shared" si="193"/>
        <v>0</v>
      </c>
      <c r="AY306" s="437"/>
      <c r="AZ306" s="140"/>
      <c r="BA306" s="437"/>
      <c r="BB306" s="140"/>
      <c r="BC306" s="140">
        <f t="shared" si="194"/>
        <v>0</v>
      </c>
      <c r="BD306" s="140"/>
      <c r="BE306" s="40"/>
      <c r="BF306" s="235">
        <v>0</v>
      </c>
      <c r="BG306" s="37"/>
      <c r="BH306" s="105">
        <v>0</v>
      </c>
      <c r="BI306" s="11"/>
    </row>
    <row r="307" spans="2:61" s="1" customFormat="1">
      <c r="B307" s="140" t="s">
        <v>407</v>
      </c>
      <c r="C307" s="13" t="s">
        <v>653</v>
      </c>
      <c r="D307" s="1367"/>
      <c r="E307" s="1367"/>
      <c r="F307" s="1365">
        <f t="shared" si="184"/>
        <v>0</v>
      </c>
      <c r="G307" s="1365">
        <f t="shared" si="183"/>
        <v>0</v>
      </c>
      <c r="H307" s="1367">
        <f t="shared" si="185"/>
        <v>0</v>
      </c>
      <c r="I307" s="1384"/>
      <c r="J307" s="1367"/>
      <c r="K307" s="1384"/>
      <c r="L307" s="1367"/>
      <c r="M307" s="1367">
        <f t="shared" si="186"/>
        <v>0</v>
      </c>
      <c r="N307" s="1967"/>
      <c r="O307" s="1057"/>
      <c r="P307" s="1485"/>
      <c r="Q307" s="1367"/>
      <c r="R307" s="1485">
        <f t="shared" si="187"/>
        <v>0</v>
      </c>
      <c r="S307" s="1481"/>
      <c r="T307" s="1485"/>
      <c r="U307" s="1481"/>
      <c r="V307" s="1485"/>
      <c r="W307" s="1485">
        <f t="shared" si="188"/>
        <v>0</v>
      </c>
      <c r="X307" s="1189"/>
      <c r="Y307" s="106"/>
      <c r="Z307" s="698">
        <v>0</v>
      </c>
      <c r="AA307" s="698">
        <f t="shared" si="189"/>
        <v>0</v>
      </c>
      <c r="AB307" s="253"/>
      <c r="AC307" s="106"/>
      <c r="AD307" s="253"/>
      <c r="AE307" s="106"/>
      <c r="AF307" s="698">
        <f t="shared" si="190"/>
        <v>0</v>
      </c>
      <c r="AG307" s="698"/>
      <c r="AH307" s="208"/>
      <c r="AI307" s="140">
        <v>0</v>
      </c>
      <c r="AJ307" s="140"/>
      <c r="AK307" s="140"/>
      <c r="AL307" s="673"/>
      <c r="AM307" s="140"/>
      <c r="AN307" s="140"/>
      <c r="AO307" s="140">
        <f t="shared" si="191"/>
        <v>0</v>
      </c>
      <c r="AP307" s="437"/>
      <c r="AQ307" s="140"/>
      <c r="AR307" s="437"/>
      <c r="AS307" s="140"/>
      <c r="AT307" s="140">
        <f t="shared" si="192"/>
        <v>0</v>
      </c>
      <c r="AU307" s="66"/>
      <c r="AV307" s="140"/>
      <c r="AW307" s="140"/>
      <c r="AX307" s="140">
        <f t="shared" si="193"/>
        <v>0</v>
      </c>
      <c r="AY307" s="437"/>
      <c r="AZ307" s="140"/>
      <c r="BA307" s="437"/>
      <c r="BB307" s="140"/>
      <c r="BC307" s="140">
        <f t="shared" si="194"/>
        <v>0</v>
      </c>
      <c r="BD307" s="140"/>
      <c r="BE307" s="40"/>
      <c r="BF307" s="235">
        <v>0</v>
      </c>
      <c r="BG307" s="37"/>
      <c r="BH307" s="105">
        <v>15480000</v>
      </c>
      <c r="BI307" s="11"/>
    </row>
    <row r="308" spans="2:61" s="1" customFormat="1">
      <c r="B308" s="140" t="s">
        <v>407</v>
      </c>
      <c r="C308" s="13" t="s">
        <v>654</v>
      </c>
      <c r="D308" s="1367"/>
      <c r="E308" s="1367"/>
      <c r="F308" s="1365">
        <f t="shared" si="184"/>
        <v>0</v>
      </c>
      <c r="G308" s="1365">
        <f t="shared" si="183"/>
        <v>0</v>
      </c>
      <c r="H308" s="1367">
        <f t="shared" si="185"/>
        <v>0</v>
      </c>
      <c r="I308" s="1384"/>
      <c r="J308" s="1367"/>
      <c r="K308" s="1384"/>
      <c r="L308" s="1367"/>
      <c r="M308" s="1367">
        <f t="shared" si="186"/>
        <v>0</v>
      </c>
      <c r="N308" s="1967"/>
      <c r="O308" s="1057"/>
      <c r="P308" s="1485"/>
      <c r="Q308" s="1367"/>
      <c r="R308" s="1485">
        <f t="shared" si="187"/>
        <v>0</v>
      </c>
      <c r="S308" s="1481"/>
      <c r="T308" s="1485"/>
      <c r="U308" s="1481"/>
      <c r="V308" s="1485"/>
      <c r="W308" s="1485">
        <f t="shared" si="188"/>
        <v>0</v>
      </c>
      <c r="X308" s="1189"/>
      <c r="Y308" s="106"/>
      <c r="Z308" s="698">
        <v>0</v>
      </c>
      <c r="AA308" s="698">
        <f t="shared" si="189"/>
        <v>0</v>
      </c>
      <c r="AB308" s="253"/>
      <c r="AC308" s="106"/>
      <c r="AD308" s="253"/>
      <c r="AE308" s="106"/>
      <c r="AF308" s="698">
        <f t="shared" si="190"/>
        <v>0</v>
      </c>
      <c r="AG308" s="698"/>
      <c r="AH308" s="208"/>
      <c r="AI308" s="140">
        <v>0</v>
      </c>
      <c r="AJ308" s="140"/>
      <c r="AK308" s="140"/>
      <c r="AL308" s="673"/>
      <c r="AM308" s="140"/>
      <c r="AN308" s="140"/>
      <c r="AO308" s="140">
        <f t="shared" si="191"/>
        <v>0</v>
      </c>
      <c r="AP308" s="437"/>
      <c r="AQ308" s="140"/>
      <c r="AR308" s="437"/>
      <c r="AS308" s="140"/>
      <c r="AT308" s="140">
        <f t="shared" si="192"/>
        <v>0</v>
      </c>
      <c r="AU308" s="66"/>
      <c r="AV308" s="140"/>
      <c r="AW308" s="140"/>
      <c r="AX308" s="140">
        <f t="shared" si="193"/>
        <v>0</v>
      </c>
      <c r="AY308" s="437"/>
      <c r="AZ308" s="140"/>
      <c r="BA308" s="437"/>
      <c r="BB308" s="140"/>
      <c r="BC308" s="140">
        <f t="shared" si="194"/>
        <v>0</v>
      </c>
      <c r="BD308" s="140"/>
      <c r="BE308" s="40"/>
      <c r="BF308" s="235">
        <v>6190000</v>
      </c>
      <c r="BG308" s="37"/>
      <c r="BH308" s="105">
        <v>61950000</v>
      </c>
      <c r="BI308" s="11"/>
    </row>
    <row r="309" spans="2:61" s="1" customFormat="1">
      <c r="B309" s="140" t="s">
        <v>407</v>
      </c>
      <c r="C309" s="13" t="s">
        <v>655</v>
      </c>
      <c r="D309" s="1367"/>
      <c r="E309" s="1372">
        <v>0</v>
      </c>
      <c r="F309" s="1365">
        <f t="shared" si="184"/>
        <v>0</v>
      </c>
      <c r="G309" s="1365">
        <f t="shared" si="183"/>
        <v>0</v>
      </c>
      <c r="H309" s="1367">
        <f t="shared" si="185"/>
        <v>0</v>
      </c>
      <c r="I309" s="1384"/>
      <c r="J309" s="1367"/>
      <c r="K309" s="1384"/>
      <c r="L309" s="1367"/>
      <c r="M309" s="1367">
        <f t="shared" si="186"/>
        <v>0</v>
      </c>
      <c r="N309" s="1967"/>
      <c r="O309" s="1057"/>
      <c r="P309" s="1485"/>
      <c r="Q309" s="1372">
        <v>5025000</v>
      </c>
      <c r="R309" s="1485">
        <f t="shared" si="187"/>
        <v>5025000</v>
      </c>
      <c r="S309" s="1481"/>
      <c r="T309" s="1485"/>
      <c r="U309" s="1481"/>
      <c r="V309" s="1485"/>
      <c r="W309" s="1485">
        <f t="shared" si="188"/>
        <v>5025000</v>
      </c>
      <c r="X309" s="1189"/>
      <c r="Y309" s="106"/>
      <c r="Z309" s="698">
        <v>5025000</v>
      </c>
      <c r="AA309" s="698">
        <f t="shared" si="189"/>
        <v>5025000</v>
      </c>
      <c r="AB309" s="253"/>
      <c r="AC309" s="106"/>
      <c r="AD309" s="253"/>
      <c r="AE309" s="106"/>
      <c r="AF309" s="698">
        <f t="shared" si="190"/>
        <v>5025000</v>
      </c>
      <c r="AG309" s="698"/>
      <c r="AH309" s="208"/>
      <c r="AI309" s="140">
        <v>5025000</v>
      </c>
      <c r="AJ309" s="140"/>
      <c r="AK309" s="140"/>
      <c r="AL309" s="673"/>
      <c r="AM309" s="140"/>
      <c r="AN309" s="140">
        <v>5025000</v>
      </c>
      <c r="AO309" s="140">
        <f t="shared" si="191"/>
        <v>5025000</v>
      </c>
      <c r="AP309" s="437"/>
      <c r="AQ309" s="140"/>
      <c r="AR309" s="437"/>
      <c r="AS309" s="140"/>
      <c r="AT309" s="140">
        <f t="shared" si="192"/>
        <v>5025000</v>
      </c>
      <c r="AU309" s="66"/>
      <c r="AV309" s="140"/>
      <c r="AW309" s="140">
        <v>5025000</v>
      </c>
      <c r="AX309" s="140">
        <f t="shared" si="193"/>
        <v>5025000</v>
      </c>
      <c r="AY309" s="437"/>
      <c r="AZ309" s="140"/>
      <c r="BA309" s="437"/>
      <c r="BB309" s="140"/>
      <c r="BC309" s="140">
        <f t="shared" si="194"/>
        <v>5025000</v>
      </c>
      <c r="BD309" s="140"/>
      <c r="BE309" s="40"/>
      <c r="BF309" s="235">
        <v>6480000</v>
      </c>
      <c r="BG309" s="37"/>
      <c r="BH309" s="105">
        <v>12964500</v>
      </c>
      <c r="BI309" s="11"/>
    </row>
    <row r="310" spans="2:61" s="1" customFormat="1">
      <c r="B310" s="140" t="s">
        <v>407</v>
      </c>
      <c r="C310" s="13" t="s">
        <v>656</v>
      </c>
      <c r="D310" s="1367"/>
      <c r="E310" s="1367"/>
      <c r="F310" s="1365">
        <f t="shared" si="184"/>
        <v>0</v>
      </c>
      <c r="G310" s="1365">
        <f t="shared" si="183"/>
        <v>0</v>
      </c>
      <c r="H310" s="1367">
        <f t="shared" si="185"/>
        <v>0</v>
      </c>
      <c r="I310" s="1384"/>
      <c r="J310" s="1367"/>
      <c r="K310" s="1384"/>
      <c r="L310" s="1367"/>
      <c r="M310" s="1367">
        <f t="shared" si="186"/>
        <v>0</v>
      </c>
      <c r="N310" s="1967"/>
      <c r="O310" s="1057"/>
      <c r="P310" s="1485"/>
      <c r="Q310" s="1367"/>
      <c r="R310" s="1485">
        <f t="shared" si="187"/>
        <v>0</v>
      </c>
      <c r="S310" s="1481"/>
      <c r="T310" s="1485"/>
      <c r="U310" s="1481"/>
      <c r="V310" s="1485"/>
      <c r="W310" s="1485">
        <f t="shared" si="188"/>
        <v>0</v>
      </c>
      <c r="X310" s="1189"/>
      <c r="Y310" s="106"/>
      <c r="Z310" s="698">
        <v>0</v>
      </c>
      <c r="AA310" s="698">
        <f t="shared" si="189"/>
        <v>0</v>
      </c>
      <c r="AB310" s="253"/>
      <c r="AC310" s="106"/>
      <c r="AD310" s="253"/>
      <c r="AE310" s="106"/>
      <c r="AF310" s="698">
        <f t="shared" si="190"/>
        <v>0</v>
      </c>
      <c r="AG310" s="698"/>
      <c r="AH310" s="208"/>
      <c r="AI310" s="140">
        <v>0</v>
      </c>
      <c r="AJ310" s="140"/>
      <c r="AK310" s="140"/>
      <c r="AL310" s="673"/>
      <c r="AM310" s="140"/>
      <c r="AN310" s="140">
        <v>36340000</v>
      </c>
      <c r="AO310" s="140">
        <f t="shared" si="191"/>
        <v>36340000</v>
      </c>
      <c r="AP310" s="437"/>
      <c r="AQ310" s="140"/>
      <c r="AR310" s="437"/>
      <c r="AS310" s="140"/>
      <c r="AT310" s="140">
        <f t="shared" si="192"/>
        <v>36340000</v>
      </c>
      <c r="AU310" s="66"/>
      <c r="AV310" s="140"/>
      <c r="AW310" s="140">
        <v>251135000</v>
      </c>
      <c r="AX310" s="140">
        <f t="shared" si="193"/>
        <v>251135000</v>
      </c>
      <c r="AY310" s="437"/>
      <c r="AZ310" s="140"/>
      <c r="BA310" s="437"/>
      <c r="BB310" s="140"/>
      <c r="BC310" s="140">
        <f t="shared" si="194"/>
        <v>251135000</v>
      </c>
      <c r="BD310" s="140"/>
      <c r="BE310" s="40"/>
      <c r="BF310" s="235">
        <v>747935000</v>
      </c>
      <c r="BG310" s="37"/>
      <c r="BH310" s="235">
        <v>0</v>
      </c>
      <c r="BI310" s="11"/>
    </row>
    <row r="311" spans="2:61" s="1" customFormat="1">
      <c r="B311" s="140" t="s">
        <v>407</v>
      </c>
      <c r="C311" s="13" t="s">
        <v>657</v>
      </c>
      <c r="D311" s="1367"/>
      <c r="E311" s="1367">
        <v>0</v>
      </c>
      <c r="F311" s="1365">
        <f t="shared" si="184"/>
        <v>0</v>
      </c>
      <c r="G311" s="1365">
        <f t="shared" si="183"/>
        <v>0</v>
      </c>
      <c r="H311" s="1367">
        <f t="shared" si="185"/>
        <v>0</v>
      </c>
      <c r="I311" s="1384"/>
      <c r="J311" s="1367"/>
      <c r="K311" s="1384"/>
      <c r="L311" s="1367"/>
      <c r="M311" s="1367">
        <f t="shared" si="186"/>
        <v>0</v>
      </c>
      <c r="N311" s="1967"/>
      <c r="O311" s="1057"/>
      <c r="P311" s="1485"/>
      <c r="Q311" s="1372">
        <f>ROUND(70999868.5,0)</f>
        <v>70999869</v>
      </c>
      <c r="R311" s="1485">
        <f t="shared" si="187"/>
        <v>70999869</v>
      </c>
      <c r="S311" s="1481"/>
      <c r="T311" s="1485"/>
      <c r="U311" s="1481"/>
      <c r="V311" s="1485"/>
      <c r="W311" s="1485">
        <f t="shared" si="188"/>
        <v>70999869</v>
      </c>
      <c r="X311" s="1189"/>
      <c r="Y311" s="106"/>
      <c r="Z311" s="698">
        <v>216000023</v>
      </c>
      <c r="AA311" s="698">
        <f t="shared" si="189"/>
        <v>216000023</v>
      </c>
      <c r="AB311" s="253"/>
      <c r="AC311" s="106"/>
      <c r="AD311" s="253"/>
      <c r="AE311" s="106"/>
      <c r="AF311" s="698">
        <f t="shared" si="190"/>
        <v>216000023</v>
      </c>
      <c r="AG311" s="698"/>
      <c r="AH311" s="208"/>
      <c r="AI311" s="140">
        <v>0</v>
      </c>
      <c r="AJ311" s="140"/>
      <c r="AK311" s="140"/>
      <c r="AL311" s="673"/>
      <c r="AM311" s="140"/>
      <c r="AN311" s="140"/>
      <c r="AO311" s="140">
        <f t="shared" si="191"/>
        <v>0</v>
      </c>
      <c r="AP311" s="437"/>
      <c r="AQ311" s="140"/>
      <c r="AR311" s="437"/>
      <c r="AS311" s="140"/>
      <c r="AT311" s="140">
        <f t="shared" si="192"/>
        <v>0</v>
      </c>
      <c r="AU311" s="66"/>
      <c r="AV311" s="140"/>
      <c r="AW311" s="140">
        <v>13080000</v>
      </c>
      <c r="AX311" s="140">
        <f t="shared" si="193"/>
        <v>13080000</v>
      </c>
      <c r="AY311" s="437"/>
      <c r="AZ311" s="140"/>
      <c r="BA311" s="437"/>
      <c r="BB311" s="140"/>
      <c r="BC311" s="140">
        <f t="shared" si="194"/>
        <v>13080000</v>
      </c>
      <c r="BD311" s="140"/>
      <c r="BE311" s="40"/>
      <c r="BF311" s="235">
        <v>0</v>
      </c>
      <c r="BG311" s="37"/>
      <c r="BH311" s="105">
        <v>164500588</v>
      </c>
      <c r="BI311" s="11"/>
    </row>
    <row r="312" spans="2:61" s="1" customFormat="1">
      <c r="B312" s="140" t="s">
        <v>407</v>
      </c>
      <c r="C312" s="13" t="s">
        <v>658</v>
      </c>
      <c r="D312" s="1375">
        <v>17646570</v>
      </c>
      <c r="E312" s="1372">
        <v>34791785</v>
      </c>
      <c r="F312" s="1365">
        <f t="shared" si="184"/>
        <v>52438355</v>
      </c>
      <c r="G312" s="1365">
        <f t="shared" si="183"/>
        <v>0</v>
      </c>
      <c r="H312" s="1367">
        <f t="shared" si="185"/>
        <v>52438355</v>
      </c>
      <c r="I312" s="1384"/>
      <c r="J312" s="1367"/>
      <c r="K312" s="1384"/>
      <c r="L312" s="1367"/>
      <c r="M312" s="2143">
        <f t="shared" si="186"/>
        <v>52438355</v>
      </c>
      <c r="N312" s="1967"/>
      <c r="O312" s="1057"/>
      <c r="P312" s="1485">
        <v>245100</v>
      </c>
      <c r="Q312" s="1372">
        <v>35157801</v>
      </c>
      <c r="R312" s="1485">
        <f t="shared" si="187"/>
        <v>35402901</v>
      </c>
      <c r="S312" s="1481"/>
      <c r="T312" s="1485"/>
      <c r="U312" s="1481"/>
      <c r="V312" s="1485"/>
      <c r="W312" s="1485">
        <f t="shared" si="188"/>
        <v>35402901</v>
      </c>
      <c r="X312" s="1189"/>
      <c r="Y312" s="106">
        <v>3070605</v>
      </c>
      <c r="Z312" s="698">
        <v>35571177</v>
      </c>
      <c r="AA312" s="698">
        <f t="shared" si="189"/>
        <v>38641782</v>
      </c>
      <c r="AB312" s="253"/>
      <c r="AC312" s="106"/>
      <c r="AD312" s="253"/>
      <c r="AE312" s="106"/>
      <c r="AF312" s="698">
        <f t="shared" si="190"/>
        <v>38641782</v>
      </c>
      <c r="AG312" s="698"/>
      <c r="AH312" s="208"/>
      <c r="AI312" s="2142">
        <v>156386992</v>
      </c>
      <c r="AJ312" s="140"/>
      <c r="AK312" s="140"/>
      <c r="AL312" s="673"/>
      <c r="AM312" s="140">
        <v>44456454</v>
      </c>
      <c r="AN312" s="140">
        <v>56517792</v>
      </c>
      <c r="AO312" s="140">
        <f t="shared" si="191"/>
        <v>100974246</v>
      </c>
      <c r="AP312" s="437"/>
      <c r="AQ312" s="140"/>
      <c r="AR312" s="437"/>
      <c r="AS312" s="140"/>
      <c r="AT312" s="140">
        <f t="shared" si="192"/>
        <v>100974246</v>
      </c>
      <c r="AU312" s="66"/>
      <c r="AV312" s="140"/>
      <c r="AW312" s="140">
        <v>76876173</v>
      </c>
      <c r="AX312" s="140">
        <f t="shared" si="193"/>
        <v>76876173</v>
      </c>
      <c r="AY312" s="437"/>
      <c r="AZ312" s="140"/>
      <c r="BA312" s="437"/>
      <c r="BB312" s="140"/>
      <c r="BC312" s="140">
        <f t="shared" si="194"/>
        <v>76876173</v>
      </c>
      <c r="BD312" s="140"/>
      <c r="BE312" s="40"/>
      <c r="BF312" s="235">
        <v>104303378</v>
      </c>
      <c r="BG312" s="37"/>
      <c r="BH312" s="105">
        <v>79727763</v>
      </c>
      <c r="BI312" s="11"/>
    </row>
    <row r="313" spans="2:61" s="1" customFormat="1">
      <c r="B313" s="140" t="s">
        <v>407</v>
      </c>
      <c r="C313" s="13" t="s">
        <v>659</v>
      </c>
      <c r="D313" s="1367"/>
      <c r="E313" s="1367"/>
      <c r="F313" s="1365">
        <f t="shared" si="184"/>
        <v>0</v>
      </c>
      <c r="G313" s="1365">
        <f t="shared" si="183"/>
        <v>0</v>
      </c>
      <c r="H313" s="1367">
        <f t="shared" si="185"/>
        <v>0</v>
      </c>
      <c r="I313" s="1384"/>
      <c r="J313" s="1367"/>
      <c r="K313" s="1384"/>
      <c r="L313" s="1367"/>
      <c r="M313" s="1367">
        <f t="shared" si="186"/>
        <v>0</v>
      </c>
      <c r="N313" s="1967"/>
      <c r="O313" s="1057"/>
      <c r="P313" s="1485"/>
      <c r="Q313" s="1372">
        <v>106037500</v>
      </c>
      <c r="R313" s="1485">
        <f t="shared" si="187"/>
        <v>106037500</v>
      </c>
      <c r="S313" s="1481"/>
      <c r="T313" s="1485"/>
      <c r="U313" s="1481"/>
      <c r="V313" s="1485"/>
      <c r="W313" s="1485">
        <f t="shared" si="188"/>
        <v>106037500</v>
      </c>
      <c r="X313" s="1189"/>
      <c r="Y313" s="106"/>
      <c r="Z313" s="698">
        <v>26000000</v>
      </c>
      <c r="AA313" s="698">
        <f t="shared" si="189"/>
        <v>26000000</v>
      </c>
      <c r="AB313" s="253"/>
      <c r="AC313" s="106"/>
      <c r="AD313" s="253"/>
      <c r="AE313" s="106"/>
      <c r="AF313" s="698">
        <f t="shared" si="190"/>
        <v>26000000</v>
      </c>
      <c r="AG313" s="698"/>
      <c r="AH313" s="208"/>
      <c r="AI313" s="140">
        <v>0</v>
      </c>
      <c r="AJ313" s="140"/>
      <c r="AK313" s="140"/>
      <c r="AL313" s="673"/>
      <c r="AM313" s="140"/>
      <c r="AN313" s="140">
        <v>36000000</v>
      </c>
      <c r="AO313" s="140">
        <f t="shared" si="191"/>
        <v>36000000</v>
      </c>
      <c r="AP313" s="437"/>
      <c r="AQ313" s="140"/>
      <c r="AR313" s="437"/>
      <c r="AS313" s="140"/>
      <c r="AT313" s="140">
        <f t="shared" si="192"/>
        <v>36000000</v>
      </c>
      <c r="AU313" s="66"/>
      <c r="AV313" s="140"/>
      <c r="AW313" s="140">
        <v>51000000</v>
      </c>
      <c r="AX313" s="140">
        <f t="shared" si="193"/>
        <v>51000000</v>
      </c>
      <c r="AY313" s="437"/>
      <c r="AZ313" s="140"/>
      <c r="BA313" s="437"/>
      <c r="BB313" s="140"/>
      <c r="BC313" s="140">
        <f t="shared" si="194"/>
        <v>51000000</v>
      </c>
      <c r="BD313" s="140"/>
      <c r="BE313" s="40"/>
      <c r="BF313" s="235">
        <v>177000000</v>
      </c>
      <c r="BG313" s="37"/>
      <c r="BH313" s="105">
        <v>168100000</v>
      </c>
      <c r="BI313" s="11"/>
    </row>
    <row r="314" spans="2:61" s="1" customFormat="1">
      <c r="B314" s="140" t="s">
        <v>407</v>
      </c>
      <c r="C314" s="13" t="s">
        <v>660</v>
      </c>
      <c r="D314" s="1367"/>
      <c r="E314" s="1367"/>
      <c r="F314" s="1365">
        <f t="shared" si="184"/>
        <v>0</v>
      </c>
      <c r="G314" s="1365">
        <f t="shared" si="183"/>
        <v>0</v>
      </c>
      <c r="H314" s="1367">
        <f t="shared" si="185"/>
        <v>0</v>
      </c>
      <c r="I314" s="1384"/>
      <c r="J314" s="1367"/>
      <c r="K314" s="1384"/>
      <c r="L314" s="1367"/>
      <c r="M314" s="1367">
        <f t="shared" si="186"/>
        <v>0</v>
      </c>
      <c r="N314" s="1967"/>
      <c r="O314" s="1057"/>
      <c r="P314" s="1485"/>
      <c r="Q314" s="1367"/>
      <c r="R314" s="1485">
        <f t="shared" si="187"/>
        <v>0</v>
      </c>
      <c r="S314" s="1481"/>
      <c r="T314" s="1485"/>
      <c r="U314" s="1481"/>
      <c r="V314" s="1485"/>
      <c r="W314" s="1485">
        <f t="shared" si="188"/>
        <v>0</v>
      </c>
      <c r="X314" s="1189"/>
      <c r="Y314" s="106"/>
      <c r="Z314" s="698">
        <v>0</v>
      </c>
      <c r="AA314" s="698">
        <f t="shared" si="189"/>
        <v>0</v>
      </c>
      <c r="AB314" s="253"/>
      <c r="AC314" s="106"/>
      <c r="AD314" s="253"/>
      <c r="AE314" s="106"/>
      <c r="AF314" s="698">
        <f t="shared" si="190"/>
        <v>0</v>
      </c>
      <c r="AG314" s="698"/>
      <c r="AH314" s="208"/>
      <c r="AI314" s="140">
        <v>0</v>
      </c>
      <c r="AJ314" s="140"/>
      <c r="AK314" s="140"/>
      <c r="AL314" s="673"/>
      <c r="AM314" s="140"/>
      <c r="AN314" s="140"/>
      <c r="AO314" s="140">
        <f t="shared" si="191"/>
        <v>0</v>
      </c>
      <c r="AP314" s="437"/>
      <c r="AQ314" s="140"/>
      <c r="AR314" s="437"/>
      <c r="AS314" s="140"/>
      <c r="AT314" s="140">
        <f t="shared" si="192"/>
        <v>0</v>
      </c>
      <c r="AU314" s="66"/>
      <c r="AV314" s="140"/>
      <c r="AW314" s="140">
        <v>7894000</v>
      </c>
      <c r="AX314" s="140">
        <f t="shared" si="193"/>
        <v>7894000</v>
      </c>
      <c r="AY314" s="437"/>
      <c r="AZ314" s="140"/>
      <c r="BA314" s="437"/>
      <c r="BB314" s="140"/>
      <c r="BC314" s="140">
        <f t="shared" si="194"/>
        <v>7894000</v>
      </c>
      <c r="BD314" s="140"/>
      <c r="BE314" s="40"/>
      <c r="BF314" s="235">
        <v>12894000</v>
      </c>
      <c r="BG314" s="37"/>
      <c r="BH314" s="105">
        <v>40384000</v>
      </c>
      <c r="BI314" s="11"/>
    </row>
    <row r="315" spans="2:61" s="1" customFormat="1">
      <c r="B315" s="140" t="s">
        <v>407</v>
      </c>
      <c r="C315" s="13" t="s">
        <v>661</v>
      </c>
      <c r="D315" s="1367"/>
      <c r="E315" s="1367"/>
      <c r="F315" s="1365">
        <f t="shared" si="184"/>
        <v>0</v>
      </c>
      <c r="G315" s="1365">
        <f t="shared" si="183"/>
        <v>0</v>
      </c>
      <c r="H315" s="1367">
        <f t="shared" si="185"/>
        <v>0</v>
      </c>
      <c r="I315" s="1384"/>
      <c r="J315" s="1367"/>
      <c r="K315" s="1384"/>
      <c r="L315" s="1367"/>
      <c r="M315" s="1367">
        <f t="shared" si="186"/>
        <v>0</v>
      </c>
      <c r="N315" s="1967"/>
      <c r="O315" s="1057"/>
      <c r="P315" s="1485"/>
      <c r="Q315" s="1367"/>
      <c r="R315" s="1485">
        <f t="shared" si="187"/>
        <v>0</v>
      </c>
      <c r="S315" s="1481"/>
      <c r="T315" s="1485"/>
      <c r="U315" s="1481"/>
      <c r="V315" s="1485"/>
      <c r="W315" s="1485">
        <f t="shared" si="188"/>
        <v>0</v>
      </c>
      <c r="X315" s="1189"/>
      <c r="Y315" s="106"/>
      <c r="Z315" s="698">
        <v>0</v>
      </c>
      <c r="AA315" s="698">
        <f t="shared" si="189"/>
        <v>0</v>
      </c>
      <c r="AB315" s="253"/>
      <c r="AC315" s="106"/>
      <c r="AD315" s="253"/>
      <c r="AE315" s="106"/>
      <c r="AF315" s="698">
        <f t="shared" si="190"/>
        <v>0</v>
      </c>
      <c r="AG315" s="698"/>
      <c r="AH315" s="208"/>
      <c r="AI315" s="2142">
        <v>75000000</v>
      </c>
      <c r="AJ315" s="140"/>
      <c r="AK315" s="140"/>
      <c r="AL315" s="673"/>
      <c r="AM315" s="140"/>
      <c r="AN315" s="140"/>
      <c r="AO315" s="140">
        <f t="shared" si="191"/>
        <v>0</v>
      </c>
      <c r="AP315" s="437"/>
      <c r="AQ315" s="140"/>
      <c r="AR315" s="437"/>
      <c r="AS315" s="140"/>
      <c r="AT315" s="140">
        <f t="shared" si="192"/>
        <v>0</v>
      </c>
      <c r="AU315" s="66"/>
      <c r="AV315" s="140"/>
      <c r="AW315" s="140"/>
      <c r="AX315" s="140">
        <f t="shared" si="193"/>
        <v>0</v>
      </c>
      <c r="AY315" s="437"/>
      <c r="AZ315" s="140"/>
      <c r="BA315" s="437"/>
      <c r="BB315" s="140"/>
      <c r="BC315" s="140">
        <f t="shared" si="194"/>
        <v>0</v>
      </c>
      <c r="BD315" s="140"/>
      <c r="BE315" s="40"/>
      <c r="BF315" s="235">
        <v>83999975</v>
      </c>
      <c r="BG315" s="37"/>
      <c r="BH315" s="235">
        <v>0</v>
      </c>
      <c r="BI315" s="11"/>
    </row>
    <row r="316" spans="2:61" s="1" customFormat="1">
      <c r="B316" s="140" t="s">
        <v>407</v>
      </c>
      <c r="C316" s="13" t="s">
        <v>662</v>
      </c>
      <c r="D316" s="1367"/>
      <c r="E316" s="1367"/>
      <c r="F316" s="1365">
        <f t="shared" si="184"/>
        <v>0</v>
      </c>
      <c r="G316" s="1365">
        <f t="shared" si="183"/>
        <v>0</v>
      </c>
      <c r="H316" s="1367">
        <f t="shared" si="185"/>
        <v>0</v>
      </c>
      <c r="I316" s="1384"/>
      <c r="J316" s="1367"/>
      <c r="K316" s="1384"/>
      <c r="L316" s="1367"/>
      <c r="M316" s="1367">
        <f t="shared" si="186"/>
        <v>0</v>
      </c>
      <c r="N316" s="1967"/>
      <c r="O316" s="1057"/>
      <c r="P316" s="1485"/>
      <c r="Q316" s="1372">
        <v>94387995</v>
      </c>
      <c r="R316" s="1485">
        <f t="shared" si="187"/>
        <v>94387995</v>
      </c>
      <c r="S316" s="1481"/>
      <c r="T316" s="1485"/>
      <c r="U316" s="1481"/>
      <c r="V316" s="1485"/>
      <c r="W316" s="1485">
        <f t="shared" si="188"/>
        <v>94387995</v>
      </c>
      <c r="X316" s="1189"/>
      <c r="Y316" s="106"/>
      <c r="Z316" s="698">
        <v>96188924</v>
      </c>
      <c r="AA316" s="698">
        <f t="shared" si="189"/>
        <v>96188924</v>
      </c>
      <c r="AB316" s="253"/>
      <c r="AC316" s="106"/>
      <c r="AD316" s="253"/>
      <c r="AE316" s="106"/>
      <c r="AF316" s="698">
        <f t="shared" si="190"/>
        <v>96188924</v>
      </c>
      <c r="AG316" s="698"/>
      <c r="AH316" s="208"/>
      <c r="AI316" s="2142">
        <v>116369995</v>
      </c>
      <c r="AJ316" s="140"/>
      <c r="AK316" s="140"/>
      <c r="AL316" s="673"/>
      <c r="AM316" s="140"/>
      <c r="AN316" s="140"/>
      <c r="AO316" s="140">
        <f t="shared" si="191"/>
        <v>0</v>
      </c>
      <c r="AP316" s="437"/>
      <c r="AQ316" s="140"/>
      <c r="AR316" s="437"/>
      <c r="AS316" s="140"/>
      <c r="AT316" s="140">
        <f t="shared" si="192"/>
        <v>0</v>
      </c>
      <c r="AU316" s="66"/>
      <c r="AV316" s="140"/>
      <c r="AW316" s="140"/>
      <c r="AX316" s="140">
        <f t="shared" si="193"/>
        <v>0</v>
      </c>
      <c r="AY316" s="437"/>
      <c r="AZ316" s="140"/>
      <c r="BA316" s="437"/>
      <c r="BB316" s="140"/>
      <c r="BC316" s="140">
        <f t="shared" si="194"/>
        <v>0</v>
      </c>
      <c r="BD316" s="140"/>
      <c r="BE316" s="40"/>
      <c r="BF316" s="235">
        <v>43325995</v>
      </c>
      <c r="BG316" s="37"/>
      <c r="BH316" s="235">
        <v>0</v>
      </c>
      <c r="BI316" s="11"/>
    </row>
    <row r="317" spans="2:61" s="1" customFormat="1">
      <c r="B317" s="140" t="s">
        <v>407</v>
      </c>
      <c r="C317" s="13" t="s">
        <v>663</v>
      </c>
      <c r="D317" s="1367"/>
      <c r="E317" s="1367"/>
      <c r="F317" s="1365">
        <f t="shared" si="184"/>
        <v>0</v>
      </c>
      <c r="G317" s="1365">
        <f t="shared" si="183"/>
        <v>0</v>
      </c>
      <c r="H317" s="1367">
        <f t="shared" si="185"/>
        <v>0</v>
      </c>
      <c r="I317" s="1384"/>
      <c r="J317" s="1367"/>
      <c r="K317" s="1384"/>
      <c r="L317" s="1367"/>
      <c r="M317" s="1367">
        <f t="shared" si="186"/>
        <v>0</v>
      </c>
      <c r="N317" s="1967"/>
      <c r="O317" s="1057"/>
      <c r="P317" s="1485">
        <f>ROUND(471004404.7,0)</f>
        <v>471004405</v>
      </c>
      <c r="Q317" s="1372">
        <f>ROUND(643578327.48,0)</f>
        <v>643578327</v>
      </c>
      <c r="R317" s="1485">
        <f t="shared" si="187"/>
        <v>1114582732</v>
      </c>
      <c r="S317" s="1481"/>
      <c r="T317" s="1485"/>
      <c r="U317" s="1481"/>
      <c r="V317" s="1485"/>
      <c r="W317" s="1485">
        <f t="shared" si="188"/>
        <v>1114582732</v>
      </c>
      <c r="X317" s="1189"/>
      <c r="Y317" s="106"/>
      <c r="Z317" s="698">
        <v>29249998</v>
      </c>
      <c r="AA317" s="698">
        <f t="shared" si="189"/>
        <v>29249998</v>
      </c>
      <c r="AB317" s="253"/>
      <c r="AC317" s="106"/>
      <c r="AD317" s="253"/>
      <c r="AE317" s="106"/>
      <c r="AF317" s="698">
        <f t="shared" si="190"/>
        <v>29249998</v>
      </c>
      <c r="AG317" s="698"/>
      <c r="AH317" s="208"/>
      <c r="AI317" s="2142">
        <v>29249998</v>
      </c>
      <c r="AJ317" s="140"/>
      <c r="AK317" s="140"/>
      <c r="AL317" s="673"/>
      <c r="AM317" s="140">
        <v>716684027</v>
      </c>
      <c r="AN317" s="140">
        <v>548509603</v>
      </c>
      <c r="AO317" s="140">
        <f t="shared" si="191"/>
        <v>1265193630</v>
      </c>
      <c r="AP317" s="437"/>
      <c r="AQ317" s="140"/>
      <c r="AR317" s="437"/>
      <c r="AS317" s="140"/>
      <c r="AT317" s="140">
        <f t="shared" si="192"/>
        <v>1265193630</v>
      </c>
      <c r="AU317" s="66"/>
      <c r="AV317" s="140">
        <v>5840848500</v>
      </c>
      <c r="AW317" s="140">
        <v>2795016165</v>
      </c>
      <c r="AX317" s="140">
        <f t="shared" si="193"/>
        <v>8635864665</v>
      </c>
      <c r="AY317" s="437"/>
      <c r="AZ317" s="140"/>
      <c r="BA317" s="437"/>
      <c r="BB317" s="140"/>
      <c r="BC317" s="140">
        <f t="shared" si="194"/>
        <v>8635864665</v>
      </c>
      <c r="BD317" s="140"/>
      <c r="BE317" s="40"/>
      <c r="BF317" s="235">
        <v>298299998</v>
      </c>
      <c r="BG317" s="37"/>
      <c r="BH317" s="235">
        <v>0</v>
      </c>
      <c r="BI317" s="11"/>
    </row>
    <row r="318" spans="2:61" s="1" customFormat="1">
      <c r="B318" s="140" t="s">
        <v>407</v>
      </c>
      <c r="C318" s="13" t="s">
        <v>664</v>
      </c>
      <c r="D318" s="1367"/>
      <c r="E318" s="1372">
        <v>55366010</v>
      </c>
      <c r="F318" s="1365">
        <f t="shared" si="184"/>
        <v>55366010</v>
      </c>
      <c r="G318" s="1365">
        <f t="shared" si="183"/>
        <v>0</v>
      </c>
      <c r="H318" s="1367">
        <f t="shared" si="185"/>
        <v>55366010</v>
      </c>
      <c r="I318" s="1384"/>
      <c r="J318" s="1367"/>
      <c r="K318" s="1384"/>
      <c r="L318" s="1367"/>
      <c r="M318" s="2143">
        <f t="shared" si="186"/>
        <v>55366010</v>
      </c>
      <c r="N318" s="1967"/>
      <c r="O318" s="1057"/>
      <c r="P318" s="1485"/>
      <c r="Q318" s="1372">
        <v>19068210</v>
      </c>
      <c r="R318" s="1485">
        <f t="shared" si="187"/>
        <v>19068210</v>
      </c>
      <c r="S318" s="1481"/>
      <c r="T318" s="1485"/>
      <c r="U318" s="1481"/>
      <c r="V318" s="1485"/>
      <c r="W318" s="1485">
        <f t="shared" si="188"/>
        <v>19068210</v>
      </c>
      <c r="X318" s="1189"/>
      <c r="Y318" s="106"/>
      <c r="Z318" s="698">
        <v>42018609</v>
      </c>
      <c r="AA318" s="698">
        <f t="shared" si="189"/>
        <v>42018609</v>
      </c>
      <c r="AB318" s="253"/>
      <c r="AC318" s="106"/>
      <c r="AD318" s="253"/>
      <c r="AE318" s="106"/>
      <c r="AF318" s="698">
        <f t="shared" si="190"/>
        <v>42018609</v>
      </c>
      <c r="AG318" s="698"/>
      <c r="AH318" s="208"/>
      <c r="AI318" s="2142">
        <v>19068210</v>
      </c>
      <c r="AJ318" s="140"/>
      <c r="AK318" s="140"/>
      <c r="AL318" s="673"/>
      <c r="AM318" s="140"/>
      <c r="AN318" s="140">
        <v>37521800</v>
      </c>
      <c r="AO318" s="140">
        <f t="shared" si="191"/>
        <v>37521800</v>
      </c>
      <c r="AP318" s="437"/>
      <c r="AQ318" s="140"/>
      <c r="AR318" s="437"/>
      <c r="AS318" s="140"/>
      <c r="AT318" s="140">
        <f t="shared" si="192"/>
        <v>37521800</v>
      </c>
      <c r="AU318" s="66"/>
      <c r="AV318" s="140"/>
      <c r="AW318" s="140">
        <v>39103190</v>
      </c>
      <c r="AX318" s="140">
        <f t="shared" si="193"/>
        <v>39103190</v>
      </c>
      <c r="AY318" s="437"/>
      <c r="AZ318" s="140"/>
      <c r="BA318" s="437"/>
      <c r="BB318" s="140"/>
      <c r="BC318" s="140">
        <f t="shared" si="194"/>
        <v>39103190</v>
      </c>
      <c r="BD318" s="140"/>
      <c r="BE318" s="40"/>
      <c r="BF318" s="235">
        <v>49675500</v>
      </c>
      <c r="BG318" s="37"/>
      <c r="BH318" s="235">
        <v>0</v>
      </c>
      <c r="BI318" s="11"/>
    </row>
    <row r="319" spans="2:61" s="1" customFormat="1">
      <c r="B319" s="140" t="s">
        <v>468</v>
      </c>
      <c r="C319" s="13" t="s">
        <v>665</v>
      </c>
      <c r="D319" s="1375">
        <f>ROUND(494401450.360001,0)</f>
        <v>494401450</v>
      </c>
      <c r="E319" s="1372">
        <f>ROUND(398165411.91,0)</f>
        <v>398165412</v>
      </c>
      <c r="F319" s="1365">
        <f t="shared" si="184"/>
        <v>892566862</v>
      </c>
      <c r="G319" s="1365">
        <f t="shared" si="183"/>
        <v>0</v>
      </c>
      <c r="H319" s="1367">
        <f t="shared" si="185"/>
        <v>892566862</v>
      </c>
      <c r="I319" s="1384"/>
      <c r="J319" s="1367"/>
      <c r="K319" s="1384"/>
      <c r="L319" s="1367"/>
      <c r="M319" s="2143">
        <f t="shared" si="186"/>
        <v>892566862</v>
      </c>
      <c r="N319" s="1967"/>
      <c r="O319" s="1057"/>
      <c r="P319" s="1485">
        <f>ROUND(287627286.04,0)</f>
        <v>287627286</v>
      </c>
      <c r="Q319" s="1372">
        <f>ROUND(267923542.84,0)*0</f>
        <v>0</v>
      </c>
      <c r="R319" s="1485">
        <f t="shared" si="187"/>
        <v>287627286</v>
      </c>
      <c r="S319" s="1481"/>
      <c r="T319" s="1485"/>
      <c r="U319" s="1481"/>
      <c r="V319" s="1485"/>
      <c r="W319" s="1485">
        <f t="shared" si="188"/>
        <v>287627286</v>
      </c>
      <c r="X319" s="1189"/>
      <c r="Y319" s="106"/>
      <c r="Z319" s="698">
        <v>0</v>
      </c>
      <c r="AA319" s="698">
        <f t="shared" si="189"/>
        <v>0</v>
      </c>
      <c r="AB319" s="253"/>
      <c r="AC319" s="106"/>
      <c r="AD319" s="253"/>
      <c r="AE319" s="106"/>
      <c r="AF319" s="698">
        <f t="shared" si="190"/>
        <v>0</v>
      </c>
      <c r="AG319" s="698"/>
      <c r="AH319" s="208"/>
      <c r="AI319" s="140">
        <v>9</v>
      </c>
      <c r="AJ319" s="140"/>
      <c r="AK319" s="140"/>
      <c r="AL319" s="673"/>
      <c r="AM319" s="140">
        <v>390758924</v>
      </c>
      <c r="AN319" s="140"/>
      <c r="AO319" s="140">
        <f t="shared" si="191"/>
        <v>390758924</v>
      </c>
      <c r="AP319" s="437"/>
      <c r="AQ319" s="140"/>
      <c r="AR319" s="437"/>
      <c r="AS319" s="140"/>
      <c r="AT319" s="140">
        <f t="shared" si="192"/>
        <v>390758924</v>
      </c>
      <c r="AU319" s="66"/>
      <c r="AV319" s="140">
        <v>1214168655</v>
      </c>
      <c r="AW319" s="140">
        <v>1354164896</v>
      </c>
      <c r="AX319" s="140">
        <f t="shared" si="193"/>
        <v>2568333551</v>
      </c>
      <c r="AY319" s="437"/>
      <c r="AZ319" s="140"/>
      <c r="BA319" s="437"/>
      <c r="BB319" s="140"/>
      <c r="BC319" s="140">
        <f t="shared" si="194"/>
        <v>2568333551</v>
      </c>
      <c r="BD319" s="140"/>
      <c r="BE319" s="40"/>
      <c r="BF319" s="235">
        <v>2932552707</v>
      </c>
      <c r="BG319" s="37"/>
      <c r="BH319" s="105">
        <v>2213739701</v>
      </c>
      <c r="BI319" s="11"/>
    </row>
    <row r="320" spans="2:61" s="1" customFormat="1">
      <c r="B320" s="140" t="s">
        <v>468</v>
      </c>
      <c r="C320" s="13" t="s">
        <v>666</v>
      </c>
      <c r="D320" s="1367">
        <v>0</v>
      </c>
      <c r="E320" s="1367"/>
      <c r="F320" s="1365">
        <f t="shared" si="184"/>
        <v>0</v>
      </c>
      <c r="G320" s="1365">
        <f t="shared" si="183"/>
        <v>0</v>
      </c>
      <c r="H320" s="1367">
        <f t="shared" si="185"/>
        <v>0</v>
      </c>
      <c r="I320" s="1384"/>
      <c r="J320" s="1367"/>
      <c r="K320" s="1384"/>
      <c r="L320" s="1367"/>
      <c r="M320" s="2143">
        <f t="shared" si="186"/>
        <v>0</v>
      </c>
      <c r="N320" s="1967"/>
      <c r="O320" s="1057"/>
      <c r="P320" s="1485"/>
      <c r="Q320" s="1367"/>
      <c r="R320" s="1485">
        <f t="shared" si="187"/>
        <v>0</v>
      </c>
      <c r="S320" s="1481"/>
      <c r="T320" s="1485"/>
      <c r="U320" s="1481"/>
      <c r="V320" s="1485"/>
      <c r="W320" s="1485">
        <f t="shared" si="188"/>
        <v>0</v>
      </c>
      <c r="X320" s="1189"/>
      <c r="Y320" s="106"/>
      <c r="Z320" s="698">
        <v>0</v>
      </c>
      <c r="AA320" s="698">
        <f t="shared" si="189"/>
        <v>0</v>
      </c>
      <c r="AB320" s="253"/>
      <c r="AC320" s="106"/>
      <c r="AD320" s="253"/>
      <c r="AE320" s="106"/>
      <c r="AF320" s="698">
        <f t="shared" si="190"/>
        <v>0</v>
      </c>
      <c r="AG320" s="698"/>
      <c r="AH320" s="208"/>
      <c r="AI320" s="2142">
        <v>1356603529</v>
      </c>
      <c r="AJ320" s="140"/>
      <c r="AK320" s="140"/>
      <c r="AL320" s="673"/>
      <c r="AM320" s="140"/>
      <c r="AN320" s="140"/>
      <c r="AO320" s="140">
        <f t="shared" si="191"/>
        <v>0</v>
      </c>
      <c r="AP320" s="437"/>
      <c r="AQ320" s="140"/>
      <c r="AR320" s="437"/>
      <c r="AS320" s="140"/>
      <c r="AT320" s="140">
        <f t="shared" si="192"/>
        <v>0</v>
      </c>
      <c r="AU320" s="66"/>
      <c r="AV320" s="140">
        <v>0</v>
      </c>
      <c r="AW320" s="140"/>
      <c r="AX320" s="140">
        <f t="shared" si="193"/>
        <v>0</v>
      </c>
      <c r="AY320" s="437"/>
      <c r="AZ320" s="140"/>
      <c r="BA320" s="437"/>
      <c r="BB320" s="140"/>
      <c r="BC320" s="140">
        <f t="shared" si="194"/>
        <v>0</v>
      </c>
      <c r="BD320" s="140"/>
      <c r="BE320" s="40"/>
      <c r="BF320" s="235"/>
      <c r="BG320" s="37"/>
      <c r="BH320" s="105"/>
      <c r="BI320" s="11"/>
    </row>
    <row r="321" spans="2:61" s="1" customFormat="1">
      <c r="B321" s="30"/>
      <c r="C321" s="13" t="s">
        <v>667</v>
      </c>
      <c r="D321" s="1367"/>
      <c r="E321" s="1367"/>
      <c r="F321" s="1365">
        <f t="shared" si="184"/>
        <v>0</v>
      </c>
      <c r="G321" s="1365">
        <f t="shared" si="183"/>
        <v>0</v>
      </c>
      <c r="H321" s="1367">
        <f t="shared" si="185"/>
        <v>0</v>
      </c>
      <c r="I321" s="1384"/>
      <c r="J321" s="1367"/>
      <c r="K321" s="1384"/>
      <c r="L321" s="1367"/>
      <c r="M321" s="1367">
        <f t="shared" si="186"/>
        <v>0</v>
      </c>
      <c r="N321" s="1967"/>
      <c r="O321" s="1057"/>
      <c r="P321" s="1485"/>
      <c r="Q321" s="1367"/>
      <c r="R321" s="1485">
        <f t="shared" si="187"/>
        <v>0</v>
      </c>
      <c r="S321" s="1481"/>
      <c r="T321" s="1485"/>
      <c r="U321" s="1481"/>
      <c r="V321" s="1485"/>
      <c r="W321" s="1485">
        <f t="shared" si="188"/>
        <v>0</v>
      </c>
      <c r="X321" s="1189"/>
      <c r="Y321" s="106"/>
      <c r="Z321" s="698">
        <v>0</v>
      </c>
      <c r="AA321" s="698">
        <f t="shared" si="189"/>
        <v>0</v>
      </c>
      <c r="AB321" s="253"/>
      <c r="AC321" s="106"/>
      <c r="AD321" s="253"/>
      <c r="AE321" s="106"/>
      <c r="AF321" s="698">
        <f t="shared" si="190"/>
        <v>0</v>
      </c>
      <c r="AG321" s="698"/>
      <c r="AH321" s="208"/>
      <c r="AI321" s="140">
        <v>0</v>
      </c>
      <c r="AJ321" s="140"/>
      <c r="AK321" s="140"/>
      <c r="AL321" s="673"/>
      <c r="AM321" s="140"/>
      <c r="AN321" s="140"/>
      <c r="AO321" s="140">
        <f t="shared" si="191"/>
        <v>0</v>
      </c>
      <c r="AP321" s="437"/>
      <c r="AQ321" s="140"/>
      <c r="AR321" s="437"/>
      <c r="AS321" s="140"/>
      <c r="AT321" s="140">
        <f t="shared" si="192"/>
        <v>0</v>
      </c>
      <c r="AU321" s="66"/>
      <c r="AV321" s="140"/>
      <c r="AW321" s="140"/>
      <c r="AX321" s="140">
        <f t="shared" si="193"/>
        <v>0</v>
      </c>
      <c r="AY321" s="437"/>
      <c r="AZ321" s="140"/>
      <c r="BA321" s="437"/>
      <c r="BB321" s="140"/>
      <c r="BC321" s="140">
        <f t="shared" si="194"/>
        <v>0</v>
      </c>
      <c r="BD321" s="140"/>
      <c r="BE321" s="40"/>
      <c r="BF321" s="235">
        <v>0</v>
      </c>
      <c r="BG321" s="37"/>
      <c r="BH321" s="105">
        <v>0</v>
      </c>
      <c r="BI321" s="11"/>
    </row>
    <row r="322" spans="2:61" s="1" customFormat="1">
      <c r="B322" s="30"/>
      <c r="C322" s="13" t="s">
        <v>668</v>
      </c>
      <c r="D322" s="1367"/>
      <c r="E322" s="1367"/>
      <c r="F322" s="1365">
        <f t="shared" si="184"/>
        <v>0</v>
      </c>
      <c r="G322" s="1365">
        <f t="shared" si="183"/>
        <v>0</v>
      </c>
      <c r="H322" s="1367">
        <f t="shared" si="185"/>
        <v>0</v>
      </c>
      <c r="I322" s="1384"/>
      <c r="J322" s="1367"/>
      <c r="K322" s="1384"/>
      <c r="L322" s="1367"/>
      <c r="M322" s="1367">
        <f t="shared" si="186"/>
        <v>0</v>
      </c>
      <c r="N322" s="1967"/>
      <c r="O322" s="1057"/>
      <c r="P322" s="1485"/>
      <c r="Q322" s="1367"/>
      <c r="R322" s="1485">
        <f t="shared" si="187"/>
        <v>0</v>
      </c>
      <c r="S322" s="1481"/>
      <c r="T322" s="1485"/>
      <c r="U322" s="1481"/>
      <c r="V322" s="1485"/>
      <c r="W322" s="1485">
        <f t="shared" si="188"/>
        <v>0</v>
      </c>
      <c r="X322" s="1189"/>
      <c r="Y322" s="106"/>
      <c r="Z322" s="698">
        <v>0</v>
      </c>
      <c r="AA322" s="698">
        <f t="shared" si="189"/>
        <v>0</v>
      </c>
      <c r="AB322" s="253"/>
      <c r="AC322" s="106"/>
      <c r="AD322" s="253"/>
      <c r="AE322" s="106"/>
      <c r="AF322" s="698">
        <f t="shared" si="190"/>
        <v>0</v>
      </c>
      <c r="AG322" s="698"/>
      <c r="AH322" s="208"/>
      <c r="AI322" s="140">
        <v>0</v>
      </c>
      <c r="AJ322" s="140"/>
      <c r="AK322" s="140"/>
      <c r="AL322" s="673"/>
      <c r="AM322" s="140"/>
      <c r="AN322" s="140"/>
      <c r="AO322" s="140">
        <f t="shared" si="191"/>
        <v>0</v>
      </c>
      <c r="AP322" s="437"/>
      <c r="AQ322" s="140"/>
      <c r="AR322" s="437"/>
      <c r="AS322" s="140"/>
      <c r="AT322" s="140">
        <f t="shared" si="192"/>
        <v>0</v>
      </c>
      <c r="AU322" s="66"/>
      <c r="AV322" s="140"/>
      <c r="AW322" s="140"/>
      <c r="AX322" s="140">
        <f t="shared" si="193"/>
        <v>0</v>
      </c>
      <c r="AY322" s="437"/>
      <c r="AZ322" s="140"/>
      <c r="BA322" s="437"/>
      <c r="BB322" s="140"/>
      <c r="BC322" s="140">
        <f t="shared" si="194"/>
        <v>0</v>
      </c>
      <c r="BD322" s="140"/>
      <c r="BE322" s="40"/>
      <c r="BF322" s="235">
        <v>0</v>
      </c>
      <c r="BG322" s="37"/>
      <c r="BH322" s="235">
        <v>0</v>
      </c>
      <c r="BI322" s="11"/>
    </row>
    <row r="323" spans="2:61" s="1" customFormat="1">
      <c r="B323" s="30"/>
      <c r="C323" s="13" t="s">
        <v>669</v>
      </c>
      <c r="D323" s="1367">
        <v>0</v>
      </c>
      <c r="E323" s="1367"/>
      <c r="F323" s="1365">
        <f t="shared" si="184"/>
        <v>0</v>
      </c>
      <c r="G323" s="1365">
        <f t="shared" si="183"/>
        <v>0</v>
      </c>
      <c r="H323" s="1367">
        <f t="shared" si="185"/>
        <v>0</v>
      </c>
      <c r="I323" s="1384"/>
      <c r="J323" s="1367"/>
      <c r="K323" s="1384"/>
      <c r="L323" s="1367"/>
      <c r="M323" s="2143">
        <f t="shared" si="186"/>
        <v>0</v>
      </c>
      <c r="N323" s="1967"/>
      <c r="O323" s="1057"/>
      <c r="P323" s="1485"/>
      <c r="Q323" s="1367"/>
      <c r="R323" s="1485">
        <f t="shared" si="187"/>
        <v>0</v>
      </c>
      <c r="S323" s="1481"/>
      <c r="T323" s="1485"/>
      <c r="U323" s="1481"/>
      <c r="V323" s="1485"/>
      <c r="W323" s="1485">
        <f t="shared" si="188"/>
        <v>0</v>
      </c>
      <c r="X323" s="1189"/>
      <c r="Y323" s="106"/>
      <c r="Z323" s="698">
        <v>0</v>
      </c>
      <c r="AA323" s="698">
        <f t="shared" ref="AA323:AA354" si="195">Y323+Z323</f>
        <v>0</v>
      </c>
      <c r="AB323" s="253"/>
      <c r="AC323" s="106"/>
      <c r="AD323" s="253"/>
      <c r="AE323" s="106"/>
      <c r="AF323" s="698">
        <f t="shared" si="190"/>
        <v>0</v>
      </c>
      <c r="AG323" s="698"/>
      <c r="AH323" s="208"/>
      <c r="AI323" s="2142">
        <v>117818222</v>
      </c>
      <c r="AJ323" s="140"/>
      <c r="AK323" s="140"/>
      <c r="AL323" s="673"/>
      <c r="AM323" s="140">
        <v>216003422</v>
      </c>
      <c r="AN323" s="140">
        <v>160490560</v>
      </c>
      <c r="AO323" s="140">
        <f t="shared" si="191"/>
        <v>376493982</v>
      </c>
      <c r="AP323" s="437"/>
      <c r="AQ323" s="140"/>
      <c r="AR323" s="437"/>
      <c r="AS323" s="140"/>
      <c r="AT323" s="140">
        <f t="shared" si="192"/>
        <v>376493982</v>
      </c>
      <c r="AU323" s="66"/>
      <c r="AV323" s="140">
        <v>455546999</v>
      </c>
      <c r="AW323" s="140">
        <v>530441708</v>
      </c>
      <c r="AX323" s="140">
        <f t="shared" si="193"/>
        <v>985988707</v>
      </c>
      <c r="AY323" s="437"/>
      <c r="AZ323" s="140"/>
      <c r="BA323" s="437"/>
      <c r="BB323" s="140"/>
      <c r="BC323" s="140">
        <f t="shared" si="194"/>
        <v>985988707</v>
      </c>
      <c r="BD323" s="140"/>
      <c r="BE323" s="40"/>
      <c r="BF323" s="235">
        <v>668696843</v>
      </c>
      <c r="BG323" s="37"/>
      <c r="BH323" s="235">
        <v>0</v>
      </c>
      <c r="BI323" s="11"/>
    </row>
    <row r="324" spans="2:61" s="1" customFormat="1">
      <c r="B324" s="30"/>
      <c r="C324" s="13" t="s">
        <v>670</v>
      </c>
      <c r="D324" s="1367">
        <v>0</v>
      </c>
      <c r="E324" s="1372">
        <f>ROUND(2102768.21000004,0)</f>
        <v>2102768</v>
      </c>
      <c r="F324" s="1365">
        <f t="shared" si="184"/>
        <v>2102768</v>
      </c>
      <c r="G324" s="1365">
        <f t="shared" si="183"/>
        <v>0</v>
      </c>
      <c r="H324" s="1367">
        <f t="shared" si="185"/>
        <v>2102768</v>
      </c>
      <c r="I324" s="1384"/>
      <c r="J324" s="1367"/>
      <c r="K324" s="1384"/>
      <c r="L324" s="1367"/>
      <c r="M324" s="2143">
        <f t="shared" si="186"/>
        <v>2102768</v>
      </c>
      <c r="N324" s="1967"/>
      <c r="O324" s="1057"/>
      <c r="P324" s="1485"/>
      <c r="Q324" s="1372">
        <f>ROUND(39720731.8000002,0)</f>
        <v>39720732</v>
      </c>
      <c r="R324" s="1485">
        <f t="shared" si="187"/>
        <v>39720732</v>
      </c>
      <c r="S324" s="1481"/>
      <c r="T324" s="1485"/>
      <c r="U324" s="1481"/>
      <c r="V324" s="1485"/>
      <c r="W324" s="1485">
        <f t="shared" si="188"/>
        <v>39720732</v>
      </c>
      <c r="X324" s="1189"/>
      <c r="Y324" s="106"/>
      <c r="Z324" s="698">
        <v>0</v>
      </c>
      <c r="AA324" s="698">
        <f t="shared" si="195"/>
        <v>0</v>
      </c>
      <c r="AB324" s="253"/>
      <c r="AC324" s="106"/>
      <c r="AD324" s="253"/>
      <c r="AE324" s="106"/>
      <c r="AF324" s="698">
        <f t="shared" si="190"/>
        <v>0</v>
      </c>
      <c r="AG324" s="698"/>
      <c r="AH324" s="208"/>
      <c r="AI324" s="140">
        <v>0</v>
      </c>
      <c r="AJ324" s="140"/>
      <c r="AK324" s="140"/>
      <c r="AL324" s="673"/>
      <c r="AM324" s="140">
        <v>1317317926</v>
      </c>
      <c r="AN324" s="1419">
        <v>30018295</v>
      </c>
      <c r="AO324" s="140">
        <f t="shared" si="191"/>
        <v>1347336221</v>
      </c>
      <c r="AP324" s="437"/>
      <c r="AQ324" s="140"/>
      <c r="AR324" s="437"/>
      <c r="AS324" s="140"/>
      <c r="AT324" s="140">
        <f t="shared" si="192"/>
        <v>1347336221</v>
      </c>
      <c r="AU324" s="66"/>
      <c r="AV324" s="140">
        <v>3629118468</v>
      </c>
      <c r="AW324" s="1137">
        <v>4473240201</v>
      </c>
      <c r="AX324" s="140">
        <f t="shared" si="193"/>
        <v>8102358669</v>
      </c>
      <c r="AY324" s="437"/>
      <c r="AZ324" s="140"/>
      <c r="BA324" s="437"/>
      <c r="BB324" s="140"/>
      <c r="BC324" s="140">
        <f t="shared" si="194"/>
        <v>8102358669</v>
      </c>
      <c r="BD324" s="140"/>
      <c r="BE324" s="40"/>
      <c r="BF324" s="235">
        <v>547903750</v>
      </c>
      <c r="BG324" s="37"/>
      <c r="BH324" s="235">
        <v>0</v>
      </c>
      <c r="BI324" s="11"/>
    </row>
    <row r="325" spans="2:61" s="1" customFormat="1">
      <c r="B325" s="30"/>
      <c r="C325" s="13" t="s">
        <v>671</v>
      </c>
      <c r="D325" s="1367">
        <v>0</v>
      </c>
      <c r="E325" s="1372">
        <v>971250</v>
      </c>
      <c r="F325" s="1365">
        <f t="shared" si="184"/>
        <v>971250</v>
      </c>
      <c r="G325" s="1365">
        <f t="shared" si="183"/>
        <v>0</v>
      </c>
      <c r="H325" s="1367">
        <f t="shared" si="185"/>
        <v>971250</v>
      </c>
      <c r="I325" s="1384"/>
      <c r="J325" s="1367"/>
      <c r="K325" s="1384"/>
      <c r="L325" s="1367"/>
      <c r="M325" s="2143">
        <f t="shared" si="186"/>
        <v>971250</v>
      </c>
      <c r="N325" s="1967"/>
      <c r="O325" s="1057"/>
      <c r="P325" s="1485"/>
      <c r="Q325" s="1372">
        <v>971250</v>
      </c>
      <c r="R325" s="1485">
        <f t="shared" si="187"/>
        <v>971250</v>
      </c>
      <c r="S325" s="1481"/>
      <c r="T325" s="1485"/>
      <c r="U325" s="1481"/>
      <c r="V325" s="1485"/>
      <c r="W325" s="1485">
        <f t="shared" si="188"/>
        <v>971250</v>
      </c>
      <c r="X325" s="1189"/>
      <c r="Y325" s="106">
        <v>194250000</v>
      </c>
      <c r="Z325" s="698">
        <v>971250</v>
      </c>
      <c r="AA325" s="698">
        <f t="shared" si="195"/>
        <v>195221250</v>
      </c>
      <c r="AB325" s="253"/>
      <c r="AC325" s="106"/>
      <c r="AD325" s="253"/>
      <c r="AE325" s="106"/>
      <c r="AF325" s="698">
        <f t="shared" si="190"/>
        <v>195221250</v>
      </c>
      <c r="AG325" s="698"/>
      <c r="AH325" s="208"/>
      <c r="AI325" s="2142">
        <v>669801750</v>
      </c>
      <c r="AJ325" s="140"/>
      <c r="AK325" s="140"/>
      <c r="AL325" s="673"/>
      <c r="AM325" s="140">
        <v>1192473000</v>
      </c>
      <c r="AN325" s="140">
        <v>971250</v>
      </c>
      <c r="AO325" s="140">
        <f t="shared" si="191"/>
        <v>1193444250</v>
      </c>
      <c r="AP325" s="437"/>
      <c r="AQ325" s="140"/>
      <c r="AR325" s="437"/>
      <c r="AS325" s="140"/>
      <c r="AT325" s="140">
        <f t="shared" si="192"/>
        <v>1193444250</v>
      </c>
      <c r="AU325" s="66"/>
      <c r="AV325" s="140">
        <v>1491479250</v>
      </c>
      <c r="AW325" s="140">
        <v>971250</v>
      </c>
      <c r="AX325" s="140">
        <f t="shared" si="193"/>
        <v>1492450500</v>
      </c>
      <c r="AY325" s="437"/>
      <c r="AZ325" s="140"/>
      <c r="BA325" s="437"/>
      <c r="BB325" s="140"/>
      <c r="BC325" s="140">
        <f t="shared" si="194"/>
        <v>1492450500</v>
      </c>
      <c r="BD325" s="140"/>
      <c r="BE325" s="40"/>
      <c r="BF325" s="235">
        <v>586107750</v>
      </c>
      <c r="BG325" s="37"/>
      <c r="BH325" s="105">
        <v>59895000</v>
      </c>
      <c r="BI325" s="11"/>
    </row>
    <row r="326" spans="2:61" s="1" customFormat="1">
      <c r="B326" s="69" t="s">
        <v>407</v>
      </c>
      <c r="C326" s="13" t="s">
        <v>672</v>
      </c>
      <c r="D326" s="1367">
        <v>0</v>
      </c>
      <c r="E326" s="1367"/>
      <c r="F326" s="1365">
        <f t="shared" si="184"/>
        <v>0</v>
      </c>
      <c r="G326" s="1365">
        <f t="shared" si="183"/>
        <v>0</v>
      </c>
      <c r="H326" s="1367">
        <f t="shared" si="185"/>
        <v>0</v>
      </c>
      <c r="I326" s="1384"/>
      <c r="J326" s="1367"/>
      <c r="K326" s="1384"/>
      <c r="L326" s="1367"/>
      <c r="M326" s="1367">
        <f t="shared" si="186"/>
        <v>0</v>
      </c>
      <c r="N326" s="1967"/>
      <c r="O326" s="1057"/>
      <c r="P326" s="1485"/>
      <c r="Q326" s="1367"/>
      <c r="R326" s="1485">
        <f t="shared" si="187"/>
        <v>0</v>
      </c>
      <c r="S326" s="1481"/>
      <c r="T326" s="1485"/>
      <c r="U326" s="1481"/>
      <c r="V326" s="1485"/>
      <c r="W326" s="1485">
        <f t="shared" si="188"/>
        <v>0</v>
      </c>
      <c r="X326" s="1189"/>
      <c r="Y326" s="106">
        <v>0</v>
      </c>
      <c r="Z326" s="698">
        <v>0</v>
      </c>
      <c r="AA326" s="698">
        <f t="shared" si="195"/>
        <v>0</v>
      </c>
      <c r="AB326" s="253"/>
      <c r="AC326" s="106"/>
      <c r="AD326" s="253"/>
      <c r="AE326" s="106"/>
      <c r="AF326" s="698">
        <f t="shared" si="190"/>
        <v>0</v>
      </c>
      <c r="AG326" s="698"/>
      <c r="AH326" s="208"/>
      <c r="AI326" s="140">
        <v>0</v>
      </c>
      <c r="AJ326" s="140"/>
      <c r="AK326" s="140"/>
      <c r="AL326" s="673"/>
      <c r="AM326" s="140"/>
      <c r="AN326" s="140"/>
      <c r="AO326" s="140">
        <f t="shared" si="191"/>
        <v>0</v>
      </c>
      <c r="AP326" s="437"/>
      <c r="AQ326" s="140"/>
      <c r="AR326" s="437"/>
      <c r="AS326" s="140"/>
      <c r="AT326" s="140">
        <f t="shared" si="192"/>
        <v>0</v>
      </c>
      <c r="AU326" s="66"/>
      <c r="AV326" s="140"/>
      <c r="AW326" s="140"/>
      <c r="AX326" s="140">
        <f t="shared" si="193"/>
        <v>0</v>
      </c>
      <c r="AY326" s="437"/>
      <c r="AZ326" s="140"/>
      <c r="BA326" s="437"/>
      <c r="BB326" s="140"/>
      <c r="BC326" s="140">
        <f t="shared" si="194"/>
        <v>0</v>
      </c>
      <c r="BD326" s="140"/>
      <c r="BE326" s="140"/>
      <c r="BF326" s="235">
        <v>0</v>
      </c>
      <c r="BG326" s="14"/>
      <c r="BH326" s="105">
        <v>2958604280</v>
      </c>
      <c r="BI326" s="25"/>
    </row>
    <row r="327" spans="2:61" s="1" customFormat="1">
      <c r="B327" s="69" t="s">
        <v>407</v>
      </c>
      <c r="C327" s="13" t="s">
        <v>673</v>
      </c>
      <c r="D327" s="1367"/>
      <c r="E327" s="1367"/>
      <c r="F327" s="1365">
        <f t="shared" si="184"/>
        <v>0</v>
      </c>
      <c r="G327" s="1365">
        <f t="shared" si="183"/>
        <v>0</v>
      </c>
      <c r="H327" s="1367">
        <f t="shared" si="185"/>
        <v>0</v>
      </c>
      <c r="I327" s="1384"/>
      <c r="J327" s="1367"/>
      <c r="K327" s="1384"/>
      <c r="L327" s="1367"/>
      <c r="M327" s="1367">
        <f t="shared" si="186"/>
        <v>0</v>
      </c>
      <c r="N327" s="1967"/>
      <c r="O327" s="1057"/>
      <c r="P327" s="1485"/>
      <c r="Q327" s="1367"/>
      <c r="R327" s="1485">
        <f t="shared" si="187"/>
        <v>0</v>
      </c>
      <c r="S327" s="1481"/>
      <c r="T327" s="1485"/>
      <c r="U327" s="1481"/>
      <c r="V327" s="1485"/>
      <c r="W327" s="1485">
        <f t="shared" si="188"/>
        <v>0</v>
      </c>
      <c r="X327" s="1189"/>
      <c r="Y327" s="106">
        <v>0</v>
      </c>
      <c r="Z327" s="698">
        <v>0</v>
      </c>
      <c r="AA327" s="698">
        <f t="shared" si="195"/>
        <v>0</v>
      </c>
      <c r="AB327" s="253"/>
      <c r="AC327" s="106"/>
      <c r="AD327" s="253"/>
      <c r="AE327" s="106"/>
      <c r="AF327" s="698">
        <f t="shared" si="190"/>
        <v>0</v>
      </c>
      <c r="AG327" s="698"/>
      <c r="AH327" s="208"/>
      <c r="AI327" s="140">
        <v>0</v>
      </c>
      <c r="AJ327" s="140"/>
      <c r="AK327" s="140"/>
      <c r="AL327" s="673"/>
      <c r="AM327" s="140"/>
      <c r="AN327" s="140"/>
      <c r="AO327" s="140">
        <f t="shared" si="191"/>
        <v>0</v>
      </c>
      <c r="AP327" s="437"/>
      <c r="AQ327" s="140"/>
      <c r="AR327" s="437"/>
      <c r="AS327" s="140"/>
      <c r="AT327" s="140">
        <f t="shared" si="192"/>
        <v>0</v>
      </c>
      <c r="AU327" s="66"/>
      <c r="AV327" s="140"/>
      <c r="AW327" s="140"/>
      <c r="AX327" s="140">
        <f t="shared" si="193"/>
        <v>0</v>
      </c>
      <c r="AY327" s="437"/>
      <c r="AZ327" s="140"/>
      <c r="BA327" s="437"/>
      <c r="BB327" s="140"/>
      <c r="BC327" s="140">
        <f t="shared" si="194"/>
        <v>0</v>
      </c>
      <c r="BD327" s="140"/>
      <c r="BE327" s="40"/>
      <c r="BF327" s="235">
        <v>0</v>
      </c>
      <c r="BG327" s="37"/>
      <c r="BH327" s="235">
        <v>0</v>
      </c>
      <c r="BI327" s="11"/>
    </row>
    <row r="328" spans="2:61" s="1" customFormat="1">
      <c r="B328" s="69" t="s">
        <v>407</v>
      </c>
      <c r="C328" s="13" t="s">
        <v>674</v>
      </c>
      <c r="D328" s="1367"/>
      <c r="E328" s="1367"/>
      <c r="F328" s="1365">
        <f t="shared" si="184"/>
        <v>0</v>
      </c>
      <c r="G328" s="1365">
        <f t="shared" si="183"/>
        <v>0</v>
      </c>
      <c r="H328" s="1367">
        <f t="shared" si="185"/>
        <v>0</v>
      </c>
      <c r="I328" s="1384"/>
      <c r="J328" s="1367"/>
      <c r="K328" s="1384"/>
      <c r="L328" s="1367"/>
      <c r="M328" s="1367">
        <f t="shared" si="186"/>
        <v>0</v>
      </c>
      <c r="N328" s="1967"/>
      <c r="O328" s="1057"/>
      <c r="P328" s="1485"/>
      <c r="Q328" s="1367"/>
      <c r="R328" s="1485">
        <f t="shared" si="187"/>
        <v>0</v>
      </c>
      <c r="S328" s="1481"/>
      <c r="T328" s="1485"/>
      <c r="U328" s="1481"/>
      <c r="V328" s="1485"/>
      <c r="W328" s="1485">
        <f t="shared" si="188"/>
        <v>0</v>
      </c>
      <c r="X328" s="1189"/>
      <c r="Y328" s="106">
        <v>0</v>
      </c>
      <c r="Z328" s="698">
        <v>0</v>
      </c>
      <c r="AA328" s="698">
        <f t="shared" si="195"/>
        <v>0</v>
      </c>
      <c r="AB328" s="253"/>
      <c r="AC328" s="106"/>
      <c r="AD328" s="253"/>
      <c r="AE328" s="106"/>
      <c r="AF328" s="698">
        <f t="shared" si="190"/>
        <v>0</v>
      </c>
      <c r="AG328" s="698"/>
      <c r="AH328" s="208"/>
      <c r="AI328" s="2142">
        <v>112830473</v>
      </c>
      <c r="AJ328" s="140"/>
      <c r="AK328" s="140"/>
      <c r="AL328" s="673"/>
      <c r="AM328" s="140">
        <v>130030310</v>
      </c>
      <c r="AN328" s="140">
        <v>194895370</v>
      </c>
      <c r="AO328" s="140">
        <f t="shared" si="191"/>
        <v>324925680</v>
      </c>
      <c r="AP328" s="437"/>
      <c r="AQ328" s="140"/>
      <c r="AR328" s="437"/>
      <c r="AS328" s="140"/>
      <c r="AT328" s="140">
        <f t="shared" si="192"/>
        <v>324925680</v>
      </c>
      <c r="AU328" s="66"/>
      <c r="AV328" s="140">
        <v>130030310</v>
      </c>
      <c r="AW328" s="140">
        <v>194895370</v>
      </c>
      <c r="AX328" s="140">
        <f t="shared" si="193"/>
        <v>324925680</v>
      </c>
      <c r="AY328" s="437"/>
      <c r="AZ328" s="140"/>
      <c r="BA328" s="437"/>
      <c r="BB328" s="140"/>
      <c r="BC328" s="140">
        <f t="shared" si="194"/>
        <v>324925680</v>
      </c>
      <c r="BD328" s="140"/>
      <c r="BE328" s="40"/>
      <c r="BF328" s="235">
        <v>0</v>
      </c>
      <c r="BG328" s="37"/>
      <c r="BH328" s="235">
        <v>0</v>
      </c>
      <c r="BI328" s="11"/>
    </row>
    <row r="329" spans="2:61" s="1" customFormat="1">
      <c r="B329" s="69" t="s">
        <v>407</v>
      </c>
      <c r="C329" s="13" t="s">
        <v>675</v>
      </c>
      <c r="D329" s="1367"/>
      <c r="E329" s="1367"/>
      <c r="F329" s="1365">
        <f t="shared" si="184"/>
        <v>0</v>
      </c>
      <c r="G329" s="1365">
        <f t="shared" si="183"/>
        <v>0</v>
      </c>
      <c r="H329" s="1367">
        <f t="shared" si="185"/>
        <v>0</v>
      </c>
      <c r="I329" s="1384"/>
      <c r="J329" s="1367"/>
      <c r="K329" s="1384"/>
      <c r="L329" s="1367"/>
      <c r="M329" s="1367">
        <f t="shared" si="186"/>
        <v>0</v>
      </c>
      <c r="N329" s="1967"/>
      <c r="O329" s="1057"/>
      <c r="P329" s="1485"/>
      <c r="Q329" s="1367"/>
      <c r="R329" s="1485">
        <f t="shared" si="187"/>
        <v>0</v>
      </c>
      <c r="S329" s="1481"/>
      <c r="T329" s="1485"/>
      <c r="U329" s="1481"/>
      <c r="V329" s="1485"/>
      <c r="W329" s="1485">
        <f t="shared" si="188"/>
        <v>0</v>
      </c>
      <c r="X329" s="1189"/>
      <c r="Y329" s="106">
        <v>0</v>
      </c>
      <c r="Z329" s="698">
        <v>0</v>
      </c>
      <c r="AA329" s="698">
        <f t="shared" si="195"/>
        <v>0</v>
      </c>
      <c r="AB329" s="253"/>
      <c r="AC329" s="106"/>
      <c r="AD329" s="253"/>
      <c r="AE329" s="106"/>
      <c r="AF329" s="698">
        <f t="shared" si="190"/>
        <v>0</v>
      </c>
      <c r="AG329" s="698"/>
      <c r="AH329" s="208"/>
      <c r="AI329" s="140">
        <v>-4</v>
      </c>
      <c r="AJ329" s="140"/>
      <c r="AK329" s="140"/>
      <c r="AL329" s="673"/>
      <c r="AM329" s="140"/>
      <c r="AN329" s="140"/>
      <c r="AO329" s="140">
        <f t="shared" si="191"/>
        <v>0</v>
      </c>
      <c r="AP329" s="437"/>
      <c r="AQ329" s="140"/>
      <c r="AR329" s="437"/>
      <c r="AS329" s="140"/>
      <c r="AT329" s="140">
        <f t="shared" si="192"/>
        <v>0</v>
      </c>
      <c r="AU329" s="66"/>
      <c r="AV329" s="140"/>
      <c r="AW329" s="140"/>
      <c r="AX329" s="140">
        <f t="shared" si="193"/>
        <v>0</v>
      </c>
      <c r="AY329" s="437"/>
      <c r="AZ329" s="140"/>
      <c r="BA329" s="437"/>
      <c r="BB329" s="140"/>
      <c r="BC329" s="140">
        <f t="shared" si="194"/>
        <v>0</v>
      </c>
      <c r="BD329" s="140"/>
      <c r="BE329" s="40"/>
      <c r="BF329" s="235">
        <v>207985587</v>
      </c>
      <c r="BG329" s="37"/>
      <c r="BH329" s="235">
        <v>0</v>
      </c>
      <c r="BI329" s="11"/>
    </row>
    <row r="330" spans="2:61" s="1" customFormat="1">
      <c r="B330" s="69" t="s">
        <v>407</v>
      </c>
      <c r="C330" s="13" t="s">
        <v>676</v>
      </c>
      <c r="D330" s="1367"/>
      <c r="E330" s="1367"/>
      <c r="F330" s="1365">
        <f t="shared" si="184"/>
        <v>0</v>
      </c>
      <c r="G330" s="1365">
        <f t="shared" si="183"/>
        <v>0</v>
      </c>
      <c r="H330" s="1367">
        <f t="shared" si="185"/>
        <v>0</v>
      </c>
      <c r="I330" s="1384"/>
      <c r="J330" s="1367"/>
      <c r="K330" s="1384"/>
      <c r="L330" s="1367"/>
      <c r="M330" s="1367">
        <f t="shared" si="186"/>
        <v>0</v>
      </c>
      <c r="N330" s="1967"/>
      <c r="O330" s="1057"/>
      <c r="P330" s="1485"/>
      <c r="Q330" s="1367"/>
      <c r="R330" s="1485">
        <f t="shared" si="187"/>
        <v>0</v>
      </c>
      <c r="S330" s="1481"/>
      <c r="T330" s="1485"/>
      <c r="U330" s="1481"/>
      <c r="V330" s="1485"/>
      <c r="W330" s="1485">
        <f t="shared" si="188"/>
        <v>0</v>
      </c>
      <c r="X330" s="1189"/>
      <c r="Y330" s="106">
        <v>0</v>
      </c>
      <c r="Z330" s="698">
        <v>0</v>
      </c>
      <c r="AA330" s="698">
        <f t="shared" si="195"/>
        <v>0</v>
      </c>
      <c r="AB330" s="253"/>
      <c r="AC330" s="106"/>
      <c r="AD330" s="253"/>
      <c r="AE330" s="106"/>
      <c r="AF330" s="698">
        <f t="shared" si="190"/>
        <v>0</v>
      </c>
      <c r="AG330" s="698"/>
      <c r="AH330" s="208"/>
      <c r="AI330" s="140">
        <v>0</v>
      </c>
      <c r="AJ330" s="140"/>
      <c r="AK330" s="140"/>
      <c r="AL330" s="673"/>
      <c r="AM330" s="140"/>
      <c r="AN330" s="140"/>
      <c r="AO330" s="140">
        <f t="shared" si="191"/>
        <v>0</v>
      </c>
      <c r="AP330" s="437"/>
      <c r="AQ330" s="140"/>
      <c r="AR330" s="437"/>
      <c r="AS330" s="140"/>
      <c r="AT330" s="140">
        <f t="shared" si="192"/>
        <v>0</v>
      </c>
      <c r="AU330" s="66"/>
      <c r="AV330" s="140"/>
      <c r="AW330" s="140"/>
      <c r="AX330" s="140">
        <f t="shared" si="193"/>
        <v>0</v>
      </c>
      <c r="AY330" s="437"/>
      <c r="AZ330" s="140"/>
      <c r="BA330" s="437"/>
      <c r="BB330" s="140"/>
      <c r="BC330" s="140">
        <f t="shared" si="194"/>
        <v>0</v>
      </c>
      <c r="BD330" s="140"/>
      <c r="BE330" s="40"/>
      <c r="BF330" s="235">
        <v>0</v>
      </c>
      <c r="BG330" s="37"/>
      <c r="BH330" s="105">
        <v>0</v>
      </c>
      <c r="BI330" s="11"/>
    </row>
    <row r="331" spans="2:61" s="1" customFormat="1">
      <c r="B331" s="69" t="s">
        <v>407</v>
      </c>
      <c r="C331" s="13" t="s">
        <v>677</v>
      </c>
      <c r="D331" s="1375">
        <f>ROUND(338146802.4,0)</f>
        <v>338146802</v>
      </c>
      <c r="E331" s="1372">
        <v>164562392</v>
      </c>
      <c r="F331" s="1365">
        <f t="shared" si="184"/>
        <v>502709194</v>
      </c>
      <c r="G331" s="1365">
        <f t="shared" si="183"/>
        <v>0</v>
      </c>
      <c r="H331" s="1367">
        <f t="shared" si="185"/>
        <v>502709194</v>
      </c>
      <c r="I331" s="1384"/>
      <c r="J331" s="1367"/>
      <c r="K331" s="1384"/>
      <c r="L331" s="1367"/>
      <c r="M331" s="2143">
        <f t="shared" si="186"/>
        <v>502709194</v>
      </c>
      <c r="N331" s="1967"/>
      <c r="O331" s="1057"/>
      <c r="P331" s="1485">
        <f>ROUND(500305832.5,0)</f>
        <v>500305833</v>
      </c>
      <c r="Q331" s="1372">
        <v>278642839</v>
      </c>
      <c r="R331" s="1485">
        <f t="shared" si="187"/>
        <v>778948672</v>
      </c>
      <c r="S331" s="1481"/>
      <c r="T331" s="1485"/>
      <c r="U331" s="1481"/>
      <c r="V331" s="1485"/>
      <c r="W331" s="1485">
        <f t="shared" si="188"/>
        <v>778948672</v>
      </c>
      <c r="X331" s="1189"/>
      <c r="Y331" s="106">
        <v>191828321</v>
      </c>
      <c r="Z331" s="698">
        <v>142754844</v>
      </c>
      <c r="AA331" s="698">
        <f t="shared" si="195"/>
        <v>334583165</v>
      </c>
      <c r="AB331" s="253"/>
      <c r="AC331" s="106"/>
      <c r="AD331" s="253"/>
      <c r="AE331" s="106"/>
      <c r="AF331" s="698">
        <f t="shared" si="190"/>
        <v>334583165</v>
      </c>
      <c r="AG331" s="698"/>
      <c r="AH331" s="208"/>
      <c r="AI331" s="2142">
        <v>406242378</v>
      </c>
      <c r="AJ331" s="140"/>
      <c r="AK331" s="140"/>
      <c r="AL331" s="673"/>
      <c r="AM331" s="140">
        <v>327043578</v>
      </c>
      <c r="AN331" s="140">
        <v>45061169</v>
      </c>
      <c r="AO331" s="140">
        <f t="shared" si="191"/>
        <v>372104747</v>
      </c>
      <c r="AP331" s="437"/>
      <c r="AQ331" s="140"/>
      <c r="AR331" s="437"/>
      <c r="AS331" s="140"/>
      <c r="AT331" s="140">
        <f t="shared" si="192"/>
        <v>372104747</v>
      </c>
      <c r="AU331" s="66"/>
      <c r="AV331" s="140">
        <v>661504093</v>
      </c>
      <c r="AW331" s="140">
        <v>199550332</v>
      </c>
      <c r="AX331" s="140">
        <f t="shared" si="193"/>
        <v>861054425</v>
      </c>
      <c r="AY331" s="437"/>
      <c r="AZ331" s="140"/>
      <c r="BA331" s="437"/>
      <c r="BB331" s="140"/>
      <c r="BC331" s="140">
        <f t="shared" si="194"/>
        <v>861054425</v>
      </c>
      <c r="BD331" s="140"/>
      <c r="BE331" s="40"/>
      <c r="BF331" s="235">
        <v>806815543</v>
      </c>
      <c r="BG331" s="37"/>
      <c r="BH331" s="105">
        <v>507185452</v>
      </c>
      <c r="BI331" s="11"/>
    </row>
    <row r="332" spans="2:61" s="1" customFormat="1">
      <c r="B332" s="69" t="s">
        <v>407</v>
      </c>
      <c r="C332" s="13" t="s">
        <v>678</v>
      </c>
      <c r="D332" s="1367"/>
      <c r="E332" s="1367"/>
      <c r="F332" s="1365">
        <f t="shared" si="184"/>
        <v>0</v>
      </c>
      <c r="G332" s="1365">
        <f t="shared" si="183"/>
        <v>0</v>
      </c>
      <c r="H332" s="1367">
        <f t="shared" si="185"/>
        <v>0</v>
      </c>
      <c r="I332" s="1384"/>
      <c r="J332" s="1367"/>
      <c r="K332" s="1384"/>
      <c r="L332" s="1367"/>
      <c r="M332" s="1367">
        <f t="shared" si="186"/>
        <v>0</v>
      </c>
      <c r="N332" s="1967"/>
      <c r="O332" s="1057"/>
      <c r="P332" s="1485"/>
      <c r="Q332" s="1367"/>
      <c r="R332" s="1485">
        <f t="shared" si="187"/>
        <v>0</v>
      </c>
      <c r="S332" s="1481"/>
      <c r="T332" s="1485"/>
      <c r="U332" s="1481"/>
      <c r="V332" s="1485"/>
      <c r="W332" s="1485">
        <f t="shared" si="188"/>
        <v>0</v>
      </c>
      <c r="X332" s="1189"/>
      <c r="Y332" s="106">
        <v>0</v>
      </c>
      <c r="Z332" s="698">
        <v>0</v>
      </c>
      <c r="AA332" s="698">
        <f t="shared" si="195"/>
        <v>0</v>
      </c>
      <c r="AB332" s="253"/>
      <c r="AC332" s="106"/>
      <c r="AD332" s="253"/>
      <c r="AE332" s="106"/>
      <c r="AF332" s="698">
        <f t="shared" si="190"/>
        <v>0</v>
      </c>
      <c r="AG332" s="698"/>
      <c r="AH332" s="208"/>
      <c r="AI332" s="140">
        <v>0</v>
      </c>
      <c r="AJ332" s="140"/>
      <c r="AK332" s="140"/>
      <c r="AL332" s="673"/>
      <c r="AM332" s="140">
        <v>515696525</v>
      </c>
      <c r="AN332" s="140">
        <v>79294042</v>
      </c>
      <c r="AO332" s="140">
        <f t="shared" si="191"/>
        <v>594990567</v>
      </c>
      <c r="AP332" s="437"/>
      <c r="AQ332" s="140"/>
      <c r="AR332" s="437"/>
      <c r="AS332" s="140"/>
      <c r="AT332" s="140">
        <f t="shared" si="192"/>
        <v>594990567</v>
      </c>
      <c r="AU332" s="66"/>
      <c r="AV332" s="140">
        <v>1303000634</v>
      </c>
      <c r="AW332" s="140">
        <v>703789250</v>
      </c>
      <c r="AX332" s="140">
        <f t="shared" si="193"/>
        <v>2006789884</v>
      </c>
      <c r="AY332" s="437"/>
      <c r="AZ332" s="140"/>
      <c r="BA332" s="437"/>
      <c r="BB332" s="140"/>
      <c r="BC332" s="140">
        <f t="shared" si="194"/>
        <v>2006789884</v>
      </c>
      <c r="BD332" s="140"/>
      <c r="BE332" s="40"/>
      <c r="BF332" s="235">
        <v>0</v>
      </c>
      <c r="BG332" s="37"/>
      <c r="BH332" s="105">
        <v>174971191</v>
      </c>
      <c r="BI332" s="11"/>
    </row>
    <row r="333" spans="2:61" s="1" customFormat="1">
      <c r="B333" s="69" t="s">
        <v>407</v>
      </c>
      <c r="C333" s="13" t="s">
        <v>679</v>
      </c>
      <c r="D333" s="1367"/>
      <c r="E333" s="1367"/>
      <c r="F333" s="1365">
        <f t="shared" si="184"/>
        <v>0</v>
      </c>
      <c r="G333" s="1365">
        <f t="shared" si="183"/>
        <v>0</v>
      </c>
      <c r="H333" s="1367">
        <f t="shared" si="185"/>
        <v>0</v>
      </c>
      <c r="I333" s="1384"/>
      <c r="J333" s="1367"/>
      <c r="K333" s="1384"/>
      <c r="L333" s="1367"/>
      <c r="M333" s="1367">
        <f t="shared" si="186"/>
        <v>0</v>
      </c>
      <c r="N333" s="1967"/>
      <c r="O333" s="1057"/>
      <c r="P333" s="1485"/>
      <c r="Q333" s="1367"/>
      <c r="R333" s="1485">
        <f t="shared" si="187"/>
        <v>0</v>
      </c>
      <c r="S333" s="1481"/>
      <c r="T333" s="1485"/>
      <c r="U333" s="1481"/>
      <c r="V333" s="1485"/>
      <c r="W333" s="1485">
        <f t="shared" si="188"/>
        <v>0</v>
      </c>
      <c r="X333" s="1189"/>
      <c r="Y333" s="106">
        <v>0</v>
      </c>
      <c r="Z333" s="698">
        <v>0</v>
      </c>
      <c r="AA333" s="698">
        <f t="shared" si="195"/>
        <v>0</v>
      </c>
      <c r="AB333" s="253"/>
      <c r="AC333" s="106"/>
      <c r="AD333" s="253"/>
      <c r="AE333" s="106"/>
      <c r="AF333" s="698">
        <f t="shared" si="190"/>
        <v>0</v>
      </c>
      <c r="AG333" s="698"/>
      <c r="AH333" s="208"/>
      <c r="AI333" s="140">
        <v>0</v>
      </c>
      <c r="AJ333" s="140"/>
      <c r="AK333" s="140"/>
      <c r="AL333" s="673"/>
      <c r="AM333" s="140"/>
      <c r="AN333" s="140"/>
      <c r="AO333" s="140">
        <f t="shared" si="191"/>
        <v>0</v>
      </c>
      <c r="AP333" s="437"/>
      <c r="AQ333" s="140"/>
      <c r="AR333" s="437"/>
      <c r="AS333" s="140"/>
      <c r="AT333" s="140">
        <f t="shared" si="192"/>
        <v>0</v>
      </c>
      <c r="AU333" s="66"/>
      <c r="AV333" s="140"/>
      <c r="AW333" s="140"/>
      <c r="AX333" s="140">
        <f t="shared" si="193"/>
        <v>0</v>
      </c>
      <c r="AY333" s="437"/>
      <c r="AZ333" s="140"/>
      <c r="BA333" s="437"/>
      <c r="BB333" s="140"/>
      <c r="BC333" s="140">
        <f t="shared" si="194"/>
        <v>0</v>
      </c>
      <c r="BD333" s="140"/>
      <c r="BE333" s="40"/>
      <c r="BF333" s="235">
        <v>0</v>
      </c>
      <c r="BG333" s="37"/>
      <c r="BH333" s="105">
        <v>0</v>
      </c>
      <c r="BI333" s="11"/>
    </row>
    <row r="334" spans="2:61" s="1" customFormat="1">
      <c r="B334" s="69" t="s">
        <v>407</v>
      </c>
      <c r="C334" s="13" t="s">
        <v>680</v>
      </c>
      <c r="D334" s="1367"/>
      <c r="E334" s="1372">
        <f>ROUND(210906705.049999,0)</f>
        <v>210906705</v>
      </c>
      <c r="F334" s="1365">
        <f t="shared" si="184"/>
        <v>210906705</v>
      </c>
      <c r="G334" s="1365">
        <f t="shared" si="183"/>
        <v>0</v>
      </c>
      <c r="H334" s="1367">
        <f t="shared" si="185"/>
        <v>210906705</v>
      </c>
      <c r="I334" s="1384"/>
      <c r="J334" s="1367"/>
      <c r="K334" s="1384"/>
      <c r="L334" s="1367"/>
      <c r="M334" s="2143">
        <f t="shared" si="186"/>
        <v>210906705</v>
      </c>
      <c r="N334" s="1967"/>
      <c r="O334" s="1057"/>
      <c r="P334" s="1485"/>
      <c r="Q334" s="1367">
        <f>ROUND(310906705.049999,0)*0</f>
        <v>0</v>
      </c>
      <c r="R334" s="1485">
        <f t="shared" si="187"/>
        <v>0</v>
      </c>
      <c r="S334" s="1481"/>
      <c r="T334" s="1485"/>
      <c r="U334" s="1481"/>
      <c r="V334" s="1485"/>
      <c r="W334" s="1485">
        <f t="shared" si="188"/>
        <v>0</v>
      </c>
      <c r="X334" s="1189"/>
      <c r="Y334" s="106">
        <v>0</v>
      </c>
      <c r="Z334" s="698">
        <v>310906705</v>
      </c>
      <c r="AA334" s="698">
        <f t="shared" si="195"/>
        <v>310906705</v>
      </c>
      <c r="AB334" s="253"/>
      <c r="AC334" s="106"/>
      <c r="AD334" s="253"/>
      <c r="AE334" s="106"/>
      <c r="AF334" s="698">
        <f t="shared" si="190"/>
        <v>310906705</v>
      </c>
      <c r="AG334" s="698"/>
      <c r="AH334" s="208"/>
      <c r="AI334" s="2142">
        <v>310906705</v>
      </c>
      <c r="AJ334" s="140"/>
      <c r="AK334" s="140"/>
      <c r="AL334" s="673"/>
      <c r="AM334" s="140">
        <v>530622930</v>
      </c>
      <c r="AN334" s="140">
        <v>310906706</v>
      </c>
      <c r="AO334" s="140">
        <f t="shared" si="191"/>
        <v>841529636</v>
      </c>
      <c r="AP334" s="437"/>
      <c r="AQ334" s="140"/>
      <c r="AR334" s="437"/>
      <c r="AS334" s="140"/>
      <c r="AT334" s="140">
        <f t="shared" si="192"/>
        <v>841529636</v>
      </c>
      <c r="AU334" s="66"/>
      <c r="AV334" s="140">
        <v>1819642333</v>
      </c>
      <c r="AW334" s="140">
        <v>425723363</v>
      </c>
      <c r="AX334" s="140">
        <f t="shared" si="193"/>
        <v>2245365696</v>
      </c>
      <c r="AY334" s="437"/>
      <c r="AZ334" s="140"/>
      <c r="BA334" s="437"/>
      <c r="BB334" s="140"/>
      <c r="BC334" s="140">
        <f t="shared" si="194"/>
        <v>2245365696</v>
      </c>
      <c r="BD334" s="140"/>
      <c r="BE334" s="40"/>
      <c r="BF334" s="235">
        <v>0</v>
      </c>
      <c r="BG334" s="37"/>
      <c r="BH334" s="235">
        <v>0</v>
      </c>
      <c r="BI334" s="11"/>
    </row>
    <row r="335" spans="2:61" s="1" customFormat="1">
      <c r="B335" s="69"/>
      <c r="C335" s="13" t="s">
        <v>681</v>
      </c>
      <c r="D335" s="1367"/>
      <c r="E335" s="1372">
        <v>54504000</v>
      </c>
      <c r="F335" s="1365">
        <f t="shared" si="184"/>
        <v>54504000</v>
      </c>
      <c r="G335" s="1365">
        <f t="shared" si="183"/>
        <v>0</v>
      </c>
      <c r="H335" s="1367">
        <f t="shared" si="185"/>
        <v>54504000</v>
      </c>
      <c r="I335" s="1384"/>
      <c r="J335" s="1367"/>
      <c r="K335" s="1384"/>
      <c r="L335" s="1367"/>
      <c r="M335" s="2143">
        <f t="shared" si="186"/>
        <v>54504000</v>
      </c>
      <c r="N335" s="1967"/>
      <c r="O335" s="1057"/>
      <c r="P335" s="1485"/>
      <c r="Q335" s="1372">
        <v>97908888</v>
      </c>
      <c r="R335" s="1485">
        <f t="shared" si="187"/>
        <v>97908888</v>
      </c>
      <c r="S335" s="1481"/>
      <c r="T335" s="1485"/>
      <c r="U335" s="1481"/>
      <c r="V335" s="1485"/>
      <c r="W335" s="1485">
        <f t="shared" si="188"/>
        <v>97908888</v>
      </c>
      <c r="X335" s="1189"/>
      <c r="Y335" s="106">
        <v>0</v>
      </c>
      <c r="Z335" s="698">
        <v>0</v>
      </c>
      <c r="AA335" s="698">
        <f t="shared" si="195"/>
        <v>0</v>
      </c>
      <c r="AB335" s="253"/>
      <c r="AC335" s="106"/>
      <c r="AD335" s="253"/>
      <c r="AE335" s="106"/>
      <c r="AF335" s="698">
        <f t="shared" si="190"/>
        <v>0</v>
      </c>
      <c r="AG335" s="698"/>
      <c r="AH335" s="208"/>
      <c r="AI335" s="140">
        <v>0</v>
      </c>
      <c r="AJ335" s="140"/>
      <c r="AK335" s="140"/>
      <c r="AL335" s="673"/>
      <c r="AM335" s="140"/>
      <c r="AN335" s="140"/>
      <c r="AO335" s="140">
        <f t="shared" si="191"/>
        <v>0</v>
      </c>
      <c r="AP335" s="437"/>
      <c r="AQ335" s="140"/>
      <c r="AR335" s="437"/>
      <c r="AS335" s="140"/>
      <c r="AT335" s="140">
        <f t="shared" si="192"/>
        <v>0</v>
      </c>
      <c r="AU335" s="66"/>
      <c r="AV335" s="140"/>
      <c r="AW335" s="140">
        <v>35834776</v>
      </c>
      <c r="AX335" s="140">
        <f t="shared" si="193"/>
        <v>35834776</v>
      </c>
      <c r="AY335" s="437"/>
      <c r="AZ335" s="140"/>
      <c r="BA335" s="437"/>
      <c r="BB335" s="140"/>
      <c r="BC335" s="140">
        <f t="shared" si="194"/>
        <v>35834776</v>
      </c>
      <c r="BD335" s="140"/>
      <c r="BE335" s="40"/>
      <c r="BF335" s="235">
        <v>0</v>
      </c>
      <c r="BG335" s="37"/>
      <c r="BH335" s="105">
        <v>49322145</v>
      </c>
      <c r="BI335" s="11"/>
    </row>
    <row r="336" spans="2:61" s="1" customFormat="1">
      <c r="B336" s="30" t="s">
        <v>407</v>
      </c>
      <c r="C336" s="13" t="s">
        <v>682</v>
      </c>
      <c r="D336" s="1367"/>
      <c r="E336" s="1367"/>
      <c r="F336" s="1365">
        <f t="shared" si="184"/>
        <v>0</v>
      </c>
      <c r="G336" s="1365">
        <f t="shared" si="183"/>
        <v>0</v>
      </c>
      <c r="H336" s="1367">
        <f t="shared" si="185"/>
        <v>0</v>
      </c>
      <c r="I336" s="1384"/>
      <c r="J336" s="1367"/>
      <c r="K336" s="1384"/>
      <c r="L336" s="1367"/>
      <c r="M336" s="1367">
        <f t="shared" si="186"/>
        <v>0</v>
      </c>
      <c r="N336" s="1967"/>
      <c r="O336" s="1057"/>
      <c r="P336" s="1485"/>
      <c r="Q336" s="1367"/>
      <c r="R336" s="1485">
        <f t="shared" si="187"/>
        <v>0</v>
      </c>
      <c r="S336" s="1481"/>
      <c r="T336" s="1485"/>
      <c r="U336" s="1481"/>
      <c r="V336" s="1485"/>
      <c r="W336" s="1485">
        <f t="shared" si="188"/>
        <v>0</v>
      </c>
      <c r="X336" s="1189"/>
      <c r="Y336" s="106">
        <v>0</v>
      </c>
      <c r="Z336" s="698">
        <v>0</v>
      </c>
      <c r="AA336" s="698">
        <f t="shared" si="195"/>
        <v>0</v>
      </c>
      <c r="AB336" s="253"/>
      <c r="AC336" s="106"/>
      <c r="AD336" s="253"/>
      <c r="AE336" s="106"/>
      <c r="AF336" s="698">
        <f t="shared" si="190"/>
        <v>0</v>
      </c>
      <c r="AG336" s="698"/>
      <c r="AH336" s="208"/>
      <c r="AI336" s="140">
        <v>0</v>
      </c>
      <c r="AJ336" s="140"/>
      <c r="AK336" s="140"/>
      <c r="AL336" s="673"/>
      <c r="AM336" s="140"/>
      <c r="AN336" s="140"/>
      <c r="AO336" s="140">
        <f t="shared" si="191"/>
        <v>0</v>
      </c>
      <c r="AP336" s="437"/>
      <c r="AQ336" s="140"/>
      <c r="AR336" s="437"/>
      <c r="AS336" s="140"/>
      <c r="AT336" s="140">
        <f t="shared" si="192"/>
        <v>0</v>
      </c>
      <c r="AU336" s="66"/>
      <c r="AV336" s="140"/>
      <c r="AW336" s="140"/>
      <c r="AX336" s="140">
        <f t="shared" si="193"/>
        <v>0</v>
      </c>
      <c r="AY336" s="437"/>
      <c r="AZ336" s="140"/>
      <c r="BA336" s="437"/>
      <c r="BB336" s="140"/>
      <c r="BC336" s="140">
        <f t="shared" si="194"/>
        <v>0</v>
      </c>
      <c r="BD336" s="140"/>
      <c r="BE336" s="40"/>
      <c r="BF336" s="235">
        <v>0</v>
      </c>
      <c r="BG336" s="37"/>
      <c r="BH336" s="235">
        <v>0</v>
      </c>
      <c r="BI336" s="11"/>
    </row>
    <row r="337" spans="2:61" s="1" customFormat="1">
      <c r="B337" s="30"/>
      <c r="C337" s="13" t="s">
        <v>683</v>
      </c>
      <c r="D337" s="1375">
        <v>306138000</v>
      </c>
      <c r="E337" s="1367"/>
      <c r="F337" s="1365">
        <f t="shared" si="184"/>
        <v>306138000</v>
      </c>
      <c r="G337" s="1365">
        <f t="shared" si="183"/>
        <v>0</v>
      </c>
      <c r="H337" s="1367">
        <f t="shared" si="185"/>
        <v>306138000</v>
      </c>
      <c r="I337" s="1384"/>
      <c r="J337" s="1367"/>
      <c r="K337" s="1384"/>
      <c r="L337" s="1367"/>
      <c r="M337" s="1367">
        <f t="shared" si="186"/>
        <v>306138000</v>
      </c>
      <c r="N337" s="1967"/>
      <c r="O337" s="1057"/>
      <c r="P337" s="1485"/>
      <c r="Q337" s="1367"/>
      <c r="R337" s="1485">
        <f t="shared" si="187"/>
        <v>0</v>
      </c>
      <c r="S337" s="1481"/>
      <c r="T337" s="1485"/>
      <c r="U337" s="1481"/>
      <c r="V337" s="1485"/>
      <c r="W337" s="1485">
        <f t="shared" si="188"/>
        <v>0</v>
      </c>
      <c r="X337" s="1189"/>
      <c r="Y337" s="106">
        <v>334110000</v>
      </c>
      <c r="Z337" s="698">
        <v>0</v>
      </c>
      <c r="AA337" s="698">
        <f t="shared" si="195"/>
        <v>334110000</v>
      </c>
      <c r="AB337" s="253"/>
      <c r="AC337" s="106"/>
      <c r="AD337" s="253"/>
      <c r="AE337" s="106"/>
      <c r="AF337" s="698">
        <f t="shared" ref="AF337" si="196">ROUND((AA337-AC337+AE337),0)</f>
        <v>334110000</v>
      </c>
      <c r="AG337" s="698"/>
      <c r="AH337" s="208"/>
      <c r="AI337" s="140"/>
      <c r="AJ337" s="140"/>
      <c r="AK337" s="140"/>
      <c r="AL337" s="673"/>
      <c r="AM337" s="140">
        <v>128205000</v>
      </c>
      <c r="AN337" s="140"/>
      <c r="AO337" s="140">
        <f t="shared" si="191"/>
        <v>128205000</v>
      </c>
      <c r="AP337" s="437"/>
      <c r="AQ337" s="140"/>
      <c r="AR337" s="437"/>
      <c r="AS337" s="140"/>
      <c r="AT337" s="140">
        <f t="shared" si="192"/>
        <v>128205000</v>
      </c>
      <c r="AU337" s="66"/>
      <c r="AV337" s="140">
        <v>136752000</v>
      </c>
      <c r="AW337" s="140"/>
      <c r="AX337" s="140">
        <f t="shared" si="193"/>
        <v>136752000</v>
      </c>
      <c r="AY337" s="437"/>
      <c r="AZ337" s="140"/>
      <c r="BA337" s="437"/>
      <c r="BB337" s="140"/>
      <c r="BC337" s="140">
        <f t="shared" si="194"/>
        <v>136752000</v>
      </c>
      <c r="BD337" s="140"/>
      <c r="BE337" s="40"/>
      <c r="BF337" s="235"/>
      <c r="BG337" s="37"/>
      <c r="BH337" s="235"/>
      <c r="BI337" s="11"/>
    </row>
    <row r="338" spans="2:61" s="1" customFormat="1">
      <c r="B338" s="30" t="s">
        <v>407</v>
      </c>
      <c r="C338" s="13" t="s">
        <v>684</v>
      </c>
      <c r="D338" s="1375">
        <v>384060000</v>
      </c>
      <c r="E338" s="1367">
        <v>0</v>
      </c>
      <c r="F338" s="1365">
        <f t="shared" si="184"/>
        <v>384060000</v>
      </c>
      <c r="G338" s="1365">
        <f t="shared" ref="G338:G401" si="197">F338-H338</f>
        <v>0</v>
      </c>
      <c r="H338" s="1367">
        <f t="shared" si="185"/>
        <v>384060000</v>
      </c>
      <c r="I338" s="1384"/>
      <c r="J338" s="1367"/>
      <c r="K338" s="1384"/>
      <c r="L338" s="1367"/>
      <c r="M338" s="1367">
        <f t="shared" si="186"/>
        <v>384060000</v>
      </c>
      <c r="N338" s="1967"/>
      <c r="O338" s="1057"/>
      <c r="P338" s="1485">
        <v>64380000</v>
      </c>
      <c r="Q338" s="1372">
        <v>266400000</v>
      </c>
      <c r="R338" s="1485">
        <f t="shared" si="187"/>
        <v>330780000</v>
      </c>
      <c r="S338" s="1481"/>
      <c r="T338" s="1485"/>
      <c r="U338" s="1481"/>
      <c r="V338" s="1485"/>
      <c r="W338" s="1485">
        <f t="shared" si="188"/>
        <v>330780000</v>
      </c>
      <c r="X338" s="1189"/>
      <c r="Y338" s="106">
        <v>235320000</v>
      </c>
      <c r="Z338" s="698">
        <v>142080000</v>
      </c>
      <c r="AA338" s="698">
        <f t="shared" si="195"/>
        <v>377400000</v>
      </c>
      <c r="AB338" s="253"/>
      <c r="AC338" s="106"/>
      <c r="AD338" s="253"/>
      <c r="AE338" s="106"/>
      <c r="AF338" s="698">
        <f t="shared" si="190"/>
        <v>377400000</v>
      </c>
      <c r="AG338" s="698"/>
      <c r="AH338" s="208"/>
      <c r="AI338" s="140">
        <v>0</v>
      </c>
      <c r="AJ338" s="140"/>
      <c r="AK338" s="140"/>
      <c r="AL338" s="673"/>
      <c r="AM338" s="140">
        <v>177600000</v>
      </c>
      <c r="AN338" s="140"/>
      <c r="AO338" s="140">
        <f t="shared" si="191"/>
        <v>177600000</v>
      </c>
      <c r="AP338" s="437"/>
      <c r="AQ338" s="140"/>
      <c r="AR338" s="437"/>
      <c r="AS338" s="140"/>
      <c r="AT338" s="140">
        <f t="shared" si="192"/>
        <v>177600000</v>
      </c>
      <c r="AU338" s="66"/>
      <c r="AV338" s="140">
        <v>355200000</v>
      </c>
      <c r="AW338" s="140">
        <v>355200000</v>
      </c>
      <c r="AX338" s="140">
        <f t="shared" si="193"/>
        <v>710400000</v>
      </c>
      <c r="AY338" s="437"/>
      <c r="AZ338" s="140"/>
      <c r="BA338" s="437"/>
      <c r="BB338" s="140"/>
      <c r="BC338" s="140">
        <f t="shared" si="194"/>
        <v>710400000</v>
      </c>
      <c r="BD338" s="140"/>
      <c r="BE338" s="40"/>
      <c r="BF338" s="235">
        <v>777000000</v>
      </c>
      <c r="BG338" s="37"/>
      <c r="BH338" s="105">
        <v>327250000</v>
      </c>
      <c r="BI338" s="11"/>
    </row>
    <row r="339" spans="2:61" s="1" customFormat="1">
      <c r="B339" s="30"/>
      <c r="C339" s="13" t="s">
        <v>685</v>
      </c>
      <c r="D339" s="1375">
        <v>483155250</v>
      </c>
      <c r="E339" s="1367"/>
      <c r="F339" s="1365">
        <f t="shared" si="184"/>
        <v>483155250</v>
      </c>
      <c r="G339" s="1365">
        <f t="shared" si="197"/>
        <v>0</v>
      </c>
      <c r="H339" s="1367">
        <f t="shared" si="185"/>
        <v>483155250</v>
      </c>
      <c r="I339" s="1384"/>
      <c r="J339" s="1367"/>
      <c r="K339" s="1384"/>
      <c r="L339" s="1367"/>
      <c r="M339" s="1367">
        <f t="shared" si="186"/>
        <v>483155250</v>
      </c>
      <c r="N339" s="1967"/>
      <c r="O339" s="1057"/>
      <c r="P339" s="1485"/>
      <c r="Q339" s="1367"/>
      <c r="R339" s="1485">
        <f t="shared" si="187"/>
        <v>0</v>
      </c>
      <c r="S339" s="1481"/>
      <c r="T339" s="1485"/>
      <c r="U339" s="1481"/>
      <c r="V339" s="1485"/>
      <c r="W339" s="1485">
        <f t="shared" si="188"/>
        <v>0</v>
      </c>
      <c r="X339" s="1189"/>
      <c r="Y339" s="106">
        <v>478659750</v>
      </c>
      <c r="Z339" s="698">
        <v>0</v>
      </c>
      <c r="AA339" s="698">
        <f t="shared" si="195"/>
        <v>478659750</v>
      </c>
      <c r="AB339" s="253"/>
      <c r="AC339" s="106"/>
      <c r="AD339" s="253"/>
      <c r="AE339" s="106"/>
      <c r="AF339" s="698">
        <f t="shared" si="190"/>
        <v>478659750</v>
      </c>
      <c r="AG339" s="698"/>
      <c r="AH339" s="208"/>
      <c r="AI339" s="140">
        <v>0</v>
      </c>
      <c r="AJ339" s="140"/>
      <c r="AK339" s="140"/>
      <c r="AL339" s="673"/>
      <c r="AM339" s="140">
        <v>401804460</v>
      </c>
      <c r="AN339" s="140"/>
      <c r="AO339" s="140">
        <f t="shared" si="191"/>
        <v>401804460</v>
      </c>
      <c r="AP339" s="437"/>
      <c r="AQ339" s="140"/>
      <c r="AR339" s="437"/>
      <c r="AS339" s="140"/>
      <c r="AT339" s="140">
        <f t="shared" si="192"/>
        <v>401804460</v>
      </c>
      <c r="AU339" s="66"/>
      <c r="AV339" s="140"/>
      <c r="AW339" s="140"/>
      <c r="AX339" s="140">
        <f t="shared" si="193"/>
        <v>0</v>
      </c>
      <c r="AY339" s="437"/>
      <c r="AZ339" s="140"/>
      <c r="BA339" s="437"/>
      <c r="BB339" s="140"/>
      <c r="BC339" s="140">
        <f t="shared" si="194"/>
        <v>0</v>
      </c>
      <c r="BD339" s="140"/>
      <c r="BE339" s="40"/>
      <c r="BF339" s="235">
        <v>281731500</v>
      </c>
      <c r="BG339" s="37"/>
      <c r="BH339" s="235">
        <v>0</v>
      </c>
      <c r="BI339" s="11"/>
    </row>
    <row r="340" spans="2:61" s="1" customFormat="1">
      <c r="B340" s="30"/>
      <c r="C340" s="13" t="s">
        <v>686</v>
      </c>
      <c r="D340" s="1367"/>
      <c r="E340" s="2283">
        <v>2043145000</v>
      </c>
      <c r="F340" s="1365">
        <f t="shared" ref="F340:F403" si="198">D340+E340</f>
        <v>2043145000</v>
      </c>
      <c r="G340" s="1365">
        <f t="shared" si="197"/>
        <v>0</v>
      </c>
      <c r="H340" s="1367">
        <f t="shared" si="185"/>
        <v>2043145000</v>
      </c>
      <c r="I340" s="1384"/>
      <c r="J340" s="1367"/>
      <c r="K340" s="1384"/>
      <c r="L340" s="1367"/>
      <c r="M340" s="2143">
        <f t="shared" si="186"/>
        <v>2043145000</v>
      </c>
      <c r="N340" s="1967"/>
      <c r="O340" s="1057"/>
      <c r="P340" s="1485">
        <v>158625000</v>
      </c>
      <c r="Q340" s="1372">
        <v>575595000</v>
      </c>
      <c r="R340" s="1485">
        <f t="shared" si="187"/>
        <v>734220000</v>
      </c>
      <c r="S340" s="1481"/>
      <c r="T340" s="1485"/>
      <c r="U340" s="1481"/>
      <c r="V340" s="1485"/>
      <c r="W340" s="1485">
        <f t="shared" si="188"/>
        <v>734220000</v>
      </c>
      <c r="X340" s="1189"/>
      <c r="Y340" s="106">
        <v>0</v>
      </c>
      <c r="Z340" s="698">
        <v>1667225000</v>
      </c>
      <c r="AA340" s="698">
        <f t="shared" si="195"/>
        <v>1667225000</v>
      </c>
      <c r="AB340" s="253"/>
      <c r="AC340" s="106"/>
      <c r="AD340" s="253"/>
      <c r="AE340" s="106"/>
      <c r="AF340" s="698">
        <f t="shared" si="190"/>
        <v>1667225000</v>
      </c>
      <c r="AG340" s="698"/>
      <c r="AH340" s="208"/>
      <c r="AI340" s="2142">
        <v>1115222500</v>
      </c>
      <c r="AJ340" s="140"/>
      <c r="AK340" s="140"/>
      <c r="AL340" s="673"/>
      <c r="AM340" s="140"/>
      <c r="AN340" s="140">
        <v>684720000</v>
      </c>
      <c r="AO340" s="140">
        <f t="shared" si="191"/>
        <v>684720000</v>
      </c>
      <c r="AP340" s="437"/>
      <c r="AQ340" s="140"/>
      <c r="AR340" s="437"/>
      <c r="AS340" s="140"/>
      <c r="AT340" s="140">
        <f t="shared" si="192"/>
        <v>684720000</v>
      </c>
      <c r="AU340" s="66"/>
      <c r="AV340" s="140">
        <v>253829250</v>
      </c>
      <c r="AW340" s="140">
        <v>1103945097</v>
      </c>
      <c r="AX340" s="140">
        <f t="shared" si="193"/>
        <v>1357774347</v>
      </c>
      <c r="AY340" s="437"/>
      <c r="AZ340" s="140"/>
      <c r="BA340" s="437"/>
      <c r="BB340" s="140"/>
      <c r="BC340" s="140">
        <f t="shared" si="194"/>
        <v>1357774347</v>
      </c>
      <c r="BD340" s="140"/>
      <c r="BE340" s="40"/>
      <c r="BF340" s="235">
        <v>622762500</v>
      </c>
      <c r="BG340" s="37"/>
      <c r="BH340" s="105">
        <v>503835000</v>
      </c>
      <c r="BI340" s="11"/>
    </row>
    <row r="341" spans="2:61" s="1" customFormat="1">
      <c r="B341" s="30"/>
      <c r="C341" s="13" t="s">
        <v>687</v>
      </c>
      <c r="D341" s="1367">
        <v>0</v>
      </c>
      <c r="E341" s="1367"/>
      <c r="F341" s="1365">
        <f t="shared" si="198"/>
        <v>0</v>
      </c>
      <c r="G341" s="1365">
        <f t="shared" si="197"/>
        <v>0</v>
      </c>
      <c r="H341" s="1367">
        <f t="shared" si="185"/>
        <v>0</v>
      </c>
      <c r="I341" s="1384"/>
      <c r="J341" s="1367"/>
      <c r="K341" s="1384"/>
      <c r="L341" s="1367"/>
      <c r="M341" s="2143">
        <f t="shared" si="186"/>
        <v>0</v>
      </c>
      <c r="N341" s="1967"/>
      <c r="O341" s="1057"/>
      <c r="P341" s="1485"/>
      <c r="Q341" s="1367"/>
      <c r="R341" s="1485">
        <f t="shared" si="187"/>
        <v>0</v>
      </c>
      <c r="S341" s="1481"/>
      <c r="T341" s="1485"/>
      <c r="U341" s="1481"/>
      <c r="V341" s="1485"/>
      <c r="W341" s="1485">
        <f t="shared" si="188"/>
        <v>0</v>
      </c>
      <c r="X341" s="1189"/>
      <c r="Y341" s="106">
        <v>633355786</v>
      </c>
      <c r="Z341" s="698">
        <v>0</v>
      </c>
      <c r="AA341" s="698">
        <f t="shared" si="195"/>
        <v>633355786</v>
      </c>
      <c r="AB341" s="253"/>
      <c r="AC341" s="106"/>
      <c r="AD341" s="253"/>
      <c r="AE341" s="106"/>
      <c r="AF341" s="698">
        <f t="shared" si="190"/>
        <v>633355786</v>
      </c>
      <c r="AG341" s="698"/>
      <c r="AH341" s="208"/>
      <c r="AI341" s="2142">
        <v>1618149192</v>
      </c>
      <c r="AJ341" s="140"/>
      <c r="AK341" s="140"/>
      <c r="AL341" s="673"/>
      <c r="AM341" s="140">
        <v>1518184627</v>
      </c>
      <c r="AN341" s="140"/>
      <c r="AO341" s="140">
        <f t="shared" si="191"/>
        <v>1518184627</v>
      </c>
      <c r="AP341" s="437"/>
      <c r="AQ341" s="140"/>
      <c r="AR341" s="437"/>
      <c r="AS341" s="140"/>
      <c r="AT341" s="140">
        <f t="shared" si="192"/>
        <v>1518184627</v>
      </c>
      <c r="AU341" s="66"/>
      <c r="AV341" s="140"/>
      <c r="AW341" s="140"/>
      <c r="AX341" s="140">
        <f t="shared" si="193"/>
        <v>0</v>
      </c>
      <c r="AY341" s="437"/>
      <c r="AZ341" s="140"/>
      <c r="BA341" s="437"/>
      <c r="BB341" s="140"/>
      <c r="BC341" s="140">
        <f t="shared" si="194"/>
        <v>0</v>
      </c>
      <c r="BD341" s="140"/>
      <c r="BE341" s="40"/>
      <c r="BF341" s="235"/>
      <c r="BG341" s="37"/>
      <c r="BH341" s="105"/>
      <c r="BI341" s="11"/>
    </row>
    <row r="342" spans="2:61" s="1" customFormat="1">
      <c r="B342" s="30"/>
      <c r="C342" s="13" t="s">
        <v>688</v>
      </c>
      <c r="D342" s="1367"/>
      <c r="E342" s="1367">
        <v>0</v>
      </c>
      <c r="F342" s="1365">
        <f t="shared" si="198"/>
        <v>0</v>
      </c>
      <c r="G342" s="1365">
        <f t="shared" si="197"/>
        <v>0</v>
      </c>
      <c r="H342" s="1367">
        <f t="shared" si="185"/>
        <v>0</v>
      </c>
      <c r="I342" s="1384"/>
      <c r="J342" s="1367"/>
      <c r="K342" s="1384"/>
      <c r="L342" s="1367"/>
      <c r="M342" s="1367">
        <f t="shared" si="186"/>
        <v>0</v>
      </c>
      <c r="N342" s="1967"/>
      <c r="O342" s="1057"/>
      <c r="P342" s="1485">
        <f>ROUND(129507783.42,0)</f>
        <v>129507783</v>
      </c>
      <c r="Q342" s="1367">
        <f>ROUND(269617307.419999,0)</f>
        <v>269617307</v>
      </c>
      <c r="R342" s="1485">
        <f t="shared" si="187"/>
        <v>399125090</v>
      </c>
      <c r="S342" s="1481"/>
      <c r="T342" s="1485"/>
      <c r="U342" s="1481"/>
      <c r="V342" s="1485"/>
      <c r="W342" s="1485">
        <f t="shared" si="188"/>
        <v>399125090</v>
      </c>
      <c r="X342" s="1189"/>
      <c r="Y342" s="106">
        <v>0</v>
      </c>
      <c r="Z342" s="698">
        <v>0</v>
      </c>
      <c r="AA342" s="698">
        <f t="shared" si="195"/>
        <v>0</v>
      </c>
      <c r="AB342" s="253"/>
      <c r="AC342" s="106"/>
      <c r="AD342" s="253"/>
      <c r="AE342" s="106"/>
      <c r="AF342" s="698">
        <f t="shared" si="190"/>
        <v>0</v>
      </c>
      <c r="AG342" s="698"/>
      <c r="AH342" s="208"/>
      <c r="AI342" s="140">
        <v>0</v>
      </c>
      <c r="AJ342" s="140"/>
      <c r="AK342" s="140"/>
      <c r="AL342" s="673"/>
      <c r="AM342" s="140"/>
      <c r="AN342" s="140"/>
      <c r="AO342" s="140">
        <f t="shared" si="191"/>
        <v>0</v>
      </c>
      <c r="AP342" s="437"/>
      <c r="AQ342" s="140"/>
      <c r="AR342" s="437"/>
      <c r="AS342" s="140"/>
      <c r="AT342" s="140">
        <f t="shared" si="192"/>
        <v>0</v>
      </c>
      <c r="AU342" s="66"/>
      <c r="AV342" s="140"/>
      <c r="AW342" s="140"/>
      <c r="AX342" s="140">
        <f t="shared" si="193"/>
        <v>0</v>
      </c>
      <c r="AY342" s="437"/>
      <c r="AZ342" s="140"/>
      <c r="BA342" s="437"/>
      <c r="BB342" s="140"/>
      <c r="BC342" s="140">
        <f t="shared" si="194"/>
        <v>0</v>
      </c>
      <c r="BD342" s="140"/>
      <c r="BE342" s="40"/>
      <c r="BF342" s="235">
        <v>0</v>
      </c>
      <c r="BG342" s="37"/>
      <c r="BH342" s="105">
        <v>2359111467</v>
      </c>
      <c r="BI342" s="11"/>
    </row>
    <row r="343" spans="2:61" s="1" customFormat="1">
      <c r="B343" s="30" t="s">
        <v>407</v>
      </c>
      <c r="C343" s="13" t="s">
        <v>689</v>
      </c>
      <c r="D343" s="1367">
        <v>0</v>
      </c>
      <c r="E343" s="1372">
        <v>0</v>
      </c>
      <c r="F343" s="1365">
        <f t="shared" si="198"/>
        <v>0</v>
      </c>
      <c r="G343" s="1365">
        <f t="shared" si="197"/>
        <v>0</v>
      </c>
      <c r="H343" s="1367">
        <f t="shared" si="185"/>
        <v>0</v>
      </c>
      <c r="I343" s="1384"/>
      <c r="J343" s="1367"/>
      <c r="K343" s="1384"/>
      <c r="L343" s="1367"/>
      <c r="M343" s="1367">
        <f t="shared" si="186"/>
        <v>0</v>
      </c>
      <c r="N343" s="1967"/>
      <c r="O343" s="1057"/>
      <c r="P343" s="1485"/>
      <c r="Q343" s="1367"/>
      <c r="R343" s="1485">
        <f t="shared" si="187"/>
        <v>0</v>
      </c>
      <c r="S343" s="1481"/>
      <c r="T343" s="1485"/>
      <c r="U343" s="1481"/>
      <c r="V343" s="1485"/>
      <c r="W343" s="1485">
        <f t="shared" si="188"/>
        <v>0</v>
      </c>
      <c r="X343" s="1189"/>
      <c r="Y343" s="106">
        <v>0</v>
      </c>
      <c r="Z343" s="698">
        <v>0</v>
      </c>
      <c r="AA343" s="698">
        <f t="shared" si="195"/>
        <v>0</v>
      </c>
      <c r="AB343" s="253"/>
      <c r="AC343" s="106"/>
      <c r="AD343" s="253"/>
      <c r="AE343" s="106"/>
      <c r="AF343" s="698">
        <f t="shared" si="190"/>
        <v>0</v>
      </c>
      <c r="AG343" s="698"/>
      <c r="AH343" s="208"/>
      <c r="AI343" s="140">
        <v>0</v>
      </c>
      <c r="AJ343" s="140"/>
      <c r="AK343" s="140"/>
      <c r="AL343" s="673"/>
      <c r="AM343" s="140"/>
      <c r="AN343" s="140"/>
      <c r="AO343" s="140">
        <f t="shared" si="191"/>
        <v>0</v>
      </c>
      <c r="AP343" s="437"/>
      <c r="AQ343" s="140"/>
      <c r="AR343" s="437"/>
      <c r="AS343" s="140"/>
      <c r="AT343" s="140">
        <f t="shared" si="192"/>
        <v>0</v>
      </c>
      <c r="AU343" s="66"/>
      <c r="AV343" s="140"/>
      <c r="AW343" s="140"/>
      <c r="AX343" s="140">
        <f t="shared" si="193"/>
        <v>0</v>
      </c>
      <c r="AY343" s="437"/>
      <c r="AZ343" s="140"/>
      <c r="BA343" s="437"/>
      <c r="BB343" s="140"/>
      <c r="BC343" s="140">
        <f t="shared" si="194"/>
        <v>0</v>
      </c>
      <c r="BD343" s="140"/>
      <c r="BE343" s="40"/>
      <c r="BF343" s="235">
        <v>0</v>
      </c>
      <c r="BG343" s="37"/>
      <c r="BH343" s="105">
        <v>1193917209</v>
      </c>
      <c r="BI343" s="11"/>
    </row>
    <row r="344" spans="2:61" s="1" customFormat="1">
      <c r="B344" s="30" t="s">
        <v>407</v>
      </c>
      <c r="C344" s="13" t="s">
        <v>690</v>
      </c>
      <c r="D344" s="1367"/>
      <c r="E344" s="1367"/>
      <c r="F344" s="1365">
        <f t="shared" si="198"/>
        <v>0</v>
      </c>
      <c r="G344" s="1365">
        <f t="shared" si="197"/>
        <v>0</v>
      </c>
      <c r="H344" s="1367">
        <f t="shared" si="185"/>
        <v>0</v>
      </c>
      <c r="I344" s="1384"/>
      <c r="J344" s="1367"/>
      <c r="K344" s="1384"/>
      <c r="L344" s="1367"/>
      <c r="M344" s="1367">
        <f t="shared" si="186"/>
        <v>0</v>
      </c>
      <c r="N344" s="1967"/>
      <c r="O344" s="1057"/>
      <c r="P344" s="1485"/>
      <c r="Q344" s="1367"/>
      <c r="R344" s="1485">
        <f t="shared" si="187"/>
        <v>0</v>
      </c>
      <c r="S344" s="1481"/>
      <c r="T344" s="1485"/>
      <c r="U344" s="1481"/>
      <c r="V344" s="1485"/>
      <c r="W344" s="1485">
        <f t="shared" si="188"/>
        <v>0</v>
      </c>
      <c r="X344" s="1189"/>
      <c r="Y344" s="106">
        <v>0</v>
      </c>
      <c r="Z344" s="698">
        <v>0</v>
      </c>
      <c r="AA344" s="698">
        <f t="shared" si="195"/>
        <v>0</v>
      </c>
      <c r="AB344" s="253"/>
      <c r="AC344" s="106"/>
      <c r="AD344" s="253"/>
      <c r="AE344" s="106"/>
      <c r="AF344" s="698">
        <f t="shared" si="190"/>
        <v>0</v>
      </c>
      <c r="AG344" s="698"/>
      <c r="AH344" s="208"/>
      <c r="AI344" s="140">
        <v>0</v>
      </c>
      <c r="AJ344" s="140"/>
      <c r="AK344" s="140"/>
      <c r="AL344" s="673"/>
      <c r="AM344" s="140"/>
      <c r="AN344" s="140">
        <v>43160000</v>
      </c>
      <c r="AO344" s="140">
        <f t="shared" si="191"/>
        <v>43160000</v>
      </c>
      <c r="AP344" s="437"/>
      <c r="AQ344" s="140"/>
      <c r="AR344" s="437"/>
      <c r="AS344" s="140"/>
      <c r="AT344" s="140">
        <f t="shared" si="192"/>
        <v>43160000</v>
      </c>
      <c r="AU344" s="66"/>
      <c r="AV344" s="140"/>
      <c r="AW344" s="140">
        <v>21580000</v>
      </c>
      <c r="AX344" s="140">
        <f t="shared" si="193"/>
        <v>21580000</v>
      </c>
      <c r="AY344" s="437"/>
      <c r="AZ344" s="140"/>
      <c r="BA344" s="437"/>
      <c r="BB344" s="140"/>
      <c r="BC344" s="140">
        <f t="shared" si="194"/>
        <v>21580000</v>
      </c>
      <c r="BD344" s="140"/>
      <c r="BE344" s="40"/>
      <c r="BF344" s="235">
        <v>50940000</v>
      </c>
      <c r="BG344" s="37"/>
      <c r="BH344" s="105">
        <v>32945000</v>
      </c>
      <c r="BI344" s="11"/>
    </row>
    <row r="345" spans="2:61" s="1" customFormat="1">
      <c r="B345" s="30"/>
      <c r="C345" s="13" t="s">
        <v>691</v>
      </c>
      <c r="D345" s="1375">
        <v>31635000</v>
      </c>
      <c r="E345" s="1372">
        <v>31635000</v>
      </c>
      <c r="F345" s="1365">
        <f t="shared" si="198"/>
        <v>63270000</v>
      </c>
      <c r="G345" s="1365">
        <f t="shared" si="197"/>
        <v>0</v>
      </c>
      <c r="H345" s="1367">
        <f t="shared" si="185"/>
        <v>63270000</v>
      </c>
      <c r="I345" s="1384"/>
      <c r="J345" s="1367"/>
      <c r="K345" s="1384"/>
      <c r="L345" s="1367"/>
      <c r="M345" s="2143">
        <f t="shared" si="186"/>
        <v>63270000</v>
      </c>
      <c r="N345" s="1967"/>
      <c r="O345" s="1057"/>
      <c r="P345" s="1485">
        <v>31635000</v>
      </c>
      <c r="Q345" s="1372">
        <v>31635000</v>
      </c>
      <c r="R345" s="1485">
        <f t="shared" si="187"/>
        <v>63270000</v>
      </c>
      <c r="S345" s="1481"/>
      <c r="T345" s="1485"/>
      <c r="U345" s="1481"/>
      <c r="V345" s="1485"/>
      <c r="W345" s="1485">
        <f t="shared" si="188"/>
        <v>63270000</v>
      </c>
      <c r="X345" s="1189"/>
      <c r="Y345" s="106">
        <v>0</v>
      </c>
      <c r="Z345" s="698">
        <v>27000000</v>
      </c>
      <c r="AA345" s="698">
        <f t="shared" si="195"/>
        <v>27000000</v>
      </c>
      <c r="AB345" s="253"/>
      <c r="AC345" s="106"/>
      <c r="AD345" s="253"/>
      <c r="AE345" s="106"/>
      <c r="AF345" s="698">
        <f t="shared" si="190"/>
        <v>27000000</v>
      </c>
      <c r="AG345" s="698"/>
      <c r="AH345" s="208"/>
      <c r="AI345" s="2142">
        <v>27000000</v>
      </c>
      <c r="AJ345" s="140"/>
      <c r="AK345" s="140"/>
      <c r="AL345" s="673"/>
      <c r="AM345" s="140"/>
      <c r="AN345" s="140"/>
      <c r="AO345" s="140">
        <f t="shared" si="191"/>
        <v>0</v>
      </c>
      <c r="AP345" s="437"/>
      <c r="AQ345" s="140"/>
      <c r="AR345" s="437"/>
      <c r="AS345" s="140"/>
      <c r="AT345" s="140">
        <f t="shared" si="192"/>
        <v>0</v>
      </c>
      <c r="AU345" s="66"/>
      <c r="AV345" s="140">
        <v>30195000</v>
      </c>
      <c r="AW345" s="140">
        <v>29700000</v>
      </c>
      <c r="AX345" s="140">
        <f t="shared" si="193"/>
        <v>59895000</v>
      </c>
      <c r="AY345" s="437"/>
      <c r="AZ345" s="140"/>
      <c r="BA345" s="437"/>
      <c r="BB345" s="140"/>
      <c r="BC345" s="140">
        <f t="shared" si="194"/>
        <v>59895000</v>
      </c>
      <c r="BD345" s="140"/>
      <c r="BE345" s="40"/>
      <c r="BF345" s="235">
        <v>49950000</v>
      </c>
      <c r="BG345" s="37"/>
      <c r="BH345" s="105">
        <v>326700000</v>
      </c>
      <c r="BI345" s="11"/>
    </row>
    <row r="346" spans="2:61" s="1" customFormat="1">
      <c r="B346" s="30"/>
      <c r="C346" s="13" t="s">
        <v>692</v>
      </c>
      <c r="D346" s="1367"/>
      <c r="E346" s="1367"/>
      <c r="F346" s="1365">
        <f t="shared" si="198"/>
        <v>0</v>
      </c>
      <c r="G346" s="1365">
        <f t="shared" si="197"/>
        <v>0</v>
      </c>
      <c r="H346" s="1367">
        <f t="shared" si="185"/>
        <v>0</v>
      </c>
      <c r="I346" s="1384"/>
      <c r="J346" s="1367"/>
      <c r="K346" s="1384"/>
      <c r="L346" s="1367"/>
      <c r="M346" s="1367">
        <f t="shared" si="186"/>
        <v>0</v>
      </c>
      <c r="N346" s="1967"/>
      <c r="O346" s="1057"/>
      <c r="P346" s="1485"/>
      <c r="Q346" s="1367"/>
      <c r="R346" s="1485">
        <f t="shared" si="187"/>
        <v>0</v>
      </c>
      <c r="S346" s="1481"/>
      <c r="T346" s="1485"/>
      <c r="U346" s="1481"/>
      <c r="V346" s="1485"/>
      <c r="W346" s="1485">
        <f t="shared" si="188"/>
        <v>0</v>
      </c>
      <c r="X346" s="1189"/>
      <c r="Y346" s="106">
        <v>0</v>
      </c>
      <c r="Z346" s="698">
        <v>0</v>
      </c>
      <c r="AA346" s="698">
        <f t="shared" si="195"/>
        <v>0</v>
      </c>
      <c r="AB346" s="253"/>
      <c r="AC346" s="106"/>
      <c r="AD346" s="253"/>
      <c r="AE346" s="106"/>
      <c r="AF346" s="698">
        <f t="shared" si="190"/>
        <v>0</v>
      </c>
      <c r="AG346" s="698"/>
      <c r="AH346" s="208"/>
      <c r="AI346" s="140">
        <v>0</v>
      </c>
      <c r="AJ346" s="140"/>
      <c r="AK346" s="140"/>
      <c r="AL346" s="673"/>
      <c r="AM346" s="140">
        <v>3900000</v>
      </c>
      <c r="AN346" s="140"/>
      <c r="AO346" s="140">
        <f t="shared" si="191"/>
        <v>3900000</v>
      </c>
      <c r="AP346" s="437"/>
      <c r="AQ346" s="140"/>
      <c r="AR346" s="437"/>
      <c r="AS346" s="140"/>
      <c r="AT346" s="140">
        <f t="shared" si="192"/>
        <v>3900000</v>
      </c>
      <c r="AU346" s="66"/>
      <c r="AV346" s="140">
        <v>48916000</v>
      </c>
      <c r="AW346" s="140"/>
      <c r="AX346" s="140">
        <f t="shared" si="193"/>
        <v>48916000</v>
      </c>
      <c r="AY346" s="437"/>
      <c r="AZ346" s="140"/>
      <c r="BA346" s="437"/>
      <c r="BB346" s="140"/>
      <c r="BC346" s="140">
        <f t="shared" si="194"/>
        <v>48916000</v>
      </c>
      <c r="BD346" s="140"/>
      <c r="BE346" s="40"/>
      <c r="BF346" s="235">
        <v>107651080</v>
      </c>
      <c r="BG346" s="37"/>
      <c r="BH346" s="105">
        <v>84517538</v>
      </c>
      <c r="BI346" s="11"/>
    </row>
    <row r="347" spans="2:61" s="1" customFormat="1">
      <c r="B347" s="30" t="s">
        <v>407</v>
      </c>
      <c r="C347" s="13" t="s">
        <v>693</v>
      </c>
      <c r="D347" s="1375">
        <v>179926293.5</v>
      </c>
      <c r="E347" s="1367">
        <v>0</v>
      </c>
      <c r="F347" s="1365">
        <f t="shared" si="198"/>
        <v>179926293.5</v>
      </c>
      <c r="G347" s="1365">
        <f t="shared" si="197"/>
        <v>0</v>
      </c>
      <c r="H347" s="1367">
        <f t="shared" si="185"/>
        <v>179926293.5</v>
      </c>
      <c r="I347" s="1384"/>
      <c r="J347" s="1367"/>
      <c r="K347" s="1384"/>
      <c r="L347" s="1367"/>
      <c r="M347" s="1367">
        <f t="shared" si="186"/>
        <v>179926294</v>
      </c>
      <c r="N347" s="1967"/>
      <c r="O347" s="1057"/>
      <c r="P347" s="1485"/>
      <c r="Q347" s="1372">
        <v>67817980</v>
      </c>
      <c r="R347" s="1485">
        <f t="shared" si="187"/>
        <v>67817980</v>
      </c>
      <c r="S347" s="1481"/>
      <c r="T347" s="1485"/>
      <c r="U347" s="1481"/>
      <c r="V347" s="1485"/>
      <c r="W347" s="1485">
        <f t="shared" si="188"/>
        <v>67817980</v>
      </c>
      <c r="X347" s="1189"/>
      <c r="Y347" s="106">
        <v>66403043</v>
      </c>
      <c r="Z347" s="698">
        <v>26085266</v>
      </c>
      <c r="AA347" s="698">
        <f t="shared" si="195"/>
        <v>92488309</v>
      </c>
      <c r="AB347" s="253"/>
      <c r="AC347" s="106"/>
      <c r="AD347" s="253"/>
      <c r="AE347" s="106"/>
      <c r="AF347" s="698">
        <f t="shared" si="190"/>
        <v>92488309</v>
      </c>
      <c r="AG347" s="698"/>
      <c r="AH347" s="208"/>
      <c r="AI347" s="2142">
        <v>30862329</v>
      </c>
      <c r="AJ347" s="140"/>
      <c r="AK347" s="140"/>
      <c r="AL347" s="673"/>
      <c r="AM347" s="140">
        <v>185505043</v>
      </c>
      <c r="AN347" s="140">
        <v>138624893</v>
      </c>
      <c r="AO347" s="140">
        <f t="shared" si="191"/>
        <v>324129936</v>
      </c>
      <c r="AP347" s="437"/>
      <c r="AQ347" s="140"/>
      <c r="AR347" s="437"/>
      <c r="AS347" s="140"/>
      <c r="AT347" s="140">
        <f t="shared" si="192"/>
        <v>324129936</v>
      </c>
      <c r="AU347" s="66"/>
      <c r="AV347" s="140">
        <v>164367935</v>
      </c>
      <c r="AW347" s="140">
        <v>103936782</v>
      </c>
      <c r="AX347" s="140">
        <f t="shared" si="193"/>
        <v>268304717</v>
      </c>
      <c r="AY347" s="437"/>
      <c r="AZ347" s="140"/>
      <c r="BA347" s="437"/>
      <c r="BB347" s="140"/>
      <c r="BC347" s="140">
        <f t="shared" si="194"/>
        <v>268304717</v>
      </c>
      <c r="BD347" s="140"/>
      <c r="BE347" s="40"/>
      <c r="BF347" s="235">
        <v>233534154</v>
      </c>
      <c r="BG347" s="37"/>
      <c r="BH347" s="105">
        <v>142789741</v>
      </c>
      <c r="BI347" s="11"/>
    </row>
    <row r="348" spans="2:61" s="1" customFormat="1">
      <c r="B348" s="30"/>
      <c r="C348" s="13" t="s">
        <v>694</v>
      </c>
      <c r="D348" s="1375">
        <f>ROUND(2070057383.96,0)</f>
        <v>2070057384</v>
      </c>
      <c r="E348" s="1372">
        <f>ROUND(817717862.150002,0)</f>
        <v>817717862</v>
      </c>
      <c r="F348" s="1365">
        <f t="shared" si="198"/>
        <v>2887775246</v>
      </c>
      <c r="G348" s="1365">
        <f t="shared" si="197"/>
        <v>0</v>
      </c>
      <c r="H348" s="1367">
        <f t="shared" si="185"/>
        <v>2887775246</v>
      </c>
      <c r="I348" s="1384"/>
      <c r="J348" s="1367"/>
      <c r="K348" s="1384"/>
      <c r="L348" s="1367"/>
      <c r="M348" s="2143">
        <f t="shared" si="186"/>
        <v>2887775246</v>
      </c>
      <c r="N348" s="1967"/>
      <c r="O348" s="1057"/>
      <c r="P348" s="1485">
        <f>ROUND(590508165.15,0)</f>
        <v>590508165</v>
      </c>
      <c r="Q348" s="1372">
        <f>ROUND(2107787023.55,0)</f>
        <v>2107787024</v>
      </c>
      <c r="R348" s="1485">
        <f t="shared" si="187"/>
        <v>2698295189</v>
      </c>
      <c r="S348" s="1481"/>
      <c r="T348" s="1485"/>
      <c r="U348" s="1481"/>
      <c r="V348" s="1485"/>
      <c r="W348" s="1485">
        <f t="shared" si="188"/>
        <v>2698295189</v>
      </c>
      <c r="X348" s="1189"/>
      <c r="Y348" s="106">
        <v>4182007733</v>
      </c>
      <c r="Z348" s="698">
        <v>1379797867</v>
      </c>
      <c r="AA348" s="698">
        <f t="shared" si="195"/>
        <v>5561805600</v>
      </c>
      <c r="AB348" s="253"/>
      <c r="AC348" s="106"/>
      <c r="AD348" s="253"/>
      <c r="AE348" s="106"/>
      <c r="AF348" s="698">
        <f t="shared" si="190"/>
        <v>5561805600</v>
      </c>
      <c r="AG348" s="698"/>
      <c r="AH348" s="208"/>
      <c r="AI348" s="2142">
        <v>4451894010</v>
      </c>
      <c r="AJ348" s="140"/>
      <c r="AK348" s="140"/>
      <c r="AL348" s="673"/>
      <c r="AM348" s="140">
        <v>1320960601</v>
      </c>
      <c r="AN348" s="140">
        <v>459965641</v>
      </c>
      <c r="AO348" s="140">
        <f t="shared" si="191"/>
        <v>1780926242</v>
      </c>
      <c r="AP348" s="437"/>
      <c r="AQ348" s="140"/>
      <c r="AR348" s="437"/>
      <c r="AS348" s="140"/>
      <c r="AT348" s="140">
        <f t="shared" si="192"/>
        <v>1780926242</v>
      </c>
      <c r="AU348" s="66"/>
      <c r="AV348" s="140">
        <v>2793282857</v>
      </c>
      <c r="AW348" s="140">
        <v>3322847799</v>
      </c>
      <c r="AX348" s="140">
        <f t="shared" si="193"/>
        <v>6116130656</v>
      </c>
      <c r="AY348" s="437"/>
      <c r="AZ348" s="140"/>
      <c r="BA348" s="437"/>
      <c r="BB348" s="140"/>
      <c r="BC348" s="140">
        <f t="shared" si="194"/>
        <v>6116130656</v>
      </c>
      <c r="BD348" s="140"/>
      <c r="BE348" s="40"/>
      <c r="BF348" s="235">
        <v>144108923</v>
      </c>
      <c r="BG348" s="37"/>
      <c r="BH348" s="235">
        <v>0</v>
      </c>
      <c r="BI348" s="11"/>
    </row>
    <row r="349" spans="2:61" s="1" customFormat="1">
      <c r="B349" s="30"/>
      <c r="C349" s="13" t="s">
        <v>695</v>
      </c>
      <c r="D349" s="1367">
        <v>0</v>
      </c>
      <c r="E349" s="1367"/>
      <c r="F349" s="1365">
        <f t="shared" si="198"/>
        <v>0</v>
      </c>
      <c r="G349" s="1365">
        <f t="shared" si="197"/>
        <v>0</v>
      </c>
      <c r="H349" s="1367">
        <f t="shared" si="185"/>
        <v>0</v>
      </c>
      <c r="I349" s="1384"/>
      <c r="J349" s="1367"/>
      <c r="K349" s="1384"/>
      <c r="L349" s="1367"/>
      <c r="M349" s="2143">
        <f t="shared" si="186"/>
        <v>0</v>
      </c>
      <c r="N349" s="1967"/>
      <c r="O349" s="1057"/>
      <c r="P349" s="1485"/>
      <c r="Q349" s="1367"/>
      <c r="R349" s="1485">
        <f t="shared" si="187"/>
        <v>0</v>
      </c>
      <c r="S349" s="1481"/>
      <c r="T349" s="1485"/>
      <c r="U349" s="1481"/>
      <c r="V349" s="1485"/>
      <c r="W349" s="1485">
        <f t="shared" si="188"/>
        <v>0</v>
      </c>
      <c r="X349" s="1189"/>
      <c r="Y349" s="106">
        <v>0</v>
      </c>
      <c r="Z349" s="698">
        <v>0</v>
      </c>
      <c r="AA349" s="698">
        <f t="shared" si="195"/>
        <v>0</v>
      </c>
      <c r="AB349" s="253"/>
      <c r="AC349" s="106"/>
      <c r="AD349" s="253"/>
      <c r="AE349" s="106"/>
      <c r="AF349" s="698">
        <f t="shared" si="190"/>
        <v>0</v>
      </c>
      <c r="AG349" s="698"/>
      <c r="AH349" s="208"/>
      <c r="AI349" s="2142">
        <v>5240992985</v>
      </c>
      <c r="AJ349" s="140"/>
      <c r="AK349" s="140"/>
      <c r="AL349" s="673"/>
      <c r="AM349" s="140"/>
      <c r="AN349" s="140"/>
      <c r="AO349" s="140">
        <f t="shared" si="191"/>
        <v>0</v>
      </c>
      <c r="AP349" s="437"/>
      <c r="AQ349" s="140"/>
      <c r="AR349" s="437"/>
      <c r="AS349" s="140"/>
      <c r="AT349" s="140">
        <f t="shared" si="192"/>
        <v>0</v>
      </c>
      <c r="AU349" s="66"/>
      <c r="AV349" s="140"/>
      <c r="AW349" s="140"/>
      <c r="AX349" s="140">
        <f t="shared" si="193"/>
        <v>0</v>
      </c>
      <c r="AY349" s="437"/>
      <c r="AZ349" s="140"/>
      <c r="BA349" s="437"/>
      <c r="BB349" s="140"/>
      <c r="BC349" s="140">
        <f t="shared" si="194"/>
        <v>0</v>
      </c>
      <c r="BD349" s="140"/>
      <c r="BE349" s="40"/>
      <c r="BF349" s="235"/>
      <c r="BG349" s="37"/>
      <c r="BH349" s="235"/>
      <c r="BI349" s="11"/>
    </row>
    <row r="350" spans="2:61" s="1" customFormat="1">
      <c r="B350" s="30"/>
      <c r="C350" s="13" t="s">
        <v>696</v>
      </c>
      <c r="D350" s="1367">
        <v>0</v>
      </c>
      <c r="E350" s="1367"/>
      <c r="F350" s="1365">
        <f t="shared" si="198"/>
        <v>0</v>
      </c>
      <c r="G350" s="1365">
        <f t="shared" si="197"/>
        <v>0</v>
      </c>
      <c r="H350" s="1367">
        <f t="shared" si="185"/>
        <v>0</v>
      </c>
      <c r="I350" s="1384"/>
      <c r="J350" s="1367"/>
      <c r="K350" s="1384"/>
      <c r="L350" s="1367"/>
      <c r="M350" s="1367">
        <f t="shared" si="186"/>
        <v>0</v>
      </c>
      <c r="N350" s="1967"/>
      <c r="O350" s="1057"/>
      <c r="P350" s="1485"/>
      <c r="Q350" s="1367"/>
      <c r="R350" s="1485">
        <f t="shared" si="187"/>
        <v>0</v>
      </c>
      <c r="S350" s="1481"/>
      <c r="T350" s="1485"/>
      <c r="U350" s="1481"/>
      <c r="V350" s="1485"/>
      <c r="W350" s="1485">
        <f t="shared" si="188"/>
        <v>0</v>
      </c>
      <c r="X350" s="1189"/>
      <c r="Y350" s="106">
        <v>0</v>
      </c>
      <c r="Z350" s="698">
        <v>0</v>
      </c>
      <c r="AA350" s="698">
        <f t="shared" si="195"/>
        <v>0</v>
      </c>
      <c r="AB350" s="253"/>
      <c r="AC350" s="106"/>
      <c r="AD350" s="253"/>
      <c r="AE350" s="106"/>
      <c r="AF350" s="698">
        <f t="shared" si="190"/>
        <v>0</v>
      </c>
      <c r="AG350" s="698"/>
      <c r="AH350" s="208"/>
      <c r="AI350" s="140">
        <v>0</v>
      </c>
      <c r="AJ350" s="140"/>
      <c r="AK350" s="140"/>
      <c r="AL350" s="673"/>
      <c r="AM350" s="140"/>
      <c r="AN350" s="140"/>
      <c r="AO350" s="140">
        <f t="shared" si="191"/>
        <v>0</v>
      </c>
      <c r="AP350" s="437"/>
      <c r="AQ350" s="140"/>
      <c r="AR350" s="437"/>
      <c r="AS350" s="140"/>
      <c r="AT350" s="140">
        <f t="shared" si="192"/>
        <v>0</v>
      </c>
      <c r="AU350" s="66"/>
      <c r="AV350" s="140"/>
      <c r="AW350" s="140"/>
      <c r="AX350" s="140">
        <f t="shared" si="193"/>
        <v>0</v>
      </c>
      <c r="AY350" s="437"/>
      <c r="AZ350" s="140"/>
      <c r="BA350" s="437"/>
      <c r="BB350" s="140"/>
      <c r="BC350" s="140">
        <f t="shared" si="194"/>
        <v>0</v>
      </c>
      <c r="BD350" s="140"/>
      <c r="BE350" s="40"/>
      <c r="BF350" s="235">
        <v>96000000</v>
      </c>
      <c r="BG350" s="37"/>
      <c r="BH350" s="235">
        <v>0</v>
      </c>
      <c r="BI350" s="11"/>
    </row>
    <row r="351" spans="2:61" s="1" customFormat="1">
      <c r="B351" s="30"/>
      <c r="C351" s="13" t="s">
        <v>697</v>
      </c>
      <c r="D351" s="1367">
        <v>0</v>
      </c>
      <c r="E351" s="1367">
        <v>0</v>
      </c>
      <c r="F351" s="1365">
        <f t="shared" si="198"/>
        <v>0</v>
      </c>
      <c r="G351" s="1365">
        <f t="shared" si="197"/>
        <v>0</v>
      </c>
      <c r="H351" s="1367">
        <f t="shared" si="185"/>
        <v>0</v>
      </c>
      <c r="I351" s="1384"/>
      <c r="J351" s="1367"/>
      <c r="K351" s="1384"/>
      <c r="L351" s="1367"/>
      <c r="M351" s="1367">
        <f t="shared" si="186"/>
        <v>0</v>
      </c>
      <c r="N351" s="1967"/>
      <c r="O351" s="1057"/>
      <c r="P351" s="1485">
        <v>250376040</v>
      </c>
      <c r="Q351" s="1372">
        <v>153013011</v>
      </c>
      <c r="R351" s="1485">
        <f t="shared" si="187"/>
        <v>403389051</v>
      </c>
      <c r="S351" s="1481"/>
      <c r="T351" s="1485"/>
      <c r="U351" s="1481"/>
      <c r="V351" s="1485"/>
      <c r="W351" s="1485">
        <f t="shared" si="188"/>
        <v>403389051</v>
      </c>
      <c r="X351" s="1189"/>
      <c r="Y351" s="106">
        <v>34128637</v>
      </c>
      <c r="Z351" s="698">
        <v>91760980</v>
      </c>
      <c r="AA351" s="698">
        <f t="shared" si="195"/>
        <v>125889617</v>
      </c>
      <c r="AB351" s="253"/>
      <c r="AC351" s="106"/>
      <c r="AD351" s="253"/>
      <c r="AE351" s="106"/>
      <c r="AF351" s="698">
        <f t="shared" si="190"/>
        <v>125889617</v>
      </c>
      <c r="AG351" s="698"/>
      <c r="AH351" s="208"/>
      <c r="AI351" s="2142">
        <v>75821880</v>
      </c>
      <c r="AJ351" s="140"/>
      <c r="AK351" s="140"/>
      <c r="AL351" s="673"/>
      <c r="AM351" s="140">
        <v>75258000</v>
      </c>
      <c r="AN351" s="140">
        <v>83449800</v>
      </c>
      <c r="AO351" s="140">
        <f t="shared" si="191"/>
        <v>158707800</v>
      </c>
      <c r="AP351" s="437"/>
      <c r="AQ351" s="140"/>
      <c r="AR351" s="437"/>
      <c r="AS351" s="140"/>
      <c r="AT351" s="140">
        <f t="shared" si="192"/>
        <v>158707800</v>
      </c>
      <c r="AU351" s="66"/>
      <c r="AV351" s="140"/>
      <c r="AW351" s="140"/>
      <c r="AX351" s="140">
        <f t="shared" si="193"/>
        <v>0</v>
      </c>
      <c r="AY351" s="437"/>
      <c r="AZ351" s="140"/>
      <c r="BA351" s="437"/>
      <c r="BB351" s="140"/>
      <c r="BC351" s="140">
        <f t="shared" si="194"/>
        <v>0</v>
      </c>
      <c r="BD351" s="140"/>
      <c r="BE351" s="40"/>
      <c r="BF351" s="235">
        <v>0</v>
      </c>
      <c r="BG351" s="37"/>
      <c r="BH351" s="105">
        <v>65806587</v>
      </c>
      <c r="BI351" s="11"/>
    </row>
    <row r="352" spans="2:61" s="1" customFormat="1">
      <c r="B352" s="30" t="s">
        <v>407</v>
      </c>
      <c r="C352" s="13" t="s">
        <v>698</v>
      </c>
      <c r="D352" s="1367"/>
      <c r="E352" s="1367"/>
      <c r="F352" s="1365">
        <f t="shared" si="198"/>
        <v>0</v>
      </c>
      <c r="G352" s="1365">
        <f t="shared" si="197"/>
        <v>0</v>
      </c>
      <c r="H352" s="1367">
        <f t="shared" si="185"/>
        <v>0</v>
      </c>
      <c r="I352" s="1384"/>
      <c r="J352" s="1367"/>
      <c r="K352" s="1384"/>
      <c r="L352" s="1367"/>
      <c r="M352" s="1367">
        <f t="shared" si="186"/>
        <v>0</v>
      </c>
      <c r="N352" s="1967"/>
      <c r="O352" s="1057"/>
      <c r="P352" s="1485"/>
      <c r="Q352" s="1367"/>
      <c r="R352" s="1485">
        <f t="shared" si="187"/>
        <v>0</v>
      </c>
      <c r="S352" s="1481"/>
      <c r="T352" s="1485"/>
      <c r="U352" s="1481"/>
      <c r="V352" s="1485"/>
      <c r="W352" s="1485">
        <f t="shared" si="188"/>
        <v>0</v>
      </c>
      <c r="X352" s="1189"/>
      <c r="Y352" s="106">
        <v>0</v>
      </c>
      <c r="Z352" s="698">
        <v>0</v>
      </c>
      <c r="AA352" s="698">
        <f t="shared" si="195"/>
        <v>0</v>
      </c>
      <c r="AB352" s="253"/>
      <c r="AC352" s="106"/>
      <c r="AD352" s="253"/>
      <c r="AE352" s="106"/>
      <c r="AF352" s="698">
        <f t="shared" si="190"/>
        <v>0</v>
      </c>
      <c r="AG352" s="698"/>
      <c r="AH352" s="208"/>
      <c r="AI352" s="140">
        <v>0</v>
      </c>
      <c r="AJ352" s="140"/>
      <c r="AK352" s="140"/>
      <c r="AL352" s="673"/>
      <c r="AM352" s="140"/>
      <c r="AN352" s="140"/>
      <c r="AO352" s="140">
        <f t="shared" si="191"/>
        <v>0</v>
      </c>
      <c r="AP352" s="437"/>
      <c r="AQ352" s="140"/>
      <c r="AR352" s="437"/>
      <c r="AS352" s="140"/>
      <c r="AT352" s="140">
        <f t="shared" si="192"/>
        <v>0</v>
      </c>
      <c r="AU352" s="66"/>
      <c r="AV352" s="140"/>
      <c r="AW352" s="140"/>
      <c r="AX352" s="140">
        <f t="shared" si="193"/>
        <v>0</v>
      </c>
      <c r="AY352" s="437"/>
      <c r="AZ352" s="140"/>
      <c r="BA352" s="437"/>
      <c r="BB352" s="140"/>
      <c r="BC352" s="140">
        <f t="shared" si="194"/>
        <v>0</v>
      </c>
      <c r="BD352" s="140"/>
      <c r="BE352" s="40"/>
      <c r="BF352" s="235">
        <v>0</v>
      </c>
      <c r="BG352" s="37"/>
      <c r="BH352" s="235">
        <v>35000020</v>
      </c>
      <c r="BI352" s="11"/>
    </row>
    <row r="353" spans="2:61" s="1" customFormat="1">
      <c r="B353" s="30" t="s">
        <v>407</v>
      </c>
      <c r="C353" s="13" t="s">
        <v>699</v>
      </c>
      <c r="D353" s="1367"/>
      <c r="E353" s="1367"/>
      <c r="F353" s="1365">
        <f t="shared" si="198"/>
        <v>0</v>
      </c>
      <c r="G353" s="1365">
        <f t="shared" si="197"/>
        <v>0</v>
      </c>
      <c r="H353" s="1367">
        <f t="shared" si="185"/>
        <v>0</v>
      </c>
      <c r="I353" s="1384"/>
      <c r="J353" s="1367"/>
      <c r="K353" s="1384"/>
      <c r="L353" s="1367"/>
      <c r="M353" s="1367">
        <f t="shared" si="186"/>
        <v>0</v>
      </c>
      <c r="N353" s="1967"/>
      <c r="O353" s="1057"/>
      <c r="P353" s="1485"/>
      <c r="Q353" s="1367"/>
      <c r="R353" s="1485">
        <f t="shared" si="187"/>
        <v>0</v>
      </c>
      <c r="S353" s="1481"/>
      <c r="T353" s="1485"/>
      <c r="U353" s="1481"/>
      <c r="V353" s="1485"/>
      <c r="W353" s="1485">
        <f t="shared" si="188"/>
        <v>0</v>
      </c>
      <c r="X353" s="1189"/>
      <c r="Y353" s="106">
        <v>0</v>
      </c>
      <c r="Z353" s="698">
        <v>0</v>
      </c>
      <c r="AA353" s="698">
        <f t="shared" si="195"/>
        <v>0</v>
      </c>
      <c r="AB353" s="253"/>
      <c r="AC353" s="106"/>
      <c r="AD353" s="253"/>
      <c r="AE353" s="106"/>
      <c r="AF353" s="698">
        <f t="shared" si="190"/>
        <v>0</v>
      </c>
      <c r="AG353" s="698"/>
      <c r="AH353" s="208"/>
      <c r="AI353" s="140">
        <v>0</v>
      </c>
      <c r="AJ353" s="140"/>
      <c r="AK353" s="140"/>
      <c r="AL353" s="673"/>
      <c r="AM353" s="140"/>
      <c r="AN353" s="140"/>
      <c r="AO353" s="140">
        <f t="shared" si="191"/>
        <v>0</v>
      </c>
      <c r="AP353" s="437"/>
      <c r="AQ353" s="140"/>
      <c r="AR353" s="437"/>
      <c r="AS353" s="140"/>
      <c r="AT353" s="140">
        <f t="shared" si="192"/>
        <v>0</v>
      </c>
      <c r="AU353" s="66"/>
      <c r="AV353" s="140"/>
      <c r="AW353" s="140"/>
      <c r="AX353" s="140">
        <f t="shared" si="193"/>
        <v>0</v>
      </c>
      <c r="AY353" s="437"/>
      <c r="AZ353" s="140"/>
      <c r="BA353" s="437"/>
      <c r="BB353" s="140"/>
      <c r="BC353" s="140">
        <f t="shared" si="194"/>
        <v>0</v>
      </c>
      <c r="BD353" s="140"/>
      <c r="BE353" s="40"/>
      <c r="BF353" s="235">
        <v>0</v>
      </c>
      <c r="BG353" s="37"/>
      <c r="BH353" s="235">
        <v>0</v>
      </c>
      <c r="BI353" s="11"/>
    </row>
    <row r="354" spans="2:61" s="1" customFormat="1">
      <c r="B354" s="30"/>
      <c r="C354" s="13" t="s">
        <v>700</v>
      </c>
      <c r="D354" s="1367"/>
      <c r="E354" s="1367"/>
      <c r="F354" s="1365">
        <f t="shared" si="198"/>
        <v>0</v>
      </c>
      <c r="G354" s="1365">
        <f t="shared" si="197"/>
        <v>0</v>
      </c>
      <c r="H354" s="1367">
        <f t="shared" si="185"/>
        <v>0</v>
      </c>
      <c r="I354" s="1384"/>
      <c r="J354" s="1367"/>
      <c r="K354" s="1384"/>
      <c r="L354" s="1367"/>
      <c r="M354" s="1367">
        <f t="shared" si="186"/>
        <v>0</v>
      </c>
      <c r="N354" s="1967"/>
      <c r="O354" s="1057"/>
      <c r="P354" s="1485"/>
      <c r="Q354" s="1367"/>
      <c r="R354" s="1485">
        <f t="shared" si="187"/>
        <v>0</v>
      </c>
      <c r="S354" s="1481"/>
      <c r="T354" s="1485"/>
      <c r="U354" s="1481"/>
      <c r="V354" s="1485"/>
      <c r="W354" s="1485">
        <f t="shared" si="188"/>
        <v>0</v>
      </c>
      <c r="X354" s="1189"/>
      <c r="Y354" s="106">
        <v>0</v>
      </c>
      <c r="Z354" s="698">
        <v>0</v>
      </c>
      <c r="AA354" s="698">
        <f t="shared" si="195"/>
        <v>0</v>
      </c>
      <c r="AB354" s="253"/>
      <c r="AC354" s="106"/>
      <c r="AD354" s="253"/>
      <c r="AE354" s="106"/>
      <c r="AF354" s="698">
        <f t="shared" si="190"/>
        <v>0</v>
      </c>
      <c r="AG354" s="698"/>
      <c r="AH354" s="208"/>
      <c r="AI354" s="140">
        <v>0</v>
      </c>
      <c r="AJ354" s="140"/>
      <c r="AK354" s="140"/>
      <c r="AL354" s="673"/>
      <c r="AM354" s="140"/>
      <c r="AN354" s="140"/>
      <c r="AO354" s="140">
        <f t="shared" si="191"/>
        <v>0</v>
      </c>
      <c r="AP354" s="437"/>
      <c r="AQ354" s="140"/>
      <c r="AR354" s="437"/>
      <c r="AS354" s="140"/>
      <c r="AT354" s="140">
        <f t="shared" si="192"/>
        <v>0</v>
      </c>
      <c r="AU354" s="66"/>
      <c r="AV354" s="140"/>
      <c r="AW354" s="140"/>
      <c r="AX354" s="140">
        <f t="shared" si="193"/>
        <v>0</v>
      </c>
      <c r="AY354" s="437"/>
      <c r="AZ354" s="140"/>
      <c r="BA354" s="437"/>
      <c r="BB354" s="140"/>
      <c r="BC354" s="140">
        <f t="shared" si="194"/>
        <v>0</v>
      </c>
      <c r="BD354" s="140"/>
      <c r="BE354" s="40"/>
      <c r="BF354" s="235">
        <v>0</v>
      </c>
      <c r="BG354" s="37"/>
      <c r="BH354" s="235">
        <v>0</v>
      </c>
      <c r="BI354" s="11"/>
    </row>
    <row r="355" spans="2:61" s="1" customFormat="1">
      <c r="B355" s="30"/>
      <c r="C355" s="13" t="s">
        <v>701</v>
      </c>
      <c r="D355" s="1367"/>
      <c r="E355" s="1367"/>
      <c r="F355" s="1365">
        <f t="shared" si="198"/>
        <v>0</v>
      </c>
      <c r="G355" s="1365">
        <f t="shared" si="197"/>
        <v>0</v>
      </c>
      <c r="H355" s="1367">
        <f t="shared" ref="H355:H400" si="199">D355+E355</f>
        <v>0</v>
      </c>
      <c r="I355" s="1384"/>
      <c r="J355" s="1367"/>
      <c r="K355" s="1384"/>
      <c r="L355" s="1367"/>
      <c r="M355" s="1367">
        <f t="shared" si="186"/>
        <v>0</v>
      </c>
      <c r="N355" s="1967"/>
      <c r="O355" s="1057"/>
      <c r="P355" s="1485"/>
      <c r="Q355" s="1367"/>
      <c r="R355" s="1485">
        <f t="shared" ref="R355:R394" si="200">P355+Q355</f>
        <v>0</v>
      </c>
      <c r="S355" s="1481"/>
      <c r="T355" s="1485"/>
      <c r="U355" s="1481"/>
      <c r="V355" s="1485"/>
      <c r="W355" s="1485">
        <f t="shared" si="188"/>
        <v>0</v>
      </c>
      <c r="X355" s="1189"/>
      <c r="Y355" s="106">
        <v>0</v>
      </c>
      <c r="Z355" s="698">
        <v>0</v>
      </c>
      <c r="AA355" s="698">
        <f t="shared" ref="AA355:AA388" si="201">Y355+Z355</f>
        <v>0</v>
      </c>
      <c r="AB355" s="253"/>
      <c r="AC355" s="106"/>
      <c r="AD355" s="253"/>
      <c r="AE355" s="106"/>
      <c r="AF355" s="698">
        <f t="shared" si="190"/>
        <v>0</v>
      </c>
      <c r="AG355" s="698"/>
      <c r="AH355" s="208"/>
      <c r="AI355" s="140">
        <v>0</v>
      </c>
      <c r="AJ355" s="140"/>
      <c r="AK355" s="140"/>
      <c r="AL355" s="673"/>
      <c r="AM355" s="140"/>
      <c r="AN355" s="140"/>
      <c r="AO355" s="140">
        <f t="shared" ref="AO355:AO400" si="202">AM355+AN355</f>
        <v>0</v>
      </c>
      <c r="AP355" s="437"/>
      <c r="AQ355" s="140"/>
      <c r="AR355" s="437"/>
      <c r="AS355" s="140"/>
      <c r="AT355" s="140">
        <f t="shared" si="192"/>
        <v>0</v>
      </c>
      <c r="AU355" s="66"/>
      <c r="AV355" s="140"/>
      <c r="AW355" s="140"/>
      <c r="AX355" s="140">
        <f t="shared" ref="AX355:AX400" si="203">AV355+AW355</f>
        <v>0</v>
      </c>
      <c r="AY355" s="437"/>
      <c r="AZ355" s="140"/>
      <c r="BA355" s="437"/>
      <c r="BB355" s="140"/>
      <c r="BC355" s="140">
        <f t="shared" si="194"/>
        <v>0</v>
      </c>
      <c r="BD355" s="140"/>
      <c r="BE355" s="40"/>
      <c r="BF355" s="235">
        <v>0</v>
      </c>
      <c r="BG355" s="37"/>
      <c r="BH355" s="235">
        <v>0</v>
      </c>
      <c r="BI355" s="11"/>
    </row>
    <row r="356" spans="2:61" s="1" customFormat="1">
      <c r="B356" s="30" t="s">
        <v>407</v>
      </c>
      <c r="C356" s="13" t="s">
        <v>702</v>
      </c>
      <c r="D356" s="1375">
        <v>59140800</v>
      </c>
      <c r="E356" s="1367"/>
      <c r="F356" s="1365">
        <f t="shared" si="198"/>
        <v>59140800</v>
      </c>
      <c r="G356" s="1365">
        <f t="shared" si="197"/>
        <v>0</v>
      </c>
      <c r="H356" s="1367">
        <f t="shared" si="199"/>
        <v>59140800</v>
      </c>
      <c r="I356" s="1384"/>
      <c r="J356" s="1367"/>
      <c r="K356" s="1384"/>
      <c r="L356" s="1367"/>
      <c r="M356" s="2143">
        <f t="shared" ref="M356:M400" si="204">ROUND((H356-J356+L356),0)</f>
        <v>59140800</v>
      </c>
      <c r="N356" s="1967"/>
      <c r="O356" s="1057"/>
      <c r="P356" s="1485">
        <v>70329600</v>
      </c>
      <c r="Q356" s="1367"/>
      <c r="R356" s="1485">
        <f t="shared" si="200"/>
        <v>70329600</v>
      </c>
      <c r="S356" s="1481"/>
      <c r="T356" s="1485"/>
      <c r="U356" s="1481"/>
      <c r="V356" s="1485"/>
      <c r="W356" s="1485">
        <f t="shared" ref="W356:W394" si="205">ROUND((R356-T356+V356),0)</f>
        <v>70329600</v>
      </c>
      <c r="X356" s="1189"/>
      <c r="Y356" s="106">
        <v>23976000</v>
      </c>
      <c r="Z356" s="698">
        <v>0</v>
      </c>
      <c r="AA356" s="698">
        <f t="shared" si="201"/>
        <v>23976000</v>
      </c>
      <c r="AB356" s="253"/>
      <c r="AC356" s="106"/>
      <c r="AD356" s="253"/>
      <c r="AE356" s="106"/>
      <c r="AF356" s="698">
        <f t="shared" ref="AF356:AF402" si="206">ROUND((AA356-AC356+AE356),0)</f>
        <v>23976000</v>
      </c>
      <c r="AG356" s="698"/>
      <c r="AH356" s="208"/>
      <c r="AI356" s="2142">
        <v>40182000</v>
      </c>
      <c r="AJ356" s="140"/>
      <c r="AK356" s="140"/>
      <c r="AL356" s="673"/>
      <c r="AM356" s="140">
        <v>40182000</v>
      </c>
      <c r="AN356" s="140">
        <v>7770000</v>
      </c>
      <c r="AO356" s="140">
        <f t="shared" si="202"/>
        <v>47952000</v>
      </c>
      <c r="AP356" s="437"/>
      <c r="AQ356" s="140"/>
      <c r="AR356" s="437"/>
      <c r="AS356" s="140"/>
      <c r="AT356" s="140">
        <f t="shared" ref="AT356:AT409" si="207">ROUND((AO356-AQ356+AS356),0)</f>
        <v>47952000</v>
      </c>
      <c r="AU356" s="66"/>
      <c r="AV356" s="140">
        <v>188744400</v>
      </c>
      <c r="AW356" s="140"/>
      <c r="AX356" s="140">
        <f t="shared" si="203"/>
        <v>188744400</v>
      </c>
      <c r="AY356" s="437"/>
      <c r="AZ356" s="140"/>
      <c r="BA356" s="437"/>
      <c r="BB356" s="140"/>
      <c r="BC356" s="140">
        <f t="shared" ref="BC356:BC409" si="208">ROUND((AX356-AZ356+BB356),0)</f>
        <v>188744400</v>
      </c>
      <c r="BD356" s="140"/>
      <c r="BE356" s="40"/>
      <c r="BF356" s="235">
        <v>167832000</v>
      </c>
      <c r="BG356" s="37"/>
      <c r="BH356" s="235">
        <v>136884000</v>
      </c>
      <c r="BI356" s="11"/>
    </row>
    <row r="357" spans="2:61" s="1" customFormat="1">
      <c r="B357" s="30" t="s">
        <v>407</v>
      </c>
      <c r="C357" s="13" t="s">
        <v>703</v>
      </c>
      <c r="D357" s="1367"/>
      <c r="E357" s="1367"/>
      <c r="F357" s="1365">
        <f t="shared" si="198"/>
        <v>0</v>
      </c>
      <c r="G357" s="1365">
        <f t="shared" si="197"/>
        <v>0</v>
      </c>
      <c r="H357" s="1367">
        <f t="shared" si="199"/>
        <v>0</v>
      </c>
      <c r="I357" s="1384"/>
      <c r="J357" s="1367"/>
      <c r="K357" s="1384"/>
      <c r="L357" s="1367"/>
      <c r="M357" s="1367">
        <f t="shared" si="204"/>
        <v>0</v>
      </c>
      <c r="N357" s="1967"/>
      <c r="O357" s="1057"/>
      <c r="P357" s="1485"/>
      <c r="Q357" s="1367"/>
      <c r="R357" s="1485">
        <f t="shared" si="200"/>
        <v>0</v>
      </c>
      <c r="S357" s="1481"/>
      <c r="T357" s="1485"/>
      <c r="U357" s="1481"/>
      <c r="V357" s="1485"/>
      <c r="W357" s="1485">
        <f t="shared" si="205"/>
        <v>0</v>
      </c>
      <c r="X357" s="1189"/>
      <c r="Y357" s="106">
        <v>0</v>
      </c>
      <c r="Z357" s="698">
        <v>0</v>
      </c>
      <c r="AA357" s="698">
        <f t="shared" si="201"/>
        <v>0</v>
      </c>
      <c r="AB357" s="253"/>
      <c r="AC357" s="106"/>
      <c r="AD357" s="253"/>
      <c r="AE357" s="106"/>
      <c r="AF357" s="698">
        <f t="shared" si="206"/>
        <v>0</v>
      </c>
      <c r="AG357" s="698"/>
      <c r="AH357" s="208"/>
      <c r="AI357" s="140">
        <v>0</v>
      </c>
      <c r="AJ357" s="140"/>
      <c r="AK357" s="140"/>
      <c r="AL357" s="673"/>
      <c r="AM357" s="140"/>
      <c r="AN357" s="140"/>
      <c r="AO357" s="140">
        <f t="shared" si="202"/>
        <v>0</v>
      </c>
      <c r="AP357" s="437"/>
      <c r="AQ357" s="140"/>
      <c r="AR357" s="437"/>
      <c r="AS357" s="140"/>
      <c r="AT357" s="140">
        <f t="shared" si="207"/>
        <v>0</v>
      </c>
      <c r="AU357" s="66"/>
      <c r="AV357" s="140"/>
      <c r="AW357" s="140"/>
      <c r="AX357" s="140">
        <f t="shared" si="203"/>
        <v>0</v>
      </c>
      <c r="AY357" s="437"/>
      <c r="AZ357" s="140"/>
      <c r="BA357" s="437"/>
      <c r="BB357" s="140"/>
      <c r="BC357" s="140">
        <f t="shared" si="208"/>
        <v>0</v>
      </c>
      <c r="BD357" s="140"/>
      <c r="BE357" s="40"/>
      <c r="BF357" s="235">
        <v>0</v>
      </c>
      <c r="BG357" s="37"/>
      <c r="BH357" s="235">
        <v>86400000</v>
      </c>
      <c r="BI357" s="11"/>
    </row>
    <row r="358" spans="2:61" s="1" customFormat="1">
      <c r="B358" s="30"/>
      <c r="C358" s="13" t="s">
        <v>444</v>
      </c>
      <c r="D358" s="1367"/>
      <c r="E358" s="1367"/>
      <c r="F358" s="1365">
        <f t="shared" si="198"/>
        <v>0</v>
      </c>
      <c r="G358" s="1365">
        <f t="shared" si="197"/>
        <v>0</v>
      </c>
      <c r="H358" s="1367">
        <f t="shared" si="199"/>
        <v>0</v>
      </c>
      <c r="I358" s="1384"/>
      <c r="J358" s="1367"/>
      <c r="K358" s="1384"/>
      <c r="L358" s="1367"/>
      <c r="M358" s="1367">
        <f t="shared" si="204"/>
        <v>0</v>
      </c>
      <c r="N358" s="1967"/>
      <c r="O358" s="1057"/>
      <c r="P358" s="1485"/>
      <c r="Q358" s="1367"/>
      <c r="R358" s="1485">
        <f t="shared" si="200"/>
        <v>0</v>
      </c>
      <c r="S358" s="1481"/>
      <c r="T358" s="1485"/>
      <c r="U358" s="1481"/>
      <c r="V358" s="1485"/>
      <c r="W358" s="1485">
        <f t="shared" si="205"/>
        <v>0</v>
      </c>
      <c r="X358" s="1189"/>
      <c r="Y358" s="106">
        <v>0</v>
      </c>
      <c r="Z358" s="698">
        <v>0</v>
      </c>
      <c r="AA358" s="698">
        <f t="shared" si="201"/>
        <v>0</v>
      </c>
      <c r="AB358" s="253"/>
      <c r="AC358" s="106"/>
      <c r="AD358" s="253"/>
      <c r="AE358" s="106"/>
      <c r="AF358" s="698">
        <f t="shared" si="206"/>
        <v>0</v>
      </c>
      <c r="AG358" s="698"/>
      <c r="AH358" s="208"/>
      <c r="AI358" s="140">
        <v>0</v>
      </c>
      <c r="AJ358" s="140"/>
      <c r="AK358" s="140"/>
      <c r="AL358" s="673"/>
      <c r="AM358" s="140"/>
      <c r="AN358" s="140"/>
      <c r="AO358" s="140">
        <f t="shared" si="202"/>
        <v>0</v>
      </c>
      <c r="AP358" s="437"/>
      <c r="AQ358" s="140"/>
      <c r="AR358" s="437"/>
      <c r="AS358" s="140"/>
      <c r="AT358" s="140">
        <f t="shared" si="207"/>
        <v>0</v>
      </c>
      <c r="AU358" s="66"/>
      <c r="AV358" s="140"/>
      <c r="AW358" s="140"/>
      <c r="AX358" s="140">
        <f t="shared" si="203"/>
        <v>0</v>
      </c>
      <c r="AY358" s="437"/>
      <c r="AZ358" s="140"/>
      <c r="BA358" s="437"/>
      <c r="BB358" s="140"/>
      <c r="BC358" s="140">
        <f t="shared" si="208"/>
        <v>0</v>
      </c>
      <c r="BD358" s="140"/>
      <c r="BE358" s="40"/>
      <c r="BF358" s="235">
        <v>0</v>
      </c>
      <c r="BG358" s="37"/>
      <c r="BH358" s="235">
        <v>0</v>
      </c>
      <c r="BI358" s="11"/>
    </row>
    <row r="359" spans="2:61" s="1" customFormat="1">
      <c r="B359" s="30" t="s">
        <v>407</v>
      </c>
      <c r="C359" s="13" t="s">
        <v>704</v>
      </c>
      <c r="D359" s="1375">
        <v>32435303</v>
      </c>
      <c r="E359" s="1367"/>
      <c r="F359" s="1365">
        <f t="shared" si="198"/>
        <v>32435303</v>
      </c>
      <c r="G359" s="1365">
        <f t="shared" si="197"/>
        <v>0</v>
      </c>
      <c r="H359" s="1367">
        <f t="shared" si="199"/>
        <v>32435303</v>
      </c>
      <c r="I359" s="1384"/>
      <c r="J359" s="1367"/>
      <c r="K359" s="1384"/>
      <c r="L359" s="1367"/>
      <c r="M359" s="2143">
        <f t="shared" si="204"/>
        <v>32435303</v>
      </c>
      <c r="N359" s="1967"/>
      <c r="O359" s="1057"/>
      <c r="P359" s="1485"/>
      <c r="Q359" s="1367"/>
      <c r="R359" s="1485">
        <f t="shared" si="200"/>
        <v>0</v>
      </c>
      <c r="S359" s="1481"/>
      <c r="T359" s="1485"/>
      <c r="U359" s="1481"/>
      <c r="V359" s="1485"/>
      <c r="W359" s="1485">
        <f t="shared" si="205"/>
        <v>0</v>
      </c>
      <c r="X359" s="1189"/>
      <c r="Y359" s="106">
        <v>0</v>
      </c>
      <c r="Z359" s="698">
        <v>0</v>
      </c>
      <c r="AA359" s="698">
        <f t="shared" si="201"/>
        <v>0</v>
      </c>
      <c r="AB359" s="253"/>
      <c r="AC359" s="106"/>
      <c r="AD359" s="253"/>
      <c r="AE359" s="106"/>
      <c r="AF359" s="698">
        <f t="shared" si="206"/>
        <v>0</v>
      </c>
      <c r="AG359" s="698"/>
      <c r="AH359" s="208"/>
      <c r="AI359" s="2142">
        <v>28510258</v>
      </c>
      <c r="AJ359" s="140"/>
      <c r="AK359" s="140"/>
      <c r="AL359" s="673"/>
      <c r="AM359" s="140">
        <v>29033382</v>
      </c>
      <c r="AN359" s="140"/>
      <c r="AO359" s="140">
        <f t="shared" si="202"/>
        <v>29033382</v>
      </c>
      <c r="AP359" s="437"/>
      <c r="AQ359" s="140"/>
      <c r="AR359" s="437"/>
      <c r="AS359" s="140"/>
      <c r="AT359" s="140">
        <f t="shared" si="207"/>
        <v>29033382</v>
      </c>
      <c r="AU359" s="66"/>
      <c r="AV359" s="140">
        <v>29023539</v>
      </c>
      <c r="AW359" s="140"/>
      <c r="AX359" s="140">
        <f t="shared" si="203"/>
        <v>29023539</v>
      </c>
      <c r="AY359" s="437"/>
      <c r="AZ359" s="140"/>
      <c r="BA359" s="437"/>
      <c r="BB359" s="140"/>
      <c r="BC359" s="140">
        <f t="shared" si="208"/>
        <v>29023539</v>
      </c>
      <c r="BD359" s="140"/>
      <c r="BE359" s="40"/>
      <c r="BF359" s="235">
        <v>29023539</v>
      </c>
      <c r="BG359" s="37"/>
      <c r="BH359" s="235">
        <v>363797730</v>
      </c>
      <c r="BI359" s="11"/>
    </row>
    <row r="360" spans="2:61" s="1" customFormat="1">
      <c r="B360" s="30" t="s">
        <v>407</v>
      </c>
      <c r="C360" s="13" t="s">
        <v>705</v>
      </c>
      <c r="D360" s="1367"/>
      <c r="E360" s="1367"/>
      <c r="F360" s="1365">
        <f t="shared" si="198"/>
        <v>0</v>
      </c>
      <c r="G360" s="1365">
        <f t="shared" si="197"/>
        <v>0</v>
      </c>
      <c r="H360" s="1367">
        <f t="shared" si="199"/>
        <v>0</v>
      </c>
      <c r="I360" s="1384"/>
      <c r="J360" s="1367"/>
      <c r="K360" s="1384"/>
      <c r="L360" s="1367"/>
      <c r="M360" s="1367">
        <f t="shared" si="204"/>
        <v>0</v>
      </c>
      <c r="N360" s="1967"/>
      <c r="O360" s="1057"/>
      <c r="P360" s="1485"/>
      <c r="Q360" s="1367"/>
      <c r="R360" s="1485">
        <f t="shared" si="200"/>
        <v>0</v>
      </c>
      <c r="S360" s="1481"/>
      <c r="T360" s="1485"/>
      <c r="U360" s="1481"/>
      <c r="V360" s="1485"/>
      <c r="W360" s="1485">
        <f t="shared" si="205"/>
        <v>0</v>
      </c>
      <c r="X360" s="1189"/>
      <c r="Y360" s="106">
        <v>0</v>
      </c>
      <c r="Z360" s="698">
        <v>0</v>
      </c>
      <c r="AA360" s="698">
        <f t="shared" si="201"/>
        <v>0</v>
      </c>
      <c r="AB360" s="253"/>
      <c r="AC360" s="106"/>
      <c r="AD360" s="253"/>
      <c r="AE360" s="106"/>
      <c r="AF360" s="698">
        <f t="shared" si="206"/>
        <v>0</v>
      </c>
      <c r="AG360" s="698"/>
      <c r="AH360" s="208"/>
      <c r="AI360" s="140">
        <v>0</v>
      </c>
      <c r="AJ360" s="140"/>
      <c r="AK360" s="140"/>
      <c r="AL360" s="673"/>
      <c r="AM360" s="140"/>
      <c r="AN360" s="140"/>
      <c r="AO360" s="140">
        <f t="shared" si="202"/>
        <v>0</v>
      </c>
      <c r="AP360" s="437"/>
      <c r="AQ360" s="140"/>
      <c r="AR360" s="437"/>
      <c r="AS360" s="140"/>
      <c r="AT360" s="140">
        <f t="shared" si="207"/>
        <v>0</v>
      </c>
      <c r="AU360" s="66"/>
      <c r="AV360" s="140"/>
      <c r="AW360" s="140"/>
      <c r="AX360" s="140">
        <f t="shared" si="203"/>
        <v>0</v>
      </c>
      <c r="AY360" s="437"/>
      <c r="AZ360" s="140"/>
      <c r="BA360" s="437"/>
      <c r="BB360" s="140"/>
      <c r="BC360" s="140">
        <f t="shared" si="208"/>
        <v>0</v>
      </c>
      <c r="BD360" s="140"/>
      <c r="BE360" s="40"/>
      <c r="BF360" s="235">
        <v>0</v>
      </c>
      <c r="BG360" s="37"/>
      <c r="BH360" s="235">
        <v>90302000</v>
      </c>
      <c r="BI360" s="11"/>
    </row>
    <row r="361" spans="2:61" s="1" customFormat="1">
      <c r="B361" s="30"/>
      <c r="C361" s="13" t="s">
        <v>706</v>
      </c>
      <c r="D361" s="1375">
        <v>20535000</v>
      </c>
      <c r="E361" s="1367"/>
      <c r="F361" s="1365">
        <f t="shared" si="198"/>
        <v>20535000</v>
      </c>
      <c r="G361" s="1365">
        <f t="shared" si="197"/>
        <v>0</v>
      </c>
      <c r="H361" s="1367">
        <f t="shared" si="199"/>
        <v>20535000</v>
      </c>
      <c r="I361" s="1384"/>
      <c r="J361" s="1367"/>
      <c r="K361" s="1384"/>
      <c r="L361" s="1367"/>
      <c r="M361" s="2143">
        <f t="shared" si="204"/>
        <v>20535000</v>
      </c>
      <c r="N361" s="1967"/>
      <c r="O361" s="1057"/>
      <c r="P361" s="1485">
        <v>20535000</v>
      </c>
      <c r="Q361" s="1367"/>
      <c r="R361" s="1485">
        <f t="shared" si="200"/>
        <v>20535000</v>
      </c>
      <c r="S361" s="1481"/>
      <c r="T361" s="1485"/>
      <c r="U361" s="1481"/>
      <c r="V361" s="1485"/>
      <c r="W361" s="1485">
        <f t="shared" si="205"/>
        <v>20535000</v>
      </c>
      <c r="X361" s="1189"/>
      <c r="Y361" s="106">
        <v>0</v>
      </c>
      <c r="Z361" s="698">
        <v>0</v>
      </c>
      <c r="AA361" s="698">
        <f t="shared" si="201"/>
        <v>0</v>
      </c>
      <c r="AB361" s="253"/>
      <c r="AC361" s="106"/>
      <c r="AD361" s="253"/>
      <c r="AE361" s="106"/>
      <c r="AF361" s="698">
        <f t="shared" si="206"/>
        <v>0</v>
      </c>
      <c r="AG361" s="698"/>
      <c r="AH361" s="208"/>
      <c r="AI361" s="2142">
        <v>34965000</v>
      </c>
      <c r="AJ361" s="140"/>
      <c r="AK361" s="140"/>
      <c r="AL361" s="673"/>
      <c r="AM361" s="140">
        <v>72530730</v>
      </c>
      <c r="AN361" s="140"/>
      <c r="AO361" s="140">
        <f t="shared" si="202"/>
        <v>72530730</v>
      </c>
      <c r="AP361" s="437"/>
      <c r="AQ361" s="140"/>
      <c r="AR361" s="437"/>
      <c r="AS361" s="140"/>
      <c r="AT361" s="140">
        <f t="shared" si="207"/>
        <v>72530730</v>
      </c>
      <c r="AU361" s="66"/>
      <c r="AV361" s="140">
        <v>51163230</v>
      </c>
      <c r="AW361" s="140"/>
      <c r="AX361" s="140">
        <f t="shared" si="203"/>
        <v>51163230</v>
      </c>
      <c r="AY361" s="437"/>
      <c r="AZ361" s="140"/>
      <c r="BA361" s="437"/>
      <c r="BB361" s="140"/>
      <c r="BC361" s="140">
        <f t="shared" si="208"/>
        <v>51163230</v>
      </c>
      <c r="BD361" s="140"/>
      <c r="BE361" s="40"/>
      <c r="BF361" s="235">
        <v>28302780</v>
      </c>
      <c r="BG361" s="37"/>
      <c r="BH361" s="235">
        <v>0</v>
      </c>
      <c r="BI361" s="11"/>
    </row>
    <row r="362" spans="2:61" s="1" customFormat="1">
      <c r="B362" s="30"/>
      <c r="C362" s="13" t="s">
        <v>707</v>
      </c>
      <c r="D362" s="1367">
        <v>0</v>
      </c>
      <c r="E362" s="1367"/>
      <c r="F362" s="1365">
        <f t="shared" si="198"/>
        <v>0</v>
      </c>
      <c r="G362" s="1365">
        <f t="shared" si="197"/>
        <v>0</v>
      </c>
      <c r="H362" s="1367">
        <f t="shared" si="199"/>
        <v>0</v>
      </c>
      <c r="I362" s="1384"/>
      <c r="J362" s="1367"/>
      <c r="K362" s="1384"/>
      <c r="L362" s="1367"/>
      <c r="M362" s="1367">
        <f t="shared" si="204"/>
        <v>0</v>
      </c>
      <c r="N362" s="1967"/>
      <c r="O362" s="1057"/>
      <c r="P362" s="1485">
        <v>43330000</v>
      </c>
      <c r="Q362" s="1367"/>
      <c r="R362" s="1485">
        <f t="shared" si="200"/>
        <v>43330000</v>
      </c>
      <c r="S362" s="1481"/>
      <c r="T362" s="1485"/>
      <c r="U362" s="1481"/>
      <c r="V362" s="1485"/>
      <c r="W362" s="1485">
        <f t="shared" si="205"/>
        <v>43330000</v>
      </c>
      <c r="X362" s="1189"/>
      <c r="Y362" s="106">
        <v>0</v>
      </c>
      <c r="Z362" s="698">
        <v>0</v>
      </c>
      <c r="AA362" s="698">
        <f t="shared" si="201"/>
        <v>0</v>
      </c>
      <c r="AB362" s="253"/>
      <c r="AC362" s="106"/>
      <c r="AD362" s="253"/>
      <c r="AE362" s="106"/>
      <c r="AF362" s="698">
        <f t="shared" si="206"/>
        <v>0</v>
      </c>
      <c r="AG362" s="698"/>
      <c r="AH362" s="208"/>
      <c r="AI362" s="140">
        <v>0</v>
      </c>
      <c r="AJ362" s="140"/>
      <c r="AK362" s="140"/>
      <c r="AL362" s="673"/>
      <c r="AM362" s="140">
        <v>273000</v>
      </c>
      <c r="AN362" s="140"/>
      <c r="AO362" s="140">
        <f t="shared" si="202"/>
        <v>273000</v>
      </c>
      <c r="AP362" s="437"/>
      <c r="AQ362" s="140"/>
      <c r="AR362" s="437"/>
      <c r="AS362" s="140"/>
      <c r="AT362" s="140">
        <f t="shared" si="207"/>
        <v>273000</v>
      </c>
      <c r="AU362" s="66"/>
      <c r="AV362" s="140"/>
      <c r="AW362" s="140"/>
      <c r="AX362" s="140">
        <f t="shared" si="203"/>
        <v>0</v>
      </c>
      <c r="AY362" s="437"/>
      <c r="AZ362" s="140"/>
      <c r="BA362" s="437"/>
      <c r="BB362" s="140"/>
      <c r="BC362" s="140">
        <f t="shared" si="208"/>
        <v>0</v>
      </c>
      <c r="BD362" s="140"/>
      <c r="BE362" s="40"/>
      <c r="BF362" s="235">
        <v>26460000</v>
      </c>
      <c r="BG362" s="37"/>
      <c r="BH362" s="235">
        <v>0</v>
      </c>
      <c r="BI362" s="11"/>
    </row>
    <row r="363" spans="2:61" s="1" customFormat="1">
      <c r="B363" s="30"/>
      <c r="C363" s="141" t="s">
        <v>708</v>
      </c>
      <c r="D363" s="1383"/>
      <c r="E363" s="1982"/>
      <c r="F363" s="1365">
        <f t="shared" si="198"/>
        <v>0</v>
      </c>
      <c r="G363" s="1365">
        <f t="shared" si="197"/>
        <v>0</v>
      </c>
      <c r="H363" s="1383">
        <f t="shared" si="199"/>
        <v>0</v>
      </c>
      <c r="I363" s="1993"/>
      <c r="J363" s="1383"/>
      <c r="K363" s="1993"/>
      <c r="L363" s="1383"/>
      <c r="M363" s="1383">
        <f t="shared" si="204"/>
        <v>0</v>
      </c>
      <c r="N363" s="2264"/>
      <c r="O363" s="1994"/>
      <c r="P363" s="1513"/>
      <c r="Q363" s="1383"/>
      <c r="R363" s="1513">
        <f t="shared" si="200"/>
        <v>0</v>
      </c>
      <c r="S363" s="1514"/>
      <c r="T363" s="1513"/>
      <c r="U363" s="1514"/>
      <c r="V363" s="1513"/>
      <c r="W363" s="1513">
        <f t="shared" si="205"/>
        <v>0</v>
      </c>
      <c r="X363" s="1195"/>
      <c r="Y363" s="251">
        <v>0</v>
      </c>
      <c r="Z363" s="724">
        <v>0</v>
      </c>
      <c r="AA363" s="724">
        <f t="shared" si="201"/>
        <v>0</v>
      </c>
      <c r="AB363" s="619"/>
      <c r="AC363" s="251"/>
      <c r="AD363" s="619"/>
      <c r="AE363" s="251"/>
      <c r="AF363" s="724">
        <f t="shared" si="206"/>
        <v>0</v>
      </c>
      <c r="AG363" s="724"/>
      <c r="AH363" s="252"/>
      <c r="AI363" s="140">
        <v>0</v>
      </c>
      <c r="AJ363" s="140"/>
      <c r="AK363" s="140"/>
      <c r="AL363" s="673"/>
      <c r="AM363" s="140"/>
      <c r="AN363" s="140"/>
      <c r="AO363" s="140">
        <f t="shared" si="202"/>
        <v>0</v>
      </c>
      <c r="AP363" s="437"/>
      <c r="AQ363" s="140"/>
      <c r="AR363" s="437"/>
      <c r="AS363" s="140"/>
      <c r="AT363" s="140">
        <f t="shared" si="207"/>
        <v>0</v>
      </c>
      <c r="AU363" s="66"/>
      <c r="AV363" s="140"/>
      <c r="AW363" s="140"/>
      <c r="AX363" s="140">
        <f t="shared" si="203"/>
        <v>0</v>
      </c>
      <c r="AY363" s="437"/>
      <c r="AZ363" s="140"/>
      <c r="BA363" s="437"/>
      <c r="BB363" s="140"/>
      <c r="BC363" s="140">
        <f t="shared" si="208"/>
        <v>0</v>
      </c>
      <c r="BD363" s="140"/>
      <c r="BE363" s="40"/>
      <c r="BF363" s="235">
        <v>0</v>
      </c>
      <c r="BG363" s="37"/>
      <c r="BH363" s="235">
        <v>0</v>
      </c>
      <c r="BI363" s="11"/>
    </row>
    <row r="364" spans="2:61" s="1" customFormat="1">
      <c r="B364" s="30" t="s">
        <v>407</v>
      </c>
      <c r="C364" s="13" t="s">
        <v>709</v>
      </c>
      <c r="D364" s="1367"/>
      <c r="E364" s="1367"/>
      <c r="F364" s="1365">
        <f t="shared" si="198"/>
        <v>0</v>
      </c>
      <c r="G364" s="1365">
        <f t="shared" si="197"/>
        <v>0</v>
      </c>
      <c r="H364" s="1367">
        <f t="shared" si="199"/>
        <v>0</v>
      </c>
      <c r="I364" s="1384"/>
      <c r="J364" s="1367"/>
      <c r="K364" s="1384"/>
      <c r="L364" s="1367"/>
      <c r="M364" s="1367">
        <f t="shared" si="204"/>
        <v>0</v>
      </c>
      <c r="N364" s="1967"/>
      <c r="O364" s="1057"/>
      <c r="P364" s="1485"/>
      <c r="Q364" s="1367"/>
      <c r="R364" s="1485">
        <f t="shared" si="200"/>
        <v>0</v>
      </c>
      <c r="S364" s="1481"/>
      <c r="T364" s="1485"/>
      <c r="U364" s="1481"/>
      <c r="V364" s="1485"/>
      <c r="W364" s="1485">
        <f t="shared" si="205"/>
        <v>0</v>
      </c>
      <c r="X364" s="1189"/>
      <c r="Y364" s="106">
        <v>0</v>
      </c>
      <c r="Z364" s="698">
        <v>0</v>
      </c>
      <c r="AA364" s="698">
        <f t="shared" si="201"/>
        <v>0</v>
      </c>
      <c r="AB364" s="253"/>
      <c r="AC364" s="106"/>
      <c r="AD364" s="253"/>
      <c r="AE364" s="106"/>
      <c r="AF364" s="698">
        <f t="shared" si="206"/>
        <v>0</v>
      </c>
      <c r="AG364" s="698"/>
      <c r="AH364" s="208"/>
      <c r="AI364" s="140">
        <v>0</v>
      </c>
      <c r="AJ364" s="140"/>
      <c r="AK364" s="140"/>
      <c r="AL364" s="673"/>
      <c r="AM364" s="140"/>
      <c r="AN364" s="140"/>
      <c r="AO364" s="140">
        <f t="shared" si="202"/>
        <v>0</v>
      </c>
      <c r="AP364" s="437"/>
      <c r="AQ364" s="140"/>
      <c r="AR364" s="437"/>
      <c r="AS364" s="140"/>
      <c r="AT364" s="140">
        <f t="shared" si="207"/>
        <v>0</v>
      </c>
      <c r="AU364" s="66"/>
      <c r="AV364" s="140"/>
      <c r="AW364" s="140">
        <v>5739000</v>
      </c>
      <c r="AX364" s="140">
        <f t="shared" si="203"/>
        <v>5739000</v>
      </c>
      <c r="AY364" s="437"/>
      <c r="AZ364" s="140"/>
      <c r="BA364" s="437"/>
      <c r="BB364" s="140"/>
      <c r="BC364" s="140">
        <f t="shared" si="208"/>
        <v>5739000</v>
      </c>
      <c r="BD364" s="140"/>
      <c r="BE364" s="140"/>
      <c r="BF364" s="235">
        <v>0</v>
      </c>
      <c r="BG364" s="14"/>
      <c r="BH364" s="235">
        <v>6600000</v>
      </c>
      <c r="BI364" s="25"/>
    </row>
    <row r="365" spans="2:61" s="1" customFormat="1">
      <c r="B365" s="30"/>
      <c r="C365" s="13" t="s">
        <v>710</v>
      </c>
      <c r="D365" s="1367"/>
      <c r="E365" s="1367"/>
      <c r="F365" s="1365">
        <f t="shared" si="198"/>
        <v>0</v>
      </c>
      <c r="G365" s="1365">
        <f t="shared" si="197"/>
        <v>0</v>
      </c>
      <c r="H365" s="1367">
        <f t="shared" si="199"/>
        <v>0</v>
      </c>
      <c r="I365" s="1384"/>
      <c r="J365" s="1367"/>
      <c r="K365" s="1384"/>
      <c r="L365" s="1367"/>
      <c r="M365" s="1367">
        <f t="shared" si="204"/>
        <v>0</v>
      </c>
      <c r="N365" s="1967"/>
      <c r="O365" s="1057"/>
      <c r="P365" s="1485"/>
      <c r="Q365" s="1367"/>
      <c r="R365" s="1485">
        <f t="shared" si="200"/>
        <v>0</v>
      </c>
      <c r="S365" s="1481"/>
      <c r="T365" s="1485"/>
      <c r="U365" s="1481"/>
      <c r="V365" s="1485"/>
      <c r="W365" s="1485">
        <f t="shared" si="205"/>
        <v>0</v>
      </c>
      <c r="X365" s="1189"/>
      <c r="Y365" s="106">
        <v>0</v>
      </c>
      <c r="Z365" s="698">
        <v>0</v>
      </c>
      <c r="AA365" s="698">
        <f t="shared" si="201"/>
        <v>0</v>
      </c>
      <c r="AB365" s="253"/>
      <c r="AC365" s="106"/>
      <c r="AD365" s="253"/>
      <c r="AE365" s="106"/>
      <c r="AF365" s="698">
        <f t="shared" si="206"/>
        <v>0</v>
      </c>
      <c r="AG365" s="698"/>
      <c r="AH365" s="208"/>
      <c r="AI365" s="140">
        <v>0</v>
      </c>
      <c r="AJ365" s="140"/>
      <c r="AK365" s="140"/>
      <c r="AL365" s="673"/>
      <c r="AM365" s="140"/>
      <c r="AN365" s="140"/>
      <c r="AO365" s="140">
        <f t="shared" si="202"/>
        <v>0</v>
      </c>
      <c r="AP365" s="437"/>
      <c r="AQ365" s="140"/>
      <c r="AR365" s="437"/>
      <c r="AS365" s="140"/>
      <c r="AT365" s="140">
        <f t="shared" si="207"/>
        <v>0</v>
      </c>
      <c r="AU365" s="66"/>
      <c r="AV365" s="140"/>
      <c r="AW365" s="140"/>
      <c r="AX365" s="140">
        <f t="shared" si="203"/>
        <v>0</v>
      </c>
      <c r="AY365" s="437"/>
      <c r="AZ365" s="140"/>
      <c r="BA365" s="437"/>
      <c r="BB365" s="140"/>
      <c r="BC365" s="140">
        <f t="shared" si="208"/>
        <v>0</v>
      </c>
      <c r="BD365" s="140"/>
      <c r="BE365" s="40"/>
      <c r="BF365" s="235">
        <v>0</v>
      </c>
      <c r="BG365" s="37"/>
      <c r="BH365" s="235">
        <v>0</v>
      </c>
      <c r="BI365" s="11"/>
    </row>
    <row r="366" spans="2:61" s="1" customFormat="1">
      <c r="B366" s="30"/>
      <c r="C366" s="13" t="s">
        <v>711</v>
      </c>
      <c r="D366" s="1367"/>
      <c r="E366" s="1367"/>
      <c r="F366" s="1365">
        <f t="shared" si="198"/>
        <v>0</v>
      </c>
      <c r="G366" s="1365">
        <f t="shared" si="197"/>
        <v>0</v>
      </c>
      <c r="H366" s="1367">
        <f t="shared" si="199"/>
        <v>0</v>
      </c>
      <c r="I366" s="1384"/>
      <c r="J366" s="1367"/>
      <c r="K366" s="1384"/>
      <c r="L366" s="1367"/>
      <c r="M366" s="1367">
        <f t="shared" si="204"/>
        <v>0</v>
      </c>
      <c r="N366" s="1967"/>
      <c r="O366" s="1057"/>
      <c r="P366" s="1485"/>
      <c r="Q366" s="1367"/>
      <c r="R366" s="1485">
        <f t="shared" si="200"/>
        <v>0</v>
      </c>
      <c r="S366" s="1481"/>
      <c r="T366" s="1485"/>
      <c r="U366" s="1481"/>
      <c r="V366" s="1485"/>
      <c r="W366" s="1485">
        <f t="shared" si="205"/>
        <v>0</v>
      </c>
      <c r="X366" s="1189"/>
      <c r="Y366" s="106">
        <v>47512273</v>
      </c>
      <c r="Z366" s="698">
        <v>0</v>
      </c>
      <c r="AA366" s="698">
        <f t="shared" si="201"/>
        <v>47512273</v>
      </c>
      <c r="AB366" s="253"/>
      <c r="AC366" s="106"/>
      <c r="AD366" s="253"/>
      <c r="AE366" s="106"/>
      <c r="AF366" s="698">
        <f t="shared" si="206"/>
        <v>47512273</v>
      </c>
      <c r="AG366" s="698"/>
      <c r="AH366" s="208"/>
      <c r="AI366" s="140">
        <v>0</v>
      </c>
      <c r="AJ366" s="140"/>
      <c r="AK366" s="140"/>
      <c r="AL366" s="673"/>
      <c r="AM366" s="140"/>
      <c r="AN366" s="140"/>
      <c r="AO366" s="140">
        <f t="shared" si="202"/>
        <v>0</v>
      </c>
      <c r="AP366" s="437"/>
      <c r="AQ366" s="140"/>
      <c r="AR366" s="437"/>
      <c r="AS366" s="140"/>
      <c r="AT366" s="140">
        <f t="shared" si="207"/>
        <v>0</v>
      </c>
      <c r="AU366" s="66"/>
      <c r="AV366" s="140">
        <v>4519920</v>
      </c>
      <c r="AW366" s="140"/>
      <c r="AX366" s="140">
        <f t="shared" si="203"/>
        <v>4519920</v>
      </c>
      <c r="AY366" s="437"/>
      <c r="AZ366" s="140"/>
      <c r="BA366" s="437"/>
      <c r="BB366" s="140"/>
      <c r="BC366" s="140">
        <f t="shared" si="208"/>
        <v>4519920</v>
      </c>
      <c r="BD366" s="140"/>
      <c r="BE366" s="40"/>
      <c r="BF366" s="235">
        <v>0</v>
      </c>
      <c r="BG366" s="37"/>
      <c r="BH366" s="235">
        <v>25739120</v>
      </c>
      <c r="BI366" s="11"/>
    </row>
    <row r="367" spans="2:61" s="1" customFormat="1">
      <c r="B367" s="30"/>
      <c r="C367" s="13" t="s">
        <v>712</v>
      </c>
      <c r="D367" s="1367"/>
      <c r="E367" s="1367"/>
      <c r="F367" s="1365">
        <f t="shared" si="198"/>
        <v>0</v>
      </c>
      <c r="G367" s="1365">
        <f t="shared" si="197"/>
        <v>0</v>
      </c>
      <c r="H367" s="1367">
        <f t="shared" si="199"/>
        <v>0</v>
      </c>
      <c r="I367" s="1384"/>
      <c r="J367" s="1367"/>
      <c r="K367" s="1384"/>
      <c r="L367" s="1367"/>
      <c r="M367" s="1367">
        <f t="shared" si="204"/>
        <v>0</v>
      </c>
      <c r="N367" s="1967"/>
      <c r="O367" s="1057"/>
      <c r="P367" s="1485"/>
      <c r="Q367" s="1367"/>
      <c r="R367" s="1485">
        <f t="shared" si="200"/>
        <v>0</v>
      </c>
      <c r="S367" s="1481"/>
      <c r="T367" s="1485"/>
      <c r="U367" s="1481"/>
      <c r="V367" s="1485"/>
      <c r="W367" s="1485">
        <f t="shared" si="205"/>
        <v>0</v>
      </c>
      <c r="X367" s="1189"/>
      <c r="Y367" s="106">
        <v>0</v>
      </c>
      <c r="Z367" s="698">
        <v>0</v>
      </c>
      <c r="AA367" s="698">
        <f t="shared" si="201"/>
        <v>0</v>
      </c>
      <c r="AB367" s="253"/>
      <c r="AC367" s="106"/>
      <c r="AD367" s="253"/>
      <c r="AE367" s="106"/>
      <c r="AF367" s="698">
        <f t="shared" si="206"/>
        <v>0</v>
      </c>
      <c r="AG367" s="698"/>
      <c r="AH367" s="208"/>
      <c r="AI367" s="140">
        <v>0</v>
      </c>
      <c r="AJ367" s="140"/>
      <c r="AK367" s="140"/>
      <c r="AL367" s="673"/>
      <c r="AM367" s="140"/>
      <c r="AN367" s="140"/>
      <c r="AO367" s="140">
        <f t="shared" si="202"/>
        <v>0</v>
      </c>
      <c r="AP367" s="437"/>
      <c r="AQ367" s="140"/>
      <c r="AR367" s="437"/>
      <c r="AS367" s="140"/>
      <c r="AT367" s="140">
        <f t="shared" si="207"/>
        <v>0</v>
      </c>
      <c r="AU367" s="66"/>
      <c r="AV367" s="140"/>
      <c r="AW367" s="140"/>
      <c r="AX367" s="140">
        <f t="shared" si="203"/>
        <v>0</v>
      </c>
      <c r="AY367" s="437"/>
      <c r="AZ367" s="140"/>
      <c r="BA367" s="437"/>
      <c r="BB367" s="140"/>
      <c r="BC367" s="140">
        <f t="shared" si="208"/>
        <v>0</v>
      </c>
      <c r="BD367" s="140"/>
      <c r="BE367" s="40"/>
      <c r="BF367" s="235">
        <v>0</v>
      </c>
      <c r="BG367" s="37"/>
      <c r="BH367" s="235">
        <v>0</v>
      </c>
      <c r="BI367" s="11"/>
    </row>
    <row r="368" spans="2:61" s="1" customFormat="1">
      <c r="B368" s="30"/>
      <c r="C368" s="13" t="s">
        <v>713</v>
      </c>
      <c r="D368" s="1967"/>
      <c r="E368" s="1967"/>
      <c r="F368" s="1365">
        <f t="shared" si="198"/>
        <v>0</v>
      </c>
      <c r="G368" s="1365">
        <f t="shared" si="197"/>
        <v>0</v>
      </c>
      <c r="H368" s="1967">
        <f t="shared" si="199"/>
        <v>0</v>
      </c>
      <c r="I368" s="612"/>
      <c r="J368" s="1967"/>
      <c r="K368" s="612"/>
      <c r="L368" s="1967"/>
      <c r="M368" s="1967">
        <f t="shared" si="204"/>
        <v>0</v>
      </c>
      <c r="N368" s="1967"/>
      <c r="O368" s="1057"/>
      <c r="P368" s="1966"/>
      <c r="Q368" s="1967"/>
      <c r="R368" s="1966">
        <f t="shared" si="200"/>
        <v>0</v>
      </c>
      <c r="S368" s="1537"/>
      <c r="T368" s="1966"/>
      <c r="U368" s="1537"/>
      <c r="V368" s="1966"/>
      <c r="W368" s="1966">
        <f t="shared" si="205"/>
        <v>0</v>
      </c>
      <c r="X368" s="13"/>
      <c r="Y368" s="106">
        <v>0</v>
      </c>
      <c r="Z368" s="698">
        <v>0</v>
      </c>
      <c r="AA368" s="698">
        <f t="shared" si="201"/>
        <v>0</v>
      </c>
      <c r="AB368" s="253"/>
      <c r="AC368" s="106"/>
      <c r="AD368" s="253"/>
      <c r="AE368" s="106"/>
      <c r="AF368" s="698">
        <f t="shared" si="206"/>
        <v>0</v>
      </c>
      <c r="AG368" s="698"/>
      <c r="AH368" s="106"/>
      <c r="AI368" s="140">
        <v>0</v>
      </c>
      <c r="AJ368" s="140"/>
      <c r="AK368" s="140"/>
      <c r="AL368" s="140"/>
      <c r="AM368" s="140"/>
      <c r="AN368" s="140"/>
      <c r="AO368" s="140">
        <f t="shared" si="202"/>
        <v>0</v>
      </c>
      <c r="AP368" s="437"/>
      <c r="AQ368" s="140"/>
      <c r="AR368" s="437"/>
      <c r="AS368" s="140"/>
      <c r="AT368" s="140">
        <f t="shared" si="207"/>
        <v>0</v>
      </c>
      <c r="AU368" s="140"/>
      <c r="AV368" s="140"/>
      <c r="AW368" s="140"/>
      <c r="AX368" s="140">
        <f t="shared" si="203"/>
        <v>0</v>
      </c>
      <c r="AY368" s="437"/>
      <c r="AZ368" s="140"/>
      <c r="BA368" s="437"/>
      <c r="BB368" s="140"/>
      <c r="BC368" s="140">
        <f t="shared" si="208"/>
        <v>0</v>
      </c>
      <c r="BD368" s="140"/>
      <c r="BE368" s="140"/>
      <c r="BF368" s="235">
        <v>19507727</v>
      </c>
      <c r="BG368" s="14"/>
      <c r="BH368" s="235">
        <v>88300000</v>
      </c>
      <c r="BI368" s="25"/>
    </row>
    <row r="369" spans="2:62" s="1" customFormat="1">
      <c r="B369" s="30" t="s">
        <v>407</v>
      </c>
      <c r="C369" s="13" t="s">
        <v>714</v>
      </c>
      <c r="D369" s="1967"/>
      <c r="E369" s="280">
        <v>22200000</v>
      </c>
      <c r="F369" s="1365">
        <f t="shared" si="198"/>
        <v>22200000</v>
      </c>
      <c r="G369" s="1365">
        <f t="shared" si="197"/>
        <v>0</v>
      </c>
      <c r="H369" s="1967">
        <f t="shared" si="199"/>
        <v>22200000</v>
      </c>
      <c r="I369" s="612"/>
      <c r="J369" s="1967"/>
      <c r="K369" s="612"/>
      <c r="L369" s="1967"/>
      <c r="M369" s="2143">
        <f t="shared" si="204"/>
        <v>22200000</v>
      </c>
      <c r="N369" s="1967"/>
      <c r="O369" s="1057"/>
      <c r="P369" s="1966">
        <v>33300000</v>
      </c>
      <c r="Q369" s="280">
        <v>22200000</v>
      </c>
      <c r="R369" s="1966">
        <f t="shared" si="200"/>
        <v>55500000</v>
      </c>
      <c r="S369" s="1537"/>
      <c r="T369" s="1966"/>
      <c r="U369" s="1537"/>
      <c r="V369" s="1966"/>
      <c r="W369" s="1966">
        <f t="shared" si="205"/>
        <v>55500000</v>
      </c>
      <c r="X369" s="13"/>
      <c r="Y369" s="106">
        <v>0</v>
      </c>
      <c r="Z369" s="698">
        <v>22200000</v>
      </c>
      <c r="AA369" s="698">
        <f t="shared" si="201"/>
        <v>22200000</v>
      </c>
      <c r="AB369" s="253"/>
      <c r="AC369" s="106"/>
      <c r="AD369" s="253"/>
      <c r="AE369" s="106"/>
      <c r="AF369" s="698">
        <f t="shared" si="206"/>
        <v>22200000</v>
      </c>
      <c r="AG369" s="698"/>
      <c r="AH369" s="106"/>
      <c r="AI369" s="2142">
        <v>44400000</v>
      </c>
      <c r="AJ369" s="140"/>
      <c r="AK369" s="140"/>
      <c r="AL369" s="140"/>
      <c r="AM369" s="140">
        <v>22200000</v>
      </c>
      <c r="AN369" s="140">
        <v>22200000</v>
      </c>
      <c r="AO369" s="140">
        <f t="shared" si="202"/>
        <v>44400000</v>
      </c>
      <c r="AP369" s="437"/>
      <c r="AQ369" s="140"/>
      <c r="AR369" s="437"/>
      <c r="AS369" s="140"/>
      <c r="AT369" s="140">
        <f t="shared" si="207"/>
        <v>44400000</v>
      </c>
      <c r="AU369" s="140"/>
      <c r="AV369" s="140">
        <v>22200000</v>
      </c>
      <c r="AW369" s="140">
        <v>22200000</v>
      </c>
      <c r="AX369" s="140">
        <f t="shared" si="203"/>
        <v>44400000</v>
      </c>
      <c r="AY369" s="437"/>
      <c r="AZ369" s="140"/>
      <c r="BA369" s="437"/>
      <c r="BB369" s="140"/>
      <c r="BC369" s="140">
        <f t="shared" si="208"/>
        <v>44400000</v>
      </c>
      <c r="BD369" s="140"/>
      <c r="BE369" s="140"/>
      <c r="BF369" s="235">
        <v>62160000</v>
      </c>
      <c r="BG369" s="14"/>
      <c r="BH369" s="235">
        <v>123750000</v>
      </c>
      <c r="BI369" s="25"/>
    </row>
    <row r="370" spans="2:62" s="1" customFormat="1">
      <c r="B370" s="30" t="s">
        <v>407</v>
      </c>
      <c r="C370" s="13" t="s">
        <v>715</v>
      </c>
      <c r="D370" s="1967"/>
      <c r="E370" s="1967"/>
      <c r="F370" s="1365">
        <f t="shared" si="198"/>
        <v>0</v>
      </c>
      <c r="G370" s="1365">
        <f t="shared" si="197"/>
        <v>0</v>
      </c>
      <c r="H370" s="1967">
        <f t="shared" si="199"/>
        <v>0</v>
      </c>
      <c r="I370" s="612"/>
      <c r="J370" s="1967"/>
      <c r="K370" s="612"/>
      <c r="L370" s="1967"/>
      <c r="M370" s="1967">
        <f t="shared" si="204"/>
        <v>0</v>
      </c>
      <c r="N370" s="1967"/>
      <c r="O370" s="1057"/>
      <c r="P370" s="1966"/>
      <c r="Q370" s="1967"/>
      <c r="R370" s="1966">
        <f t="shared" si="200"/>
        <v>0</v>
      </c>
      <c r="S370" s="1537"/>
      <c r="T370" s="1966"/>
      <c r="U370" s="1537"/>
      <c r="V370" s="1966"/>
      <c r="W370" s="1966">
        <f t="shared" si="205"/>
        <v>0</v>
      </c>
      <c r="X370" s="13"/>
      <c r="Y370" s="106">
        <v>0</v>
      </c>
      <c r="Z370" s="698">
        <v>0</v>
      </c>
      <c r="AA370" s="698">
        <f t="shared" si="201"/>
        <v>0</v>
      </c>
      <c r="AB370" s="253"/>
      <c r="AC370" s="106"/>
      <c r="AD370" s="253"/>
      <c r="AE370" s="106"/>
      <c r="AF370" s="698">
        <f t="shared" si="206"/>
        <v>0</v>
      </c>
      <c r="AG370" s="698"/>
      <c r="AH370" s="106"/>
      <c r="AI370" s="140">
        <v>0</v>
      </c>
      <c r="AJ370" s="140"/>
      <c r="AK370" s="140"/>
      <c r="AL370" s="140"/>
      <c r="AM370" s="140"/>
      <c r="AN370" s="140"/>
      <c r="AO370" s="140">
        <f t="shared" si="202"/>
        <v>0</v>
      </c>
      <c r="AP370" s="437"/>
      <c r="AQ370" s="140"/>
      <c r="AR370" s="437"/>
      <c r="AS370" s="140"/>
      <c r="AT370" s="140">
        <f t="shared" si="207"/>
        <v>0</v>
      </c>
      <c r="AU370" s="140"/>
      <c r="AV370" s="140"/>
      <c r="AW370" s="140"/>
      <c r="AX370" s="140">
        <f t="shared" si="203"/>
        <v>0</v>
      </c>
      <c r="AY370" s="437"/>
      <c r="AZ370" s="140"/>
      <c r="BA370" s="437"/>
      <c r="BB370" s="140"/>
      <c r="BC370" s="140">
        <f t="shared" si="208"/>
        <v>0</v>
      </c>
      <c r="BD370" s="140"/>
      <c r="BE370" s="140"/>
      <c r="BF370" s="235">
        <v>0</v>
      </c>
      <c r="BG370" s="14"/>
      <c r="BH370" s="235">
        <v>0</v>
      </c>
      <c r="BI370" s="25"/>
    </row>
    <row r="371" spans="2:62" s="1" customFormat="1">
      <c r="B371" s="30"/>
      <c r="C371" s="13" t="s">
        <v>716</v>
      </c>
      <c r="D371" s="1967"/>
      <c r="E371" s="1967"/>
      <c r="F371" s="1365">
        <f t="shared" si="198"/>
        <v>0</v>
      </c>
      <c r="G371" s="1365">
        <f t="shared" si="197"/>
        <v>0</v>
      </c>
      <c r="H371" s="1967">
        <f t="shared" si="199"/>
        <v>0</v>
      </c>
      <c r="I371" s="612"/>
      <c r="J371" s="1967"/>
      <c r="K371" s="612"/>
      <c r="L371" s="1967"/>
      <c r="M371" s="1967">
        <f t="shared" si="204"/>
        <v>0</v>
      </c>
      <c r="N371" s="1967"/>
      <c r="O371" s="1057"/>
      <c r="P371" s="1966"/>
      <c r="Q371" s="1967"/>
      <c r="R371" s="1966">
        <f t="shared" si="200"/>
        <v>0</v>
      </c>
      <c r="S371" s="1537"/>
      <c r="T371" s="1966"/>
      <c r="U371" s="1537"/>
      <c r="V371" s="1966"/>
      <c r="W371" s="1966">
        <f t="shared" si="205"/>
        <v>0</v>
      </c>
      <c r="X371" s="13"/>
      <c r="Y371" s="106">
        <v>0</v>
      </c>
      <c r="Z371" s="698">
        <v>0</v>
      </c>
      <c r="AA371" s="698">
        <f t="shared" si="201"/>
        <v>0</v>
      </c>
      <c r="AB371" s="253"/>
      <c r="AC371" s="106"/>
      <c r="AD371" s="253"/>
      <c r="AE371" s="106"/>
      <c r="AF371" s="698">
        <f t="shared" si="206"/>
        <v>0</v>
      </c>
      <c r="AG371" s="698"/>
      <c r="AH371" s="106"/>
      <c r="AI371" s="140">
        <v>0</v>
      </c>
      <c r="AJ371" s="140"/>
      <c r="AK371" s="140"/>
      <c r="AL371" s="140"/>
      <c r="AM371" s="140"/>
      <c r="AN371" s="140"/>
      <c r="AO371" s="140">
        <f t="shared" si="202"/>
        <v>0</v>
      </c>
      <c r="AP371" s="437"/>
      <c r="AQ371" s="140"/>
      <c r="AR371" s="437"/>
      <c r="AS371" s="140"/>
      <c r="AT371" s="140">
        <f t="shared" si="207"/>
        <v>0</v>
      </c>
      <c r="AU371" s="140"/>
      <c r="AV371" s="140"/>
      <c r="AW371" s="140"/>
      <c r="AX371" s="140">
        <f t="shared" si="203"/>
        <v>0</v>
      </c>
      <c r="AY371" s="437"/>
      <c r="AZ371" s="140"/>
      <c r="BA371" s="437"/>
      <c r="BB371" s="140"/>
      <c r="BC371" s="140">
        <f t="shared" si="208"/>
        <v>0</v>
      </c>
      <c r="BD371" s="140"/>
      <c r="BE371" s="140"/>
      <c r="BF371" s="235">
        <v>0</v>
      </c>
      <c r="BG371" s="14"/>
      <c r="BH371" s="105">
        <v>26390000</v>
      </c>
      <c r="BI371" s="25"/>
    </row>
    <row r="372" spans="2:62" s="1" customFormat="1">
      <c r="B372" s="30"/>
      <c r="C372" s="13" t="s">
        <v>717</v>
      </c>
      <c r="D372" s="1967"/>
      <c r="E372" s="1967"/>
      <c r="F372" s="1365">
        <f t="shared" si="198"/>
        <v>0</v>
      </c>
      <c r="G372" s="1365">
        <f t="shared" si="197"/>
        <v>0</v>
      </c>
      <c r="H372" s="1967">
        <f t="shared" si="199"/>
        <v>0</v>
      </c>
      <c r="I372" s="612"/>
      <c r="J372" s="1967"/>
      <c r="K372" s="612"/>
      <c r="L372" s="1967"/>
      <c r="M372" s="1967">
        <f t="shared" si="204"/>
        <v>0</v>
      </c>
      <c r="N372" s="1967"/>
      <c r="O372" s="1057"/>
      <c r="P372" s="1966"/>
      <c r="Q372" s="1967"/>
      <c r="R372" s="1966">
        <f t="shared" si="200"/>
        <v>0</v>
      </c>
      <c r="S372" s="1537"/>
      <c r="T372" s="1966"/>
      <c r="U372" s="1537"/>
      <c r="V372" s="1966"/>
      <c r="W372" s="1966">
        <f t="shared" si="205"/>
        <v>0</v>
      </c>
      <c r="X372" s="13"/>
      <c r="Y372" s="106">
        <v>0</v>
      </c>
      <c r="Z372" s="698">
        <v>0</v>
      </c>
      <c r="AA372" s="698">
        <f t="shared" si="201"/>
        <v>0</v>
      </c>
      <c r="AB372" s="253"/>
      <c r="AC372" s="106"/>
      <c r="AD372" s="253"/>
      <c r="AE372" s="106"/>
      <c r="AF372" s="698">
        <f t="shared" si="206"/>
        <v>0</v>
      </c>
      <c r="AG372" s="698"/>
      <c r="AH372" s="106"/>
      <c r="AI372" s="140">
        <v>0</v>
      </c>
      <c r="AJ372" s="140"/>
      <c r="AK372" s="140"/>
      <c r="AL372" s="140"/>
      <c r="AM372" s="140"/>
      <c r="AN372" s="140"/>
      <c r="AO372" s="140">
        <f t="shared" si="202"/>
        <v>0</v>
      </c>
      <c r="AP372" s="437"/>
      <c r="AQ372" s="140"/>
      <c r="AR372" s="437"/>
      <c r="AS372" s="140"/>
      <c r="AT372" s="140">
        <f t="shared" si="207"/>
        <v>0</v>
      </c>
      <c r="AU372" s="140"/>
      <c r="AV372" s="140"/>
      <c r="AW372" s="140"/>
      <c r="AX372" s="140">
        <f t="shared" si="203"/>
        <v>0</v>
      </c>
      <c r="AY372" s="437"/>
      <c r="AZ372" s="140"/>
      <c r="BA372" s="437"/>
      <c r="BB372" s="140"/>
      <c r="BC372" s="140">
        <f t="shared" si="208"/>
        <v>0</v>
      </c>
      <c r="BD372" s="140"/>
      <c r="BE372" s="140"/>
      <c r="BF372" s="235">
        <v>0</v>
      </c>
      <c r="BG372" s="14"/>
      <c r="BH372" s="105">
        <v>46975500</v>
      </c>
      <c r="BI372" s="25"/>
    </row>
    <row r="373" spans="2:62" s="1" customFormat="1">
      <c r="B373" s="30"/>
      <c r="C373" s="13" t="s">
        <v>718</v>
      </c>
      <c r="D373" s="1967"/>
      <c r="E373" s="1967"/>
      <c r="F373" s="1365">
        <f t="shared" si="198"/>
        <v>0</v>
      </c>
      <c r="G373" s="1365">
        <f t="shared" si="197"/>
        <v>0</v>
      </c>
      <c r="H373" s="1967">
        <f t="shared" si="199"/>
        <v>0</v>
      </c>
      <c r="I373" s="612"/>
      <c r="J373" s="1967"/>
      <c r="K373" s="612"/>
      <c r="L373" s="1967"/>
      <c r="M373" s="1967">
        <f t="shared" si="204"/>
        <v>0</v>
      </c>
      <c r="N373" s="1967"/>
      <c r="O373" s="1057"/>
      <c r="P373" s="1966"/>
      <c r="Q373" s="1967"/>
      <c r="R373" s="1966">
        <f t="shared" si="200"/>
        <v>0</v>
      </c>
      <c r="S373" s="1537"/>
      <c r="T373" s="1966"/>
      <c r="U373" s="1537"/>
      <c r="V373" s="1966"/>
      <c r="W373" s="1966">
        <f t="shared" si="205"/>
        <v>0</v>
      </c>
      <c r="X373" s="13"/>
      <c r="Y373" s="106">
        <v>0</v>
      </c>
      <c r="Z373" s="698">
        <v>0</v>
      </c>
      <c r="AA373" s="698">
        <f t="shared" si="201"/>
        <v>0</v>
      </c>
      <c r="AB373" s="253"/>
      <c r="AC373" s="106"/>
      <c r="AD373" s="253"/>
      <c r="AE373" s="106"/>
      <c r="AF373" s="698">
        <f t="shared" si="206"/>
        <v>0</v>
      </c>
      <c r="AG373" s="698"/>
      <c r="AH373" s="106"/>
      <c r="AI373" s="2142">
        <v>24990000</v>
      </c>
      <c r="AJ373" s="140"/>
      <c r="AK373" s="140"/>
      <c r="AL373" s="140"/>
      <c r="AM373" s="140"/>
      <c r="AN373" s="140">
        <v>308906950</v>
      </c>
      <c r="AO373" s="140">
        <f t="shared" si="202"/>
        <v>308906950</v>
      </c>
      <c r="AP373" s="437"/>
      <c r="AQ373" s="140"/>
      <c r="AR373" s="437"/>
      <c r="AS373" s="140"/>
      <c r="AT373" s="140">
        <f t="shared" si="207"/>
        <v>308906950</v>
      </c>
      <c r="AU373" s="140"/>
      <c r="AV373" s="140"/>
      <c r="AW373" s="140">
        <v>308906950</v>
      </c>
      <c r="AX373" s="140">
        <f t="shared" si="203"/>
        <v>308906950</v>
      </c>
      <c r="AY373" s="437"/>
      <c r="AZ373" s="140"/>
      <c r="BA373" s="437"/>
      <c r="BB373" s="140"/>
      <c r="BC373" s="140">
        <f t="shared" si="208"/>
        <v>308906950</v>
      </c>
      <c r="BD373" s="140"/>
      <c r="BE373" s="140"/>
      <c r="BF373" s="235">
        <v>429464050</v>
      </c>
      <c r="BG373" s="14"/>
      <c r="BH373" s="105">
        <v>431286048</v>
      </c>
      <c r="BI373" s="25"/>
      <c r="BJ373" s="2121">
        <f>AI379+AI386+AI400+AI401+AI319+AI329+AI309+AI296+AI301+AI302+AI291+AI394</f>
        <v>2622372406</v>
      </c>
    </row>
    <row r="374" spans="2:62" s="1" customFormat="1">
      <c r="B374" s="30"/>
      <c r="C374" s="13" t="s">
        <v>719</v>
      </c>
      <c r="D374" s="1967"/>
      <c r="E374" s="1967"/>
      <c r="F374" s="1365">
        <f t="shared" si="198"/>
        <v>0</v>
      </c>
      <c r="G374" s="1365">
        <f t="shared" si="197"/>
        <v>0</v>
      </c>
      <c r="H374" s="1967">
        <f t="shared" si="199"/>
        <v>0</v>
      </c>
      <c r="I374" s="612"/>
      <c r="J374" s="1967"/>
      <c r="K374" s="612"/>
      <c r="L374" s="1967"/>
      <c r="M374" s="1967">
        <f t="shared" si="204"/>
        <v>0</v>
      </c>
      <c r="N374" s="1967"/>
      <c r="O374" s="1057"/>
      <c r="P374" s="1966"/>
      <c r="Q374" s="1967"/>
      <c r="R374" s="1966">
        <f t="shared" si="200"/>
        <v>0</v>
      </c>
      <c r="S374" s="1537"/>
      <c r="T374" s="1966"/>
      <c r="U374" s="1537"/>
      <c r="V374" s="1966"/>
      <c r="W374" s="1966">
        <f t="shared" si="205"/>
        <v>0</v>
      </c>
      <c r="X374" s="13"/>
      <c r="Y374" s="106">
        <v>0</v>
      </c>
      <c r="Z374" s="698">
        <v>0</v>
      </c>
      <c r="AA374" s="698">
        <f t="shared" si="201"/>
        <v>0</v>
      </c>
      <c r="AB374" s="253"/>
      <c r="AC374" s="106"/>
      <c r="AD374" s="253"/>
      <c r="AE374" s="106"/>
      <c r="AF374" s="698">
        <f t="shared" si="206"/>
        <v>0</v>
      </c>
      <c r="AG374" s="698"/>
      <c r="AH374" s="106"/>
      <c r="AI374" s="140">
        <v>0</v>
      </c>
      <c r="AJ374" s="140"/>
      <c r="AK374" s="140"/>
      <c r="AL374" s="140"/>
      <c r="AM374" s="140"/>
      <c r="AN374" s="140"/>
      <c r="AO374" s="140">
        <f t="shared" si="202"/>
        <v>0</v>
      </c>
      <c r="AP374" s="437"/>
      <c r="AQ374" s="140"/>
      <c r="AR374" s="437"/>
      <c r="AS374" s="140"/>
      <c r="AT374" s="140">
        <f t="shared" si="207"/>
        <v>0</v>
      </c>
      <c r="AU374" s="140"/>
      <c r="AV374" s="140"/>
      <c r="AW374" s="140"/>
      <c r="AX374" s="140">
        <f t="shared" si="203"/>
        <v>0</v>
      </c>
      <c r="AY374" s="437"/>
      <c r="AZ374" s="140"/>
      <c r="BA374" s="437"/>
      <c r="BB374" s="140"/>
      <c r="BC374" s="140">
        <f t="shared" si="208"/>
        <v>0</v>
      </c>
      <c r="BD374" s="140"/>
      <c r="BE374" s="140"/>
      <c r="BF374" s="235">
        <v>61228600</v>
      </c>
      <c r="BG374" s="14"/>
      <c r="BH374" s="105">
        <v>51877880</v>
      </c>
      <c r="BI374" s="25"/>
    </row>
    <row r="375" spans="2:62" s="1" customFormat="1">
      <c r="B375" s="30"/>
      <c r="C375" s="13" t="s">
        <v>720</v>
      </c>
      <c r="D375" s="1375">
        <f>ROUND(25502000.5,0)</f>
        <v>25502001</v>
      </c>
      <c r="E375" s="280">
        <v>0</v>
      </c>
      <c r="F375" s="1365">
        <f t="shared" si="198"/>
        <v>25502001</v>
      </c>
      <c r="G375" s="1365">
        <f t="shared" si="197"/>
        <v>0</v>
      </c>
      <c r="H375" s="1967">
        <f t="shared" si="199"/>
        <v>25502001</v>
      </c>
      <c r="I375" s="612"/>
      <c r="J375" s="1967"/>
      <c r="K375" s="612"/>
      <c r="L375" s="1967"/>
      <c r="M375" s="2143">
        <f t="shared" si="204"/>
        <v>25502001</v>
      </c>
      <c r="N375" s="1967"/>
      <c r="O375" s="1057"/>
      <c r="P375" s="1966"/>
      <c r="Q375" s="280">
        <v>22015500</v>
      </c>
      <c r="R375" s="1966">
        <f t="shared" si="200"/>
        <v>22015500</v>
      </c>
      <c r="S375" s="1537"/>
      <c r="T375" s="1966"/>
      <c r="U375" s="1537"/>
      <c r="V375" s="1966"/>
      <c r="W375" s="1966">
        <f t="shared" si="205"/>
        <v>22015500</v>
      </c>
      <c r="X375" s="13"/>
      <c r="Y375" s="106">
        <v>6815001</v>
      </c>
      <c r="Z375" s="698">
        <v>44141000</v>
      </c>
      <c r="AA375" s="698">
        <f t="shared" si="201"/>
        <v>50956001</v>
      </c>
      <c r="AB375" s="253"/>
      <c r="AC375" s="106"/>
      <c r="AD375" s="253"/>
      <c r="AE375" s="106"/>
      <c r="AF375" s="698">
        <f t="shared" si="206"/>
        <v>50956001</v>
      </c>
      <c r="AG375" s="698"/>
      <c r="AH375" s="106"/>
      <c r="AI375" s="2142">
        <v>47152462</v>
      </c>
      <c r="AJ375" s="140"/>
      <c r="AK375" s="140"/>
      <c r="AL375" s="140"/>
      <c r="AM375" s="140"/>
      <c r="AN375" s="140">
        <v>65705500</v>
      </c>
      <c r="AO375" s="140">
        <f t="shared" si="202"/>
        <v>65705500</v>
      </c>
      <c r="AP375" s="437"/>
      <c r="AQ375" s="140"/>
      <c r="AR375" s="437"/>
      <c r="AS375" s="140"/>
      <c r="AT375" s="140">
        <f t="shared" si="207"/>
        <v>65705500</v>
      </c>
      <c r="AU375" s="140"/>
      <c r="AV375" s="140"/>
      <c r="AW375" s="140">
        <v>60034000</v>
      </c>
      <c r="AX375" s="140">
        <f t="shared" si="203"/>
        <v>60034000</v>
      </c>
      <c r="AY375" s="437"/>
      <c r="AZ375" s="140"/>
      <c r="BA375" s="437"/>
      <c r="BB375" s="140"/>
      <c r="BC375" s="140">
        <f t="shared" si="208"/>
        <v>60034000</v>
      </c>
      <c r="BD375" s="140"/>
      <c r="BE375" s="140"/>
      <c r="BF375" s="235"/>
      <c r="BG375" s="14"/>
      <c r="BH375" s="105"/>
      <c r="BI375" s="25"/>
    </row>
    <row r="376" spans="2:62" s="1" customFormat="1">
      <c r="B376" s="30"/>
      <c r="C376" s="13" t="s">
        <v>721</v>
      </c>
      <c r="D376" s="1967"/>
      <c r="E376" s="1967"/>
      <c r="F376" s="1365">
        <f t="shared" si="198"/>
        <v>0</v>
      </c>
      <c r="G376" s="1365">
        <f t="shared" si="197"/>
        <v>0</v>
      </c>
      <c r="H376" s="1967">
        <f t="shared" si="199"/>
        <v>0</v>
      </c>
      <c r="I376" s="612"/>
      <c r="J376" s="1967"/>
      <c r="K376" s="612"/>
      <c r="L376" s="1967"/>
      <c r="M376" s="1967">
        <f t="shared" si="204"/>
        <v>0</v>
      </c>
      <c r="N376" s="1967"/>
      <c r="O376" s="1057"/>
      <c r="P376" s="1966"/>
      <c r="Q376" s="1967"/>
      <c r="R376" s="1966">
        <f t="shared" si="200"/>
        <v>0</v>
      </c>
      <c r="S376" s="1537"/>
      <c r="T376" s="1966"/>
      <c r="U376" s="1537"/>
      <c r="V376" s="1966"/>
      <c r="W376" s="1966">
        <f t="shared" si="205"/>
        <v>0</v>
      </c>
      <c r="X376" s="13"/>
      <c r="Y376" s="106">
        <v>0</v>
      </c>
      <c r="Z376" s="698">
        <v>53330000</v>
      </c>
      <c r="AA376" s="698">
        <f t="shared" si="201"/>
        <v>53330000</v>
      </c>
      <c r="AB376" s="253"/>
      <c r="AC376" s="106"/>
      <c r="AD376" s="253"/>
      <c r="AE376" s="106"/>
      <c r="AF376" s="698">
        <f t="shared" ref="AF376:AF377" si="209">ROUND((AA376-AC376+AE376),0)</f>
        <v>53330000</v>
      </c>
      <c r="AG376" s="698"/>
      <c r="AH376" s="106"/>
      <c r="AI376" s="140"/>
      <c r="AJ376" s="140"/>
      <c r="AK376" s="140"/>
      <c r="AL376" s="140"/>
      <c r="AM376" s="140"/>
      <c r="AN376" s="140">
        <v>90025000</v>
      </c>
      <c r="AO376" s="140">
        <f t="shared" si="202"/>
        <v>90025000</v>
      </c>
      <c r="AP376" s="437"/>
      <c r="AQ376" s="140"/>
      <c r="AR376" s="437"/>
      <c r="AS376" s="140"/>
      <c r="AT376" s="140">
        <f t="shared" si="207"/>
        <v>90025000</v>
      </c>
      <c r="AU376" s="140"/>
      <c r="AV376" s="140"/>
      <c r="AW376" s="140"/>
      <c r="AX376" s="140">
        <f t="shared" si="203"/>
        <v>0</v>
      </c>
      <c r="AY376" s="437"/>
      <c r="AZ376" s="140"/>
      <c r="BA376" s="437"/>
      <c r="BB376" s="140"/>
      <c r="BC376" s="140">
        <f t="shared" si="208"/>
        <v>0</v>
      </c>
      <c r="BD376" s="140"/>
      <c r="BE376" s="140"/>
      <c r="BF376" s="235"/>
      <c r="BG376" s="14"/>
      <c r="BH376" s="105"/>
      <c r="BI376" s="25"/>
    </row>
    <row r="377" spans="2:62" s="1" customFormat="1">
      <c r="B377" s="30"/>
      <c r="C377" s="13" t="s">
        <v>722</v>
      </c>
      <c r="D377" s="1967"/>
      <c r="E377" s="1967">
        <v>0</v>
      </c>
      <c r="F377" s="1365">
        <f t="shared" si="198"/>
        <v>0</v>
      </c>
      <c r="G377" s="1365">
        <f t="shared" si="197"/>
        <v>0</v>
      </c>
      <c r="H377" s="1967">
        <f t="shared" si="199"/>
        <v>0</v>
      </c>
      <c r="I377" s="612"/>
      <c r="J377" s="1967"/>
      <c r="K377" s="612"/>
      <c r="L377" s="1967"/>
      <c r="M377" s="1967">
        <f t="shared" si="204"/>
        <v>0</v>
      </c>
      <c r="N377" s="1967"/>
      <c r="O377" s="1057"/>
      <c r="P377" s="1966"/>
      <c r="Q377" s="280">
        <v>48845000</v>
      </c>
      <c r="R377" s="1966">
        <f t="shared" si="200"/>
        <v>48845000</v>
      </c>
      <c r="S377" s="1537"/>
      <c r="T377" s="1966"/>
      <c r="U377" s="1537"/>
      <c r="V377" s="1966"/>
      <c r="W377" s="1966">
        <f t="shared" si="205"/>
        <v>48845000</v>
      </c>
      <c r="X377" s="13"/>
      <c r="Y377" s="106">
        <v>0</v>
      </c>
      <c r="Z377" s="698">
        <v>110820000</v>
      </c>
      <c r="AA377" s="698">
        <f t="shared" si="201"/>
        <v>110820000</v>
      </c>
      <c r="AB377" s="253"/>
      <c r="AC377" s="106"/>
      <c r="AD377" s="253"/>
      <c r="AE377" s="106"/>
      <c r="AF377" s="698">
        <f t="shared" si="209"/>
        <v>110820000</v>
      </c>
      <c r="AG377" s="698"/>
      <c r="AH377" s="106"/>
      <c r="AI377" s="140"/>
      <c r="AJ377" s="140"/>
      <c r="AK377" s="140"/>
      <c r="AL377" s="140"/>
      <c r="AM377" s="140"/>
      <c r="AN377" s="140"/>
      <c r="AO377" s="140">
        <f t="shared" si="202"/>
        <v>0</v>
      </c>
      <c r="AP377" s="437"/>
      <c r="AQ377" s="140"/>
      <c r="AR377" s="437"/>
      <c r="AS377" s="140"/>
      <c r="AT377" s="140">
        <f t="shared" si="207"/>
        <v>0</v>
      </c>
      <c r="AU377" s="140"/>
      <c r="AV377" s="140"/>
      <c r="AW377" s="140"/>
      <c r="AX377" s="140">
        <f t="shared" si="203"/>
        <v>0</v>
      </c>
      <c r="AY377" s="437"/>
      <c r="AZ377" s="140"/>
      <c r="BA377" s="437"/>
      <c r="BB377" s="140"/>
      <c r="BC377" s="140">
        <f t="shared" si="208"/>
        <v>0</v>
      </c>
      <c r="BD377" s="140"/>
      <c r="BE377" s="140"/>
      <c r="BF377" s="235"/>
      <c r="BG377" s="14"/>
      <c r="BH377" s="105"/>
      <c r="BI377" s="25"/>
    </row>
    <row r="378" spans="2:62" s="1" customFormat="1">
      <c r="B378" s="30"/>
      <c r="C378" s="13" t="s">
        <v>723</v>
      </c>
      <c r="D378" s="1967"/>
      <c r="E378" s="1967"/>
      <c r="F378" s="1365">
        <f t="shared" si="198"/>
        <v>0</v>
      </c>
      <c r="G378" s="1365">
        <f t="shared" si="197"/>
        <v>0</v>
      </c>
      <c r="H378" s="1967">
        <f t="shared" si="199"/>
        <v>0</v>
      </c>
      <c r="I378" s="612"/>
      <c r="J378" s="1967"/>
      <c r="K378" s="612"/>
      <c r="L378" s="1967"/>
      <c r="M378" s="1967">
        <f t="shared" si="204"/>
        <v>0</v>
      </c>
      <c r="N378" s="1967"/>
      <c r="O378" s="1057"/>
      <c r="P378" s="1966"/>
      <c r="Q378" s="1967"/>
      <c r="R378" s="1966">
        <f t="shared" si="200"/>
        <v>0</v>
      </c>
      <c r="S378" s="1537"/>
      <c r="T378" s="1966"/>
      <c r="U378" s="1537"/>
      <c r="V378" s="1966"/>
      <c r="W378" s="1966">
        <f t="shared" si="205"/>
        <v>0</v>
      </c>
      <c r="X378" s="13"/>
      <c r="Y378" s="106">
        <v>0</v>
      </c>
      <c r="Z378" s="698">
        <v>30600000</v>
      </c>
      <c r="AA378" s="698">
        <f t="shared" si="201"/>
        <v>30600000</v>
      </c>
      <c r="AB378" s="253"/>
      <c r="AC378" s="106"/>
      <c r="AD378" s="253"/>
      <c r="AE378" s="106"/>
      <c r="AF378" s="698">
        <f t="shared" ref="AF378" si="210">ROUND((AA378-AC378+AE378),0)</f>
        <v>30600000</v>
      </c>
      <c r="AG378" s="698"/>
      <c r="AH378" s="106"/>
      <c r="AI378" s="140"/>
      <c r="AJ378" s="140"/>
      <c r="AK378" s="140"/>
      <c r="AL378" s="140"/>
      <c r="AM378" s="140"/>
      <c r="AN378" s="140"/>
      <c r="AO378" s="140">
        <f t="shared" si="202"/>
        <v>0</v>
      </c>
      <c r="AP378" s="437"/>
      <c r="AQ378" s="140"/>
      <c r="AR378" s="437"/>
      <c r="AS378" s="140"/>
      <c r="AT378" s="140">
        <f t="shared" si="207"/>
        <v>0</v>
      </c>
      <c r="AU378" s="140"/>
      <c r="AV378" s="140"/>
      <c r="AW378" s="140"/>
      <c r="AX378" s="140">
        <f t="shared" si="203"/>
        <v>0</v>
      </c>
      <c r="AY378" s="437"/>
      <c r="AZ378" s="140"/>
      <c r="BA378" s="437"/>
      <c r="BB378" s="140"/>
      <c r="BC378" s="140">
        <f t="shared" si="208"/>
        <v>0</v>
      </c>
      <c r="BD378" s="140"/>
      <c r="BE378" s="140"/>
      <c r="BF378" s="235"/>
      <c r="BG378" s="14"/>
      <c r="BH378" s="105"/>
      <c r="BI378" s="25"/>
    </row>
    <row r="379" spans="2:62" s="1" customFormat="1">
      <c r="B379" s="30"/>
      <c r="C379" s="13" t="s">
        <v>724</v>
      </c>
      <c r="D379" s="1367"/>
      <c r="E379" s="1367"/>
      <c r="F379" s="1365">
        <f t="shared" si="198"/>
        <v>0</v>
      </c>
      <c r="G379" s="1365">
        <f t="shared" si="197"/>
        <v>0</v>
      </c>
      <c r="H379" s="1367">
        <f t="shared" si="199"/>
        <v>0</v>
      </c>
      <c r="I379" s="1384"/>
      <c r="J379" s="1367"/>
      <c r="K379" s="1384"/>
      <c r="L379" s="1367"/>
      <c r="M379" s="1367">
        <f t="shared" si="204"/>
        <v>0</v>
      </c>
      <c r="N379" s="1967"/>
      <c r="O379" s="1057"/>
      <c r="P379" s="1485"/>
      <c r="Q379" s="1367"/>
      <c r="R379" s="1485">
        <f t="shared" si="200"/>
        <v>0</v>
      </c>
      <c r="S379" s="1481"/>
      <c r="T379" s="1485"/>
      <c r="U379" s="1481"/>
      <c r="V379" s="1485"/>
      <c r="W379" s="1485">
        <f t="shared" si="205"/>
        <v>0</v>
      </c>
      <c r="X379" s="1189"/>
      <c r="Y379" s="106">
        <v>0</v>
      </c>
      <c r="Z379" s="698">
        <v>0</v>
      </c>
      <c r="AA379" s="698">
        <f t="shared" si="201"/>
        <v>0</v>
      </c>
      <c r="AB379" s="253"/>
      <c r="AC379" s="106"/>
      <c r="AD379" s="253"/>
      <c r="AE379" s="106"/>
      <c r="AF379" s="698">
        <f t="shared" si="206"/>
        <v>0</v>
      </c>
      <c r="AG379" s="698"/>
      <c r="AH379" s="208"/>
      <c r="AI379" s="140">
        <v>11070021</v>
      </c>
      <c r="AJ379" s="140"/>
      <c r="AK379" s="140"/>
      <c r="AL379" s="673"/>
      <c r="AM379" s="140"/>
      <c r="AN379" s="140"/>
      <c r="AO379" s="140">
        <f t="shared" si="202"/>
        <v>0</v>
      </c>
      <c r="AP379" s="437"/>
      <c r="AQ379" s="140"/>
      <c r="AR379" s="437"/>
      <c r="AS379" s="140"/>
      <c r="AT379" s="140">
        <f t="shared" si="207"/>
        <v>0</v>
      </c>
      <c r="AU379" s="66"/>
      <c r="AV379" s="140"/>
      <c r="AW379" s="140"/>
      <c r="AX379" s="140">
        <f t="shared" si="203"/>
        <v>0</v>
      </c>
      <c r="AY379" s="437"/>
      <c r="AZ379" s="140"/>
      <c r="BA379" s="437"/>
      <c r="BB379" s="140"/>
      <c r="BC379" s="140">
        <f t="shared" si="208"/>
        <v>0</v>
      </c>
      <c r="BD379" s="140"/>
      <c r="BE379" s="40"/>
      <c r="BF379" s="235"/>
      <c r="BG379" s="37"/>
      <c r="BH379" s="105"/>
      <c r="BI379" s="11"/>
    </row>
    <row r="380" spans="2:62" s="1" customFormat="1">
      <c r="B380" s="30"/>
      <c r="C380" s="13" t="s">
        <v>725</v>
      </c>
      <c r="D380" s="1367"/>
      <c r="E380" s="1367"/>
      <c r="F380" s="1365">
        <f t="shared" si="198"/>
        <v>0</v>
      </c>
      <c r="G380" s="1365">
        <f t="shared" si="197"/>
        <v>0</v>
      </c>
      <c r="H380" s="1367">
        <f t="shared" si="199"/>
        <v>0</v>
      </c>
      <c r="I380" s="1384"/>
      <c r="J380" s="1367"/>
      <c r="K380" s="1384"/>
      <c r="L380" s="1367"/>
      <c r="M380" s="1367">
        <f t="shared" si="204"/>
        <v>0</v>
      </c>
      <c r="N380" s="1967"/>
      <c r="O380" s="1057"/>
      <c r="P380" s="1485"/>
      <c r="Q380" s="1367"/>
      <c r="R380" s="1485">
        <f t="shared" si="200"/>
        <v>0</v>
      </c>
      <c r="S380" s="1481"/>
      <c r="T380" s="1485"/>
      <c r="U380" s="1481"/>
      <c r="V380" s="1485"/>
      <c r="W380" s="1485">
        <f t="shared" si="205"/>
        <v>0</v>
      </c>
      <c r="X380" s="1189"/>
      <c r="Y380" s="106">
        <v>0</v>
      </c>
      <c r="Z380" s="698">
        <v>0</v>
      </c>
      <c r="AA380" s="698">
        <f t="shared" si="201"/>
        <v>0</v>
      </c>
      <c r="AB380" s="253"/>
      <c r="AC380" s="106"/>
      <c r="AD380" s="253"/>
      <c r="AE380" s="106"/>
      <c r="AF380" s="698">
        <f t="shared" si="206"/>
        <v>0</v>
      </c>
      <c r="AG380" s="698"/>
      <c r="AH380" s="208"/>
      <c r="AI380" s="140">
        <v>0</v>
      </c>
      <c r="AJ380" s="140"/>
      <c r="AK380" s="140"/>
      <c r="AL380" s="673"/>
      <c r="AM380" s="140"/>
      <c r="AN380" s="140"/>
      <c r="AO380" s="140">
        <f t="shared" si="202"/>
        <v>0</v>
      </c>
      <c r="AP380" s="437"/>
      <c r="AQ380" s="140"/>
      <c r="AR380" s="437"/>
      <c r="AS380" s="140"/>
      <c r="AT380" s="140">
        <f t="shared" si="207"/>
        <v>0</v>
      </c>
      <c r="AU380" s="66"/>
      <c r="AV380" s="140"/>
      <c r="AW380" s="140"/>
      <c r="AX380" s="140">
        <f t="shared" si="203"/>
        <v>0</v>
      </c>
      <c r="AY380" s="437"/>
      <c r="AZ380" s="140"/>
      <c r="BA380" s="437"/>
      <c r="BB380" s="140"/>
      <c r="BC380" s="140">
        <f t="shared" si="208"/>
        <v>0</v>
      </c>
      <c r="BD380" s="140"/>
      <c r="BE380" s="40"/>
      <c r="BF380" s="235">
        <v>0</v>
      </c>
      <c r="BG380" s="37"/>
      <c r="BH380" s="235">
        <v>0</v>
      </c>
      <c r="BI380" s="11"/>
    </row>
    <row r="381" spans="2:62" s="1" customFormat="1">
      <c r="B381" s="30"/>
      <c r="C381" s="13" t="s">
        <v>726</v>
      </c>
      <c r="D381" s="1367"/>
      <c r="E381" s="1367"/>
      <c r="F381" s="1365">
        <f t="shared" si="198"/>
        <v>0</v>
      </c>
      <c r="G381" s="1365">
        <f t="shared" si="197"/>
        <v>0</v>
      </c>
      <c r="H381" s="1367">
        <f t="shared" si="199"/>
        <v>0</v>
      </c>
      <c r="I381" s="1384"/>
      <c r="J381" s="1367"/>
      <c r="K381" s="1384"/>
      <c r="L381" s="1367"/>
      <c r="M381" s="1367">
        <f t="shared" si="204"/>
        <v>0</v>
      </c>
      <c r="N381" s="1967"/>
      <c r="O381" s="1057"/>
      <c r="P381" s="1485">
        <v>9090900</v>
      </c>
      <c r="Q381" s="1367"/>
      <c r="R381" s="1485">
        <f t="shared" si="200"/>
        <v>9090900</v>
      </c>
      <c r="S381" s="1481"/>
      <c r="T381" s="1485"/>
      <c r="U381" s="1481"/>
      <c r="V381" s="1485"/>
      <c r="W381" s="1485">
        <f t="shared" si="205"/>
        <v>9090900</v>
      </c>
      <c r="X381" s="1189"/>
      <c r="Y381" s="106">
        <v>25732748</v>
      </c>
      <c r="Z381" s="698">
        <v>0</v>
      </c>
      <c r="AA381" s="698">
        <f t="shared" si="201"/>
        <v>25732748</v>
      </c>
      <c r="AB381" s="253"/>
      <c r="AC381" s="106"/>
      <c r="AD381" s="253"/>
      <c r="AE381" s="106"/>
      <c r="AF381" s="698">
        <f t="shared" si="206"/>
        <v>25732748</v>
      </c>
      <c r="AG381" s="698"/>
      <c r="AH381" s="208"/>
      <c r="AI381" s="2142">
        <v>121624520</v>
      </c>
      <c r="AJ381" s="140"/>
      <c r="AK381" s="140"/>
      <c r="AL381" s="673"/>
      <c r="AM381" s="140"/>
      <c r="AN381" s="140"/>
      <c r="AO381" s="140">
        <f t="shared" si="202"/>
        <v>0</v>
      </c>
      <c r="AP381" s="437"/>
      <c r="AQ381" s="140"/>
      <c r="AR381" s="437"/>
      <c r="AS381" s="140"/>
      <c r="AT381" s="140">
        <f t="shared" si="207"/>
        <v>0</v>
      </c>
      <c r="AU381" s="66"/>
      <c r="AV381" s="140"/>
      <c r="AW381" s="140"/>
      <c r="AX381" s="140">
        <f t="shared" si="203"/>
        <v>0</v>
      </c>
      <c r="AY381" s="437"/>
      <c r="AZ381" s="140"/>
      <c r="BA381" s="437"/>
      <c r="BB381" s="140"/>
      <c r="BC381" s="140">
        <f t="shared" si="208"/>
        <v>0</v>
      </c>
      <c r="BD381" s="140"/>
      <c r="BE381" s="40"/>
      <c r="BF381" s="235"/>
      <c r="BG381" s="37"/>
      <c r="BH381" s="235"/>
      <c r="BI381" s="11"/>
    </row>
    <row r="382" spans="2:62" s="1" customFormat="1">
      <c r="B382" s="30"/>
      <c r="C382" s="13" t="s">
        <v>727</v>
      </c>
      <c r="D382" s="1367"/>
      <c r="E382" s="1367"/>
      <c r="F382" s="1365">
        <f t="shared" si="198"/>
        <v>0</v>
      </c>
      <c r="G382" s="1365">
        <f t="shared" si="197"/>
        <v>0</v>
      </c>
      <c r="H382" s="1367">
        <f t="shared" si="199"/>
        <v>0</v>
      </c>
      <c r="I382" s="1384"/>
      <c r="J382" s="1367"/>
      <c r="K382" s="1384"/>
      <c r="L382" s="1367"/>
      <c r="M382" s="1367">
        <f t="shared" si="204"/>
        <v>0</v>
      </c>
      <c r="N382" s="1967"/>
      <c r="O382" s="1057"/>
      <c r="P382" s="1485"/>
      <c r="Q382" s="1367"/>
      <c r="R382" s="1485">
        <f t="shared" si="200"/>
        <v>0</v>
      </c>
      <c r="S382" s="1481"/>
      <c r="T382" s="1485"/>
      <c r="U382" s="1481"/>
      <c r="V382" s="1485"/>
      <c r="W382" s="1485">
        <f t="shared" si="205"/>
        <v>0</v>
      </c>
      <c r="X382" s="1189"/>
      <c r="Y382" s="106">
        <v>0</v>
      </c>
      <c r="Z382" s="698">
        <v>0</v>
      </c>
      <c r="AA382" s="698">
        <f t="shared" si="201"/>
        <v>0</v>
      </c>
      <c r="AB382" s="253"/>
      <c r="AC382" s="106"/>
      <c r="AD382" s="253"/>
      <c r="AE382" s="106"/>
      <c r="AF382" s="698">
        <f t="shared" si="206"/>
        <v>0</v>
      </c>
      <c r="AG382" s="698"/>
      <c r="AH382" s="208"/>
      <c r="AI382" s="2142">
        <v>31635000</v>
      </c>
      <c r="AJ382" s="140"/>
      <c r="AK382" s="140"/>
      <c r="AL382" s="673"/>
      <c r="AM382" s="140"/>
      <c r="AN382" s="140"/>
      <c r="AO382" s="140">
        <f t="shared" si="202"/>
        <v>0</v>
      </c>
      <c r="AP382" s="437"/>
      <c r="AQ382" s="140"/>
      <c r="AR382" s="437"/>
      <c r="AS382" s="140"/>
      <c r="AT382" s="140">
        <f t="shared" si="207"/>
        <v>0</v>
      </c>
      <c r="AU382" s="66"/>
      <c r="AV382" s="140"/>
      <c r="AW382" s="140"/>
      <c r="AX382" s="140">
        <f t="shared" si="203"/>
        <v>0</v>
      </c>
      <c r="AY382" s="437"/>
      <c r="AZ382" s="140"/>
      <c r="BA382" s="437"/>
      <c r="BB382" s="140"/>
      <c r="BC382" s="140">
        <f t="shared" si="208"/>
        <v>0</v>
      </c>
      <c r="BD382" s="140"/>
      <c r="BE382" s="40"/>
      <c r="BF382" s="235"/>
      <c r="BG382" s="37"/>
      <c r="BH382" s="235"/>
      <c r="BI382" s="11"/>
    </row>
    <row r="383" spans="2:62" s="1" customFormat="1">
      <c r="B383" s="30"/>
      <c r="C383" s="1407" t="s">
        <v>728</v>
      </c>
      <c r="D383" s="1367"/>
      <c r="E383" s="1367"/>
      <c r="F383" s="1365">
        <f t="shared" si="198"/>
        <v>0</v>
      </c>
      <c r="G383" s="1365">
        <f t="shared" si="197"/>
        <v>0</v>
      </c>
      <c r="H383" s="1367">
        <f t="shared" si="199"/>
        <v>0</v>
      </c>
      <c r="I383" s="1384"/>
      <c r="J383" s="1367"/>
      <c r="K383" s="1384"/>
      <c r="L383" s="1367"/>
      <c r="M383" s="1367">
        <f t="shared" si="204"/>
        <v>0</v>
      </c>
      <c r="N383" s="1967"/>
      <c r="O383" s="1057"/>
      <c r="P383" s="1485">
        <f>ROUND(390700399.72,0)*0</f>
        <v>0</v>
      </c>
      <c r="Q383" s="1367"/>
      <c r="R383" s="1485">
        <f t="shared" ref="R383:R386" si="211">P383+Q383</f>
        <v>0</v>
      </c>
      <c r="S383" s="1481"/>
      <c r="T383" s="1485"/>
      <c r="U383" s="1481"/>
      <c r="V383" s="1485"/>
      <c r="W383" s="1485">
        <f t="shared" ref="W383:W386" si="212">ROUND((R383-T383+V383),0)</f>
        <v>0</v>
      </c>
      <c r="X383" s="1189"/>
      <c r="Y383" s="106"/>
      <c r="Z383" s="698"/>
      <c r="AA383" s="698"/>
      <c r="AB383" s="253"/>
      <c r="AC383" s="106"/>
      <c r="AD383" s="253"/>
      <c r="AE383" s="106"/>
      <c r="AF383" s="698"/>
      <c r="AG383" s="698"/>
      <c r="AH383" s="208"/>
      <c r="AI383" s="140"/>
      <c r="AJ383" s="140"/>
      <c r="AK383" s="140"/>
      <c r="AL383" s="673"/>
      <c r="AM383" s="140"/>
      <c r="AN383" s="140"/>
      <c r="AO383" s="140"/>
      <c r="AP383" s="437"/>
      <c r="AQ383" s="140"/>
      <c r="AR383" s="437"/>
      <c r="AS383" s="140"/>
      <c r="AT383" s="140"/>
      <c r="AU383" s="66"/>
      <c r="AV383" s="140"/>
      <c r="AW383" s="140"/>
      <c r="AX383" s="140"/>
      <c r="AY383" s="437"/>
      <c r="AZ383" s="140"/>
      <c r="BA383" s="437"/>
      <c r="BB383" s="140"/>
      <c r="BC383" s="140"/>
      <c r="BD383" s="140"/>
      <c r="BE383" s="40"/>
      <c r="BF383" s="235"/>
      <c r="BG383" s="37"/>
      <c r="BH383" s="235"/>
      <c r="BI383" s="11"/>
    </row>
    <row r="384" spans="2:62" s="1" customFormat="1">
      <c r="B384" s="30"/>
      <c r="C384" s="1407" t="s">
        <v>729</v>
      </c>
      <c r="D384" s="1367"/>
      <c r="E384" s="1367"/>
      <c r="F384" s="1365">
        <f t="shared" si="198"/>
        <v>0</v>
      </c>
      <c r="G384" s="1365">
        <f t="shared" si="197"/>
        <v>0</v>
      </c>
      <c r="H384" s="1367">
        <f t="shared" si="199"/>
        <v>0</v>
      </c>
      <c r="I384" s="1384"/>
      <c r="J384" s="1367"/>
      <c r="K384" s="1384"/>
      <c r="L384" s="1367"/>
      <c r="M384" s="1367">
        <f t="shared" si="204"/>
        <v>0</v>
      </c>
      <c r="N384" s="1967"/>
      <c r="O384" s="1057"/>
      <c r="P384" s="1485">
        <f>ROUND(285297166.96,0)</f>
        <v>285297167</v>
      </c>
      <c r="Q384" s="1367"/>
      <c r="R384" s="1485">
        <f t="shared" si="211"/>
        <v>285297167</v>
      </c>
      <c r="S384" s="1481"/>
      <c r="T384" s="1485"/>
      <c r="U384" s="1481"/>
      <c r="V384" s="1485"/>
      <c r="W384" s="1485">
        <f t="shared" si="212"/>
        <v>285297167</v>
      </c>
      <c r="X384" s="1189"/>
      <c r="Y384" s="106"/>
      <c r="Z384" s="698"/>
      <c r="AA384" s="698"/>
      <c r="AB384" s="253"/>
      <c r="AC384" s="106"/>
      <c r="AD384" s="253"/>
      <c r="AE384" s="106"/>
      <c r="AF384" s="698"/>
      <c r="AG384" s="698"/>
      <c r="AH384" s="208"/>
      <c r="AI384" s="140"/>
      <c r="AJ384" s="140"/>
      <c r="AK384" s="140"/>
      <c r="AL384" s="673"/>
      <c r="AM384" s="140"/>
      <c r="AN384" s="140"/>
      <c r="AO384" s="140"/>
      <c r="AP384" s="437"/>
      <c r="AQ384" s="140"/>
      <c r="AR384" s="437"/>
      <c r="AS384" s="140"/>
      <c r="AT384" s="140"/>
      <c r="AU384" s="66"/>
      <c r="AV384" s="140"/>
      <c r="AW384" s="140"/>
      <c r="AX384" s="140"/>
      <c r="AY384" s="437"/>
      <c r="AZ384" s="140"/>
      <c r="BA384" s="437"/>
      <c r="BB384" s="140"/>
      <c r="BC384" s="140"/>
      <c r="BD384" s="140"/>
      <c r="BE384" s="40"/>
      <c r="BF384" s="235"/>
      <c r="BG384" s="37"/>
      <c r="BH384" s="235"/>
      <c r="BI384" s="11"/>
    </row>
    <row r="385" spans="2:61" s="1" customFormat="1">
      <c r="B385" s="30"/>
      <c r="C385" s="26" t="s">
        <v>730</v>
      </c>
      <c r="D385" s="1367"/>
      <c r="E385" s="1375"/>
      <c r="F385" s="1365">
        <f t="shared" si="198"/>
        <v>0</v>
      </c>
      <c r="G385" s="1365">
        <f t="shared" si="197"/>
        <v>0</v>
      </c>
      <c r="H385" s="1367">
        <f t="shared" si="199"/>
        <v>0</v>
      </c>
      <c r="I385" s="1384"/>
      <c r="J385" s="1367"/>
      <c r="K385" s="1384"/>
      <c r="L385" s="1367"/>
      <c r="M385" s="1367">
        <f t="shared" si="204"/>
        <v>0</v>
      </c>
      <c r="N385" s="1967"/>
      <c r="O385" s="1057"/>
      <c r="P385" s="1485">
        <v>61001693</v>
      </c>
      <c r="Q385" s="1372">
        <v>52664172</v>
      </c>
      <c r="R385" s="1485">
        <f t="shared" ref="R385" si="213">P385+Q385</f>
        <v>113665865</v>
      </c>
      <c r="S385" s="1481"/>
      <c r="T385" s="1485"/>
      <c r="U385" s="1481"/>
      <c r="V385" s="1485"/>
      <c r="W385" s="1485">
        <f t="shared" ref="W385" si="214">ROUND((R385-T385+V385),0)</f>
        <v>113665865</v>
      </c>
      <c r="X385" s="1189"/>
      <c r="Y385" s="106"/>
      <c r="Z385" s="698"/>
      <c r="AA385" s="698"/>
      <c r="AB385" s="253"/>
      <c r="AC385" s="106"/>
      <c r="AD385" s="253"/>
      <c r="AE385" s="106"/>
      <c r="AF385" s="698"/>
      <c r="AG385" s="698"/>
      <c r="AH385" s="208"/>
      <c r="AI385" s="140"/>
      <c r="AJ385" s="140"/>
      <c r="AK385" s="140"/>
      <c r="AL385" s="673"/>
      <c r="AM385" s="140"/>
      <c r="AN385" s="140"/>
      <c r="AO385" s="140"/>
      <c r="AP385" s="437"/>
      <c r="AQ385" s="140"/>
      <c r="AR385" s="437"/>
      <c r="AS385" s="140"/>
      <c r="AT385" s="140"/>
      <c r="AU385" s="66"/>
      <c r="AV385" s="140"/>
      <c r="AW385" s="140"/>
      <c r="AX385" s="140"/>
      <c r="AY385" s="437"/>
      <c r="AZ385" s="140"/>
      <c r="BA385" s="437"/>
      <c r="BB385" s="140"/>
      <c r="BC385" s="140"/>
      <c r="BD385" s="140"/>
      <c r="BE385" s="40"/>
      <c r="BF385" s="235"/>
      <c r="BG385" s="37"/>
      <c r="BH385" s="235"/>
      <c r="BI385" s="11"/>
    </row>
    <row r="386" spans="2:61" s="1" customFormat="1">
      <c r="B386" s="30" t="s">
        <v>407</v>
      </c>
      <c r="C386" s="13" t="s">
        <v>731</v>
      </c>
      <c r="D386" s="1367"/>
      <c r="E386" s="1367"/>
      <c r="F386" s="1365">
        <f t="shared" si="198"/>
        <v>0</v>
      </c>
      <c r="G386" s="1365">
        <f t="shared" si="197"/>
        <v>0</v>
      </c>
      <c r="H386" s="1367">
        <f t="shared" si="199"/>
        <v>0</v>
      </c>
      <c r="I386" s="1384"/>
      <c r="J386" s="1367"/>
      <c r="K386" s="1384"/>
      <c r="L386" s="1367"/>
      <c r="M386" s="1367">
        <f t="shared" si="204"/>
        <v>0</v>
      </c>
      <c r="N386" s="1967"/>
      <c r="O386" s="1057"/>
      <c r="P386" s="1485"/>
      <c r="Q386" s="1367"/>
      <c r="R386" s="1485">
        <f t="shared" si="211"/>
        <v>0</v>
      </c>
      <c r="S386" s="1481"/>
      <c r="T386" s="1485"/>
      <c r="U386" s="1481"/>
      <c r="V386" s="1485"/>
      <c r="W386" s="1485">
        <f t="shared" si="212"/>
        <v>0</v>
      </c>
      <c r="X386" s="1189"/>
      <c r="Y386" s="106">
        <v>0</v>
      </c>
      <c r="Z386" s="698">
        <v>0</v>
      </c>
      <c r="AA386" s="698">
        <f t="shared" si="201"/>
        <v>0</v>
      </c>
      <c r="AB386" s="253"/>
      <c r="AC386" s="106"/>
      <c r="AD386" s="253"/>
      <c r="AE386" s="106"/>
      <c r="AF386" s="698">
        <f t="shared" si="206"/>
        <v>0</v>
      </c>
      <c r="AG386" s="698"/>
      <c r="AH386" s="208"/>
      <c r="AI386" s="140">
        <v>-3</v>
      </c>
      <c r="AJ386" s="140"/>
      <c r="AK386" s="140"/>
      <c r="AL386" s="673"/>
      <c r="AM386" s="140"/>
      <c r="AN386" s="140">
        <v>557192805</v>
      </c>
      <c r="AO386" s="140">
        <f t="shared" si="202"/>
        <v>557192805</v>
      </c>
      <c r="AP386" s="437"/>
      <c r="AQ386" s="140"/>
      <c r="AR386" s="437"/>
      <c r="AS386" s="140"/>
      <c r="AT386" s="140">
        <f t="shared" si="207"/>
        <v>557192805</v>
      </c>
      <c r="AU386" s="66"/>
      <c r="AV386" s="140">
        <v>390551854</v>
      </c>
      <c r="AW386" s="140">
        <v>1013559800</v>
      </c>
      <c r="AX386" s="140">
        <f t="shared" si="203"/>
        <v>1404111654</v>
      </c>
      <c r="AY386" s="437"/>
      <c r="AZ386" s="140"/>
      <c r="BA386" s="437"/>
      <c r="BB386" s="140"/>
      <c r="BC386" s="140">
        <f t="shared" si="208"/>
        <v>1404111654</v>
      </c>
      <c r="BD386" s="140"/>
      <c r="BE386" s="40"/>
      <c r="BF386" s="235">
        <v>416363131</v>
      </c>
      <c r="BG386" s="37"/>
      <c r="BH386" s="235">
        <v>0</v>
      </c>
      <c r="BI386" s="11"/>
    </row>
    <row r="387" spans="2:61" s="1" customFormat="1">
      <c r="B387" s="30" t="s">
        <v>407</v>
      </c>
      <c r="C387" s="13" t="s">
        <v>732</v>
      </c>
      <c r="D387" s="1367"/>
      <c r="E387" s="1372">
        <v>21978000</v>
      </c>
      <c r="F387" s="1365">
        <f t="shared" si="198"/>
        <v>21978000</v>
      </c>
      <c r="G387" s="1365">
        <f t="shared" si="197"/>
        <v>0</v>
      </c>
      <c r="H387" s="1367">
        <f t="shared" si="199"/>
        <v>21978000</v>
      </c>
      <c r="I387" s="1384"/>
      <c r="J387" s="1367"/>
      <c r="K387" s="1384"/>
      <c r="L387" s="1367"/>
      <c r="M387" s="2143">
        <f t="shared" si="204"/>
        <v>21978000</v>
      </c>
      <c r="N387" s="1967"/>
      <c r="O387" s="1057"/>
      <c r="P387" s="1485"/>
      <c r="Q387" s="1367"/>
      <c r="R387" s="1485">
        <f t="shared" si="200"/>
        <v>0</v>
      </c>
      <c r="S387" s="1481"/>
      <c r="T387" s="1485"/>
      <c r="U387" s="1481"/>
      <c r="V387" s="1485"/>
      <c r="W387" s="1485">
        <f t="shared" si="205"/>
        <v>0</v>
      </c>
      <c r="X387" s="1189"/>
      <c r="Y387" s="106">
        <v>0</v>
      </c>
      <c r="Z387" s="698">
        <v>0</v>
      </c>
      <c r="AA387" s="698">
        <f t="shared" si="201"/>
        <v>0</v>
      </c>
      <c r="AB387" s="253"/>
      <c r="AC387" s="106"/>
      <c r="AD387" s="253"/>
      <c r="AE387" s="106"/>
      <c r="AF387" s="698">
        <f t="shared" si="206"/>
        <v>0</v>
      </c>
      <c r="AG387" s="698"/>
      <c r="AH387" s="208"/>
      <c r="AI387" s="140">
        <v>0</v>
      </c>
      <c r="AJ387" s="140"/>
      <c r="AK387" s="140"/>
      <c r="AL387" s="673"/>
      <c r="AM387" s="140"/>
      <c r="AN387" s="140">
        <v>12465300</v>
      </c>
      <c r="AO387" s="140">
        <f t="shared" si="202"/>
        <v>12465300</v>
      </c>
      <c r="AP387" s="437"/>
      <c r="AQ387" s="140"/>
      <c r="AR387" s="437"/>
      <c r="AS387" s="140"/>
      <c r="AT387" s="140">
        <f t="shared" si="207"/>
        <v>12465300</v>
      </c>
      <c r="AU387" s="66"/>
      <c r="AV387" s="140"/>
      <c r="AW387" s="140">
        <v>12465300</v>
      </c>
      <c r="AX387" s="140">
        <f t="shared" si="203"/>
        <v>12465300</v>
      </c>
      <c r="AY387" s="437"/>
      <c r="AZ387" s="140"/>
      <c r="BA387" s="437"/>
      <c r="BB387" s="140"/>
      <c r="BC387" s="140">
        <f t="shared" si="208"/>
        <v>12465300</v>
      </c>
      <c r="BD387" s="140"/>
      <c r="BE387" s="40"/>
      <c r="BF387" s="235">
        <v>38825025</v>
      </c>
      <c r="BG387" s="37"/>
      <c r="BH387" s="235">
        <v>0</v>
      </c>
      <c r="BI387" s="11"/>
    </row>
    <row r="388" spans="2:61" s="1" customFormat="1">
      <c r="B388" s="30" t="s">
        <v>407</v>
      </c>
      <c r="C388" s="13" t="s">
        <v>733</v>
      </c>
      <c r="D388" s="1967"/>
      <c r="E388" s="1967">
        <v>0</v>
      </c>
      <c r="F388" s="1365">
        <f t="shared" si="198"/>
        <v>0</v>
      </c>
      <c r="G388" s="1365">
        <f t="shared" si="197"/>
        <v>0</v>
      </c>
      <c r="H388" s="1967">
        <f t="shared" si="199"/>
        <v>0</v>
      </c>
      <c r="I388" s="612"/>
      <c r="J388" s="1967"/>
      <c r="K388" s="612"/>
      <c r="L388" s="1967"/>
      <c r="M388" s="1967">
        <f t="shared" si="204"/>
        <v>0</v>
      </c>
      <c r="N388" s="1967"/>
      <c r="O388" s="106"/>
      <c r="P388" s="1966"/>
      <c r="Q388" s="280">
        <v>309860000</v>
      </c>
      <c r="R388" s="1966">
        <f t="shared" si="200"/>
        <v>309860000</v>
      </c>
      <c r="S388" s="1537"/>
      <c r="T388" s="1966"/>
      <c r="U388" s="1537"/>
      <c r="V388" s="1966"/>
      <c r="W388" s="1966">
        <f t="shared" si="205"/>
        <v>309860000</v>
      </c>
      <c r="X388" s="13"/>
      <c r="Y388" s="106">
        <v>0</v>
      </c>
      <c r="Z388" s="698">
        <v>324990000</v>
      </c>
      <c r="AA388" s="698">
        <f t="shared" si="201"/>
        <v>324990000</v>
      </c>
      <c r="AB388" s="253"/>
      <c r="AC388" s="106"/>
      <c r="AD388" s="253"/>
      <c r="AE388" s="106"/>
      <c r="AF388" s="698">
        <f t="shared" si="206"/>
        <v>324990000</v>
      </c>
      <c r="AG388" s="698"/>
      <c r="AH388" s="106"/>
      <c r="AI388" s="2142">
        <v>93410000</v>
      </c>
      <c r="AJ388" s="140"/>
      <c r="AK388" s="140"/>
      <c r="AL388" s="140"/>
      <c r="AM388" s="140"/>
      <c r="AN388" s="140">
        <v>93410000</v>
      </c>
      <c r="AO388" s="140">
        <f t="shared" si="202"/>
        <v>93410000</v>
      </c>
      <c r="AP388" s="437"/>
      <c r="AQ388" s="140"/>
      <c r="AR388" s="437"/>
      <c r="AS388" s="140"/>
      <c r="AT388" s="140">
        <f t="shared" si="207"/>
        <v>93410000</v>
      </c>
      <c r="AU388" s="140"/>
      <c r="AV388" s="140"/>
      <c r="AW388" s="140">
        <v>49110000</v>
      </c>
      <c r="AX388" s="140">
        <f t="shared" si="203"/>
        <v>49110000</v>
      </c>
      <c r="AY388" s="437"/>
      <c r="AZ388" s="140"/>
      <c r="BA388" s="437"/>
      <c r="BB388" s="140"/>
      <c r="BC388" s="140">
        <f t="shared" si="208"/>
        <v>49110000</v>
      </c>
      <c r="BD388" s="140"/>
      <c r="BE388" s="140"/>
      <c r="BF388" s="235">
        <v>0</v>
      </c>
      <c r="BG388" s="14"/>
      <c r="BH388" s="235">
        <v>0</v>
      </c>
      <c r="BI388" s="25"/>
    </row>
    <row r="389" spans="2:61" s="1" customFormat="1">
      <c r="B389" s="30" t="s">
        <v>407</v>
      </c>
      <c r="C389" s="13" t="s">
        <v>734</v>
      </c>
      <c r="D389" s="1967"/>
      <c r="E389" s="1967"/>
      <c r="F389" s="1365">
        <f t="shared" si="198"/>
        <v>0</v>
      </c>
      <c r="G389" s="1365">
        <f t="shared" si="197"/>
        <v>0</v>
      </c>
      <c r="H389" s="1967">
        <f t="shared" si="199"/>
        <v>0</v>
      </c>
      <c r="I389" s="612"/>
      <c r="J389" s="1967"/>
      <c r="K389" s="612"/>
      <c r="L389" s="1967"/>
      <c r="M389" s="1967">
        <f t="shared" si="204"/>
        <v>0</v>
      </c>
      <c r="N389" s="1967"/>
      <c r="O389" s="106"/>
      <c r="P389" s="1966"/>
      <c r="Q389" s="1967"/>
      <c r="R389" s="1966">
        <f t="shared" si="200"/>
        <v>0</v>
      </c>
      <c r="S389" s="1537"/>
      <c r="T389" s="1966"/>
      <c r="U389" s="1537"/>
      <c r="V389" s="1966"/>
      <c r="W389" s="1966">
        <f t="shared" si="205"/>
        <v>0</v>
      </c>
      <c r="X389" s="13"/>
      <c r="Y389" s="106">
        <v>0</v>
      </c>
      <c r="Z389" s="698">
        <v>0</v>
      </c>
      <c r="AA389" s="698">
        <f t="shared" ref="AA389:AA401" si="215">Y389+Z389</f>
        <v>0</v>
      </c>
      <c r="AB389" s="253"/>
      <c r="AC389" s="106"/>
      <c r="AD389" s="253"/>
      <c r="AE389" s="106"/>
      <c r="AF389" s="698">
        <f t="shared" si="206"/>
        <v>0</v>
      </c>
      <c r="AG389" s="698"/>
      <c r="AH389" s="106"/>
      <c r="AI389" s="2142">
        <v>43566800</v>
      </c>
      <c r="AJ389" s="140"/>
      <c r="AK389" s="140"/>
      <c r="AL389" s="140"/>
      <c r="AM389" s="140"/>
      <c r="AN389" s="140">
        <v>19912400</v>
      </c>
      <c r="AO389" s="140">
        <f t="shared" si="202"/>
        <v>19912400</v>
      </c>
      <c r="AP389" s="437"/>
      <c r="AQ389" s="140"/>
      <c r="AR389" s="437"/>
      <c r="AS389" s="140"/>
      <c r="AT389" s="140">
        <f t="shared" si="207"/>
        <v>19912400</v>
      </c>
      <c r="AU389" s="140"/>
      <c r="AV389" s="140"/>
      <c r="AW389" s="140"/>
      <c r="AX389" s="140">
        <f t="shared" si="203"/>
        <v>0</v>
      </c>
      <c r="AY389" s="437"/>
      <c r="AZ389" s="140"/>
      <c r="BA389" s="437"/>
      <c r="BB389" s="140"/>
      <c r="BC389" s="140">
        <f t="shared" si="208"/>
        <v>0</v>
      </c>
      <c r="BD389" s="140"/>
      <c r="BE389" s="140"/>
      <c r="BF389" s="235">
        <v>0</v>
      </c>
      <c r="BG389" s="14"/>
      <c r="BH389" s="235">
        <v>0</v>
      </c>
      <c r="BI389" s="25"/>
    </row>
    <row r="390" spans="2:61" s="1" customFormat="1">
      <c r="B390" s="30" t="s">
        <v>407</v>
      </c>
      <c r="C390" s="13" t="s">
        <v>735</v>
      </c>
      <c r="D390" s="1967"/>
      <c r="E390" s="1967">
        <v>0</v>
      </c>
      <c r="F390" s="1365">
        <f t="shared" si="198"/>
        <v>0</v>
      </c>
      <c r="G390" s="1365">
        <f t="shared" si="197"/>
        <v>0</v>
      </c>
      <c r="H390" s="1967">
        <f t="shared" si="199"/>
        <v>0</v>
      </c>
      <c r="I390" s="612"/>
      <c r="J390" s="1967"/>
      <c r="K390" s="612"/>
      <c r="L390" s="1967"/>
      <c r="M390" s="2143">
        <f t="shared" si="204"/>
        <v>0</v>
      </c>
      <c r="N390" s="1967"/>
      <c r="O390" s="106"/>
      <c r="P390" s="1966"/>
      <c r="Q390" s="280">
        <v>366000000</v>
      </c>
      <c r="R390" s="1966">
        <f t="shared" si="200"/>
        <v>366000000</v>
      </c>
      <c r="S390" s="1537"/>
      <c r="T390" s="1966"/>
      <c r="U390" s="1537"/>
      <c r="V390" s="1966"/>
      <c r="W390" s="1966">
        <f t="shared" si="205"/>
        <v>366000000</v>
      </c>
      <c r="X390" s="13"/>
      <c r="Y390" s="106">
        <v>0</v>
      </c>
      <c r="Z390" s="698">
        <v>148250000</v>
      </c>
      <c r="AA390" s="698">
        <f t="shared" si="215"/>
        <v>148250000</v>
      </c>
      <c r="AB390" s="253"/>
      <c r="AC390" s="106"/>
      <c r="AD390" s="253"/>
      <c r="AE390" s="106"/>
      <c r="AF390" s="698">
        <f t="shared" si="206"/>
        <v>148250000</v>
      </c>
      <c r="AG390" s="698"/>
      <c r="AH390" s="106"/>
      <c r="AI390" s="2142">
        <v>190050000</v>
      </c>
      <c r="AJ390" s="140"/>
      <c r="AK390" s="140"/>
      <c r="AL390" s="140"/>
      <c r="AM390" s="140"/>
      <c r="AN390" s="140">
        <v>183570000</v>
      </c>
      <c r="AO390" s="140">
        <f t="shared" si="202"/>
        <v>183570000</v>
      </c>
      <c r="AP390" s="437"/>
      <c r="AQ390" s="140"/>
      <c r="AR390" s="437"/>
      <c r="AS390" s="140"/>
      <c r="AT390" s="140">
        <f t="shared" si="207"/>
        <v>183570000</v>
      </c>
      <c r="AU390" s="140"/>
      <c r="AV390" s="140"/>
      <c r="AW390" s="140"/>
      <c r="AX390" s="140">
        <f t="shared" si="203"/>
        <v>0</v>
      </c>
      <c r="AY390" s="437"/>
      <c r="AZ390" s="140"/>
      <c r="BA390" s="437"/>
      <c r="BB390" s="140"/>
      <c r="BC390" s="140">
        <f t="shared" si="208"/>
        <v>0</v>
      </c>
      <c r="BD390" s="140"/>
      <c r="BE390" s="140"/>
      <c r="BF390" s="235">
        <v>0</v>
      </c>
      <c r="BG390" s="14"/>
      <c r="BH390" s="235">
        <v>0</v>
      </c>
      <c r="BI390" s="25"/>
    </row>
    <row r="391" spans="2:61" s="1" customFormat="1">
      <c r="B391" s="30" t="s">
        <v>407</v>
      </c>
      <c r="C391" s="13" t="s">
        <v>736</v>
      </c>
      <c r="D391" s="1375">
        <v>44379395</v>
      </c>
      <c r="E391" s="280">
        <v>0</v>
      </c>
      <c r="F391" s="1365">
        <f t="shared" si="198"/>
        <v>44379395</v>
      </c>
      <c r="G391" s="1365">
        <f t="shared" si="197"/>
        <v>0</v>
      </c>
      <c r="H391" s="1967">
        <f t="shared" si="199"/>
        <v>44379395</v>
      </c>
      <c r="I391" s="612"/>
      <c r="J391" s="1967"/>
      <c r="K391" s="612"/>
      <c r="L391" s="1967"/>
      <c r="M391" s="2143">
        <f t="shared" si="204"/>
        <v>44379395</v>
      </c>
      <c r="N391" s="1967"/>
      <c r="O391" s="106"/>
      <c r="P391" s="1966">
        <v>44379396</v>
      </c>
      <c r="Q391" s="280">
        <v>22189698</v>
      </c>
      <c r="R391" s="1966">
        <f t="shared" si="200"/>
        <v>66569094</v>
      </c>
      <c r="S391" s="1537"/>
      <c r="T391" s="1966"/>
      <c r="U391" s="1537"/>
      <c r="V391" s="1966"/>
      <c r="W391" s="1966">
        <f t="shared" si="205"/>
        <v>66569094</v>
      </c>
      <c r="X391" s="13"/>
      <c r="Y391" s="106">
        <v>33284547</v>
      </c>
      <c r="Z391" s="698">
        <v>60034395</v>
      </c>
      <c r="AA391" s="698">
        <f t="shared" si="215"/>
        <v>93318942</v>
      </c>
      <c r="AB391" s="253"/>
      <c r="AC391" s="106"/>
      <c r="AD391" s="253"/>
      <c r="AE391" s="106"/>
      <c r="AF391" s="698">
        <f t="shared" si="206"/>
        <v>93318942</v>
      </c>
      <c r="AG391" s="698"/>
      <c r="AH391" s="106"/>
      <c r="AI391" s="2142">
        <v>50335347</v>
      </c>
      <c r="AJ391" s="140"/>
      <c r="AK391" s="140"/>
      <c r="AL391" s="140"/>
      <c r="AM391" s="140"/>
      <c r="AN391" s="140">
        <v>36748848</v>
      </c>
      <c r="AO391" s="140">
        <f t="shared" si="202"/>
        <v>36748848</v>
      </c>
      <c r="AP391" s="437"/>
      <c r="AQ391" s="140"/>
      <c r="AR391" s="437"/>
      <c r="AS391" s="140"/>
      <c r="AT391" s="140">
        <f t="shared" si="207"/>
        <v>36748848</v>
      </c>
      <c r="AU391" s="140"/>
      <c r="AV391" s="140">
        <v>44379394</v>
      </c>
      <c r="AW391" s="140">
        <v>30017198</v>
      </c>
      <c r="AX391" s="140">
        <f t="shared" si="203"/>
        <v>74396592</v>
      </c>
      <c r="AY391" s="437"/>
      <c r="AZ391" s="140"/>
      <c r="BA391" s="437"/>
      <c r="BB391" s="140"/>
      <c r="BC391" s="140">
        <f t="shared" si="208"/>
        <v>74396592</v>
      </c>
      <c r="BD391" s="140"/>
      <c r="BE391" s="140"/>
      <c r="BF391" s="235">
        <v>0</v>
      </c>
      <c r="BG391" s="14"/>
      <c r="BH391" s="235">
        <v>0</v>
      </c>
      <c r="BI391" s="25"/>
    </row>
    <row r="392" spans="2:61" s="1" customFormat="1">
      <c r="B392" s="30" t="s">
        <v>407</v>
      </c>
      <c r="C392" s="13" t="s">
        <v>737</v>
      </c>
      <c r="D392" s="1967"/>
      <c r="E392" s="280">
        <v>0</v>
      </c>
      <c r="F392" s="1365">
        <f t="shared" si="198"/>
        <v>0</v>
      </c>
      <c r="G392" s="1365">
        <f t="shared" si="197"/>
        <v>0</v>
      </c>
      <c r="H392" s="1967">
        <f t="shared" si="199"/>
        <v>0</v>
      </c>
      <c r="I392" s="612"/>
      <c r="J392" s="1967"/>
      <c r="K392" s="612"/>
      <c r="L392" s="1967"/>
      <c r="M392" s="2143">
        <f t="shared" si="204"/>
        <v>0</v>
      </c>
      <c r="N392" s="1967"/>
      <c r="O392" s="106"/>
      <c r="P392" s="1966"/>
      <c r="Q392" s="1967"/>
      <c r="R392" s="1966">
        <f t="shared" si="200"/>
        <v>0</v>
      </c>
      <c r="S392" s="1537"/>
      <c r="T392" s="1966"/>
      <c r="U392" s="1537"/>
      <c r="V392" s="1966"/>
      <c r="W392" s="1966">
        <f t="shared" si="205"/>
        <v>0</v>
      </c>
      <c r="X392" s="13"/>
      <c r="Y392" s="106">
        <v>0</v>
      </c>
      <c r="Z392" s="698">
        <v>0</v>
      </c>
      <c r="AA392" s="698">
        <f t="shared" si="215"/>
        <v>0</v>
      </c>
      <c r="AB392" s="253"/>
      <c r="AC392" s="106"/>
      <c r="AD392" s="253"/>
      <c r="AE392" s="106"/>
      <c r="AF392" s="698">
        <f t="shared" si="206"/>
        <v>0</v>
      </c>
      <c r="AG392" s="698"/>
      <c r="AH392" s="106"/>
      <c r="AI392" s="2142">
        <v>323468632</v>
      </c>
      <c r="AJ392" s="140"/>
      <c r="AK392" s="140"/>
      <c r="AL392" s="140"/>
      <c r="AM392" s="140">
        <v>187770549</v>
      </c>
      <c r="AN392" s="140"/>
      <c r="AO392" s="140">
        <f t="shared" si="202"/>
        <v>187770549</v>
      </c>
      <c r="AP392" s="437"/>
      <c r="AQ392" s="140"/>
      <c r="AR392" s="437"/>
      <c r="AS392" s="140"/>
      <c r="AT392" s="140">
        <f t="shared" si="207"/>
        <v>187770549</v>
      </c>
      <c r="AU392" s="140"/>
      <c r="AV392" s="140"/>
      <c r="AW392" s="140"/>
      <c r="AX392" s="140">
        <f t="shared" si="203"/>
        <v>0</v>
      </c>
      <c r="AY392" s="437"/>
      <c r="AZ392" s="140"/>
      <c r="BA392" s="437"/>
      <c r="BB392" s="140"/>
      <c r="BC392" s="140">
        <f t="shared" si="208"/>
        <v>0</v>
      </c>
      <c r="BD392" s="140"/>
      <c r="BE392" s="140"/>
      <c r="BF392" s="235"/>
      <c r="BG392" s="14"/>
      <c r="BH392" s="235"/>
      <c r="BI392" s="25"/>
    </row>
    <row r="393" spans="2:61" s="1" customFormat="1">
      <c r="B393" s="30" t="s">
        <v>407</v>
      </c>
      <c r="C393" s="13" t="s">
        <v>738</v>
      </c>
      <c r="D393" s="1967">
        <v>0</v>
      </c>
      <c r="E393" s="1967">
        <v>0</v>
      </c>
      <c r="F393" s="1365">
        <f t="shared" si="198"/>
        <v>0</v>
      </c>
      <c r="G393" s="1365">
        <f t="shared" si="197"/>
        <v>0</v>
      </c>
      <c r="H393" s="1967">
        <f t="shared" si="199"/>
        <v>0</v>
      </c>
      <c r="I393" s="612"/>
      <c r="J393" s="1967"/>
      <c r="K393" s="612"/>
      <c r="L393" s="1967"/>
      <c r="M393" s="2143">
        <f t="shared" si="204"/>
        <v>0</v>
      </c>
      <c r="N393" s="1967"/>
      <c r="O393" s="106"/>
      <c r="P393" s="1966">
        <f>ROUND(200753868.45,0)*0</f>
        <v>0</v>
      </c>
      <c r="Q393" s="1967">
        <f>ROUND(337666242.98,0)</f>
        <v>337666243</v>
      </c>
      <c r="R393" s="1966">
        <f t="shared" si="200"/>
        <v>337666243</v>
      </c>
      <c r="S393" s="1537"/>
      <c r="T393" s="1966"/>
      <c r="U393" s="1537"/>
      <c r="V393" s="1966"/>
      <c r="W393" s="1966">
        <f t="shared" si="205"/>
        <v>337666243</v>
      </c>
      <c r="X393" s="13"/>
      <c r="Y393" s="106">
        <v>789445570</v>
      </c>
      <c r="Z393" s="698">
        <v>1273184100</v>
      </c>
      <c r="AA393" s="698">
        <f t="shared" si="215"/>
        <v>2062629670</v>
      </c>
      <c r="AB393" s="253"/>
      <c r="AC393" s="106"/>
      <c r="AD393" s="253"/>
      <c r="AE393" s="106"/>
      <c r="AF393" s="698">
        <f t="shared" ref="AF393" si="216">ROUND((AA393-AC393+AE393),0)</f>
        <v>2062629670</v>
      </c>
      <c r="AG393" s="698"/>
      <c r="AH393" s="106"/>
      <c r="AI393" s="2142">
        <v>187956458</v>
      </c>
      <c r="AJ393" s="140"/>
      <c r="AK393" s="140"/>
      <c r="AL393" s="140"/>
      <c r="AM393" s="140">
        <v>329270072</v>
      </c>
      <c r="AN393" s="140">
        <v>212326593</v>
      </c>
      <c r="AO393" s="140">
        <f t="shared" si="202"/>
        <v>541596665</v>
      </c>
      <c r="AP393" s="437"/>
      <c r="AQ393" s="140"/>
      <c r="AR393" s="437"/>
      <c r="AS393" s="140"/>
      <c r="AT393" s="140">
        <f t="shared" si="207"/>
        <v>541596665</v>
      </c>
      <c r="AU393" s="140"/>
      <c r="AV393" s="140">
        <v>954797085</v>
      </c>
      <c r="AW393" s="140">
        <v>2055412798</v>
      </c>
      <c r="AX393" s="140">
        <f t="shared" si="203"/>
        <v>3010209883</v>
      </c>
      <c r="AY393" s="437"/>
      <c r="AZ393" s="140"/>
      <c r="BA393" s="437"/>
      <c r="BB393" s="140"/>
      <c r="BC393" s="140">
        <f t="shared" si="208"/>
        <v>3010209883</v>
      </c>
      <c r="BD393" s="140"/>
      <c r="BE393" s="140"/>
      <c r="BF393" s="235"/>
      <c r="BG393" s="14"/>
      <c r="BH393" s="235"/>
      <c r="BI393" s="25"/>
    </row>
    <row r="394" spans="2:61" s="1" customFormat="1">
      <c r="B394" s="30" t="s">
        <v>407</v>
      </c>
      <c r="C394" s="13" t="s">
        <v>739</v>
      </c>
      <c r="D394" s="1967"/>
      <c r="E394" s="280">
        <v>9000000</v>
      </c>
      <c r="F394" s="1365">
        <f t="shared" si="198"/>
        <v>9000000</v>
      </c>
      <c r="G394" s="1365">
        <f t="shared" si="197"/>
        <v>0</v>
      </c>
      <c r="H394" s="1967">
        <f t="shared" si="199"/>
        <v>9000000</v>
      </c>
      <c r="I394" s="612"/>
      <c r="J394" s="1967"/>
      <c r="K394" s="612"/>
      <c r="L394" s="1967"/>
      <c r="M394" s="2143">
        <f t="shared" si="204"/>
        <v>9000000</v>
      </c>
      <c r="N394" s="1967"/>
      <c r="O394" s="106"/>
      <c r="P394" s="1966"/>
      <c r="Q394" s="1967">
        <v>9000000</v>
      </c>
      <c r="R394" s="1966">
        <f t="shared" si="200"/>
        <v>9000000</v>
      </c>
      <c r="S394" s="1537"/>
      <c r="T394" s="1966"/>
      <c r="U394" s="1537"/>
      <c r="V394" s="1966"/>
      <c r="W394" s="1966">
        <f t="shared" si="205"/>
        <v>9000000</v>
      </c>
      <c r="X394" s="13"/>
      <c r="Y394" s="106">
        <v>0</v>
      </c>
      <c r="Z394" s="698">
        <v>9000000</v>
      </c>
      <c r="AA394" s="698">
        <f t="shared" si="215"/>
        <v>9000000</v>
      </c>
      <c r="AB394" s="253"/>
      <c r="AC394" s="106"/>
      <c r="AD394" s="253"/>
      <c r="AE394" s="106"/>
      <c r="AF394" s="698">
        <f t="shared" si="206"/>
        <v>9000000</v>
      </c>
      <c r="AG394" s="698"/>
      <c r="AH394" s="106"/>
      <c r="AI394" s="140">
        <v>9000000</v>
      </c>
      <c r="AJ394" s="140"/>
      <c r="AK394" s="140"/>
      <c r="AL394" s="140"/>
      <c r="AM394" s="140"/>
      <c r="AN394" s="140"/>
      <c r="AO394" s="140">
        <f t="shared" si="202"/>
        <v>0</v>
      </c>
      <c r="AP394" s="437"/>
      <c r="AQ394" s="140"/>
      <c r="AR394" s="437"/>
      <c r="AS394" s="140"/>
      <c r="AT394" s="140">
        <f t="shared" si="207"/>
        <v>0</v>
      </c>
      <c r="AU394" s="140"/>
      <c r="AV394" s="140"/>
      <c r="AW394" s="140"/>
      <c r="AX394" s="140">
        <f t="shared" si="203"/>
        <v>0</v>
      </c>
      <c r="AY394" s="437"/>
      <c r="AZ394" s="140"/>
      <c r="BA394" s="437"/>
      <c r="BB394" s="140"/>
      <c r="BC394" s="140">
        <f t="shared" si="208"/>
        <v>0</v>
      </c>
      <c r="BD394" s="140"/>
      <c r="BE394" s="140"/>
      <c r="BF394" s="235"/>
      <c r="BG394" s="14"/>
      <c r="BH394" s="235"/>
      <c r="BI394" s="25"/>
    </row>
    <row r="395" spans="2:61" s="1" customFormat="1">
      <c r="B395" s="30" t="s">
        <v>407</v>
      </c>
      <c r="C395" s="13" t="s">
        <v>740</v>
      </c>
      <c r="D395" s="1967"/>
      <c r="E395" s="1967"/>
      <c r="F395" s="1365">
        <f t="shared" si="198"/>
        <v>0</v>
      </c>
      <c r="G395" s="1365">
        <f t="shared" si="197"/>
        <v>0</v>
      </c>
      <c r="H395" s="1967">
        <f t="shared" si="199"/>
        <v>0</v>
      </c>
      <c r="I395" s="612"/>
      <c r="J395" s="1967"/>
      <c r="K395" s="612"/>
      <c r="L395" s="1967"/>
      <c r="M395" s="1967">
        <f t="shared" si="204"/>
        <v>0</v>
      </c>
      <c r="N395" s="1967"/>
      <c r="O395" s="106"/>
      <c r="P395" s="1966"/>
      <c r="Q395" s="1967"/>
      <c r="R395" s="1966">
        <f t="shared" ref="R395:R400" si="217">P395+Q395</f>
        <v>0</v>
      </c>
      <c r="S395" s="1537"/>
      <c r="T395" s="1966"/>
      <c r="U395" s="1537"/>
      <c r="V395" s="1966"/>
      <c r="W395" s="1966">
        <f t="shared" ref="W395:W400" si="218">ROUND((R395-T395+V395),0)</f>
        <v>0</v>
      </c>
      <c r="X395" s="13"/>
      <c r="Y395" s="106"/>
      <c r="Z395" s="698"/>
      <c r="AA395" s="698"/>
      <c r="AB395" s="253"/>
      <c r="AC395" s="106"/>
      <c r="AD395" s="253"/>
      <c r="AE395" s="106"/>
      <c r="AF395" s="698"/>
      <c r="AG395" s="698"/>
      <c r="AH395" s="106"/>
      <c r="AI395" s="140"/>
      <c r="AJ395" s="140"/>
      <c r="AK395" s="140"/>
      <c r="AL395" s="140"/>
      <c r="AM395" s="140"/>
      <c r="AN395" s="140">
        <v>79180000</v>
      </c>
      <c r="AO395" s="140">
        <f t="shared" ref="AO395" si="219">AM395+AN395</f>
        <v>79180000</v>
      </c>
      <c r="AP395" s="437"/>
      <c r="AQ395" s="140"/>
      <c r="AR395" s="437"/>
      <c r="AS395" s="140"/>
      <c r="AT395" s="140">
        <f t="shared" ref="AT395" si="220">ROUND((AO395-AQ395+AS395),0)</f>
        <v>79180000</v>
      </c>
      <c r="AU395" s="140"/>
      <c r="AV395" s="140"/>
      <c r="AW395" s="140"/>
      <c r="AX395" s="140"/>
      <c r="AY395" s="437"/>
      <c r="AZ395" s="140"/>
      <c r="BA395" s="437"/>
      <c r="BB395" s="140"/>
      <c r="BC395" s="140"/>
      <c r="BD395" s="140"/>
      <c r="BE395" s="140"/>
      <c r="BF395" s="235"/>
      <c r="BG395" s="14"/>
      <c r="BH395" s="235"/>
      <c r="BI395" s="25"/>
    </row>
    <row r="396" spans="2:61" s="1" customFormat="1">
      <c r="B396" s="30" t="s">
        <v>407</v>
      </c>
      <c r="C396" s="13" t="s">
        <v>454</v>
      </c>
      <c r="D396" s="1967"/>
      <c r="E396" s="1967"/>
      <c r="F396" s="1365">
        <f t="shared" si="198"/>
        <v>0</v>
      </c>
      <c r="G396" s="1365">
        <f t="shared" si="197"/>
        <v>0</v>
      </c>
      <c r="H396" s="1967">
        <f t="shared" si="199"/>
        <v>0</v>
      </c>
      <c r="I396" s="612"/>
      <c r="J396" s="1967"/>
      <c r="K396" s="612"/>
      <c r="L396" s="1967"/>
      <c r="M396" s="1967">
        <f t="shared" si="204"/>
        <v>0</v>
      </c>
      <c r="N396" s="1967"/>
      <c r="O396" s="106"/>
      <c r="P396" s="1966"/>
      <c r="Q396" s="1967"/>
      <c r="R396" s="1966">
        <f t="shared" si="217"/>
        <v>0</v>
      </c>
      <c r="S396" s="1537"/>
      <c r="T396" s="1966"/>
      <c r="U396" s="1537"/>
      <c r="V396" s="1966"/>
      <c r="W396" s="1966">
        <f t="shared" si="218"/>
        <v>0</v>
      </c>
      <c r="X396" s="13"/>
      <c r="Y396" s="106"/>
      <c r="Z396" s="698"/>
      <c r="AA396" s="698"/>
      <c r="AB396" s="253"/>
      <c r="AC396" s="106"/>
      <c r="AD396" s="253"/>
      <c r="AE396" s="106"/>
      <c r="AF396" s="698"/>
      <c r="AG396" s="698"/>
      <c r="AH396" s="106"/>
      <c r="AI396" s="140"/>
      <c r="AJ396" s="140"/>
      <c r="AK396" s="140"/>
      <c r="AL396" s="140"/>
      <c r="AM396" s="140"/>
      <c r="AN396" s="140">
        <v>1117757847</v>
      </c>
      <c r="AO396" s="140">
        <f t="shared" ref="AO396" si="221">AM396+AN396</f>
        <v>1117757847</v>
      </c>
      <c r="AP396" s="437"/>
      <c r="AQ396" s="140"/>
      <c r="AR396" s="437"/>
      <c r="AS396" s="140"/>
      <c r="AT396" s="140">
        <f t="shared" ref="AT396" si="222">ROUND((AO396-AQ396+AS396),0)</f>
        <v>1117757847</v>
      </c>
      <c r="AU396" s="140"/>
      <c r="AV396" s="140"/>
      <c r="AW396" s="140"/>
      <c r="AX396" s="140"/>
      <c r="AY396" s="437"/>
      <c r="AZ396" s="140"/>
      <c r="BA396" s="437"/>
      <c r="BB396" s="140"/>
      <c r="BC396" s="140"/>
      <c r="BD396" s="140"/>
      <c r="BE396" s="140"/>
      <c r="BF396" s="235"/>
      <c r="BG396" s="14"/>
      <c r="BH396" s="235"/>
      <c r="BI396" s="25"/>
    </row>
    <row r="397" spans="2:61" s="1" customFormat="1">
      <c r="B397" s="30"/>
      <c r="C397" s="13" t="s">
        <v>741</v>
      </c>
      <c r="D397" s="1967"/>
      <c r="E397" s="1967">
        <v>0</v>
      </c>
      <c r="F397" s="1365">
        <f t="shared" si="198"/>
        <v>0</v>
      </c>
      <c r="G397" s="1365">
        <f t="shared" si="197"/>
        <v>0</v>
      </c>
      <c r="H397" s="1967">
        <f t="shared" si="199"/>
        <v>0</v>
      </c>
      <c r="I397" s="612"/>
      <c r="J397" s="1967"/>
      <c r="K397" s="612"/>
      <c r="L397" s="1967"/>
      <c r="M397" s="1967">
        <f t="shared" si="204"/>
        <v>0</v>
      </c>
      <c r="N397" s="1967"/>
      <c r="O397" s="106"/>
      <c r="P397" s="1966"/>
      <c r="Q397" s="280">
        <v>128800000</v>
      </c>
      <c r="R397" s="1966">
        <f t="shared" si="217"/>
        <v>128800000</v>
      </c>
      <c r="S397" s="1537"/>
      <c r="T397" s="1966"/>
      <c r="U397" s="1537"/>
      <c r="V397" s="1966"/>
      <c r="W397" s="1966">
        <f t="shared" si="218"/>
        <v>128800000</v>
      </c>
      <c r="X397" s="13"/>
      <c r="Y397" s="106"/>
      <c r="Z397" s="698"/>
      <c r="AA397" s="698"/>
      <c r="AB397" s="253"/>
      <c r="AC397" s="106"/>
      <c r="AD397" s="253"/>
      <c r="AE397" s="106"/>
      <c r="AF397" s="698"/>
      <c r="AG397" s="698"/>
      <c r="AH397" s="106"/>
      <c r="AI397" s="140"/>
      <c r="AJ397" s="140"/>
      <c r="AK397" s="140"/>
      <c r="AL397" s="140"/>
      <c r="AM397" s="140"/>
      <c r="AN397" s="140"/>
      <c r="AO397" s="140"/>
      <c r="AP397" s="437"/>
      <c r="AQ397" s="140"/>
      <c r="AR397" s="437"/>
      <c r="AS397" s="140"/>
      <c r="AT397" s="140"/>
      <c r="AU397" s="140"/>
      <c r="AV397" s="140"/>
      <c r="AW397" s="140"/>
      <c r="AX397" s="140"/>
      <c r="AY397" s="437"/>
      <c r="AZ397" s="140"/>
      <c r="BA397" s="437"/>
      <c r="BB397" s="140"/>
      <c r="BC397" s="140"/>
      <c r="BD397" s="140"/>
      <c r="BE397" s="140"/>
      <c r="BF397" s="235"/>
      <c r="BG397" s="14"/>
      <c r="BH397" s="235"/>
      <c r="BI397" s="25"/>
    </row>
    <row r="398" spans="2:61" s="1" customFormat="1">
      <c r="B398" s="30"/>
      <c r="C398" s="13" t="s">
        <v>742</v>
      </c>
      <c r="D398" s="1967"/>
      <c r="E398" s="1967"/>
      <c r="F398" s="1365">
        <f t="shared" si="198"/>
        <v>0</v>
      </c>
      <c r="G398" s="1365">
        <f t="shared" si="197"/>
        <v>0</v>
      </c>
      <c r="H398" s="1967">
        <f t="shared" si="199"/>
        <v>0</v>
      </c>
      <c r="I398" s="612"/>
      <c r="J398" s="1967"/>
      <c r="K398" s="612"/>
      <c r="L398" s="1967"/>
      <c r="M398" s="1967">
        <f t="shared" si="204"/>
        <v>0</v>
      </c>
      <c r="N398" s="1967"/>
      <c r="O398" s="106"/>
      <c r="P398" s="1966"/>
      <c r="Q398" s="280">
        <f>ROUND(186131640.34,0)</f>
        <v>186131640</v>
      </c>
      <c r="R398" s="1966">
        <f t="shared" si="217"/>
        <v>186131640</v>
      </c>
      <c r="S398" s="1537"/>
      <c r="T398" s="1966"/>
      <c r="U398" s="1537"/>
      <c r="V398" s="1966"/>
      <c r="W398" s="1966">
        <f t="shared" si="218"/>
        <v>186131640</v>
      </c>
      <c r="X398" s="13"/>
      <c r="Y398" s="106"/>
      <c r="Z398" s="698"/>
      <c r="AA398" s="698"/>
      <c r="AB398" s="253"/>
      <c r="AC398" s="106"/>
      <c r="AD398" s="253"/>
      <c r="AE398" s="106"/>
      <c r="AF398" s="698"/>
      <c r="AG398" s="698"/>
      <c r="AH398" s="106"/>
      <c r="AI398" s="140"/>
      <c r="AJ398" s="140"/>
      <c r="AK398" s="140"/>
      <c r="AL398" s="140"/>
      <c r="AM398" s="140"/>
      <c r="AN398" s="140"/>
      <c r="AO398" s="140"/>
      <c r="AP398" s="437"/>
      <c r="AQ398" s="140"/>
      <c r="AR398" s="437"/>
      <c r="AS398" s="140"/>
      <c r="AT398" s="140"/>
      <c r="AU398" s="140"/>
      <c r="AV398" s="140"/>
      <c r="AW398" s="140"/>
      <c r="AX398" s="140"/>
      <c r="AY398" s="437"/>
      <c r="AZ398" s="140"/>
      <c r="BA398" s="437"/>
      <c r="BB398" s="140"/>
      <c r="BC398" s="140"/>
      <c r="BD398" s="140"/>
      <c r="BE398" s="140"/>
      <c r="BF398" s="235"/>
      <c r="BG398" s="14"/>
      <c r="BH398" s="235"/>
      <c r="BI398" s="25"/>
    </row>
    <row r="399" spans="2:61" s="1" customFormat="1">
      <c r="B399" s="30"/>
      <c r="C399" s="13" t="s">
        <v>743</v>
      </c>
      <c r="D399" s="1967">
        <v>0</v>
      </c>
      <c r="E399" s="1967">
        <v>0</v>
      </c>
      <c r="F399" s="1365">
        <f t="shared" si="198"/>
        <v>0</v>
      </c>
      <c r="G399" s="1365">
        <f t="shared" si="197"/>
        <v>0</v>
      </c>
      <c r="H399" s="1967">
        <f t="shared" si="199"/>
        <v>0</v>
      </c>
      <c r="I399" s="612"/>
      <c r="J399" s="1967"/>
      <c r="K399" s="612"/>
      <c r="L399" s="1967"/>
      <c r="M399" s="1967">
        <f t="shared" si="204"/>
        <v>0</v>
      </c>
      <c r="N399" s="1967"/>
      <c r="O399" s="106"/>
      <c r="P399" s="1966">
        <v>97875017</v>
      </c>
      <c r="Q399" s="280">
        <f>ROUND(223612352.21,0)</f>
        <v>223612352</v>
      </c>
      <c r="R399" s="1966">
        <f t="shared" si="217"/>
        <v>321487369</v>
      </c>
      <c r="S399" s="1537"/>
      <c r="T399" s="1966"/>
      <c r="U399" s="1537"/>
      <c r="V399" s="1966"/>
      <c r="W399" s="1966">
        <f t="shared" si="218"/>
        <v>321487369</v>
      </c>
      <c r="X399" s="13"/>
      <c r="Y399" s="106"/>
      <c r="Z399" s="698"/>
      <c r="AA399" s="698"/>
      <c r="AB399" s="253"/>
      <c r="AC399" s="106"/>
      <c r="AD399" s="253"/>
      <c r="AE399" s="106"/>
      <c r="AF399" s="698"/>
      <c r="AG399" s="698"/>
      <c r="AH399" s="106"/>
      <c r="AI399" s="140"/>
      <c r="AJ399" s="140"/>
      <c r="AK399" s="140"/>
      <c r="AL399" s="140"/>
      <c r="AM399" s="140"/>
      <c r="AN399" s="140"/>
      <c r="AO399" s="140"/>
      <c r="AP399" s="437"/>
      <c r="AQ399" s="140"/>
      <c r="AR399" s="437"/>
      <c r="AS399" s="140"/>
      <c r="AT399" s="140"/>
      <c r="AU399" s="140"/>
      <c r="AV399" s="140"/>
      <c r="AW399" s="140"/>
      <c r="AX399" s="140"/>
      <c r="AY399" s="437"/>
      <c r="AZ399" s="140"/>
      <c r="BA399" s="437"/>
      <c r="BB399" s="140"/>
      <c r="BC399" s="140"/>
      <c r="BD399" s="140"/>
      <c r="BE399" s="140"/>
      <c r="BF399" s="235"/>
      <c r="BG399" s="14"/>
      <c r="BH399" s="235"/>
      <c r="BI399" s="25"/>
    </row>
    <row r="400" spans="2:61" s="1" customFormat="1">
      <c r="B400" s="30" t="s">
        <v>407</v>
      </c>
      <c r="C400" s="13" t="s">
        <v>744</v>
      </c>
      <c r="D400" s="1967"/>
      <c r="E400" s="1967"/>
      <c r="F400" s="1365">
        <f t="shared" si="198"/>
        <v>0</v>
      </c>
      <c r="G400" s="1365">
        <f t="shared" si="197"/>
        <v>0</v>
      </c>
      <c r="H400" s="1967">
        <f t="shared" si="199"/>
        <v>0</v>
      </c>
      <c r="I400" s="612"/>
      <c r="J400" s="1967"/>
      <c r="K400" s="612"/>
      <c r="L400" s="1967"/>
      <c r="M400" s="1967">
        <f t="shared" si="204"/>
        <v>0</v>
      </c>
      <c r="N400" s="1967"/>
      <c r="O400" s="106"/>
      <c r="P400" s="1966"/>
      <c r="Q400" s="1967"/>
      <c r="R400" s="1966">
        <f t="shared" si="217"/>
        <v>0</v>
      </c>
      <c r="S400" s="1537"/>
      <c r="T400" s="1966"/>
      <c r="U400" s="1537"/>
      <c r="V400" s="1966"/>
      <c r="W400" s="1966">
        <f t="shared" si="218"/>
        <v>0</v>
      </c>
      <c r="X400" s="13"/>
      <c r="Y400" s="106">
        <v>0</v>
      </c>
      <c r="Z400" s="698">
        <v>0</v>
      </c>
      <c r="AA400" s="698">
        <f t="shared" si="215"/>
        <v>0</v>
      </c>
      <c r="AB400" s="253"/>
      <c r="AC400" s="106"/>
      <c r="AD400" s="253"/>
      <c r="AE400" s="106"/>
      <c r="AF400" s="698">
        <f t="shared" si="206"/>
        <v>0</v>
      </c>
      <c r="AG400" s="698"/>
      <c r="AH400" s="106"/>
      <c r="AI400" s="140">
        <v>2000000000</v>
      </c>
      <c r="AJ400" s="140"/>
      <c r="AK400" s="140"/>
      <c r="AL400" s="140"/>
      <c r="AM400" s="140"/>
      <c r="AN400" s="140">
        <v>1500000000</v>
      </c>
      <c r="AO400" s="140">
        <f t="shared" si="202"/>
        <v>1500000000</v>
      </c>
      <c r="AP400" s="437"/>
      <c r="AQ400" s="140"/>
      <c r="AR400" s="437"/>
      <c r="AS400" s="140"/>
      <c r="AT400" s="140">
        <f t="shared" si="207"/>
        <v>1500000000</v>
      </c>
      <c r="AU400" s="140"/>
      <c r="AV400" s="140"/>
      <c r="AW400" s="140"/>
      <c r="AX400" s="140">
        <f t="shared" si="203"/>
        <v>0</v>
      </c>
      <c r="AY400" s="437"/>
      <c r="AZ400" s="140"/>
      <c r="BA400" s="437"/>
      <c r="BB400" s="140"/>
      <c r="BC400" s="140">
        <f t="shared" si="208"/>
        <v>0</v>
      </c>
      <c r="BD400" s="140"/>
      <c r="BE400" s="140"/>
      <c r="BF400" s="235"/>
      <c r="BG400" s="14"/>
      <c r="BH400" s="235"/>
      <c r="BI400" s="25"/>
    </row>
    <row r="401" spans="2:61" s="1" customFormat="1">
      <c r="B401" s="30"/>
      <c r="C401" s="13" t="s">
        <v>745</v>
      </c>
      <c r="D401" s="1967">
        <f>154256572</f>
        <v>154256572</v>
      </c>
      <c r="E401" s="280">
        <f>ROUND(252999945.087158,0)-0.1400146484375</f>
        <v>252999944.85998535</v>
      </c>
      <c r="F401" s="2259">
        <f t="shared" si="198"/>
        <v>407256516.85998535</v>
      </c>
      <c r="G401" s="2259">
        <f t="shared" si="197"/>
        <v>0</v>
      </c>
      <c r="H401" s="1967">
        <f>D401+E401</f>
        <v>407256516.85998535</v>
      </c>
      <c r="I401" s="612"/>
      <c r="J401" s="1967"/>
      <c r="K401" s="612"/>
      <c r="L401" s="1967"/>
      <c r="M401" s="1967">
        <f>ROUND((H401-J401+L401),0)</f>
        <v>407256517</v>
      </c>
      <c r="N401" s="1967"/>
      <c r="O401" s="106"/>
      <c r="P401" s="1966">
        <f>108570907-2</f>
        <v>108570905</v>
      </c>
      <c r="Q401" s="1967">
        <f>ROUND(374909040-6,0)-1</f>
        <v>374909033</v>
      </c>
      <c r="R401" s="1966">
        <f>P401+Q401</f>
        <v>483479938</v>
      </c>
      <c r="S401" s="1537"/>
      <c r="T401" s="1966"/>
      <c r="U401" s="1537"/>
      <c r="V401" s="1966"/>
      <c r="W401" s="1966">
        <f>ROUND((R401-T401+V401),0)</f>
        <v>483479938</v>
      </c>
      <c r="X401" s="13"/>
      <c r="Y401" s="106">
        <f>96818895</f>
        <v>96818895</v>
      </c>
      <c r="Z401" s="698">
        <v>170311149</v>
      </c>
      <c r="AA401" s="698">
        <f t="shared" si="215"/>
        <v>267130044</v>
      </c>
      <c r="AB401" s="253"/>
      <c r="AC401" s="106"/>
      <c r="AD401" s="253"/>
      <c r="AE401" s="106"/>
      <c r="AF401" s="698">
        <f>ROUNDDOWN((AA401-AC401+AE401),0)</f>
        <v>267130044</v>
      </c>
      <c r="AG401" s="698"/>
      <c r="AH401" s="106"/>
      <c r="AI401" s="140">
        <v>430637270</v>
      </c>
      <c r="AJ401" s="140"/>
      <c r="AK401" s="140"/>
      <c r="AL401" s="140"/>
      <c r="AM401" s="140">
        <f>309901909+2</f>
        <v>309901911</v>
      </c>
      <c r="AN401" s="140">
        <v>394986496</v>
      </c>
      <c r="AO401" s="140">
        <f>AM401+AN401</f>
        <v>704888407</v>
      </c>
      <c r="AP401" s="437"/>
      <c r="AQ401" s="140"/>
      <c r="AR401" s="437"/>
      <c r="AS401" s="140"/>
      <c r="AT401" s="140">
        <f t="shared" si="207"/>
        <v>704888407</v>
      </c>
      <c r="AU401" s="140"/>
      <c r="AV401" s="140">
        <f>413643798+660187360</f>
        <v>1073831158</v>
      </c>
      <c r="AW401" s="140">
        <v>329090649</v>
      </c>
      <c r="AX401" s="140">
        <f>AV401+AW401</f>
        <v>1402921807</v>
      </c>
      <c r="AY401" s="437"/>
      <c r="AZ401" s="140"/>
      <c r="BA401" s="437"/>
      <c r="BB401" s="140"/>
      <c r="BC401" s="140">
        <f t="shared" si="208"/>
        <v>1402921807</v>
      </c>
      <c r="BD401" s="140"/>
      <c r="BE401" s="140"/>
      <c r="BF401" s="235">
        <v>463183088</v>
      </c>
      <c r="BG401" s="14"/>
      <c r="BH401" s="105">
        <v>509045589</v>
      </c>
      <c r="BI401" s="25"/>
    </row>
    <row r="402" spans="2:61" s="1" customFormat="1">
      <c r="B402" s="30" t="s">
        <v>407</v>
      </c>
      <c r="C402" s="13" t="s">
        <v>746</v>
      </c>
      <c r="D402" s="1967"/>
      <c r="E402" s="1967"/>
      <c r="F402" s="1365">
        <f t="shared" si="198"/>
        <v>0</v>
      </c>
      <c r="G402" s="1365">
        <f t="shared" ref="G402:G465" si="223">F402-H402</f>
        <v>0</v>
      </c>
      <c r="H402" s="1967">
        <f>ROUND((D402+E402),0)</f>
        <v>0</v>
      </c>
      <c r="I402" s="612"/>
      <c r="J402" s="1967"/>
      <c r="K402" s="612"/>
      <c r="L402" s="1967"/>
      <c r="M402" s="1967">
        <f t="shared" ref="M402:M416" si="224">ROUND((H402-J402+L402),0)</f>
        <v>0</v>
      </c>
      <c r="N402" s="1967"/>
      <c r="O402" s="106"/>
      <c r="P402" s="1966"/>
      <c r="Q402" s="1967"/>
      <c r="R402" s="1966">
        <f>ROUND((P402+Q402),0)</f>
        <v>0</v>
      </c>
      <c r="S402" s="1537"/>
      <c r="T402" s="1966"/>
      <c r="U402" s="1537"/>
      <c r="V402" s="1966"/>
      <c r="W402" s="1966">
        <f t="shared" ref="W402" si="225">ROUND((R402-T402+V402),0)</f>
        <v>0</v>
      </c>
      <c r="X402" s="13"/>
      <c r="Y402" s="106">
        <v>0</v>
      </c>
      <c r="Z402" s="698">
        <v>0</v>
      </c>
      <c r="AA402" s="698">
        <f>ROUND((Y402+Z402),0)</f>
        <v>0</v>
      </c>
      <c r="AB402" s="253"/>
      <c r="AC402" s="106"/>
      <c r="AD402" s="253"/>
      <c r="AE402" s="106"/>
      <c r="AF402" s="698">
        <f t="shared" si="206"/>
        <v>0</v>
      </c>
      <c r="AG402" s="698"/>
      <c r="AH402" s="106"/>
      <c r="AI402" s="140">
        <v>0</v>
      </c>
      <c r="AJ402" s="140"/>
      <c r="AK402" s="140"/>
      <c r="AL402" s="140"/>
      <c r="AM402" s="140"/>
      <c r="AN402" s="140"/>
      <c r="AO402" s="140">
        <f t="shared" ref="AO402:AO409" si="226">ROUND((AM402+AN402),0)</f>
        <v>0</v>
      </c>
      <c r="AP402" s="437"/>
      <c r="AQ402" s="140"/>
      <c r="AR402" s="437"/>
      <c r="AS402" s="140"/>
      <c r="AT402" s="140">
        <f t="shared" si="207"/>
        <v>0</v>
      </c>
      <c r="AU402" s="140"/>
      <c r="AV402" s="140"/>
      <c r="AW402" s="140"/>
      <c r="AX402" s="140">
        <f t="shared" ref="AX402:AX409" si="227">ROUND((AV402+AW402),0)</f>
        <v>0</v>
      </c>
      <c r="AY402" s="437"/>
      <c r="AZ402" s="140"/>
      <c r="BA402" s="437"/>
      <c r="BB402" s="140"/>
      <c r="BC402" s="140">
        <f t="shared" si="208"/>
        <v>0</v>
      </c>
      <c r="BD402" s="140"/>
      <c r="BE402" s="140"/>
      <c r="BF402" s="235">
        <v>0</v>
      </c>
      <c r="BG402" s="14"/>
      <c r="BH402" s="235">
        <v>0</v>
      </c>
      <c r="BI402" s="25"/>
    </row>
    <row r="403" spans="2:61" s="1" customFormat="1">
      <c r="B403" s="30"/>
      <c r="C403" s="1407" t="s">
        <v>663</v>
      </c>
      <c r="D403" s="1375">
        <f>ROUND(199585238.75,0)</f>
        <v>199585239</v>
      </c>
      <c r="E403" s="1967"/>
      <c r="F403" s="1365">
        <f t="shared" si="198"/>
        <v>199585239</v>
      </c>
      <c r="G403" s="1365">
        <f t="shared" si="223"/>
        <v>0</v>
      </c>
      <c r="H403" s="1967">
        <f t="shared" ref="H403:H416" si="228">D403+E403</f>
        <v>199585239</v>
      </c>
      <c r="I403" s="612"/>
      <c r="J403" s="1967"/>
      <c r="K403" s="612"/>
      <c r="L403" s="1967"/>
      <c r="M403" s="2143">
        <f t="shared" si="224"/>
        <v>199585239</v>
      </c>
      <c r="N403" s="1967"/>
      <c r="O403" s="106"/>
      <c r="P403" s="1966"/>
      <c r="Q403" s="1967"/>
      <c r="R403" s="1966"/>
      <c r="S403" s="1537"/>
      <c r="T403" s="1966"/>
      <c r="U403" s="1537"/>
      <c r="V403" s="1966"/>
      <c r="W403" s="1966"/>
      <c r="X403" s="13"/>
      <c r="Y403" s="106"/>
      <c r="Z403" s="698"/>
      <c r="AA403" s="698"/>
      <c r="AB403" s="253"/>
      <c r="AC403" s="106"/>
      <c r="AD403" s="253"/>
      <c r="AE403" s="106"/>
      <c r="AF403" s="698"/>
      <c r="AG403" s="698"/>
      <c r="AH403" s="106"/>
      <c r="AI403" s="140"/>
      <c r="AJ403" s="140"/>
      <c r="AK403" s="140"/>
      <c r="AL403" s="140"/>
      <c r="AM403" s="140"/>
      <c r="AN403" s="140"/>
      <c r="AO403" s="140"/>
      <c r="AP403" s="437"/>
      <c r="AQ403" s="140"/>
      <c r="AR403" s="437"/>
      <c r="AS403" s="140"/>
      <c r="AT403" s="140"/>
      <c r="AU403" s="140"/>
      <c r="AV403" s="140"/>
      <c r="AW403" s="140"/>
      <c r="AX403" s="140"/>
      <c r="AY403" s="437"/>
      <c r="AZ403" s="140"/>
      <c r="BA403" s="437"/>
      <c r="BB403" s="140"/>
      <c r="BC403" s="140"/>
      <c r="BD403" s="140"/>
      <c r="BE403" s="140"/>
      <c r="BF403" s="235"/>
      <c r="BG403" s="14"/>
      <c r="BH403" s="235"/>
      <c r="BI403" s="25"/>
    </row>
    <row r="404" spans="2:61" s="1" customFormat="1">
      <c r="B404" s="30" t="s">
        <v>747</v>
      </c>
      <c r="C404" s="13" t="s">
        <v>748</v>
      </c>
      <c r="D404" s="1967"/>
      <c r="E404" s="1967"/>
      <c r="F404" s="1365">
        <f t="shared" ref="F404:F467" si="229">D404+E404</f>
        <v>0</v>
      </c>
      <c r="G404" s="1365">
        <f t="shared" si="223"/>
        <v>0</v>
      </c>
      <c r="H404" s="1967">
        <f t="shared" si="228"/>
        <v>0</v>
      </c>
      <c r="I404" s="612"/>
      <c r="J404" s="1967"/>
      <c r="K404" s="612"/>
      <c r="L404" s="1967"/>
      <c r="M404" s="1967">
        <f t="shared" si="224"/>
        <v>0</v>
      </c>
      <c r="N404" s="1967"/>
      <c r="O404" s="106"/>
      <c r="P404" s="1966"/>
      <c r="Q404" s="1967"/>
      <c r="R404" s="1966"/>
      <c r="S404" s="1537"/>
      <c r="T404" s="1966"/>
      <c r="U404" s="1537"/>
      <c r="V404" s="1966"/>
      <c r="W404" s="1966"/>
      <c r="X404" s="13"/>
      <c r="Y404" s="106">
        <v>0</v>
      </c>
      <c r="Z404" s="698">
        <v>0</v>
      </c>
      <c r="AA404" s="698"/>
      <c r="AB404" s="253"/>
      <c r="AC404" s="106"/>
      <c r="AD404" s="253"/>
      <c r="AE404" s="106"/>
      <c r="AF404" s="698"/>
      <c r="AG404" s="698"/>
      <c r="AH404" s="106"/>
      <c r="AI404" s="140"/>
      <c r="AJ404" s="140"/>
      <c r="AK404" s="140"/>
      <c r="AL404" s="140"/>
      <c r="AM404" s="140">
        <v>486180168</v>
      </c>
      <c r="AN404" s="140"/>
      <c r="AO404" s="140">
        <f t="shared" si="226"/>
        <v>486180168</v>
      </c>
      <c r="AP404" s="437"/>
      <c r="AQ404" s="140"/>
      <c r="AR404" s="437"/>
      <c r="AS404" s="140"/>
      <c r="AT404" s="140">
        <f t="shared" si="207"/>
        <v>486180168</v>
      </c>
      <c r="AU404" s="140"/>
      <c r="AV404" s="140">
        <v>515701037</v>
      </c>
      <c r="AW404" s="140"/>
      <c r="AX404" s="140">
        <f t="shared" si="227"/>
        <v>515701037</v>
      </c>
      <c r="AY404" s="437"/>
      <c r="AZ404" s="140"/>
      <c r="BA404" s="437"/>
      <c r="BB404" s="140"/>
      <c r="BC404" s="140">
        <f t="shared" si="208"/>
        <v>515701037</v>
      </c>
      <c r="BD404" s="140"/>
      <c r="BE404" s="140"/>
      <c r="BF404" s="235"/>
      <c r="BG404" s="14"/>
      <c r="BH404" s="235"/>
      <c r="BI404" s="25"/>
    </row>
    <row r="405" spans="2:61" s="1" customFormat="1">
      <c r="B405" s="30" t="s">
        <v>747</v>
      </c>
      <c r="C405" s="13" t="s">
        <v>749</v>
      </c>
      <c r="D405" s="1967">
        <v>0</v>
      </c>
      <c r="E405" s="1967"/>
      <c r="F405" s="1365">
        <f t="shared" si="229"/>
        <v>0</v>
      </c>
      <c r="G405" s="1365">
        <f t="shared" si="223"/>
        <v>0</v>
      </c>
      <c r="H405" s="1967">
        <f t="shared" si="228"/>
        <v>0</v>
      </c>
      <c r="I405" s="612"/>
      <c r="J405" s="1967"/>
      <c r="K405" s="612"/>
      <c r="L405" s="1967"/>
      <c r="M405" s="1967">
        <f t="shared" si="224"/>
        <v>0</v>
      </c>
      <c r="N405" s="1967"/>
      <c r="O405" s="106"/>
      <c r="P405" s="1966"/>
      <c r="Q405" s="1967"/>
      <c r="R405" s="1966"/>
      <c r="S405" s="1537"/>
      <c r="T405" s="1966"/>
      <c r="U405" s="1537"/>
      <c r="V405" s="1966"/>
      <c r="W405" s="1966"/>
      <c r="X405" s="13"/>
      <c r="Y405" s="106">
        <v>0</v>
      </c>
      <c r="Z405" s="698">
        <v>0</v>
      </c>
      <c r="AA405" s="698"/>
      <c r="AB405" s="253"/>
      <c r="AC405" s="106"/>
      <c r="AD405" s="253"/>
      <c r="AE405" s="106"/>
      <c r="AF405" s="698"/>
      <c r="AG405" s="698"/>
      <c r="AH405" s="106"/>
      <c r="AI405" s="140"/>
      <c r="AJ405" s="140"/>
      <c r="AK405" s="140"/>
      <c r="AL405" s="140"/>
      <c r="AM405" s="140">
        <v>659209102</v>
      </c>
      <c r="AN405" s="140">
        <v>109597384</v>
      </c>
      <c r="AO405" s="140">
        <f t="shared" si="226"/>
        <v>768806486</v>
      </c>
      <c r="AP405" s="437"/>
      <c r="AQ405" s="140"/>
      <c r="AR405" s="437"/>
      <c r="AS405" s="140"/>
      <c r="AT405" s="140">
        <f t="shared" si="207"/>
        <v>768806486</v>
      </c>
      <c r="AU405" s="140"/>
      <c r="AV405" s="140">
        <v>1138255977</v>
      </c>
      <c r="AW405" s="140">
        <v>1484439340</v>
      </c>
      <c r="AX405" s="140">
        <f t="shared" si="227"/>
        <v>2622695317</v>
      </c>
      <c r="AY405" s="437"/>
      <c r="AZ405" s="140"/>
      <c r="BA405" s="437"/>
      <c r="BB405" s="140"/>
      <c r="BC405" s="140">
        <f t="shared" si="208"/>
        <v>2622695317</v>
      </c>
      <c r="BD405" s="140"/>
      <c r="BE405" s="140"/>
      <c r="BF405" s="235"/>
      <c r="BG405" s="14"/>
      <c r="BH405" s="235"/>
      <c r="BI405" s="25"/>
    </row>
    <row r="406" spans="2:61" s="1" customFormat="1">
      <c r="B406" s="30" t="s">
        <v>407</v>
      </c>
      <c r="C406" s="13" t="s">
        <v>750</v>
      </c>
      <c r="D406" s="1967"/>
      <c r="E406" s="1967"/>
      <c r="F406" s="1365">
        <f t="shared" si="229"/>
        <v>0</v>
      </c>
      <c r="G406" s="1365">
        <f t="shared" si="223"/>
        <v>0</v>
      </c>
      <c r="H406" s="1967">
        <f t="shared" si="228"/>
        <v>0</v>
      </c>
      <c r="I406" s="612"/>
      <c r="J406" s="1967"/>
      <c r="K406" s="612"/>
      <c r="L406" s="1967"/>
      <c r="M406" s="1967">
        <f t="shared" si="224"/>
        <v>0</v>
      </c>
      <c r="N406" s="1967"/>
      <c r="O406" s="106"/>
      <c r="P406" s="1966"/>
      <c r="Q406" s="1967"/>
      <c r="R406" s="1966"/>
      <c r="S406" s="1537"/>
      <c r="T406" s="1966"/>
      <c r="U406" s="1537"/>
      <c r="V406" s="1966"/>
      <c r="W406" s="1966"/>
      <c r="X406" s="13"/>
      <c r="Y406" s="106">
        <v>0</v>
      </c>
      <c r="Z406" s="698">
        <v>0</v>
      </c>
      <c r="AA406" s="698"/>
      <c r="AB406" s="253"/>
      <c r="AC406" s="106"/>
      <c r="AD406" s="253"/>
      <c r="AE406" s="106"/>
      <c r="AF406" s="698"/>
      <c r="AG406" s="698"/>
      <c r="AH406" s="106"/>
      <c r="AI406" s="140"/>
      <c r="AJ406" s="140"/>
      <c r="AK406" s="140"/>
      <c r="AL406" s="140"/>
      <c r="AM406" s="140"/>
      <c r="AN406" s="140">
        <v>63500000</v>
      </c>
      <c r="AO406" s="140">
        <f t="shared" si="226"/>
        <v>63500000</v>
      </c>
      <c r="AP406" s="437"/>
      <c r="AQ406" s="140"/>
      <c r="AR406" s="437"/>
      <c r="AS406" s="140"/>
      <c r="AT406" s="140">
        <f t="shared" si="207"/>
        <v>63500000</v>
      </c>
      <c r="AU406" s="140"/>
      <c r="AV406" s="140"/>
      <c r="AW406" s="140">
        <v>46650001</v>
      </c>
      <c r="AX406" s="140">
        <f t="shared" si="227"/>
        <v>46650001</v>
      </c>
      <c r="AY406" s="437"/>
      <c r="AZ406" s="140"/>
      <c r="BA406" s="437"/>
      <c r="BB406" s="140"/>
      <c r="BC406" s="140">
        <f t="shared" si="208"/>
        <v>46650001</v>
      </c>
      <c r="BD406" s="140"/>
      <c r="BE406" s="140"/>
      <c r="BF406" s="235"/>
      <c r="BG406" s="14"/>
      <c r="BH406" s="235"/>
      <c r="BI406" s="25"/>
    </row>
    <row r="407" spans="2:61" s="1" customFormat="1">
      <c r="B407" s="30" t="s">
        <v>407</v>
      </c>
      <c r="C407" s="13" t="s">
        <v>751</v>
      </c>
      <c r="D407" s="1967"/>
      <c r="E407" s="1967"/>
      <c r="F407" s="1365">
        <f t="shared" si="229"/>
        <v>0</v>
      </c>
      <c r="G407" s="1365">
        <f t="shared" si="223"/>
        <v>0</v>
      </c>
      <c r="H407" s="1967">
        <f t="shared" si="228"/>
        <v>0</v>
      </c>
      <c r="I407" s="612"/>
      <c r="J407" s="1967"/>
      <c r="K407" s="612"/>
      <c r="L407" s="1967"/>
      <c r="M407" s="1967">
        <f t="shared" si="224"/>
        <v>0</v>
      </c>
      <c r="N407" s="1967"/>
      <c r="O407" s="106"/>
      <c r="P407" s="1966"/>
      <c r="Q407" s="1967"/>
      <c r="R407" s="1966"/>
      <c r="S407" s="1537"/>
      <c r="T407" s="1966"/>
      <c r="U407" s="1537"/>
      <c r="V407" s="1966"/>
      <c r="W407" s="1966"/>
      <c r="X407" s="13"/>
      <c r="Y407" s="106">
        <v>0</v>
      </c>
      <c r="Z407" s="698">
        <v>0</v>
      </c>
      <c r="AA407" s="698"/>
      <c r="AB407" s="253"/>
      <c r="AC407" s="106"/>
      <c r="AD407" s="253"/>
      <c r="AE407" s="106"/>
      <c r="AF407" s="698"/>
      <c r="AG407" s="698"/>
      <c r="AH407" s="106"/>
      <c r="AI407" s="140"/>
      <c r="AJ407" s="140"/>
      <c r="AK407" s="140"/>
      <c r="AL407" s="140"/>
      <c r="AM407" s="140"/>
      <c r="AN407" s="140"/>
      <c r="AO407" s="140">
        <f t="shared" si="226"/>
        <v>0</v>
      </c>
      <c r="AP407" s="437"/>
      <c r="AQ407" s="140"/>
      <c r="AR407" s="437"/>
      <c r="AS407" s="140"/>
      <c r="AT407" s="140">
        <f t="shared" si="207"/>
        <v>0</v>
      </c>
      <c r="AU407" s="140"/>
      <c r="AV407" s="140"/>
      <c r="AW407" s="140">
        <v>32317650</v>
      </c>
      <c r="AX407" s="140">
        <f t="shared" si="227"/>
        <v>32317650</v>
      </c>
      <c r="AY407" s="437"/>
      <c r="AZ407" s="140"/>
      <c r="BA407" s="437"/>
      <c r="BB407" s="140"/>
      <c r="BC407" s="140">
        <f t="shared" si="208"/>
        <v>32317650</v>
      </c>
      <c r="BD407" s="140"/>
      <c r="BE407" s="140"/>
      <c r="BF407" s="235"/>
      <c r="BG407" s="14"/>
      <c r="BH407" s="235"/>
      <c r="BI407" s="25"/>
    </row>
    <row r="408" spans="2:61" s="1" customFormat="1">
      <c r="B408" s="30" t="s">
        <v>407</v>
      </c>
      <c r="C408" s="13" t="s">
        <v>752</v>
      </c>
      <c r="D408" s="1967"/>
      <c r="E408" s="1967"/>
      <c r="F408" s="1365">
        <f t="shared" si="229"/>
        <v>0</v>
      </c>
      <c r="G408" s="1365">
        <f t="shared" si="223"/>
        <v>0</v>
      </c>
      <c r="H408" s="1967">
        <f t="shared" si="228"/>
        <v>0</v>
      </c>
      <c r="I408" s="612"/>
      <c r="J408" s="1967"/>
      <c r="K408" s="612"/>
      <c r="L408" s="1967"/>
      <c r="M408" s="1967">
        <f t="shared" si="224"/>
        <v>0</v>
      </c>
      <c r="N408" s="1967"/>
      <c r="O408" s="106"/>
      <c r="P408" s="1966"/>
      <c r="Q408" s="1967"/>
      <c r="R408" s="1966"/>
      <c r="S408" s="1537"/>
      <c r="T408" s="1966"/>
      <c r="U408" s="1537"/>
      <c r="V408" s="1966"/>
      <c r="W408" s="1966"/>
      <c r="X408" s="13"/>
      <c r="Y408" s="106">
        <v>0</v>
      </c>
      <c r="Z408" s="698">
        <v>0</v>
      </c>
      <c r="AA408" s="698"/>
      <c r="AB408" s="253"/>
      <c r="AC408" s="106"/>
      <c r="AD408" s="253"/>
      <c r="AE408" s="106"/>
      <c r="AF408" s="698"/>
      <c r="AG408" s="698"/>
      <c r="AH408" s="106"/>
      <c r="AI408" s="140"/>
      <c r="AJ408" s="140"/>
      <c r="AK408" s="140"/>
      <c r="AL408" s="140"/>
      <c r="AM408" s="140"/>
      <c r="AN408" s="140"/>
      <c r="AO408" s="140">
        <f t="shared" si="226"/>
        <v>0</v>
      </c>
      <c r="AP408" s="437"/>
      <c r="AQ408" s="140"/>
      <c r="AR408" s="437"/>
      <c r="AS408" s="140"/>
      <c r="AT408" s="140">
        <f t="shared" si="207"/>
        <v>0</v>
      </c>
      <c r="AU408" s="140"/>
      <c r="AV408" s="140"/>
      <c r="AW408" s="140">
        <v>173715000</v>
      </c>
      <c r="AX408" s="140">
        <f t="shared" si="227"/>
        <v>173715000</v>
      </c>
      <c r="AY408" s="437"/>
      <c r="AZ408" s="140"/>
      <c r="BA408" s="437"/>
      <c r="BB408" s="140"/>
      <c r="BC408" s="140">
        <f t="shared" si="208"/>
        <v>173715000</v>
      </c>
      <c r="BD408" s="140"/>
      <c r="BE408" s="140"/>
      <c r="BF408" s="235"/>
      <c r="BG408" s="14"/>
      <c r="BH408" s="235"/>
      <c r="BI408" s="25"/>
    </row>
    <row r="409" spans="2:61" s="1" customFormat="1">
      <c r="B409" s="30" t="s">
        <v>407</v>
      </c>
      <c r="C409" s="13" t="s">
        <v>753</v>
      </c>
      <c r="D409" s="1967"/>
      <c r="E409" s="1967"/>
      <c r="F409" s="1365">
        <f t="shared" si="229"/>
        <v>0</v>
      </c>
      <c r="G409" s="1365">
        <f t="shared" si="223"/>
        <v>0</v>
      </c>
      <c r="H409" s="1967">
        <f t="shared" si="228"/>
        <v>0</v>
      </c>
      <c r="I409" s="612"/>
      <c r="J409" s="1967"/>
      <c r="K409" s="612"/>
      <c r="L409" s="1967"/>
      <c r="M409" s="1967">
        <f t="shared" si="224"/>
        <v>0</v>
      </c>
      <c r="N409" s="1967"/>
      <c r="O409" s="106"/>
      <c r="P409" s="1966"/>
      <c r="Q409" s="1967"/>
      <c r="R409" s="1966"/>
      <c r="S409" s="1537"/>
      <c r="T409" s="1966"/>
      <c r="U409" s="1537"/>
      <c r="V409" s="1966"/>
      <c r="W409" s="1966"/>
      <c r="X409" s="13"/>
      <c r="Y409" s="106">
        <v>0</v>
      </c>
      <c r="Z409" s="698">
        <v>0</v>
      </c>
      <c r="AA409" s="698"/>
      <c r="AB409" s="253"/>
      <c r="AC409" s="106"/>
      <c r="AD409" s="253"/>
      <c r="AE409" s="106"/>
      <c r="AF409" s="698"/>
      <c r="AG409" s="698"/>
      <c r="AH409" s="106"/>
      <c r="AI409" s="140"/>
      <c r="AJ409" s="140"/>
      <c r="AK409" s="140"/>
      <c r="AL409" s="140"/>
      <c r="AM409" s="140"/>
      <c r="AN409" s="140"/>
      <c r="AO409" s="140">
        <f t="shared" si="226"/>
        <v>0</v>
      </c>
      <c r="AP409" s="437"/>
      <c r="AQ409" s="140"/>
      <c r="AR409" s="437"/>
      <c r="AS409" s="140"/>
      <c r="AT409" s="140">
        <f t="shared" si="207"/>
        <v>0</v>
      </c>
      <c r="AU409" s="140"/>
      <c r="AV409" s="140"/>
      <c r="AW409" s="140">
        <v>8000000</v>
      </c>
      <c r="AX409" s="140">
        <f t="shared" si="227"/>
        <v>8000000</v>
      </c>
      <c r="AY409" s="437"/>
      <c r="AZ409" s="140"/>
      <c r="BA409" s="437"/>
      <c r="BB409" s="140"/>
      <c r="BC409" s="140">
        <f t="shared" si="208"/>
        <v>8000000</v>
      </c>
      <c r="BD409" s="140"/>
      <c r="BE409" s="140"/>
      <c r="BF409" s="235"/>
      <c r="BG409" s="14"/>
      <c r="BH409" s="235">
        <v>0</v>
      </c>
      <c r="BI409" s="25"/>
    </row>
    <row r="410" spans="2:61" s="1" customFormat="1">
      <c r="B410" s="30" t="s">
        <v>407</v>
      </c>
      <c r="C410" s="1976" t="s">
        <v>754</v>
      </c>
      <c r="D410" s="1971"/>
      <c r="E410" s="1983">
        <v>61090000</v>
      </c>
      <c r="F410" s="1365">
        <f t="shared" si="229"/>
        <v>61090000</v>
      </c>
      <c r="G410" s="1365">
        <f t="shared" si="223"/>
        <v>0</v>
      </c>
      <c r="H410" s="1967">
        <f t="shared" ref="H410" si="230">D410+E410</f>
        <v>61090000</v>
      </c>
      <c r="I410" s="612"/>
      <c r="J410" s="1967"/>
      <c r="K410" s="612"/>
      <c r="L410" s="1967"/>
      <c r="M410" s="2143">
        <f t="shared" ref="M410" si="231">ROUND((H410-J410+L410),0)</f>
        <v>61090000</v>
      </c>
      <c r="N410" s="1971"/>
      <c r="O410" s="1972"/>
      <c r="P410" s="1968"/>
      <c r="Q410" s="1971"/>
      <c r="R410" s="1968"/>
      <c r="S410" s="1969"/>
      <c r="T410" s="1968"/>
      <c r="U410" s="1969"/>
      <c r="V410" s="1968"/>
      <c r="W410" s="1968"/>
      <c r="X410" s="1970"/>
      <c r="Y410" s="1972"/>
      <c r="Z410" s="1973"/>
      <c r="AA410" s="1973"/>
      <c r="AB410" s="253"/>
      <c r="AC410" s="106"/>
      <c r="AD410" s="253"/>
      <c r="AE410" s="106"/>
      <c r="AF410" s="1973"/>
      <c r="AG410" s="1973"/>
      <c r="AH410" s="106"/>
      <c r="AI410" s="47"/>
      <c r="AJ410" s="47"/>
      <c r="AK410" s="47"/>
      <c r="AL410" s="47"/>
      <c r="AM410" s="47"/>
      <c r="AN410" s="47"/>
      <c r="AO410" s="47"/>
      <c r="AP410" s="785"/>
      <c r="AQ410" s="47"/>
      <c r="AR410" s="785"/>
      <c r="AS410" s="47"/>
      <c r="AT410" s="47"/>
      <c r="AU410" s="47"/>
      <c r="AV410" s="47"/>
      <c r="AW410" s="47"/>
      <c r="AX410" s="47"/>
      <c r="AY410" s="785"/>
      <c r="AZ410" s="47"/>
      <c r="BA410" s="785"/>
      <c r="BB410" s="47"/>
      <c r="BC410" s="47"/>
      <c r="BD410" s="47"/>
      <c r="BE410" s="140"/>
      <c r="BF410" s="1941"/>
      <c r="BG410" s="14"/>
      <c r="BH410" s="1941"/>
      <c r="BI410" s="25"/>
    </row>
    <row r="411" spans="2:61" s="1" customFormat="1">
      <c r="B411" s="30" t="s">
        <v>407</v>
      </c>
      <c r="C411" s="1976" t="s">
        <v>755</v>
      </c>
      <c r="D411" s="1971"/>
      <c r="E411" s="1971">
        <v>0</v>
      </c>
      <c r="F411" s="1365">
        <f t="shared" si="229"/>
        <v>0</v>
      </c>
      <c r="G411" s="1365">
        <f t="shared" si="223"/>
        <v>0</v>
      </c>
      <c r="H411" s="1967">
        <f t="shared" ref="H411" si="232">D411+E411</f>
        <v>0</v>
      </c>
      <c r="I411" s="612"/>
      <c r="J411" s="1967"/>
      <c r="K411" s="612"/>
      <c r="L411" s="1967"/>
      <c r="M411" s="1967">
        <f t="shared" ref="M411" si="233">ROUND((H411-J411+L411),0)</f>
        <v>0</v>
      </c>
      <c r="N411" s="1971"/>
      <c r="O411" s="1972"/>
      <c r="P411" s="1968"/>
      <c r="Q411" s="1971"/>
      <c r="R411" s="1968"/>
      <c r="S411" s="1969"/>
      <c r="T411" s="1968"/>
      <c r="U411" s="1969"/>
      <c r="V411" s="1968"/>
      <c r="W411" s="1968"/>
      <c r="X411" s="1970"/>
      <c r="Y411" s="1972"/>
      <c r="Z411" s="1973"/>
      <c r="AA411" s="1973"/>
      <c r="AB411" s="253"/>
      <c r="AC411" s="106"/>
      <c r="AD411" s="253"/>
      <c r="AE411" s="106"/>
      <c r="AF411" s="1973"/>
      <c r="AG411" s="1973"/>
      <c r="AH411" s="106"/>
      <c r="AI411" s="47"/>
      <c r="AJ411" s="47"/>
      <c r="AK411" s="47"/>
      <c r="AL411" s="47"/>
      <c r="AM411" s="47"/>
      <c r="AN411" s="47"/>
      <c r="AO411" s="47"/>
      <c r="AP411" s="785"/>
      <c r="AQ411" s="47"/>
      <c r="AR411" s="785"/>
      <c r="AS411" s="47"/>
      <c r="AT411" s="47"/>
      <c r="AU411" s="47"/>
      <c r="AV411" s="47"/>
      <c r="AW411" s="47"/>
      <c r="AX411" s="47"/>
      <c r="AY411" s="785"/>
      <c r="AZ411" s="47"/>
      <c r="BA411" s="785"/>
      <c r="BB411" s="47"/>
      <c r="BC411" s="47"/>
      <c r="BD411" s="47"/>
      <c r="BE411" s="140"/>
      <c r="BF411" s="1941"/>
      <c r="BG411" s="14"/>
      <c r="BH411" s="1941"/>
      <c r="BI411" s="25"/>
    </row>
    <row r="412" spans="2:61" s="1" customFormat="1">
      <c r="B412" s="30"/>
      <c r="C412" s="1407" t="s">
        <v>730</v>
      </c>
      <c r="D412" s="2287">
        <v>71230920</v>
      </c>
      <c r="E412" s="1971"/>
      <c r="F412" s="1365">
        <f t="shared" si="229"/>
        <v>71230920</v>
      </c>
      <c r="G412" s="1365">
        <f t="shared" si="223"/>
        <v>0</v>
      </c>
      <c r="H412" s="1967">
        <f t="shared" si="228"/>
        <v>71230920</v>
      </c>
      <c r="I412" s="1995"/>
      <c r="J412" s="1971"/>
      <c r="K412" s="1995"/>
      <c r="L412" s="1971"/>
      <c r="M412" s="2143">
        <f t="shared" si="224"/>
        <v>71230920</v>
      </c>
      <c r="N412" s="1971"/>
      <c r="O412" s="1972"/>
      <c r="P412" s="1968"/>
      <c r="Q412" s="1971"/>
      <c r="R412" s="1968"/>
      <c r="S412" s="1969"/>
      <c r="T412" s="1968"/>
      <c r="U412" s="1969"/>
      <c r="V412" s="1968"/>
      <c r="W412" s="1968"/>
      <c r="X412" s="1970"/>
      <c r="Y412" s="1972"/>
      <c r="Z412" s="1973"/>
      <c r="AA412" s="1973"/>
      <c r="AB412" s="253"/>
      <c r="AC412" s="106"/>
      <c r="AD412" s="253"/>
      <c r="AE412" s="106"/>
      <c r="AF412" s="1973"/>
      <c r="AG412" s="1973"/>
      <c r="AH412" s="106"/>
      <c r="AI412" s="47"/>
      <c r="AJ412" s="47"/>
      <c r="AK412" s="47"/>
      <c r="AL412" s="47"/>
      <c r="AM412" s="47"/>
      <c r="AN412" s="47"/>
      <c r="AO412" s="47"/>
      <c r="AP412" s="785"/>
      <c r="AQ412" s="47"/>
      <c r="AR412" s="785"/>
      <c r="AS412" s="47"/>
      <c r="AT412" s="47"/>
      <c r="AU412" s="47"/>
      <c r="AV412" s="47"/>
      <c r="AW412" s="47"/>
      <c r="AX412" s="47"/>
      <c r="AY412" s="785"/>
      <c r="AZ412" s="47"/>
      <c r="BA412" s="785"/>
      <c r="BB412" s="47"/>
      <c r="BC412" s="47"/>
      <c r="BD412" s="47"/>
      <c r="BE412" s="140"/>
      <c r="BF412" s="1941"/>
      <c r="BG412" s="14"/>
      <c r="BH412" s="1941"/>
      <c r="BI412" s="25"/>
    </row>
    <row r="413" spans="2:61" s="1" customFormat="1">
      <c r="B413" s="30"/>
      <c r="C413" s="1407" t="s">
        <v>756</v>
      </c>
      <c r="D413" s="1971">
        <v>0</v>
      </c>
      <c r="E413" s="1971"/>
      <c r="F413" s="1365">
        <f t="shared" si="229"/>
        <v>0</v>
      </c>
      <c r="G413" s="1365">
        <f t="shared" si="223"/>
        <v>0</v>
      </c>
      <c r="H413" s="1967">
        <f t="shared" si="228"/>
        <v>0</v>
      </c>
      <c r="I413" s="1995"/>
      <c r="J413" s="1971"/>
      <c r="K413" s="1995"/>
      <c r="L413" s="1971"/>
      <c r="M413" s="1967">
        <f t="shared" si="224"/>
        <v>0</v>
      </c>
      <c r="N413" s="1971"/>
      <c r="O413" s="1972"/>
      <c r="P413" s="1968"/>
      <c r="Q413" s="1971"/>
      <c r="R413" s="1968"/>
      <c r="S413" s="1969"/>
      <c r="T413" s="1968"/>
      <c r="U413" s="1969"/>
      <c r="V413" s="1968"/>
      <c r="W413" s="1968"/>
      <c r="X413" s="1970"/>
      <c r="Y413" s="1972"/>
      <c r="Z413" s="1973"/>
      <c r="AA413" s="1973"/>
      <c r="AB413" s="253"/>
      <c r="AC413" s="106"/>
      <c r="AD413" s="253"/>
      <c r="AE413" s="106"/>
      <c r="AF413" s="1973"/>
      <c r="AG413" s="1973"/>
      <c r="AH413" s="106"/>
      <c r="AI413" s="47"/>
      <c r="AJ413" s="47"/>
      <c r="AK413" s="47"/>
      <c r="AL413" s="47"/>
      <c r="AM413" s="47"/>
      <c r="AN413" s="47"/>
      <c r="AO413" s="47"/>
      <c r="AP413" s="785"/>
      <c r="AQ413" s="47"/>
      <c r="AR413" s="785"/>
      <c r="AS413" s="47"/>
      <c r="AT413" s="47"/>
      <c r="AU413" s="47"/>
      <c r="AV413" s="47"/>
      <c r="AW413" s="47"/>
      <c r="AX413" s="47"/>
      <c r="AY413" s="785"/>
      <c r="AZ413" s="47"/>
      <c r="BA413" s="785"/>
      <c r="BB413" s="47"/>
      <c r="BC413" s="47"/>
      <c r="BD413" s="47"/>
      <c r="BE413" s="140"/>
      <c r="BF413" s="1941"/>
      <c r="BG413" s="14"/>
      <c r="BH413" s="1941"/>
      <c r="BI413" s="25"/>
    </row>
    <row r="414" spans="2:61" s="1" customFormat="1">
      <c r="B414" s="30"/>
      <c r="C414" s="1407" t="s">
        <v>757</v>
      </c>
      <c r="D414" s="2287">
        <f>ROUND(54835464.9,0)</f>
        <v>54835465</v>
      </c>
      <c r="E414" s="1971"/>
      <c r="F414" s="1365">
        <f t="shared" si="229"/>
        <v>54835465</v>
      </c>
      <c r="G414" s="1365">
        <f t="shared" si="223"/>
        <v>0</v>
      </c>
      <c r="H414" s="1967">
        <f t="shared" si="228"/>
        <v>54835465</v>
      </c>
      <c r="I414" s="1995"/>
      <c r="J414" s="1971"/>
      <c r="K414" s="1995"/>
      <c r="L414" s="1971"/>
      <c r="M414" s="2143">
        <f t="shared" si="224"/>
        <v>54835465</v>
      </c>
      <c r="N414" s="1971"/>
      <c r="O414" s="1972"/>
      <c r="P414" s="1968"/>
      <c r="Q414" s="1971"/>
      <c r="R414" s="1968"/>
      <c r="S414" s="1969"/>
      <c r="T414" s="1968"/>
      <c r="U414" s="1969"/>
      <c r="V414" s="1968"/>
      <c r="W414" s="1968"/>
      <c r="X414" s="1970"/>
      <c r="Y414" s="1972"/>
      <c r="Z414" s="1973"/>
      <c r="AA414" s="1973"/>
      <c r="AB414" s="253"/>
      <c r="AC414" s="106"/>
      <c r="AD414" s="253"/>
      <c r="AE414" s="106"/>
      <c r="AF414" s="1973"/>
      <c r="AG414" s="1973"/>
      <c r="AH414" s="106"/>
      <c r="AI414" s="47"/>
      <c r="AJ414" s="47"/>
      <c r="AK414" s="47"/>
      <c r="AL414" s="47"/>
      <c r="AM414" s="47"/>
      <c r="AN414" s="47"/>
      <c r="AO414" s="47"/>
      <c r="AP414" s="785"/>
      <c r="AQ414" s="47"/>
      <c r="AR414" s="785"/>
      <c r="AS414" s="47"/>
      <c r="AT414" s="47"/>
      <c r="AU414" s="47"/>
      <c r="AV414" s="47"/>
      <c r="AW414" s="47"/>
      <c r="AX414" s="47"/>
      <c r="AY414" s="785"/>
      <c r="AZ414" s="47"/>
      <c r="BA414" s="785"/>
      <c r="BB414" s="47"/>
      <c r="BC414" s="47"/>
      <c r="BD414" s="47"/>
      <c r="BE414" s="140"/>
      <c r="BF414" s="1941"/>
      <c r="BG414" s="14"/>
      <c r="BH414" s="1941"/>
      <c r="BI414" s="25"/>
    </row>
    <row r="415" spans="2:61" s="1" customFormat="1">
      <c r="B415" s="30"/>
      <c r="C415" s="1407" t="s">
        <v>758</v>
      </c>
      <c r="D415" s="2287">
        <f>ROUND(648548775.35,0)</f>
        <v>648548775</v>
      </c>
      <c r="E415" s="1971"/>
      <c r="F415" s="1365">
        <f t="shared" si="229"/>
        <v>648548775</v>
      </c>
      <c r="G415" s="1365">
        <f t="shared" si="223"/>
        <v>0</v>
      </c>
      <c r="H415" s="1967">
        <f t="shared" si="228"/>
        <v>648548775</v>
      </c>
      <c r="I415" s="1995"/>
      <c r="J415" s="1971"/>
      <c r="K415" s="1995"/>
      <c r="L415" s="1971"/>
      <c r="M415" s="2143">
        <f t="shared" si="224"/>
        <v>648548775</v>
      </c>
      <c r="N415" s="1971"/>
      <c r="O415" s="1972"/>
      <c r="P415" s="1968"/>
      <c r="Q415" s="1971"/>
      <c r="R415" s="1968"/>
      <c r="S415" s="1969"/>
      <c r="T415" s="1968"/>
      <c r="U415" s="1969"/>
      <c r="V415" s="1968"/>
      <c r="W415" s="1968"/>
      <c r="X415" s="1970"/>
      <c r="Y415" s="1972"/>
      <c r="Z415" s="1973"/>
      <c r="AA415" s="1973"/>
      <c r="AB415" s="253"/>
      <c r="AC415" s="106"/>
      <c r="AD415" s="253"/>
      <c r="AE415" s="106"/>
      <c r="AF415" s="1973"/>
      <c r="AG415" s="1973"/>
      <c r="AH415" s="106"/>
      <c r="AI415" s="47"/>
      <c r="AJ415" s="47"/>
      <c r="AK415" s="47"/>
      <c r="AL415" s="47"/>
      <c r="AM415" s="47"/>
      <c r="AN415" s="47"/>
      <c r="AO415" s="47"/>
      <c r="AP415" s="785"/>
      <c r="AQ415" s="47"/>
      <c r="AR415" s="785"/>
      <c r="AS415" s="47"/>
      <c r="AT415" s="47"/>
      <c r="AU415" s="47"/>
      <c r="AV415" s="47"/>
      <c r="AW415" s="47"/>
      <c r="AX415" s="47"/>
      <c r="AY415" s="785"/>
      <c r="AZ415" s="47"/>
      <c r="BA415" s="785"/>
      <c r="BB415" s="47"/>
      <c r="BC415" s="47"/>
      <c r="BD415" s="47"/>
      <c r="BE415" s="140"/>
      <c r="BF415" s="1941"/>
      <c r="BG415" s="14"/>
      <c r="BH415" s="1941"/>
      <c r="BI415" s="25"/>
    </row>
    <row r="416" spans="2:61" s="1" customFormat="1">
      <c r="B416" s="30"/>
      <c r="C416" s="1407" t="s">
        <v>759</v>
      </c>
      <c r="D416" s="2287">
        <v>29399082</v>
      </c>
      <c r="E416" s="1971"/>
      <c r="F416" s="1365">
        <f t="shared" si="229"/>
        <v>29399082</v>
      </c>
      <c r="G416" s="1365">
        <f t="shared" si="223"/>
        <v>0</v>
      </c>
      <c r="H416" s="1967">
        <f t="shared" si="228"/>
        <v>29399082</v>
      </c>
      <c r="I416" s="1995"/>
      <c r="J416" s="1971"/>
      <c r="K416" s="1995"/>
      <c r="L416" s="1971"/>
      <c r="M416" s="2143">
        <f t="shared" si="224"/>
        <v>29399082</v>
      </c>
      <c r="N416" s="1971"/>
      <c r="O416" s="1972"/>
      <c r="P416" s="1968"/>
      <c r="Q416" s="1971"/>
      <c r="R416" s="1968"/>
      <c r="S416" s="1969"/>
      <c r="T416" s="1968"/>
      <c r="U416" s="1969"/>
      <c r="V416" s="1968"/>
      <c r="W416" s="1968"/>
      <c r="X416" s="1970"/>
      <c r="Y416" s="1972"/>
      <c r="Z416" s="1973"/>
      <c r="AA416" s="1973"/>
      <c r="AB416" s="253"/>
      <c r="AC416" s="106"/>
      <c r="AD416" s="253"/>
      <c r="AE416" s="106"/>
      <c r="AF416" s="1973"/>
      <c r="AG416" s="1973"/>
      <c r="AH416" s="106"/>
      <c r="AI416" s="47"/>
      <c r="AJ416" s="47"/>
      <c r="AK416" s="47"/>
      <c r="AL416" s="47"/>
      <c r="AM416" s="47"/>
      <c r="AN416" s="47"/>
      <c r="AO416" s="47"/>
      <c r="AP416" s="785"/>
      <c r="AQ416" s="47"/>
      <c r="AR416" s="785"/>
      <c r="AS416" s="47"/>
      <c r="AT416" s="47"/>
      <c r="AU416" s="47"/>
      <c r="AV416" s="47"/>
      <c r="AW416" s="47"/>
      <c r="AX416" s="47"/>
      <c r="AY416" s="785"/>
      <c r="AZ416" s="47"/>
      <c r="BA416" s="785"/>
      <c r="BB416" s="47"/>
      <c r="BC416" s="47"/>
      <c r="BD416" s="47"/>
      <c r="BE416" s="140"/>
      <c r="BF416" s="1941"/>
      <c r="BG416" s="14"/>
      <c r="BH416" s="1941"/>
      <c r="BI416" s="25"/>
    </row>
    <row r="417" spans="2:61" s="1" customFormat="1">
      <c r="B417" s="19"/>
      <c r="C417" s="19" t="s">
        <v>760</v>
      </c>
      <c r="D417" s="1366">
        <f>SUM(D290:D416)</f>
        <v>5645015301.5</v>
      </c>
      <c r="E417" s="1366">
        <f>SUM(E290:E416)</f>
        <v>4719471163.8599854</v>
      </c>
      <c r="F417" s="1365">
        <f t="shared" si="229"/>
        <v>10364486465.359985</v>
      </c>
      <c r="G417" s="1365">
        <f t="shared" si="223"/>
        <v>0</v>
      </c>
      <c r="H417" s="1366">
        <f>SUM(H290:H416)</f>
        <v>10364486465.359985</v>
      </c>
      <c r="I417" s="1942"/>
      <c r="J417" s="1366"/>
      <c r="K417" s="1942"/>
      <c r="L417" s="1366"/>
      <c r="M417" s="1366">
        <f>SUM(M290:M416)</f>
        <v>10364486466</v>
      </c>
      <c r="N417" s="2260"/>
      <c r="O417" s="1989" t="s">
        <v>427</v>
      </c>
      <c r="P417" s="1483">
        <f>SUM(P290:P409)</f>
        <v>3257924290</v>
      </c>
      <c r="Q417" s="1366">
        <f>SUM(Q290:Q409)</f>
        <v>7387170280</v>
      </c>
      <c r="R417" s="1483">
        <f>SUM(R290:R409)</f>
        <v>10645094570</v>
      </c>
      <c r="S417" s="1484"/>
      <c r="T417" s="1483"/>
      <c r="U417" s="1484"/>
      <c r="V417" s="1483"/>
      <c r="W417" s="1483">
        <f>SUM(W290:W409)</f>
        <v>10645094570</v>
      </c>
      <c r="X417" s="1188"/>
      <c r="Y417" s="426">
        <f>SUM(Y290:Y409)</f>
        <v>7376718909</v>
      </c>
      <c r="Z417" s="706">
        <f>SUM(Z290:Z409)</f>
        <v>6809572845</v>
      </c>
      <c r="AA417" s="706">
        <f>SUM(AA290:AA409)</f>
        <v>14186291754</v>
      </c>
      <c r="AB417" s="601"/>
      <c r="AC417" s="223"/>
      <c r="AD417" s="601"/>
      <c r="AE417" s="223"/>
      <c r="AF417" s="706">
        <f>SUM(AF290:AF409)</f>
        <v>14186291754</v>
      </c>
      <c r="AG417" s="748"/>
      <c r="AH417" s="228"/>
      <c r="AI417" s="426">
        <f>SUM(AI290:AI409)</f>
        <v>19956316533</v>
      </c>
      <c r="AJ417" s="448"/>
      <c r="AK417" s="448"/>
      <c r="AL417" s="668"/>
      <c r="AM417" s="448">
        <f>SUM(AM290:AM409)</f>
        <v>11329055741</v>
      </c>
      <c r="AN417" s="448">
        <f>SUM(AN290:AN409)</f>
        <v>8187072319</v>
      </c>
      <c r="AO417" s="448">
        <f>SUM(AO290:AO409)</f>
        <v>19516128060</v>
      </c>
      <c r="AP417" s="759"/>
      <c r="AQ417" s="448"/>
      <c r="AR417" s="759"/>
      <c r="AS417" s="448"/>
      <c r="AT417" s="1563">
        <f>SUM(AT290:AT409)</f>
        <v>19516128060</v>
      </c>
      <c r="AU417" s="20"/>
      <c r="AV417" s="448">
        <f>SUM(AV290:AV409)</f>
        <v>24741049878</v>
      </c>
      <c r="AW417" s="448">
        <f>SUM(AW290:AW409)</f>
        <v>22002703367</v>
      </c>
      <c r="AX417" s="448">
        <f>SUM(AX290:AX409)</f>
        <v>46743753245</v>
      </c>
      <c r="AY417" s="759"/>
      <c r="AZ417" s="448"/>
      <c r="BA417" s="759"/>
      <c r="BB417" s="448"/>
      <c r="BC417" s="448">
        <f>SUM(BC290:BC409)</f>
        <v>46743753245</v>
      </c>
      <c r="BD417" s="53"/>
      <c r="BE417" s="28"/>
      <c r="BF417" s="426">
        <f>SUM(BF290:BF409)</f>
        <v>12347357380</v>
      </c>
      <c r="BG417" s="29"/>
      <c r="BH417" s="426">
        <f>SUM(BH290:BH409)</f>
        <v>14116621585</v>
      </c>
      <c r="BI417" s="20"/>
    </row>
    <row r="418" spans="2:61" s="1" customFormat="1">
      <c r="B418" s="2" t="s">
        <v>761</v>
      </c>
      <c r="C418" s="2" t="s">
        <v>762</v>
      </c>
      <c r="D418" s="217"/>
      <c r="E418" s="217"/>
      <c r="F418" s="1365">
        <f t="shared" si="229"/>
        <v>0</v>
      </c>
      <c r="G418" s="1365">
        <f t="shared" si="223"/>
        <v>0</v>
      </c>
      <c r="H418" s="217"/>
      <c r="I418" s="1384"/>
      <c r="J418" s="217"/>
      <c r="K418" s="1384"/>
      <c r="L418" s="217"/>
      <c r="M418" s="217"/>
      <c r="N418" s="226"/>
      <c r="O418" s="1217"/>
      <c r="P418" s="1480"/>
      <c r="Q418" s="217"/>
      <c r="R418" s="1480"/>
      <c r="S418" s="1481"/>
      <c r="T418" s="1480"/>
      <c r="U418" s="1481"/>
      <c r="V418" s="1480"/>
      <c r="W418" s="1480"/>
      <c r="X418" s="1186"/>
      <c r="Y418" s="118"/>
      <c r="Z418" s="705"/>
      <c r="AA418" s="705"/>
      <c r="AB418" s="253"/>
      <c r="AC418" s="118"/>
      <c r="AD418" s="253"/>
      <c r="AE418" s="118"/>
      <c r="AF418" s="705"/>
      <c r="AG418" s="705"/>
      <c r="AH418" s="209"/>
      <c r="AI418" s="138"/>
      <c r="AJ418" s="138"/>
      <c r="AK418" s="138"/>
      <c r="AL418" s="670"/>
      <c r="AM418" s="138"/>
      <c r="AN418" s="138"/>
      <c r="AO418" s="138"/>
      <c r="AP418" s="437"/>
      <c r="AQ418" s="138"/>
      <c r="AR418" s="437"/>
      <c r="AS418" s="138"/>
      <c r="AT418" s="138"/>
      <c r="AU418" s="43"/>
      <c r="AV418" s="138"/>
      <c r="AW418" s="138"/>
      <c r="AX418" s="138"/>
      <c r="AY418" s="437"/>
      <c r="AZ418" s="138"/>
      <c r="BA418" s="437"/>
      <c r="BB418" s="138"/>
      <c r="BC418" s="138"/>
      <c r="BD418" s="138"/>
      <c r="BE418" s="42"/>
      <c r="BF418" s="105"/>
      <c r="BG418" s="43"/>
      <c r="BH418" s="105"/>
      <c r="BI418" s="36"/>
    </row>
    <row r="419" spans="2:61" s="1" customFormat="1">
      <c r="B419" s="4"/>
      <c r="C419" s="4" t="s">
        <v>15</v>
      </c>
      <c r="D419" s="1365">
        <v>29592782260.509995</v>
      </c>
      <c r="E419" s="1365"/>
      <c r="F419" s="1365">
        <f t="shared" si="229"/>
        <v>29592782260.509995</v>
      </c>
      <c r="G419" s="1365">
        <f t="shared" si="223"/>
        <v>-0.4900054931640625</v>
      </c>
      <c r="H419" s="1365">
        <f>ROUND((D419+E419),0)</f>
        <v>29592782261</v>
      </c>
      <c r="I419" s="1384" t="str">
        <f>'ELIM &amp; CAJE Des 24'!A11</f>
        <v>ELIM 2</v>
      </c>
      <c r="J419" s="1365">
        <f>'ELIM &amp; CAJE Des 24'!F11</f>
        <v>29592782261</v>
      </c>
      <c r="K419" s="1384"/>
      <c r="L419" s="1365"/>
      <c r="M419" s="1365">
        <f t="shared" ref="M419:M420" si="234">ROUND((H419-J419+L419),0)</f>
        <v>0</v>
      </c>
      <c r="N419" s="2259"/>
      <c r="O419" s="1058"/>
      <c r="P419" s="1482">
        <f>ROUND(34916763131.66,0)</f>
        <v>34916763132</v>
      </c>
      <c r="Q419" s="1365"/>
      <c r="R419" s="1482">
        <f>ROUND((P419+Q419),0)</f>
        <v>34916763132</v>
      </c>
      <c r="S419" s="1481" t="str">
        <f>'ELIM &amp; CAJE Sept 24'!B11</f>
        <v>ELIM 2</v>
      </c>
      <c r="T419" s="1482">
        <f>'ELIM &amp; CAJE Sept 24'!G11</f>
        <v>34916763132</v>
      </c>
      <c r="U419" s="1481"/>
      <c r="V419" s="1482"/>
      <c r="W419" s="1482">
        <f t="shared" ref="W419:W420" si="235">ROUND((R419-T419+V419),0)</f>
        <v>0</v>
      </c>
      <c r="X419" s="1187"/>
      <c r="Y419" s="90">
        <v>58472629508</v>
      </c>
      <c r="Z419" s="697"/>
      <c r="AA419" s="697">
        <f>ROUND((Y419+Z419),0)</f>
        <v>58472629508</v>
      </c>
      <c r="AB419" s="253" t="str">
        <f>'ELIM &amp; CAJE Juni 24'!B11</f>
        <v>ELIM 2</v>
      </c>
      <c r="AC419" s="90">
        <f>'ELIM &amp; CAJE Juni 24'!G11</f>
        <v>58472629508</v>
      </c>
      <c r="AD419" s="253"/>
      <c r="AE419" s="90"/>
      <c r="AF419" s="697">
        <f t="shared" ref="AF419:AF420" si="236">ROUND((AA419-AC419+AE419),0)</f>
        <v>0</v>
      </c>
      <c r="AG419" s="697"/>
      <c r="AH419" s="207"/>
      <c r="AI419" s="140">
        <v>0</v>
      </c>
      <c r="AJ419" s="140"/>
      <c r="AK419" s="140"/>
      <c r="AL419" s="673"/>
      <c r="AM419" s="140">
        <v>55459611170</v>
      </c>
      <c r="AN419" s="140"/>
      <c r="AO419" s="140">
        <f t="shared" ref="AO419:AO420" si="237">ROUND((AM419+AN419),0)</f>
        <v>55459611170</v>
      </c>
      <c r="AP419" s="437" t="str">
        <f>'ELIM &amp; CAJE Sept 23'!A10</f>
        <v>ELIM 2</v>
      </c>
      <c r="AQ419" s="140">
        <f>'ELIM &amp; CAJE Sept 23'!F13</f>
        <v>55459611170</v>
      </c>
      <c r="AR419" s="437"/>
      <c r="AS419" s="140"/>
      <c r="AT419" s="140">
        <f t="shared" ref="AT419:AT420" si="238">ROUND((AO419-AQ419+AS419),0)</f>
        <v>0</v>
      </c>
      <c r="AU419" s="66"/>
      <c r="AV419" s="140">
        <v>39815441380</v>
      </c>
      <c r="AW419" s="140"/>
      <c r="AX419" s="140">
        <f t="shared" ref="AX419:AX420" si="239">ROUND((AV419+AW419),0)</f>
        <v>39815441380</v>
      </c>
      <c r="AY419" s="437" t="str">
        <f>'ELIM Juni 23'!A10</f>
        <v>ELIM 2</v>
      </c>
      <c r="AZ419" s="140">
        <f>'ELIM Juni 23'!F10</f>
        <v>39815441380</v>
      </c>
      <c r="BA419" s="437"/>
      <c r="BB419" s="140"/>
      <c r="BC419" s="140">
        <f t="shared" ref="BC419:BC420" si="240">ROUND((AX419-AZ419+BB419),0)</f>
        <v>0</v>
      </c>
      <c r="BD419" s="140"/>
      <c r="BE419" s="40"/>
      <c r="BF419" s="235">
        <v>0</v>
      </c>
      <c r="BG419" s="70" t="s">
        <v>763</v>
      </c>
      <c r="BH419" s="235">
        <v>0</v>
      </c>
      <c r="BI419" s="343"/>
    </row>
    <row r="420" spans="2:61" s="1" customFormat="1">
      <c r="B420" s="30" t="s">
        <v>407</v>
      </c>
      <c r="C420" s="44" t="s">
        <v>17</v>
      </c>
      <c r="D420" s="1374"/>
      <c r="E420" s="1374">
        <v>4557621225</v>
      </c>
      <c r="F420" s="1365">
        <f t="shared" si="229"/>
        <v>4557621225</v>
      </c>
      <c r="G420" s="1365">
        <f t="shared" si="223"/>
        <v>0</v>
      </c>
      <c r="H420" s="1374">
        <f>ROUND((D420+E420),0)</f>
        <v>4557621225</v>
      </c>
      <c r="I420" s="1943" t="str">
        <f>'ELIM &amp; CAJE Des 24'!A14</f>
        <v>ELIM 3</v>
      </c>
      <c r="J420" s="1374">
        <f>'ELIM &amp; CAJE Des 24'!F14</f>
        <v>4557621225</v>
      </c>
      <c r="K420" s="1943"/>
      <c r="L420" s="1374"/>
      <c r="M420" s="1374">
        <f t="shared" si="234"/>
        <v>0</v>
      </c>
      <c r="N420" s="2259"/>
      <c r="O420" s="1058"/>
      <c r="P420" s="1497"/>
      <c r="Q420" s="1374">
        <f>ROUND(2637090788.15001,0)</f>
        <v>2637090788</v>
      </c>
      <c r="R420" s="1497">
        <f>ROUND((P420+Q420),0)</f>
        <v>2637090788</v>
      </c>
      <c r="S420" s="1487" t="str">
        <f>'ELIM &amp; CAJE Sept 24'!B14</f>
        <v>ELIM 3</v>
      </c>
      <c r="T420" s="1497">
        <f>'ELIM &amp; CAJE Sept 24'!G14</f>
        <v>2637090788</v>
      </c>
      <c r="U420" s="1487"/>
      <c r="V420" s="1497"/>
      <c r="W420" s="1497">
        <f t="shared" si="235"/>
        <v>0</v>
      </c>
      <c r="X420" s="1187"/>
      <c r="Y420" s="236"/>
      <c r="Z420" s="713">
        <v>2563261534</v>
      </c>
      <c r="AA420" s="713">
        <f>ROUND((Y420+Z420),0)</f>
        <v>2563261534</v>
      </c>
      <c r="AB420" s="617" t="str">
        <f>'ELIM &amp; CAJE Juni 24'!B14</f>
        <v>ELIM 3</v>
      </c>
      <c r="AC420" s="236">
        <f>'ELIM &amp; CAJE Juni 24'!G14</f>
        <v>2563261534</v>
      </c>
      <c r="AD420" s="617"/>
      <c r="AE420" s="236"/>
      <c r="AF420" s="713">
        <f t="shared" si="236"/>
        <v>0</v>
      </c>
      <c r="AG420" s="713"/>
      <c r="AH420" s="207"/>
      <c r="AI420" s="140">
        <v>0</v>
      </c>
      <c r="AJ420" s="140"/>
      <c r="AK420" s="140"/>
      <c r="AL420" s="673"/>
      <c r="AM420" s="140"/>
      <c r="AN420" s="140">
        <v>6441405695</v>
      </c>
      <c r="AO420" s="140">
        <f t="shared" si="237"/>
        <v>6441405695</v>
      </c>
      <c r="AP420" s="437" t="str">
        <f>'ELIM &amp; CAJE Sept 23'!A13</f>
        <v>ELIM 3</v>
      </c>
      <c r="AQ420" s="140">
        <f>'ELIM &amp; CAJE Sept 23'!F10</f>
        <v>6441405695</v>
      </c>
      <c r="AR420" s="437"/>
      <c r="AS420" s="140"/>
      <c r="AT420" s="140">
        <f t="shared" si="238"/>
        <v>0</v>
      </c>
      <c r="AU420" s="66"/>
      <c r="AV420" s="140"/>
      <c r="AW420" s="140">
        <v>7507763245</v>
      </c>
      <c r="AX420" s="140">
        <f t="shared" si="239"/>
        <v>7507763245</v>
      </c>
      <c r="AY420" s="437" t="str">
        <f>'ELIM Juni 23'!A13</f>
        <v>ELIM 3</v>
      </c>
      <c r="AZ420" s="140">
        <f>'ELIM Juni 23'!F13</f>
        <v>7507763245</v>
      </c>
      <c r="BA420" s="437"/>
      <c r="BB420" s="140"/>
      <c r="BC420" s="140">
        <f t="shared" si="240"/>
        <v>0</v>
      </c>
      <c r="BD420" s="140"/>
      <c r="BE420" s="40"/>
      <c r="BF420" s="235">
        <v>0</v>
      </c>
      <c r="BG420" s="66"/>
      <c r="BH420" s="235">
        <v>0</v>
      </c>
      <c r="BI420" s="343"/>
    </row>
    <row r="421" spans="2:61" s="1" customFormat="1">
      <c r="B421" s="4"/>
      <c r="C421" s="4" t="s">
        <v>764</v>
      </c>
      <c r="D421" s="1365"/>
      <c r="E421" s="1365"/>
      <c r="F421" s="1365">
        <f t="shared" si="229"/>
        <v>0</v>
      </c>
      <c r="G421" s="1365">
        <f t="shared" si="223"/>
        <v>0</v>
      </c>
      <c r="H421" s="1365"/>
      <c r="I421" s="1384"/>
      <c r="J421" s="1365"/>
      <c r="K421" s="1384"/>
      <c r="L421" s="1365"/>
      <c r="M421" s="1365"/>
      <c r="N421" s="2259"/>
      <c r="O421" s="1058"/>
      <c r="P421" s="1482"/>
      <c r="Q421" s="1365"/>
      <c r="R421" s="1482"/>
      <c r="S421" s="1481"/>
      <c r="T421" s="1482"/>
      <c r="U421" s="1481"/>
      <c r="V421" s="1482"/>
      <c r="W421" s="1482"/>
      <c r="X421" s="1187"/>
      <c r="Y421" s="90"/>
      <c r="Z421" s="697"/>
      <c r="AA421" s="697"/>
      <c r="AB421" s="253"/>
      <c r="AC421" s="90"/>
      <c r="AD421" s="253"/>
      <c r="AE421" s="90"/>
      <c r="AF421" s="697"/>
      <c r="AG421" s="697"/>
      <c r="AH421" s="207"/>
      <c r="AI421" s="140"/>
      <c r="AJ421" s="140"/>
      <c r="AK421" s="140"/>
      <c r="AL421" s="673"/>
      <c r="AM421" s="140"/>
      <c r="AN421" s="140">
        <v>400000000</v>
      </c>
      <c r="AO421" s="140">
        <f t="shared" ref="AO421" si="241">ROUND((AM421+AN421),0)</f>
        <v>400000000</v>
      </c>
      <c r="AP421" s="437"/>
      <c r="AQ421" s="140"/>
      <c r="AR421" s="437"/>
      <c r="AS421" s="140"/>
      <c r="AT421" s="140">
        <f t="shared" ref="AT421" si="242">ROUND((AO421-AQ421+AS421),0)</f>
        <v>400000000</v>
      </c>
      <c r="AU421" s="66"/>
      <c r="AV421" s="140"/>
      <c r="AW421" s="140"/>
      <c r="AX421" s="140"/>
      <c r="AY421" s="437"/>
      <c r="AZ421" s="140"/>
      <c r="BA421" s="437"/>
      <c r="BB421" s="140"/>
      <c r="BC421" s="140"/>
      <c r="BD421" s="140"/>
      <c r="BE421" s="40"/>
      <c r="BF421" s="235"/>
      <c r="BG421" s="66"/>
      <c r="BH421" s="235"/>
      <c r="BI421" s="66"/>
    </row>
    <row r="422" spans="2:61" s="1" customFormat="1">
      <c r="B422" s="19"/>
      <c r="C422" s="19" t="s">
        <v>765</v>
      </c>
      <c r="D422" s="1369">
        <f>SUM(D419:D420)</f>
        <v>29592782260.509995</v>
      </c>
      <c r="E422" s="1369">
        <f>SUM(E419:E420)</f>
        <v>4557621225</v>
      </c>
      <c r="F422" s="1365">
        <f t="shared" si="229"/>
        <v>34150403485.509995</v>
      </c>
      <c r="G422" s="1365">
        <f t="shared" si="223"/>
        <v>-0.4900054931640625</v>
      </c>
      <c r="H422" s="1369">
        <f>SUM(H419:H420)</f>
        <v>34150403486</v>
      </c>
      <c r="I422" s="1944"/>
      <c r="J422" s="1369"/>
      <c r="K422" s="1944"/>
      <c r="L422" s="1369"/>
      <c r="M422" s="1369">
        <f>SUM(M419:M420)</f>
        <v>0</v>
      </c>
      <c r="N422" s="226"/>
      <c r="O422" s="1469" t="s">
        <v>427</v>
      </c>
      <c r="P422" s="1488">
        <f>SUM(P419:P420)</f>
        <v>34916763132</v>
      </c>
      <c r="Q422" s="1369">
        <f>SUM(Q419:Q420)</f>
        <v>2637090788</v>
      </c>
      <c r="R422" s="1488">
        <f>SUM(R419:R420)</f>
        <v>37553853920</v>
      </c>
      <c r="S422" s="1489"/>
      <c r="T422" s="1488"/>
      <c r="U422" s="1489"/>
      <c r="V422" s="1488"/>
      <c r="W422" s="1488">
        <f>SUM(W419:W420)</f>
        <v>0</v>
      </c>
      <c r="X422" s="1190"/>
      <c r="Y422" s="428">
        <f>SUM(Y419:Y420)</f>
        <v>58472629508</v>
      </c>
      <c r="Z422" s="707">
        <f>SUM(Z419:Z420)</f>
        <v>2563261534</v>
      </c>
      <c r="AA422" s="707">
        <f>SUM(AA419:AA420)</f>
        <v>61035891042</v>
      </c>
      <c r="AB422" s="601"/>
      <c r="AC422" s="223"/>
      <c r="AD422" s="601"/>
      <c r="AE422" s="223"/>
      <c r="AF422" s="707">
        <f>SUM(AF419:AF420)</f>
        <v>0</v>
      </c>
      <c r="AG422" s="707"/>
      <c r="AH422" s="228"/>
      <c r="AI422" s="428">
        <f>SUM(AI419:AI420)</f>
        <v>0</v>
      </c>
      <c r="AJ422" s="428"/>
      <c r="AK422" s="428"/>
      <c r="AL422" s="670"/>
      <c r="AM422" s="428">
        <f>SUM(AM419:AM420)</f>
        <v>55459611170</v>
      </c>
      <c r="AN422" s="428">
        <f>SUM(AN419:AN421)</f>
        <v>6841405695</v>
      </c>
      <c r="AO422" s="428">
        <f>SUM(AO419:AO421)</f>
        <v>62301016865</v>
      </c>
      <c r="AP422" s="762"/>
      <c r="AQ422" s="428"/>
      <c r="AR422" s="762"/>
      <c r="AS422" s="428"/>
      <c r="AT422" s="1564">
        <f>SUM(AT419:AT421)</f>
        <v>400000000</v>
      </c>
      <c r="AU422" s="29"/>
      <c r="AV422" s="428">
        <f>SUM(AV419:AV420)</f>
        <v>39815441380</v>
      </c>
      <c r="AW422" s="428">
        <f>SUM(AW419:AW420)</f>
        <v>7507763245</v>
      </c>
      <c r="AX422" s="428">
        <f>SUM(AX419:AX420)</f>
        <v>47323204625</v>
      </c>
      <c r="AY422" s="762"/>
      <c r="AZ422" s="428"/>
      <c r="BA422" s="762"/>
      <c r="BB422" s="428"/>
      <c r="BC422" s="428">
        <f>SUM(BC419:BC420)</f>
        <v>0</v>
      </c>
      <c r="BD422" s="138"/>
      <c r="BE422" s="28"/>
      <c r="BF422" s="428">
        <f>SUM(BF419:BF420)</f>
        <v>0</v>
      </c>
      <c r="BG422" s="29"/>
      <c r="BH422" s="428">
        <f>SUM(BH419:BH420)</f>
        <v>0</v>
      </c>
      <c r="BI422" s="29"/>
    </row>
    <row r="423" spans="2:61" s="1" customFormat="1">
      <c r="B423" s="2" t="s">
        <v>766</v>
      </c>
      <c r="C423" s="2"/>
      <c r="D423" s="217"/>
      <c r="E423" s="217"/>
      <c r="F423" s="1365">
        <f t="shared" si="229"/>
        <v>0</v>
      </c>
      <c r="G423" s="1365">
        <f t="shared" si="223"/>
        <v>0</v>
      </c>
      <c r="H423" s="217"/>
      <c r="I423" s="1384"/>
      <c r="J423" s="217"/>
      <c r="K423" s="1384"/>
      <c r="L423" s="217"/>
      <c r="M423" s="217"/>
      <c r="N423" s="226"/>
      <c r="O423" s="1217"/>
      <c r="P423" s="1480"/>
      <c r="Q423" s="217"/>
      <c r="R423" s="1480"/>
      <c r="S423" s="1481"/>
      <c r="T423" s="1480"/>
      <c r="U423" s="1481"/>
      <c r="V423" s="1480"/>
      <c r="W423" s="1480"/>
      <c r="X423" s="1186"/>
      <c r="Y423" s="118"/>
      <c r="Z423" s="705"/>
      <c r="AA423" s="705"/>
      <c r="AB423" s="253"/>
      <c r="AC423" s="118"/>
      <c r="AD423" s="253"/>
      <c r="AE423" s="118"/>
      <c r="AF423" s="705"/>
      <c r="AG423" s="705"/>
      <c r="AH423" s="209"/>
      <c r="AI423" s="9"/>
      <c r="AJ423" s="9"/>
      <c r="AK423" s="9"/>
      <c r="AL423" s="667"/>
      <c r="AM423" s="9"/>
      <c r="AN423" s="9"/>
      <c r="AO423" s="9"/>
      <c r="AP423" s="769"/>
      <c r="AQ423" s="9"/>
      <c r="AR423" s="769"/>
      <c r="AS423" s="9"/>
      <c r="AT423" s="9"/>
      <c r="AU423" s="37"/>
      <c r="AV423" s="9"/>
      <c r="AW423" s="9"/>
      <c r="AX423" s="9"/>
      <c r="AY423" s="769"/>
      <c r="AZ423" s="9"/>
      <c r="BA423" s="769"/>
      <c r="BB423" s="9"/>
      <c r="BC423" s="9"/>
      <c r="BD423" s="14"/>
      <c r="BE423" s="128"/>
      <c r="BF423" s="219"/>
      <c r="BG423" s="37"/>
      <c r="BH423" s="219"/>
      <c r="BI423" s="11"/>
    </row>
    <row r="424" spans="2:61" s="1" customFormat="1">
      <c r="B424" s="30"/>
      <c r="C424" s="13" t="s">
        <v>767</v>
      </c>
      <c r="D424" s="1367">
        <v>0</v>
      </c>
      <c r="E424" s="1367"/>
      <c r="F424" s="1365">
        <f t="shared" si="229"/>
        <v>0</v>
      </c>
      <c r="G424" s="1365">
        <f t="shared" si="223"/>
        <v>0</v>
      </c>
      <c r="H424" s="1367">
        <f t="shared" ref="H424:H432" si="243">ROUND((D424+E424),0)</f>
        <v>0</v>
      </c>
      <c r="I424" s="1384"/>
      <c r="J424" s="1367"/>
      <c r="K424" s="1384"/>
      <c r="L424" s="1367"/>
      <c r="M424" s="1367">
        <f t="shared" ref="M424:M432" si="244">ROUND((H424-J424+L424),0)</f>
        <v>0</v>
      </c>
      <c r="N424" s="1967"/>
      <c r="O424" s="1057"/>
      <c r="P424" s="1485"/>
      <c r="Q424" s="1367"/>
      <c r="R424" s="1485">
        <f t="shared" ref="R424:R432" si="245">ROUND((P424+Q424),0)</f>
        <v>0</v>
      </c>
      <c r="S424" s="1481"/>
      <c r="T424" s="1485"/>
      <c r="U424" s="1481"/>
      <c r="V424" s="1485"/>
      <c r="W424" s="1485">
        <f t="shared" ref="W424:W432" si="246">ROUND((R424-T424+V424),0)</f>
        <v>0</v>
      </c>
      <c r="X424" s="1189"/>
      <c r="Y424" s="106"/>
      <c r="Z424" s="698"/>
      <c r="AA424" s="698">
        <f t="shared" ref="AA424:AA432" si="247">ROUND((Y424+Z424),0)</f>
        <v>0</v>
      </c>
      <c r="AB424" s="253"/>
      <c r="AC424" s="106"/>
      <c r="AD424" s="253"/>
      <c r="AE424" s="106"/>
      <c r="AF424" s="698">
        <f t="shared" ref="AF424:AF432" si="248">ROUND((AA424-AC424+AE424),0)</f>
        <v>0</v>
      </c>
      <c r="AG424" s="698"/>
      <c r="AH424" s="208"/>
      <c r="AI424" s="140">
        <v>41000000</v>
      </c>
      <c r="AJ424" s="140"/>
      <c r="AK424" s="140"/>
      <c r="AL424" s="673"/>
      <c r="AM424" s="140">
        <v>41000000</v>
      </c>
      <c r="AN424" s="140"/>
      <c r="AO424" s="140">
        <f t="shared" ref="AO424:AO432" si="249">ROUND((AM424+AN424),0)</f>
        <v>41000000</v>
      </c>
      <c r="AP424" s="437"/>
      <c r="AQ424" s="140"/>
      <c r="AR424" s="437"/>
      <c r="AS424" s="140"/>
      <c r="AT424" s="1567">
        <f t="shared" ref="AT424:AT432" si="250">ROUND((AO424-AQ424+AS424),0)</f>
        <v>41000000</v>
      </c>
      <c r="AU424" s="66"/>
      <c r="AV424" s="140">
        <v>41000000</v>
      </c>
      <c r="AW424" s="140"/>
      <c r="AX424" s="140">
        <f t="shared" ref="AX424:AX432" si="251">ROUND((AV424+AW424),0)</f>
        <v>41000000</v>
      </c>
      <c r="AY424" s="437"/>
      <c r="AZ424" s="140"/>
      <c r="BA424" s="437"/>
      <c r="BB424" s="140"/>
      <c r="BC424" s="140">
        <f t="shared" ref="BC424:BC432" si="252">ROUND((AX424-AZ424+BB424),0)</f>
        <v>41000000</v>
      </c>
      <c r="BD424" s="140"/>
      <c r="BE424" s="40" t="s">
        <v>768</v>
      </c>
      <c r="BF424" s="235">
        <v>41000000</v>
      </c>
      <c r="BG424" s="37"/>
      <c r="BH424" s="235">
        <v>41000000</v>
      </c>
      <c r="BI424" s="11"/>
    </row>
    <row r="425" spans="2:61" s="1" customFormat="1">
      <c r="B425" s="30"/>
      <c r="C425" s="71" t="s">
        <v>769</v>
      </c>
      <c r="D425" s="1384">
        <v>0</v>
      </c>
      <c r="E425" s="1384"/>
      <c r="F425" s="1365">
        <f t="shared" si="229"/>
        <v>0</v>
      </c>
      <c r="G425" s="1365">
        <f t="shared" si="223"/>
        <v>0</v>
      </c>
      <c r="H425" s="1384">
        <f t="shared" si="243"/>
        <v>0</v>
      </c>
      <c r="I425" s="1384"/>
      <c r="J425" s="1384"/>
      <c r="K425" s="1384"/>
      <c r="L425" s="1384"/>
      <c r="M425" s="1384">
        <f t="shared" si="244"/>
        <v>0</v>
      </c>
      <c r="N425" s="612"/>
      <c r="O425" s="1996" t="s">
        <v>427</v>
      </c>
      <c r="P425" s="1481"/>
      <c r="Q425" s="1384"/>
      <c r="R425" s="1481">
        <f t="shared" si="245"/>
        <v>0</v>
      </c>
      <c r="S425" s="1481"/>
      <c r="T425" s="1481"/>
      <c r="U425" s="1481"/>
      <c r="V425" s="1481"/>
      <c r="W425" s="1481">
        <f t="shared" si="246"/>
        <v>0</v>
      </c>
      <c r="X425" s="1196"/>
      <c r="Y425" s="253"/>
      <c r="Z425" s="725"/>
      <c r="AA425" s="725">
        <f t="shared" si="247"/>
        <v>0</v>
      </c>
      <c r="AB425" s="253"/>
      <c r="AC425" s="253"/>
      <c r="AD425" s="253"/>
      <c r="AE425" s="253"/>
      <c r="AF425" s="725">
        <f t="shared" si="248"/>
        <v>0</v>
      </c>
      <c r="AG425" s="725"/>
      <c r="AH425" s="254"/>
      <c r="AI425" s="437">
        <v>451584604</v>
      </c>
      <c r="AJ425" s="437"/>
      <c r="AK425" s="437"/>
      <c r="AL425" s="678"/>
      <c r="AM425" s="437">
        <v>451584604</v>
      </c>
      <c r="AN425" s="437"/>
      <c r="AO425" s="437">
        <f t="shared" si="249"/>
        <v>451584604</v>
      </c>
      <c r="AP425" s="437"/>
      <c r="AQ425" s="437"/>
      <c r="AR425" s="437"/>
      <c r="AS425" s="437"/>
      <c r="AT425" s="1565">
        <f t="shared" si="250"/>
        <v>451584604</v>
      </c>
      <c r="AU425" s="1229"/>
      <c r="AV425" s="437">
        <v>451584604</v>
      </c>
      <c r="AW425" s="437"/>
      <c r="AX425" s="437">
        <f t="shared" si="251"/>
        <v>451584604</v>
      </c>
      <c r="AY425" s="437"/>
      <c r="AZ425" s="437"/>
      <c r="BA425" s="437"/>
      <c r="BB425" s="437"/>
      <c r="BC425" s="437">
        <f t="shared" si="252"/>
        <v>451584604</v>
      </c>
      <c r="BD425" s="437"/>
      <c r="BE425" s="39" t="s">
        <v>770</v>
      </c>
      <c r="BF425" s="235"/>
      <c r="BG425" s="37"/>
      <c r="BH425" s="235"/>
      <c r="BI425" s="11"/>
    </row>
    <row r="426" spans="2:61" s="1" customFormat="1">
      <c r="B426" s="30"/>
      <c r="C426" s="34" t="s">
        <v>771</v>
      </c>
      <c r="D426" s="1372">
        <v>0</v>
      </c>
      <c r="E426" s="1372"/>
      <c r="F426" s="1365">
        <f t="shared" si="229"/>
        <v>0</v>
      </c>
      <c r="G426" s="1365">
        <f t="shared" si="223"/>
        <v>0</v>
      </c>
      <c r="H426" s="1372">
        <f t="shared" si="243"/>
        <v>0</v>
      </c>
      <c r="I426" s="1384"/>
      <c r="J426" s="1372"/>
      <c r="K426" s="1384"/>
      <c r="L426" s="1372"/>
      <c r="M426" s="1372">
        <f t="shared" si="244"/>
        <v>0</v>
      </c>
      <c r="N426" s="280"/>
      <c r="O426" s="1997"/>
      <c r="P426" s="1494"/>
      <c r="Q426" s="1372"/>
      <c r="R426" s="1494">
        <f t="shared" si="245"/>
        <v>0</v>
      </c>
      <c r="S426" s="1481"/>
      <c r="T426" s="1494"/>
      <c r="U426" s="1481"/>
      <c r="V426" s="1494"/>
      <c r="W426" s="1494">
        <f t="shared" si="246"/>
        <v>0</v>
      </c>
      <c r="X426" s="1192"/>
      <c r="Y426" s="231"/>
      <c r="Z426" s="710"/>
      <c r="AA426" s="710">
        <f t="shared" si="247"/>
        <v>0</v>
      </c>
      <c r="AB426" s="253"/>
      <c r="AC426" s="231"/>
      <c r="AD426" s="253"/>
      <c r="AE426" s="231"/>
      <c r="AF426" s="710">
        <f t="shared" si="248"/>
        <v>0</v>
      </c>
      <c r="AG426" s="710"/>
      <c r="AH426" s="232"/>
      <c r="AI426" s="140"/>
      <c r="AJ426" s="140"/>
      <c r="AK426" s="140"/>
      <c r="AL426" s="673"/>
      <c r="AM426" s="140"/>
      <c r="AN426" s="140"/>
      <c r="AO426" s="140">
        <f t="shared" si="249"/>
        <v>0</v>
      </c>
      <c r="AP426" s="437"/>
      <c r="AQ426" s="140"/>
      <c r="AR426" s="437"/>
      <c r="AS426" s="140"/>
      <c r="AT426" s="140">
        <f t="shared" si="250"/>
        <v>0</v>
      </c>
      <c r="AU426" s="66"/>
      <c r="AV426" s="140">
        <v>0</v>
      </c>
      <c r="AW426" s="140"/>
      <c r="AX426" s="140">
        <f t="shared" si="251"/>
        <v>0</v>
      </c>
      <c r="AY426" s="437"/>
      <c r="AZ426" s="140"/>
      <c r="BA426" s="437"/>
      <c r="BB426" s="140"/>
      <c r="BC426" s="140">
        <f t="shared" si="252"/>
        <v>0</v>
      </c>
      <c r="BD426" s="140"/>
      <c r="BE426" s="40" t="s">
        <v>772</v>
      </c>
      <c r="BF426" s="235"/>
      <c r="BG426" s="37"/>
      <c r="BH426" s="235"/>
      <c r="BI426" s="11"/>
    </row>
    <row r="427" spans="2:61" s="1" customFormat="1">
      <c r="B427" s="30"/>
      <c r="C427" s="13" t="s">
        <v>501</v>
      </c>
      <c r="D427" s="1367">
        <v>0</v>
      </c>
      <c r="E427" s="1367"/>
      <c r="F427" s="1365">
        <f t="shared" si="229"/>
        <v>0</v>
      </c>
      <c r="G427" s="1365">
        <f t="shared" si="223"/>
        <v>0</v>
      </c>
      <c r="H427" s="1367">
        <f t="shared" si="243"/>
        <v>0</v>
      </c>
      <c r="I427" s="1384"/>
      <c r="J427" s="1367"/>
      <c r="K427" s="1384"/>
      <c r="L427" s="1367"/>
      <c r="M427" s="1367">
        <f t="shared" si="244"/>
        <v>0</v>
      </c>
      <c r="N427" s="1967"/>
      <c r="O427" s="1057"/>
      <c r="P427" s="1485"/>
      <c r="Q427" s="1367"/>
      <c r="R427" s="1485">
        <f t="shared" si="245"/>
        <v>0</v>
      </c>
      <c r="S427" s="1481"/>
      <c r="T427" s="1485"/>
      <c r="U427" s="1481"/>
      <c r="V427" s="1485"/>
      <c r="W427" s="1485">
        <f t="shared" si="246"/>
        <v>0</v>
      </c>
      <c r="X427" s="1189"/>
      <c r="Y427" s="106"/>
      <c r="Z427" s="698"/>
      <c r="AA427" s="698">
        <f t="shared" si="247"/>
        <v>0</v>
      </c>
      <c r="AB427" s="253"/>
      <c r="AC427" s="106"/>
      <c r="AD427" s="253"/>
      <c r="AE427" s="106"/>
      <c r="AF427" s="698">
        <f t="shared" si="248"/>
        <v>0</v>
      </c>
      <c r="AG427" s="698"/>
      <c r="AH427" s="208"/>
      <c r="AI427" s="140">
        <v>0</v>
      </c>
      <c r="AJ427" s="140"/>
      <c r="AK427" s="140"/>
      <c r="AL427" s="673"/>
      <c r="AM427" s="140">
        <v>92595000</v>
      </c>
      <c r="AN427" s="140"/>
      <c r="AO427" s="140">
        <f t="shared" si="249"/>
        <v>92595000</v>
      </c>
      <c r="AP427" s="437"/>
      <c r="AQ427" s="140"/>
      <c r="AR427" s="437"/>
      <c r="AS427" s="140"/>
      <c r="AT427" s="1567">
        <f t="shared" si="250"/>
        <v>92595000</v>
      </c>
      <c r="AU427" s="66"/>
      <c r="AV427" s="140">
        <v>92595000</v>
      </c>
      <c r="AW427" s="140"/>
      <c r="AX427" s="140">
        <f t="shared" si="251"/>
        <v>92595000</v>
      </c>
      <c r="AY427" s="437"/>
      <c r="AZ427" s="140"/>
      <c r="BA427" s="437"/>
      <c r="BB427" s="140"/>
      <c r="BC427" s="140">
        <f t="shared" si="252"/>
        <v>92595000</v>
      </c>
      <c r="BD427" s="140"/>
      <c r="BE427" s="40" t="s">
        <v>773</v>
      </c>
      <c r="BF427" s="235">
        <v>92595000</v>
      </c>
      <c r="BG427" s="37"/>
      <c r="BH427" s="235">
        <v>92595000</v>
      </c>
      <c r="BI427" s="11"/>
    </row>
    <row r="428" spans="2:61" s="1" customFormat="1">
      <c r="B428" s="30"/>
      <c r="C428" s="13" t="s">
        <v>774</v>
      </c>
      <c r="D428" s="1367">
        <v>0</v>
      </c>
      <c r="E428" s="1367"/>
      <c r="F428" s="1365">
        <f t="shared" si="229"/>
        <v>0</v>
      </c>
      <c r="G428" s="1365">
        <f t="shared" si="223"/>
        <v>0</v>
      </c>
      <c r="H428" s="1367">
        <f t="shared" si="243"/>
        <v>0</v>
      </c>
      <c r="I428" s="1384"/>
      <c r="J428" s="1367"/>
      <c r="K428" s="1384"/>
      <c r="L428" s="1367"/>
      <c r="M428" s="1367">
        <f t="shared" si="244"/>
        <v>0</v>
      </c>
      <c r="N428" s="1967"/>
      <c r="O428" s="1057"/>
      <c r="P428" s="1485"/>
      <c r="Q428" s="1367"/>
      <c r="R428" s="1485">
        <f t="shared" si="245"/>
        <v>0</v>
      </c>
      <c r="S428" s="1481"/>
      <c r="T428" s="1485"/>
      <c r="U428" s="1481"/>
      <c r="V428" s="1485"/>
      <c r="W428" s="1485">
        <f t="shared" si="246"/>
        <v>0</v>
      </c>
      <c r="X428" s="1189"/>
      <c r="Y428" s="106"/>
      <c r="Z428" s="698"/>
      <c r="AA428" s="698">
        <f t="shared" si="247"/>
        <v>0</v>
      </c>
      <c r="AB428" s="253"/>
      <c r="AC428" s="106"/>
      <c r="AD428" s="253"/>
      <c r="AE428" s="106"/>
      <c r="AF428" s="698">
        <f t="shared" si="248"/>
        <v>0</v>
      </c>
      <c r="AG428" s="698"/>
      <c r="AH428" s="208"/>
      <c r="AI428" s="140">
        <v>0</v>
      </c>
      <c r="AJ428" s="140"/>
      <c r="AK428" s="140"/>
      <c r="AL428" s="673"/>
      <c r="AM428" s="140">
        <v>725000000</v>
      </c>
      <c r="AN428" s="140"/>
      <c r="AO428" s="140">
        <f t="shared" si="249"/>
        <v>725000000</v>
      </c>
      <c r="AP428" s="437"/>
      <c r="AQ428" s="140"/>
      <c r="AR428" s="437"/>
      <c r="AS428" s="140"/>
      <c r="AT428" s="1567">
        <f t="shared" si="250"/>
        <v>725000000</v>
      </c>
      <c r="AU428" s="66"/>
      <c r="AV428" s="140">
        <v>725000000</v>
      </c>
      <c r="AW428" s="140"/>
      <c r="AX428" s="140">
        <f t="shared" si="251"/>
        <v>725000000</v>
      </c>
      <c r="AY428" s="437"/>
      <c r="AZ428" s="140"/>
      <c r="BA428" s="437"/>
      <c r="BB428" s="140"/>
      <c r="BC428" s="140">
        <f t="shared" si="252"/>
        <v>725000000</v>
      </c>
      <c r="BD428" s="140"/>
      <c r="BE428" s="40"/>
      <c r="BF428" s="235">
        <v>225000000</v>
      </c>
      <c r="BG428" s="37">
        <f>BF428+BF501</f>
        <v>440579595</v>
      </c>
      <c r="BH428" s="235">
        <v>0</v>
      </c>
      <c r="BI428" s="15"/>
    </row>
    <row r="429" spans="2:61" s="1" customFormat="1">
      <c r="B429" s="30" t="s">
        <v>407</v>
      </c>
      <c r="C429" s="13" t="s">
        <v>775</v>
      </c>
      <c r="D429" s="1367"/>
      <c r="E429" s="1367"/>
      <c r="F429" s="1365">
        <f t="shared" si="229"/>
        <v>0</v>
      </c>
      <c r="G429" s="1365">
        <f t="shared" si="223"/>
        <v>0</v>
      </c>
      <c r="H429" s="1367">
        <f t="shared" si="243"/>
        <v>0</v>
      </c>
      <c r="I429" s="1384"/>
      <c r="J429" s="1367"/>
      <c r="K429" s="1384"/>
      <c r="L429" s="1367"/>
      <c r="M429" s="1367">
        <f t="shared" si="244"/>
        <v>0</v>
      </c>
      <c r="N429" s="1967"/>
      <c r="O429" s="1057"/>
      <c r="P429" s="1485"/>
      <c r="Q429" s="1367"/>
      <c r="R429" s="1485">
        <f t="shared" si="245"/>
        <v>0</v>
      </c>
      <c r="S429" s="1481"/>
      <c r="T429" s="1485"/>
      <c r="U429" s="1481"/>
      <c r="V429" s="1485"/>
      <c r="W429" s="1485">
        <f t="shared" si="246"/>
        <v>0</v>
      </c>
      <c r="X429" s="1189"/>
      <c r="Y429" s="106"/>
      <c r="Z429" s="698"/>
      <c r="AA429" s="698">
        <f t="shared" si="247"/>
        <v>0</v>
      </c>
      <c r="AB429" s="253"/>
      <c r="AC429" s="106"/>
      <c r="AD429" s="253"/>
      <c r="AE429" s="106"/>
      <c r="AF429" s="698">
        <f t="shared" si="248"/>
        <v>0</v>
      </c>
      <c r="AG429" s="698"/>
      <c r="AH429" s="208"/>
      <c r="AI429" s="140">
        <v>0</v>
      </c>
      <c r="AJ429" s="140"/>
      <c r="AK429" s="140"/>
      <c r="AL429" s="673"/>
      <c r="AM429" s="140"/>
      <c r="AN429" s="140"/>
      <c r="AO429" s="140">
        <f t="shared" si="249"/>
        <v>0</v>
      </c>
      <c r="AP429" s="437"/>
      <c r="AQ429" s="140"/>
      <c r="AR429" s="437"/>
      <c r="AS429" s="140"/>
      <c r="AT429" s="1567">
        <f t="shared" si="250"/>
        <v>0</v>
      </c>
      <c r="AU429" s="66"/>
      <c r="AV429" s="140"/>
      <c r="AW429" s="140"/>
      <c r="AX429" s="140">
        <f t="shared" si="251"/>
        <v>0</v>
      </c>
      <c r="AY429" s="437"/>
      <c r="AZ429" s="140"/>
      <c r="BA429" s="437"/>
      <c r="BB429" s="140"/>
      <c r="BC429" s="140">
        <f t="shared" si="252"/>
        <v>0</v>
      </c>
      <c r="BD429" s="140"/>
      <c r="BE429" s="40"/>
      <c r="BF429" s="235">
        <v>0</v>
      </c>
      <c r="BG429" s="37"/>
      <c r="BH429" s="235">
        <v>0</v>
      </c>
      <c r="BI429" s="15"/>
    </row>
    <row r="430" spans="2:61" s="1" customFormat="1">
      <c r="B430" s="30" t="s">
        <v>407</v>
      </c>
      <c r="C430" s="13" t="s">
        <v>11</v>
      </c>
      <c r="D430" s="1367"/>
      <c r="E430" s="1367">
        <v>86709426551</v>
      </c>
      <c r="F430" s="1365">
        <f t="shared" si="229"/>
        <v>86709426551</v>
      </c>
      <c r="G430" s="1365">
        <f t="shared" si="223"/>
        <v>0</v>
      </c>
      <c r="H430" s="1367">
        <f t="shared" si="243"/>
        <v>86709426551</v>
      </c>
      <c r="I430" s="1384" t="str">
        <f>'ELIM &amp; CAJE Des 24'!A8</f>
        <v>ELIM 1</v>
      </c>
      <c r="J430" s="1367">
        <f>'ELIM &amp; CAJE Des 24'!F8</f>
        <v>86709426551</v>
      </c>
      <c r="K430" s="1384"/>
      <c r="L430" s="1367"/>
      <c r="M430" s="1367">
        <f t="shared" si="244"/>
        <v>0</v>
      </c>
      <c r="N430" s="1967"/>
      <c r="O430" s="1057"/>
      <c r="P430" s="1485"/>
      <c r="Q430" s="1367">
        <f>ROUND(94963698421.8,0)</f>
        <v>94963698422</v>
      </c>
      <c r="R430" s="1485">
        <f t="shared" si="245"/>
        <v>94963698422</v>
      </c>
      <c r="S430" s="1481" t="str">
        <f>'ELIM &amp; CAJE Sept 24'!B8</f>
        <v>ELIM 1</v>
      </c>
      <c r="T430" s="1485">
        <f>'ELIM &amp; CAJE Sept 24'!G8</f>
        <v>94963698422</v>
      </c>
      <c r="U430" s="1481"/>
      <c r="V430" s="1485"/>
      <c r="W430" s="1485">
        <f t="shared" si="246"/>
        <v>0</v>
      </c>
      <c r="X430" s="1189"/>
      <c r="Y430" s="106"/>
      <c r="Z430" s="698">
        <v>101208651861</v>
      </c>
      <c r="AA430" s="698">
        <f t="shared" si="247"/>
        <v>101208651861</v>
      </c>
      <c r="AB430" s="253" t="str">
        <f>'ELIM &amp; CAJE Juni 24'!B8</f>
        <v>ELIM 1</v>
      </c>
      <c r="AC430" s="106">
        <f>'ELIM &amp; CAJE Juni 24'!G8</f>
        <v>101208651861</v>
      </c>
      <c r="AD430" s="253"/>
      <c r="AE430" s="106"/>
      <c r="AF430" s="698">
        <f t="shared" si="248"/>
        <v>0</v>
      </c>
      <c r="AG430" s="698"/>
      <c r="AH430" s="208"/>
      <c r="AI430" s="140">
        <v>0</v>
      </c>
      <c r="AJ430" s="140"/>
      <c r="AK430" s="140"/>
      <c r="AL430" s="673"/>
      <c r="AM430" s="140"/>
      <c r="AN430" s="140">
        <v>123411723048</v>
      </c>
      <c r="AO430" s="140">
        <f t="shared" si="249"/>
        <v>123411723048</v>
      </c>
      <c r="AP430" s="437" t="str">
        <f>'ELIM &amp; CAJE Sept 23'!A7</f>
        <v>ELIM 1</v>
      </c>
      <c r="AQ430" s="140">
        <f>'ELIM &amp; CAJE Sept 23'!F7</f>
        <v>123411723048</v>
      </c>
      <c r="AR430" s="437"/>
      <c r="AS430" s="140"/>
      <c r="AT430" s="1567">
        <f t="shared" si="250"/>
        <v>0</v>
      </c>
      <c r="AU430" s="66"/>
      <c r="AV430" s="140"/>
      <c r="AW430" s="140">
        <v>97221191334</v>
      </c>
      <c r="AX430" s="140">
        <f t="shared" si="251"/>
        <v>97221191334</v>
      </c>
      <c r="AY430" s="437" t="str">
        <f>'ELIM Juni 23'!A7</f>
        <v>ELIM 1</v>
      </c>
      <c r="AZ430" s="140">
        <f>'ELIM Juni 23'!F7</f>
        <v>97221191334</v>
      </c>
      <c r="BA430" s="437"/>
      <c r="BB430" s="140"/>
      <c r="BC430" s="140">
        <f t="shared" si="252"/>
        <v>0</v>
      </c>
      <c r="BD430" s="140"/>
      <c r="BE430" s="40"/>
      <c r="BF430" s="255">
        <v>0</v>
      </c>
      <c r="BG430" s="70" t="s">
        <v>763</v>
      </c>
      <c r="BH430" s="256">
        <v>0</v>
      </c>
      <c r="BI430" s="344">
        <v>-94</v>
      </c>
    </row>
    <row r="431" spans="2:61" s="1" customFormat="1">
      <c r="B431" s="30" t="s">
        <v>407</v>
      </c>
      <c r="C431" s="13" t="s">
        <v>776</v>
      </c>
      <c r="D431" s="1367"/>
      <c r="E431" s="1367"/>
      <c r="F431" s="1365">
        <f t="shared" si="229"/>
        <v>0</v>
      </c>
      <c r="G431" s="1365">
        <f t="shared" si="223"/>
        <v>0</v>
      </c>
      <c r="H431" s="1367">
        <f t="shared" si="243"/>
        <v>0</v>
      </c>
      <c r="I431" s="1384"/>
      <c r="J431" s="1367"/>
      <c r="K431" s="1384"/>
      <c r="L431" s="1367"/>
      <c r="M431" s="1367">
        <f t="shared" si="244"/>
        <v>0</v>
      </c>
      <c r="N431" s="1967"/>
      <c r="O431" s="1057"/>
      <c r="P431" s="1485"/>
      <c r="Q431" s="1367"/>
      <c r="R431" s="1485">
        <f t="shared" si="245"/>
        <v>0</v>
      </c>
      <c r="S431" s="1481"/>
      <c r="T431" s="1485"/>
      <c r="U431" s="1481"/>
      <c r="V431" s="1485"/>
      <c r="W431" s="1485">
        <f t="shared" si="246"/>
        <v>0</v>
      </c>
      <c r="X431" s="1189"/>
      <c r="Y431" s="106"/>
      <c r="Z431" s="698"/>
      <c r="AA431" s="698">
        <f t="shared" si="247"/>
        <v>0</v>
      </c>
      <c r="AB431" s="253"/>
      <c r="AC431" s="106"/>
      <c r="AD431" s="253"/>
      <c r="AE431" s="106"/>
      <c r="AF431" s="698">
        <f t="shared" si="248"/>
        <v>0</v>
      </c>
      <c r="AG431" s="698"/>
      <c r="AH431" s="208"/>
      <c r="AI431" s="140">
        <v>0</v>
      </c>
      <c r="AJ431" s="140"/>
      <c r="AK431" s="140"/>
      <c r="AL431" s="673"/>
      <c r="AM431" s="140"/>
      <c r="AN431" s="140"/>
      <c r="AO431" s="140">
        <f t="shared" si="249"/>
        <v>0</v>
      </c>
      <c r="AP431" s="437"/>
      <c r="AQ431" s="140"/>
      <c r="AR431" s="437"/>
      <c r="AS431" s="140"/>
      <c r="AT431" s="1567">
        <f t="shared" si="250"/>
        <v>0</v>
      </c>
      <c r="AU431" s="66"/>
      <c r="AV431" s="140"/>
      <c r="AW431" s="140"/>
      <c r="AX431" s="140">
        <f t="shared" si="251"/>
        <v>0</v>
      </c>
      <c r="AY431" s="437"/>
      <c r="AZ431" s="140"/>
      <c r="BA431" s="437"/>
      <c r="BB431" s="140"/>
      <c r="BC431" s="140">
        <f t="shared" si="252"/>
        <v>0</v>
      </c>
      <c r="BD431" s="140"/>
      <c r="BE431" s="40"/>
      <c r="BF431" s="235">
        <v>0</v>
      </c>
      <c r="BG431" s="66"/>
      <c r="BH431" s="235">
        <v>0</v>
      </c>
      <c r="BI431" s="72"/>
    </row>
    <row r="432" spans="2:61" s="1" customFormat="1">
      <c r="B432" s="30" t="s">
        <v>407</v>
      </c>
      <c r="C432" s="13" t="s">
        <v>777</v>
      </c>
      <c r="D432" s="1367"/>
      <c r="E432" s="1367"/>
      <c r="F432" s="1365">
        <f t="shared" si="229"/>
        <v>0</v>
      </c>
      <c r="G432" s="1365">
        <f t="shared" si="223"/>
        <v>0</v>
      </c>
      <c r="H432" s="1367">
        <f t="shared" si="243"/>
        <v>0</v>
      </c>
      <c r="I432" s="1384"/>
      <c r="J432" s="1367"/>
      <c r="K432" s="1384"/>
      <c r="L432" s="1367"/>
      <c r="M432" s="1367">
        <f t="shared" si="244"/>
        <v>0</v>
      </c>
      <c r="N432" s="1967"/>
      <c r="O432" s="1057"/>
      <c r="P432" s="1485"/>
      <c r="Q432" s="1367"/>
      <c r="R432" s="1485">
        <f t="shared" si="245"/>
        <v>0</v>
      </c>
      <c r="S432" s="1481"/>
      <c r="T432" s="1485"/>
      <c r="U432" s="1481"/>
      <c r="V432" s="1485"/>
      <c r="W432" s="1485">
        <f t="shared" si="246"/>
        <v>0</v>
      </c>
      <c r="X432" s="1189"/>
      <c r="Y432" s="106"/>
      <c r="Z432" s="698"/>
      <c r="AA432" s="698">
        <f t="shared" si="247"/>
        <v>0</v>
      </c>
      <c r="AB432" s="253"/>
      <c r="AC432" s="106"/>
      <c r="AD432" s="253"/>
      <c r="AE432" s="106"/>
      <c r="AF432" s="698">
        <f t="shared" si="248"/>
        <v>0</v>
      </c>
      <c r="AG432" s="698"/>
      <c r="AH432" s="208"/>
      <c r="AI432" s="140">
        <v>0</v>
      </c>
      <c r="AJ432" s="140"/>
      <c r="AK432" s="140"/>
      <c r="AL432" s="673"/>
      <c r="AM432" s="140"/>
      <c r="AN432" s="140"/>
      <c r="AO432" s="140">
        <f t="shared" si="249"/>
        <v>0</v>
      </c>
      <c r="AP432" s="437"/>
      <c r="AQ432" s="140"/>
      <c r="AR432" s="437"/>
      <c r="AS432" s="140"/>
      <c r="AT432" s="1567">
        <f t="shared" si="250"/>
        <v>0</v>
      </c>
      <c r="AU432" s="66"/>
      <c r="AV432" s="140"/>
      <c r="AW432" s="140"/>
      <c r="AX432" s="140">
        <f t="shared" si="251"/>
        <v>0</v>
      </c>
      <c r="AY432" s="437"/>
      <c r="AZ432" s="140"/>
      <c r="BA432" s="437"/>
      <c r="BB432" s="140"/>
      <c r="BC432" s="140">
        <f t="shared" si="252"/>
        <v>0</v>
      </c>
      <c r="BD432" s="140"/>
      <c r="BE432" s="40"/>
      <c r="BF432" s="235">
        <v>0</v>
      </c>
      <c r="BG432" s="37"/>
      <c r="BH432" s="235">
        <v>0</v>
      </c>
      <c r="BI432" s="15"/>
    </row>
    <row r="433" spans="2:61" s="1" customFormat="1">
      <c r="B433" s="19"/>
      <c r="C433" s="19" t="s">
        <v>778</v>
      </c>
      <c r="D433" s="1369">
        <f>SUM(D424:D432)</f>
        <v>0</v>
      </c>
      <c r="E433" s="1369">
        <f>SUM(E424:E432)</f>
        <v>86709426551</v>
      </c>
      <c r="F433" s="1365">
        <f t="shared" si="229"/>
        <v>86709426551</v>
      </c>
      <c r="G433" s="1365">
        <f t="shared" si="223"/>
        <v>0</v>
      </c>
      <c r="H433" s="1369">
        <f>SUM(H424:H432)</f>
        <v>86709426551</v>
      </c>
      <c r="I433" s="1944"/>
      <c r="J433" s="1369"/>
      <c r="K433" s="1944"/>
      <c r="L433" s="1369"/>
      <c r="M433" s="1369">
        <f>SUM(M424:M432)</f>
        <v>0</v>
      </c>
      <c r="N433" s="226"/>
      <c r="O433" s="1469"/>
      <c r="P433" s="1488">
        <f>SUM(P424:P432)</f>
        <v>0</v>
      </c>
      <c r="Q433" s="1369">
        <f>SUM(Q424:Q432)</f>
        <v>94963698422</v>
      </c>
      <c r="R433" s="1488">
        <f>SUM(R424:R432)</f>
        <v>94963698422</v>
      </c>
      <c r="S433" s="1489"/>
      <c r="T433" s="1488"/>
      <c r="U433" s="1489"/>
      <c r="V433" s="1488"/>
      <c r="W433" s="1488">
        <f>SUM(W424:W432)</f>
        <v>0</v>
      </c>
      <c r="X433" s="1190"/>
      <c r="Y433" s="428">
        <f>SUM(Y424:Y432)</f>
        <v>0</v>
      </c>
      <c r="Z433" s="707">
        <f>SUM(Z424:Z432)</f>
        <v>101208651861</v>
      </c>
      <c r="AA433" s="707">
        <f>SUM(AA424:AA432)</f>
        <v>101208651861</v>
      </c>
      <c r="AB433" s="601"/>
      <c r="AC433" s="223"/>
      <c r="AD433" s="601"/>
      <c r="AE433" s="223"/>
      <c r="AF433" s="707">
        <f>SUM(AF424:AF432)</f>
        <v>0</v>
      </c>
      <c r="AG433" s="707"/>
      <c r="AH433" s="228"/>
      <c r="AI433" s="428">
        <f>SUM(AI424:AI432)</f>
        <v>492584604</v>
      </c>
      <c r="AJ433" s="428"/>
      <c r="AK433" s="428"/>
      <c r="AL433" s="670"/>
      <c r="AM433" s="428">
        <f>SUM(AM424:AM432)</f>
        <v>1310179604</v>
      </c>
      <c r="AN433" s="428">
        <f>SUM(AN424:AN432)</f>
        <v>123411723048</v>
      </c>
      <c r="AO433" s="428">
        <f>SUM(AO424:AO432)</f>
        <v>124721902652</v>
      </c>
      <c r="AP433" s="762"/>
      <c r="AQ433" s="428"/>
      <c r="AR433" s="762"/>
      <c r="AS433" s="428"/>
      <c r="AT433" s="428">
        <f>SUM(AT424:AT432)</f>
        <v>1310179604</v>
      </c>
      <c r="AU433" s="29"/>
      <c r="AV433" s="428">
        <f>SUM(AV424:AV432)</f>
        <v>1310179604</v>
      </c>
      <c r="AW433" s="428">
        <f>SUM(AW424:AW432)</f>
        <v>97221191334</v>
      </c>
      <c r="AX433" s="428">
        <f>SUM(AX424:AX432)</f>
        <v>98531370938</v>
      </c>
      <c r="AY433" s="762"/>
      <c r="AZ433" s="428"/>
      <c r="BA433" s="762"/>
      <c r="BB433" s="428"/>
      <c r="BC433" s="428">
        <f>SUM(BC424:BC432)</f>
        <v>1310179604</v>
      </c>
      <c r="BD433" s="138"/>
      <c r="BE433" s="28"/>
      <c r="BF433" s="428">
        <f>SUM(BF424:BF432)</f>
        <v>358595000</v>
      </c>
      <c r="BG433" s="29"/>
      <c r="BH433" s="428">
        <f>SUM(BH424:BH432)</f>
        <v>133595000</v>
      </c>
      <c r="BI433" s="29"/>
    </row>
    <row r="434" spans="2:61" s="1" customFormat="1">
      <c r="B434" s="2" t="s">
        <v>779</v>
      </c>
      <c r="C434" s="2"/>
      <c r="D434" s="217"/>
      <c r="E434" s="217"/>
      <c r="F434" s="1365">
        <f t="shared" si="229"/>
        <v>0</v>
      </c>
      <c r="G434" s="1365">
        <f t="shared" si="223"/>
        <v>0</v>
      </c>
      <c r="H434" s="217"/>
      <c r="I434" s="1384"/>
      <c r="J434" s="217"/>
      <c r="K434" s="1384"/>
      <c r="L434" s="217"/>
      <c r="M434" s="217"/>
      <c r="N434" s="226"/>
      <c r="O434" s="1217"/>
      <c r="P434" s="1480"/>
      <c r="Q434" s="217"/>
      <c r="R434" s="1480"/>
      <c r="S434" s="1481"/>
      <c r="T434" s="1480"/>
      <c r="U434" s="1481"/>
      <c r="V434" s="1480"/>
      <c r="W434" s="1480"/>
      <c r="X434" s="1186"/>
      <c r="Y434" s="118"/>
      <c r="Z434" s="705"/>
      <c r="AA434" s="705"/>
      <c r="AB434" s="253"/>
      <c r="AC434" s="118"/>
      <c r="AD434" s="253"/>
      <c r="AE434" s="118"/>
      <c r="AF434" s="705"/>
      <c r="AG434" s="705"/>
      <c r="AH434" s="209"/>
      <c r="AI434" s="9"/>
      <c r="AJ434" s="9"/>
      <c r="AK434" s="9"/>
      <c r="AL434" s="667"/>
      <c r="AM434" s="9"/>
      <c r="AN434" s="9"/>
      <c r="AO434" s="9"/>
      <c r="AP434" s="769"/>
      <c r="AQ434" s="9"/>
      <c r="AR434" s="769"/>
      <c r="AS434" s="9"/>
      <c r="AT434" s="9"/>
      <c r="AU434" s="37"/>
      <c r="AV434" s="9"/>
      <c r="AW434" s="9"/>
      <c r="AX434" s="9"/>
      <c r="AY434" s="769"/>
      <c r="AZ434" s="9"/>
      <c r="BA434" s="769"/>
      <c r="BB434" s="9"/>
      <c r="BC434" s="9"/>
      <c r="BD434" s="14"/>
      <c r="BE434" s="128"/>
      <c r="BF434" s="219"/>
      <c r="BG434" s="37"/>
      <c r="BH434" s="219"/>
      <c r="BI434" s="11"/>
    </row>
    <row r="435" spans="2:61" s="1" customFormat="1">
      <c r="B435" s="30"/>
      <c r="C435" s="4" t="s">
        <v>780</v>
      </c>
      <c r="D435" s="1365">
        <v>0</v>
      </c>
      <c r="E435" s="1365">
        <v>0</v>
      </c>
      <c r="F435" s="1365">
        <f t="shared" si="229"/>
        <v>0</v>
      </c>
      <c r="G435" s="1365">
        <f t="shared" si="223"/>
        <v>0</v>
      </c>
      <c r="H435" s="1365">
        <f t="shared" ref="H435:H452" si="253">ROUND((D435+E435),0)</f>
        <v>0</v>
      </c>
      <c r="I435" s="1384"/>
      <c r="J435" s="1365"/>
      <c r="K435" s="1384"/>
      <c r="L435" s="1365"/>
      <c r="M435" s="1365">
        <f t="shared" ref="M435:M452" si="254">ROUND((H435-J435+L435),0)</f>
        <v>0</v>
      </c>
      <c r="N435" s="2259"/>
      <c r="O435" s="1058"/>
      <c r="P435" s="1482">
        <v>4471644</v>
      </c>
      <c r="Q435" s="1365">
        <v>1116983</v>
      </c>
      <c r="R435" s="1482">
        <f t="shared" ref="R435:R452" si="255">ROUND((P435+Q435),0)</f>
        <v>5588627</v>
      </c>
      <c r="S435" s="1481"/>
      <c r="T435" s="1482"/>
      <c r="U435" s="1481"/>
      <c r="V435" s="1482"/>
      <c r="W435" s="1482">
        <f t="shared" ref="W435:W452" si="256">ROUND((R435-T435+V435),0)</f>
        <v>5588627</v>
      </c>
      <c r="X435" s="1187"/>
      <c r="Y435" s="90">
        <v>3477203</v>
      </c>
      <c r="Z435" s="697">
        <v>4653874</v>
      </c>
      <c r="AA435" s="697">
        <f t="shared" ref="AA435:AA452" si="257">ROUND((Y435+Z435),0)</f>
        <v>8131077</v>
      </c>
      <c r="AB435" s="253"/>
      <c r="AC435" s="90"/>
      <c r="AD435" s="253"/>
      <c r="AE435" s="90"/>
      <c r="AF435" s="697">
        <f t="shared" ref="AF435:AF452" si="258">ROUND((AA435-AC435+AE435),0)</f>
        <v>8131077</v>
      </c>
      <c r="AG435" s="697"/>
      <c r="AH435" s="207"/>
      <c r="AI435" s="12">
        <v>11971220</v>
      </c>
      <c r="AJ435" s="25"/>
      <c r="AK435" s="25"/>
      <c r="AL435" s="671"/>
      <c r="AM435" s="25">
        <v>2479613</v>
      </c>
      <c r="AN435" s="25">
        <v>4456625</v>
      </c>
      <c r="AO435" s="25">
        <f t="shared" ref="AO435:AO452" si="259">ROUND((AM435+AN435),0)</f>
        <v>6936238</v>
      </c>
      <c r="AP435" s="785"/>
      <c r="AQ435" s="25"/>
      <c r="AR435" s="785"/>
      <c r="AS435" s="25"/>
      <c r="AT435" s="25">
        <f t="shared" ref="AT435:AT452" si="260">ROUND((AO435-AQ435+AS435),0)</f>
        <v>6936238</v>
      </c>
      <c r="AU435" s="11"/>
      <c r="AV435" s="25">
        <v>2443062</v>
      </c>
      <c r="AW435" s="25">
        <v>5644849</v>
      </c>
      <c r="AX435" s="25">
        <f t="shared" ref="AX435:AX452" si="261">ROUND((AV435+AW435),0)</f>
        <v>8087911</v>
      </c>
      <c r="AY435" s="785"/>
      <c r="AZ435" s="25"/>
      <c r="BA435" s="785"/>
      <c r="BB435" s="25"/>
      <c r="BC435" s="25">
        <f t="shared" ref="BC435:BC452" si="262">ROUND((AX435-AZ435+BB435),0)</f>
        <v>8087911</v>
      </c>
      <c r="BD435" s="25"/>
      <c r="BE435" s="136"/>
      <c r="BF435" s="220">
        <v>7612302</v>
      </c>
      <c r="BG435" s="37"/>
      <c r="BH435" s="235">
        <v>15066884</v>
      </c>
      <c r="BI435" s="11"/>
    </row>
    <row r="436" spans="2:61" s="1" customFormat="1">
      <c r="B436" s="30"/>
      <c r="C436" s="4" t="s">
        <v>781</v>
      </c>
      <c r="D436" s="1365">
        <v>0</v>
      </c>
      <c r="E436" s="1365"/>
      <c r="F436" s="1365">
        <f t="shared" si="229"/>
        <v>0</v>
      </c>
      <c r="G436" s="1365">
        <f t="shared" si="223"/>
        <v>0</v>
      </c>
      <c r="H436" s="1365">
        <f t="shared" si="253"/>
        <v>0</v>
      </c>
      <c r="I436" s="1384"/>
      <c r="J436" s="1365"/>
      <c r="K436" s="1384"/>
      <c r="L436" s="1365"/>
      <c r="M436" s="1365">
        <f t="shared" si="254"/>
        <v>0</v>
      </c>
      <c r="N436" s="2259"/>
      <c r="O436" s="1058"/>
      <c r="P436" s="1482"/>
      <c r="Q436" s="1365"/>
      <c r="R436" s="1482">
        <f t="shared" si="255"/>
        <v>0</v>
      </c>
      <c r="S436" s="1481"/>
      <c r="T436" s="1482"/>
      <c r="U436" s="1481"/>
      <c r="V436" s="1482"/>
      <c r="W436" s="1482">
        <f t="shared" si="256"/>
        <v>0</v>
      </c>
      <c r="X436" s="1187"/>
      <c r="Y436" s="90">
        <v>0</v>
      </c>
      <c r="Z436" s="697">
        <v>0</v>
      </c>
      <c r="AA436" s="697">
        <f t="shared" si="257"/>
        <v>0</v>
      </c>
      <c r="AB436" s="253"/>
      <c r="AC436" s="90"/>
      <c r="AD436" s="253"/>
      <c r="AE436" s="90"/>
      <c r="AF436" s="697">
        <f t="shared" si="258"/>
        <v>0</v>
      </c>
      <c r="AG436" s="697"/>
      <c r="AH436" s="207"/>
      <c r="AI436" s="12">
        <v>0</v>
      </c>
      <c r="AJ436" s="25"/>
      <c r="AK436" s="25"/>
      <c r="AL436" s="671"/>
      <c r="AM436" s="25"/>
      <c r="AN436" s="25"/>
      <c r="AO436" s="25">
        <f t="shared" si="259"/>
        <v>0</v>
      </c>
      <c r="AP436" s="785"/>
      <c r="AQ436" s="25"/>
      <c r="AR436" s="785"/>
      <c r="AS436" s="25"/>
      <c r="AT436" s="25">
        <f t="shared" si="260"/>
        <v>0</v>
      </c>
      <c r="AU436" s="11"/>
      <c r="AV436" s="25">
        <v>0</v>
      </c>
      <c r="AW436" s="25"/>
      <c r="AX436" s="25">
        <f t="shared" si="261"/>
        <v>0</v>
      </c>
      <c r="AY436" s="785"/>
      <c r="AZ436" s="25"/>
      <c r="BA436" s="785"/>
      <c r="BB436" s="25"/>
      <c r="BC436" s="25">
        <f t="shared" si="262"/>
        <v>0</v>
      </c>
      <c r="BD436" s="25"/>
      <c r="BE436" s="128"/>
      <c r="BF436" s="220">
        <v>0</v>
      </c>
      <c r="BG436" s="37"/>
      <c r="BH436" s="235">
        <v>0</v>
      </c>
      <c r="BI436" s="11"/>
    </row>
    <row r="437" spans="2:61" s="1" customFormat="1">
      <c r="B437" s="30"/>
      <c r="C437" s="4" t="s">
        <v>782</v>
      </c>
      <c r="D437" s="1365">
        <v>28121848</v>
      </c>
      <c r="E437" s="1365">
        <v>20341356</v>
      </c>
      <c r="F437" s="1365">
        <f t="shared" si="229"/>
        <v>48463204</v>
      </c>
      <c r="G437" s="1365">
        <f t="shared" si="223"/>
        <v>0</v>
      </c>
      <c r="H437" s="1365">
        <f t="shared" si="253"/>
        <v>48463204</v>
      </c>
      <c r="I437" s="1384"/>
      <c r="J437" s="1365"/>
      <c r="K437" s="1384"/>
      <c r="L437" s="1365"/>
      <c r="M437" s="1992">
        <f t="shared" si="254"/>
        <v>48463204</v>
      </c>
      <c r="N437" s="2259"/>
      <c r="O437" s="1058"/>
      <c r="P437" s="1482">
        <v>88055762</v>
      </c>
      <c r="Q437" s="1365">
        <v>32687236.999999985</v>
      </c>
      <c r="R437" s="1482">
        <f t="shared" si="255"/>
        <v>120742999</v>
      </c>
      <c r="S437" s="1481"/>
      <c r="T437" s="1482"/>
      <c r="U437" s="1481"/>
      <c r="V437" s="1482"/>
      <c r="W437" s="1482">
        <f t="shared" si="256"/>
        <v>120742999</v>
      </c>
      <c r="X437" s="1187"/>
      <c r="Y437" s="90">
        <v>13312446</v>
      </c>
      <c r="Z437" s="697">
        <v>34784786</v>
      </c>
      <c r="AA437" s="697">
        <f t="shared" si="257"/>
        <v>48097232</v>
      </c>
      <c r="AB437" s="253"/>
      <c r="AC437" s="90"/>
      <c r="AD437" s="253"/>
      <c r="AE437" s="90"/>
      <c r="AF437" s="697">
        <f t="shared" si="258"/>
        <v>48097232</v>
      </c>
      <c r="AG437" s="697"/>
      <c r="AH437" s="207"/>
      <c r="AI437" s="12">
        <v>46035471</v>
      </c>
      <c r="AJ437" s="25"/>
      <c r="AK437" s="25"/>
      <c r="AL437" s="671"/>
      <c r="AM437" s="25">
        <v>30384164</v>
      </c>
      <c r="AN437" s="25">
        <v>2546260</v>
      </c>
      <c r="AO437" s="25">
        <f t="shared" si="259"/>
        <v>32930424</v>
      </c>
      <c r="AP437" s="785"/>
      <c r="AQ437" s="25"/>
      <c r="AR437" s="785"/>
      <c r="AS437" s="25"/>
      <c r="AT437" s="25">
        <f t="shared" si="260"/>
        <v>32930424</v>
      </c>
      <c r="AU437" s="11"/>
      <c r="AV437" s="25">
        <v>46207901</v>
      </c>
      <c r="AW437" s="25">
        <v>16989566</v>
      </c>
      <c r="AX437" s="25">
        <f t="shared" si="261"/>
        <v>63197467</v>
      </c>
      <c r="AY437" s="785"/>
      <c r="AZ437" s="25"/>
      <c r="BA437" s="785"/>
      <c r="BB437" s="25"/>
      <c r="BC437" s="25">
        <f t="shared" si="262"/>
        <v>63197467</v>
      </c>
      <c r="BD437" s="25"/>
      <c r="BE437" s="136"/>
      <c r="BF437" s="220">
        <v>82389599</v>
      </c>
      <c r="BG437" s="37"/>
      <c r="BH437" s="235">
        <v>42331760</v>
      </c>
      <c r="BI437" s="11"/>
    </row>
    <row r="438" spans="2:61" s="1" customFormat="1">
      <c r="B438" s="30"/>
      <c r="C438" s="4" t="s">
        <v>783</v>
      </c>
      <c r="D438" s="1365">
        <f>ROUND(21674005.79,0)</f>
        <v>21674006</v>
      </c>
      <c r="E438" s="1365">
        <v>18700615.999999996</v>
      </c>
      <c r="F438" s="1365">
        <f t="shared" si="229"/>
        <v>40374622</v>
      </c>
      <c r="G438" s="1365">
        <f t="shared" si="223"/>
        <v>0</v>
      </c>
      <c r="H438" s="1365">
        <f t="shared" si="253"/>
        <v>40374622</v>
      </c>
      <c r="I438" s="1384"/>
      <c r="J438" s="1365"/>
      <c r="K438" s="1384"/>
      <c r="L438" s="1365"/>
      <c r="M438" s="1365">
        <f t="shared" si="254"/>
        <v>40374622</v>
      </c>
      <c r="N438" s="2259"/>
      <c r="O438" s="1058"/>
      <c r="P438" s="1482">
        <v>20541362</v>
      </c>
      <c r="Q438" s="1365">
        <f>ROUND(20173912.16,0)</f>
        <v>20173912</v>
      </c>
      <c r="R438" s="1482">
        <f t="shared" si="255"/>
        <v>40715274</v>
      </c>
      <c r="S438" s="1481"/>
      <c r="T438" s="1482"/>
      <c r="U438" s="1481"/>
      <c r="V438" s="1482"/>
      <c r="W438" s="1482">
        <f t="shared" si="256"/>
        <v>40715274</v>
      </c>
      <c r="X438" s="1187"/>
      <c r="Y438" s="90">
        <v>20541362</v>
      </c>
      <c r="Z438" s="697">
        <v>4476617</v>
      </c>
      <c r="AA438" s="697">
        <f t="shared" si="257"/>
        <v>25017979</v>
      </c>
      <c r="AB438" s="253"/>
      <c r="AC438" s="90"/>
      <c r="AD438" s="253"/>
      <c r="AE438" s="90"/>
      <c r="AF438" s="697">
        <f t="shared" si="258"/>
        <v>25017979</v>
      </c>
      <c r="AG438" s="697"/>
      <c r="AH438" s="207"/>
      <c r="AI438" s="12">
        <v>10343197</v>
      </c>
      <c r="AJ438" s="25"/>
      <c r="AK438" s="25"/>
      <c r="AL438" s="671"/>
      <c r="AM438" s="25">
        <v>14328327</v>
      </c>
      <c r="AN438" s="25">
        <v>3205202</v>
      </c>
      <c r="AO438" s="25">
        <f t="shared" si="259"/>
        <v>17533529</v>
      </c>
      <c r="AP438" s="785"/>
      <c r="AQ438" s="25"/>
      <c r="AR438" s="785"/>
      <c r="AS438" s="25"/>
      <c r="AT438" s="25">
        <f t="shared" si="260"/>
        <v>17533529</v>
      </c>
      <c r="AU438" s="11"/>
      <c r="AV438" s="25">
        <v>0</v>
      </c>
      <c r="AW438" s="25">
        <v>1308665</v>
      </c>
      <c r="AX438" s="25">
        <f t="shared" si="261"/>
        <v>1308665</v>
      </c>
      <c r="AY438" s="785"/>
      <c r="AZ438" s="25"/>
      <c r="BA438" s="785"/>
      <c r="BB438" s="25"/>
      <c r="BC438" s="25">
        <f t="shared" si="262"/>
        <v>1308665</v>
      </c>
      <c r="BD438" s="25"/>
      <c r="BE438" s="136"/>
      <c r="BF438" s="220">
        <v>41838733</v>
      </c>
      <c r="BG438" s="37"/>
      <c r="BH438" s="235">
        <v>27168760</v>
      </c>
      <c r="BI438" s="11"/>
    </row>
    <row r="439" spans="2:61" s="1" customFormat="1">
      <c r="B439" s="30"/>
      <c r="C439" s="4" t="s">
        <v>784</v>
      </c>
      <c r="D439" s="1365">
        <v>52701989</v>
      </c>
      <c r="E439" s="1365">
        <v>16430190</v>
      </c>
      <c r="F439" s="1365">
        <f t="shared" si="229"/>
        <v>69132179</v>
      </c>
      <c r="G439" s="1365">
        <f t="shared" si="223"/>
        <v>0</v>
      </c>
      <c r="H439" s="1365">
        <f t="shared" si="253"/>
        <v>69132179</v>
      </c>
      <c r="I439" s="1384"/>
      <c r="J439" s="1365"/>
      <c r="K439" s="1384"/>
      <c r="L439" s="1365"/>
      <c r="M439" s="1992">
        <f t="shared" si="254"/>
        <v>69132179</v>
      </c>
      <c r="N439" s="2259"/>
      <c r="O439" s="1058"/>
      <c r="P439" s="1482">
        <v>52701989</v>
      </c>
      <c r="Q439" s="1365">
        <v>16430190</v>
      </c>
      <c r="R439" s="1482">
        <f t="shared" si="255"/>
        <v>69132179</v>
      </c>
      <c r="S439" s="1481"/>
      <c r="T439" s="1482"/>
      <c r="U439" s="1481"/>
      <c r="V439" s="1482"/>
      <c r="W439" s="1482">
        <f t="shared" si="256"/>
        <v>69132179</v>
      </c>
      <c r="X439" s="1187"/>
      <c r="Y439" s="90">
        <v>52701989</v>
      </c>
      <c r="Z439" s="697">
        <v>0</v>
      </c>
      <c r="AA439" s="697">
        <f t="shared" si="257"/>
        <v>52701989</v>
      </c>
      <c r="AB439" s="253"/>
      <c r="AC439" s="90"/>
      <c r="AD439" s="253"/>
      <c r="AE439" s="90"/>
      <c r="AF439" s="697">
        <f t="shared" si="258"/>
        <v>52701989</v>
      </c>
      <c r="AG439" s="697"/>
      <c r="AH439" s="207"/>
      <c r="AI439" s="12">
        <v>13754704</v>
      </c>
      <c r="AJ439" s="25"/>
      <c r="AK439" s="25"/>
      <c r="AL439" s="671"/>
      <c r="AM439" s="25"/>
      <c r="AN439" s="25"/>
      <c r="AO439" s="25">
        <f t="shared" si="259"/>
        <v>0</v>
      </c>
      <c r="AP439" s="785"/>
      <c r="AQ439" s="25"/>
      <c r="AR439" s="785"/>
      <c r="AS439" s="25"/>
      <c r="AT439" s="25">
        <f t="shared" si="260"/>
        <v>0</v>
      </c>
      <c r="AU439" s="11"/>
      <c r="AV439" s="25">
        <v>13754704</v>
      </c>
      <c r="AW439" s="25"/>
      <c r="AX439" s="25">
        <f t="shared" si="261"/>
        <v>13754704</v>
      </c>
      <c r="AY439" s="785"/>
      <c r="AZ439" s="25"/>
      <c r="BA439" s="785"/>
      <c r="BB439" s="25"/>
      <c r="BC439" s="25">
        <f t="shared" si="262"/>
        <v>13754704</v>
      </c>
      <c r="BD439" s="25"/>
      <c r="BE439" s="136"/>
      <c r="BF439" s="220">
        <v>13754704</v>
      </c>
      <c r="BG439" s="37"/>
      <c r="BH439" s="235">
        <v>0</v>
      </c>
      <c r="BI439" s="11"/>
    </row>
    <row r="440" spans="2:61" s="1" customFormat="1">
      <c r="B440" s="30"/>
      <c r="C440" s="4" t="s">
        <v>785</v>
      </c>
      <c r="D440" s="1365"/>
      <c r="E440" s="1365">
        <v>10230773</v>
      </c>
      <c r="F440" s="1365">
        <f t="shared" si="229"/>
        <v>10230773</v>
      </c>
      <c r="G440" s="1365">
        <f t="shared" si="223"/>
        <v>0</v>
      </c>
      <c r="H440" s="1365">
        <f t="shared" si="253"/>
        <v>10230773</v>
      </c>
      <c r="I440" s="1384"/>
      <c r="J440" s="1365"/>
      <c r="K440" s="1384"/>
      <c r="L440" s="1365"/>
      <c r="M440" s="1365">
        <f t="shared" si="254"/>
        <v>10230773</v>
      </c>
      <c r="N440" s="2259"/>
      <c r="O440" s="1058"/>
      <c r="P440" s="1482"/>
      <c r="Q440" s="1365">
        <v>1121755</v>
      </c>
      <c r="R440" s="1482">
        <f t="shared" ref="R440" si="263">ROUND((P440+Q440),0)</f>
        <v>1121755</v>
      </c>
      <c r="S440" s="1481"/>
      <c r="T440" s="1482"/>
      <c r="U440" s="1481"/>
      <c r="V440" s="1482"/>
      <c r="W440" s="1482">
        <f t="shared" ref="W440" si="264">ROUND((R440-T440+V440),0)</f>
        <v>1121755</v>
      </c>
      <c r="X440" s="1187"/>
      <c r="Y440" s="90"/>
      <c r="Z440" s="697"/>
      <c r="AA440" s="697"/>
      <c r="AB440" s="253"/>
      <c r="AC440" s="90"/>
      <c r="AD440" s="253"/>
      <c r="AE440" s="90"/>
      <c r="AF440" s="697"/>
      <c r="AG440" s="697"/>
      <c r="AH440" s="207"/>
      <c r="AI440" s="12"/>
      <c r="AJ440" s="25"/>
      <c r="AK440" s="25"/>
      <c r="AL440" s="671"/>
      <c r="AM440" s="25"/>
      <c r="AN440" s="25"/>
      <c r="AO440" s="25"/>
      <c r="AP440" s="785"/>
      <c r="AQ440" s="25"/>
      <c r="AR440" s="785"/>
      <c r="AS440" s="25"/>
      <c r="AT440" s="25"/>
      <c r="AU440" s="11"/>
      <c r="AV440" s="25"/>
      <c r="AW440" s="25"/>
      <c r="AX440" s="25"/>
      <c r="AY440" s="785"/>
      <c r="AZ440" s="25"/>
      <c r="BA440" s="785"/>
      <c r="BB440" s="25"/>
      <c r="BC440" s="25"/>
      <c r="BD440" s="25"/>
      <c r="BE440" s="136"/>
      <c r="BF440" s="220"/>
      <c r="BG440" s="37"/>
      <c r="BH440" s="235"/>
      <c r="BI440" s="11"/>
    </row>
    <row r="441" spans="2:61" s="1" customFormat="1">
      <c r="B441" s="30"/>
      <c r="C441" s="4" t="s">
        <v>786</v>
      </c>
      <c r="D441" s="1365">
        <f>ROUND(1775555.1,0)</f>
        <v>1775555</v>
      </c>
      <c r="E441" s="1365">
        <v>0</v>
      </c>
      <c r="F441" s="1365">
        <f t="shared" si="229"/>
        <v>1775555</v>
      </c>
      <c r="G441" s="1365">
        <f t="shared" si="223"/>
        <v>0</v>
      </c>
      <c r="H441" s="1365">
        <f t="shared" si="253"/>
        <v>1775555</v>
      </c>
      <c r="I441" s="1384"/>
      <c r="J441" s="1365"/>
      <c r="K441" s="1384"/>
      <c r="L441" s="1365"/>
      <c r="M441" s="1365">
        <f t="shared" si="254"/>
        <v>1775555</v>
      </c>
      <c r="N441" s="2259"/>
      <c r="O441" s="1058"/>
      <c r="P441" s="1482"/>
      <c r="Q441" s="1365"/>
      <c r="R441" s="1482">
        <f t="shared" si="255"/>
        <v>0</v>
      </c>
      <c r="S441" s="1481"/>
      <c r="T441" s="1482"/>
      <c r="U441" s="1481"/>
      <c r="V441" s="1482"/>
      <c r="W441" s="1482">
        <f t="shared" si="256"/>
        <v>0</v>
      </c>
      <c r="X441" s="1187"/>
      <c r="Y441" s="90">
        <v>0</v>
      </c>
      <c r="Z441" s="697">
        <v>0</v>
      </c>
      <c r="AA441" s="697">
        <f t="shared" si="257"/>
        <v>0</v>
      </c>
      <c r="AB441" s="253"/>
      <c r="AC441" s="90"/>
      <c r="AD441" s="253"/>
      <c r="AE441" s="90"/>
      <c r="AF441" s="697">
        <f t="shared" si="258"/>
        <v>0</v>
      </c>
      <c r="AG441" s="697"/>
      <c r="AH441" s="207"/>
      <c r="AI441" s="12">
        <v>0</v>
      </c>
      <c r="AJ441" s="25"/>
      <c r="AK441" s="25"/>
      <c r="AL441" s="671"/>
      <c r="AM441" s="25"/>
      <c r="AN441" s="25"/>
      <c r="AO441" s="25">
        <f t="shared" si="259"/>
        <v>0</v>
      </c>
      <c r="AP441" s="785"/>
      <c r="AQ441" s="25"/>
      <c r="AR441" s="785"/>
      <c r="AS441" s="25"/>
      <c r="AT441" s="25">
        <f t="shared" si="260"/>
        <v>0</v>
      </c>
      <c r="AU441" s="11"/>
      <c r="AV441" s="25"/>
      <c r="AW441" s="25"/>
      <c r="AX441" s="25">
        <f t="shared" si="261"/>
        <v>0</v>
      </c>
      <c r="AY441" s="785"/>
      <c r="AZ441" s="25"/>
      <c r="BA441" s="785"/>
      <c r="BB441" s="25"/>
      <c r="BC441" s="25">
        <f t="shared" si="262"/>
        <v>0</v>
      </c>
      <c r="BD441" s="25"/>
      <c r="BE441" s="136"/>
      <c r="BF441" s="220">
        <v>0</v>
      </c>
      <c r="BG441" s="37"/>
      <c r="BH441" s="235">
        <v>1500000</v>
      </c>
      <c r="BI441" s="11"/>
    </row>
    <row r="442" spans="2:61" s="1" customFormat="1">
      <c r="B442" s="30"/>
      <c r="C442" s="44" t="s">
        <v>787</v>
      </c>
      <c r="D442" s="1374">
        <v>0</v>
      </c>
      <c r="E442" s="1374"/>
      <c r="F442" s="1365">
        <f t="shared" si="229"/>
        <v>0</v>
      </c>
      <c r="G442" s="1365">
        <f t="shared" si="223"/>
        <v>0</v>
      </c>
      <c r="H442" s="1374">
        <f t="shared" si="253"/>
        <v>0</v>
      </c>
      <c r="I442" s="1943"/>
      <c r="J442" s="1374"/>
      <c r="K442" s="1943"/>
      <c r="L442" s="1374"/>
      <c r="M442" s="1374">
        <f t="shared" si="254"/>
        <v>0</v>
      </c>
      <c r="N442" s="2259"/>
      <c r="O442" s="1058"/>
      <c r="P442" s="1497">
        <v>726208051.94000006</v>
      </c>
      <c r="Q442" s="1374">
        <f>ROUND(273657364.6,0)</f>
        <v>273657365</v>
      </c>
      <c r="R442" s="1497">
        <f t="shared" si="255"/>
        <v>999865417</v>
      </c>
      <c r="S442" s="1487"/>
      <c r="T442" s="1497"/>
      <c r="U442" s="1487"/>
      <c r="V442" s="1497"/>
      <c r="W442" s="1497">
        <f t="shared" si="256"/>
        <v>999865417</v>
      </c>
      <c r="X442" s="1187"/>
      <c r="Y442" s="236">
        <v>127608483</v>
      </c>
      <c r="Z442" s="713">
        <v>142485982</v>
      </c>
      <c r="AA442" s="713">
        <f t="shared" si="257"/>
        <v>270094465</v>
      </c>
      <c r="AB442" s="617"/>
      <c r="AC442" s="236"/>
      <c r="AD442" s="617"/>
      <c r="AE442" s="236"/>
      <c r="AF442" s="713">
        <f t="shared" si="258"/>
        <v>270094465</v>
      </c>
      <c r="AG442" s="713"/>
      <c r="AH442" s="207"/>
      <c r="AI442" s="12">
        <v>0</v>
      </c>
      <c r="AJ442" s="25"/>
      <c r="AK442" s="25"/>
      <c r="AL442" s="671"/>
      <c r="AM442" s="25">
        <v>250549885</v>
      </c>
      <c r="AN442" s="1136">
        <v>965994745</v>
      </c>
      <c r="AO442" s="25">
        <f t="shared" si="259"/>
        <v>1216544630</v>
      </c>
      <c r="AP442" s="785"/>
      <c r="AQ442" s="25"/>
      <c r="AR442" s="785"/>
      <c r="AS442" s="25"/>
      <c r="AT442" s="25">
        <f t="shared" si="260"/>
        <v>1216544630</v>
      </c>
      <c r="AU442" s="11"/>
      <c r="AV442" s="25">
        <v>181177929</v>
      </c>
      <c r="AW442" s="1136">
        <v>986177607</v>
      </c>
      <c r="AX442" s="25">
        <f t="shared" si="261"/>
        <v>1167355536</v>
      </c>
      <c r="AY442" s="785"/>
      <c r="AZ442" s="25"/>
      <c r="BA442" s="785"/>
      <c r="BB442" s="25"/>
      <c r="BC442" s="25">
        <f t="shared" si="262"/>
        <v>1167355536</v>
      </c>
      <c r="BD442" s="25"/>
      <c r="BE442" s="128"/>
      <c r="BF442" s="220">
        <v>0</v>
      </c>
      <c r="BG442" s="37"/>
      <c r="BH442" s="235">
        <v>0</v>
      </c>
      <c r="BI442" s="11"/>
    </row>
    <row r="443" spans="2:61" s="1" customFormat="1">
      <c r="B443" s="30"/>
      <c r="C443" s="73">
        <v>2016</v>
      </c>
      <c r="D443" s="1385">
        <v>0</v>
      </c>
      <c r="E443" s="1385"/>
      <c r="F443" s="1365">
        <f t="shared" si="229"/>
        <v>0</v>
      </c>
      <c r="G443" s="1365">
        <f t="shared" si="223"/>
        <v>0</v>
      </c>
      <c r="H443" s="1385">
        <f t="shared" si="253"/>
        <v>0</v>
      </c>
      <c r="I443" s="1952"/>
      <c r="J443" s="1385"/>
      <c r="K443" s="1952"/>
      <c r="L443" s="1385"/>
      <c r="M443" s="1385">
        <f t="shared" si="254"/>
        <v>0</v>
      </c>
      <c r="N443" s="2265"/>
      <c r="O443" s="1998"/>
      <c r="P443" s="1515"/>
      <c r="Q443" s="1385"/>
      <c r="R443" s="1515">
        <f t="shared" si="255"/>
        <v>0</v>
      </c>
      <c r="S443" s="1516"/>
      <c r="T443" s="1515"/>
      <c r="U443" s="1516"/>
      <c r="V443" s="1515"/>
      <c r="W443" s="1515">
        <f t="shared" si="256"/>
        <v>0</v>
      </c>
      <c r="X443" s="1197"/>
      <c r="Y443" s="257"/>
      <c r="Z443" s="726"/>
      <c r="AA443" s="726">
        <f t="shared" si="257"/>
        <v>0</v>
      </c>
      <c r="AB443" s="620"/>
      <c r="AC443" s="257"/>
      <c r="AD443" s="620"/>
      <c r="AE443" s="257"/>
      <c r="AF443" s="726">
        <f t="shared" si="258"/>
        <v>0</v>
      </c>
      <c r="AG443" s="726"/>
      <c r="AH443" s="258"/>
      <c r="AI443" s="12">
        <v>0</v>
      </c>
      <c r="AJ443" s="25"/>
      <c r="AK443" s="25"/>
      <c r="AL443" s="671"/>
      <c r="AM443" s="25"/>
      <c r="AN443" s="25"/>
      <c r="AO443" s="25">
        <f t="shared" si="259"/>
        <v>0</v>
      </c>
      <c r="AP443" s="785"/>
      <c r="AQ443" s="25"/>
      <c r="AR443" s="785"/>
      <c r="AS443" s="25"/>
      <c r="AT443" s="25">
        <f t="shared" si="260"/>
        <v>0</v>
      </c>
      <c r="AU443" s="11"/>
      <c r="AV443" s="25"/>
      <c r="AW443" s="25"/>
      <c r="AX443" s="25">
        <f t="shared" si="261"/>
        <v>0</v>
      </c>
      <c r="AY443" s="785"/>
      <c r="AZ443" s="25"/>
      <c r="BA443" s="785"/>
      <c r="BB443" s="25"/>
      <c r="BC443" s="25">
        <f t="shared" si="262"/>
        <v>0</v>
      </c>
      <c r="BD443" s="25"/>
      <c r="BE443" s="128"/>
      <c r="BF443" s="220">
        <v>0</v>
      </c>
      <c r="BG443" s="37"/>
      <c r="BH443" s="235">
        <v>0</v>
      </c>
      <c r="BI443" s="11"/>
    </row>
    <row r="444" spans="2:61" s="1" customFormat="1">
      <c r="B444" s="30"/>
      <c r="C444" s="73">
        <v>2017</v>
      </c>
      <c r="D444" s="1385">
        <v>0</v>
      </c>
      <c r="E444" s="1385"/>
      <c r="F444" s="1365">
        <f t="shared" si="229"/>
        <v>0</v>
      </c>
      <c r="G444" s="1365">
        <f t="shared" si="223"/>
        <v>0</v>
      </c>
      <c r="H444" s="1385">
        <f t="shared" si="253"/>
        <v>0</v>
      </c>
      <c r="I444" s="1952"/>
      <c r="J444" s="1385"/>
      <c r="K444" s="1952"/>
      <c r="L444" s="1385"/>
      <c r="M444" s="1385">
        <f t="shared" si="254"/>
        <v>0</v>
      </c>
      <c r="N444" s="2265"/>
      <c r="O444" s="1998"/>
      <c r="P444" s="1515"/>
      <c r="Q444" s="1385"/>
      <c r="R444" s="1515">
        <f t="shared" si="255"/>
        <v>0</v>
      </c>
      <c r="S444" s="1516"/>
      <c r="T444" s="1515"/>
      <c r="U444" s="1516"/>
      <c r="V444" s="1515"/>
      <c r="W444" s="1515">
        <f t="shared" si="256"/>
        <v>0</v>
      </c>
      <c r="X444" s="1197"/>
      <c r="Y444" s="257"/>
      <c r="Z444" s="726"/>
      <c r="AA444" s="726">
        <f t="shared" si="257"/>
        <v>0</v>
      </c>
      <c r="AB444" s="620"/>
      <c r="AC444" s="257"/>
      <c r="AD444" s="620"/>
      <c r="AE444" s="257"/>
      <c r="AF444" s="726">
        <f t="shared" si="258"/>
        <v>0</v>
      </c>
      <c r="AG444" s="726"/>
      <c r="AH444" s="258"/>
      <c r="AI444" s="12">
        <v>0</v>
      </c>
      <c r="AJ444" s="25"/>
      <c r="AK444" s="25"/>
      <c r="AL444" s="671"/>
      <c r="AM444" s="25"/>
      <c r="AN444" s="25"/>
      <c r="AO444" s="25">
        <f t="shared" si="259"/>
        <v>0</v>
      </c>
      <c r="AP444" s="785"/>
      <c r="AQ444" s="25"/>
      <c r="AR444" s="785"/>
      <c r="AS444" s="25"/>
      <c r="AT444" s="25">
        <f t="shared" si="260"/>
        <v>0</v>
      </c>
      <c r="AU444" s="11"/>
      <c r="AV444" s="25"/>
      <c r="AW444" s="25"/>
      <c r="AX444" s="25">
        <f t="shared" si="261"/>
        <v>0</v>
      </c>
      <c r="AY444" s="785"/>
      <c r="AZ444" s="25"/>
      <c r="BA444" s="785"/>
      <c r="BB444" s="25"/>
      <c r="BC444" s="25">
        <f t="shared" si="262"/>
        <v>0</v>
      </c>
      <c r="BD444" s="25"/>
      <c r="BE444" s="128"/>
      <c r="BF444" s="220">
        <v>0</v>
      </c>
      <c r="BG444" s="37"/>
      <c r="BH444" s="235">
        <v>0</v>
      </c>
      <c r="BI444" s="11"/>
    </row>
    <row r="445" spans="2:61" s="1" customFormat="1">
      <c r="B445" s="30"/>
      <c r="C445" s="73">
        <v>2018</v>
      </c>
      <c r="D445" s="1385">
        <v>0</v>
      </c>
      <c r="E445" s="1385"/>
      <c r="F445" s="1365">
        <f t="shared" si="229"/>
        <v>0</v>
      </c>
      <c r="G445" s="1365">
        <f t="shared" si="223"/>
        <v>0</v>
      </c>
      <c r="H445" s="1385">
        <f t="shared" si="253"/>
        <v>0</v>
      </c>
      <c r="I445" s="1952"/>
      <c r="J445" s="1385"/>
      <c r="K445" s="1952"/>
      <c r="L445" s="1385"/>
      <c r="M445" s="1385">
        <f t="shared" si="254"/>
        <v>0</v>
      </c>
      <c r="N445" s="2265"/>
      <c r="O445" s="1998"/>
      <c r="P445" s="1515"/>
      <c r="Q445" s="1385"/>
      <c r="R445" s="1515">
        <f t="shared" si="255"/>
        <v>0</v>
      </c>
      <c r="S445" s="1516"/>
      <c r="T445" s="1515"/>
      <c r="U445" s="1516"/>
      <c r="V445" s="1515"/>
      <c r="W445" s="1515">
        <f t="shared" si="256"/>
        <v>0</v>
      </c>
      <c r="X445" s="1197"/>
      <c r="Y445" s="257"/>
      <c r="Z445" s="726"/>
      <c r="AA445" s="726">
        <f t="shared" si="257"/>
        <v>0</v>
      </c>
      <c r="AB445" s="620"/>
      <c r="AC445" s="257"/>
      <c r="AD445" s="620"/>
      <c r="AE445" s="257"/>
      <c r="AF445" s="726">
        <f t="shared" si="258"/>
        <v>0</v>
      </c>
      <c r="AG445" s="726"/>
      <c r="AH445" s="258"/>
      <c r="AI445" s="12">
        <v>0</v>
      </c>
      <c r="AJ445" s="25"/>
      <c r="AK445" s="25"/>
      <c r="AL445" s="671"/>
      <c r="AM445" s="25"/>
      <c r="AN445" s="25"/>
      <c r="AO445" s="25">
        <f t="shared" si="259"/>
        <v>0</v>
      </c>
      <c r="AP445" s="785"/>
      <c r="AQ445" s="25"/>
      <c r="AR445" s="785"/>
      <c r="AS445" s="25"/>
      <c r="AT445" s="25">
        <f t="shared" si="260"/>
        <v>0</v>
      </c>
      <c r="AU445" s="11"/>
      <c r="AV445" s="25"/>
      <c r="AW445" s="25"/>
      <c r="AX445" s="25">
        <f t="shared" si="261"/>
        <v>0</v>
      </c>
      <c r="AY445" s="785"/>
      <c r="AZ445" s="25"/>
      <c r="BA445" s="785"/>
      <c r="BB445" s="25"/>
      <c r="BC445" s="25">
        <f t="shared" si="262"/>
        <v>0</v>
      </c>
      <c r="BD445" s="25"/>
      <c r="BE445" s="128"/>
      <c r="BF445" s="220">
        <v>0</v>
      </c>
      <c r="BG445" s="37"/>
      <c r="BH445" s="235">
        <v>0</v>
      </c>
      <c r="BI445" s="11"/>
    </row>
    <row r="446" spans="2:61" s="1" customFormat="1">
      <c r="B446" s="30"/>
      <c r="C446" s="73">
        <v>2019</v>
      </c>
      <c r="D446" s="1385">
        <v>0</v>
      </c>
      <c r="E446" s="1385"/>
      <c r="F446" s="1365">
        <f t="shared" si="229"/>
        <v>0</v>
      </c>
      <c r="G446" s="1365">
        <f t="shared" si="223"/>
        <v>0</v>
      </c>
      <c r="H446" s="1385">
        <f t="shared" si="253"/>
        <v>0</v>
      </c>
      <c r="I446" s="1952"/>
      <c r="J446" s="1385"/>
      <c r="K446" s="1952"/>
      <c r="L446" s="1385"/>
      <c r="M446" s="1385">
        <f t="shared" si="254"/>
        <v>0</v>
      </c>
      <c r="N446" s="2265"/>
      <c r="O446" s="1998"/>
      <c r="P446" s="1515"/>
      <c r="Q446" s="1385"/>
      <c r="R446" s="1515">
        <f t="shared" si="255"/>
        <v>0</v>
      </c>
      <c r="S446" s="1516"/>
      <c r="T446" s="1515"/>
      <c r="U446" s="1516"/>
      <c r="V446" s="1515"/>
      <c r="W446" s="1515">
        <f t="shared" si="256"/>
        <v>0</v>
      </c>
      <c r="X446" s="1197"/>
      <c r="Y446" s="257"/>
      <c r="Z446" s="726"/>
      <c r="AA446" s="726">
        <f t="shared" si="257"/>
        <v>0</v>
      </c>
      <c r="AB446" s="620"/>
      <c r="AC446" s="257"/>
      <c r="AD446" s="620"/>
      <c r="AE446" s="257"/>
      <c r="AF446" s="726">
        <f t="shared" si="258"/>
        <v>0</v>
      </c>
      <c r="AG446" s="726"/>
      <c r="AH446" s="258"/>
      <c r="AI446" s="12">
        <v>0</v>
      </c>
      <c r="AJ446" s="25"/>
      <c r="AK446" s="25"/>
      <c r="AL446" s="671"/>
      <c r="AM446" s="25"/>
      <c r="AN446" s="25"/>
      <c r="AO446" s="25">
        <f t="shared" si="259"/>
        <v>0</v>
      </c>
      <c r="AP446" s="785"/>
      <c r="AQ446" s="25"/>
      <c r="AR446" s="785"/>
      <c r="AS446" s="25"/>
      <c r="AT446" s="25">
        <f t="shared" si="260"/>
        <v>0</v>
      </c>
      <c r="AU446" s="11"/>
      <c r="AV446" s="25"/>
      <c r="AW446" s="25"/>
      <c r="AX446" s="25">
        <f t="shared" si="261"/>
        <v>0</v>
      </c>
      <c r="AY446" s="785"/>
      <c r="AZ446" s="25"/>
      <c r="BA446" s="785"/>
      <c r="BB446" s="25"/>
      <c r="BC446" s="25">
        <f t="shared" si="262"/>
        <v>0</v>
      </c>
      <c r="BD446" s="25"/>
      <c r="BE446" s="128"/>
      <c r="BF446" s="220">
        <v>0</v>
      </c>
      <c r="BG446" s="37"/>
      <c r="BH446" s="235">
        <v>0</v>
      </c>
      <c r="BI446" s="11"/>
    </row>
    <row r="447" spans="2:61" s="1" customFormat="1">
      <c r="B447" s="30"/>
      <c r="C447" s="73">
        <v>2020</v>
      </c>
      <c r="D447" s="1385">
        <v>0</v>
      </c>
      <c r="E447" s="1385"/>
      <c r="F447" s="1365">
        <f t="shared" si="229"/>
        <v>0</v>
      </c>
      <c r="G447" s="1365">
        <f t="shared" si="223"/>
        <v>0</v>
      </c>
      <c r="H447" s="1385">
        <f t="shared" si="253"/>
        <v>0</v>
      </c>
      <c r="I447" s="1952"/>
      <c r="J447" s="1385"/>
      <c r="K447" s="1952"/>
      <c r="L447" s="1385"/>
      <c r="M447" s="1385">
        <f t="shared" si="254"/>
        <v>0</v>
      </c>
      <c r="N447" s="2265"/>
      <c r="O447" s="1998"/>
      <c r="P447" s="1515"/>
      <c r="Q447" s="1385"/>
      <c r="R447" s="1515">
        <f t="shared" si="255"/>
        <v>0</v>
      </c>
      <c r="S447" s="1516"/>
      <c r="T447" s="1515"/>
      <c r="U447" s="1516"/>
      <c r="V447" s="1515"/>
      <c r="W447" s="1515">
        <f t="shared" si="256"/>
        <v>0</v>
      </c>
      <c r="X447" s="1197"/>
      <c r="Y447" s="257"/>
      <c r="Z447" s="726"/>
      <c r="AA447" s="726">
        <f t="shared" si="257"/>
        <v>0</v>
      </c>
      <c r="AB447" s="620"/>
      <c r="AC447" s="257"/>
      <c r="AD447" s="620"/>
      <c r="AE447" s="257"/>
      <c r="AF447" s="726">
        <f t="shared" si="258"/>
        <v>0</v>
      </c>
      <c r="AG447" s="726"/>
      <c r="AH447" s="258"/>
      <c r="AI447" s="12">
        <v>0</v>
      </c>
      <c r="AJ447" s="25"/>
      <c r="AK447" s="25"/>
      <c r="AL447" s="671"/>
      <c r="AM447" s="25"/>
      <c r="AN447" s="25"/>
      <c r="AO447" s="25">
        <f t="shared" si="259"/>
        <v>0</v>
      </c>
      <c r="AP447" s="785"/>
      <c r="AQ447" s="25"/>
      <c r="AR447" s="785"/>
      <c r="AS447" s="25"/>
      <c r="AT447" s="25">
        <f t="shared" si="260"/>
        <v>0</v>
      </c>
      <c r="AU447" s="11"/>
      <c r="AV447" s="25"/>
      <c r="AW447" s="25"/>
      <c r="AX447" s="25">
        <f t="shared" si="261"/>
        <v>0</v>
      </c>
      <c r="AY447" s="785"/>
      <c r="AZ447" s="25"/>
      <c r="BA447" s="785"/>
      <c r="BB447" s="25"/>
      <c r="BC447" s="25">
        <f t="shared" si="262"/>
        <v>0</v>
      </c>
      <c r="BD447" s="25"/>
      <c r="BE447" s="128"/>
      <c r="BF447" s="220">
        <v>0</v>
      </c>
      <c r="BG447" s="37"/>
      <c r="BH447" s="235">
        <v>0</v>
      </c>
      <c r="BI447" s="11"/>
    </row>
    <row r="448" spans="2:61" s="1" customFormat="1">
      <c r="B448" s="30"/>
      <c r="C448" s="73">
        <v>2021</v>
      </c>
      <c r="D448" s="1385">
        <v>0</v>
      </c>
      <c r="E448" s="1385"/>
      <c r="F448" s="1365">
        <f t="shared" si="229"/>
        <v>0</v>
      </c>
      <c r="G448" s="1365">
        <f t="shared" si="223"/>
        <v>0</v>
      </c>
      <c r="H448" s="1385">
        <f t="shared" si="253"/>
        <v>0</v>
      </c>
      <c r="I448" s="1952"/>
      <c r="J448" s="1385"/>
      <c r="K448" s="1952"/>
      <c r="L448" s="1385"/>
      <c r="M448" s="1385">
        <f t="shared" si="254"/>
        <v>0</v>
      </c>
      <c r="N448" s="2265"/>
      <c r="O448" s="1998"/>
      <c r="P448" s="1515"/>
      <c r="Q448" s="1385"/>
      <c r="R448" s="1515">
        <f t="shared" si="255"/>
        <v>0</v>
      </c>
      <c r="S448" s="1516"/>
      <c r="T448" s="1515"/>
      <c r="U448" s="1516"/>
      <c r="V448" s="1515"/>
      <c r="W448" s="1515">
        <f t="shared" si="256"/>
        <v>0</v>
      </c>
      <c r="X448" s="1197"/>
      <c r="Y448" s="257"/>
      <c r="Z448" s="726"/>
      <c r="AA448" s="726">
        <f t="shared" si="257"/>
        <v>0</v>
      </c>
      <c r="AB448" s="620"/>
      <c r="AC448" s="257"/>
      <c r="AD448" s="620"/>
      <c r="AE448" s="257"/>
      <c r="AF448" s="726">
        <f t="shared" si="258"/>
        <v>0</v>
      </c>
      <c r="AG448" s="726"/>
      <c r="AH448" s="258"/>
      <c r="AI448" s="12">
        <v>464326518</v>
      </c>
      <c r="AJ448" s="25"/>
      <c r="AK448" s="25"/>
      <c r="AL448" s="671"/>
      <c r="AM448" s="25"/>
      <c r="AN448" s="25"/>
      <c r="AO448" s="25">
        <f t="shared" si="259"/>
        <v>0</v>
      </c>
      <c r="AP448" s="785"/>
      <c r="AQ448" s="25"/>
      <c r="AR448" s="785"/>
      <c r="AS448" s="25"/>
      <c r="AT448" s="25">
        <f t="shared" si="260"/>
        <v>0</v>
      </c>
      <c r="AU448" s="11"/>
      <c r="AV448" s="25"/>
      <c r="AW448" s="25"/>
      <c r="AX448" s="25">
        <f t="shared" si="261"/>
        <v>0</v>
      </c>
      <c r="AY448" s="785"/>
      <c r="AZ448" s="25"/>
      <c r="BA448" s="785"/>
      <c r="BB448" s="25"/>
      <c r="BC448" s="25">
        <f t="shared" si="262"/>
        <v>0</v>
      </c>
      <c r="BD448" s="25"/>
      <c r="BE448" s="128"/>
      <c r="BF448" s="220">
        <v>464326518</v>
      </c>
      <c r="BG448" s="37"/>
      <c r="BH448" s="235">
        <v>626175185</v>
      </c>
      <c r="BI448" s="11">
        <f>BJ447-BG448</f>
        <v>0</v>
      </c>
    </row>
    <row r="449" spans="2:61" s="1" customFormat="1">
      <c r="B449" s="30"/>
      <c r="C449" s="73">
        <v>2022</v>
      </c>
      <c r="D449" s="1385">
        <v>0</v>
      </c>
      <c r="E449" s="1385"/>
      <c r="F449" s="1365">
        <f t="shared" si="229"/>
        <v>0</v>
      </c>
      <c r="G449" s="1365">
        <f t="shared" si="223"/>
        <v>0</v>
      </c>
      <c r="H449" s="1385">
        <f t="shared" si="253"/>
        <v>0</v>
      </c>
      <c r="I449" s="1952"/>
      <c r="J449" s="1385"/>
      <c r="K449" s="1952"/>
      <c r="L449" s="1385"/>
      <c r="M449" s="1385">
        <f t="shared" si="254"/>
        <v>0</v>
      </c>
      <c r="N449" s="2265"/>
      <c r="O449" s="1998"/>
      <c r="P449" s="1515">
        <v>0</v>
      </c>
      <c r="Q449" s="1385"/>
      <c r="R449" s="1515">
        <f t="shared" si="255"/>
        <v>0</v>
      </c>
      <c r="S449" s="1516"/>
      <c r="T449" s="1515"/>
      <c r="U449" s="1516"/>
      <c r="V449" s="1515"/>
      <c r="W449" s="1515">
        <f t="shared" si="256"/>
        <v>0</v>
      </c>
      <c r="X449" s="1197"/>
      <c r="Y449" s="257"/>
      <c r="Z449" s="726"/>
      <c r="AA449" s="726">
        <f t="shared" si="257"/>
        <v>0</v>
      </c>
      <c r="AB449" s="620"/>
      <c r="AC449" s="257"/>
      <c r="AD449" s="620"/>
      <c r="AE449" s="257"/>
      <c r="AF449" s="726">
        <f t="shared" si="258"/>
        <v>0</v>
      </c>
      <c r="AG449" s="726"/>
      <c r="AH449" s="258"/>
      <c r="AI449" s="12">
        <v>1542699475</v>
      </c>
      <c r="AJ449" s="25"/>
      <c r="AK449" s="25"/>
      <c r="AL449" s="671"/>
      <c r="AM449" s="25">
        <v>1063969216</v>
      </c>
      <c r="AN449" s="25"/>
      <c r="AO449" s="25">
        <f t="shared" si="259"/>
        <v>1063969216</v>
      </c>
      <c r="AP449" s="785"/>
      <c r="AQ449" s="25"/>
      <c r="AR449" s="785"/>
      <c r="AS449" s="25"/>
      <c r="AT449" s="25">
        <f t="shared" si="260"/>
        <v>1063969216</v>
      </c>
      <c r="AU449" s="11"/>
      <c r="AV449" s="25">
        <v>1063969216</v>
      </c>
      <c r="AW449" s="25"/>
      <c r="AX449" s="25">
        <f t="shared" si="261"/>
        <v>1063969216</v>
      </c>
      <c r="AY449" s="785"/>
      <c r="AZ449" s="25"/>
      <c r="BA449" s="785"/>
      <c r="BB449" s="25"/>
      <c r="BC449" s="25">
        <f t="shared" si="262"/>
        <v>1063969216</v>
      </c>
      <c r="BD449" s="25"/>
      <c r="BE449" s="136" t="e">
        <f>BE450-#REF!</f>
        <v>#REF!</v>
      </c>
      <c r="BF449" s="220">
        <v>1542699475</v>
      </c>
      <c r="BG449" s="37"/>
      <c r="BH449" s="235">
        <v>0</v>
      </c>
      <c r="BI449" s="11"/>
    </row>
    <row r="450" spans="2:61" s="1" customFormat="1">
      <c r="B450" s="30"/>
      <c r="C450" s="73">
        <v>2023</v>
      </c>
      <c r="D450" s="1385"/>
      <c r="E450" s="1385"/>
      <c r="F450" s="1365">
        <f t="shared" si="229"/>
        <v>0</v>
      </c>
      <c r="G450" s="1365">
        <f t="shared" si="223"/>
        <v>0</v>
      </c>
      <c r="H450" s="1385">
        <f t="shared" si="253"/>
        <v>0</v>
      </c>
      <c r="I450" s="1952"/>
      <c r="J450" s="1385"/>
      <c r="K450" s="1952"/>
      <c r="L450" s="1385"/>
      <c r="M450" s="1385">
        <f t="shared" si="254"/>
        <v>0</v>
      </c>
      <c r="N450" s="2265"/>
      <c r="O450" s="1998"/>
      <c r="P450" s="1515">
        <v>0</v>
      </c>
      <c r="Q450" s="1385"/>
      <c r="R450" s="1515">
        <f t="shared" si="255"/>
        <v>0</v>
      </c>
      <c r="S450" s="1516"/>
      <c r="T450" s="1515"/>
      <c r="U450" s="1516"/>
      <c r="V450" s="1515"/>
      <c r="W450" s="1515">
        <f t="shared" si="256"/>
        <v>0</v>
      </c>
      <c r="X450" s="1197"/>
      <c r="Y450" s="257"/>
      <c r="Z450" s="726"/>
      <c r="AA450" s="726">
        <f t="shared" si="257"/>
        <v>0</v>
      </c>
      <c r="AB450" s="620"/>
      <c r="AC450" s="257"/>
      <c r="AD450" s="620"/>
      <c r="AE450" s="257"/>
      <c r="AF450" s="726">
        <f t="shared" si="258"/>
        <v>0</v>
      </c>
      <c r="AG450" s="726"/>
      <c r="AH450" s="258"/>
      <c r="AI450" s="12">
        <v>774567330</v>
      </c>
      <c r="AJ450" s="25"/>
      <c r="AK450" s="25"/>
      <c r="AL450" s="671">
        <v>577405049</v>
      </c>
      <c r="AM450" s="25"/>
      <c r="AN450" s="25"/>
      <c r="AO450" s="25">
        <f t="shared" si="259"/>
        <v>0</v>
      </c>
      <c r="AP450" s="785"/>
      <c r="AQ450" s="25"/>
      <c r="AR450" s="785"/>
      <c r="AS450" s="25"/>
      <c r="AT450" s="25">
        <f t="shared" si="260"/>
        <v>0</v>
      </c>
      <c r="AU450" s="11"/>
      <c r="AV450" s="25"/>
      <c r="AW450" s="25"/>
      <c r="AX450" s="25">
        <f t="shared" si="261"/>
        <v>0</v>
      </c>
      <c r="AY450" s="785"/>
      <c r="AZ450" s="25"/>
      <c r="BA450" s="785"/>
      <c r="BB450" s="25"/>
      <c r="BC450" s="25">
        <f t="shared" si="262"/>
        <v>0</v>
      </c>
      <c r="BD450" s="25"/>
      <c r="BE450" s="136">
        <v>1300652078</v>
      </c>
      <c r="BF450" s="239"/>
      <c r="BG450" s="37"/>
      <c r="BH450" s="235"/>
      <c r="BI450" s="11"/>
    </row>
    <row r="451" spans="2:61" s="1" customFormat="1">
      <c r="B451" s="30"/>
      <c r="C451" s="73">
        <v>2024</v>
      </c>
      <c r="D451" s="1385">
        <v>485856340</v>
      </c>
      <c r="E451" s="1374">
        <v>811682826</v>
      </c>
      <c r="F451" s="1365">
        <f t="shared" si="229"/>
        <v>1297539166</v>
      </c>
      <c r="G451" s="1365">
        <f t="shared" si="223"/>
        <v>0</v>
      </c>
      <c r="H451" s="1385">
        <f t="shared" ref="H451" si="265">ROUND((D451+E451),0)</f>
        <v>1297539166</v>
      </c>
      <c r="I451" s="1952"/>
      <c r="J451" s="1385"/>
      <c r="K451" s="1952"/>
      <c r="L451" s="1385"/>
      <c r="M451" s="2319">
        <f t="shared" ref="M451" si="266">ROUND((H451-J451+L451),0)</f>
        <v>1297539166</v>
      </c>
      <c r="N451" s="2265"/>
      <c r="O451" s="1998"/>
      <c r="P451" s="1515"/>
      <c r="Q451" s="1385"/>
      <c r="R451" s="1515"/>
      <c r="S451" s="1516"/>
      <c r="T451" s="1515"/>
      <c r="U451" s="1516"/>
      <c r="V451" s="1515"/>
      <c r="W451" s="1515"/>
      <c r="X451" s="1197"/>
      <c r="Y451" s="257"/>
      <c r="Z451" s="726"/>
      <c r="AA451" s="726"/>
      <c r="AB451" s="620"/>
      <c r="AC451" s="257"/>
      <c r="AD451" s="620"/>
      <c r="AE451" s="257"/>
      <c r="AF451" s="726"/>
      <c r="AG451" s="726"/>
      <c r="AH451" s="258"/>
      <c r="AI451" s="12"/>
      <c r="AJ451" s="25"/>
      <c r="AK451" s="25"/>
      <c r="AL451" s="671"/>
      <c r="AM451" s="25"/>
      <c r="AN451" s="25"/>
      <c r="AO451" s="25"/>
      <c r="AP451" s="785"/>
      <c r="AQ451" s="25"/>
      <c r="AR451" s="785"/>
      <c r="AS451" s="25"/>
      <c r="AT451" s="25"/>
      <c r="AU451" s="11"/>
      <c r="AV451" s="25"/>
      <c r="AW451" s="25"/>
      <c r="AX451" s="25"/>
      <c r="AY451" s="785"/>
      <c r="AZ451" s="25"/>
      <c r="BA451" s="785"/>
      <c r="BB451" s="25"/>
      <c r="BC451" s="25"/>
      <c r="BD451" s="25"/>
      <c r="BE451" s="136"/>
      <c r="BF451" s="239"/>
      <c r="BG451" s="37"/>
      <c r="BH451" s="235"/>
      <c r="BI451" s="11"/>
    </row>
    <row r="452" spans="2:61" s="1" customFormat="1">
      <c r="B452" s="30"/>
      <c r="C452" s="4" t="s">
        <v>788</v>
      </c>
      <c r="D452" s="2314"/>
      <c r="E452" s="1365"/>
      <c r="F452" s="1365">
        <f t="shared" si="229"/>
        <v>0</v>
      </c>
      <c r="G452" s="1365">
        <f t="shared" si="223"/>
        <v>0</v>
      </c>
      <c r="H452" s="1365">
        <f t="shared" si="253"/>
        <v>0</v>
      </c>
      <c r="I452" s="1384"/>
      <c r="J452" s="1365"/>
      <c r="K452" s="1384"/>
      <c r="L452" s="1365"/>
      <c r="M452" s="1365">
        <f t="shared" si="254"/>
        <v>0</v>
      </c>
      <c r="N452" s="2259"/>
      <c r="O452" s="1058"/>
      <c r="P452" s="1482">
        <v>3171902500</v>
      </c>
      <c r="Q452" s="1365"/>
      <c r="R452" s="1482">
        <f t="shared" si="255"/>
        <v>3171902500</v>
      </c>
      <c r="S452" s="1481"/>
      <c r="T452" s="1482"/>
      <c r="U452" s="1481"/>
      <c r="V452" s="1482"/>
      <c r="W452" s="1482">
        <f t="shared" si="256"/>
        <v>3171902500</v>
      </c>
      <c r="X452" s="1187"/>
      <c r="Y452" s="90"/>
      <c r="Z452" s="697"/>
      <c r="AA452" s="697">
        <f t="shared" si="257"/>
        <v>0</v>
      </c>
      <c r="AB452" s="253"/>
      <c r="AC452" s="90"/>
      <c r="AD452" s="253"/>
      <c r="AE452" s="90"/>
      <c r="AF452" s="697">
        <f t="shared" si="258"/>
        <v>0</v>
      </c>
      <c r="AG452" s="697"/>
      <c r="AH452" s="207"/>
      <c r="AI452" s="12">
        <v>0</v>
      </c>
      <c r="AJ452" s="25"/>
      <c r="AK452" s="25"/>
      <c r="AL452" s="671">
        <f>SUM(AI448:AI450)-AL450</f>
        <v>2204188274</v>
      </c>
      <c r="AM452" s="25"/>
      <c r="AN452" s="25"/>
      <c r="AO452" s="25">
        <f t="shared" si="259"/>
        <v>0</v>
      </c>
      <c r="AP452" s="785"/>
      <c r="AQ452" s="25"/>
      <c r="AR452" s="785"/>
      <c r="AS452" s="25"/>
      <c r="AT452" s="25">
        <f t="shared" si="260"/>
        <v>0</v>
      </c>
      <c r="AU452" s="11"/>
      <c r="AV452" s="25"/>
      <c r="AW452" s="25"/>
      <c r="AX452" s="25">
        <f t="shared" si="261"/>
        <v>0</v>
      </c>
      <c r="AY452" s="785"/>
      <c r="AZ452" s="25"/>
      <c r="BA452" s="785"/>
      <c r="BB452" s="25"/>
      <c r="BC452" s="25">
        <f t="shared" si="262"/>
        <v>0</v>
      </c>
      <c r="BD452" s="25"/>
      <c r="BE452" s="128"/>
      <c r="BF452" s="220">
        <v>0</v>
      </c>
      <c r="BG452" s="37"/>
      <c r="BH452" s="235">
        <v>0</v>
      </c>
      <c r="BI452" s="11"/>
    </row>
    <row r="453" spans="2:61" s="1" customFormat="1">
      <c r="B453" s="19"/>
      <c r="C453" s="19" t="s">
        <v>789</v>
      </c>
      <c r="D453" s="1369">
        <f>SUM(D435:D452)</f>
        <v>590129738</v>
      </c>
      <c r="E453" s="1369">
        <f>SUM(E435:E452)</f>
        <v>877385761</v>
      </c>
      <c r="F453" s="1365">
        <f t="shared" si="229"/>
        <v>1467515499</v>
      </c>
      <c r="G453" s="1365">
        <f t="shared" si="223"/>
        <v>0</v>
      </c>
      <c r="H453" s="1369">
        <f>SUM(H435:H452)</f>
        <v>1467515499</v>
      </c>
      <c r="I453" s="1944"/>
      <c r="J453" s="1369"/>
      <c r="K453" s="1944"/>
      <c r="L453" s="1369"/>
      <c r="M453" s="1369">
        <f>SUM(M435:M452)</f>
        <v>1467515499</v>
      </c>
      <c r="N453" s="226"/>
      <c r="O453" s="1469"/>
      <c r="P453" s="1488">
        <f>SUM(P435:P452)</f>
        <v>4063881308.9400001</v>
      </c>
      <c r="Q453" s="1369">
        <f>SUM(Q435:Q452)</f>
        <v>345187442</v>
      </c>
      <c r="R453" s="1488">
        <f>SUM(R435:R452)</f>
        <v>4409068751</v>
      </c>
      <c r="S453" s="1489"/>
      <c r="T453" s="1488"/>
      <c r="U453" s="1489"/>
      <c r="V453" s="1488"/>
      <c r="W453" s="1488">
        <f>SUM(W435:W452)</f>
        <v>4409068751</v>
      </c>
      <c r="X453" s="1190"/>
      <c r="Y453" s="428">
        <f>SUM(Y435:Y452)</f>
        <v>217641483</v>
      </c>
      <c r="Z453" s="707">
        <f>SUM(Z435:Z452)</f>
        <v>186401259</v>
      </c>
      <c r="AA453" s="707">
        <f>SUM(AA435:AA452)</f>
        <v>404042742</v>
      </c>
      <c r="AB453" s="601"/>
      <c r="AC453" s="223"/>
      <c r="AD453" s="601"/>
      <c r="AE453" s="223"/>
      <c r="AF453" s="707">
        <f>SUM(AF435:AF452)</f>
        <v>404042742</v>
      </c>
      <c r="AG453" s="707"/>
      <c r="AH453" s="228"/>
      <c r="AI453" s="428">
        <f>SUM(AI435:AI452)</f>
        <v>2863697915</v>
      </c>
      <c r="AJ453" s="428"/>
      <c r="AK453" s="428"/>
      <c r="AL453" s="670"/>
      <c r="AM453" s="428">
        <f>SUM(AM435:AM452)</f>
        <v>1361711205</v>
      </c>
      <c r="AN453" s="428">
        <f>SUM(AN435:AN452)</f>
        <v>976202832</v>
      </c>
      <c r="AO453" s="428">
        <f>SUM(AO435:AO452)</f>
        <v>2337914037</v>
      </c>
      <c r="AP453" s="762"/>
      <c r="AQ453" s="428"/>
      <c r="AR453" s="762"/>
      <c r="AS453" s="428"/>
      <c r="AT453" s="1564">
        <f>SUM(AT435:AT452)</f>
        <v>2337914037</v>
      </c>
      <c r="AU453" s="29"/>
      <c r="AV453" s="428">
        <f>SUM(AV435:AV452)</f>
        <v>1307552812</v>
      </c>
      <c r="AW453" s="428">
        <f>SUM(AW435:AW452)</f>
        <v>1010120687</v>
      </c>
      <c r="AX453" s="428">
        <f>SUM(AX435:AX452)</f>
        <v>2317673499</v>
      </c>
      <c r="AY453" s="762"/>
      <c r="AZ453" s="428"/>
      <c r="BA453" s="762"/>
      <c r="BB453" s="428"/>
      <c r="BC453" s="428">
        <f>SUM(BC435:BC452)</f>
        <v>2317673499</v>
      </c>
      <c r="BD453" s="138"/>
      <c r="BE453" s="28"/>
      <c r="BF453" s="428">
        <f>SUM(BF435:BF452)</f>
        <v>2152621331</v>
      </c>
      <c r="BG453" s="29"/>
      <c r="BH453" s="428">
        <f>SUM(BH435:BH452)</f>
        <v>712242589</v>
      </c>
      <c r="BI453" s="29"/>
    </row>
    <row r="454" spans="2:61" s="1" customFormat="1">
      <c r="B454" s="2" t="s">
        <v>790</v>
      </c>
      <c r="C454" s="74"/>
      <c r="D454" s="1365"/>
      <c r="E454" s="1365"/>
      <c r="F454" s="1365">
        <f t="shared" si="229"/>
        <v>0</v>
      </c>
      <c r="G454" s="1365">
        <f t="shared" si="223"/>
        <v>0</v>
      </c>
      <c r="H454" s="1365"/>
      <c r="I454" s="1384"/>
      <c r="J454" s="1365"/>
      <c r="K454" s="1384"/>
      <c r="L454" s="1365"/>
      <c r="M454" s="1365"/>
      <c r="N454" s="2259"/>
      <c r="O454" s="1058"/>
      <c r="P454" s="1482"/>
      <c r="Q454" s="1365"/>
      <c r="R454" s="1482"/>
      <c r="S454" s="1481"/>
      <c r="T454" s="1482"/>
      <c r="U454" s="1481"/>
      <c r="V454" s="1482"/>
      <c r="W454" s="1482"/>
      <c r="X454" s="1198"/>
      <c r="Y454" s="90"/>
      <c r="Z454" s="697"/>
      <c r="AA454" s="697"/>
      <c r="AB454" s="253"/>
      <c r="AC454" s="90"/>
      <c r="AD454" s="253"/>
      <c r="AE454" s="90"/>
      <c r="AF454" s="697"/>
      <c r="AG454" s="697"/>
      <c r="AH454" s="207"/>
      <c r="AI454" s="147"/>
      <c r="AJ454" s="147"/>
      <c r="AK454" s="147"/>
      <c r="AL454" s="673"/>
      <c r="AM454" s="147"/>
      <c r="AN454" s="147"/>
      <c r="AO454" s="147"/>
      <c r="AP454" s="769"/>
      <c r="AQ454" s="147"/>
      <c r="AR454" s="769"/>
      <c r="AS454" s="147"/>
      <c r="AT454" s="147"/>
      <c r="AU454" s="66"/>
      <c r="AV454" s="147"/>
      <c r="AW454" s="147"/>
      <c r="AX454" s="147"/>
      <c r="AY454" s="769"/>
      <c r="AZ454" s="147"/>
      <c r="BA454" s="769"/>
      <c r="BB454" s="147"/>
      <c r="BC454" s="147"/>
      <c r="BD454" s="140"/>
      <c r="BE454" s="40"/>
      <c r="BF454" s="259"/>
      <c r="BG454" s="66"/>
      <c r="BH454" s="259"/>
      <c r="BI454" s="46"/>
    </row>
    <row r="455" spans="2:61" s="1" customFormat="1">
      <c r="B455" s="30"/>
      <c r="C455" s="74" t="s">
        <v>791</v>
      </c>
      <c r="D455" s="1365">
        <f>ROUND(1506012941.99,0)</f>
        <v>1506012942</v>
      </c>
      <c r="E455" s="1365">
        <f>ROUND(919737472.92,0)</f>
        <v>919737473</v>
      </c>
      <c r="F455" s="1365">
        <f t="shared" si="229"/>
        <v>2425750415</v>
      </c>
      <c r="G455" s="1365">
        <f t="shared" si="223"/>
        <v>0</v>
      </c>
      <c r="H455" s="1365">
        <f t="shared" ref="H455:H465" si="267">ROUND((D455+E455),0)</f>
        <v>2425750415</v>
      </c>
      <c r="I455" s="1384"/>
      <c r="J455" s="1365"/>
      <c r="K455" s="1384"/>
      <c r="L455" s="1365"/>
      <c r="M455" s="1365">
        <f t="shared" ref="M455:M465" si="268">ROUND((H455-J455+L455),0)</f>
        <v>2425750415</v>
      </c>
      <c r="N455" s="2259"/>
      <c r="O455" s="1058"/>
      <c r="P455" s="1482">
        <f>ROUND(1455092908.33,0)</f>
        <v>1455092908</v>
      </c>
      <c r="Q455" s="1365">
        <v>407674564</v>
      </c>
      <c r="R455" s="1482">
        <f t="shared" ref="R455:R465" si="269">ROUND((P455+Q455),0)</f>
        <v>1862767472</v>
      </c>
      <c r="S455" s="1481"/>
      <c r="T455" s="1482"/>
      <c r="U455" s="1481"/>
      <c r="V455" s="1482"/>
      <c r="W455" s="1482">
        <f t="shared" ref="W455:W465" si="270">ROUND((R455-T455+V455),0)</f>
        <v>1862767472</v>
      </c>
      <c r="X455" s="1198"/>
      <c r="Y455" s="1221">
        <v>2117843718</v>
      </c>
      <c r="Z455" s="697">
        <v>444112485</v>
      </c>
      <c r="AA455" s="697">
        <f t="shared" ref="AA455:AA465" si="271">ROUND((Y455+Z455),0)</f>
        <v>2561956203</v>
      </c>
      <c r="AB455" s="253"/>
      <c r="AC455" s="90"/>
      <c r="AD455" s="253"/>
      <c r="AE455" s="90"/>
      <c r="AF455" s="697">
        <f t="shared" ref="AF455:AF465" si="272">ROUND((AA455-AC455+AE455),0)</f>
        <v>2561956203</v>
      </c>
      <c r="AG455" s="697"/>
      <c r="AH455" s="207"/>
      <c r="AI455" s="140">
        <v>401613594</v>
      </c>
      <c r="AJ455" s="140"/>
      <c r="AK455" s="140"/>
      <c r="AL455" s="673"/>
      <c r="AM455" s="140">
        <v>3111580440</v>
      </c>
      <c r="AN455" s="140">
        <v>557048214</v>
      </c>
      <c r="AO455" s="140">
        <f t="shared" ref="AO455:AO466" si="273">ROUND((AM455+AN455),0)</f>
        <v>3668628654</v>
      </c>
      <c r="AP455" s="437"/>
      <c r="AQ455" s="140"/>
      <c r="AR455" s="437"/>
      <c r="AS455" s="140"/>
      <c r="AT455" s="140">
        <f t="shared" ref="AT455:AT466" si="274">ROUND((AO455-AQ455+AS455),0)</f>
        <v>3668628654</v>
      </c>
      <c r="AU455" s="66"/>
      <c r="AV455" s="140">
        <v>4687345549</v>
      </c>
      <c r="AW455" s="140">
        <v>717094677</v>
      </c>
      <c r="AX455" s="140">
        <f t="shared" ref="AX455:AX466" si="275">ROUND((AV455+AW455),0)</f>
        <v>5404440226</v>
      </c>
      <c r="AY455" s="437"/>
      <c r="AZ455" s="140"/>
      <c r="BA455" s="437"/>
      <c r="BB455" s="140"/>
      <c r="BC455" s="140">
        <f t="shared" ref="BC455:BC466" si="276">ROUND((AX455-AZ455+BB455),0)</f>
        <v>5404440226</v>
      </c>
      <c r="BD455" s="140"/>
      <c r="BE455" s="40"/>
      <c r="BF455" s="235">
        <v>2943355648</v>
      </c>
      <c r="BG455" s="66"/>
      <c r="BH455" s="235">
        <v>3686333713</v>
      </c>
      <c r="BI455" s="46"/>
    </row>
    <row r="456" spans="2:61" s="1" customFormat="1">
      <c r="B456" s="30"/>
      <c r="C456" s="74" t="s">
        <v>792</v>
      </c>
      <c r="D456" s="1365">
        <v>285002677</v>
      </c>
      <c r="E456" s="1365">
        <f>ROUND(750032130.23,0)</f>
        <v>750032130</v>
      </c>
      <c r="F456" s="1365">
        <f t="shared" si="229"/>
        <v>1035034807</v>
      </c>
      <c r="G456" s="1365">
        <f t="shared" si="223"/>
        <v>0</v>
      </c>
      <c r="H456" s="1365">
        <f t="shared" si="267"/>
        <v>1035034807</v>
      </c>
      <c r="I456" s="1384"/>
      <c r="J456" s="1365"/>
      <c r="K456" s="1384"/>
      <c r="L456" s="1365"/>
      <c r="M456" s="1365">
        <f t="shared" si="268"/>
        <v>1035034807</v>
      </c>
      <c r="N456" s="2259"/>
      <c r="O456" s="1058"/>
      <c r="P456" s="1482">
        <v>360602937</v>
      </c>
      <c r="Q456" s="1365">
        <v>829789553</v>
      </c>
      <c r="R456" s="1482">
        <f t="shared" si="269"/>
        <v>1190392490</v>
      </c>
      <c r="S456" s="1481"/>
      <c r="T456" s="1482"/>
      <c r="U456" s="1481"/>
      <c r="V456" s="1482"/>
      <c r="W456" s="1482">
        <f t="shared" si="270"/>
        <v>1190392490</v>
      </c>
      <c r="X456" s="1198"/>
      <c r="Y456" s="1221">
        <v>231535464</v>
      </c>
      <c r="Z456" s="697">
        <v>562483366</v>
      </c>
      <c r="AA456" s="697">
        <f t="shared" si="271"/>
        <v>794018830</v>
      </c>
      <c r="AB456" s="253"/>
      <c r="AC456" s="90"/>
      <c r="AD456" s="253"/>
      <c r="AE456" s="90"/>
      <c r="AF456" s="697">
        <f t="shared" si="272"/>
        <v>794018830</v>
      </c>
      <c r="AG456" s="697"/>
      <c r="AH456" s="207"/>
      <c r="AI456" s="140">
        <v>842999545</v>
      </c>
      <c r="AJ456" s="140"/>
      <c r="AK456" s="140"/>
      <c r="AL456" s="673"/>
      <c r="AM456" s="140">
        <v>240919869</v>
      </c>
      <c r="AN456" s="140">
        <v>476360658</v>
      </c>
      <c r="AO456" s="140">
        <f t="shared" si="273"/>
        <v>717280527</v>
      </c>
      <c r="AP456" s="437"/>
      <c r="AQ456" s="140"/>
      <c r="AR456" s="437"/>
      <c r="AS456" s="140"/>
      <c r="AT456" s="140">
        <f t="shared" si="274"/>
        <v>717280527</v>
      </c>
      <c r="AU456" s="66"/>
      <c r="AV456" s="140">
        <v>285780156</v>
      </c>
      <c r="AW456" s="140">
        <v>506575249</v>
      </c>
      <c r="AX456" s="140">
        <f t="shared" si="275"/>
        <v>792355405</v>
      </c>
      <c r="AY456" s="437"/>
      <c r="AZ456" s="140"/>
      <c r="BA456" s="437"/>
      <c r="BB456" s="140"/>
      <c r="BC456" s="140">
        <f t="shared" si="276"/>
        <v>792355405</v>
      </c>
      <c r="BD456" s="140"/>
      <c r="BE456" s="40"/>
      <c r="BF456" s="235">
        <v>897322254</v>
      </c>
      <c r="BG456" s="66"/>
      <c r="BH456" s="235">
        <v>870001793</v>
      </c>
      <c r="BI456" s="46"/>
    </row>
    <row r="457" spans="2:61" s="1" customFormat="1">
      <c r="B457" s="30" t="s">
        <v>407</v>
      </c>
      <c r="C457" s="74" t="s">
        <v>793</v>
      </c>
      <c r="D457" s="1365"/>
      <c r="E457" s="1365"/>
      <c r="F457" s="1365">
        <f t="shared" si="229"/>
        <v>0</v>
      </c>
      <c r="G457" s="1365">
        <f t="shared" si="223"/>
        <v>0</v>
      </c>
      <c r="H457" s="1365">
        <f t="shared" si="267"/>
        <v>0</v>
      </c>
      <c r="I457" s="1384"/>
      <c r="J457" s="1365"/>
      <c r="K457" s="1384"/>
      <c r="L457" s="1365"/>
      <c r="M457" s="1365">
        <f t="shared" si="268"/>
        <v>0</v>
      </c>
      <c r="N457" s="2259"/>
      <c r="O457" s="1058"/>
      <c r="P457" s="1482"/>
      <c r="Q457" s="1365"/>
      <c r="R457" s="1482">
        <f t="shared" si="269"/>
        <v>0</v>
      </c>
      <c r="S457" s="1481"/>
      <c r="T457" s="1482"/>
      <c r="U457" s="1481"/>
      <c r="V457" s="1482"/>
      <c r="W457" s="1482">
        <f t="shared" si="270"/>
        <v>0</v>
      </c>
      <c r="X457" s="1198"/>
      <c r="Y457" s="1221">
        <v>0</v>
      </c>
      <c r="Z457" s="697">
        <v>0</v>
      </c>
      <c r="AA457" s="697">
        <f t="shared" si="271"/>
        <v>0</v>
      </c>
      <c r="AB457" s="253"/>
      <c r="AC457" s="90"/>
      <c r="AD457" s="253"/>
      <c r="AE457" s="90"/>
      <c r="AF457" s="697">
        <f t="shared" si="272"/>
        <v>0</v>
      </c>
      <c r="AG457" s="697"/>
      <c r="AH457" s="207"/>
      <c r="AI457" s="140">
        <v>0</v>
      </c>
      <c r="AJ457" s="140"/>
      <c r="AK457" s="140"/>
      <c r="AL457" s="673"/>
      <c r="AM457" s="140"/>
      <c r="AN457" s="140">
        <v>786950000</v>
      </c>
      <c r="AO457" s="140">
        <f t="shared" si="273"/>
        <v>786950000</v>
      </c>
      <c r="AP457" s="437"/>
      <c r="AQ457" s="140"/>
      <c r="AR457" s="437"/>
      <c r="AS457" s="140"/>
      <c r="AT457" s="140">
        <f t="shared" si="274"/>
        <v>786950000</v>
      </c>
      <c r="AU457" s="66"/>
      <c r="AV457" s="140"/>
      <c r="AW457" s="140"/>
      <c r="AX457" s="140">
        <f t="shared" si="275"/>
        <v>0</v>
      </c>
      <c r="AY457" s="437"/>
      <c r="AZ457" s="140"/>
      <c r="BA457" s="437"/>
      <c r="BB457" s="140"/>
      <c r="BC457" s="140">
        <f t="shared" si="276"/>
        <v>0</v>
      </c>
      <c r="BD457" s="140"/>
      <c r="BE457" s="40"/>
      <c r="BF457" s="235">
        <v>0</v>
      </c>
      <c r="BG457" s="66"/>
      <c r="BH457" s="235">
        <v>0</v>
      </c>
      <c r="BI457" s="46"/>
    </row>
    <row r="458" spans="2:61" s="1" customFormat="1">
      <c r="B458" s="30" t="s">
        <v>407</v>
      </c>
      <c r="C458" s="74" t="s">
        <v>794</v>
      </c>
      <c r="D458" s="1365">
        <v>0</v>
      </c>
      <c r="E458" s="1365">
        <v>32911034.999999993</v>
      </c>
      <c r="F458" s="1365">
        <f t="shared" si="229"/>
        <v>32911034.999999993</v>
      </c>
      <c r="G458" s="1365">
        <f t="shared" si="223"/>
        <v>0</v>
      </c>
      <c r="H458" s="1365">
        <f t="shared" si="267"/>
        <v>32911035</v>
      </c>
      <c r="I458" s="1384"/>
      <c r="J458" s="1365"/>
      <c r="K458" s="1384"/>
      <c r="L458" s="1365"/>
      <c r="M458" s="1365">
        <f t="shared" si="268"/>
        <v>32911035</v>
      </c>
      <c r="N458" s="2259"/>
      <c r="O458" s="1058"/>
      <c r="P458" s="1482">
        <v>3330000</v>
      </c>
      <c r="Q458" s="1365">
        <v>2109200</v>
      </c>
      <c r="R458" s="1482">
        <f t="shared" si="269"/>
        <v>5439200</v>
      </c>
      <c r="S458" s="1481"/>
      <c r="T458" s="1482"/>
      <c r="U458" s="1481"/>
      <c r="V458" s="1482"/>
      <c r="W458" s="1482">
        <f t="shared" si="270"/>
        <v>5439200</v>
      </c>
      <c r="X458" s="1198"/>
      <c r="Y458" s="1221">
        <v>0</v>
      </c>
      <c r="Z458" s="697">
        <v>14259414</v>
      </c>
      <c r="AA458" s="697">
        <f t="shared" si="271"/>
        <v>14259414</v>
      </c>
      <c r="AB458" s="253"/>
      <c r="AC458" s="90"/>
      <c r="AD458" s="253"/>
      <c r="AE458" s="90"/>
      <c r="AF458" s="697">
        <f t="shared" si="272"/>
        <v>14259414</v>
      </c>
      <c r="AG458" s="697"/>
      <c r="AH458" s="207"/>
      <c r="AI458" s="140">
        <v>50467785</v>
      </c>
      <c r="AJ458" s="140"/>
      <c r="AK458" s="140"/>
      <c r="AL458" s="673"/>
      <c r="AM458" s="140">
        <v>71014318</v>
      </c>
      <c r="AN458" s="140">
        <v>12907619</v>
      </c>
      <c r="AO458" s="140">
        <f t="shared" si="273"/>
        <v>83921937</v>
      </c>
      <c r="AP458" s="437"/>
      <c r="AQ458" s="140"/>
      <c r="AR458" s="437"/>
      <c r="AS458" s="140"/>
      <c r="AT458" s="140">
        <f t="shared" si="274"/>
        <v>83921937</v>
      </c>
      <c r="AU458" s="66"/>
      <c r="AV458" s="140">
        <v>2334348</v>
      </c>
      <c r="AW458" s="140">
        <v>32553766</v>
      </c>
      <c r="AX458" s="140">
        <f t="shared" si="275"/>
        <v>34888114</v>
      </c>
      <c r="AY458" s="437"/>
      <c r="AZ458" s="140"/>
      <c r="BA458" s="437"/>
      <c r="BB458" s="140"/>
      <c r="BC458" s="140">
        <f t="shared" si="276"/>
        <v>34888114</v>
      </c>
      <c r="BD458" s="140"/>
      <c r="BE458" s="40"/>
      <c r="BF458" s="235">
        <v>45721548</v>
      </c>
      <c r="BG458" s="66"/>
      <c r="BH458" s="235">
        <v>62328779</v>
      </c>
      <c r="BI458" s="46"/>
    </row>
    <row r="459" spans="2:61" s="1" customFormat="1">
      <c r="B459" s="30"/>
      <c r="C459" s="74" t="s">
        <v>795</v>
      </c>
      <c r="D459" s="1365">
        <v>107888220</v>
      </c>
      <c r="E459" s="1384">
        <v>787500000</v>
      </c>
      <c r="F459" s="1365">
        <f t="shared" si="229"/>
        <v>895388220</v>
      </c>
      <c r="G459" s="1365">
        <f t="shared" si="223"/>
        <v>0</v>
      </c>
      <c r="H459" s="1365">
        <f t="shared" si="267"/>
        <v>895388220</v>
      </c>
      <c r="I459" s="1384"/>
      <c r="J459" s="1365"/>
      <c r="K459" s="1384"/>
      <c r="L459" s="1365"/>
      <c r="M459" s="1365">
        <f t="shared" si="268"/>
        <v>895388220</v>
      </c>
      <c r="N459" s="2259"/>
      <c r="O459" s="1058"/>
      <c r="P459" s="1482">
        <v>106838220</v>
      </c>
      <c r="Q459" s="1384">
        <v>786950000</v>
      </c>
      <c r="R459" s="1482">
        <f t="shared" si="269"/>
        <v>893788220</v>
      </c>
      <c r="S459" s="1481"/>
      <c r="T459" s="1482"/>
      <c r="U459" s="1481"/>
      <c r="V459" s="1482"/>
      <c r="W459" s="1482">
        <f t="shared" si="270"/>
        <v>893788220</v>
      </c>
      <c r="X459" s="1198"/>
      <c r="Y459" s="1221">
        <v>110925720</v>
      </c>
      <c r="Z459" s="697">
        <v>0</v>
      </c>
      <c r="AA459" s="697">
        <f t="shared" si="271"/>
        <v>110925720</v>
      </c>
      <c r="AB459" s="253"/>
      <c r="AC459" s="90"/>
      <c r="AD459" s="253"/>
      <c r="AE459" s="90"/>
      <c r="AF459" s="697">
        <f t="shared" si="272"/>
        <v>110925720</v>
      </c>
      <c r="AG459" s="697"/>
      <c r="AH459" s="207"/>
      <c r="AI459" s="140">
        <v>149562738</v>
      </c>
      <c r="AJ459" s="140"/>
      <c r="AK459" s="140"/>
      <c r="AL459" s="673"/>
      <c r="AM459" s="140">
        <v>279365568</v>
      </c>
      <c r="AN459" s="140"/>
      <c r="AO459" s="140">
        <f t="shared" si="273"/>
        <v>279365568</v>
      </c>
      <c r="AP459" s="437"/>
      <c r="AQ459" s="140"/>
      <c r="AR459" s="437"/>
      <c r="AS459" s="140"/>
      <c r="AT459" s="140">
        <f t="shared" si="274"/>
        <v>279365568</v>
      </c>
      <c r="AU459" s="66"/>
      <c r="AV459" s="140">
        <v>139907089</v>
      </c>
      <c r="AW459" s="140">
        <v>791450000</v>
      </c>
      <c r="AX459" s="140">
        <f t="shared" si="275"/>
        <v>931357089</v>
      </c>
      <c r="AY459" s="437"/>
      <c r="AZ459" s="140"/>
      <c r="BA459" s="437"/>
      <c r="BB459" s="140"/>
      <c r="BC459" s="140">
        <f t="shared" si="276"/>
        <v>931357089</v>
      </c>
      <c r="BD459" s="140"/>
      <c r="BE459" s="40"/>
      <c r="BF459" s="235">
        <v>106997968</v>
      </c>
      <c r="BG459" s="66"/>
      <c r="BH459" s="235">
        <v>288150063</v>
      </c>
      <c r="BI459" s="46"/>
    </row>
    <row r="460" spans="2:61" s="1" customFormat="1">
      <c r="B460" s="30"/>
      <c r="C460" s="75" t="s">
        <v>796</v>
      </c>
      <c r="D460" s="1984"/>
      <c r="E460" s="1365"/>
      <c r="F460" s="1365">
        <f t="shared" si="229"/>
        <v>0</v>
      </c>
      <c r="G460" s="1365">
        <f t="shared" si="223"/>
        <v>0</v>
      </c>
      <c r="H460" s="1984">
        <f t="shared" si="267"/>
        <v>0</v>
      </c>
      <c r="I460" s="1384"/>
      <c r="J460" s="1984"/>
      <c r="K460" s="1384"/>
      <c r="L460" s="1984"/>
      <c r="M460" s="1984">
        <f t="shared" si="268"/>
        <v>0</v>
      </c>
      <c r="N460" s="2266"/>
      <c r="O460" s="1999"/>
      <c r="P460" s="1517">
        <v>133896312</v>
      </c>
      <c r="Q460" s="1365">
        <f>ROUND(595423660.32,0)</f>
        <v>595423660</v>
      </c>
      <c r="R460" s="1517">
        <f t="shared" si="269"/>
        <v>729319972</v>
      </c>
      <c r="S460" s="1481"/>
      <c r="T460" s="1517"/>
      <c r="U460" s="1481"/>
      <c r="V460" s="1517"/>
      <c r="W460" s="1517">
        <f t="shared" si="270"/>
        <v>729319972</v>
      </c>
      <c r="X460" s="1199"/>
      <c r="Y460" s="1222">
        <v>250381448</v>
      </c>
      <c r="Z460" s="727">
        <v>0</v>
      </c>
      <c r="AA460" s="727">
        <f t="shared" si="271"/>
        <v>250381448</v>
      </c>
      <c r="AB460" s="253"/>
      <c r="AC460" s="260"/>
      <c r="AD460" s="253"/>
      <c r="AE460" s="260"/>
      <c r="AF460" s="727">
        <f t="shared" si="272"/>
        <v>250381448</v>
      </c>
      <c r="AG460" s="727"/>
      <c r="AH460" s="261"/>
      <c r="AI460" s="140">
        <v>251154963</v>
      </c>
      <c r="AJ460" s="140"/>
      <c r="AK460" s="140"/>
      <c r="AL460" s="673"/>
      <c r="AM460" s="140">
        <v>251082370</v>
      </c>
      <c r="AN460" s="140">
        <v>576619756</v>
      </c>
      <c r="AO460" s="140">
        <f t="shared" si="273"/>
        <v>827702126</v>
      </c>
      <c r="AP460" s="437"/>
      <c r="AQ460" s="140"/>
      <c r="AR460" s="437"/>
      <c r="AS460" s="140"/>
      <c r="AT460" s="140">
        <f t="shared" si="274"/>
        <v>827702126</v>
      </c>
      <c r="AU460" s="66"/>
      <c r="AV460" s="140"/>
      <c r="AW460" s="140"/>
      <c r="AX460" s="140">
        <f t="shared" si="275"/>
        <v>0</v>
      </c>
      <c r="AY460" s="437"/>
      <c r="AZ460" s="140"/>
      <c r="BA460" s="437"/>
      <c r="BB460" s="140"/>
      <c r="BC460" s="140">
        <f t="shared" si="276"/>
        <v>0</v>
      </c>
      <c r="BD460" s="140"/>
      <c r="BE460" s="40"/>
      <c r="BF460" s="235">
        <v>295299580</v>
      </c>
      <c r="BG460" s="66">
        <f>BF460</f>
        <v>295299580</v>
      </c>
      <c r="BH460" s="235">
        <v>265844271</v>
      </c>
      <c r="BI460" s="46">
        <f>BG460</f>
        <v>295299580</v>
      </c>
    </row>
    <row r="461" spans="2:61" s="1" customFormat="1">
      <c r="B461" s="30" t="s">
        <v>407</v>
      </c>
      <c r="C461" s="74" t="s">
        <v>797</v>
      </c>
      <c r="D461" s="1365">
        <v>176024983</v>
      </c>
      <c r="E461" s="1365">
        <v>367319356.35999894</v>
      </c>
      <c r="F461" s="1365">
        <f t="shared" si="229"/>
        <v>543344339.35999894</v>
      </c>
      <c r="G461" s="1365">
        <f t="shared" si="223"/>
        <v>0.35999894142150879</v>
      </c>
      <c r="H461" s="1365">
        <f t="shared" si="267"/>
        <v>543344339</v>
      </c>
      <c r="I461" s="1384"/>
      <c r="J461" s="1365"/>
      <c r="K461" s="1384"/>
      <c r="L461" s="1365"/>
      <c r="M461" s="1365">
        <f t="shared" si="268"/>
        <v>543344339</v>
      </c>
      <c r="N461" s="2259"/>
      <c r="O461" s="1058"/>
      <c r="P461" s="1482"/>
      <c r="Q461" s="1365"/>
      <c r="R461" s="1482">
        <f t="shared" si="269"/>
        <v>0</v>
      </c>
      <c r="S461" s="1481"/>
      <c r="T461" s="1482"/>
      <c r="U461" s="1481"/>
      <c r="V461" s="1482"/>
      <c r="W461" s="1482">
        <f t="shared" si="270"/>
        <v>0</v>
      </c>
      <c r="X461" s="1198"/>
      <c r="Y461" s="1221">
        <v>0</v>
      </c>
      <c r="Z461" s="697">
        <v>484880567</v>
      </c>
      <c r="AA461" s="697">
        <f t="shared" si="271"/>
        <v>484880567</v>
      </c>
      <c r="AB461" s="253"/>
      <c r="AC461" s="90"/>
      <c r="AD461" s="253"/>
      <c r="AE461" s="90"/>
      <c r="AF461" s="697">
        <f t="shared" si="272"/>
        <v>484880567</v>
      </c>
      <c r="AG461" s="697"/>
      <c r="AH461" s="207"/>
      <c r="AI461" s="140">
        <v>312428242</v>
      </c>
      <c r="AJ461" s="140"/>
      <c r="AK461" s="140"/>
      <c r="AL461" s="673"/>
      <c r="AM461" s="140"/>
      <c r="AN461" s="140"/>
      <c r="AO461" s="140">
        <f t="shared" si="273"/>
        <v>0</v>
      </c>
      <c r="AP461" s="437"/>
      <c r="AQ461" s="140"/>
      <c r="AR461" s="437"/>
      <c r="AS461" s="140"/>
      <c r="AT461" s="140">
        <f t="shared" si="274"/>
        <v>0</v>
      </c>
      <c r="AU461" s="66"/>
      <c r="AV461" s="140"/>
      <c r="AW461" s="140">
        <v>557882791</v>
      </c>
      <c r="AX461" s="140">
        <f t="shared" si="275"/>
        <v>557882791</v>
      </c>
      <c r="AY461" s="437"/>
      <c r="AZ461" s="140"/>
      <c r="BA461" s="437"/>
      <c r="BB461" s="140"/>
      <c r="BC461" s="140">
        <f t="shared" si="276"/>
        <v>557882791</v>
      </c>
      <c r="BD461" s="140"/>
      <c r="BE461" s="40"/>
      <c r="BF461" s="235">
        <v>523083051</v>
      </c>
      <c r="BG461" s="66"/>
      <c r="BH461" s="235">
        <v>350840656</v>
      </c>
      <c r="BI461" s="46"/>
    </row>
    <row r="462" spans="2:61" s="1" customFormat="1">
      <c r="B462" s="30" t="s">
        <v>407</v>
      </c>
      <c r="C462" s="74" t="s">
        <v>798</v>
      </c>
      <c r="D462" s="1365"/>
      <c r="E462" s="1365">
        <v>3835553</v>
      </c>
      <c r="F462" s="1365">
        <f t="shared" si="229"/>
        <v>3835553</v>
      </c>
      <c r="G462" s="1365">
        <f t="shared" si="223"/>
        <v>0</v>
      </c>
      <c r="H462" s="1365">
        <f t="shared" si="267"/>
        <v>3835553</v>
      </c>
      <c r="I462" s="1384"/>
      <c r="J462" s="1365"/>
      <c r="K462" s="1384"/>
      <c r="L462" s="1365"/>
      <c r="M462" s="1365">
        <f t="shared" si="268"/>
        <v>3835553</v>
      </c>
      <c r="N462" s="2259"/>
      <c r="O462" s="40">
        <f>M462+M461+M460</f>
        <v>547179892</v>
      </c>
      <c r="P462" s="1482">
        <v>219882092</v>
      </c>
      <c r="Q462" s="1365">
        <v>2785986</v>
      </c>
      <c r="R462" s="1482">
        <f t="shared" si="269"/>
        <v>222668078</v>
      </c>
      <c r="S462" s="1481"/>
      <c r="T462" s="1482"/>
      <c r="U462" s="1481"/>
      <c r="V462" s="1482"/>
      <c r="W462" s="1482">
        <f t="shared" si="270"/>
        <v>222668078</v>
      </c>
      <c r="X462" s="40">
        <f>W462+W461+W460</f>
        <v>951988050</v>
      </c>
      <c r="Y462" s="1221">
        <v>19982271</v>
      </c>
      <c r="Z462" s="697">
        <v>63872503</v>
      </c>
      <c r="AA462" s="697">
        <f t="shared" si="271"/>
        <v>83854774</v>
      </c>
      <c r="AB462" s="253"/>
      <c r="AC462" s="90"/>
      <c r="AD462" s="253"/>
      <c r="AE462" s="90"/>
      <c r="AF462" s="697">
        <f t="shared" si="272"/>
        <v>83854774</v>
      </c>
      <c r="AG462" s="697"/>
      <c r="AH462" s="40">
        <f>AF462+AF461+AF460</f>
        <v>819116789</v>
      </c>
      <c r="AI462" s="140">
        <v>39919543</v>
      </c>
      <c r="AJ462" s="140"/>
      <c r="AK462" s="140"/>
      <c r="AL462" s="673"/>
      <c r="AM462" s="140"/>
      <c r="AN462" s="140">
        <v>2337437</v>
      </c>
      <c r="AO462" s="140">
        <f t="shared" si="273"/>
        <v>2337437</v>
      </c>
      <c r="AP462" s="437"/>
      <c r="AQ462" s="140"/>
      <c r="AR462" s="437"/>
      <c r="AS462" s="140"/>
      <c r="AT462" s="140">
        <f t="shared" si="274"/>
        <v>2337437</v>
      </c>
      <c r="AU462" s="40">
        <f>AT462+AT461</f>
        <v>2337437</v>
      </c>
      <c r="AV462" s="140">
        <v>351740546</v>
      </c>
      <c r="AW462" s="140">
        <v>88626461</v>
      </c>
      <c r="AX462" s="140">
        <f t="shared" si="275"/>
        <v>440367007</v>
      </c>
      <c r="AY462" s="437"/>
      <c r="AZ462" s="140"/>
      <c r="BA462" s="437"/>
      <c r="BB462" s="140"/>
      <c r="BC462" s="140">
        <f t="shared" si="276"/>
        <v>440367007</v>
      </c>
      <c r="BD462" s="140"/>
      <c r="BE462" s="40">
        <f>BC462+BC461</f>
        <v>998249798</v>
      </c>
      <c r="BF462" s="235">
        <v>166707154</v>
      </c>
      <c r="BG462" s="66"/>
      <c r="BH462" s="235">
        <v>53130048</v>
      </c>
      <c r="BI462" s="46"/>
    </row>
    <row r="463" spans="2:61" s="1" customFormat="1">
      <c r="B463" s="30"/>
      <c r="C463" s="76" t="s">
        <v>799</v>
      </c>
      <c r="D463" s="1384"/>
      <c r="E463" s="1384"/>
      <c r="F463" s="1365">
        <f t="shared" si="229"/>
        <v>0</v>
      </c>
      <c r="G463" s="1365">
        <f t="shared" si="223"/>
        <v>0</v>
      </c>
      <c r="H463" s="1384">
        <f t="shared" si="267"/>
        <v>0</v>
      </c>
      <c r="I463" s="1384"/>
      <c r="J463" s="1384"/>
      <c r="K463" s="1384"/>
      <c r="L463" s="1384"/>
      <c r="M463" s="1384">
        <f t="shared" si="268"/>
        <v>0</v>
      </c>
      <c r="N463" s="612"/>
      <c r="O463" s="1996"/>
      <c r="P463" s="1481">
        <v>19446177</v>
      </c>
      <c r="Q463" s="1384"/>
      <c r="R463" s="1481">
        <f t="shared" si="269"/>
        <v>19446177</v>
      </c>
      <c r="S463" s="1481"/>
      <c r="T463" s="1481"/>
      <c r="U463" s="1481"/>
      <c r="V463" s="1481"/>
      <c r="W463" s="1481">
        <f t="shared" si="270"/>
        <v>19446177</v>
      </c>
      <c r="X463" s="1225"/>
      <c r="Y463" s="1223">
        <v>38822068</v>
      </c>
      <c r="Z463" s="725">
        <v>0</v>
      </c>
      <c r="AA463" s="725">
        <f t="shared" si="271"/>
        <v>38822068</v>
      </c>
      <c r="AB463" s="253"/>
      <c r="AC463" s="253"/>
      <c r="AD463" s="253"/>
      <c r="AE463" s="253"/>
      <c r="AF463" s="725">
        <f t="shared" si="272"/>
        <v>38822068</v>
      </c>
      <c r="AG463" s="725"/>
      <c r="AH463" s="254"/>
      <c r="AI463" s="140">
        <v>76360023</v>
      </c>
      <c r="AJ463" s="140"/>
      <c r="AK463" s="140"/>
      <c r="AL463" s="673"/>
      <c r="AM463" s="140">
        <v>17659190</v>
      </c>
      <c r="AN463" s="140"/>
      <c r="AO463" s="140">
        <f t="shared" si="273"/>
        <v>17659190</v>
      </c>
      <c r="AP463" s="437"/>
      <c r="AQ463" s="140"/>
      <c r="AR463" s="437"/>
      <c r="AS463" s="140"/>
      <c r="AT463" s="1566">
        <f t="shared" si="274"/>
        <v>17659190</v>
      </c>
      <c r="AU463" s="66"/>
      <c r="AV463" s="140">
        <v>34780634</v>
      </c>
      <c r="AW463" s="140"/>
      <c r="AX463" s="140">
        <f t="shared" si="275"/>
        <v>34780634</v>
      </c>
      <c r="AY463" s="437"/>
      <c r="AZ463" s="140"/>
      <c r="BA463" s="437"/>
      <c r="BB463" s="140"/>
      <c r="BC463" s="140">
        <f t="shared" si="276"/>
        <v>34780634</v>
      </c>
      <c r="BD463" s="140"/>
      <c r="BE463" s="40"/>
      <c r="BF463" s="235">
        <v>67475296</v>
      </c>
      <c r="BG463" s="142"/>
      <c r="BH463" s="235">
        <v>0</v>
      </c>
      <c r="BI463" s="46"/>
    </row>
    <row r="464" spans="2:61" s="1" customFormat="1">
      <c r="B464" s="30"/>
      <c r="C464" s="143" t="s">
        <v>800</v>
      </c>
      <c r="D464" s="1365">
        <v>5365000</v>
      </c>
      <c r="E464" s="1365"/>
      <c r="F464" s="1365">
        <f t="shared" si="229"/>
        <v>5365000</v>
      </c>
      <c r="G464" s="1365">
        <f t="shared" si="223"/>
        <v>0</v>
      </c>
      <c r="H464" s="1365">
        <f t="shared" si="267"/>
        <v>5365000</v>
      </c>
      <c r="I464" s="1384"/>
      <c r="J464" s="1365"/>
      <c r="K464" s="1384"/>
      <c r="L464" s="1365"/>
      <c r="M464" s="1365">
        <f t="shared" si="268"/>
        <v>5365000</v>
      </c>
      <c r="N464" s="2259"/>
      <c r="O464" s="2000"/>
      <c r="P464" s="1482">
        <v>11520000</v>
      </c>
      <c r="Q464" s="1365"/>
      <c r="R464" s="1482">
        <f t="shared" si="269"/>
        <v>11520000</v>
      </c>
      <c r="S464" s="1481"/>
      <c r="T464" s="1482"/>
      <c r="U464" s="1481"/>
      <c r="V464" s="1482"/>
      <c r="W464" s="1482">
        <f t="shared" si="270"/>
        <v>11520000</v>
      </c>
      <c r="X464" s="1200"/>
      <c r="Y464" s="1224">
        <v>5365000</v>
      </c>
      <c r="Z464" s="728">
        <v>0</v>
      </c>
      <c r="AA464" s="728">
        <f t="shared" si="271"/>
        <v>5365000</v>
      </c>
      <c r="AB464" s="621"/>
      <c r="AC464" s="262"/>
      <c r="AD464" s="621"/>
      <c r="AE464" s="262"/>
      <c r="AF464" s="728">
        <f t="shared" si="272"/>
        <v>5365000</v>
      </c>
      <c r="AG464" s="728"/>
      <c r="AH464" s="263"/>
      <c r="AI464" s="140">
        <v>3865000</v>
      </c>
      <c r="AJ464" s="140"/>
      <c r="AK464" s="140"/>
      <c r="AL464" s="673"/>
      <c r="AM464" s="140">
        <v>9516178</v>
      </c>
      <c r="AN464" s="140"/>
      <c r="AO464" s="140">
        <f t="shared" si="273"/>
        <v>9516178</v>
      </c>
      <c r="AP464" s="437"/>
      <c r="AQ464" s="140"/>
      <c r="AR464" s="437"/>
      <c r="AS464" s="140"/>
      <c r="AT464" s="140">
        <f t="shared" si="274"/>
        <v>9516178</v>
      </c>
      <c r="AU464" s="66"/>
      <c r="AV464" s="140">
        <v>210178</v>
      </c>
      <c r="AW464" s="140"/>
      <c r="AX464" s="140">
        <f t="shared" si="275"/>
        <v>210178</v>
      </c>
      <c r="AY464" s="437"/>
      <c r="AZ464" s="140"/>
      <c r="BA464" s="437"/>
      <c r="BB464" s="140"/>
      <c r="BC464" s="140">
        <f t="shared" si="276"/>
        <v>210178</v>
      </c>
      <c r="BD464" s="140"/>
      <c r="BE464" s="40"/>
      <c r="BF464" s="235"/>
      <c r="BG464" s="66"/>
      <c r="BH464" s="235"/>
      <c r="BI464" s="46"/>
    </row>
    <row r="465" spans="2:61" s="1" customFormat="1">
      <c r="B465" s="30"/>
      <c r="C465" s="74" t="s">
        <v>801</v>
      </c>
      <c r="D465" s="2320">
        <f>18407701-432</f>
        <v>18407269</v>
      </c>
      <c r="E465" s="2320">
        <f>ROUND(10802662.5,0)</f>
        <v>10802663</v>
      </c>
      <c r="F465" s="2320">
        <f t="shared" si="229"/>
        <v>29209932</v>
      </c>
      <c r="G465" s="2320">
        <f t="shared" si="223"/>
        <v>0</v>
      </c>
      <c r="H465" s="2320">
        <f t="shared" si="267"/>
        <v>29209932</v>
      </c>
      <c r="I465" s="2321"/>
      <c r="J465" s="2320"/>
      <c r="K465" s="2321"/>
      <c r="L465" s="2320"/>
      <c r="M465" s="2320">
        <f t="shared" si="268"/>
        <v>29209932</v>
      </c>
      <c r="N465" s="2259"/>
      <c r="O465" s="1058"/>
      <c r="P465" s="1482">
        <v>18019201</v>
      </c>
      <c r="Q465" s="1365">
        <v>15573024</v>
      </c>
      <c r="R465" s="1482">
        <f t="shared" si="269"/>
        <v>33592225</v>
      </c>
      <c r="S465" s="1481"/>
      <c r="T465" s="1482"/>
      <c r="U465" s="1481"/>
      <c r="V465" s="1482"/>
      <c r="W465" s="1482">
        <f t="shared" si="270"/>
        <v>33592225</v>
      </c>
      <c r="X465" s="1198"/>
      <c r="Y465" s="1221">
        <v>16852787</v>
      </c>
      <c r="Z465" s="697">
        <v>0</v>
      </c>
      <c r="AA465" s="697">
        <f t="shared" si="271"/>
        <v>16852787</v>
      </c>
      <c r="AB465" s="253"/>
      <c r="AC465" s="90"/>
      <c r="AD465" s="253"/>
      <c r="AE465" s="90"/>
      <c r="AF465" s="697">
        <f t="shared" si="272"/>
        <v>16852787</v>
      </c>
      <c r="AG465" s="697"/>
      <c r="AH465" s="207"/>
      <c r="AI465" s="140">
        <v>818832578</v>
      </c>
      <c r="AJ465" s="140"/>
      <c r="AK465" s="140"/>
      <c r="AL465" s="673"/>
      <c r="AM465" s="140">
        <v>3295786</v>
      </c>
      <c r="AN465" s="140">
        <v>30273105</v>
      </c>
      <c r="AO465" s="140">
        <f t="shared" si="273"/>
        <v>33568891</v>
      </c>
      <c r="AP465" s="437"/>
      <c r="AQ465" s="140"/>
      <c r="AR465" s="437"/>
      <c r="AS465" s="140"/>
      <c r="AT465" s="140">
        <f t="shared" si="274"/>
        <v>33568891</v>
      </c>
      <c r="AU465" s="66"/>
      <c r="AV465" s="140">
        <v>4552786</v>
      </c>
      <c r="AW465" s="140">
        <v>51089773</v>
      </c>
      <c r="AX465" s="140">
        <f t="shared" si="275"/>
        <v>55642559</v>
      </c>
      <c r="AY465" s="437"/>
      <c r="AZ465" s="140"/>
      <c r="BA465" s="437"/>
      <c r="BB465" s="140"/>
      <c r="BC465" s="140">
        <f t="shared" si="276"/>
        <v>55642559</v>
      </c>
      <c r="BD465" s="140"/>
      <c r="BE465" s="40"/>
      <c r="BF465" s="235">
        <v>52942767</v>
      </c>
      <c r="BG465" s="66"/>
      <c r="BH465" s="235">
        <v>78961693</v>
      </c>
      <c r="BI465" s="46"/>
    </row>
    <row r="466" spans="2:61" s="1" customFormat="1">
      <c r="B466" s="30"/>
      <c r="C466" s="74" t="s">
        <v>802</v>
      </c>
      <c r="D466" s="1365"/>
      <c r="E466" s="1365"/>
      <c r="F466" s="1365">
        <f t="shared" si="229"/>
        <v>0</v>
      </c>
      <c r="G466" s="1365">
        <f t="shared" ref="G466:G529" si="277">F466-H466</f>
        <v>0</v>
      </c>
      <c r="H466" s="1365"/>
      <c r="I466" s="1384"/>
      <c r="J466" s="1365"/>
      <c r="K466" s="1384"/>
      <c r="L466" s="1365"/>
      <c r="M466" s="1365"/>
      <c r="N466" s="2259"/>
      <c r="O466" s="1058"/>
      <c r="P466" s="1482"/>
      <c r="Q466" s="1365"/>
      <c r="R466" s="1482"/>
      <c r="S466" s="1481"/>
      <c r="T466" s="1482"/>
      <c r="U466" s="1481"/>
      <c r="V466" s="1482"/>
      <c r="W466" s="1482"/>
      <c r="X466" s="1198"/>
      <c r="Y466" s="1221"/>
      <c r="Z466" s="697">
        <v>0</v>
      </c>
      <c r="AA466" s="697"/>
      <c r="AB466" s="253"/>
      <c r="AC466" s="90"/>
      <c r="AD466" s="253"/>
      <c r="AE466" s="90"/>
      <c r="AF466" s="697"/>
      <c r="AG466" s="697"/>
      <c r="AH466" s="207"/>
      <c r="AI466" s="140"/>
      <c r="AJ466" s="140"/>
      <c r="AK466" s="140"/>
      <c r="AL466" s="673"/>
      <c r="AM466" s="140"/>
      <c r="AN466" s="140"/>
      <c r="AO466" s="140">
        <f t="shared" si="273"/>
        <v>0</v>
      </c>
      <c r="AP466" s="437"/>
      <c r="AQ466" s="140"/>
      <c r="AR466" s="437"/>
      <c r="AS466" s="140"/>
      <c r="AT466" s="140">
        <f t="shared" si="274"/>
        <v>0</v>
      </c>
      <c r="AU466" s="66"/>
      <c r="AV466" s="140"/>
      <c r="AW466" s="140"/>
      <c r="AX466" s="140">
        <f t="shared" si="275"/>
        <v>0</v>
      </c>
      <c r="AY466" s="437"/>
      <c r="AZ466" s="140"/>
      <c r="BA466" s="437"/>
      <c r="BB466" s="140"/>
      <c r="BC466" s="140">
        <f t="shared" si="276"/>
        <v>0</v>
      </c>
      <c r="BD466" s="140"/>
      <c r="BE466" s="40"/>
      <c r="BF466" s="235"/>
      <c r="BG466" s="66"/>
      <c r="BH466" s="235"/>
      <c r="BI466" s="46"/>
    </row>
    <row r="467" spans="2:61" s="1" customFormat="1">
      <c r="B467" s="19"/>
      <c r="C467" s="19" t="s">
        <v>803</v>
      </c>
      <c r="D467" s="1369">
        <f>SUM(D455:D465)</f>
        <v>2098701091</v>
      </c>
      <c r="E467" s="1369">
        <f>SUM(E455:E465)</f>
        <v>2872138210.3599987</v>
      </c>
      <c r="F467" s="1365">
        <f t="shared" si="229"/>
        <v>4970839301.3599987</v>
      </c>
      <c r="G467" s="1365">
        <f t="shared" si="277"/>
        <v>0.35999870300292969</v>
      </c>
      <c r="H467" s="1369">
        <f>SUM(H455:H465)</f>
        <v>4970839301</v>
      </c>
      <c r="I467" s="1944"/>
      <c r="J467" s="1369"/>
      <c r="K467" s="1944"/>
      <c r="L467" s="1369"/>
      <c r="M467" s="1369">
        <f>SUM(M455:M465)</f>
        <v>4970839301</v>
      </c>
      <c r="N467" s="226"/>
      <c r="O467" s="1469"/>
      <c r="P467" s="1488">
        <f>SUM(P455:P465)</f>
        <v>2328627847</v>
      </c>
      <c r="Q467" s="1369">
        <f>SUM(Q455:Q465)</f>
        <v>2640305987</v>
      </c>
      <c r="R467" s="1488">
        <f>SUM(R455:R465)</f>
        <v>4968933834</v>
      </c>
      <c r="S467" s="1489"/>
      <c r="T467" s="1488"/>
      <c r="U467" s="1489"/>
      <c r="V467" s="1488"/>
      <c r="W467" s="1488">
        <f>SUM(W455:W465)</f>
        <v>4968933834</v>
      </c>
      <c r="X467" s="1190"/>
      <c r="Y467" s="428">
        <f>SUM(Y455:Y465)</f>
        <v>2791708476</v>
      </c>
      <c r="Z467" s="707">
        <f>SUM(Z455:Z465)</f>
        <v>1569608335</v>
      </c>
      <c r="AA467" s="707">
        <f>SUM(AA455:AA465)</f>
        <v>4361316811</v>
      </c>
      <c r="AB467" s="601"/>
      <c r="AC467" s="223"/>
      <c r="AD467" s="601"/>
      <c r="AE467" s="223"/>
      <c r="AF467" s="707">
        <f>SUM(AF455:AF465)</f>
        <v>4361316811</v>
      </c>
      <c r="AG467" s="707"/>
      <c r="AH467" s="228"/>
      <c r="AI467" s="428">
        <f>SUM(AI455:AI465)</f>
        <v>2947204011</v>
      </c>
      <c r="AJ467" s="428"/>
      <c r="AK467" s="428"/>
      <c r="AL467" s="670"/>
      <c r="AM467" s="428">
        <f>SUM(AM455:AM466)</f>
        <v>3984433719</v>
      </c>
      <c r="AN467" s="428">
        <f>SUM(AN455:AN465)</f>
        <v>2442496789</v>
      </c>
      <c r="AO467" s="428">
        <f>SUM(AO455:AO466)</f>
        <v>6426930508</v>
      </c>
      <c r="AP467" s="762"/>
      <c r="AQ467" s="428"/>
      <c r="AR467" s="762"/>
      <c r="AS467" s="428"/>
      <c r="AT467" s="1564">
        <f>SUM(AT455:AT466)</f>
        <v>6426930508</v>
      </c>
      <c r="AU467" s="29"/>
      <c r="AV467" s="428">
        <f>SUM(AV455:AV466)</f>
        <v>5506651286</v>
      </c>
      <c r="AW467" s="428">
        <f>SUM(AW455:AW465)</f>
        <v>2745272717</v>
      </c>
      <c r="AX467" s="428">
        <f>SUM(AX455:AX466)</f>
        <v>8251924003</v>
      </c>
      <c r="AY467" s="762"/>
      <c r="AZ467" s="428"/>
      <c r="BA467" s="762"/>
      <c r="BB467" s="428"/>
      <c r="BC467" s="428">
        <f>SUM(BC455:BC466)</f>
        <v>8251924003</v>
      </c>
      <c r="BD467" s="138"/>
      <c r="BE467" s="28" t="e">
        <f>#REF!</f>
        <v>#REF!</v>
      </c>
      <c r="BF467" s="428">
        <f>SUM(BF455:BF465)</f>
        <v>5098905266</v>
      </c>
      <c r="BG467" s="29"/>
      <c r="BH467" s="428">
        <f>SUM(BH455:BH465)</f>
        <v>5655591016</v>
      </c>
      <c r="BI467" s="29"/>
    </row>
    <row r="468" spans="2:61" s="1" customFormat="1">
      <c r="B468" s="2" t="s">
        <v>804</v>
      </c>
      <c r="C468" s="2"/>
      <c r="D468" s="217"/>
      <c r="E468" s="217"/>
      <c r="F468" s="1365">
        <f t="shared" ref="F468:F531" si="278">D468+E468</f>
        <v>0</v>
      </c>
      <c r="G468" s="1365">
        <f t="shared" si="277"/>
        <v>0</v>
      </c>
      <c r="H468" s="217"/>
      <c r="I468" s="1384"/>
      <c r="J468" s="217"/>
      <c r="K468" s="1384"/>
      <c r="L468" s="217"/>
      <c r="M468" s="217"/>
      <c r="N468" s="226"/>
      <c r="O468" s="1217"/>
      <c r="P468" s="1480"/>
      <c r="Q468" s="217"/>
      <c r="R468" s="1480"/>
      <c r="S468" s="1481"/>
      <c r="T468" s="1480"/>
      <c r="U468" s="1481"/>
      <c r="V468" s="1480"/>
      <c r="W468" s="1480"/>
      <c r="X468" s="1186"/>
      <c r="Y468" s="118"/>
      <c r="Z468" s="705"/>
      <c r="AA468" s="705"/>
      <c r="AB468" s="253"/>
      <c r="AC468" s="118"/>
      <c r="AD468" s="253"/>
      <c r="AE468" s="118"/>
      <c r="AF468" s="705"/>
      <c r="AG468" s="705"/>
      <c r="AH468" s="209"/>
      <c r="AI468" s="138"/>
      <c r="AJ468" s="138"/>
      <c r="AK468" s="138"/>
      <c r="AL468" s="670"/>
      <c r="AM468" s="138"/>
      <c r="AN468" s="138"/>
      <c r="AO468" s="138"/>
      <c r="AP468" s="437"/>
      <c r="AQ468" s="138"/>
      <c r="AR468" s="437"/>
      <c r="AS468" s="138"/>
      <c r="AT468" s="138"/>
      <c r="AU468" s="43"/>
      <c r="AV468" s="138"/>
      <c r="AW468" s="138"/>
      <c r="AX468" s="138"/>
      <c r="AY468" s="437"/>
      <c r="AZ468" s="138"/>
      <c r="BA468" s="437"/>
      <c r="BB468" s="138"/>
      <c r="BC468" s="138"/>
      <c r="BD468" s="138"/>
      <c r="BE468" s="42"/>
      <c r="BF468" s="105"/>
      <c r="BG468" s="43"/>
      <c r="BH468" s="105"/>
      <c r="BI468" s="36"/>
    </row>
    <row r="469" spans="2:61" s="1" customFormat="1">
      <c r="B469" s="4"/>
      <c r="C469" s="4" t="s">
        <v>805</v>
      </c>
      <c r="D469" s="1365"/>
      <c r="E469" s="1365"/>
      <c r="F469" s="1365">
        <f t="shared" si="278"/>
        <v>0</v>
      </c>
      <c r="G469" s="1365">
        <f t="shared" si="277"/>
        <v>0</v>
      </c>
      <c r="H469" s="1365">
        <f>ROUND((D469+E469),0)</f>
        <v>0</v>
      </c>
      <c r="I469" s="1384"/>
      <c r="J469" s="1365"/>
      <c r="K469" s="1384"/>
      <c r="L469" s="1365"/>
      <c r="M469" s="1365">
        <f>ROUND((H469-J469+L469),0)</f>
        <v>0</v>
      </c>
      <c r="N469" s="2259"/>
      <c r="O469" s="1058"/>
      <c r="P469" s="1482"/>
      <c r="Q469" s="1365"/>
      <c r="R469" s="1482">
        <f>ROUND((P469+Q469),0)</f>
        <v>0</v>
      </c>
      <c r="S469" s="1481"/>
      <c r="T469" s="1482"/>
      <c r="U469" s="1481"/>
      <c r="V469" s="1482"/>
      <c r="W469" s="1482">
        <f>ROUND((R469-T469+V469),0)</f>
        <v>0</v>
      </c>
      <c r="X469" s="1187"/>
      <c r="Y469" s="90"/>
      <c r="Z469" s="697"/>
      <c r="AA469" s="697">
        <f>ROUND((Y469+Z469),0)</f>
        <v>0</v>
      </c>
      <c r="AB469" s="253"/>
      <c r="AC469" s="90"/>
      <c r="AD469" s="253"/>
      <c r="AE469" s="90"/>
      <c r="AF469" s="697">
        <f>ROUND((AA469-AC469+AE469),0)</f>
        <v>0</v>
      </c>
      <c r="AG469" s="697"/>
      <c r="AH469" s="207"/>
      <c r="AI469" s="140">
        <v>624277457</v>
      </c>
      <c r="AJ469" s="140"/>
      <c r="AK469" s="140"/>
      <c r="AL469" s="673"/>
      <c r="AM469" s="140"/>
      <c r="AN469" s="140">
        <v>3533493723</v>
      </c>
      <c r="AO469" s="140">
        <f>ROUND((AM469+AN469),0)</f>
        <v>3533493723</v>
      </c>
      <c r="AP469" s="437"/>
      <c r="AQ469" s="140"/>
      <c r="AR469" s="437"/>
      <c r="AS469" s="140"/>
      <c r="AT469" s="140">
        <f>ROUND((AO469-AQ469+AS469),0)</f>
        <v>3533493723</v>
      </c>
      <c r="AU469" s="66"/>
      <c r="AV469" s="140"/>
      <c r="AW469" s="140">
        <v>3533493723</v>
      </c>
      <c r="AX469" s="140">
        <f>ROUND((AV469+AW469),0)</f>
        <v>3533493723</v>
      </c>
      <c r="AY469" s="437"/>
      <c r="AZ469" s="140"/>
      <c r="BA469" s="437"/>
      <c r="BB469" s="140"/>
      <c r="BC469" s="140">
        <f>ROUND((AX469-AZ469+BB469),0)</f>
        <v>3533493723</v>
      </c>
      <c r="BD469" s="140"/>
      <c r="BE469" s="40"/>
      <c r="BF469" s="235">
        <v>3539216266</v>
      </c>
      <c r="BG469" s="39"/>
      <c r="BH469" s="235">
        <v>0</v>
      </c>
      <c r="BI469" s="46"/>
    </row>
    <row r="470" spans="2:61" s="1" customFormat="1">
      <c r="B470" s="19"/>
      <c r="C470" s="19" t="s">
        <v>806</v>
      </c>
      <c r="D470" s="1369">
        <f>D469</f>
        <v>0</v>
      </c>
      <c r="E470" s="1369">
        <f>E469</f>
        <v>0</v>
      </c>
      <c r="F470" s="1365">
        <f t="shared" si="278"/>
        <v>0</v>
      </c>
      <c r="G470" s="1365">
        <f t="shared" si="277"/>
        <v>0</v>
      </c>
      <c r="H470" s="1369">
        <f>H469</f>
        <v>0</v>
      </c>
      <c r="I470" s="1944"/>
      <c r="J470" s="1369"/>
      <c r="K470" s="1944"/>
      <c r="L470" s="1369"/>
      <c r="M470" s="1369">
        <f>M469</f>
        <v>0</v>
      </c>
      <c r="N470" s="226"/>
      <c r="O470" s="1469"/>
      <c r="P470" s="1488">
        <f>P469</f>
        <v>0</v>
      </c>
      <c r="Q470" s="1369">
        <f>Q469</f>
        <v>0</v>
      </c>
      <c r="R470" s="1488">
        <f>R469</f>
        <v>0</v>
      </c>
      <c r="S470" s="1489"/>
      <c r="T470" s="1488"/>
      <c r="U470" s="1489"/>
      <c r="V470" s="1488"/>
      <c r="W470" s="1488">
        <f>W469</f>
        <v>0</v>
      </c>
      <c r="X470" s="1190"/>
      <c r="Y470" s="428">
        <f>Y469</f>
        <v>0</v>
      </c>
      <c r="Z470" s="707">
        <f>Z469</f>
        <v>0</v>
      </c>
      <c r="AA470" s="707">
        <f>AA469</f>
        <v>0</v>
      </c>
      <c r="AB470" s="601"/>
      <c r="AC470" s="223"/>
      <c r="AD470" s="601"/>
      <c r="AE470" s="223"/>
      <c r="AF470" s="707">
        <f>AF469</f>
        <v>0</v>
      </c>
      <c r="AG470" s="707"/>
      <c r="AH470" s="228"/>
      <c r="AI470" s="428">
        <f>AI469</f>
        <v>624277457</v>
      </c>
      <c r="AJ470" s="428"/>
      <c r="AK470" s="428"/>
      <c r="AL470" s="670"/>
      <c r="AM470" s="428">
        <f>AM469</f>
        <v>0</v>
      </c>
      <c r="AN470" s="428">
        <f>AN469</f>
        <v>3533493723</v>
      </c>
      <c r="AO470" s="428">
        <f>AO469</f>
        <v>3533493723</v>
      </c>
      <c r="AP470" s="762"/>
      <c r="AQ470" s="428"/>
      <c r="AR470" s="762"/>
      <c r="AS470" s="428"/>
      <c r="AT470" s="1564">
        <f>AT469</f>
        <v>3533493723</v>
      </c>
      <c r="AU470" s="29"/>
      <c r="AV470" s="428">
        <f>AV469</f>
        <v>0</v>
      </c>
      <c r="AW470" s="428">
        <f>AW469</f>
        <v>3533493723</v>
      </c>
      <c r="AX470" s="428">
        <f>AX469</f>
        <v>3533493723</v>
      </c>
      <c r="AY470" s="762"/>
      <c r="AZ470" s="428"/>
      <c r="BA470" s="762"/>
      <c r="BB470" s="428"/>
      <c r="BC470" s="428">
        <f>BC469</f>
        <v>3533493723</v>
      </c>
      <c r="BD470" s="138"/>
      <c r="BE470" s="28"/>
      <c r="BF470" s="428">
        <f>BF469</f>
        <v>3539216266</v>
      </c>
      <c r="BG470" s="29"/>
      <c r="BH470" s="428">
        <f>BH469</f>
        <v>0</v>
      </c>
      <c r="BI470" s="29"/>
    </row>
    <row r="471" spans="2:61" s="1" customFormat="1">
      <c r="B471" s="2" t="s">
        <v>807</v>
      </c>
      <c r="C471" s="2"/>
      <c r="D471" s="217"/>
      <c r="E471" s="217"/>
      <c r="F471" s="1365">
        <f t="shared" si="278"/>
        <v>0</v>
      </c>
      <c r="G471" s="1365">
        <f t="shared" si="277"/>
        <v>0</v>
      </c>
      <c r="H471" s="217"/>
      <c r="I471" s="1384"/>
      <c r="J471" s="217"/>
      <c r="K471" s="1384"/>
      <c r="L471" s="217"/>
      <c r="M471" s="217"/>
      <c r="N471" s="226"/>
      <c r="O471" s="1217"/>
      <c r="P471" s="1480"/>
      <c r="Q471" s="217"/>
      <c r="R471" s="1480"/>
      <c r="S471" s="1481"/>
      <c r="T471" s="1480"/>
      <c r="U471" s="1481"/>
      <c r="V471" s="1480"/>
      <c r="W471" s="1480"/>
      <c r="X471" s="1186"/>
      <c r="Y471" s="118"/>
      <c r="Z471" s="705"/>
      <c r="AA471" s="705"/>
      <c r="AB471" s="253"/>
      <c r="AC471" s="118"/>
      <c r="AD471" s="253"/>
      <c r="AE471" s="118"/>
      <c r="AF471" s="705"/>
      <c r="AG471" s="705"/>
      <c r="AH471" s="209"/>
      <c r="AI471" s="138"/>
      <c r="AJ471" s="138"/>
      <c r="AK471" s="138"/>
      <c r="AL471" s="670"/>
      <c r="AM471" s="138"/>
      <c r="AN471" s="138"/>
      <c r="AO471" s="138"/>
      <c r="AP471" s="437"/>
      <c r="AQ471" s="138"/>
      <c r="AR471" s="437"/>
      <c r="AS471" s="138"/>
      <c r="AT471" s="138"/>
      <c r="AU471" s="43"/>
      <c r="AV471" s="138"/>
      <c r="AW471" s="138"/>
      <c r="AX471" s="138"/>
      <c r="AY471" s="437"/>
      <c r="AZ471" s="138"/>
      <c r="BA471" s="437"/>
      <c r="BB471" s="138"/>
      <c r="BC471" s="138"/>
      <c r="BD471" s="138"/>
      <c r="BE471" s="42"/>
      <c r="BF471" s="105"/>
      <c r="BG471" s="43"/>
      <c r="BH471" s="105"/>
      <c r="BI471" s="36"/>
    </row>
    <row r="472" spans="2:61" s="1" customFormat="1">
      <c r="B472" s="4"/>
      <c r="C472" s="4" t="s">
        <v>808</v>
      </c>
      <c r="D472" s="1365">
        <v>0</v>
      </c>
      <c r="E472" s="1365"/>
      <c r="F472" s="1365">
        <f t="shared" si="278"/>
        <v>0</v>
      </c>
      <c r="G472" s="1365">
        <f t="shared" si="277"/>
        <v>0</v>
      </c>
      <c r="H472" s="1365">
        <f>ROUND((D472+E472),0)</f>
        <v>0</v>
      </c>
      <c r="I472" s="1384"/>
      <c r="J472" s="1365"/>
      <c r="K472" s="1384"/>
      <c r="L472" s="1365"/>
      <c r="M472" s="1365">
        <f t="shared" ref="M472:M473" si="279">ROUND((H472-J472+L472),0)</f>
        <v>0</v>
      </c>
      <c r="N472" s="2259"/>
      <c r="O472" s="1058"/>
      <c r="P472" s="1482"/>
      <c r="Q472" s="1365"/>
      <c r="R472" s="1482">
        <f>ROUND((P472+Q472),0)</f>
        <v>0</v>
      </c>
      <c r="S472" s="1481"/>
      <c r="T472" s="1482"/>
      <c r="U472" s="1481"/>
      <c r="V472" s="1482"/>
      <c r="W472" s="1482">
        <f t="shared" ref="W472:W473" si="280">ROUND((R472-T472+V472),0)</f>
        <v>0</v>
      </c>
      <c r="X472" s="1187"/>
      <c r="Y472" s="90"/>
      <c r="Z472" s="697"/>
      <c r="AA472" s="697">
        <f>ROUND((Y472+Z472),0)</f>
        <v>0</v>
      </c>
      <c r="AB472" s="253"/>
      <c r="AC472" s="90"/>
      <c r="AD472" s="253"/>
      <c r="AE472" s="90"/>
      <c r="AF472" s="697">
        <f t="shared" ref="AF472:AF473" si="281">ROUND((AA472-AC472+AE472),0)</f>
        <v>0</v>
      </c>
      <c r="AG472" s="697"/>
      <c r="AH472" s="207"/>
      <c r="AI472" s="140">
        <v>0</v>
      </c>
      <c r="AJ472" s="140"/>
      <c r="AK472" s="140"/>
      <c r="AL472" s="673"/>
      <c r="AM472" s="140">
        <v>850908333</v>
      </c>
      <c r="AN472" s="140"/>
      <c r="AO472" s="140">
        <f t="shared" ref="AO472:AO473" si="282">ROUND((AM472+AN472),0)</f>
        <v>850908333</v>
      </c>
      <c r="AP472" s="437"/>
      <c r="AQ472" s="140"/>
      <c r="AR472" s="437"/>
      <c r="AS472" s="140"/>
      <c r="AT472" s="39">
        <f t="shared" ref="AT472:AT473" si="283">ROUND((AO472-AQ472+AS472),0)</f>
        <v>850908333</v>
      </c>
      <c r="AU472" s="66"/>
      <c r="AV472" s="140">
        <v>1701816666</v>
      </c>
      <c r="AW472" s="140">
        <v>5122596042</v>
      </c>
      <c r="AX472" s="140">
        <f t="shared" ref="AX472:AX473" si="284">ROUND((AV472+AW472),0)</f>
        <v>6824412708</v>
      </c>
      <c r="AY472" s="437"/>
      <c r="AZ472" s="140"/>
      <c r="BA472" s="437"/>
      <c r="BB472" s="140"/>
      <c r="BC472" s="140">
        <f t="shared" ref="BC472:BC473" si="285">ROUND((AX472-AZ472+BB472),0)</f>
        <v>6824412708</v>
      </c>
      <c r="BD472" s="140"/>
      <c r="BE472" s="40"/>
      <c r="BF472" s="235">
        <v>3403633332</v>
      </c>
      <c r="BG472" s="66"/>
      <c r="BH472" s="235">
        <v>3403633332</v>
      </c>
      <c r="BI472" s="46"/>
    </row>
    <row r="473" spans="2:61" s="1" customFormat="1">
      <c r="B473" s="4"/>
      <c r="C473" s="4" t="s">
        <v>809</v>
      </c>
      <c r="D473" s="1365">
        <v>0</v>
      </c>
      <c r="E473" s="1365"/>
      <c r="F473" s="1365">
        <f t="shared" si="278"/>
        <v>0</v>
      </c>
      <c r="G473" s="1365">
        <f t="shared" si="277"/>
        <v>0</v>
      </c>
      <c r="H473" s="1365">
        <f>ROUND((D473+E473),0)</f>
        <v>0</v>
      </c>
      <c r="I473" s="1384"/>
      <c r="J473" s="1365"/>
      <c r="K473" s="1384"/>
      <c r="L473" s="1365"/>
      <c r="M473" s="1365">
        <f t="shared" si="279"/>
        <v>0</v>
      </c>
      <c r="N473" s="2259"/>
      <c r="O473" s="1058"/>
      <c r="P473" s="1482"/>
      <c r="Q473" s="1365"/>
      <c r="R473" s="1482">
        <f>ROUND((P473+Q473),0)</f>
        <v>0</v>
      </c>
      <c r="S473" s="1481"/>
      <c r="T473" s="1482"/>
      <c r="U473" s="1481"/>
      <c r="V473" s="1482"/>
      <c r="W473" s="1482">
        <f t="shared" si="280"/>
        <v>0</v>
      </c>
      <c r="X473" s="1187"/>
      <c r="Y473" s="90"/>
      <c r="Z473" s="697"/>
      <c r="AA473" s="697">
        <f>ROUND((Y473+Z473),0)</f>
        <v>0</v>
      </c>
      <c r="AB473" s="253"/>
      <c r="AC473" s="90"/>
      <c r="AD473" s="253"/>
      <c r="AE473" s="90"/>
      <c r="AF473" s="697">
        <f t="shared" si="281"/>
        <v>0</v>
      </c>
      <c r="AG473" s="697"/>
      <c r="AH473" s="207"/>
      <c r="AI473" s="140">
        <v>0</v>
      </c>
      <c r="AJ473" s="140"/>
      <c r="AK473" s="140"/>
      <c r="AL473" s="673"/>
      <c r="AM473" s="140"/>
      <c r="AN473" s="140"/>
      <c r="AO473" s="140">
        <f t="shared" si="282"/>
        <v>0</v>
      </c>
      <c r="AP473" s="437"/>
      <c r="AQ473" s="140"/>
      <c r="AR473" s="437"/>
      <c r="AS473" s="140"/>
      <c r="AT473" s="140">
        <f t="shared" si="283"/>
        <v>0</v>
      </c>
      <c r="AU473" s="66"/>
      <c r="AV473" s="140">
        <v>0</v>
      </c>
      <c r="AW473" s="140"/>
      <c r="AX473" s="140">
        <f t="shared" si="284"/>
        <v>0</v>
      </c>
      <c r="AY473" s="437"/>
      <c r="AZ473" s="140"/>
      <c r="BA473" s="437"/>
      <c r="BB473" s="140"/>
      <c r="BC473" s="140">
        <f t="shared" si="285"/>
        <v>0</v>
      </c>
      <c r="BD473" s="140"/>
      <c r="BE473" s="40"/>
      <c r="BF473" s="235">
        <v>0</v>
      </c>
      <c r="BG473" s="66"/>
      <c r="BH473" s="235">
        <v>0</v>
      </c>
      <c r="BI473" s="46"/>
    </row>
    <row r="474" spans="2:61" s="1" customFormat="1">
      <c r="B474" s="19"/>
      <c r="C474" s="19" t="s">
        <v>806</v>
      </c>
      <c r="D474" s="1369">
        <f>SUM(D472:D473)</f>
        <v>0</v>
      </c>
      <c r="E474" s="1369">
        <f>SUM(E472:E473)</f>
        <v>0</v>
      </c>
      <c r="F474" s="1365">
        <f t="shared" si="278"/>
        <v>0</v>
      </c>
      <c r="G474" s="1365">
        <f t="shared" si="277"/>
        <v>0</v>
      </c>
      <c r="H474" s="1369">
        <f>SUM(H472:H473)</f>
        <v>0</v>
      </c>
      <c r="I474" s="1944"/>
      <c r="J474" s="1369"/>
      <c r="K474" s="1944"/>
      <c r="L474" s="1369"/>
      <c r="M474" s="1369">
        <f>SUM(M472:M473)</f>
        <v>0</v>
      </c>
      <c r="N474" s="226"/>
      <c r="O474" s="1469"/>
      <c r="P474" s="1488">
        <f>SUM(P472:P473)</f>
        <v>0</v>
      </c>
      <c r="Q474" s="1369">
        <f>SUM(Q472:Q473)</f>
        <v>0</v>
      </c>
      <c r="R474" s="1488">
        <f>SUM(R472:R473)</f>
        <v>0</v>
      </c>
      <c r="S474" s="1489"/>
      <c r="T474" s="1488"/>
      <c r="U474" s="1489"/>
      <c r="V474" s="1488"/>
      <c r="W474" s="1488">
        <f>SUM(W472:W473)</f>
        <v>0</v>
      </c>
      <c r="X474" s="1190"/>
      <c r="Y474" s="428">
        <f>SUM(Y472:Y473)</f>
        <v>0</v>
      </c>
      <c r="Z474" s="707">
        <f>SUM(Z472:Z473)</f>
        <v>0</v>
      </c>
      <c r="AA474" s="707">
        <f>SUM(AA472:AA473)</f>
        <v>0</v>
      </c>
      <c r="AB474" s="601"/>
      <c r="AC474" s="223"/>
      <c r="AD474" s="601"/>
      <c r="AE474" s="223"/>
      <c r="AF474" s="707">
        <f>SUM(AF472:AF473)</f>
        <v>0</v>
      </c>
      <c r="AG474" s="707"/>
      <c r="AH474" s="228"/>
      <c r="AI474" s="428">
        <f>SUM(AI472:AI473)</f>
        <v>0</v>
      </c>
      <c r="AJ474" s="428"/>
      <c r="AK474" s="428"/>
      <c r="AL474" s="670"/>
      <c r="AM474" s="428">
        <f>SUM(AM472:AM473)</f>
        <v>850908333</v>
      </c>
      <c r="AN474" s="428">
        <f>SUM(AN472:AN473)</f>
        <v>0</v>
      </c>
      <c r="AO474" s="428">
        <f>SUM(AO472:AO473)</f>
        <v>850908333</v>
      </c>
      <c r="AP474" s="762"/>
      <c r="AQ474" s="428"/>
      <c r="AR474" s="762"/>
      <c r="AS474" s="428"/>
      <c r="AT474" s="428">
        <f>SUM(AT472:AT473)</f>
        <v>850908333</v>
      </c>
      <c r="AU474" s="29"/>
      <c r="AV474" s="428">
        <f>SUM(AV472:AV473)</f>
        <v>1701816666</v>
      </c>
      <c r="AW474" s="428">
        <f>SUM(AW472:AW473)</f>
        <v>5122596042</v>
      </c>
      <c r="AX474" s="428">
        <f>SUM(AX472:AX473)</f>
        <v>6824412708</v>
      </c>
      <c r="AY474" s="762"/>
      <c r="AZ474" s="428"/>
      <c r="BA474" s="762"/>
      <c r="BB474" s="428"/>
      <c r="BC474" s="428">
        <f>SUM(BC472:BC473)</f>
        <v>6824412708</v>
      </c>
      <c r="BD474" s="138"/>
      <c r="BE474" s="28"/>
      <c r="BF474" s="428">
        <f>SUM(BF472:BF473)</f>
        <v>3403633332</v>
      </c>
      <c r="BG474" s="29"/>
      <c r="BH474" s="428">
        <f>SUM(BH472:BH473)</f>
        <v>3403633332</v>
      </c>
      <c r="BI474" s="29"/>
    </row>
    <row r="475" spans="2:61" s="1" customFormat="1">
      <c r="B475" s="2"/>
      <c r="C475" s="2"/>
      <c r="D475" s="217"/>
      <c r="E475" s="217"/>
      <c r="F475" s="1365">
        <f t="shared" si="278"/>
        <v>0</v>
      </c>
      <c r="G475" s="1365">
        <f t="shared" si="277"/>
        <v>0</v>
      </c>
      <c r="H475" s="217"/>
      <c r="I475" s="1384"/>
      <c r="J475" s="217"/>
      <c r="K475" s="1384"/>
      <c r="L475" s="217"/>
      <c r="M475" s="217"/>
      <c r="N475" s="226"/>
      <c r="O475" s="1217"/>
      <c r="P475" s="1480"/>
      <c r="Q475" s="217"/>
      <c r="R475" s="1480"/>
      <c r="S475" s="1481"/>
      <c r="T475" s="1480"/>
      <c r="U475" s="1481"/>
      <c r="V475" s="1480"/>
      <c r="W475" s="1480"/>
      <c r="X475" s="1186"/>
      <c r="Y475" s="118"/>
      <c r="Z475" s="705"/>
      <c r="AA475" s="705"/>
      <c r="AB475" s="253"/>
      <c r="AC475" s="118"/>
      <c r="AD475" s="253"/>
      <c r="AE475" s="118"/>
      <c r="AF475" s="939"/>
      <c r="AG475" s="939"/>
      <c r="AH475" s="209"/>
      <c r="AI475" s="138"/>
      <c r="AJ475" s="138"/>
      <c r="AK475" s="138"/>
      <c r="AL475" s="670"/>
      <c r="AM475" s="138"/>
      <c r="AN475" s="138"/>
      <c r="AO475" s="138"/>
      <c r="AP475" s="437"/>
      <c r="AQ475" s="138"/>
      <c r="AR475" s="437"/>
      <c r="AS475" s="138"/>
      <c r="AT475" s="138"/>
      <c r="AU475" s="43"/>
      <c r="AV475" s="138"/>
      <c r="AW475" s="138"/>
      <c r="AX475" s="138"/>
      <c r="AY475" s="437"/>
      <c r="AZ475" s="138"/>
      <c r="BA475" s="437"/>
      <c r="BB475" s="138"/>
      <c r="BC475" s="138"/>
      <c r="BD475" s="138"/>
      <c r="BE475" s="42"/>
      <c r="BF475" s="105"/>
      <c r="BG475" s="43"/>
      <c r="BH475" s="105"/>
      <c r="BI475" s="36"/>
    </row>
    <row r="476" spans="2:61" s="1" customFormat="1">
      <c r="B476" s="77"/>
      <c r="C476" s="77" t="s">
        <v>810</v>
      </c>
      <c r="D476" s="1386">
        <f>D288+D417+D422+D433+D453+D467+D474+D470</f>
        <v>164538861262.01001</v>
      </c>
      <c r="E476" s="1386">
        <f>E288+E417+E422+E433+E453+E467+E474+E470</f>
        <v>204395647961.21997</v>
      </c>
      <c r="F476" s="1365">
        <f t="shared" si="278"/>
        <v>368934509223.22998</v>
      </c>
      <c r="G476" s="1365">
        <f t="shared" si="277"/>
        <v>-0.1300048828125</v>
      </c>
      <c r="H476" s="1386">
        <f>H288+H417+H422+H433+H453+H467+H474+H470</f>
        <v>368934509223.35999</v>
      </c>
      <c r="I476" s="1953"/>
      <c r="J476" s="1386"/>
      <c r="K476" s="1953"/>
      <c r="L476" s="1386"/>
      <c r="M476" s="1386">
        <f>M288+M417+M422+M433+M453+M467+M474+M470</f>
        <v>248074679187</v>
      </c>
      <c r="N476" s="226"/>
      <c r="O476" s="2001"/>
      <c r="P476" s="1518">
        <f>P288+P417+P422+P433+P453+P467+P474+P470</f>
        <v>144731935731.94</v>
      </c>
      <c r="Q476" s="1386">
        <f>Q288+Q417+Q422+Q433+Q453+Q467+Q474+Q470</f>
        <v>205579792012</v>
      </c>
      <c r="R476" s="1518">
        <f>R288+R417+R422+R433+R453+R467+R474+R470</f>
        <v>350311727744</v>
      </c>
      <c r="S476" s="1519"/>
      <c r="T476" s="1518"/>
      <c r="U476" s="1519"/>
      <c r="V476" s="1518"/>
      <c r="W476" s="1518">
        <f>W288+W417+W422+W433+W453+W467+W474+W470</f>
        <v>217794175402</v>
      </c>
      <c r="X476" s="1201"/>
      <c r="Y476" s="438">
        <f>Y288+Y417+Y422+Y433+Y453+Y467+Y474+Y470</f>
        <v>176495057992</v>
      </c>
      <c r="Z476" s="729">
        <f>Z288+Z417+Z422+Z433+Z453+Z467+Z474+Z470</f>
        <v>213942045883</v>
      </c>
      <c r="AA476" s="729">
        <f>AA288+AA417+AA422+AA433+AA453+AA467+AA474+AA470</f>
        <v>390437103875</v>
      </c>
      <c r="AB476" s="608"/>
      <c r="AC476" s="264"/>
      <c r="AD476" s="608"/>
      <c r="AE476" s="264"/>
      <c r="AF476" s="729">
        <f>AF288+AF417+AF422+AF433+AF453+AF467+AF474+AF470</f>
        <v>228192560972</v>
      </c>
      <c r="AG476" s="729"/>
      <c r="AH476" s="265"/>
      <c r="AI476" s="438">
        <f>AI288+AI417+AI422+AI433+AI453+AI467+AI474+AI470</f>
        <v>226133689273</v>
      </c>
      <c r="AJ476" s="438"/>
      <c r="AK476" s="438"/>
      <c r="AL476" s="670"/>
      <c r="AM476" s="438">
        <f>AM288+AM417+AM422+AM433+AM453+AM467+AM474+AM470</f>
        <v>191215991200</v>
      </c>
      <c r="AN476" s="438">
        <f>AN288+AN417+AN422+AN433+AN453+AN467+AN474+AN470</f>
        <v>203582865645</v>
      </c>
      <c r="AO476" s="438">
        <f>AO288+AO417+AO422+AO433+AO453+AO467+AO474+AO470</f>
        <v>394798856845</v>
      </c>
      <c r="AP476" s="770"/>
      <c r="AQ476" s="438"/>
      <c r="AR476" s="770"/>
      <c r="AS476" s="438"/>
      <c r="AT476" s="438">
        <f>AT288+AT417+AT422+AT433+AT453+AT467+AT474+AT470</f>
        <v>209486116932</v>
      </c>
      <c r="AU476" s="79">
        <f>'BS Konsol-Des 24'!K66</f>
        <v>208627521932</v>
      </c>
      <c r="AV476" s="438">
        <f>AV288+AV417+AV422+AV433+AV453+AV467+AV474+AV470</f>
        <v>184392222960</v>
      </c>
      <c r="AW476" s="438">
        <f>AW288+AW417+AW422+AW433+AW453+AW467+AW474+AW470</f>
        <v>195257222094</v>
      </c>
      <c r="AX476" s="438">
        <f>AX288+AX417+AX422+AX433+AX453+AX467+AX474+AX470</f>
        <v>379649445054</v>
      </c>
      <c r="AY476" s="770"/>
      <c r="AZ476" s="438"/>
      <c r="BA476" s="770"/>
      <c r="BB476" s="438"/>
      <c r="BC476" s="438">
        <f>BC288+BC417+BC422+BC433+BC453+BC467+BC474+BC470</f>
        <v>235105049095</v>
      </c>
      <c r="BD476" s="138"/>
      <c r="BE476" s="78"/>
      <c r="BF476" s="438">
        <f>BF288+BF417+BF422+BF433+BF453+BF467+BF474+BF470</f>
        <v>182239945006</v>
      </c>
      <c r="BG476" s="79"/>
      <c r="BH476" s="438">
        <f>BH288+BH417+BH422+BH433+BH453+BH467+BH474+BH470</f>
        <v>134837131263</v>
      </c>
      <c r="BI476" s="79"/>
    </row>
    <row r="477" spans="2:61" s="1" customFormat="1">
      <c r="B477" s="2" t="s">
        <v>600</v>
      </c>
      <c r="C477" s="2"/>
      <c r="D477" s="217"/>
      <c r="E477" s="217"/>
      <c r="F477" s="1365">
        <f t="shared" si="278"/>
        <v>0</v>
      </c>
      <c r="G477" s="1365">
        <f t="shared" si="277"/>
        <v>0</v>
      </c>
      <c r="H477" s="217"/>
      <c r="I477" s="1384"/>
      <c r="J477" s="217"/>
      <c r="K477" s="1384"/>
      <c r="L477" s="217"/>
      <c r="M477" s="217"/>
      <c r="N477" s="226"/>
      <c r="O477" s="1217"/>
      <c r="P477" s="1480"/>
      <c r="Q477" s="217"/>
      <c r="R477" s="1480"/>
      <c r="S477" s="1481"/>
      <c r="T477" s="1480"/>
      <c r="U477" s="1481"/>
      <c r="V477" s="1480"/>
      <c r="W477" s="1480"/>
      <c r="X477" s="1186"/>
      <c r="Y477" s="118"/>
      <c r="Z477" s="705"/>
      <c r="AA477" s="705"/>
      <c r="AB477" s="253"/>
      <c r="AC477" s="118"/>
      <c r="AD477" s="253"/>
      <c r="AE477" s="118"/>
      <c r="AF477" s="705"/>
      <c r="AG477" s="705"/>
      <c r="AH477" s="209"/>
      <c r="AI477" s="436"/>
      <c r="AJ477" s="436"/>
      <c r="AK477" s="436"/>
      <c r="AL477" s="675"/>
      <c r="AM477" s="436"/>
      <c r="AN477" s="436"/>
      <c r="AO477" s="436"/>
      <c r="AP477" s="769"/>
      <c r="AQ477" s="436"/>
      <c r="AR477" s="769"/>
      <c r="AS477" s="436"/>
      <c r="AT477" s="436"/>
      <c r="AU477" s="139"/>
      <c r="AV477" s="436"/>
      <c r="AW477" s="436"/>
      <c r="AX477" s="436"/>
      <c r="AY477" s="769"/>
      <c r="AZ477" s="436"/>
      <c r="BA477" s="769"/>
      <c r="BB477" s="436"/>
      <c r="BC477" s="436"/>
      <c r="BD477" s="432"/>
      <c r="BE477" s="136"/>
      <c r="BF477" s="221"/>
      <c r="BG477" s="139"/>
      <c r="BH477" s="221"/>
      <c r="BI477" s="65"/>
    </row>
    <row r="478" spans="2:61" s="1" customFormat="1">
      <c r="B478" s="34" t="s">
        <v>811</v>
      </c>
      <c r="C478" s="80"/>
      <c r="D478" s="1372"/>
      <c r="E478" s="1372"/>
      <c r="F478" s="1365">
        <f t="shared" si="278"/>
        <v>0</v>
      </c>
      <c r="G478" s="1365">
        <f t="shared" si="277"/>
        <v>0</v>
      </c>
      <c r="H478" s="1372"/>
      <c r="I478" s="1384"/>
      <c r="J478" s="1372"/>
      <c r="K478" s="1384"/>
      <c r="L478" s="1372"/>
      <c r="M478" s="1372"/>
      <c r="N478" s="280"/>
      <c r="O478" s="1997"/>
      <c r="P478" s="1494"/>
      <c r="Q478" s="1372"/>
      <c r="R478" s="1494"/>
      <c r="S478" s="1481"/>
      <c r="T478" s="1494"/>
      <c r="U478" s="1481"/>
      <c r="V478" s="1494"/>
      <c r="W478" s="1494"/>
      <c r="X478" s="1202"/>
      <c r="Y478" s="231"/>
      <c r="Z478" s="710"/>
      <c r="AA478" s="710"/>
      <c r="AB478" s="253"/>
      <c r="AC478" s="231"/>
      <c r="AD478" s="253"/>
      <c r="AE478" s="231"/>
      <c r="AF478" s="710"/>
      <c r="AG478" s="710"/>
      <c r="AH478" s="232"/>
      <c r="AI478" s="436"/>
      <c r="AJ478" s="436"/>
      <c r="AK478" s="436"/>
      <c r="AL478" s="675"/>
      <c r="AM478" s="436"/>
      <c r="AN478" s="436"/>
      <c r="AO478" s="436"/>
      <c r="AP478" s="769"/>
      <c r="AQ478" s="436"/>
      <c r="AR478" s="769"/>
      <c r="AS478" s="436"/>
      <c r="AT478" s="436"/>
      <c r="AU478" s="139">
        <f>AT476-AU476</f>
        <v>858595000</v>
      </c>
      <c r="AV478" s="436"/>
      <c r="AW478" s="436"/>
      <c r="AX478" s="436"/>
      <c r="AY478" s="769"/>
      <c r="AZ478" s="436"/>
      <c r="BA478" s="769"/>
      <c r="BB478" s="436"/>
      <c r="BC478" s="436"/>
      <c r="BD478" s="432"/>
      <c r="BE478" s="136"/>
      <c r="BF478" s="221"/>
      <c r="BG478" s="139"/>
      <c r="BH478" s="221"/>
      <c r="BI478" s="65"/>
    </row>
    <row r="479" spans="2:61" s="1" customFormat="1">
      <c r="B479" s="34" t="s">
        <v>812</v>
      </c>
      <c r="C479" s="80"/>
      <c r="D479" s="1372"/>
      <c r="E479" s="1372"/>
      <c r="F479" s="1365">
        <f t="shared" si="278"/>
        <v>0</v>
      </c>
      <c r="G479" s="1365">
        <f t="shared" si="277"/>
        <v>0</v>
      </c>
      <c r="H479" s="1372"/>
      <c r="I479" s="1384"/>
      <c r="J479" s="1372"/>
      <c r="K479" s="1384"/>
      <c r="L479" s="1372"/>
      <c r="M479" s="1372"/>
      <c r="N479" s="280"/>
      <c r="O479" s="1997"/>
      <c r="P479" s="1494"/>
      <c r="Q479" s="1372"/>
      <c r="R479" s="1494"/>
      <c r="S479" s="1481"/>
      <c r="T479" s="1494"/>
      <c r="U479" s="1481"/>
      <c r="V479" s="1494"/>
      <c r="W479" s="1494"/>
      <c r="X479" s="1202"/>
      <c r="Y479" s="231"/>
      <c r="Z479" s="710"/>
      <c r="AA479" s="710"/>
      <c r="AB479" s="253"/>
      <c r="AC479" s="231"/>
      <c r="AD479" s="253"/>
      <c r="AE479" s="231"/>
      <c r="AF479" s="710"/>
      <c r="AG479" s="710"/>
      <c r="AH479" s="232"/>
      <c r="AI479" s="436"/>
      <c r="AJ479" s="436"/>
      <c r="AK479" s="436"/>
      <c r="AL479" s="675"/>
      <c r="AM479" s="436"/>
      <c r="AN479" s="436"/>
      <c r="AO479" s="436"/>
      <c r="AP479" s="769"/>
      <c r="AQ479" s="436"/>
      <c r="AR479" s="769"/>
      <c r="AS479" s="436"/>
      <c r="AT479" s="436"/>
      <c r="AU479" s="139"/>
      <c r="AV479" s="436"/>
      <c r="AW479" s="436"/>
      <c r="AX479" s="436"/>
      <c r="AY479" s="769"/>
      <c r="AZ479" s="436"/>
      <c r="BA479" s="769"/>
      <c r="BB479" s="436"/>
      <c r="BC479" s="436"/>
      <c r="BD479" s="432"/>
      <c r="BE479" s="136"/>
      <c r="BF479" s="221"/>
      <c r="BG479" s="139"/>
      <c r="BH479" s="221"/>
      <c r="BI479" s="65"/>
    </row>
    <row r="480" spans="2:61" s="1" customFormat="1">
      <c r="B480" s="30"/>
      <c r="C480" s="13" t="s">
        <v>813</v>
      </c>
      <c r="D480" s="1367">
        <f>ROUND(2886297350,0)</f>
        <v>2886297350</v>
      </c>
      <c r="E480" s="1367">
        <f>ROUND(7218244122,0)</f>
        <v>7218244122</v>
      </c>
      <c r="F480" s="1365">
        <f t="shared" si="278"/>
        <v>10104541472</v>
      </c>
      <c r="G480" s="1365">
        <f t="shared" si="277"/>
        <v>0</v>
      </c>
      <c r="H480" s="1367">
        <f>ROUND((D480+E480),0)</f>
        <v>10104541472</v>
      </c>
      <c r="I480" s="1384"/>
      <c r="J480" s="1367"/>
      <c r="K480" s="1384"/>
      <c r="L480" s="1367"/>
      <c r="M480" s="1367">
        <f>ROUND((H480-J480+L480),0)</f>
        <v>10104541472</v>
      </c>
      <c r="N480" s="1967"/>
      <c r="O480" s="1057"/>
      <c r="P480" s="1485">
        <v>2857433432</v>
      </c>
      <c r="Q480" s="1367">
        <v>7098553899.5</v>
      </c>
      <c r="R480" s="1485">
        <f>ROUND((P480+Q480),0)</f>
        <v>9955987332</v>
      </c>
      <c r="S480" s="1481"/>
      <c r="T480" s="1485"/>
      <c r="U480" s="1481"/>
      <c r="V480" s="1485"/>
      <c r="W480" s="1485">
        <f>ROUND((R480-T480+V480),0)</f>
        <v>9955987332</v>
      </c>
      <c r="X480" s="1189"/>
      <c r="Y480" s="106">
        <v>2647745936</v>
      </c>
      <c r="Z480" s="698">
        <v>6654137321</v>
      </c>
      <c r="AA480" s="698">
        <f>ROUND((Y480+Z480),0)</f>
        <v>9301883257</v>
      </c>
      <c r="AB480" s="253"/>
      <c r="AC480" s="106"/>
      <c r="AD480" s="253"/>
      <c r="AE480" s="106"/>
      <c r="AF480" s="698">
        <f>ROUND((AA480-AC480+AE480),0)</f>
        <v>9301883257</v>
      </c>
      <c r="AG480" s="698"/>
      <c r="AH480" s="208"/>
      <c r="AI480" s="140">
        <v>9301883257</v>
      </c>
      <c r="AJ480" s="140"/>
      <c r="AK480" s="140"/>
      <c r="AL480" s="673"/>
      <c r="AM480" s="140">
        <v>2444497740</v>
      </c>
      <c r="AN480" s="140">
        <v>6262162675</v>
      </c>
      <c r="AO480" s="140">
        <f>ROUND((AM480+AN480),0)</f>
        <v>8706660415</v>
      </c>
      <c r="AP480" s="437"/>
      <c r="AQ480" s="140"/>
      <c r="AR480" s="437"/>
      <c r="AS480" s="140"/>
      <c r="AT480" s="140">
        <f>ROUND((AO480-AQ480+AS480),0)</f>
        <v>8706660415</v>
      </c>
      <c r="AU480" s="66"/>
      <c r="AV480" s="140">
        <v>2362783525</v>
      </c>
      <c r="AW480" s="140">
        <v>6056351464</v>
      </c>
      <c r="AX480" s="140">
        <f>ROUND((AV480+AW480),0)</f>
        <v>8419134989</v>
      </c>
      <c r="AY480" s="437"/>
      <c r="AZ480" s="140"/>
      <c r="BA480" s="437"/>
      <c r="BB480" s="140"/>
      <c r="BC480" s="140">
        <f>ROUND((AX480-AZ480+BB480),0)</f>
        <v>8419134989</v>
      </c>
      <c r="BD480" s="140"/>
      <c r="BE480" s="40"/>
      <c r="BF480" s="235">
        <v>8419134989</v>
      </c>
      <c r="BG480" s="66"/>
      <c r="BH480" s="235">
        <v>8346918827</v>
      </c>
      <c r="BI480" s="66"/>
    </row>
    <row r="481" spans="2:61" s="1" customFormat="1">
      <c r="B481" s="19"/>
      <c r="C481" s="19" t="s">
        <v>814</v>
      </c>
      <c r="D481" s="1366">
        <f>SUM(D480:D480)</f>
        <v>2886297350</v>
      </c>
      <c r="E481" s="1366">
        <f>SUM(E480:E480)</f>
        <v>7218244122</v>
      </c>
      <c r="F481" s="1365">
        <f t="shared" si="278"/>
        <v>10104541472</v>
      </c>
      <c r="G481" s="1365">
        <f t="shared" si="277"/>
        <v>0</v>
      </c>
      <c r="H481" s="1366">
        <f>SUM(H480:H480)</f>
        <v>10104541472</v>
      </c>
      <c r="I481" s="1942"/>
      <c r="J481" s="1366"/>
      <c r="K481" s="1942"/>
      <c r="L481" s="1366"/>
      <c r="M481" s="1366">
        <f>SUM(M480:M480)</f>
        <v>10104541472</v>
      </c>
      <c r="N481" s="2260"/>
      <c r="O481" s="1989"/>
      <c r="P481" s="1483">
        <f>SUM(P480:P480)</f>
        <v>2857433432</v>
      </c>
      <c r="Q481" s="1366">
        <f>SUM(Q480:Q480)</f>
        <v>7098553899.5</v>
      </c>
      <c r="R481" s="1483">
        <f>SUM(R480:R480)</f>
        <v>9955987332</v>
      </c>
      <c r="S481" s="1484"/>
      <c r="T481" s="1483"/>
      <c r="U481" s="1484"/>
      <c r="V481" s="1483"/>
      <c r="W481" s="1483">
        <f>SUM(W480:W480)</f>
        <v>9955987332</v>
      </c>
      <c r="X481" s="1188"/>
      <c r="Y481" s="426">
        <f>SUM(Y480:Y480)</f>
        <v>2647745936</v>
      </c>
      <c r="Z481" s="706">
        <f>SUM(Z480:Z480)</f>
        <v>6654137321</v>
      </c>
      <c r="AA481" s="706">
        <f>SUM(AA480:AA480)</f>
        <v>9301883257</v>
      </c>
      <c r="AB481" s="601"/>
      <c r="AC481" s="223"/>
      <c r="AD481" s="601"/>
      <c r="AE481" s="223"/>
      <c r="AF481" s="706">
        <f>SUM(AF480:AF480)</f>
        <v>9301883257</v>
      </c>
      <c r="AG481" s="748"/>
      <c r="AH481" s="228"/>
      <c r="AI481" s="426">
        <f>SUM(AI480:AI480)</f>
        <v>9301883257</v>
      </c>
      <c r="AJ481" s="448"/>
      <c r="AK481" s="448"/>
      <c r="AL481" s="668"/>
      <c r="AM481" s="448">
        <f>SUM(AM480:AM480)</f>
        <v>2444497740</v>
      </c>
      <c r="AN481" s="448">
        <f>SUM(AN480:AN480)</f>
        <v>6262162675</v>
      </c>
      <c r="AO481" s="448">
        <f>SUM(AO480:AO480)</f>
        <v>8706660415</v>
      </c>
      <c r="AP481" s="759"/>
      <c r="AQ481" s="448"/>
      <c r="AR481" s="759"/>
      <c r="AS481" s="448"/>
      <c r="AT481" s="1563">
        <f>SUM(AT480:AT480)</f>
        <v>8706660415</v>
      </c>
      <c r="AU481" s="20"/>
      <c r="AV481" s="448">
        <f>SUM(AV480:AV480)</f>
        <v>2362783525</v>
      </c>
      <c r="AW481" s="448">
        <f>SUM(AW480:AW480)</f>
        <v>6056351464</v>
      </c>
      <c r="AX481" s="448">
        <f>SUM(AX480:AX480)</f>
        <v>8419134989</v>
      </c>
      <c r="AY481" s="759"/>
      <c r="AZ481" s="448"/>
      <c r="BA481" s="759"/>
      <c r="BB481" s="448"/>
      <c r="BC481" s="448">
        <f>SUM(BC480:BC480)</f>
        <v>8419134989</v>
      </c>
      <c r="BD481" s="53"/>
      <c r="BE481" s="28"/>
      <c r="BF481" s="426">
        <f>SUM(BF480:BF480)</f>
        <v>8419134989</v>
      </c>
      <c r="BG481" s="29"/>
      <c r="BH481" s="426">
        <f>SUM(BH480:BH480)</f>
        <v>8346918827</v>
      </c>
      <c r="BI481" s="20"/>
    </row>
    <row r="482" spans="2:61" s="1" customFormat="1">
      <c r="B482" s="2" t="s">
        <v>815</v>
      </c>
      <c r="C482" s="2"/>
      <c r="D482" s="217"/>
      <c r="E482" s="217"/>
      <c r="F482" s="1365">
        <f t="shared" si="278"/>
        <v>0</v>
      </c>
      <c r="G482" s="1365">
        <f t="shared" si="277"/>
        <v>0</v>
      </c>
      <c r="H482" s="217"/>
      <c r="I482" s="1384"/>
      <c r="J482" s="217"/>
      <c r="K482" s="1384"/>
      <c r="L482" s="217"/>
      <c r="M482" s="217"/>
      <c r="N482" s="226"/>
      <c r="O482" s="1217"/>
      <c r="P482" s="1480"/>
      <c r="Q482" s="217"/>
      <c r="R482" s="1480"/>
      <c r="S482" s="1481"/>
      <c r="T482" s="1480"/>
      <c r="U482" s="1481"/>
      <c r="V482" s="1480"/>
      <c r="W482" s="1480"/>
      <c r="X482" s="1186"/>
      <c r="Y482" s="118"/>
      <c r="Z482" s="705"/>
      <c r="AA482" s="705"/>
      <c r="AB482" s="253"/>
      <c r="AC482" s="118"/>
      <c r="AD482" s="253"/>
      <c r="AE482" s="118"/>
      <c r="AF482" s="705"/>
      <c r="AG482" s="705"/>
      <c r="AH482" s="209"/>
      <c r="AI482" s="138"/>
      <c r="AJ482" s="138"/>
      <c r="AK482" s="138"/>
      <c r="AL482" s="670"/>
      <c r="AM482" s="138"/>
      <c r="AN482" s="138"/>
      <c r="AO482" s="138"/>
      <c r="AP482" s="437"/>
      <c r="AQ482" s="138"/>
      <c r="AR482" s="437"/>
      <c r="AS482" s="138"/>
      <c r="AT482" s="138"/>
      <c r="AU482" s="43"/>
      <c r="AV482" s="138"/>
      <c r="AW482" s="138"/>
      <c r="AX482" s="138"/>
      <c r="AY482" s="437"/>
      <c r="AZ482" s="138"/>
      <c r="BA482" s="437"/>
      <c r="BB482" s="138"/>
      <c r="BC482" s="138"/>
      <c r="BD482" s="138"/>
      <c r="BE482" s="42"/>
      <c r="BF482" s="105"/>
      <c r="BG482" s="43"/>
      <c r="BH482" s="105"/>
      <c r="BI482" s="36"/>
    </row>
    <row r="483" spans="2:61" s="1" customFormat="1">
      <c r="B483" s="2"/>
      <c r="C483" s="81"/>
      <c r="D483" s="1387"/>
      <c r="E483" s="1387"/>
      <c r="F483" s="1365">
        <f t="shared" si="278"/>
        <v>0</v>
      </c>
      <c r="G483" s="1365">
        <f t="shared" si="277"/>
        <v>0</v>
      </c>
      <c r="H483" s="1387"/>
      <c r="I483" s="1384"/>
      <c r="J483" s="1387"/>
      <c r="K483" s="1384"/>
      <c r="L483" s="1387"/>
      <c r="M483" s="1387"/>
      <c r="N483" s="2267"/>
      <c r="O483" s="2002"/>
      <c r="P483" s="1520"/>
      <c r="Q483" s="1387"/>
      <c r="R483" s="1520"/>
      <c r="S483" s="1481"/>
      <c r="T483" s="1520"/>
      <c r="U483" s="1481"/>
      <c r="V483" s="1520"/>
      <c r="W483" s="1520"/>
      <c r="X483" s="1203"/>
      <c r="Y483" s="266"/>
      <c r="Z483" s="730"/>
      <c r="AA483" s="730"/>
      <c r="AB483" s="253"/>
      <c r="AC483" s="266"/>
      <c r="AD483" s="253"/>
      <c r="AE483" s="266"/>
      <c r="AF483" s="730"/>
      <c r="AG483" s="730"/>
      <c r="AH483" s="267"/>
      <c r="AI483" s="138"/>
      <c r="AJ483" s="138"/>
      <c r="AK483" s="138"/>
      <c r="AL483" s="670"/>
      <c r="AM483" s="138"/>
      <c r="AN483" s="138"/>
      <c r="AO483" s="138"/>
      <c r="AP483" s="437"/>
      <c r="AQ483" s="138"/>
      <c r="AR483" s="437"/>
      <c r="AS483" s="138"/>
      <c r="AT483" s="138"/>
      <c r="AU483" s="43"/>
      <c r="AV483" s="138"/>
      <c r="AW483" s="138"/>
      <c r="AX483" s="138"/>
      <c r="AY483" s="437"/>
      <c r="AZ483" s="138"/>
      <c r="BA483" s="437"/>
      <c r="BB483" s="138"/>
      <c r="BC483" s="138"/>
      <c r="BD483" s="138"/>
      <c r="BE483" s="42"/>
      <c r="BF483" s="105"/>
      <c r="BG483" s="43"/>
      <c r="BH483" s="235">
        <v>0</v>
      </c>
      <c r="BI483" s="36"/>
    </row>
    <row r="484" spans="2:61" s="1" customFormat="1">
      <c r="B484" s="2"/>
      <c r="C484" s="81" t="s">
        <v>82</v>
      </c>
      <c r="D484" s="1387"/>
      <c r="E484" s="1387"/>
      <c r="F484" s="1365">
        <f t="shared" si="278"/>
        <v>0</v>
      </c>
      <c r="G484" s="1365">
        <f t="shared" si="277"/>
        <v>0</v>
      </c>
      <c r="H484" s="1387">
        <f>ROUND((D484+E484),0)</f>
        <v>0</v>
      </c>
      <c r="I484" s="1384"/>
      <c r="J484" s="1387"/>
      <c r="K484" s="1384"/>
      <c r="L484" s="1387"/>
      <c r="M484" s="1387">
        <f>ROUND((H484-J484+L484),0)</f>
        <v>0</v>
      </c>
      <c r="N484" s="2267"/>
      <c r="O484" s="2002"/>
      <c r="P484" s="1520"/>
      <c r="Q484" s="1387"/>
      <c r="R484" s="1520">
        <f>ROUND((P484+Q484),0)</f>
        <v>0</v>
      </c>
      <c r="S484" s="1481"/>
      <c r="T484" s="1520"/>
      <c r="U484" s="1481"/>
      <c r="V484" s="1520"/>
      <c r="W484" s="1520">
        <f>ROUND((R484-T484+V484),0)</f>
        <v>0</v>
      </c>
      <c r="X484" s="1203"/>
      <c r="Y484" s="266"/>
      <c r="Z484" s="730"/>
      <c r="AA484" s="730">
        <f>ROUND((Y484+Z484),0)</f>
        <v>0</v>
      </c>
      <c r="AB484" s="253"/>
      <c r="AC484" s="266"/>
      <c r="AD484" s="253"/>
      <c r="AE484" s="266"/>
      <c r="AF484" s="730">
        <f>ROUND((AA484-AC484+AE484),0)</f>
        <v>0</v>
      </c>
      <c r="AG484" s="730"/>
      <c r="AH484" s="267"/>
      <c r="AI484" s="140">
        <v>0</v>
      </c>
      <c r="AJ484" s="140"/>
      <c r="AK484" s="140"/>
      <c r="AL484" s="673"/>
      <c r="AM484" s="140">
        <v>76360023</v>
      </c>
      <c r="AN484" s="140"/>
      <c r="AO484" s="140">
        <f>ROUND((AM484+AN484),0)</f>
        <v>76360023</v>
      </c>
      <c r="AP484" s="437"/>
      <c r="AQ484" s="140"/>
      <c r="AR484" s="437"/>
      <c r="AS484" s="140"/>
      <c r="AT484" s="1567">
        <f>ROUND((AO484-AQ484+AS484),0)</f>
        <v>76360023</v>
      </c>
      <c r="AU484" s="66"/>
      <c r="AV484" s="140">
        <v>76360023</v>
      </c>
      <c r="AW484" s="140"/>
      <c r="AX484" s="140">
        <f>ROUND((AV484+AW484),0)</f>
        <v>76360023</v>
      </c>
      <c r="AY484" s="437"/>
      <c r="AZ484" s="140"/>
      <c r="BA484" s="437"/>
      <c r="BB484" s="140"/>
      <c r="BC484" s="140">
        <f>ROUND((AX484-AZ484+BB484),0)</f>
        <v>76360023</v>
      </c>
      <c r="BD484" s="140"/>
      <c r="BE484" s="144" t="s">
        <v>816</v>
      </c>
      <c r="BF484" s="235">
        <v>76360023</v>
      </c>
      <c r="BG484" s="43"/>
      <c r="BH484" s="105"/>
      <c r="BI484" s="36"/>
    </row>
    <row r="485" spans="2:61" s="1" customFormat="1">
      <c r="B485" s="2"/>
      <c r="C485" s="81"/>
      <c r="D485" s="1387"/>
      <c r="E485" s="1387"/>
      <c r="F485" s="1365">
        <f t="shared" si="278"/>
        <v>0</v>
      </c>
      <c r="G485" s="1365">
        <f t="shared" si="277"/>
        <v>0</v>
      </c>
      <c r="H485" s="1387"/>
      <c r="I485" s="1384"/>
      <c r="J485" s="1387"/>
      <c r="K485" s="1384"/>
      <c r="L485" s="1387"/>
      <c r="M485" s="1387"/>
      <c r="N485" s="2267"/>
      <c r="O485" s="2002"/>
      <c r="P485" s="1520"/>
      <c r="Q485" s="1387"/>
      <c r="R485" s="1520"/>
      <c r="S485" s="1481"/>
      <c r="T485" s="1520"/>
      <c r="U485" s="1481"/>
      <c r="V485" s="1520"/>
      <c r="W485" s="1520"/>
      <c r="X485" s="1203"/>
      <c r="Y485" s="266"/>
      <c r="Z485" s="730"/>
      <c r="AA485" s="730"/>
      <c r="AB485" s="253"/>
      <c r="AC485" s="266"/>
      <c r="AD485" s="253"/>
      <c r="AE485" s="266"/>
      <c r="AF485" s="730"/>
      <c r="AG485" s="730"/>
      <c r="AH485" s="267"/>
      <c r="AI485" s="138"/>
      <c r="AJ485" s="138"/>
      <c r="AK485" s="138"/>
      <c r="AL485" s="670"/>
      <c r="AM485" s="138"/>
      <c r="AN485" s="138"/>
      <c r="AO485" s="138"/>
      <c r="AP485" s="437"/>
      <c r="AQ485" s="138"/>
      <c r="AR485" s="437"/>
      <c r="AS485" s="138"/>
      <c r="AT485" s="138"/>
      <c r="AU485" s="43"/>
      <c r="AV485" s="138"/>
      <c r="AW485" s="138"/>
      <c r="AX485" s="138"/>
      <c r="AY485" s="437"/>
      <c r="AZ485" s="138"/>
      <c r="BA485" s="437"/>
      <c r="BB485" s="138"/>
      <c r="BC485" s="138"/>
      <c r="BD485" s="138"/>
      <c r="BE485" s="42"/>
      <c r="BF485" s="105"/>
      <c r="BG485" s="43"/>
      <c r="BH485" s="105"/>
      <c r="BI485" s="36"/>
    </row>
    <row r="486" spans="2:61" s="1" customFormat="1">
      <c r="B486" s="24"/>
      <c r="C486" s="82" t="s">
        <v>808</v>
      </c>
      <c r="D486" s="1388"/>
      <c r="E486" s="1388"/>
      <c r="F486" s="1365">
        <f t="shared" si="278"/>
        <v>0</v>
      </c>
      <c r="G486" s="1365">
        <f t="shared" si="277"/>
        <v>0</v>
      </c>
      <c r="H486" s="1388"/>
      <c r="I486" s="1954"/>
      <c r="J486" s="1388"/>
      <c r="K486" s="1954"/>
      <c r="L486" s="1388"/>
      <c r="M486" s="1388"/>
      <c r="N486" s="2268"/>
      <c r="O486" s="2003"/>
      <c r="P486" s="1521"/>
      <c r="Q486" s="1388"/>
      <c r="R486" s="1521"/>
      <c r="S486" s="1522"/>
      <c r="T486" s="1521"/>
      <c r="U486" s="1522"/>
      <c r="V486" s="1521"/>
      <c r="W486" s="1521"/>
      <c r="X486" s="1204"/>
      <c r="Y486" s="268"/>
      <c r="Z486" s="731"/>
      <c r="AA486" s="731"/>
      <c r="AB486" s="609"/>
      <c r="AC486" s="268"/>
      <c r="AD486" s="609"/>
      <c r="AE486" s="268"/>
      <c r="AF486" s="731"/>
      <c r="AG486" s="731"/>
      <c r="AH486" s="269"/>
      <c r="AI486" s="140"/>
      <c r="AJ486" s="140"/>
      <c r="AK486" s="140"/>
      <c r="AL486" s="673"/>
      <c r="AM486" s="140"/>
      <c r="AN486" s="140"/>
      <c r="AO486" s="140"/>
      <c r="AP486" s="437"/>
      <c r="AQ486" s="140"/>
      <c r="AR486" s="437"/>
      <c r="AS486" s="140"/>
      <c r="AT486" s="140"/>
      <c r="AU486" s="66"/>
      <c r="AV486" s="140"/>
      <c r="AW486" s="140"/>
      <c r="AX486" s="140"/>
      <c r="AY486" s="437"/>
      <c r="AZ486" s="140"/>
      <c r="BA486" s="437"/>
      <c r="BB486" s="140"/>
      <c r="BC486" s="140"/>
      <c r="BD486" s="140"/>
      <c r="BE486" s="40"/>
      <c r="BF486" s="235"/>
      <c r="BG486" s="66"/>
      <c r="BH486" s="235"/>
      <c r="BI486" s="66"/>
    </row>
    <row r="487" spans="2:61" s="1" customFormat="1">
      <c r="B487" s="24"/>
      <c r="C487" s="83" t="s">
        <v>625</v>
      </c>
      <c r="D487" s="1389"/>
      <c r="E487" s="1389"/>
      <c r="F487" s="1365">
        <f t="shared" si="278"/>
        <v>0</v>
      </c>
      <c r="G487" s="1365">
        <f t="shared" si="277"/>
        <v>0</v>
      </c>
      <c r="H487" s="1389">
        <f t="shared" ref="H487:H493" si="286">ROUND((D487+E487),0)</f>
        <v>0</v>
      </c>
      <c r="I487" s="1954"/>
      <c r="J487" s="1389"/>
      <c r="K487" s="1954"/>
      <c r="L487" s="1389"/>
      <c r="M487" s="1389">
        <f t="shared" ref="M487:M493" si="287">ROUND((H487-J487+L487),0)</f>
        <v>0</v>
      </c>
      <c r="N487" s="2269"/>
      <c r="O487" s="2004"/>
      <c r="P487" s="1523"/>
      <c r="Q487" s="1389"/>
      <c r="R487" s="1523">
        <f t="shared" ref="R487:R493" si="288">ROUND((P487+Q487),0)</f>
        <v>0</v>
      </c>
      <c r="S487" s="1522"/>
      <c r="T487" s="1523"/>
      <c r="U487" s="1522"/>
      <c r="V487" s="1523"/>
      <c r="W487" s="1523">
        <f t="shared" ref="W487:W493" si="289">ROUND((R487-T487+V487),0)</f>
        <v>0</v>
      </c>
      <c r="X487" s="1205"/>
      <c r="Y487" s="270"/>
      <c r="Z487" s="732"/>
      <c r="AA487" s="732">
        <f t="shared" ref="AA487:AA493" si="290">ROUND((Y487+Z487),0)</f>
        <v>0</v>
      </c>
      <c r="AB487" s="609"/>
      <c r="AC487" s="270"/>
      <c r="AD487" s="609"/>
      <c r="AE487" s="270"/>
      <c r="AF487" s="732">
        <f t="shared" ref="AF487:AF493" si="291">ROUND((AA487-AC487+AE487),0)</f>
        <v>0</v>
      </c>
      <c r="AG487" s="732"/>
      <c r="AH487" s="271"/>
      <c r="AI487" s="140"/>
      <c r="AJ487" s="140"/>
      <c r="AK487" s="140"/>
      <c r="AL487" s="673"/>
      <c r="AM487" s="140"/>
      <c r="AN487" s="140"/>
      <c r="AO487" s="140">
        <f t="shared" ref="AO487:AO493" si="292">ROUND((AM487+AN487),0)</f>
        <v>0</v>
      </c>
      <c r="AP487" s="437"/>
      <c r="AQ487" s="140"/>
      <c r="AR487" s="437"/>
      <c r="AS487" s="140"/>
      <c r="AT487" s="140">
        <f t="shared" ref="AT487:AT493" si="293">ROUND((AO487-AQ487+AS487),0)</f>
        <v>0</v>
      </c>
      <c r="AU487" s="66"/>
      <c r="AV487" s="140">
        <v>0</v>
      </c>
      <c r="AW487" s="140"/>
      <c r="AX487" s="140">
        <f t="shared" ref="AX487:AX493" si="294">ROUND((AV487+AW487),0)</f>
        <v>0</v>
      </c>
      <c r="AY487" s="437"/>
      <c r="AZ487" s="140"/>
      <c r="BA487" s="437"/>
      <c r="BB487" s="140"/>
      <c r="BC487" s="140">
        <f t="shared" ref="BC487:BC493" si="295">ROUND((AX487-AZ487+BB487),0)</f>
        <v>0</v>
      </c>
      <c r="BD487" s="140"/>
      <c r="BE487" s="40"/>
      <c r="BF487" s="235"/>
      <c r="BG487" s="66"/>
      <c r="BH487" s="235">
        <v>7477809685</v>
      </c>
      <c r="BI487" s="66"/>
    </row>
    <row r="488" spans="2:61" s="1" customFormat="1">
      <c r="B488" s="4"/>
      <c r="C488" s="84" t="s">
        <v>817</v>
      </c>
      <c r="D488" s="1390"/>
      <c r="E488" s="1390"/>
      <c r="F488" s="1365">
        <f t="shared" si="278"/>
        <v>0</v>
      </c>
      <c r="G488" s="1365">
        <f t="shared" si="277"/>
        <v>0</v>
      </c>
      <c r="H488" s="1390">
        <f t="shared" si="286"/>
        <v>0</v>
      </c>
      <c r="I488" s="1955"/>
      <c r="J488" s="1390"/>
      <c r="K488" s="1955"/>
      <c r="L488" s="1390"/>
      <c r="M488" s="1390">
        <f t="shared" si="287"/>
        <v>0</v>
      </c>
      <c r="N488" s="2270"/>
      <c r="O488" s="2005"/>
      <c r="P488" s="1524"/>
      <c r="Q488" s="1390"/>
      <c r="R488" s="1524">
        <f t="shared" si="288"/>
        <v>0</v>
      </c>
      <c r="S488" s="1525"/>
      <c r="T488" s="1524"/>
      <c r="U488" s="1525"/>
      <c r="V488" s="1524"/>
      <c r="W488" s="1524">
        <f t="shared" si="289"/>
        <v>0</v>
      </c>
      <c r="X488" s="1206"/>
      <c r="Y488" s="272"/>
      <c r="Z488" s="733"/>
      <c r="AA488" s="733">
        <f t="shared" si="290"/>
        <v>0</v>
      </c>
      <c r="AB488" s="622"/>
      <c r="AC488" s="272"/>
      <c r="AD488" s="622"/>
      <c r="AE488" s="272"/>
      <c r="AF488" s="733">
        <f t="shared" si="291"/>
        <v>0</v>
      </c>
      <c r="AG488" s="733"/>
      <c r="AH488" s="273"/>
      <c r="AI488" s="140">
        <v>0</v>
      </c>
      <c r="AJ488" s="140"/>
      <c r="AK488" s="140"/>
      <c r="AL488" s="673"/>
      <c r="AM488" s="140"/>
      <c r="AN488" s="140"/>
      <c r="AO488" s="140">
        <f t="shared" si="292"/>
        <v>0</v>
      </c>
      <c r="AP488" s="437"/>
      <c r="AQ488" s="140"/>
      <c r="AR488" s="437"/>
      <c r="AS488" s="140"/>
      <c r="AT488" s="140">
        <f t="shared" si="293"/>
        <v>0</v>
      </c>
      <c r="AU488" s="66"/>
      <c r="AV488" s="140">
        <v>0</v>
      </c>
      <c r="AW488" s="140"/>
      <c r="AX488" s="140">
        <f t="shared" si="294"/>
        <v>0</v>
      </c>
      <c r="AY488" s="437"/>
      <c r="AZ488" s="140"/>
      <c r="BA488" s="437"/>
      <c r="BB488" s="140"/>
      <c r="BC488" s="140">
        <f t="shared" si="295"/>
        <v>0</v>
      </c>
      <c r="BD488" s="140"/>
      <c r="BE488" s="40"/>
      <c r="BF488" s="235">
        <v>0</v>
      </c>
      <c r="BG488" s="66"/>
      <c r="BH488" s="235">
        <v>0</v>
      </c>
      <c r="BI488" s="66"/>
    </row>
    <row r="489" spans="2:61" s="1" customFormat="1">
      <c r="B489" s="4"/>
      <c r="C489" s="84" t="s">
        <v>818</v>
      </c>
      <c r="D489" s="1390"/>
      <c r="E489" s="1390"/>
      <c r="F489" s="1365">
        <f t="shared" si="278"/>
        <v>0</v>
      </c>
      <c r="G489" s="1365">
        <f t="shared" si="277"/>
        <v>0</v>
      </c>
      <c r="H489" s="1390">
        <f t="shared" si="286"/>
        <v>0</v>
      </c>
      <c r="I489" s="1955"/>
      <c r="J489" s="1390"/>
      <c r="K489" s="1955"/>
      <c r="L489" s="1390"/>
      <c r="M489" s="1390">
        <f t="shared" si="287"/>
        <v>0</v>
      </c>
      <c r="N489" s="2270"/>
      <c r="O489" s="2005"/>
      <c r="P489" s="1524"/>
      <c r="Q489" s="1390"/>
      <c r="R489" s="1524">
        <f t="shared" si="288"/>
        <v>0</v>
      </c>
      <c r="S489" s="1525"/>
      <c r="T489" s="1524"/>
      <c r="U489" s="1525"/>
      <c r="V489" s="1524"/>
      <c r="W489" s="1524">
        <f t="shared" si="289"/>
        <v>0</v>
      </c>
      <c r="X489" s="1206"/>
      <c r="Y489" s="272"/>
      <c r="Z489" s="733"/>
      <c r="AA489" s="733">
        <f t="shared" si="290"/>
        <v>0</v>
      </c>
      <c r="AB489" s="622"/>
      <c r="AC489" s="272"/>
      <c r="AD489" s="622"/>
      <c r="AE489" s="272"/>
      <c r="AF489" s="733">
        <f t="shared" si="291"/>
        <v>0</v>
      </c>
      <c r="AG489" s="733"/>
      <c r="AH489" s="273"/>
      <c r="AI489" s="140">
        <v>0</v>
      </c>
      <c r="AJ489" s="140"/>
      <c r="AK489" s="140"/>
      <c r="AL489" s="673"/>
      <c r="AM489" s="140">
        <v>3403633336</v>
      </c>
      <c r="AN489" s="140"/>
      <c r="AO489" s="140">
        <f t="shared" si="292"/>
        <v>3403633336</v>
      </c>
      <c r="AP489" s="437"/>
      <c r="AQ489" s="140"/>
      <c r="AR489" s="437"/>
      <c r="AS489" s="140"/>
      <c r="AT489" s="140">
        <f t="shared" si="293"/>
        <v>3403633336</v>
      </c>
      <c r="AU489" s="66"/>
      <c r="AV489" s="140">
        <v>3403633336</v>
      </c>
      <c r="AW489" s="140"/>
      <c r="AX489" s="140">
        <f t="shared" si="294"/>
        <v>3403633336</v>
      </c>
      <c r="AY489" s="437"/>
      <c r="AZ489" s="140"/>
      <c r="BA489" s="437"/>
      <c r="BB489" s="140"/>
      <c r="BC489" s="140">
        <f t="shared" si="295"/>
        <v>3403633336</v>
      </c>
      <c r="BD489" s="140"/>
      <c r="BE489" s="40"/>
      <c r="BF489" s="235">
        <v>3403633336</v>
      </c>
      <c r="BG489" s="66"/>
      <c r="BH489" s="235">
        <v>6807266668</v>
      </c>
      <c r="BI489" s="66"/>
    </row>
    <row r="490" spans="2:61" s="1" customFormat="1">
      <c r="B490" s="4"/>
      <c r="C490" s="84" t="s">
        <v>819</v>
      </c>
      <c r="D490" s="1390"/>
      <c r="E490" s="1390"/>
      <c r="F490" s="1365">
        <f t="shared" si="278"/>
        <v>0</v>
      </c>
      <c r="G490" s="1365">
        <f t="shared" si="277"/>
        <v>0</v>
      </c>
      <c r="H490" s="1390">
        <f t="shared" si="286"/>
        <v>0</v>
      </c>
      <c r="I490" s="1955"/>
      <c r="J490" s="1390"/>
      <c r="K490" s="1955"/>
      <c r="L490" s="1390"/>
      <c r="M490" s="1390">
        <f t="shared" si="287"/>
        <v>0</v>
      </c>
      <c r="N490" s="2270"/>
      <c r="O490" s="2005"/>
      <c r="P490" s="1524"/>
      <c r="Q490" s="1390"/>
      <c r="R490" s="1524">
        <f t="shared" si="288"/>
        <v>0</v>
      </c>
      <c r="S490" s="1525"/>
      <c r="T490" s="1524"/>
      <c r="U490" s="1525"/>
      <c r="V490" s="1524"/>
      <c r="W490" s="1524">
        <f t="shared" si="289"/>
        <v>0</v>
      </c>
      <c r="X490" s="1206"/>
      <c r="Y490" s="272"/>
      <c r="Z490" s="733"/>
      <c r="AA490" s="733">
        <f t="shared" si="290"/>
        <v>0</v>
      </c>
      <c r="AB490" s="622"/>
      <c r="AC490" s="272"/>
      <c r="AD490" s="622"/>
      <c r="AE490" s="272"/>
      <c r="AF490" s="733">
        <f t="shared" si="291"/>
        <v>0</v>
      </c>
      <c r="AG490" s="733"/>
      <c r="AH490" s="273"/>
      <c r="AI490" s="140">
        <v>0</v>
      </c>
      <c r="AJ490" s="140"/>
      <c r="AK490" s="140"/>
      <c r="AL490" s="673"/>
      <c r="AM490" s="140"/>
      <c r="AN490" s="140"/>
      <c r="AO490" s="140">
        <f t="shared" si="292"/>
        <v>0</v>
      </c>
      <c r="AP490" s="437"/>
      <c r="AQ490" s="140"/>
      <c r="AR490" s="437"/>
      <c r="AS490" s="140"/>
      <c r="AT490" s="140">
        <f t="shared" si="293"/>
        <v>0</v>
      </c>
      <c r="AU490" s="66"/>
      <c r="AV490" s="140">
        <v>0</v>
      </c>
      <c r="AW490" s="140"/>
      <c r="AX490" s="140">
        <f t="shared" si="294"/>
        <v>0</v>
      </c>
      <c r="AY490" s="437"/>
      <c r="AZ490" s="140"/>
      <c r="BA490" s="437"/>
      <c r="BB490" s="140"/>
      <c r="BC490" s="140">
        <f t="shared" si="295"/>
        <v>0</v>
      </c>
      <c r="BD490" s="140"/>
      <c r="BE490" s="40"/>
      <c r="BF490" s="235">
        <v>5122596042</v>
      </c>
      <c r="BG490" s="66"/>
      <c r="BH490" s="235">
        <v>0</v>
      </c>
      <c r="BI490" s="66"/>
    </row>
    <row r="491" spans="2:61" s="1" customFormat="1">
      <c r="B491" s="4"/>
      <c r="C491" s="4" t="s">
        <v>809</v>
      </c>
      <c r="D491" s="1365"/>
      <c r="E491" s="1365"/>
      <c r="F491" s="1365">
        <f t="shared" si="278"/>
        <v>0</v>
      </c>
      <c r="G491" s="1365">
        <f t="shared" si="277"/>
        <v>0</v>
      </c>
      <c r="H491" s="1365">
        <f t="shared" si="286"/>
        <v>0</v>
      </c>
      <c r="I491" s="1384"/>
      <c r="J491" s="1365"/>
      <c r="K491" s="1384"/>
      <c r="L491" s="1365"/>
      <c r="M491" s="1365">
        <f t="shared" si="287"/>
        <v>0</v>
      </c>
      <c r="N491" s="2259"/>
      <c r="O491" s="1058"/>
      <c r="P491" s="1482"/>
      <c r="Q491" s="1365"/>
      <c r="R491" s="1482">
        <f t="shared" si="288"/>
        <v>0</v>
      </c>
      <c r="S491" s="1481"/>
      <c r="T491" s="1482"/>
      <c r="U491" s="1481"/>
      <c r="V491" s="1482"/>
      <c r="W491" s="1482">
        <f t="shared" si="289"/>
        <v>0</v>
      </c>
      <c r="X491" s="1187"/>
      <c r="Y491" s="90"/>
      <c r="Z491" s="697"/>
      <c r="AA491" s="697">
        <f t="shared" si="290"/>
        <v>0</v>
      </c>
      <c r="AB491" s="253"/>
      <c r="AC491" s="90"/>
      <c r="AD491" s="253"/>
      <c r="AE491" s="90"/>
      <c r="AF491" s="697">
        <f t="shared" si="291"/>
        <v>0</v>
      </c>
      <c r="AG491" s="697"/>
      <c r="AH491" s="207"/>
      <c r="AI491" s="140">
        <v>0</v>
      </c>
      <c r="AJ491" s="140"/>
      <c r="AK491" s="140"/>
      <c r="AL491" s="673"/>
      <c r="AM491" s="140"/>
      <c r="AN491" s="140"/>
      <c r="AO491" s="140">
        <f t="shared" si="292"/>
        <v>0</v>
      </c>
      <c r="AP491" s="437"/>
      <c r="AQ491" s="140"/>
      <c r="AR491" s="437"/>
      <c r="AS491" s="140"/>
      <c r="AT491" s="140">
        <f t="shared" si="293"/>
        <v>0</v>
      </c>
      <c r="AU491" s="66"/>
      <c r="AV491" s="140">
        <v>0</v>
      </c>
      <c r="AW491" s="140"/>
      <c r="AX491" s="140">
        <f t="shared" si="294"/>
        <v>0</v>
      </c>
      <c r="AY491" s="437"/>
      <c r="AZ491" s="140"/>
      <c r="BA491" s="437"/>
      <c r="BB491" s="140"/>
      <c r="BC491" s="140">
        <f t="shared" si="295"/>
        <v>0</v>
      </c>
      <c r="BD491" s="140"/>
      <c r="BE491" s="40"/>
      <c r="BF491" s="235">
        <v>0</v>
      </c>
      <c r="BG491" s="66"/>
      <c r="BH491" s="235">
        <v>0</v>
      </c>
      <c r="BI491" s="66"/>
    </row>
    <row r="492" spans="2:61" s="1" customFormat="1">
      <c r="B492" s="4" t="s">
        <v>622</v>
      </c>
      <c r="C492" s="4" t="s">
        <v>623</v>
      </c>
      <c r="D492" s="1365"/>
      <c r="E492" s="1365"/>
      <c r="F492" s="1365">
        <f t="shared" si="278"/>
        <v>0</v>
      </c>
      <c r="G492" s="1365">
        <f t="shared" si="277"/>
        <v>0</v>
      </c>
      <c r="H492" s="1365">
        <f t="shared" si="286"/>
        <v>0</v>
      </c>
      <c r="I492" s="1384"/>
      <c r="J492" s="1365"/>
      <c r="K492" s="1384"/>
      <c r="L492" s="1365"/>
      <c r="M492" s="1365">
        <f t="shared" si="287"/>
        <v>0</v>
      </c>
      <c r="N492" s="2259"/>
      <c r="O492" s="1058"/>
      <c r="P492" s="1482"/>
      <c r="Q492" s="1365"/>
      <c r="R492" s="1482">
        <f t="shared" si="288"/>
        <v>0</v>
      </c>
      <c r="S492" s="1481"/>
      <c r="T492" s="1482"/>
      <c r="U492" s="1481"/>
      <c r="V492" s="1482"/>
      <c r="W492" s="1482">
        <f t="shared" si="289"/>
        <v>0</v>
      </c>
      <c r="X492" s="1187"/>
      <c r="Y492" s="90"/>
      <c r="Z492" s="697"/>
      <c r="AA492" s="697">
        <f t="shared" si="290"/>
        <v>0</v>
      </c>
      <c r="AB492" s="253"/>
      <c r="AC492" s="90"/>
      <c r="AD492" s="253"/>
      <c r="AE492" s="90"/>
      <c r="AF492" s="697">
        <f t="shared" si="291"/>
        <v>0</v>
      </c>
      <c r="AG492" s="697"/>
      <c r="AH492" s="207"/>
      <c r="AI492" s="140">
        <v>0</v>
      </c>
      <c r="AJ492" s="140"/>
      <c r="AK492" s="140"/>
      <c r="AL492" s="673"/>
      <c r="AM492" s="140"/>
      <c r="AN492" s="140"/>
      <c r="AO492" s="140">
        <f t="shared" si="292"/>
        <v>0</v>
      </c>
      <c r="AP492" s="437"/>
      <c r="AQ492" s="140"/>
      <c r="AR492" s="437"/>
      <c r="AS492" s="140"/>
      <c r="AT492" s="140">
        <f t="shared" si="293"/>
        <v>0</v>
      </c>
      <c r="AU492" s="66"/>
      <c r="AV492" s="140"/>
      <c r="AW492" s="140"/>
      <c r="AX492" s="140">
        <f t="shared" si="294"/>
        <v>0</v>
      </c>
      <c r="AY492" s="437"/>
      <c r="AZ492" s="140"/>
      <c r="BA492" s="437"/>
      <c r="BB492" s="140"/>
      <c r="BC492" s="140">
        <f t="shared" si="295"/>
        <v>0</v>
      </c>
      <c r="BD492" s="140"/>
      <c r="BE492" s="40"/>
      <c r="BF492" s="235"/>
      <c r="BG492" s="66"/>
      <c r="BH492" s="235"/>
      <c r="BI492" s="66"/>
    </row>
    <row r="493" spans="2:61" s="1" customFormat="1">
      <c r="B493" s="4"/>
      <c r="C493" s="4"/>
      <c r="D493" s="1365"/>
      <c r="E493" s="1365"/>
      <c r="F493" s="1365">
        <f t="shared" si="278"/>
        <v>0</v>
      </c>
      <c r="G493" s="1365">
        <f t="shared" si="277"/>
        <v>0</v>
      </c>
      <c r="H493" s="1365">
        <f t="shared" si="286"/>
        <v>0</v>
      </c>
      <c r="I493" s="1384"/>
      <c r="J493" s="1365"/>
      <c r="K493" s="1384"/>
      <c r="L493" s="1365"/>
      <c r="M493" s="1365">
        <f t="shared" si="287"/>
        <v>0</v>
      </c>
      <c r="N493" s="2259"/>
      <c r="O493" s="1058"/>
      <c r="P493" s="1482"/>
      <c r="Q493" s="1365"/>
      <c r="R493" s="1482">
        <f t="shared" si="288"/>
        <v>0</v>
      </c>
      <c r="S493" s="1481"/>
      <c r="T493" s="1482"/>
      <c r="U493" s="1481"/>
      <c r="V493" s="1482"/>
      <c r="W493" s="1482">
        <f t="shared" si="289"/>
        <v>0</v>
      </c>
      <c r="X493" s="1187"/>
      <c r="Y493" s="90"/>
      <c r="Z493" s="697"/>
      <c r="AA493" s="697">
        <f t="shared" si="290"/>
        <v>0</v>
      </c>
      <c r="AB493" s="253"/>
      <c r="AC493" s="90"/>
      <c r="AD493" s="253"/>
      <c r="AE493" s="90"/>
      <c r="AF493" s="697">
        <f t="shared" si="291"/>
        <v>0</v>
      </c>
      <c r="AG493" s="697"/>
      <c r="AH493" s="207"/>
      <c r="AI493" s="140"/>
      <c r="AJ493" s="140"/>
      <c r="AK493" s="140"/>
      <c r="AL493" s="673"/>
      <c r="AM493" s="140"/>
      <c r="AN493" s="140"/>
      <c r="AO493" s="140">
        <f t="shared" si="292"/>
        <v>0</v>
      </c>
      <c r="AP493" s="437"/>
      <c r="AQ493" s="140"/>
      <c r="AR493" s="437"/>
      <c r="AS493" s="140"/>
      <c r="AT493" s="140">
        <f t="shared" si="293"/>
        <v>0</v>
      </c>
      <c r="AU493" s="66"/>
      <c r="AV493" s="140"/>
      <c r="AW493" s="140"/>
      <c r="AX493" s="140">
        <f t="shared" si="294"/>
        <v>0</v>
      </c>
      <c r="AY493" s="437"/>
      <c r="AZ493" s="140"/>
      <c r="BA493" s="437"/>
      <c r="BB493" s="140"/>
      <c r="BC493" s="140">
        <f t="shared" si="295"/>
        <v>0</v>
      </c>
      <c r="BD493" s="140"/>
      <c r="BE493" s="40"/>
      <c r="BF493" s="235"/>
      <c r="BG493" s="66"/>
      <c r="BH493" s="235"/>
      <c r="BI493" s="66"/>
    </row>
    <row r="494" spans="2:61" s="1" customFormat="1">
      <c r="B494" s="19"/>
      <c r="C494" s="19" t="s">
        <v>820</v>
      </c>
      <c r="D494" s="1369">
        <f>SUM(D484:D492)</f>
        <v>0</v>
      </c>
      <c r="E494" s="1369">
        <f>SUM(E484:E492)</f>
        <v>0</v>
      </c>
      <c r="F494" s="1365">
        <f t="shared" si="278"/>
        <v>0</v>
      </c>
      <c r="G494" s="1365">
        <f t="shared" si="277"/>
        <v>0</v>
      </c>
      <c r="H494" s="1369">
        <f>SUM(H484:H492)</f>
        <v>0</v>
      </c>
      <c r="I494" s="1944"/>
      <c r="J494" s="1369"/>
      <c r="K494" s="1944"/>
      <c r="L494" s="1369"/>
      <c r="M494" s="1369">
        <f>SUM(M484:M492)</f>
        <v>0</v>
      </c>
      <c r="N494" s="226"/>
      <c r="O494" s="1469"/>
      <c r="P494" s="1488">
        <f>SUM(P484:P492)</f>
        <v>0</v>
      </c>
      <c r="Q494" s="1369">
        <f>SUM(Q484:Q492)</f>
        <v>0</v>
      </c>
      <c r="R494" s="1488">
        <f>SUM(R484:R492)</f>
        <v>0</v>
      </c>
      <c r="S494" s="1489"/>
      <c r="T494" s="1488"/>
      <c r="U494" s="1489"/>
      <c r="V494" s="1488"/>
      <c r="W494" s="1488">
        <f>SUM(W484:W492)</f>
        <v>0</v>
      </c>
      <c r="X494" s="1190"/>
      <c r="Y494" s="428">
        <f>SUM(Y484:Y492)</f>
        <v>0</v>
      </c>
      <c r="Z494" s="707">
        <f>SUM(Z484:Z492)</f>
        <v>0</v>
      </c>
      <c r="AA494" s="707">
        <f>SUM(AA484:AA492)</f>
        <v>0</v>
      </c>
      <c r="AB494" s="601"/>
      <c r="AC494" s="223"/>
      <c r="AD494" s="601"/>
      <c r="AE494" s="223"/>
      <c r="AF494" s="707">
        <f>SUM(AF484:AF492)</f>
        <v>0</v>
      </c>
      <c r="AG494" s="707"/>
      <c r="AH494" s="228"/>
      <c r="AI494" s="428">
        <f>SUM(AI484:AI492)</f>
        <v>0</v>
      </c>
      <c r="AJ494" s="428"/>
      <c r="AK494" s="428"/>
      <c r="AL494" s="670"/>
      <c r="AM494" s="428">
        <f>SUM(AM484:AM492)</f>
        <v>3479993359</v>
      </c>
      <c r="AN494" s="428">
        <f>SUM(AN484:AN492)</f>
        <v>0</v>
      </c>
      <c r="AO494" s="428">
        <f>SUM(AO484:AO492)</f>
        <v>3479993359</v>
      </c>
      <c r="AP494" s="762"/>
      <c r="AQ494" s="428"/>
      <c r="AR494" s="762"/>
      <c r="AS494" s="428"/>
      <c r="AT494" s="1564">
        <f>SUM(AT484:AT492)</f>
        <v>3479993359</v>
      </c>
      <c r="AU494" s="29"/>
      <c r="AV494" s="428">
        <f>SUM(AV484:AV492)</f>
        <v>3479993359</v>
      </c>
      <c r="AW494" s="428">
        <f>SUM(AW484:AW492)</f>
        <v>0</v>
      </c>
      <c r="AX494" s="428">
        <f>SUM(AX484:AX492)</f>
        <v>3479993359</v>
      </c>
      <c r="AY494" s="762"/>
      <c r="AZ494" s="428"/>
      <c r="BA494" s="762"/>
      <c r="BB494" s="428"/>
      <c r="BC494" s="428">
        <f>SUM(BC484:BC492)</f>
        <v>3479993359</v>
      </c>
      <c r="BD494" s="138"/>
      <c r="BE494" s="28"/>
      <c r="BF494" s="428">
        <f>SUM(BF484:BF492)</f>
        <v>8602589401</v>
      </c>
      <c r="BG494" s="29"/>
      <c r="BH494" s="428">
        <f>SUM(BH484:BH492)</f>
        <v>14285076353</v>
      </c>
      <c r="BI494" s="29"/>
    </row>
    <row r="495" spans="2:61" s="1" customFormat="1">
      <c r="B495" s="34" t="s">
        <v>821</v>
      </c>
      <c r="C495" s="80"/>
      <c r="D495" s="1372"/>
      <c r="E495" s="1372"/>
      <c r="F495" s="1365">
        <f t="shared" si="278"/>
        <v>0</v>
      </c>
      <c r="G495" s="1365">
        <f t="shared" si="277"/>
        <v>0</v>
      </c>
      <c r="H495" s="1372"/>
      <c r="I495" s="1384"/>
      <c r="J495" s="1372"/>
      <c r="K495" s="1384"/>
      <c r="L495" s="1372"/>
      <c r="M495" s="1372"/>
      <c r="N495" s="280"/>
      <c r="O495" s="1997"/>
      <c r="P495" s="1494"/>
      <c r="Q495" s="1372"/>
      <c r="R495" s="1494"/>
      <c r="S495" s="1481"/>
      <c r="T495" s="1494"/>
      <c r="U495" s="1481"/>
      <c r="V495" s="1494"/>
      <c r="W495" s="1494"/>
      <c r="X495" s="1202"/>
      <c r="Y495" s="231"/>
      <c r="Z495" s="710"/>
      <c r="AA495" s="710"/>
      <c r="AB495" s="253"/>
      <c r="AC495" s="231"/>
      <c r="AD495" s="253"/>
      <c r="AE495" s="231"/>
      <c r="AF495" s="710"/>
      <c r="AG495" s="710"/>
      <c r="AH495" s="232"/>
      <c r="AI495" s="140"/>
      <c r="AJ495" s="140"/>
      <c r="AK495" s="140"/>
      <c r="AL495" s="673"/>
      <c r="AM495" s="140"/>
      <c r="AN495" s="140"/>
      <c r="AO495" s="140"/>
      <c r="AP495" s="437"/>
      <c r="AQ495" s="140"/>
      <c r="AR495" s="437"/>
      <c r="AS495" s="140"/>
      <c r="AT495" s="140"/>
      <c r="AU495" s="66"/>
      <c r="AV495" s="140"/>
      <c r="AW495" s="140"/>
      <c r="AX495" s="140"/>
      <c r="AY495" s="437"/>
      <c r="AZ495" s="140"/>
      <c r="BA495" s="437"/>
      <c r="BB495" s="140"/>
      <c r="BC495" s="140"/>
      <c r="BD495" s="140"/>
      <c r="BE495" s="40"/>
      <c r="BF495" s="235"/>
      <c r="BG495" s="66"/>
      <c r="BH495" s="235"/>
      <c r="BI495" s="66"/>
    </row>
    <row r="496" spans="2:61" s="1" customFormat="1">
      <c r="B496" s="30" t="s">
        <v>407</v>
      </c>
      <c r="C496" s="85" t="s">
        <v>822</v>
      </c>
      <c r="D496" s="1391"/>
      <c r="E496" s="1391"/>
      <c r="F496" s="1365">
        <f t="shared" si="278"/>
        <v>0</v>
      </c>
      <c r="G496" s="1365">
        <f t="shared" si="277"/>
        <v>0</v>
      </c>
      <c r="H496" s="1391">
        <f>ROUND((D496+E496),0)</f>
        <v>0</v>
      </c>
      <c r="I496" s="1391"/>
      <c r="J496" s="1391"/>
      <c r="K496" s="1391"/>
      <c r="L496" s="1391"/>
      <c r="M496" s="1391">
        <f>ROUND((H496-J496+L496),0)</f>
        <v>0</v>
      </c>
      <c r="N496" s="612"/>
      <c r="O496" s="1996"/>
      <c r="P496" s="1496"/>
      <c r="Q496" s="1391"/>
      <c r="R496" s="1496">
        <f>ROUND((P496+Q496),0)</f>
        <v>0</v>
      </c>
      <c r="S496" s="1496"/>
      <c r="T496" s="1496"/>
      <c r="U496" s="1496"/>
      <c r="V496" s="1496"/>
      <c r="W496" s="1496">
        <f>ROUND((R496-T496+V496),0)</f>
        <v>0</v>
      </c>
      <c r="X496" s="1196"/>
      <c r="Y496" s="274"/>
      <c r="Z496" s="734"/>
      <c r="AA496" s="734">
        <f>ROUND((Y496+Z496),0)</f>
        <v>0</v>
      </c>
      <c r="AB496" s="274"/>
      <c r="AC496" s="274"/>
      <c r="AD496" s="274"/>
      <c r="AE496" s="274"/>
      <c r="AF496" s="734">
        <f>ROUND((AA496-AC496+AE496),0)</f>
        <v>0</v>
      </c>
      <c r="AG496" s="734"/>
      <c r="AH496" s="254"/>
      <c r="AI496" s="140">
        <v>0</v>
      </c>
      <c r="AJ496" s="140"/>
      <c r="AK496" s="140"/>
      <c r="AL496" s="673"/>
      <c r="AM496" s="140"/>
      <c r="AN496" s="140">
        <v>630000000</v>
      </c>
      <c r="AO496" s="140">
        <f>ROUND((AM496+AN496),0)</f>
        <v>630000000</v>
      </c>
      <c r="AP496" s="437"/>
      <c r="AQ496" s="140"/>
      <c r="AR496" s="437"/>
      <c r="AS496" s="140"/>
      <c r="AT496" s="140">
        <f>ROUND((AO496-AQ496+AS496),0)</f>
        <v>630000000</v>
      </c>
      <c r="AU496" s="66"/>
      <c r="AV496" s="140"/>
      <c r="AW496" s="140">
        <v>630000000</v>
      </c>
      <c r="AX496" s="140">
        <f>ROUND((AV496+AW496),0)</f>
        <v>630000000</v>
      </c>
      <c r="AY496" s="437"/>
      <c r="AZ496" s="140"/>
      <c r="BA496" s="437"/>
      <c r="BB496" s="140"/>
      <c r="BC496" s="140">
        <f>ROUND((AX496-AZ496+BB496),0)</f>
        <v>630000000</v>
      </c>
      <c r="BD496" s="140"/>
      <c r="BE496" s="40"/>
      <c r="BF496" s="235">
        <v>624277457</v>
      </c>
      <c r="BG496" s="39"/>
      <c r="BH496" s="235">
        <v>4125675035</v>
      </c>
      <c r="BI496" s="66"/>
    </row>
    <row r="497" spans="2:64" s="41" customFormat="1">
      <c r="B497" s="86"/>
      <c r="C497" s="86" t="s">
        <v>823</v>
      </c>
      <c r="D497" s="1392">
        <f>SUM(D496:D496)</f>
        <v>0</v>
      </c>
      <c r="E497" s="1392">
        <f>SUM(E496:E496)</f>
        <v>0</v>
      </c>
      <c r="F497" s="1365">
        <f t="shared" si="278"/>
        <v>0</v>
      </c>
      <c r="G497" s="1365">
        <f t="shared" si="277"/>
        <v>0</v>
      </c>
      <c r="H497" s="1392">
        <f>SUM(H496:H496)</f>
        <v>0</v>
      </c>
      <c r="I497" s="1956"/>
      <c r="J497" s="1392"/>
      <c r="K497" s="1956"/>
      <c r="L497" s="1392"/>
      <c r="M497" s="1392">
        <f>SUM(M496:M496)</f>
        <v>0</v>
      </c>
      <c r="N497" s="2260"/>
      <c r="O497" s="1989"/>
      <c r="P497" s="1526">
        <f>SUM(P496:P496)</f>
        <v>0</v>
      </c>
      <c r="Q497" s="1392">
        <f>SUM(Q496:Q496)</f>
        <v>0</v>
      </c>
      <c r="R497" s="1526">
        <f>SUM(R496:R496)</f>
        <v>0</v>
      </c>
      <c r="S497" s="1527"/>
      <c r="T497" s="1526"/>
      <c r="U497" s="1527"/>
      <c r="V497" s="1526"/>
      <c r="W497" s="1526">
        <f>SUM(W496:W496)</f>
        <v>0</v>
      </c>
      <c r="X497" s="1188"/>
      <c r="Y497" s="439">
        <f>SUM(Y496:Y496)</f>
        <v>0</v>
      </c>
      <c r="Z497" s="735">
        <f>SUM(Z496:Z496)</f>
        <v>0</v>
      </c>
      <c r="AA497" s="735">
        <f>SUM(AA496:AA496)</f>
        <v>0</v>
      </c>
      <c r="AB497" s="610"/>
      <c r="AC497" s="275"/>
      <c r="AD497" s="610"/>
      <c r="AE497" s="275"/>
      <c r="AF497" s="735">
        <f>SUM(AF496:AF496)</f>
        <v>0</v>
      </c>
      <c r="AG497" s="735"/>
      <c r="AH497" s="228"/>
      <c r="AI497" s="439">
        <f>SUM(AI496:AI496)</f>
        <v>0</v>
      </c>
      <c r="AJ497" s="439"/>
      <c r="AK497" s="439"/>
      <c r="AL497" s="679"/>
      <c r="AM497" s="439">
        <f>SUM(AM496:AM496)</f>
        <v>0</v>
      </c>
      <c r="AN497" s="439">
        <f>SUM(AN496:AN496)</f>
        <v>630000000</v>
      </c>
      <c r="AO497" s="439">
        <f>SUM(AO496:AO496)</f>
        <v>630000000</v>
      </c>
      <c r="AP497" s="771"/>
      <c r="AQ497" s="439"/>
      <c r="AR497" s="771"/>
      <c r="AS497" s="439"/>
      <c r="AT497" s="1568">
        <f>SUM(AT496:AT496)</f>
        <v>630000000</v>
      </c>
      <c r="AU497" s="65"/>
      <c r="AV497" s="439">
        <f>SUM(AV496:AV496)</f>
        <v>0</v>
      </c>
      <c r="AW497" s="439">
        <f>SUM(AW496:AW496)</f>
        <v>630000000</v>
      </c>
      <c r="AX497" s="439">
        <f>SUM(AX496:AX496)</f>
        <v>630000000</v>
      </c>
      <c r="AY497" s="771"/>
      <c r="AZ497" s="439"/>
      <c r="BA497" s="771"/>
      <c r="BB497" s="439"/>
      <c r="BC497" s="439">
        <f>SUM(BC496:BC496)</f>
        <v>630000000</v>
      </c>
      <c r="BD497" s="1155"/>
      <c r="BE497" s="136"/>
      <c r="BF497" s="439">
        <f>SUM(BF496:BF496)</f>
        <v>624277457</v>
      </c>
      <c r="BG497" s="87"/>
      <c r="BH497" s="439">
        <f>SUM(BH496:BH496)</f>
        <v>4125675035</v>
      </c>
      <c r="BI497" s="87"/>
    </row>
    <row r="498" spans="2:64" s="1" customFormat="1">
      <c r="B498" s="34" t="s">
        <v>824</v>
      </c>
      <c r="C498" s="80"/>
      <c r="D498" s="1372"/>
      <c r="E498" s="1372"/>
      <c r="F498" s="1365">
        <f t="shared" si="278"/>
        <v>0</v>
      </c>
      <c r="G498" s="1365">
        <f t="shared" si="277"/>
        <v>0</v>
      </c>
      <c r="H498" s="1372"/>
      <c r="I498" s="1384"/>
      <c r="J498" s="1372"/>
      <c r="K498" s="1384"/>
      <c r="L498" s="1372"/>
      <c r="M498" s="1372"/>
      <c r="N498" s="280"/>
      <c r="O498" s="1997"/>
      <c r="P498" s="1494"/>
      <c r="Q498" s="1372"/>
      <c r="R498" s="1494"/>
      <c r="S498" s="1481"/>
      <c r="T498" s="1494"/>
      <c r="U498" s="1481"/>
      <c r="V498" s="1494"/>
      <c r="W498" s="1494"/>
      <c r="X498" s="1202"/>
      <c r="Y498" s="231"/>
      <c r="Z498" s="710"/>
      <c r="AA498" s="710"/>
      <c r="AB498" s="253"/>
      <c r="AC498" s="231"/>
      <c r="AD498" s="253"/>
      <c r="AE498" s="231"/>
      <c r="AF498" s="710"/>
      <c r="AG498" s="710"/>
      <c r="AH498" s="232"/>
      <c r="AI498" s="140"/>
      <c r="AJ498" s="140"/>
      <c r="AK498" s="140"/>
      <c r="AL498" s="673"/>
      <c r="AM498" s="140"/>
      <c r="AN498" s="140"/>
      <c r="AO498" s="140"/>
      <c r="AP498" s="437"/>
      <c r="AQ498" s="140"/>
      <c r="AR498" s="437"/>
      <c r="AS498" s="140"/>
      <c r="AT498" s="140"/>
      <c r="AU498" s="66"/>
      <c r="AV498" s="140"/>
      <c r="AW498" s="140"/>
      <c r="AX498" s="140"/>
      <c r="AY498" s="437"/>
      <c r="AZ498" s="140"/>
      <c r="BA498" s="437"/>
      <c r="BB498" s="140"/>
      <c r="BC498" s="140"/>
      <c r="BD498" s="140"/>
      <c r="BE498" s="40"/>
      <c r="BF498" s="235"/>
      <c r="BG498" s="66"/>
      <c r="BH498" s="235"/>
      <c r="BI498" s="66"/>
    </row>
    <row r="499" spans="2:64" s="1" customFormat="1">
      <c r="B499" s="30" t="s">
        <v>407</v>
      </c>
      <c r="C499" s="13" t="s">
        <v>17</v>
      </c>
      <c r="D499" s="1367"/>
      <c r="E499" s="1367"/>
      <c r="F499" s="1365">
        <f t="shared" si="278"/>
        <v>0</v>
      </c>
      <c r="G499" s="1365">
        <f t="shared" si="277"/>
        <v>0</v>
      </c>
      <c r="H499" s="1367">
        <f>ROUND((D499+E499),0)</f>
        <v>0</v>
      </c>
      <c r="I499" s="1384"/>
      <c r="J499" s="1367"/>
      <c r="K499" s="1384"/>
      <c r="L499" s="1367"/>
      <c r="M499" s="1367">
        <f t="shared" ref="M499:M503" si="296">ROUND((H499-J499+L499),0)</f>
        <v>0</v>
      </c>
      <c r="N499" s="1967"/>
      <c r="O499" s="1057"/>
      <c r="P499" s="1485"/>
      <c r="Q499" s="1367"/>
      <c r="R499" s="1485">
        <f>ROUND((P499+Q499),0)</f>
        <v>0</v>
      </c>
      <c r="S499" s="1481"/>
      <c r="T499" s="1485"/>
      <c r="U499" s="1481"/>
      <c r="V499" s="1485"/>
      <c r="W499" s="1485">
        <f t="shared" ref="W499:W503" si="297">ROUND((R499-T499+V499),0)</f>
        <v>0</v>
      </c>
      <c r="X499" s="1189"/>
      <c r="Y499" s="106"/>
      <c r="Z499" s="698"/>
      <c r="AA499" s="698">
        <f>ROUND((Y499+Z499),0)</f>
        <v>0</v>
      </c>
      <c r="AB499" s="253"/>
      <c r="AC499" s="106"/>
      <c r="AD499" s="253"/>
      <c r="AE499" s="106"/>
      <c r="AF499" s="698">
        <f t="shared" ref="AF499:AF503" si="298">ROUND((AA499-AC499+AE499),0)</f>
        <v>0</v>
      </c>
      <c r="AG499" s="698"/>
      <c r="AH499" s="208"/>
      <c r="AI499" s="140">
        <v>0</v>
      </c>
      <c r="AJ499" s="140"/>
      <c r="AK499" s="140"/>
      <c r="AL499" s="673"/>
      <c r="AM499" s="140"/>
      <c r="AN499" s="140"/>
      <c r="AO499" s="140">
        <f t="shared" ref="AO499:AO503" si="299">ROUND((AM499+AN499),0)</f>
        <v>0</v>
      </c>
      <c r="AP499" s="437"/>
      <c r="AQ499" s="140"/>
      <c r="AR499" s="437"/>
      <c r="AS499" s="140"/>
      <c r="AT499" s="140">
        <f t="shared" ref="AT499:AT503" si="300">ROUND((AO499-AQ499+AS499),0)</f>
        <v>0</v>
      </c>
      <c r="AU499" s="66"/>
      <c r="AV499" s="140"/>
      <c r="AW499" s="140"/>
      <c r="AX499" s="140">
        <f t="shared" ref="AX499:AX503" si="301">ROUND((AV499+AW499),0)</f>
        <v>0</v>
      </c>
      <c r="AY499" s="437"/>
      <c r="AZ499" s="140"/>
      <c r="BA499" s="437"/>
      <c r="BB499" s="140"/>
      <c r="BC499" s="140">
        <f t="shared" ref="BC499:BC503" si="302">ROUND((AX499-AZ499+BB499),0)</f>
        <v>0</v>
      </c>
      <c r="BD499" s="140"/>
      <c r="BE499" s="40"/>
      <c r="BF499" s="235">
        <v>0</v>
      </c>
      <c r="BG499" s="66"/>
      <c r="BH499" s="235">
        <v>0</v>
      </c>
      <c r="BI499" s="66"/>
    </row>
    <row r="500" spans="2:64" s="1" customFormat="1">
      <c r="B500" s="30" t="s">
        <v>407</v>
      </c>
      <c r="C500" s="13" t="s">
        <v>775</v>
      </c>
      <c r="D500" s="1367"/>
      <c r="E500" s="1367"/>
      <c r="F500" s="1365">
        <f t="shared" si="278"/>
        <v>0</v>
      </c>
      <c r="G500" s="1365">
        <f t="shared" si="277"/>
        <v>0</v>
      </c>
      <c r="H500" s="1367">
        <f>ROUND((D500+E500),0)</f>
        <v>0</v>
      </c>
      <c r="I500" s="1384"/>
      <c r="J500" s="1367"/>
      <c r="K500" s="1384"/>
      <c r="L500" s="1367"/>
      <c r="M500" s="1367">
        <f t="shared" si="296"/>
        <v>0</v>
      </c>
      <c r="N500" s="1967"/>
      <c r="O500" s="1057"/>
      <c r="P500" s="1485"/>
      <c r="Q500" s="1367"/>
      <c r="R500" s="1485">
        <f>ROUND((P500+Q500),0)</f>
        <v>0</v>
      </c>
      <c r="S500" s="1481"/>
      <c r="T500" s="1485"/>
      <c r="U500" s="1481"/>
      <c r="V500" s="1485"/>
      <c r="W500" s="1485">
        <f t="shared" si="297"/>
        <v>0</v>
      </c>
      <c r="X500" s="1189"/>
      <c r="Y500" s="106"/>
      <c r="Z500" s="698"/>
      <c r="AA500" s="698">
        <f>ROUND((Y500+Z500),0)</f>
        <v>0</v>
      </c>
      <c r="AB500" s="253"/>
      <c r="AC500" s="106"/>
      <c r="AD500" s="253"/>
      <c r="AE500" s="106"/>
      <c r="AF500" s="698">
        <f t="shared" si="298"/>
        <v>0</v>
      </c>
      <c r="AG500" s="698"/>
      <c r="AH500" s="208"/>
      <c r="AI500" s="140">
        <v>0</v>
      </c>
      <c r="AJ500" s="140"/>
      <c r="AK500" s="140"/>
      <c r="AL500" s="673"/>
      <c r="AM500" s="140"/>
      <c r="AN500" s="140"/>
      <c r="AO500" s="140">
        <f t="shared" si="299"/>
        <v>0</v>
      </c>
      <c r="AP500" s="437"/>
      <c r="AQ500" s="140"/>
      <c r="AR500" s="437"/>
      <c r="AS500" s="140"/>
      <c r="AT500" s="140">
        <f t="shared" si="300"/>
        <v>0</v>
      </c>
      <c r="AU500" s="66"/>
      <c r="AV500" s="140"/>
      <c r="AW500" s="140"/>
      <c r="AX500" s="140">
        <f t="shared" si="301"/>
        <v>0</v>
      </c>
      <c r="AY500" s="437"/>
      <c r="AZ500" s="140"/>
      <c r="BA500" s="437"/>
      <c r="BB500" s="140"/>
      <c r="BC500" s="140">
        <f t="shared" si="302"/>
        <v>0</v>
      </c>
      <c r="BD500" s="140"/>
      <c r="BE500" s="40"/>
      <c r="BF500" s="235">
        <v>0</v>
      </c>
      <c r="BG500" s="66">
        <v>92595000</v>
      </c>
      <c r="BH500" s="235">
        <v>0</v>
      </c>
      <c r="BI500" s="66"/>
    </row>
    <row r="501" spans="2:64" s="1" customFormat="1">
      <c r="B501" s="30" t="s">
        <v>407</v>
      </c>
      <c r="C501" s="13" t="s">
        <v>774</v>
      </c>
      <c r="D501" s="1367"/>
      <c r="E501" s="1367"/>
      <c r="F501" s="1365">
        <f t="shared" si="278"/>
        <v>0</v>
      </c>
      <c r="G501" s="1365">
        <f t="shared" si="277"/>
        <v>0</v>
      </c>
      <c r="H501" s="1367">
        <f>ROUND((D501+E501),0)</f>
        <v>0</v>
      </c>
      <c r="I501" s="1384"/>
      <c r="J501" s="1367"/>
      <c r="K501" s="1384"/>
      <c r="L501" s="1367"/>
      <c r="M501" s="1367">
        <f t="shared" si="296"/>
        <v>0</v>
      </c>
      <c r="N501" s="1967"/>
      <c r="O501" s="1057"/>
      <c r="P501" s="1485"/>
      <c r="Q501" s="1367"/>
      <c r="R501" s="1485">
        <f>ROUND((P501+Q501),0)</f>
        <v>0</v>
      </c>
      <c r="S501" s="1481"/>
      <c r="T501" s="1485"/>
      <c r="U501" s="1481"/>
      <c r="V501" s="1485"/>
      <c r="W501" s="1485">
        <f t="shared" si="297"/>
        <v>0</v>
      </c>
      <c r="X501" s="1189"/>
      <c r="Y501" s="106"/>
      <c r="Z501" s="698"/>
      <c r="AA501" s="698">
        <f>ROUND((Y501+Z501),0)</f>
        <v>0</v>
      </c>
      <c r="AB501" s="253"/>
      <c r="AC501" s="106"/>
      <c r="AD501" s="253"/>
      <c r="AE501" s="106"/>
      <c r="AF501" s="698">
        <f t="shared" si="298"/>
        <v>0</v>
      </c>
      <c r="AG501" s="698"/>
      <c r="AH501" s="208"/>
      <c r="AI501" s="140">
        <v>595676695</v>
      </c>
      <c r="AJ501" s="140"/>
      <c r="AK501" s="140"/>
      <c r="AL501" s="673"/>
      <c r="AM501" s="140"/>
      <c r="AN501" s="140">
        <v>470676695</v>
      </c>
      <c r="AO501" s="140">
        <f t="shared" si="299"/>
        <v>470676695</v>
      </c>
      <c r="AP501" s="437"/>
      <c r="AQ501" s="140"/>
      <c r="AR501" s="437"/>
      <c r="AS501" s="140"/>
      <c r="AT501" s="140">
        <f t="shared" si="300"/>
        <v>470676695</v>
      </c>
      <c r="AU501" s="66"/>
      <c r="AV501" s="140"/>
      <c r="AW501" s="140">
        <v>495676695</v>
      </c>
      <c r="AX501" s="140">
        <f t="shared" si="301"/>
        <v>495676695</v>
      </c>
      <c r="AY501" s="437"/>
      <c r="AZ501" s="140"/>
      <c r="BA501" s="437"/>
      <c r="BB501" s="140"/>
      <c r="BC501" s="140">
        <f t="shared" si="302"/>
        <v>495676695</v>
      </c>
      <c r="BD501" s="140"/>
      <c r="BE501" s="40"/>
      <c r="BF501" s="235">
        <v>215579595</v>
      </c>
      <c r="BG501" s="66">
        <v>247604400</v>
      </c>
      <c r="BH501" s="235"/>
      <c r="BI501" s="66"/>
    </row>
    <row r="502" spans="2:64" s="1" customFormat="1">
      <c r="B502" s="30" t="s">
        <v>407</v>
      </c>
      <c r="C502" s="13" t="s">
        <v>776</v>
      </c>
      <c r="D502" s="1367"/>
      <c r="E502" s="1367"/>
      <c r="F502" s="1365">
        <f t="shared" si="278"/>
        <v>0</v>
      </c>
      <c r="G502" s="1365">
        <f t="shared" si="277"/>
        <v>0</v>
      </c>
      <c r="H502" s="1367">
        <f>ROUND((D502+E502),0)</f>
        <v>0</v>
      </c>
      <c r="I502" s="1384"/>
      <c r="J502" s="1367"/>
      <c r="K502" s="1384"/>
      <c r="L502" s="1367"/>
      <c r="M502" s="1367">
        <f t="shared" si="296"/>
        <v>0</v>
      </c>
      <c r="N502" s="1967"/>
      <c r="O502" s="1057"/>
      <c r="P502" s="1485"/>
      <c r="Q502" s="1367"/>
      <c r="R502" s="1485">
        <f>ROUND((P502+Q502),0)</f>
        <v>0</v>
      </c>
      <c r="S502" s="1481"/>
      <c r="T502" s="1485"/>
      <c r="U502" s="1481"/>
      <c r="V502" s="1485"/>
      <c r="W502" s="1485">
        <f t="shared" si="297"/>
        <v>0</v>
      </c>
      <c r="X502" s="1189"/>
      <c r="Y502" s="106"/>
      <c r="Z502" s="698"/>
      <c r="AA502" s="698">
        <f>ROUND((Y502+Z502),0)</f>
        <v>0</v>
      </c>
      <c r="AB502" s="253"/>
      <c r="AC502" s="106"/>
      <c r="AD502" s="253"/>
      <c r="AE502" s="106"/>
      <c r="AF502" s="698">
        <f t="shared" si="298"/>
        <v>0</v>
      </c>
      <c r="AG502" s="698"/>
      <c r="AH502" s="208"/>
      <c r="AI502" s="140">
        <v>0</v>
      </c>
      <c r="AJ502" s="140"/>
      <c r="AK502" s="140"/>
      <c r="AL502" s="673"/>
      <c r="AM502" s="140"/>
      <c r="AN502" s="140"/>
      <c r="AO502" s="140">
        <f t="shared" si="299"/>
        <v>0</v>
      </c>
      <c r="AP502" s="437"/>
      <c r="AQ502" s="140"/>
      <c r="AR502" s="437"/>
      <c r="AS502" s="140"/>
      <c r="AT502" s="140">
        <f t="shared" si="300"/>
        <v>0</v>
      </c>
      <c r="AU502" s="66"/>
      <c r="AV502" s="140"/>
      <c r="AW502" s="140"/>
      <c r="AX502" s="140">
        <f t="shared" si="301"/>
        <v>0</v>
      </c>
      <c r="AY502" s="437"/>
      <c r="AZ502" s="140"/>
      <c r="BA502" s="437"/>
      <c r="BB502" s="140"/>
      <c r="BC502" s="140">
        <f t="shared" si="302"/>
        <v>0</v>
      </c>
      <c r="BD502" s="140"/>
      <c r="BE502" s="40"/>
      <c r="BF502" s="235">
        <v>0</v>
      </c>
      <c r="BG502" s="66">
        <f>BG500+BG501</f>
        <v>340199400</v>
      </c>
      <c r="BH502" s="235">
        <v>44754400</v>
      </c>
      <c r="BI502" s="66"/>
    </row>
    <row r="503" spans="2:64" s="1" customFormat="1">
      <c r="B503" s="30" t="s">
        <v>407</v>
      </c>
      <c r="C503" s="13" t="s">
        <v>825</v>
      </c>
      <c r="D503" s="1367"/>
      <c r="E503" s="1367"/>
      <c r="F503" s="1365">
        <f t="shared" si="278"/>
        <v>0</v>
      </c>
      <c r="G503" s="1365">
        <f t="shared" si="277"/>
        <v>0</v>
      </c>
      <c r="H503" s="1367">
        <f>ROUND((D503+E503),0)</f>
        <v>0</v>
      </c>
      <c r="I503" s="1384"/>
      <c r="J503" s="1367"/>
      <c r="K503" s="1384"/>
      <c r="L503" s="1367"/>
      <c r="M503" s="1367">
        <f t="shared" si="296"/>
        <v>0</v>
      </c>
      <c r="N503" s="1967"/>
      <c r="O503" s="1057"/>
      <c r="P503" s="1485"/>
      <c r="Q503" s="1367"/>
      <c r="R503" s="1485">
        <f>ROUND((P503+Q503),0)</f>
        <v>0</v>
      </c>
      <c r="S503" s="1481"/>
      <c r="T503" s="1485"/>
      <c r="U503" s="1481"/>
      <c r="V503" s="1485"/>
      <c r="W503" s="1485">
        <f t="shared" si="297"/>
        <v>0</v>
      </c>
      <c r="X503" s="1189"/>
      <c r="Y503" s="106"/>
      <c r="Z503" s="698"/>
      <c r="AA503" s="698">
        <f>ROUND((Y503+Z503),0)</f>
        <v>0</v>
      </c>
      <c r="AB503" s="253"/>
      <c r="AC503" s="106"/>
      <c r="AD503" s="253"/>
      <c r="AE503" s="106"/>
      <c r="AF503" s="698">
        <f t="shared" si="298"/>
        <v>0</v>
      </c>
      <c r="AG503" s="698"/>
      <c r="AH503" s="208"/>
      <c r="AI503" s="140">
        <v>0</v>
      </c>
      <c r="AJ503" s="140"/>
      <c r="AK503" s="140"/>
      <c r="AL503" s="673"/>
      <c r="AM503" s="140"/>
      <c r="AN503" s="140"/>
      <c r="AO503" s="140">
        <f t="shared" si="299"/>
        <v>0</v>
      </c>
      <c r="AP503" s="437"/>
      <c r="AQ503" s="140"/>
      <c r="AR503" s="437"/>
      <c r="AS503" s="140"/>
      <c r="AT503" s="140">
        <f t="shared" si="300"/>
        <v>0</v>
      </c>
      <c r="AU503" s="66"/>
      <c r="AV503" s="140"/>
      <c r="AW503" s="140"/>
      <c r="AX503" s="140">
        <f t="shared" si="301"/>
        <v>0</v>
      </c>
      <c r="AY503" s="437"/>
      <c r="AZ503" s="140"/>
      <c r="BA503" s="437"/>
      <c r="BB503" s="140"/>
      <c r="BC503" s="140">
        <f t="shared" si="302"/>
        <v>0</v>
      </c>
      <c r="BD503" s="140"/>
      <c r="BE503" s="40"/>
      <c r="BF503" s="235">
        <v>0</v>
      </c>
      <c r="BG503" s="66"/>
      <c r="BH503" s="235">
        <v>0</v>
      </c>
      <c r="BI503" s="66"/>
    </row>
    <row r="504" spans="2:64" s="41" customFormat="1">
      <c r="B504" s="86"/>
      <c r="C504" s="86" t="s">
        <v>823</v>
      </c>
      <c r="D504" s="1393">
        <f t="shared" ref="D504" si="303">SUM(D499:D503)</f>
        <v>0</v>
      </c>
      <c r="E504" s="1393">
        <f>SUM(E499:E503)</f>
        <v>0</v>
      </c>
      <c r="F504" s="1365">
        <f t="shared" si="278"/>
        <v>0</v>
      </c>
      <c r="G504" s="1365">
        <f t="shared" si="277"/>
        <v>0</v>
      </c>
      <c r="H504" s="1393">
        <f t="shared" ref="H504" si="304">SUM(H499:H503)</f>
        <v>0</v>
      </c>
      <c r="I504" s="1957"/>
      <c r="J504" s="1393"/>
      <c r="K504" s="1957"/>
      <c r="L504" s="1393"/>
      <c r="M504" s="1393">
        <f t="shared" ref="M504" si="305">SUM(M499:M503)</f>
        <v>0</v>
      </c>
      <c r="N504" s="226"/>
      <c r="O504" s="1469"/>
      <c r="P504" s="1528">
        <f t="shared" ref="P504" si="306">SUM(P499:P503)</f>
        <v>0</v>
      </c>
      <c r="Q504" s="1393">
        <f t="shared" ref="Q504:R504" si="307">SUM(Q499:Q503)</f>
        <v>0</v>
      </c>
      <c r="R504" s="1528">
        <f t="shared" si="307"/>
        <v>0</v>
      </c>
      <c r="S504" s="1529"/>
      <c r="T504" s="1528"/>
      <c r="U504" s="1529"/>
      <c r="V504" s="1528"/>
      <c r="W504" s="1528">
        <f t="shared" ref="W504" si="308">SUM(W499:W503)</f>
        <v>0</v>
      </c>
      <c r="X504" s="1190"/>
      <c r="Y504" s="87">
        <f t="shared" ref="Y504" si="309">SUM(Y499:Y503)</f>
        <v>0</v>
      </c>
      <c r="Z504" s="736">
        <f t="shared" ref="Z504" si="310">SUM(Z499:Z503)</f>
        <v>0</v>
      </c>
      <c r="AA504" s="736">
        <f t="shared" ref="AA504" si="311">SUM(AA499:AA503)</f>
        <v>0</v>
      </c>
      <c r="AB504" s="610"/>
      <c r="AC504" s="275"/>
      <c r="AD504" s="610"/>
      <c r="AE504" s="275"/>
      <c r="AF504" s="736">
        <f t="shared" ref="AF504" si="312">SUM(AF499:AF503)</f>
        <v>0</v>
      </c>
      <c r="AG504" s="736"/>
      <c r="AH504" s="228"/>
      <c r="AI504" s="87">
        <f t="shared" ref="AI504" si="313">SUM(AI499:AI503)</f>
        <v>595676695</v>
      </c>
      <c r="AJ504" s="87"/>
      <c r="AK504" s="87"/>
      <c r="AL504" s="670"/>
      <c r="AM504" s="87">
        <f t="shared" ref="AM504:AO504" si="314">SUM(AM499:AM503)</f>
        <v>0</v>
      </c>
      <c r="AN504" s="87">
        <f t="shared" si="314"/>
        <v>470676695</v>
      </c>
      <c r="AO504" s="87">
        <f t="shared" si="314"/>
        <v>470676695</v>
      </c>
      <c r="AP504" s="772"/>
      <c r="AQ504" s="87"/>
      <c r="AR504" s="772"/>
      <c r="AS504" s="87"/>
      <c r="AT504" s="1567">
        <f t="shared" ref="AT504" si="315">SUM(AT499:AT503)</f>
        <v>470676695</v>
      </c>
      <c r="AU504" s="43"/>
      <c r="AV504" s="87">
        <f t="shared" ref="AV504:AX504" si="316">SUM(AV499:AV503)</f>
        <v>0</v>
      </c>
      <c r="AW504" s="87">
        <f t="shared" si="316"/>
        <v>495676695</v>
      </c>
      <c r="AX504" s="87">
        <f t="shared" si="316"/>
        <v>495676695</v>
      </c>
      <c r="AY504" s="772"/>
      <c r="AZ504" s="87"/>
      <c r="BA504" s="772"/>
      <c r="BB504" s="87"/>
      <c r="BC504" s="87">
        <f t="shared" ref="BC504" si="317">SUM(BC499:BC503)</f>
        <v>495676695</v>
      </c>
      <c r="BD504" s="138"/>
      <c r="BE504" s="42"/>
      <c r="BF504" s="87">
        <f t="shared" ref="BF504" si="318">SUM(BF499:BF503)</f>
        <v>215579595</v>
      </c>
      <c r="BG504" s="87"/>
      <c r="BH504" s="87">
        <f t="shared" ref="BH504" si="319">SUM(BH499:BH503)</f>
        <v>44754400</v>
      </c>
      <c r="BI504" s="87"/>
    </row>
    <row r="505" spans="2:64" s="1" customFormat="1">
      <c r="B505" s="77"/>
      <c r="C505" s="77" t="s">
        <v>826</v>
      </c>
      <c r="D505" s="1386">
        <f>D481+D494+D497+D504</f>
        <v>2886297350</v>
      </c>
      <c r="E505" s="1386">
        <f>E481+E494+E497+E504</f>
        <v>7218244122</v>
      </c>
      <c r="F505" s="1365">
        <f t="shared" si="278"/>
        <v>10104541472</v>
      </c>
      <c r="G505" s="1365">
        <f t="shared" si="277"/>
        <v>0</v>
      </c>
      <c r="H505" s="1386">
        <f>H481+H494+H497+H504</f>
        <v>10104541472</v>
      </c>
      <c r="I505" s="1953"/>
      <c r="J505" s="1386"/>
      <c r="K505" s="1953"/>
      <c r="L505" s="1386"/>
      <c r="M505" s="1386">
        <f>M481+M494+M497+M504</f>
        <v>10104541472</v>
      </c>
      <c r="N505" s="226"/>
      <c r="O505" s="2001"/>
      <c r="P505" s="1518">
        <f>P481+P494+P497+P504</f>
        <v>2857433432</v>
      </c>
      <c r="Q505" s="1386">
        <f>Q481+Q494+Q497+Q504</f>
        <v>7098553899.5</v>
      </c>
      <c r="R505" s="1518">
        <f>R481+R494+R497+R504</f>
        <v>9955987332</v>
      </c>
      <c r="S505" s="1519"/>
      <c r="T505" s="1518"/>
      <c r="U505" s="1519"/>
      <c r="V505" s="1518"/>
      <c r="W505" s="1518">
        <f>W481+W494+W497+W504</f>
        <v>9955987332</v>
      </c>
      <c r="X505" s="1201"/>
      <c r="Y505" s="438">
        <f>Y481+Y494+Y497+Y504</f>
        <v>2647745936</v>
      </c>
      <c r="Z505" s="729">
        <f>Z481+Z494+Z497+Z504</f>
        <v>6654137321</v>
      </c>
      <c r="AA505" s="729">
        <f>AA481+AA494+AA497+AA504</f>
        <v>9301883257</v>
      </c>
      <c r="AB505" s="608"/>
      <c r="AC505" s="264"/>
      <c r="AD505" s="608"/>
      <c r="AE505" s="264"/>
      <c r="AF505" s="729">
        <f>AF481+AF494+AF497+AF504</f>
        <v>9301883257</v>
      </c>
      <c r="AG505" s="729"/>
      <c r="AH505" s="265"/>
      <c r="AI505" s="438">
        <f>AI481+AI494+AI497+AI504</f>
        <v>9897559952</v>
      </c>
      <c r="AJ505" s="438"/>
      <c r="AK505" s="438"/>
      <c r="AL505" s="670"/>
      <c r="AM505" s="438">
        <f>AM481+AM494+AM497+AM504</f>
        <v>5924491099</v>
      </c>
      <c r="AN505" s="438">
        <f>AN481+AN494+AN497+AN504</f>
        <v>7362839370</v>
      </c>
      <c r="AO505" s="438">
        <f>AO481+AO494+AO497+AO504</f>
        <v>13287330469</v>
      </c>
      <c r="AP505" s="770"/>
      <c r="AQ505" s="438"/>
      <c r="AR505" s="770"/>
      <c r="AS505" s="438"/>
      <c r="AT505" s="438">
        <f>AT481+AT494+AT497+AT504</f>
        <v>13287330469</v>
      </c>
      <c r="AU505" s="79"/>
      <c r="AV505" s="438">
        <f>AV481+AV494+AV497+AV504</f>
        <v>5842776884</v>
      </c>
      <c r="AW505" s="438">
        <f>AW481+AW494+AW497+AW504</f>
        <v>7182028159</v>
      </c>
      <c r="AX505" s="438">
        <f>AX481+AX494+AX497+AX504</f>
        <v>13024805043</v>
      </c>
      <c r="AY505" s="770"/>
      <c r="AZ505" s="438"/>
      <c r="BA505" s="770"/>
      <c r="BB505" s="438"/>
      <c r="BC505" s="438">
        <f>BC481+BC494+BC497+BC504</f>
        <v>13024805043</v>
      </c>
      <c r="BD505" s="138"/>
      <c r="BE505" s="78"/>
      <c r="BF505" s="438">
        <f>BF481+BF494+BF497+BF504</f>
        <v>17861581442</v>
      </c>
      <c r="BG505" s="79"/>
      <c r="BH505" s="438">
        <f>BH481+BH494+BH497+BH504</f>
        <v>26802424615</v>
      </c>
      <c r="BI505" s="79"/>
    </row>
    <row r="506" spans="2:64" s="1" customFormat="1">
      <c r="B506" s="77"/>
      <c r="C506" s="77" t="s">
        <v>827</v>
      </c>
      <c r="D506" s="1386">
        <f>D476+D505</f>
        <v>167425158612.01001</v>
      </c>
      <c r="E506" s="1386">
        <f>E476+E505</f>
        <v>211613892083.21997</v>
      </c>
      <c r="F506" s="1365">
        <f t="shared" si="278"/>
        <v>379039050695.22998</v>
      </c>
      <c r="G506" s="1365">
        <f t="shared" si="277"/>
        <v>-0.1300048828125</v>
      </c>
      <c r="H506" s="1386">
        <f>H476+H505</f>
        <v>379039050695.35999</v>
      </c>
      <c r="I506" s="1953"/>
      <c r="J506" s="1386"/>
      <c r="K506" s="1953"/>
      <c r="L506" s="1386"/>
      <c r="M506" s="1386">
        <f>M476+M505</f>
        <v>258179220659</v>
      </c>
      <c r="N506" s="226"/>
      <c r="O506" s="2001"/>
      <c r="P506" s="1518">
        <f>P476+P505</f>
        <v>147589369163.94</v>
      </c>
      <c r="Q506" s="1386">
        <f>Q476+Q505</f>
        <v>212678345911.5</v>
      </c>
      <c r="R506" s="1518">
        <f>R476+R505</f>
        <v>360267715076</v>
      </c>
      <c r="S506" s="1519"/>
      <c r="T506" s="1518"/>
      <c r="U506" s="1519"/>
      <c r="V506" s="1518"/>
      <c r="W506" s="1518">
        <f>W476+W505</f>
        <v>227750162734</v>
      </c>
      <c r="X506" s="1201"/>
      <c r="Y506" s="438">
        <f>Y476+Y505</f>
        <v>179142803928</v>
      </c>
      <c r="Z506" s="729">
        <f>Z476+Z505</f>
        <v>220596183204</v>
      </c>
      <c r="AA506" s="729">
        <f>AA476+AA505</f>
        <v>399738987132</v>
      </c>
      <c r="AB506" s="608"/>
      <c r="AC506" s="264"/>
      <c r="AD506" s="608"/>
      <c r="AE506" s="264"/>
      <c r="AF506" s="729">
        <f>AF476+AF505</f>
        <v>237494444229</v>
      </c>
      <c r="AG506" s="729"/>
      <c r="AH506" s="265"/>
      <c r="AI506" s="438">
        <f>AI476+AI505</f>
        <v>236031249225</v>
      </c>
      <c r="AJ506" s="438"/>
      <c r="AK506" s="438"/>
      <c r="AL506" s="670"/>
      <c r="AM506" s="438">
        <f>AM476+AM505</f>
        <v>197140482299</v>
      </c>
      <c r="AN506" s="438">
        <f>AN476+AN505</f>
        <v>210945705015</v>
      </c>
      <c r="AO506" s="438">
        <f>AO476+AO505</f>
        <v>408086187314</v>
      </c>
      <c r="AP506" s="770"/>
      <c r="AQ506" s="438"/>
      <c r="AR506" s="770"/>
      <c r="AS506" s="438"/>
      <c r="AT506" s="438">
        <f>AT476+AT505</f>
        <v>222773447401</v>
      </c>
      <c r="AU506" s="79">
        <f>'BS Konsol-Des 24'!K82</f>
        <v>222773447401</v>
      </c>
      <c r="AV506" s="438">
        <f>AV476+AV505</f>
        <v>190234999844</v>
      </c>
      <c r="AW506" s="438">
        <f>AW476+AW505</f>
        <v>202439250253</v>
      </c>
      <c r="AX506" s="438">
        <f>AX476+AX505</f>
        <v>392674250097</v>
      </c>
      <c r="AY506" s="770"/>
      <c r="AZ506" s="438"/>
      <c r="BA506" s="770"/>
      <c r="BB506" s="438"/>
      <c r="BC506" s="438">
        <f>BC476+BC505</f>
        <v>248129854138</v>
      </c>
      <c r="BD506" s="138"/>
      <c r="BE506" s="78"/>
      <c r="BF506" s="438">
        <f>BF476+BF505</f>
        <v>200101526448</v>
      </c>
      <c r="BG506" s="79"/>
      <c r="BH506" s="438">
        <f>BH476+BH505</f>
        <v>161639555878</v>
      </c>
      <c r="BI506" s="79"/>
    </row>
    <row r="507" spans="2:64" s="1" customFormat="1">
      <c r="B507" s="2" t="s">
        <v>828</v>
      </c>
      <c r="C507" s="4"/>
      <c r="D507" s="1365"/>
      <c r="E507" s="1365"/>
      <c r="F507" s="1365">
        <f t="shared" si="278"/>
        <v>0</v>
      </c>
      <c r="G507" s="1365">
        <f t="shared" si="277"/>
        <v>0</v>
      </c>
      <c r="H507" s="1365"/>
      <c r="I507" s="1384"/>
      <c r="J507" s="1365"/>
      <c r="K507" s="1384"/>
      <c r="L507" s="1365"/>
      <c r="M507" s="1365"/>
      <c r="N507" s="2259"/>
      <c r="O507" s="1058"/>
      <c r="P507" s="1482"/>
      <c r="Q507" s="1365"/>
      <c r="R507" s="1482"/>
      <c r="S507" s="1481"/>
      <c r="T507" s="1482"/>
      <c r="U507" s="1481"/>
      <c r="V507" s="1482"/>
      <c r="W507" s="1482"/>
      <c r="X507" s="1187"/>
      <c r="Y507" s="90"/>
      <c r="Z507" s="697"/>
      <c r="AA507" s="697"/>
      <c r="AB507" s="253"/>
      <c r="AC507" s="90"/>
      <c r="AD507" s="253"/>
      <c r="AE507" s="90"/>
      <c r="AF507" s="90"/>
      <c r="AG507" s="90"/>
      <c r="AH507" s="207"/>
      <c r="AI507" s="9"/>
      <c r="AJ507" s="9"/>
      <c r="AK507" s="9"/>
      <c r="AL507" s="667"/>
      <c r="AM507" s="9"/>
      <c r="AN507" s="9"/>
      <c r="AO507" s="9"/>
      <c r="AP507" s="769"/>
      <c r="AQ507" s="9"/>
      <c r="AR507" s="769"/>
      <c r="AS507" s="9"/>
      <c r="AT507" s="9"/>
      <c r="AU507" s="37">
        <f>AT506-AU506</f>
        <v>0</v>
      </c>
      <c r="AV507" s="9"/>
      <c r="AW507" s="9"/>
      <c r="AX507" s="9"/>
      <c r="AY507" s="769"/>
      <c r="AZ507" s="9"/>
      <c r="BA507" s="769"/>
      <c r="BB507" s="9"/>
      <c r="BC507" s="9"/>
      <c r="BD507" s="14"/>
      <c r="BE507" s="128"/>
      <c r="BF507" s="219"/>
      <c r="BG507" s="37"/>
      <c r="BH507" s="219"/>
      <c r="BI507" s="11"/>
    </row>
    <row r="508" spans="2:64" s="1" customFormat="1">
      <c r="B508" s="30"/>
      <c r="C508" s="4" t="s">
        <v>829</v>
      </c>
      <c r="D508" s="1365">
        <v>55000000000</v>
      </c>
      <c r="E508" s="1365">
        <v>1000000000</v>
      </c>
      <c r="F508" s="1365">
        <f t="shared" si="278"/>
        <v>56000000000</v>
      </c>
      <c r="G508" s="1365">
        <f t="shared" si="277"/>
        <v>0</v>
      </c>
      <c r="H508" s="1365">
        <f>ROUND((D508+E508),0)</f>
        <v>56000000000</v>
      </c>
      <c r="I508" s="1384" t="str">
        <f>'ELIM &amp; CAJE Des 24'!A33</f>
        <v>ELIM 8</v>
      </c>
      <c r="J508" s="1365">
        <f>'ELIM &amp; CAJE Des 24'!F33</f>
        <v>1000000000</v>
      </c>
      <c r="K508" s="1384"/>
      <c r="L508" s="1365"/>
      <c r="M508" s="1365">
        <f t="shared" ref="M508:M511" si="320">ROUND((H508-J508+L508),0)</f>
        <v>55000000000</v>
      </c>
      <c r="N508" s="2259"/>
      <c r="O508" s="1058"/>
      <c r="P508" s="1482">
        <v>55000000000</v>
      </c>
      <c r="Q508" s="1365">
        <v>1000000000</v>
      </c>
      <c r="R508" s="1482">
        <f>ROUND((P508+Q508),0)</f>
        <v>56000000000</v>
      </c>
      <c r="S508" s="1481"/>
      <c r="T508" s="1482"/>
      <c r="U508" s="1481"/>
      <c r="V508" s="1482"/>
      <c r="W508" s="1482">
        <f t="shared" ref="W508:W512" si="321">ROUND((R508-T508+V508),0)</f>
        <v>56000000000</v>
      </c>
      <c r="X508" s="1187"/>
      <c r="Y508" s="90">
        <v>55000000000</v>
      </c>
      <c r="Z508" s="697">
        <v>1000000000</v>
      </c>
      <c r="AA508" s="697">
        <f>ROUND((Y508+Z508),0)</f>
        <v>56000000000</v>
      </c>
      <c r="AB508" s="253"/>
      <c r="AC508" s="90"/>
      <c r="AD508" s="253"/>
      <c r="AE508" s="90"/>
      <c r="AF508" s="697">
        <f t="shared" ref="AF508:AF512" si="322">ROUND((AA508-AC508+AE508),0)</f>
        <v>56000000000</v>
      </c>
      <c r="AG508" s="697"/>
      <c r="AH508" s="207"/>
      <c r="AI508" s="140">
        <v>41000000000</v>
      </c>
      <c r="AJ508" s="140"/>
      <c r="AK508" s="140"/>
      <c r="AL508" s="673"/>
      <c r="AM508" s="140">
        <v>40000000000</v>
      </c>
      <c r="AN508" s="140">
        <v>1000000000</v>
      </c>
      <c r="AO508" s="140">
        <f t="shared" ref="AO508:AO512" si="323">ROUND((AM508+AN508),0)</f>
        <v>41000000000</v>
      </c>
      <c r="AP508" s="437"/>
      <c r="AQ508" s="140"/>
      <c r="AR508" s="437"/>
      <c r="AS508" s="140"/>
      <c r="AT508" s="140">
        <f t="shared" ref="AT508:AT512" si="324">ROUND((AO508-AQ508+AS508),0)</f>
        <v>41000000000</v>
      </c>
      <c r="AU508" s="66"/>
      <c r="AV508" s="140">
        <v>40000000000</v>
      </c>
      <c r="AW508" s="140">
        <v>1000000000</v>
      </c>
      <c r="AX508" s="140">
        <f t="shared" ref="AX508:AX512" si="325">ROUND((AV508+AW508),0)</f>
        <v>41000000000</v>
      </c>
      <c r="AY508" s="437"/>
      <c r="AZ508" s="140"/>
      <c r="BA508" s="437"/>
      <c r="BB508" s="140"/>
      <c r="BC508" s="140">
        <f t="shared" ref="BC508:BC512" si="326">ROUND((AX508-AZ508+BB508),0)</f>
        <v>41000000000</v>
      </c>
      <c r="BD508" s="140"/>
      <c r="BE508" s="40"/>
      <c r="BF508" s="235">
        <v>41000000000</v>
      </c>
      <c r="BG508" s="66"/>
      <c r="BH508" s="235">
        <v>41000000000</v>
      </c>
      <c r="BI508" s="66"/>
    </row>
    <row r="509" spans="2:64" s="1" customFormat="1">
      <c r="B509" s="30"/>
      <c r="C509" s="4" t="s">
        <v>830</v>
      </c>
      <c r="D509" s="1365">
        <v>14500000000</v>
      </c>
      <c r="E509" s="1365"/>
      <c r="F509" s="1365">
        <f t="shared" si="278"/>
        <v>14500000000</v>
      </c>
      <c r="G509" s="1365">
        <f t="shared" si="277"/>
        <v>0</v>
      </c>
      <c r="H509" s="1365">
        <f t="shared" ref="H509:H511" si="327">ROUND((D509+E509),0)</f>
        <v>14500000000</v>
      </c>
      <c r="I509" s="1384"/>
      <c r="J509" s="1365"/>
      <c r="K509" s="1384"/>
      <c r="L509" s="1365"/>
      <c r="M509" s="1365">
        <f t="shared" si="320"/>
        <v>14500000000</v>
      </c>
      <c r="N509" s="2259"/>
      <c r="O509" s="1058">
        <f>M509+M510</f>
        <v>72500000000</v>
      </c>
      <c r="P509" s="1482">
        <v>14500000000</v>
      </c>
      <c r="Q509" s="1365"/>
      <c r="R509" s="1482">
        <f t="shared" ref="R509:R510" si="328">ROUND((P509+Q509),0)</f>
        <v>14500000000</v>
      </c>
      <c r="S509" s="1481"/>
      <c r="T509" s="1482"/>
      <c r="U509" s="1481"/>
      <c r="V509" s="1482"/>
      <c r="W509" s="1482">
        <f t="shared" ref="W509:W510" si="329">ROUND((R509-T509+V509),0)</f>
        <v>14500000000</v>
      </c>
      <c r="X509" s="1058">
        <f>W509+W510</f>
        <v>72500000000</v>
      </c>
      <c r="Y509" s="90"/>
      <c r="Z509" s="697"/>
      <c r="AA509" s="697"/>
      <c r="AB509" s="253"/>
      <c r="AC509" s="90"/>
      <c r="AD509" s="253"/>
      <c r="AE509" s="90"/>
      <c r="AF509" s="697"/>
      <c r="AG509" s="697"/>
      <c r="AH509" s="207"/>
      <c r="AI509" s="140"/>
      <c r="AJ509" s="140"/>
      <c r="AK509" s="140"/>
      <c r="AL509" s="673"/>
      <c r="AM509" s="140"/>
      <c r="AN509" s="140"/>
      <c r="AO509" s="140"/>
      <c r="AP509" s="437"/>
      <c r="AQ509" s="140"/>
      <c r="AR509" s="437"/>
      <c r="AS509" s="140"/>
      <c r="AT509" s="140"/>
      <c r="AU509" s="66"/>
      <c r="AV509" s="140"/>
      <c r="AW509" s="140"/>
      <c r="AX509" s="140"/>
      <c r="AY509" s="437"/>
      <c r="AZ509" s="140"/>
      <c r="BA509" s="437"/>
      <c r="BB509" s="140"/>
      <c r="BC509" s="140"/>
      <c r="BD509" s="140"/>
      <c r="BE509" s="40"/>
      <c r="BF509" s="235"/>
      <c r="BG509" s="66"/>
      <c r="BH509" s="235"/>
      <c r="BI509" s="66"/>
    </row>
    <row r="510" spans="2:64" s="1" customFormat="1">
      <c r="B510" s="30"/>
      <c r="C510" s="4" t="s">
        <v>831</v>
      </c>
      <c r="D510" s="1365">
        <v>58000000000</v>
      </c>
      <c r="E510" s="1365"/>
      <c r="F510" s="1365">
        <f t="shared" si="278"/>
        <v>58000000000</v>
      </c>
      <c r="G510" s="1365">
        <f t="shared" si="277"/>
        <v>0</v>
      </c>
      <c r="H510" s="1365">
        <f t="shared" si="327"/>
        <v>58000000000</v>
      </c>
      <c r="I510" s="1384"/>
      <c r="J510" s="1365"/>
      <c r="K510" s="1384"/>
      <c r="L510" s="1365"/>
      <c r="M510" s="1365">
        <f t="shared" si="320"/>
        <v>58000000000</v>
      </c>
      <c r="N510" s="2259"/>
      <c r="O510" s="1058">
        <v>5.8999999999999997E-2</v>
      </c>
      <c r="P510" s="1482">
        <v>58000000000</v>
      </c>
      <c r="Q510" s="1365"/>
      <c r="R510" s="1482">
        <f t="shared" si="328"/>
        <v>58000000000</v>
      </c>
      <c r="S510" s="1481"/>
      <c r="T510" s="1482"/>
      <c r="U510" s="1481"/>
      <c r="V510" s="1482"/>
      <c r="W510" s="1482">
        <f t="shared" si="329"/>
        <v>58000000000</v>
      </c>
      <c r="X510" s="1470">
        <v>5.8999999999999997E-2</v>
      </c>
      <c r="Y510" s="90"/>
      <c r="Z510" s="697"/>
      <c r="AA510" s="697"/>
      <c r="AB510" s="253"/>
      <c r="AC510" s="90"/>
      <c r="AD510" s="253"/>
      <c r="AE510" s="90"/>
      <c r="AF510" s="697"/>
      <c r="AG510" s="697"/>
      <c r="AH510" s="207"/>
      <c r="AI510" s="140"/>
      <c r="AJ510" s="140"/>
      <c r="AK510" s="140"/>
      <c r="AL510" s="673"/>
      <c r="AM510" s="140"/>
      <c r="AN510" s="140"/>
      <c r="AO510" s="140"/>
      <c r="AP510" s="437"/>
      <c r="AQ510" s="140"/>
      <c r="AR510" s="437"/>
      <c r="AS510" s="140"/>
      <c r="AT510" s="140"/>
      <c r="AU510" s="66"/>
      <c r="AV510" s="140"/>
      <c r="AW510" s="140"/>
      <c r="AX510" s="140"/>
      <c r="AY510" s="437"/>
      <c r="AZ510" s="140"/>
      <c r="BA510" s="437"/>
      <c r="BB510" s="140"/>
      <c r="BC510" s="140"/>
      <c r="BD510" s="140"/>
      <c r="BE510" s="40"/>
      <c r="BF510" s="235"/>
      <c r="BG510" s="66"/>
      <c r="BH510" s="235"/>
      <c r="BI510" s="66"/>
    </row>
    <row r="511" spans="2:64" s="1" customFormat="1">
      <c r="B511" s="30"/>
      <c r="C511" s="4" t="s">
        <v>832</v>
      </c>
      <c r="D511" s="1365">
        <v>-3115944915</v>
      </c>
      <c r="E511" s="1365"/>
      <c r="F511" s="1365">
        <f t="shared" si="278"/>
        <v>-3115944915</v>
      </c>
      <c r="G511" s="1365">
        <f t="shared" si="277"/>
        <v>0</v>
      </c>
      <c r="H511" s="1365">
        <f t="shared" si="327"/>
        <v>-3115944915</v>
      </c>
      <c r="I511" s="1384"/>
      <c r="J511" s="1365"/>
      <c r="K511" s="1384"/>
      <c r="L511" s="1365"/>
      <c r="M511" s="1365">
        <f t="shared" si="320"/>
        <v>-3115944915</v>
      </c>
      <c r="N511" s="2259"/>
      <c r="O511" s="1217">
        <f>O509*O510</f>
        <v>4277500000</v>
      </c>
      <c r="P511" s="1482">
        <v>-3115944915</v>
      </c>
      <c r="Q511" s="1365"/>
      <c r="R511" s="1482">
        <f t="shared" ref="R511" si="330">ROUND((P511+Q511),0)</f>
        <v>-3115944915</v>
      </c>
      <c r="S511" s="1481"/>
      <c r="T511" s="1482"/>
      <c r="U511" s="1481"/>
      <c r="V511" s="1482"/>
      <c r="W511" s="1482">
        <f t="shared" ref="W511" si="331">ROUND((R511-T511+V511),0)</f>
        <v>-3115944915</v>
      </c>
      <c r="X511" s="1471">
        <f>X509*X510</f>
        <v>4277500000</v>
      </c>
      <c r="Y511" s="90"/>
      <c r="Z511" s="697"/>
      <c r="AA511" s="697"/>
      <c r="AB511" s="253"/>
      <c r="AC511" s="90"/>
      <c r="AD511" s="253"/>
      <c r="AE511" s="90"/>
      <c r="AF511" s="697"/>
      <c r="AG511" s="697"/>
      <c r="AH511" s="207"/>
      <c r="AI511" s="140"/>
      <c r="AJ511" s="140"/>
      <c r="AK511" s="140"/>
      <c r="AL511" s="673"/>
      <c r="AM511" s="140"/>
      <c r="AN511" s="140"/>
      <c r="AO511" s="140"/>
      <c r="AP511" s="437"/>
      <c r="AQ511" s="140"/>
      <c r="AR511" s="437"/>
      <c r="AS511" s="140"/>
      <c r="AT511" s="140"/>
      <c r="AU511" s="66"/>
      <c r="AV511" s="140"/>
      <c r="AW511" s="140"/>
      <c r="AX511" s="140"/>
      <c r="AY511" s="437"/>
      <c r="AZ511" s="140"/>
      <c r="BA511" s="437"/>
      <c r="BB511" s="140"/>
      <c r="BC511" s="140"/>
      <c r="BD511" s="140"/>
      <c r="BE511" s="40"/>
      <c r="BF511" s="235"/>
      <c r="BG511" s="66"/>
      <c r="BH511" s="235"/>
      <c r="BI511" s="66"/>
    </row>
    <row r="512" spans="2:64" s="1" customFormat="1">
      <c r="B512" s="30"/>
      <c r="C512" s="4" t="s">
        <v>833</v>
      </c>
      <c r="D512" s="1365">
        <v>25871690669</v>
      </c>
      <c r="E512" s="1365">
        <v>17999087818</v>
      </c>
      <c r="F512" s="1365">
        <f t="shared" si="278"/>
        <v>43870778487</v>
      </c>
      <c r="G512" s="1365">
        <f t="shared" si="277"/>
        <v>0</v>
      </c>
      <c r="H512" s="1365">
        <f>ROUND((D512+E512),0)</f>
        <v>43870778487</v>
      </c>
      <c r="I512" s="1384"/>
      <c r="J512" s="1365"/>
      <c r="K512" s="1384" t="str">
        <f>'ELIM &amp; CAJE Des 24'!A31</f>
        <v>ELIM 7</v>
      </c>
      <c r="L512" s="1365">
        <f>'ELIM &amp; CAJE Des 24'!G31</f>
        <v>4868638298.3429403</v>
      </c>
      <c r="M512" s="1365">
        <f>ROUND((H512-J512+L512)+(H513-J513+L513),0)</f>
        <v>49739416785</v>
      </c>
      <c r="N512" s="2259"/>
      <c r="O512" s="1217"/>
      <c r="P512" s="1482">
        <v>25871690669</v>
      </c>
      <c r="Q512" s="1365">
        <v>17999087818</v>
      </c>
      <c r="R512" s="1482">
        <f>ROUND((P512+Q512),0)</f>
        <v>43870778487</v>
      </c>
      <c r="S512" s="1481"/>
      <c r="T512" s="1482"/>
      <c r="U512" s="1481" t="str">
        <f>'ELIM &amp; CAJE Sept 24'!B31</f>
        <v>ELIM 7</v>
      </c>
      <c r="V512" s="1482">
        <f>'ELIM &amp; CAJE Sept 24'!J31</f>
        <v>5868638298</v>
      </c>
      <c r="W512" s="1482">
        <f t="shared" si="321"/>
        <v>49739416785</v>
      </c>
      <c r="X512" s="1471"/>
      <c r="Y512" s="90">
        <v>25871690669</v>
      </c>
      <c r="Z512" s="697">
        <v>17999087818</v>
      </c>
      <c r="AA512" s="697">
        <f>ROUND((Y512+Z512),0)</f>
        <v>43870778487</v>
      </c>
      <c r="AB512" s="253"/>
      <c r="AC512" s="90"/>
      <c r="AD512" s="253" t="str">
        <f>'ELIM &amp; CAJE Juni 24'!B31</f>
        <v>ELIM 7</v>
      </c>
      <c r="AE512" s="90">
        <f>'ELIM &amp; CAJE Juni 24'!J31</f>
        <v>5868638298</v>
      </c>
      <c r="AF512" s="697">
        <f t="shared" si="322"/>
        <v>49739416785</v>
      </c>
      <c r="AG512" s="697"/>
      <c r="AH512" s="207"/>
      <c r="AI512" s="140">
        <v>49739416785</v>
      </c>
      <c r="AJ512" s="140"/>
      <c r="AK512" s="140"/>
      <c r="AL512" s="673"/>
      <c r="AM512" s="140">
        <v>25871690669</v>
      </c>
      <c r="AN512" s="140">
        <v>17999087818</v>
      </c>
      <c r="AO512" s="140">
        <f t="shared" si="323"/>
        <v>43870778487</v>
      </c>
      <c r="AP512" s="437"/>
      <c r="AQ512" s="140"/>
      <c r="AR512" s="437" t="str">
        <f>'ELIM &amp; CAJE Sept 23'!A27</f>
        <v>ELIM 7</v>
      </c>
      <c r="AS512" s="140">
        <f>'ELIM &amp; CAJE Sept 23'!I27</f>
        <v>5868638298</v>
      </c>
      <c r="AT512" s="140">
        <f t="shared" si="324"/>
        <v>49739416785</v>
      </c>
      <c r="AU512" s="66"/>
      <c r="AV512" s="140">
        <v>25871690669</v>
      </c>
      <c r="AW512" s="140">
        <v>17999087818</v>
      </c>
      <c r="AX512" s="140">
        <f t="shared" si="325"/>
        <v>43870778487</v>
      </c>
      <c r="AY512" s="437"/>
      <c r="AZ512" s="140"/>
      <c r="BA512" s="437" t="str">
        <f>'ELIM Juni 23'!A27</f>
        <v>ELIM 7</v>
      </c>
      <c r="BB512" s="140">
        <f>'ELIM Juni 23'!I27</f>
        <v>5868638298</v>
      </c>
      <c r="BC512" s="140">
        <f t="shared" si="326"/>
        <v>49739416785</v>
      </c>
      <c r="BD512" s="140"/>
      <c r="BE512" s="40"/>
      <c r="BF512" s="235">
        <v>25871690669</v>
      </c>
      <c r="BG512" s="66"/>
      <c r="BH512" s="235">
        <v>25871690669</v>
      </c>
      <c r="BI512" s="66"/>
      <c r="BK512" s="2121"/>
      <c r="BL512" s="2121"/>
    </row>
    <row r="513" spans="2:61" s="1" customFormat="1">
      <c r="B513" s="30"/>
      <c r="C513" s="4"/>
      <c r="D513" s="1365"/>
      <c r="E513" s="1365"/>
      <c r="F513" s="1365">
        <f t="shared" si="278"/>
        <v>0</v>
      </c>
      <c r="G513" s="1365">
        <f t="shared" si="277"/>
        <v>0</v>
      </c>
      <c r="H513" s="1365"/>
      <c r="I513" s="1384"/>
      <c r="J513" s="1365"/>
      <c r="K513" s="1384" t="str">
        <f>'ELIM &amp; CAJE Des 24'!A34</f>
        <v>ELIM 8</v>
      </c>
      <c r="L513" s="1365">
        <f>'ELIM &amp; CAJE Des 24'!G34</f>
        <v>1000000000</v>
      </c>
      <c r="M513" s="1365"/>
      <c r="N513" s="2259"/>
      <c r="O513" s="1217"/>
      <c r="P513" s="1482"/>
      <c r="Q513" s="1365"/>
      <c r="R513" s="1482"/>
      <c r="S513" s="1481"/>
      <c r="T513" s="1482"/>
      <c r="U513" s="1481"/>
      <c r="V513" s="1482"/>
      <c r="W513" s="1482"/>
      <c r="X513" s="1471"/>
      <c r="Y513" s="90"/>
      <c r="Z513" s="697"/>
      <c r="AA513" s="697"/>
      <c r="AB513" s="253"/>
      <c r="AC513" s="90"/>
      <c r="AD513" s="253"/>
      <c r="AE513" s="90"/>
      <c r="AF513" s="697"/>
      <c r="AG513" s="697"/>
      <c r="AH513" s="207"/>
      <c r="AI513" s="140"/>
      <c r="AJ513" s="140"/>
      <c r="AK513" s="140"/>
      <c r="AL513" s="673"/>
      <c r="AM513" s="140"/>
      <c r="AN513" s="140"/>
      <c r="AO513" s="140"/>
      <c r="AP513" s="437"/>
      <c r="AQ513" s="140"/>
      <c r="AR513" s="437"/>
      <c r="AS513" s="140"/>
      <c r="AT513" s="140"/>
      <c r="AU513" s="66"/>
      <c r="AV513" s="140"/>
      <c r="AW513" s="140"/>
      <c r="AX513" s="140"/>
      <c r="AY513" s="437"/>
      <c r="AZ513" s="140"/>
      <c r="BA513" s="437"/>
      <c r="BB513" s="140"/>
      <c r="BC513" s="140"/>
      <c r="BD513" s="140"/>
      <c r="BE513" s="40"/>
      <c r="BF513" s="235"/>
      <c r="BG513" s="66"/>
      <c r="BH513" s="235"/>
      <c r="BI513" s="46"/>
    </row>
    <row r="514" spans="2:61" s="1" customFormat="1">
      <c r="B514" s="30"/>
      <c r="C514" s="4"/>
      <c r="D514" s="1365"/>
      <c r="E514" s="1365"/>
      <c r="F514" s="1365">
        <f t="shared" si="278"/>
        <v>0</v>
      </c>
      <c r="G514" s="1365">
        <f t="shared" si="277"/>
        <v>0</v>
      </c>
      <c r="H514" s="1365"/>
      <c r="I514" s="1384"/>
      <c r="J514" s="1365"/>
      <c r="K514" s="1384"/>
      <c r="L514" s="1365"/>
      <c r="M514" s="1365"/>
      <c r="N514" s="2259"/>
      <c r="O514" s="1058"/>
      <c r="P514" s="1482"/>
      <c r="Q514" s="1365"/>
      <c r="R514" s="1482"/>
      <c r="S514" s="1481"/>
      <c r="T514" s="1482"/>
      <c r="U514" s="1481"/>
      <c r="V514" s="1482"/>
      <c r="W514" s="1482"/>
      <c r="X514" s="1187"/>
      <c r="Y514" s="90"/>
      <c r="Z514" s="697">
        <v>0</v>
      </c>
      <c r="AA514" s="697"/>
      <c r="AB514" s="253"/>
      <c r="AC514" s="90"/>
      <c r="AD514" s="253"/>
      <c r="AE514" s="90"/>
      <c r="AF514" s="697"/>
      <c r="AG514" s="697"/>
      <c r="AH514" s="207"/>
      <c r="AI514" s="140"/>
      <c r="AJ514" s="140"/>
      <c r="AK514" s="140"/>
      <c r="AL514" s="673"/>
      <c r="AM514" s="140"/>
      <c r="AN514" s="140"/>
      <c r="AO514" s="140"/>
      <c r="AP514" s="437"/>
      <c r="AQ514" s="140"/>
      <c r="AR514" s="437"/>
      <c r="AS514" s="140"/>
      <c r="AT514" s="140"/>
      <c r="AU514" s="66"/>
      <c r="AV514" s="140"/>
      <c r="AW514" s="140"/>
      <c r="AX514" s="140"/>
      <c r="AY514" s="437"/>
      <c r="AZ514" s="140"/>
      <c r="BA514" s="437"/>
      <c r="BB514" s="140"/>
      <c r="BC514" s="140"/>
      <c r="BD514" s="140"/>
      <c r="BE514" s="40"/>
      <c r="BF514" s="235"/>
      <c r="BG514" s="66"/>
      <c r="BH514" s="235"/>
      <c r="BI514" s="46"/>
    </row>
    <row r="515" spans="2:61" s="1" customFormat="1">
      <c r="B515" s="30" t="s">
        <v>407</v>
      </c>
      <c r="C515" s="44" t="s">
        <v>36</v>
      </c>
      <c r="D515" s="1374"/>
      <c r="E515" s="1374">
        <v>1050000000</v>
      </c>
      <c r="F515" s="1365">
        <f t="shared" si="278"/>
        <v>1050000000</v>
      </c>
      <c r="G515" s="1365">
        <f t="shared" si="277"/>
        <v>0</v>
      </c>
      <c r="H515" s="1374">
        <f>ROUND((D515+E515),0)</f>
        <v>1050000000</v>
      </c>
      <c r="I515" s="1943" t="str">
        <f>'ELIM &amp; CAJE Des 24'!A17</f>
        <v>ELIM 4</v>
      </c>
      <c r="J515" s="1374">
        <f>'ELIM &amp; CAJE Des 24'!F17</f>
        <v>1050000000</v>
      </c>
      <c r="K515" s="1943"/>
      <c r="L515" s="1374"/>
      <c r="M515" s="1374">
        <f t="shared" ref="M515:M519" si="332">ROUND((H515-J515+L515),0)</f>
        <v>0</v>
      </c>
      <c r="N515" s="2259"/>
      <c r="O515" s="1058"/>
      <c r="P515" s="1497"/>
      <c r="Q515" s="1374">
        <v>1050000000</v>
      </c>
      <c r="R515" s="1497">
        <f>ROUND((P515+Q515),0)</f>
        <v>1050000000</v>
      </c>
      <c r="S515" s="1487" t="str">
        <f>'ELIM &amp; CAJE Sept 24'!B17</f>
        <v>ELIM 4</v>
      </c>
      <c r="T515" s="1497">
        <f>'ELIM &amp; CAJE Sept 24'!G17</f>
        <v>1050000000</v>
      </c>
      <c r="U515" s="1487"/>
      <c r="V515" s="1497"/>
      <c r="W515" s="1497">
        <f t="shared" ref="W515:W519" si="333">ROUND((R515-T515+V515),0)</f>
        <v>0</v>
      </c>
      <c r="X515" s="1187"/>
      <c r="Y515" s="236"/>
      <c r="Z515" s="713">
        <v>1050000000</v>
      </c>
      <c r="AA515" s="713">
        <f>ROUND((Y515+Z515),0)</f>
        <v>1050000000</v>
      </c>
      <c r="AB515" s="617" t="str">
        <f>'ELIM &amp; CAJE Juni 24'!B17</f>
        <v>ELIM 4</v>
      </c>
      <c r="AC515" s="236">
        <f>'ELIM &amp; CAJE Juni 24'!G17</f>
        <v>1050000000</v>
      </c>
      <c r="AD515" s="617"/>
      <c r="AE515" s="236"/>
      <c r="AF515" s="713">
        <f t="shared" ref="AF515:AF519" si="334">ROUND((AA515-AC515+AE515),0)</f>
        <v>0</v>
      </c>
      <c r="AG515" s="713"/>
      <c r="AH515" s="207"/>
      <c r="AI515" s="140">
        <v>0</v>
      </c>
      <c r="AJ515" s="140"/>
      <c r="AK515" s="140"/>
      <c r="AL515" s="673"/>
      <c r="AM515" s="140"/>
      <c r="AN515" s="140"/>
      <c r="AO515" s="140">
        <f t="shared" ref="AO515:AO519" si="335">ROUND((AM515+AN515),0)</f>
        <v>0</v>
      </c>
      <c r="AP515" s="437"/>
      <c r="AQ515" s="140"/>
      <c r="AR515" s="437"/>
      <c r="AS515" s="140"/>
      <c r="AT515" s="140">
        <f t="shared" ref="AT515:AT519" si="336">ROUND((AO515-AQ515+AS515),0)</f>
        <v>0</v>
      </c>
      <c r="AU515" s="66"/>
      <c r="AV515" s="140"/>
      <c r="AW515" s="140"/>
      <c r="AX515" s="140">
        <f t="shared" ref="AX515:AX519" si="337">ROUND((AV515+AW515),0)</f>
        <v>0</v>
      </c>
      <c r="AY515" s="437"/>
      <c r="AZ515" s="140"/>
      <c r="BA515" s="437"/>
      <c r="BB515" s="140"/>
      <c r="BC515" s="140">
        <f t="shared" ref="BC515:BC519" si="338">ROUND((AX515-AZ515+BB515),0)</f>
        <v>0</v>
      </c>
      <c r="BD515" s="140"/>
      <c r="BE515" s="40"/>
      <c r="BF515" s="235">
        <v>0</v>
      </c>
      <c r="BG515" s="66"/>
      <c r="BH515" s="235">
        <v>0</v>
      </c>
      <c r="BI515" s="46"/>
    </row>
    <row r="516" spans="2:61" s="1" customFormat="1">
      <c r="B516" s="30"/>
      <c r="C516" s="88" t="s">
        <v>834</v>
      </c>
      <c r="D516" s="1394"/>
      <c r="E516" s="1394"/>
      <c r="F516" s="1365">
        <f t="shared" si="278"/>
        <v>0</v>
      </c>
      <c r="G516" s="1365">
        <f t="shared" si="277"/>
        <v>0</v>
      </c>
      <c r="H516" s="1394">
        <f>ROUND((D516+E516),0)</f>
        <v>0</v>
      </c>
      <c r="I516" s="1958"/>
      <c r="J516" s="1394"/>
      <c r="K516" s="1958"/>
      <c r="L516" s="1394"/>
      <c r="M516" s="1394">
        <f t="shared" si="332"/>
        <v>0</v>
      </c>
      <c r="N516" s="2259"/>
      <c r="O516" s="1058"/>
      <c r="P516" s="1530"/>
      <c r="Q516" s="1394"/>
      <c r="R516" s="1530">
        <f>ROUND((P516+Q516),0)</f>
        <v>0</v>
      </c>
      <c r="S516" s="1531"/>
      <c r="T516" s="1530"/>
      <c r="U516" s="1531"/>
      <c r="V516" s="1530"/>
      <c r="W516" s="1530">
        <f t="shared" si="333"/>
        <v>0</v>
      </c>
      <c r="X516" s="1187"/>
      <c r="Y516" s="276"/>
      <c r="Z516" s="737"/>
      <c r="AA516" s="737">
        <f>ROUND((Y516+Z516),0)</f>
        <v>0</v>
      </c>
      <c r="AB516" s="623"/>
      <c r="AC516" s="276"/>
      <c r="AD516" s="623"/>
      <c r="AE516" s="276"/>
      <c r="AF516" s="737">
        <f t="shared" si="334"/>
        <v>0</v>
      </c>
      <c r="AG516" s="737"/>
      <c r="AH516" s="207"/>
      <c r="AI516" s="140">
        <v>0</v>
      </c>
      <c r="AJ516" s="140"/>
      <c r="AK516" s="140"/>
      <c r="AL516" s="673"/>
      <c r="AM516" s="140"/>
      <c r="AN516" s="140"/>
      <c r="AO516" s="140">
        <f t="shared" si="335"/>
        <v>0</v>
      </c>
      <c r="AP516" s="437"/>
      <c r="AQ516" s="140"/>
      <c r="AR516" s="437"/>
      <c r="AS516" s="140"/>
      <c r="AT516" s="140">
        <f t="shared" si="336"/>
        <v>0</v>
      </c>
      <c r="AU516" s="66"/>
      <c r="AV516" s="140"/>
      <c r="AW516" s="140"/>
      <c r="AX516" s="140">
        <f t="shared" si="337"/>
        <v>0</v>
      </c>
      <c r="AY516" s="437"/>
      <c r="AZ516" s="140"/>
      <c r="BA516" s="437"/>
      <c r="BB516" s="140"/>
      <c r="BC516" s="140">
        <f t="shared" si="338"/>
        <v>0</v>
      </c>
      <c r="BD516" s="140"/>
      <c r="BE516" s="40"/>
      <c r="BF516" s="235">
        <v>0</v>
      </c>
      <c r="BG516" s="66"/>
      <c r="BH516" s="235">
        <v>0</v>
      </c>
      <c r="BI516" s="46"/>
    </row>
    <row r="517" spans="2:61" s="1" customFormat="1">
      <c r="B517" s="30"/>
      <c r="C517" s="88" t="s">
        <v>835</v>
      </c>
      <c r="D517" s="1394"/>
      <c r="E517" s="1394"/>
      <c r="F517" s="1365">
        <f t="shared" si="278"/>
        <v>0</v>
      </c>
      <c r="G517" s="1365">
        <f t="shared" si="277"/>
        <v>0</v>
      </c>
      <c r="H517" s="1394">
        <f>ROUND((D517+E517),0)</f>
        <v>0</v>
      </c>
      <c r="I517" s="1958"/>
      <c r="J517" s="1394"/>
      <c r="K517" s="1958"/>
      <c r="L517" s="1394"/>
      <c r="M517" s="1394">
        <f t="shared" si="332"/>
        <v>0</v>
      </c>
      <c r="N517" s="2259"/>
      <c r="O517" s="1058"/>
      <c r="P517" s="1530"/>
      <c r="Q517" s="1394"/>
      <c r="R517" s="1530">
        <f>ROUND((P517+Q517),0)</f>
        <v>0</v>
      </c>
      <c r="S517" s="1531"/>
      <c r="T517" s="1530"/>
      <c r="U517" s="1531"/>
      <c r="V517" s="1530"/>
      <c r="W517" s="1530">
        <f t="shared" si="333"/>
        <v>0</v>
      </c>
      <c r="X517" s="1187"/>
      <c r="Y517" s="276"/>
      <c r="Z517" s="737"/>
      <c r="AA517" s="737">
        <f>ROUND((Y517+Z517),0)</f>
        <v>0</v>
      </c>
      <c r="AB517" s="623"/>
      <c r="AC517" s="276"/>
      <c r="AD517" s="623"/>
      <c r="AE517" s="276"/>
      <c r="AF517" s="737">
        <f t="shared" si="334"/>
        <v>0</v>
      </c>
      <c r="AG517" s="737"/>
      <c r="AH517" s="207"/>
      <c r="AI517" s="140">
        <v>0</v>
      </c>
      <c r="AJ517" s="140"/>
      <c r="AK517" s="140"/>
      <c r="AL517" s="673"/>
      <c r="AM517" s="140"/>
      <c r="AN517" s="140"/>
      <c r="AO517" s="140">
        <f t="shared" si="335"/>
        <v>0</v>
      </c>
      <c r="AP517" s="437"/>
      <c r="AQ517" s="140"/>
      <c r="AR517" s="437"/>
      <c r="AS517" s="140"/>
      <c r="AT517" s="140">
        <f t="shared" si="336"/>
        <v>0</v>
      </c>
      <c r="AU517" s="66"/>
      <c r="AV517" s="140"/>
      <c r="AW517" s="140"/>
      <c r="AX517" s="140">
        <f t="shared" si="337"/>
        <v>0</v>
      </c>
      <c r="AY517" s="437"/>
      <c r="AZ517" s="140"/>
      <c r="BA517" s="437"/>
      <c r="BB517" s="140"/>
      <c r="BC517" s="140">
        <f t="shared" si="338"/>
        <v>0</v>
      </c>
      <c r="BD517" s="140"/>
      <c r="BE517" s="40"/>
      <c r="BF517" s="235">
        <v>0</v>
      </c>
      <c r="BG517" s="66">
        <v>2363085257</v>
      </c>
      <c r="BH517" s="235">
        <v>0</v>
      </c>
      <c r="BI517" s="46"/>
    </row>
    <row r="518" spans="2:61" s="1" customFormat="1">
      <c r="B518" s="30"/>
      <c r="C518" s="88"/>
      <c r="D518" s="1394"/>
      <c r="E518" s="1394"/>
      <c r="F518" s="1365">
        <f t="shared" si="278"/>
        <v>0</v>
      </c>
      <c r="G518" s="1365">
        <f t="shared" si="277"/>
        <v>0</v>
      </c>
      <c r="H518" s="1394">
        <f>ROUND((D518+E518),0)</f>
        <v>0</v>
      </c>
      <c r="I518" s="1958"/>
      <c r="J518" s="1394"/>
      <c r="K518" s="1958"/>
      <c r="L518" s="1394"/>
      <c r="M518" s="1394">
        <f t="shared" si="332"/>
        <v>0</v>
      </c>
      <c r="N518" s="2259"/>
      <c r="O518" s="1058"/>
      <c r="P518" s="1530"/>
      <c r="Q518" s="1394"/>
      <c r="R518" s="1530">
        <f>ROUND((P518+Q518),0)</f>
        <v>0</v>
      </c>
      <c r="S518" s="1531"/>
      <c r="T518" s="1530"/>
      <c r="U518" s="1531"/>
      <c r="V518" s="1530"/>
      <c r="W518" s="1530">
        <f t="shared" si="333"/>
        <v>0</v>
      </c>
      <c r="X518" s="1187"/>
      <c r="Y518" s="276"/>
      <c r="Z518" s="737"/>
      <c r="AA518" s="737">
        <f>ROUND((Y518+Z518),0)</f>
        <v>0</v>
      </c>
      <c r="AB518" s="623"/>
      <c r="AC518" s="276"/>
      <c r="AD518" s="623"/>
      <c r="AE518" s="276"/>
      <c r="AF518" s="737">
        <f t="shared" si="334"/>
        <v>0</v>
      </c>
      <c r="AG518" s="737"/>
      <c r="AH518" s="207"/>
      <c r="AI518" s="47"/>
      <c r="AJ518" s="47"/>
      <c r="AK518" s="47"/>
      <c r="AL518" s="674"/>
      <c r="AM518" s="47"/>
      <c r="AN518" s="47"/>
      <c r="AO518" s="47">
        <f t="shared" si="335"/>
        <v>0</v>
      </c>
      <c r="AP518" s="785"/>
      <c r="AQ518" s="47"/>
      <c r="AR518" s="785"/>
      <c r="AS518" s="47"/>
      <c r="AT518" s="47">
        <f t="shared" si="336"/>
        <v>0</v>
      </c>
      <c r="AU518" s="46"/>
      <c r="AV518" s="47"/>
      <c r="AW518" s="47"/>
      <c r="AX518" s="47">
        <f t="shared" si="337"/>
        <v>0</v>
      </c>
      <c r="AY518" s="785"/>
      <c r="AZ518" s="47"/>
      <c r="BA518" s="785"/>
      <c r="BB518" s="47"/>
      <c r="BC518" s="47">
        <f t="shared" si="338"/>
        <v>0</v>
      </c>
      <c r="BD518" s="47"/>
      <c r="BE518" s="40"/>
      <c r="BF518" s="235">
        <v>0</v>
      </c>
      <c r="BG518" s="66"/>
      <c r="BH518" s="235"/>
      <c r="BI518" s="46"/>
    </row>
    <row r="519" spans="2:61" s="1" customFormat="1">
      <c r="B519" s="30"/>
      <c r="C519" s="89" t="s">
        <v>836</v>
      </c>
      <c r="D519" s="1395"/>
      <c r="E519" s="1395"/>
      <c r="F519" s="1365">
        <f t="shared" si="278"/>
        <v>0</v>
      </c>
      <c r="G519" s="1365">
        <f t="shared" si="277"/>
        <v>0</v>
      </c>
      <c r="H519" s="1395">
        <f>ROUND((D519+E519),0)</f>
        <v>0</v>
      </c>
      <c r="I519" s="1391"/>
      <c r="J519" s="1395"/>
      <c r="K519" s="1391"/>
      <c r="L519" s="1395"/>
      <c r="M519" s="1395">
        <f t="shared" si="332"/>
        <v>0</v>
      </c>
      <c r="N519" s="226"/>
      <c r="O519" s="1217"/>
      <c r="P519" s="1532"/>
      <c r="Q519" s="1395"/>
      <c r="R519" s="1532">
        <f>ROUND((P519+Q519),0)</f>
        <v>0</v>
      </c>
      <c r="S519" s="1496"/>
      <c r="T519" s="1532"/>
      <c r="U519" s="1496"/>
      <c r="V519" s="1532"/>
      <c r="W519" s="1532">
        <f t="shared" si="333"/>
        <v>0</v>
      </c>
      <c r="X519" s="1186"/>
      <c r="Y519" s="277"/>
      <c r="Z519" s="738"/>
      <c r="AA519" s="738">
        <f>ROUND((Y519+Z519),0)</f>
        <v>0</v>
      </c>
      <c r="AB519" s="274"/>
      <c r="AC519" s="277"/>
      <c r="AD519" s="274"/>
      <c r="AE519" s="277"/>
      <c r="AF519" s="738">
        <f t="shared" si="334"/>
        <v>0</v>
      </c>
      <c r="AG519" s="738"/>
      <c r="AH519" s="209"/>
      <c r="AI519" s="140">
        <v>0</v>
      </c>
      <c r="AJ519" s="140"/>
      <c r="AK519" s="140"/>
      <c r="AL519" s="673"/>
      <c r="AM519" s="140"/>
      <c r="AN519" s="140"/>
      <c r="AO519" s="140">
        <f t="shared" si="335"/>
        <v>0</v>
      </c>
      <c r="AP519" s="437"/>
      <c r="AQ519" s="140"/>
      <c r="AR519" s="437"/>
      <c r="AS519" s="140"/>
      <c r="AT519" s="140">
        <f t="shared" si="336"/>
        <v>0</v>
      </c>
      <c r="AU519" s="66"/>
      <c r="AV519" s="140"/>
      <c r="AW519" s="140"/>
      <c r="AX519" s="140">
        <f t="shared" si="337"/>
        <v>0</v>
      </c>
      <c r="AY519" s="437"/>
      <c r="AZ519" s="140"/>
      <c r="BA519" s="437"/>
      <c r="BB519" s="140"/>
      <c r="BC519" s="140">
        <f t="shared" si="338"/>
        <v>0</v>
      </c>
      <c r="BD519" s="140"/>
      <c r="BE519" s="40"/>
      <c r="BF519" s="235">
        <v>17999087818</v>
      </c>
      <c r="BG519" s="66"/>
      <c r="BH519" s="235">
        <v>17999087818</v>
      </c>
      <c r="BI519" s="46"/>
    </row>
    <row r="520" spans="2:61" s="1" customFormat="1">
      <c r="B520" s="19"/>
      <c r="C520" s="19" t="s">
        <v>837</v>
      </c>
      <c r="D520" s="1366">
        <f>SUM(D508:D519)</f>
        <v>150255745754</v>
      </c>
      <c r="E520" s="1366">
        <f>SUM(E508:E519)</f>
        <v>20049087818</v>
      </c>
      <c r="F520" s="1365">
        <f t="shared" si="278"/>
        <v>170304833572</v>
      </c>
      <c r="G520" s="1365">
        <f t="shared" si="277"/>
        <v>0</v>
      </c>
      <c r="H520" s="1366">
        <f>SUM(H508:H519)</f>
        <v>170304833572</v>
      </c>
      <c r="I520" s="1942"/>
      <c r="J520" s="1366"/>
      <c r="K520" s="1942"/>
      <c r="L520" s="1366"/>
      <c r="M520" s="1366">
        <f>SUM(M508:M519)</f>
        <v>174123471870</v>
      </c>
      <c r="N520" s="2260"/>
      <c r="O520" s="1989"/>
      <c r="P520" s="1483">
        <f>SUM(P508:P519)</f>
        <v>150255745754</v>
      </c>
      <c r="Q520" s="1366">
        <f>SUM(Q508:Q519)</f>
        <v>20049087818</v>
      </c>
      <c r="R520" s="1483">
        <f>SUM(R508:R519)</f>
        <v>170304833572</v>
      </c>
      <c r="S520" s="1484"/>
      <c r="T520" s="1483"/>
      <c r="U520" s="1484"/>
      <c r="V520" s="1483"/>
      <c r="W520" s="1483">
        <f>SUM(W508:W519)</f>
        <v>175123471870</v>
      </c>
      <c r="X520" s="1188"/>
      <c r="Y520" s="426">
        <f>SUM(Y508:Y519)</f>
        <v>80871690669</v>
      </c>
      <c r="Z520" s="706">
        <f>SUM(Z508:Z519)</f>
        <v>20049087818</v>
      </c>
      <c r="AA520" s="706">
        <f>SUM(AA508:AA519)</f>
        <v>100920778487</v>
      </c>
      <c r="AB520" s="601"/>
      <c r="AC520" s="223"/>
      <c r="AD520" s="601"/>
      <c r="AE520" s="223"/>
      <c r="AF520" s="706">
        <f>SUM(AF508:AF519)</f>
        <v>105739416785</v>
      </c>
      <c r="AG520" s="748"/>
      <c r="AH520" s="228"/>
      <c r="AI520" s="426">
        <f>SUM(AI508:AI519)</f>
        <v>90739416785</v>
      </c>
      <c r="AJ520" s="448"/>
      <c r="AK520" s="448"/>
      <c r="AL520" s="668"/>
      <c r="AM520" s="448">
        <f>SUM(AM508:AM519)</f>
        <v>65871690669</v>
      </c>
      <c r="AN520" s="448">
        <f>SUM(AN508:AN519)</f>
        <v>18999087818</v>
      </c>
      <c r="AO520" s="448">
        <f>SUM(AO508:AO519)</f>
        <v>84870778487</v>
      </c>
      <c r="AP520" s="759"/>
      <c r="AQ520" s="448"/>
      <c r="AR520" s="759"/>
      <c r="AS520" s="448"/>
      <c r="AT520" s="448">
        <f>SUM(AT508:AT519)</f>
        <v>90739416785</v>
      </c>
      <c r="AU520" s="20"/>
      <c r="AV520" s="448">
        <f>SUM(AV508:AV519)</f>
        <v>65871690669</v>
      </c>
      <c r="AW520" s="448">
        <f>SUM(AW508:AW519)</f>
        <v>18999087818</v>
      </c>
      <c r="AX520" s="448">
        <f>SUM(AX508:AX519)</f>
        <v>84870778487</v>
      </c>
      <c r="AY520" s="759"/>
      <c r="AZ520" s="448"/>
      <c r="BA520" s="759"/>
      <c r="BB520" s="448"/>
      <c r="BC520" s="448">
        <f>SUM(BC508:BC519)</f>
        <v>90739416785</v>
      </c>
      <c r="BD520" s="53"/>
      <c r="BE520" s="28"/>
      <c r="BF520" s="426">
        <f>SUM(BF508:BF519)</f>
        <v>84870778487</v>
      </c>
      <c r="BG520" s="29">
        <v>1273463413</v>
      </c>
      <c r="BH520" s="426">
        <f>SUM(BH508:BH519)</f>
        <v>84870778487</v>
      </c>
      <c r="BI520" s="20"/>
    </row>
    <row r="521" spans="2:61" s="1" customFormat="1">
      <c r="B521" s="2" t="s">
        <v>838</v>
      </c>
      <c r="C521" s="4"/>
      <c r="D521" s="1365"/>
      <c r="E521" s="1365"/>
      <c r="F521" s="1365">
        <f t="shared" si="278"/>
        <v>0</v>
      </c>
      <c r="G521" s="1365">
        <f t="shared" si="277"/>
        <v>0</v>
      </c>
      <c r="H521" s="1365"/>
      <c r="I521" s="1384"/>
      <c r="J521" s="1365"/>
      <c r="K521" s="1384"/>
      <c r="L521" s="1365"/>
      <c r="M521" s="1365"/>
      <c r="N521" s="2259"/>
      <c r="O521" s="1058"/>
      <c r="P521" s="1482"/>
      <c r="Q521" s="1365"/>
      <c r="R521" s="1482"/>
      <c r="S521" s="1481"/>
      <c r="T521" s="1482"/>
      <c r="U521" s="1481"/>
      <c r="V521" s="1482"/>
      <c r="W521" s="1482"/>
      <c r="X521" s="1187"/>
      <c r="Y521" s="90"/>
      <c r="Z521" s="697"/>
      <c r="AA521" s="697"/>
      <c r="AB521" s="253"/>
      <c r="AC521" s="90"/>
      <c r="AD521" s="253"/>
      <c r="AE521" s="90"/>
      <c r="AF521" s="697"/>
      <c r="AG521" s="697"/>
      <c r="AH521" s="207"/>
      <c r="AI521" s="9"/>
      <c r="AJ521" s="9"/>
      <c r="AK521" s="9"/>
      <c r="AL521" s="667"/>
      <c r="AM521" s="9"/>
      <c r="AN521" s="9"/>
      <c r="AO521" s="9"/>
      <c r="AP521" s="769"/>
      <c r="AQ521" s="9"/>
      <c r="AR521" s="769"/>
      <c r="AS521" s="9"/>
      <c r="AT521" s="9"/>
      <c r="AU521" s="37"/>
      <c r="AV521" s="9"/>
      <c r="AW521" s="9"/>
      <c r="AX521" s="9"/>
      <c r="AY521" s="769"/>
      <c r="AZ521" s="9"/>
      <c r="BA521" s="769"/>
      <c r="BB521" s="9"/>
      <c r="BC521" s="9"/>
      <c r="BD521" s="14"/>
      <c r="BE521" s="128"/>
      <c r="BF521" s="219"/>
      <c r="BG521" s="37"/>
      <c r="BH521" s="219"/>
      <c r="BI521" s="11">
        <v>640242239</v>
      </c>
    </row>
    <row r="522" spans="2:61" s="1" customFormat="1">
      <c r="B522" s="30"/>
      <c r="C522" s="4" t="s">
        <v>32</v>
      </c>
      <c r="D522" s="1985">
        <f>ROUND(5037443173.90754,0)</f>
        <v>5037443174</v>
      </c>
      <c r="E522" s="1365">
        <v>4762924958.8337259</v>
      </c>
      <c r="F522" s="1365">
        <f t="shared" si="278"/>
        <v>9800368132.833725</v>
      </c>
      <c r="G522" s="1365">
        <f t="shared" si="277"/>
        <v>-0.1662750244140625</v>
      </c>
      <c r="H522" s="1365">
        <f>ROUND((D522+E522),0)</f>
        <v>9800368133</v>
      </c>
      <c r="I522" s="1384" t="str">
        <f>'ELIM &amp; CAJE Des 24'!A30</f>
        <v>ELIM 7</v>
      </c>
      <c r="J522" s="1365">
        <f>'ELIM &amp; CAJE Des 24'!F30</f>
        <v>4868638298.3429403</v>
      </c>
      <c r="K522" s="1384"/>
      <c r="L522" s="1365">
        <f>'ELIM &amp; CAJE Des 24'!G38</f>
        <v>2</v>
      </c>
      <c r="M522" s="1365">
        <f t="shared" ref="M522" si="339">ROUND((H522-J522+L522),0)</f>
        <v>4931729837</v>
      </c>
      <c r="N522" s="2259"/>
      <c r="O522" s="1058"/>
      <c r="P522" s="1556">
        <f>ROUND(2951491923.90754,0)+2085951250</f>
        <v>5037443174</v>
      </c>
      <c r="Q522" s="1365">
        <f>ROUND(4762924958.83373,0)</f>
        <v>4762924959</v>
      </c>
      <c r="R522" s="1482">
        <f>ROUND((P522+Q522),0)</f>
        <v>9800368133</v>
      </c>
      <c r="S522" s="1481" t="str">
        <f>'ELIM &amp; CAJE Sept 24'!B30</f>
        <v>ELIM 7</v>
      </c>
      <c r="T522" s="1482">
        <f>'ELIM &amp; CAJE Sept 24'!I30</f>
        <v>5868638298</v>
      </c>
      <c r="U522" s="1481"/>
      <c r="V522" s="1482">
        <f>'ELIM &amp; CAJE Sept 24'!H34</f>
        <v>2</v>
      </c>
      <c r="W522" s="1482">
        <f t="shared" ref="W522" si="340">ROUND((R522-T522+V522),0)</f>
        <v>3931729837</v>
      </c>
      <c r="X522" s="1187"/>
      <c r="Y522" s="90">
        <v>5037443174</v>
      </c>
      <c r="Z522" s="697">
        <v>4762924959</v>
      </c>
      <c r="AA522" s="697">
        <f>ROUND((Y522+Z522),0)</f>
        <v>9800368133</v>
      </c>
      <c r="AB522" s="253" t="s">
        <v>839</v>
      </c>
      <c r="AC522" s="1058">
        <f>'ELIM &amp; CAJE Juni 24'!I30</f>
        <v>5868638298</v>
      </c>
      <c r="AD522" s="253"/>
      <c r="AE522" s="90">
        <f>'ELIM &amp; CAJE Juni 24'!H34</f>
        <v>2</v>
      </c>
      <c r="AF522" s="697">
        <f t="shared" ref="AF522" si="341">ROUND((AA522-AC522+AE522),0)</f>
        <v>3931729837</v>
      </c>
      <c r="AG522" s="697"/>
      <c r="AH522" s="207"/>
      <c r="AI522" s="754">
        <v>17186278436</v>
      </c>
      <c r="AJ522" s="754"/>
      <c r="AK522" s="754"/>
      <c r="AL522" s="667"/>
      <c r="AM522" s="9">
        <v>18637502879</v>
      </c>
      <c r="AN522" s="9">
        <v>4417413855</v>
      </c>
      <c r="AO522" s="9">
        <f t="shared" ref="AO522" si="342">ROUND((AM522+AN522),0)</f>
        <v>23054916734</v>
      </c>
      <c r="AP522" s="769" t="str">
        <f>'ELIM &amp; CAJE Sept 23'!A26</f>
        <v>ELIM 7</v>
      </c>
      <c r="AQ522" s="9">
        <f>'ELIM &amp; CAJE Sept 23'!H26</f>
        <v>5868638298</v>
      </c>
      <c r="AR522" s="769"/>
      <c r="AS522" s="9"/>
      <c r="AT522" s="9">
        <f t="shared" ref="AT522" si="343">ROUND((AO522-AQ522+AS522),0)</f>
        <v>17186278436</v>
      </c>
      <c r="AU522" s="37"/>
      <c r="AV522" s="9">
        <v>18637502879</v>
      </c>
      <c r="AW522" s="9">
        <v>4417413855</v>
      </c>
      <c r="AX522" s="9">
        <f t="shared" ref="AX522:AX523" si="344">ROUND((AV522+AW522),0)</f>
        <v>23054916734</v>
      </c>
      <c r="AY522" s="769" t="str">
        <f>'ELIM Juni 23'!A26</f>
        <v>ELIM 7</v>
      </c>
      <c r="AZ522" s="9">
        <f>'ELIM Juni 23'!H26</f>
        <v>5868638298</v>
      </c>
      <c r="BA522" s="769"/>
      <c r="BB522" s="9"/>
      <c r="BC522" s="9">
        <f t="shared" ref="BC522" si="345">ROUND((AX522-AZ522+BB522),0)</f>
        <v>17186278436</v>
      </c>
      <c r="BD522" s="14"/>
      <c r="BE522" s="128"/>
      <c r="BF522" s="219">
        <v>16816861492</v>
      </c>
      <c r="BG522" s="37"/>
      <c r="BH522" s="235">
        <v>11137024117</v>
      </c>
      <c r="BI522" s="11">
        <f>BI521-BK525</f>
        <v>640242239</v>
      </c>
    </row>
    <row r="523" spans="2:61" s="1" customFormat="1">
      <c r="B523" s="30"/>
      <c r="C523" s="4" t="s">
        <v>840</v>
      </c>
      <c r="D523" s="1365">
        <f>D756</f>
        <v>196012942.84050846</v>
      </c>
      <c r="E523" s="1365">
        <f>E756</f>
        <v>152723264.33837891</v>
      </c>
      <c r="F523" s="1365">
        <f t="shared" si="278"/>
        <v>348736207.17888737</v>
      </c>
      <c r="G523" s="1365">
        <f t="shared" si="277"/>
        <v>0.53887271881103516</v>
      </c>
      <c r="H523" s="1365">
        <f>H756</f>
        <v>348736206.64001465</v>
      </c>
      <c r="I523" s="1384"/>
      <c r="J523" s="1365"/>
      <c r="K523" s="1384"/>
      <c r="L523" s="1365"/>
      <c r="M523" s="1365">
        <f>M756</f>
        <v>348736204</v>
      </c>
      <c r="N523" s="2259"/>
      <c r="O523" s="1058"/>
      <c r="P523" s="1482">
        <f>P756</f>
        <v>911387444.55999756</v>
      </c>
      <c r="Q523" s="1365">
        <f>Q756</f>
        <v>773987645</v>
      </c>
      <c r="R523" s="1482">
        <f>ROUND((P523+Q523),0)</f>
        <v>1685375090</v>
      </c>
      <c r="S523" s="1481"/>
      <c r="T523" s="1482"/>
      <c r="U523" s="1481"/>
      <c r="V523" s="1482"/>
      <c r="W523" s="1482">
        <f>W756</f>
        <v>1685375090</v>
      </c>
      <c r="X523" s="1187"/>
      <c r="Y523" s="90">
        <f>Y756</f>
        <v>371769194</v>
      </c>
      <c r="Z523" s="697">
        <f>Z756</f>
        <v>500150265</v>
      </c>
      <c r="AA523" s="697">
        <f>ROUND((Y523+Z523),0)</f>
        <v>871919459</v>
      </c>
      <c r="AB523" s="253"/>
      <c r="AC523" s="90"/>
      <c r="AD523" s="253"/>
      <c r="AE523" s="90"/>
      <c r="AF523" s="697">
        <f>AF756</f>
        <v>871919459</v>
      </c>
      <c r="AG523" s="697"/>
      <c r="AH523" s="207"/>
      <c r="AI523" s="697">
        <f>ROUND(AI756,0)</f>
        <v>1745451401</v>
      </c>
      <c r="AJ523" s="697"/>
      <c r="AK523" s="697"/>
      <c r="AL523" s="680"/>
      <c r="AM523" s="90">
        <f>AM756</f>
        <v>505176481</v>
      </c>
      <c r="AN523" s="90">
        <f>AN756</f>
        <v>308115790</v>
      </c>
      <c r="AO523" s="90">
        <f>ROUND((AM523+AN523),0)</f>
        <v>813292271</v>
      </c>
      <c r="AP523" s="253"/>
      <c r="AQ523" s="90"/>
      <c r="AR523" s="253"/>
      <c r="AS523" s="90"/>
      <c r="AT523" s="90">
        <f>AT756</f>
        <v>813292271</v>
      </c>
      <c r="AU523" s="1230"/>
      <c r="AV523" s="90">
        <f>AV756</f>
        <v>370834935</v>
      </c>
      <c r="AW523" s="90">
        <f>AW756</f>
        <v>474039580</v>
      </c>
      <c r="AX523" s="90">
        <f t="shared" si="344"/>
        <v>844874515</v>
      </c>
      <c r="AY523" s="253"/>
      <c r="AZ523" s="90"/>
      <c r="BA523" s="253"/>
      <c r="BB523" s="90"/>
      <c r="BC523" s="90">
        <f>BC756</f>
        <v>844874515</v>
      </c>
      <c r="BD523" s="90"/>
      <c r="BE523" s="40"/>
      <c r="BF523" s="90">
        <f>BF756</f>
        <v>6238055242</v>
      </c>
      <c r="BG523" s="37"/>
      <c r="BH523" s="90">
        <f>BH756</f>
        <v>5679837375</v>
      </c>
      <c r="BI523" s="37"/>
    </row>
    <row r="524" spans="2:61" s="1" customFormat="1">
      <c r="B524" s="30"/>
      <c r="C524" s="90"/>
      <c r="D524" s="1365"/>
      <c r="E524" s="1365"/>
      <c r="F524" s="1365">
        <f t="shared" si="278"/>
        <v>0</v>
      </c>
      <c r="G524" s="1365">
        <f t="shared" si="277"/>
        <v>0</v>
      </c>
      <c r="H524" s="1365"/>
      <c r="I524" s="1384"/>
      <c r="J524" s="1365"/>
      <c r="K524" s="1384"/>
      <c r="L524" s="1365"/>
      <c r="M524" s="1365"/>
      <c r="N524" s="2259"/>
      <c r="O524" s="2113"/>
      <c r="P524" s="1482"/>
      <c r="Q524" s="1365"/>
      <c r="R524" s="1482"/>
      <c r="S524" s="1481"/>
      <c r="T524" s="1482"/>
      <c r="U524" s="1481"/>
      <c r="V524" s="1482"/>
      <c r="W524" s="1482"/>
      <c r="X524" s="1058"/>
      <c r="Y524" s="90"/>
      <c r="Z524" s="697"/>
      <c r="AA524" s="697"/>
      <c r="AB524" s="253"/>
      <c r="AC524" s="90"/>
      <c r="AD524" s="253"/>
      <c r="AE524" s="90"/>
      <c r="AF524" s="697"/>
      <c r="AG524" s="697"/>
      <c r="AH524" s="207"/>
      <c r="AI524" s="9"/>
      <c r="AJ524" s="9"/>
      <c r="AK524" s="9"/>
      <c r="AL524" s="667"/>
      <c r="AM524" s="9"/>
      <c r="AN524" s="9"/>
      <c r="AO524" s="9"/>
      <c r="AP524" s="769"/>
      <c r="AQ524" s="9"/>
      <c r="AR524" s="769"/>
      <c r="AS524" s="9"/>
      <c r="AT524" s="9"/>
      <c r="AU524" s="37"/>
      <c r="AV524" s="9"/>
      <c r="AW524" s="9"/>
      <c r="AX524" s="9"/>
      <c r="AY524" s="769"/>
      <c r="AZ524" s="9"/>
      <c r="BA524" s="769"/>
      <c r="BB524" s="9"/>
      <c r="BC524" s="9"/>
      <c r="BD524" s="14"/>
      <c r="BE524" s="128"/>
      <c r="BF524" s="219"/>
      <c r="BG524" s="37"/>
      <c r="BH524" s="219"/>
      <c r="BI524" s="11">
        <f>BG525-AE525</f>
        <v>0</v>
      </c>
    </row>
    <row r="525" spans="2:61" s="1" customFormat="1">
      <c r="B525" s="19"/>
      <c r="C525" s="19" t="s">
        <v>841</v>
      </c>
      <c r="D525" s="1366">
        <f>SUM(D522:D524)</f>
        <v>5233456116.8405085</v>
      </c>
      <c r="E525" s="1366">
        <f>SUM(E522:E524)</f>
        <v>4915648223.1721048</v>
      </c>
      <c r="F525" s="1365">
        <f t="shared" si="278"/>
        <v>10149104340.012613</v>
      </c>
      <c r="G525" s="1365">
        <f t="shared" si="277"/>
        <v>0.37259864807128906</v>
      </c>
      <c r="H525" s="1366">
        <f>SUM(H522:H524)</f>
        <v>10149104339.640015</v>
      </c>
      <c r="I525" s="1942"/>
      <c r="J525" s="1366"/>
      <c r="K525" s="1942"/>
      <c r="L525" s="1366"/>
      <c r="M525" s="1366">
        <f>SUM(M522:M524)</f>
        <v>5280466041</v>
      </c>
      <c r="N525" s="2260"/>
      <c r="O525" s="1989"/>
      <c r="P525" s="1483">
        <f>SUM(P522:P524)</f>
        <v>5948830618.5599976</v>
      </c>
      <c r="Q525" s="1366">
        <f>SUM(Q522:Q524)</f>
        <v>5536912604</v>
      </c>
      <c r="R525" s="1483">
        <f>SUM(R522:R524)</f>
        <v>11485743223</v>
      </c>
      <c r="S525" s="1484"/>
      <c r="T525" s="1483"/>
      <c r="U525" s="1484"/>
      <c r="V525" s="1483"/>
      <c r="W525" s="1483">
        <f>SUM(W522:W524)</f>
        <v>5617104927</v>
      </c>
      <c r="X525" s="1188"/>
      <c r="Y525" s="426">
        <f>SUM(Y522:Y524)</f>
        <v>5409212368</v>
      </c>
      <c r="Z525" s="706">
        <f>SUM(Z522:Z524)</f>
        <v>5263075224</v>
      </c>
      <c r="AA525" s="706">
        <f>SUM(AA522:AA524)</f>
        <v>10672287592</v>
      </c>
      <c r="AB525" s="601"/>
      <c r="AC525" s="223"/>
      <c r="AD525" s="601"/>
      <c r="AE525" s="223"/>
      <c r="AF525" s="706">
        <f>SUM(AF522:AF524)</f>
        <v>4803649296</v>
      </c>
      <c r="AG525" s="748"/>
      <c r="AH525" s="228">
        <f>AF525+Z508</f>
        <v>5803649296</v>
      </c>
      <c r="AI525" s="426">
        <f>SUM(AI522:AI524)</f>
        <v>18931729837</v>
      </c>
      <c r="AJ525" s="448"/>
      <c r="AK525" s="448"/>
      <c r="AL525" s="668"/>
      <c r="AM525" s="448">
        <f>SUM(AM522:AM524)</f>
        <v>19142679360</v>
      </c>
      <c r="AN525" s="448">
        <f>SUM(AN522:AN524)</f>
        <v>4725529645</v>
      </c>
      <c r="AO525" s="448">
        <f>SUM(AO522:AO524)</f>
        <v>23868209005</v>
      </c>
      <c r="AP525" s="759"/>
      <c r="AQ525" s="448"/>
      <c r="AR525" s="759"/>
      <c r="AS525" s="448"/>
      <c r="AT525" s="448">
        <f>SUM(AT522:AT524)</f>
        <v>17999570707</v>
      </c>
      <c r="AU525" s="20"/>
      <c r="AV525" s="448">
        <f>SUM(AV522:AV524)</f>
        <v>19008337814</v>
      </c>
      <c r="AW525" s="448">
        <f>SUM(AW522:AW524)</f>
        <v>4891453435</v>
      </c>
      <c r="AX525" s="448">
        <f>SUM(AX522:AX524)</f>
        <v>23899791249</v>
      </c>
      <c r="AY525" s="759"/>
      <c r="AZ525" s="448"/>
      <c r="BA525" s="759"/>
      <c r="BB525" s="448"/>
      <c r="BC525" s="448">
        <f>SUM(BC522:BC524)</f>
        <v>18031152951</v>
      </c>
      <c r="BD525" s="53"/>
      <c r="BE525" s="28"/>
      <c r="BF525" s="426">
        <f>SUM(BF522:BF524)</f>
        <v>23054916734</v>
      </c>
      <c r="BG525" s="29"/>
      <c r="BH525" s="426">
        <f>SUM(BH522:BH524)</f>
        <v>16816861492</v>
      </c>
      <c r="BI525" s="20">
        <f>AE522-BI521</f>
        <v>-640242237</v>
      </c>
    </row>
    <row r="526" spans="2:61" s="1" customFormat="1">
      <c r="B526" s="2" t="s">
        <v>224</v>
      </c>
      <c r="C526" s="2"/>
      <c r="D526" s="217"/>
      <c r="E526" s="217"/>
      <c r="F526" s="1365">
        <f t="shared" si="278"/>
        <v>0</v>
      </c>
      <c r="G526" s="1365">
        <f t="shared" si="277"/>
        <v>0</v>
      </c>
      <c r="H526" s="217"/>
      <c r="I526" s="1384"/>
      <c r="J526" s="217"/>
      <c r="K526" s="1384"/>
      <c r="L526" s="217"/>
      <c r="M526" s="217"/>
      <c r="N526" s="226"/>
      <c r="O526" s="1217"/>
      <c r="P526" s="1480"/>
      <c r="Q526" s="217"/>
      <c r="R526" s="1480"/>
      <c r="S526" s="1481"/>
      <c r="T526" s="1480"/>
      <c r="U526" s="1481"/>
      <c r="V526" s="1480"/>
      <c r="W526" s="1480"/>
      <c r="X526" s="1186"/>
      <c r="Y526" s="118"/>
      <c r="Z526" s="705"/>
      <c r="AA526" s="705"/>
      <c r="AB526" s="253"/>
      <c r="AC526" s="118"/>
      <c r="AD526" s="253"/>
      <c r="AE526" s="118"/>
      <c r="AF526" s="705"/>
      <c r="AG526" s="705"/>
      <c r="AH526" s="209"/>
      <c r="AI526" s="9"/>
      <c r="AJ526" s="9"/>
      <c r="AK526" s="9"/>
      <c r="AL526" s="667"/>
      <c r="AM526" s="9"/>
      <c r="AN526" s="9"/>
      <c r="AO526" s="9"/>
      <c r="AP526" s="769"/>
      <c r="AQ526" s="9"/>
      <c r="AR526" s="769"/>
      <c r="AS526" s="9"/>
      <c r="AT526" s="9"/>
      <c r="AU526" s="37"/>
      <c r="AV526" s="9"/>
      <c r="AW526" s="9"/>
      <c r="AX526" s="9"/>
      <c r="AY526" s="769"/>
      <c r="AZ526" s="9"/>
      <c r="BA526" s="769"/>
      <c r="BB526" s="9"/>
      <c r="BC526" s="9"/>
      <c r="BD526" s="14"/>
      <c r="BE526" s="128"/>
      <c r="BF526" s="219"/>
      <c r="BG526" s="37"/>
      <c r="BH526" s="219"/>
      <c r="BI526" s="11"/>
    </row>
    <row r="527" spans="2:61" s="1" customFormat="1">
      <c r="B527" s="30"/>
      <c r="C527" s="13" t="s">
        <v>842</v>
      </c>
      <c r="D527" s="1367">
        <v>0</v>
      </c>
      <c r="E527" s="1367"/>
      <c r="F527" s="1365">
        <f t="shared" si="278"/>
        <v>0</v>
      </c>
      <c r="G527" s="1365">
        <f t="shared" si="277"/>
        <v>0</v>
      </c>
      <c r="H527" s="1367">
        <f>ROUND((D527+E527),0)</f>
        <v>0</v>
      </c>
      <c r="I527" s="1384"/>
      <c r="J527" s="1367"/>
      <c r="K527" s="1384"/>
      <c r="L527" s="1367"/>
      <c r="M527" s="1367">
        <f t="shared" ref="M527" si="346">ROUND((H527-J527+L527),0)</f>
        <v>0</v>
      </c>
      <c r="N527" s="1967"/>
      <c r="O527" s="1057"/>
      <c r="P527" s="1485"/>
      <c r="Q527" s="1367"/>
      <c r="R527" s="1485">
        <f>ROUND((P527+Q527),0)</f>
        <v>0</v>
      </c>
      <c r="S527" s="1481"/>
      <c r="T527" s="1485"/>
      <c r="U527" s="1481"/>
      <c r="V527" s="1485"/>
      <c r="W527" s="1485">
        <f t="shared" ref="W527" si="347">ROUND((R527-T527+V527),0)</f>
        <v>0</v>
      </c>
      <c r="X527" s="1189"/>
      <c r="Y527" s="106"/>
      <c r="Z527" s="698"/>
      <c r="AA527" s="697">
        <f>ROUND((Y527+Z527),0)</f>
        <v>0</v>
      </c>
      <c r="AB527" s="253"/>
      <c r="AC527" s="90"/>
      <c r="AD527" s="253"/>
      <c r="AE527" s="90"/>
      <c r="AF527" s="697">
        <f t="shared" ref="AF527" si="348">ROUND((AA527-AC527+AE527),0)</f>
        <v>0</v>
      </c>
      <c r="AG527" s="697"/>
      <c r="AH527" s="208"/>
      <c r="AI527" s="14">
        <v>0</v>
      </c>
      <c r="AJ527" s="14"/>
      <c r="AK527" s="14"/>
      <c r="AL527" s="667"/>
      <c r="AM527" s="14"/>
      <c r="AN527" s="14"/>
      <c r="AO527" s="14">
        <f t="shared" ref="AO527" si="349">ROUND((AM527+AN527),0)</f>
        <v>0</v>
      </c>
      <c r="AP527" s="437"/>
      <c r="AQ527" s="14"/>
      <c r="AR527" s="437"/>
      <c r="AS527" s="14"/>
      <c r="AT527" s="14">
        <f t="shared" ref="AT527" si="350">ROUND((AO527-AQ527+AS527),0)</f>
        <v>0</v>
      </c>
      <c r="AU527" s="37"/>
      <c r="AV527" s="14"/>
      <c r="AW527" s="14"/>
      <c r="AX527" s="14">
        <f t="shared" ref="AX527" si="351">ROUND((AV527+AW527),0)</f>
        <v>0</v>
      </c>
      <c r="AY527" s="437"/>
      <c r="AZ527" s="14"/>
      <c r="BA527" s="437"/>
      <c r="BB527" s="14"/>
      <c r="BC527" s="14">
        <f t="shared" ref="BC527" si="352">ROUND((AX527-AZ527+BB527),0)</f>
        <v>0</v>
      </c>
      <c r="BD527" s="14"/>
      <c r="BE527" s="128"/>
      <c r="BF527" s="220">
        <v>0</v>
      </c>
      <c r="BG527" s="127" t="e">
        <f>#REF!+#REF!</f>
        <v>#REF!</v>
      </c>
      <c r="BH527" s="235">
        <v>0</v>
      </c>
      <c r="BI527" s="91"/>
    </row>
    <row r="528" spans="2:61" s="1" customFormat="1" hidden="1">
      <c r="B528" s="30"/>
      <c r="C528" s="13"/>
      <c r="D528" s="1367"/>
      <c r="E528" s="1367"/>
      <c r="F528" s="1365">
        <f t="shared" si="278"/>
        <v>0</v>
      </c>
      <c r="G528" s="1365">
        <f t="shared" si="277"/>
        <v>0</v>
      </c>
      <c r="H528" s="1367"/>
      <c r="I528" s="1384"/>
      <c r="J528" s="1367"/>
      <c r="K528" s="1384"/>
      <c r="L528" s="1367"/>
      <c r="M528" s="1367"/>
      <c r="N528" s="1967"/>
      <c r="O528" s="1057"/>
      <c r="P528" s="1485"/>
      <c r="Q528" s="1367"/>
      <c r="R528" s="1485"/>
      <c r="S528" s="1481"/>
      <c r="T528" s="1485"/>
      <c r="U528" s="1481"/>
      <c r="V528" s="1485"/>
      <c r="W528" s="1485"/>
      <c r="X528" s="1189"/>
      <c r="Y528" s="106"/>
      <c r="Z528" s="698"/>
      <c r="AA528" s="698"/>
      <c r="AB528" s="253"/>
      <c r="AC528" s="106"/>
      <c r="AD528" s="253"/>
      <c r="AE528" s="106"/>
      <c r="AF528" s="698"/>
      <c r="AG528" s="698"/>
      <c r="AH528" s="208"/>
      <c r="AI528" s="9"/>
      <c r="AJ528" s="9"/>
      <c r="AK528" s="9"/>
      <c r="AL528" s="667"/>
      <c r="AM528" s="9"/>
      <c r="AN528" s="9"/>
      <c r="AO528" s="9"/>
      <c r="AP528" s="769"/>
      <c r="AQ528" s="9"/>
      <c r="AR528" s="769"/>
      <c r="AS528" s="9"/>
      <c r="AT528" s="9"/>
      <c r="AU528" s="37"/>
      <c r="AV528" s="9"/>
      <c r="AW528" s="9"/>
      <c r="AX528" s="9"/>
      <c r="AY528" s="769"/>
      <c r="AZ528" s="9"/>
      <c r="BA528" s="769"/>
      <c r="BB528" s="9"/>
      <c r="BC528" s="9"/>
      <c r="BD528" s="14"/>
      <c r="BE528" s="128"/>
      <c r="BF528" s="219"/>
      <c r="BG528" s="37"/>
      <c r="BH528" s="219"/>
      <c r="BI528" s="11"/>
    </row>
    <row r="529" spans="1:62" s="1" customFormat="1">
      <c r="B529" s="19"/>
      <c r="C529" s="19" t="s">
        <v>843</v>
      </c>
      <c r="D529" s="1366">
        <f>SUM(D526:D528)</f>
        <v>0</v>
      </c>
      <c r="E529" s="1366">
        <f>SUM(E526:E528)</f>
        <v>0</v>
      </c>
      <c r="F529" s="1365">
        <f t="shared" si="278"/>
        <v>0</v>
      </c>
      <c r="G529" s="1365">
        <f t="shared" si="277"/>
        <v>0</v>
      </c>
      <c r="H529" s="1366">
        <f>SUM(H526:H528)</f>
        <v>0</v>
      </c>
      <c r="I529" s="1942"/>
      <c r="J529" s="1366"/>
      <c r="K529" s="1942"/>
      <c r="L529" s="1366"/>
      <c r="M529" s="1366">
        <f>SUM(M526:M528)</f>
        <v>0</v>
      </c>
      <c r="N529" s="2260"/>
      <c r="O529" s="1989"/>
      <c r="P529" s="1483">
        <f>SUM(P526:P528)</f>
        <v>0</v>
      </c>
      <c r="Q529" s="1366">
        <f>SUM(Q526:Q528)</f>
        <v>0</v>
      </c>
      <c r="R529" s="1483">
        <f>SUM(R526:R528)</f>
        <v>0</v>
      </c>
      <c r="S529" s="1484"/>
      <c r="T529" s="1483"/>
      <c r="U529" s="1484"/>
      <c r="V529" s="1483"/>
      <c r="W529" s="1483">
        <f>SUM(W526:W528)</f>
        <v>0</v>
      </c>
      <c r="X529" s="1188"/>
      <c r="Y529" s="426">
        <f>SUM(Y526:Y528)</f>
        <v>0</v>
      </c>
      <c r="Z529" s="706">
        <f>SUM(Z526:Z528)</f>
        <v>0</v>
      </c>
      <c r="AA529" s="706">
        <f>SUM(AA526:AA528)</f>
        <v>0</v>
      </c>
      <c r="AB529" s="601"/>
      <c r="AC529" s="223"/>
      <c r="AD529" s="601"/>
      <c r="AE529" s="223"/>
      <c r="AF529" s="706">
        <f>SUM(AF526:AF528)</f>
        <v>0</v>
      </c>
      <c r="AG529" s="748"/>
      <c r="AH529" s="228"/>
      <c r="AI529" s="426">
        <f>SUM(AI526:AI528)</f>
        <v>0</v>
      </c>
      <c r="AJ529" s="448"/>
      <c r="AK529" s="448"/>
      <c r="AL529" s="668"/>
      <c r="AM529" s="448">
        <f>SUM(AM526:AM528)</f>
        <v>0</v>
      </c>
      <c r="AN529" s="448">
        <f>SUM(AN526:AN528)</f>
        <v>0</v>
      </c>
      <c r="AO529" s="448">
        <f>SUM(AO526:AO528)</f>
        <v>0</v>
      </c>
      <c r="AP529" s="759"/>
      <c r="AQ529" s="448"/>
      <c r="AR529" s="759"/>
      <c r="AS529" s="448"/>
      <c r="AT529" s="448">
        <f>SUM(AT526:AT528)</f>
        <v>0</v>
      </c>
      <c r="AU529" s="20"/>
      <c r="AV529" s="448">
        <f>SUM(AV526:AV528)</f>
        <v>0</v>
      </c>
      <c r="AW529" s="448">
        <f>SUM(AW526:AW528)</f>
        <v>0</v>
      </c>
      <c r="AX529" s="448">
        <f>SUM(AX526:AX528)</f>
        <v>0</v>
      </c>
      <c r="AY529" s="759"/>
      <c r="AZ529" s="448"/>
      <c r="BA529" s="759"/>
      <c r="BB529" s="448"/>
      <c r="BC529" s="448">
        <f>SUM(BC526:BC528)</f>
        <v>0</v>
      </c>
      <c r="BD529" s="53"/>
      <c r="BE529" s="28"/>
      <c r="BF529" s="426">
        <f>SUM(BF526:BF528)</f>
        <v>0</v>
      </c>
      <c r="BG529" s="29"/>
      <c r="BH529" s="426">
        <f>SUM(BH526:BH528)</f>
        <v>0</v>
      </c>
      <c r="BI529" s="20"/>
    </row>
    <row r="530" spans="1:62" s="1" customFormat="1">
      <c r="A530" s="1" t="s">
        <v>468</v>
      </c>
      <c r="B530" s="2" t="s">
        <v>844</v>
      </c>
      <c r="C530" s="2"/>
      <c r="D530" s="217"/>
      <c r="E530" s="217"/>
      <c r="F530" s="1365">
        <f t="shared" si="278"/>
        <v>0</v>
      </c>
      <c r="G530" s="1365">
        <f t="shared" ref="G530:G593" si="353">F530-H530</f>
        <v>0</v>
      </c>
      <c r="H530" s="217"/>
      <c r="I530" s="1384"/>
      <c r="J530" s="217"/>
      <c r="K530" s="1384"/>
      <c r="L530" s="217"/>
      <c r="M530" s="217"/>
      <c r="N530" s="226"/>
      <c r="O530" s="1217"/>
      <c r="P530" s="1480"/>
      <c r="Q530" s="217"/>
      <c r="R530" s="1480"/>
      <c r="S530" s="1481"/>
      <c r="T530" s="1480"/>
      <c r="U530" s="1481"/>
      <c r="V530" s="1480"/>
      <c r="W530" s="1480"/>
      <c r="X530" s="1186"/>
      <c r="Y530" s="118"/>
      <c r="Z530" s="705"/>
      <c r="AA530" s="705"/>
      <c r="AB530" s="253"/>
      <c r="AC530" s="118"/>
      <c r="AD530" s="253"/>
      <c r="AE530" s="118"/>
      <c r="AF530" s="705"/>
      <c r="AG530" s="705"/>
      <c r="AH530" s="209"/>
      <c r="AI530" s="9"/>
      <c r="AJ530" s="9"/>
      <c r="AK530" s="9"/>
      <c r="AL530" s="667"/>
      <c r="AM530" s="9"/>
      <c r="AN530" s="9"/>
      <c r="AO530" s="9"/>
      <c r="AP530" s="769"/>
      <c r="AQ530" s="9"/>
      <c r="AR530" s="769"/>
      <c r="AS530" s="9"/>
      <c r="AT530" s="9"/>
      <c r="AU530" s="37"/>
      <c r="AV530" s="9"/>
      <c r="AW530" s="9"/>
      <c r="AX530" s="9"/>
      <c r="AY530" s="769"/>
      <c r="AZ530" s="9"/>
      <c r="BA530" s="769"/>
      <c r="BB530" s="9"/>
      <c r="BC530" s="9"/>
      <c r="BD530" s="14"/>
      <c r="BE530" s="128"/>
      <c r="BF530" s="219"/>
      <c r="BG530" s="37"/>
      <c r="BH530" s="219"/>
      <c r="BI530" s="11"/>
    </row>
    <row r="531" spans="1:62" s="1" customFormat="1">
      <c r="B531" s="2"/>
      <c r="C531" s="4" t="s">
        <v>845</v>
      </c>
      <c r="D531" s="218">
        <f>D759+D762</f>
        <v>40272417.119999997</v>
      </c>
      <c r="E531" s="587"/>
      <c r="F531" s="1365">
        <f t="shared" si="278"/>
        <v>40272417.119999997</v>
      </c>
      <c r="G531" s="1365">
        <f t="shared" si="353"/>
        <v>0.11999999731779099</v>
      </c>
      <c r="H531" s="1365">
        <f>ROUND((D531+E531),0)</f>
        <v>40272417</v>
      </c>
      <c r="I531" s="1384"/>
      <c r="J531" s="217"/>
      <c r="K531" s="1384"/>
      <c r="L531" s="217"/>
      <c r="M531" s="2129">
        <f t="shared" ref="M531:M535" si="354">ROUND((H531-J531+L531),0)</f>
        <v>40272417</v>
      </c>
      <c r="N531" s="2259"/>
      <c r="O531" s="1217"/>
      <c r="P531" s="1480"/>
      <c r="Q531" s="217"/>
      <c r="R531" s="1480"/>
      <c r="S531" s="1481"/>
      <c r="T531" s="1480"/>
      <c r="U531" s="1481"/>
      <c r="V531" s="1480"/>
      <c r="W531" s="1480"/>
      <c r="X531" s="1186"/>
      <c r="Y531" s="118"/>
      <c r="Z531" s="705"/>
      <c r="AA531" s="705"/>
      <c r="AB531" s="253"/>
      <c r="AC531" s="118"/>
      <c r="AD531" s="253"/>
      <c r="AE531" s="118"/>
      <c r="AF531" s="705"/>
      <c r="AG531" s="705"/>
      <c r="AH531" s="209"/>
      <c r="AI531" s="9"/>
      <c r="AJ531" s="9"/>
      <c r="AK531" s="9"/>
      <c r="AL531" s="667"/>
      <c r="AM531" s="9"/>
      <c r="AN531" s="9"/>
      <c r="AO531" s="9"/>
      <c r="AP531" s="769"/>
      <c r="AQ531" s="9"/>
      <c r="AR531" s="769"/>
      <c r="AS531" s="9"/>
      <c r="AT531" s="9"/>
      <c r="AU531" s="37"/>
      <c r="AV531" s="9"/>
      <c r="AW531" s="9"/>
      <c r="AX531" s="9"/>
      <c r="AY531" s="769"/>
      <c r="AZ531" s="9"/>
      <c r="BA531" s="769"/>
      <c r="BB531" s="9"/>
      <c r="BC531" s="9"/>
      <c r="BD531" s="14"/>
      <c r="BE531" s="128"/>
      <c r="BF531" s="219"/>
      <c r="BG531" s="37"/>
      <c r="BH531" s="219"/>
      <c r="BI531" s="15"/>
    </row>
    <row r="532" spans="1:62" s="1" customFormat="1">
      <c r="B532" s="4"/>
      <c r="C532" s="4" t="s">
        <v>846</v>
      </c>
      <c r="D532" s="1365">
        <v>-4195684.74</v>
      </c>
      <c r="E532" s="1365"/>
      <c r="F532" s="1365">
        <f t="shared" ref="F532:F595" si="355">D532+E532</f>
        <v>-4195684.74</v>
      </c>
      <c r="G532" s="1365">
        <f t="shared" si="353"/>
        <v>0.25999999977648258</v>
      </c>
      <c r="H532" s="1365">
        <f>ROUND((D532+E532),0)</f>
        <v>-4195685</v>
      </c>
      <c r="I532" s="1384"/>
      <c r="J532" s="1365"/>
      <c r="K532" s="1384"/>
      <c r="L532" s="1365"/>
      <c r="M532" s="2129">
        <f t="shared" si="354"/>
        <v>-4195685</v>
      </c>
      <c r="N532" s="2259"/>
      <c r="O532" s="1058"/>
      <c r="P532" s="1482">
        <f>ROUND(-4195684.74,0)</f>
        <v>-4195685</v>
      </c>
      <c r="Q532" s="1365"/>
      <c r="R532" s="1482">
        <f>ROUND((P532+Q532),0)</f>
        <v>-4195685</v>
      </c>
      <c r="S532" s="1481"/>
      <c r="T532" s="1482"/>
      <c r="U532" s="1481"/>
      <c r="V532" s="1482"/>
      <c r="W532" s="1482">
        <f t="shared" ref="W532:W535" si="356">ROUND((R532-T532+V532),0)</f>
        <v>-4195685</v>
      </c>
      <c r="X532" s="1187"/>
      <c r="Y532" s="90">
        <v>-4195685</v>
      </c>
      <c r="Z532" s="697"/>
      <c r="AA532" s="697">
        <f>ROUND((Y532+Z532),0)</f>
        <v>-4195685</v>
      </c>
      <c r="AB532" s="253"/>
      <c r="AC532" s="90"/>
      <c r="AD532" s="253"/>
      <c r="AE532" s="90"/>
      <c r="AF532" s="697">
        <f t="shared" ref="AF532:AF535" si="357">ROUND((AA532-AC532+AE532),0)</f>
        <v>-4195685</v>
      </c>
      <c r="AG532" s="697"/>
      <c r="AH532" s="207"/>
      <c r="AI532" s="14">
        <v>-4195685</v>
      </c>
      <c r="AJ532" s="14"/>
      <c r="AK532" s="14"/>
      <c r="AL532" s="667"/>
      <c r="AM532" s="14"/>
      <c r="AN532" s="14"/>
      <c r="AO532" s="14">
        <f t="shared" ref="AO532:AO535" si="358">ROUND((AM532+AN532),0)</f>
        <v>0</v>
      </c>
      <c r="AP532" s="437"/>
      <c r="AQ532" s="14"/>
      <c r="AR532" s="437"/>
      <c r="AS532" s="14"/>
      <c r="AT532" s="14">
        <f t="shared" ref="AT532:AT535" si="359">ROUND((AO532-AQ532+AS532),0)</f>
        <v>0</v>
      </c>
      <c r="AU532" s="37"/>
      <c r="AV532" s="14"/>
      <c r="AW532" s="14"/>
      <c r="AX532" s="14">
        <f t="shared" ref="AX532:AX535" si="360">ROUND((AV532+AW532),0)</f>
        <v>0</v>
      </c>
      <c r="AY532" s="437"/>
      <c r="AZ532" s="14"/>
      <c r="BA532" s="437"/>
      <c r="BB532" s="14"/>
      <c r="BC532" s="14">
        <f t="shared" ref="BC532:BC535" si="361">ROUND((AX532-AZ532+BB532),0)</f>
        <v>0</v>
      </c>
      <c r="BD532" s="14"/>
      <c r="BE532" s="128"/>
      <c r="BF532" s="220">
        <v>0</v>
      </c>
      <c r="BG532" s="127"/>
      <c r="BH532" s="235">
        <v>0</v>
      </c>
      <c r="BI532" s="92"/>
      <c r="BJ532" s="2121"/>
    </row>
    <row r="533" spans="1:62" s="1" customFormat="1">
      <c r="B533" s="30"/>
      <c r="C533" s="44" t="s">
        <v>847</v>
      </c>
      <c r="D533" s="1374">
        <v>-478590506</v>
      </c>
      <c r="E533" s="1374">
        <v>105713338.89490768</v>
      </c>
      <c r="F533" s="1365">
        <f t="shared" si="355"/>
        <v>-372877167.10509229</v>
      </c>
      <c r="G533" s="1365">
        <f t="shared" si="353"/>
        <v>-0.10509228706359863</v>
      </c>
      <c r="H533" s="1374">
        <f>ROUND((D533+E533),0)</f>
        <v>-372877167</v>
      </c>
      <c r="I533" s="1943"/>
      <c r="J533" s="1374"/>
      <c r="K533" s="1943"/>
      <c r="L533" s="1374"/>
      <c r="M533" s="2130">
        <f t="shared" si="354"/>
        <v>-372877167</v>
      </c>
      <c r="N533" s="612">
        <f>M533+M534</f>
        <v>-343370028</v>
      </c>
      <c r="O533" s="1058">
        <f>M533+M534</f>
        <v>-343370028</v>
      </c>
      <c r="P533" s="1497">
        <v>-478590506</v>
      </c>
      <c r="Q533" s="1374">
        <f>ROUND(-10676796.9198848,0)</f>
        <v>-10676797</v>
      </c>
      <c r="R533" s="1497">
        <f>ROUND((P533+Q533),0)</f>
        <v>-489267303</v>
      </c>
      <c r="S533" s="1487"/>
      <c r="T533" s="1497"/>
      <c r="U533" s="1487"/>
      <c r="V533" s="1497"/>
      <c r="W533" s="1497">
        <f t="shared" si="356"/>
        <v>-489267303</v>
      </c>
      <c r="X533" s="1187"/>
      <c r="Y533" s="236">
        <v>-478590506</v>
      </c>
      <c r="Z533" s="713">
        <v>-10676797</v>
      </c>
      <c r="AA533" s="713">
        <f>ROUND((Y533+Z533),0)</f>
        <v>-489267303</v>
      </c>
      <c r="AB533" s="617"/>
      <c r="AC533" s="236"/>
      <c r="AD533" s="617"/>
      <c r="AE533" s="236"/>
      <c r="AF533" s="713">
        <f t="shared" si="357"/>
        <v>-489267303</v>
      </c>
      <c r="AG533" s="713"/>
      <c r="AH533" s="207"/>
      <c r="AI533" s="128">
        <v>-489267303</v>
      </c>
      <c r="AJ533" s="14"/>
      <c r="AK533" s="14"/>
      <c r="AL533" s="667"/>
      <c r="AM533" s="14">
        <v>-478590506</v>
      </c>
      <c r="AN533" s="14">
        <v>-10676797</v>
      </c>
      <c r="AO533" s="14">
        <f t="shared" si="358"/>
        <v>-489267303</v>
      </c>
      <c r="AP533" s="437"/>
      <c r="AQ533" s="14"/>
      <c r="AR533" s="437"/>
      <c r="AS533" s="14"/>
      <c r="AT533" s="14">
        <f t="shared" si="359"/>
        <v>-489267303</v>
      </c>
      <c r="AU533" s="37"/>
      <c r="AV533" s="14">
        <v>-478590506</v>
      </c>
      <c r="AW533" s="14">
        <v>-10676797</v>
      </c>
      <c r="AX533" s="14">
        <f t="shared" si="360"/>
        <v>-489267303</v>
      </c>
      <c r="AY533" s="437"/>
      <c r="AZ533" s="14"/>
      <c r="BA533" s="437"/>
      <c r="BB533" s="14"/>
      <c r="BC533" s="14">
        <f t="shared" si="361"/>
        <v>-489267303</v>
      </c>
      <c r="BD533" s="14"/>
      <c r="BE533" s="128"/>
      <c r="BF533" s="220">
        <v>-489267303</v>
      </c>
      <c r="BG533" s="37"/>
      <c r="BH533" s="235">
        <v>-606640444</v>
      </c>
      <c r="BI533" s="37"/>
      <c r="BJ533" s="2121">
        <f>AI533+AI534</f>
        <v>-368797440</v>
      </c>
    </row>
    <row r="534" spans="1:62" s="1" customFormat="1">
      <c r="B534" s="30"/>
      <c r="C534" s="85" t="s">
        <v>848</v>
      </c>
      <c r="D534" s="1391"/>
      <c r="E534" s="1391">
        <v>29507139</v>
      </c>
      <c r="F534" s="1365">
        <f t="shared" si="355"/>
        <v>29507139</v>
      </c>
      <c r="G534" s="1365">
        <f t="shared" si="353"/>
        <v>0</v>
      </c>
      <c r="H534" s="1391">
        <f>ROUND((D534+E534),0)</f>
        <v>29507139</v>
      </c>
      <c r="I534" s="1391"/>
      <c r="J534" s="1391"/>
      <c r="K534" s="1391"/>
      <c r="L534" s="1391"/>
      <c r="M534" s="2130">
        <f t="shared" si="354"/>
        <v>29507139</v>
      </c>
      <c r="N534" s="612"/>
      <c r="O534" s="1996"/>
      <c r="P534" s="1496"/>
      <c r="Q534" s="1391">
        <f>ROUND(120469862.634792,0)</f>
        <v>120469863</v>
      </c>
      <c r="R534" s="1496">
        <f>ROUND((P534+Q534),0)</f>
        <v>120469863</v>
      </c>
      <c r="S534" s="1496"/>
      <c r="T534" s="1496"/>
      <c r="U534" s="1496"/>
      <c r="V534" s="1496"/>
      <c r="W534" s="1496">
        <f t="shared" si="356"/>
        <v>120469863</v>
      </c>
      <c r="X534" s="1196"/>
      <c r="Y534" s="274"/>
      <c r="Z534" s="734">
        <v>120469863</v>
      </c>
      <c r="AA534" s="734">
        <f>ROUND((Y534+Z534),0)</f>
        <v>120469863</v>
      </c>
      <c r="AB534" s="274"/>
      <c r="AC534" s="274"/>
      <c r="AD534" s="274"/>
      <c r="AE534" s="274"/>
      <c r="AF534" s="734">
        <f t="shared" si="357"/>
        <v>120469863</v>
      </c>
      <c r="AG534" s="734"/>
      <c r="AH534" s="254"/>
      <c r="AI534" s="128">
        <v>120469863</v>
      </c>
      <c r="AJ534" s="14"/>
      <c r="AK534" s="14"/>
      <c r="AL534" s="667"/>
      <c r="AM534" s="14"/>
      <c r="AN534" s="14">
        <v>120469863</v>
      </c>
      <c r="AO534" s="14">
        <f t="shared" si="358"/>
        <v>120469863</v>
      </c>
      <c r="AP534" s="437"/>
      <c r="AQ534" s="14"/>
      <c r="AR534" s="437"/>
      <c r="AS534" s="14"/>
      <c r="AT534" s="14">
        <f t="shared" si="359"/>
        <v>120469863</v>
      </c>
      <c r="AU534" s="37"/>
      <c r="AV534" s="14"/>
      <c r="AW534" s="14">
        <v>120469863</v>
      </c>
      <c r="AX534" s="14">
        <f t="shared" si="360"/>
        <v>120469863</v>
      </c>
      <c r="AY534" s="437"/>
      <c r="AZ534" s="14"/>
      <c r="BA534" s="437"/>
      <c r="BB534" s="14"/>
      <c r="BC534" s="14">
        <f t="shared" si="361"/>
        <v>120469863</v>
      </c>
      <c r="BD534" s="14"/>
      <c r="BE534" s="128"/>
      <c r="BF534" s="220">
        <v>120469863</v>
      </c>
      <c r="BG534" s="37"/>
      <c r="BH534" s="235">
        <v>-4854833</v>
      </c>
      <c r="BI534" s="11"/>
    </row>
    <row r="535" spans="1:62" s="1" customFormat="1">
      <c r="B535" s="30"/>
      <c r="C535" s="13" t="s">
        <v>849</v>
      </c>
      <c r="D535" s="1367"/>
      <c r="E535" s="1367">
        <v>-6491570.5800000001</v>
      </c>
      <c r="F535" s="1365">
        <f t="shared" si="355"/>
        <v>-6491570.5800000001</v>
      </c>
      <c r="G535" s="1365">
        <f t="shared" si="353"/>
        <v>0.41999999992549419</v>
      </c>
      <c r="H535" s="1367">
        <f>ROUND((D535+E535),0)</f>
        <v>-6491571</v>
      </c>
      <c r="I535" s="1384"/>
      <c r="J535" s="1367"/>
      <c r="K535" s="1384"/>
      <c r="L535" s="1367"/>
      <c r="M535" s="2131">
        <f t="shared" si="354"/>
        <v>-6491571</v>
      </c>
      <c r="N535" s="1967">
        <f>M535+M532</f>
        <v>-10687256</v>
      </c>
      <c r="O535" s="1057"/>
      <c r="P535" s="1485"/>
      <c r="Q535" s="1367">
        <f>ROUND(-4079726.82,0)</f>
        <v>-4079727</v>
      </c>
      <c r="R535" s="1485">
        <f>ROUND((P535+Q535),0)</f>
        <v>-4079727</v>
      </c>
      <c r="S535" s="1481"/>
      <c r="T535" s="1485"/>
      <c r="U535" s="1481"/>
      <c r="V535" s="1485"/>
      <c r="W535" s="1485">
        <f t="shared" si="356"/>
        <v>-4079727</v>
      </c>
      <c r="X535" s="1189"/>
      <c r="Y535" s="106"/>
      <c r="Z535" s="698">
        <v>-4079727</v>
      </c>
      <c r="AA535" s="698">
        <f>ROUND((Y535+Z535),0)</f>
        <v>-4079727</v>
      </c>
      <c r="AB535" s="253"/>
      <c r="AC535" s="106"/>
      <c r="AD535" s="253"/>
      <c r="AE535" s="106"/>
      <c r="AF535" s="698">
        <f t="shared" si="357"/>
        <v>-4079727</v>
      </c>
      <c r="AG535" s="698"/>
      <c r="AH535" s="208"/>
      <c r="AI535" s="14">
        <v>-4079727</v>
      </c>
      <c r="AJ535" s="14"/>
      <c r="AK535" s="14"/>
      <c r="AL535" s="667"/>
      <c r="AM535" s="14"/>
      <c r="AN535" s="14"/>
      <c r="AO535" s="14">
        <f t="shared" si="358"/>
        <v>0</v>
      </c>
      <c r="AP535" s="437"/>
      <c r="AQ535" s="14"/>
      <c r="AR535" s="437"/>
      <c r="AS535" s="14"/>
      <c r="AT535" s="14">
        <f t="shared" si="359"/>
        <v>0</v>
      </c>
      <c r="AU535" s="37"/>
      <c r="AV535" s="14"/>
      <c r="AW535" s="14">
        <v>0</v>
      </c>
      <c r="AX535" s="14">
        <f t="shared" si="360"/>
        <v>0</v>
      </c>
      <c r="AY535" s="437"/>
      <c r="AZ535" s="14"/>
      <c r="BA535" s="437"/>
      <c r="BB535" s="14"/>
      <c r="BC535" s="14">
        <f t="shared" si="361"/>
        <v>0</v>
      </c>
      <c r="BD535" s="14"/>
      <c r="BE535" s="128"/>
      <c r="BF535" s="219"/>
      <c r="BG535" s="37"/>
      <c r="BH535" s="219"/>
      <c r="BI535" s="11"/>
    </row>
    <row r="536" spans="1:62" s="1" customFormat="1">
      <c r="B536" s="19"/>
      <c r="C536" s="19" t="s">
        <v>850</v>
      </c>
      <c r="D536" s="1369">
        <f>SUM(D531:D535)</f>
        <v>-442513773.62</v>
      </c>
      <c r="E536" s="1369">
        <f>SUM(E532:E535)</f>
        <v>128728907.31490768</v>
      </c>
      <c r="F536" s="1365">
        <f t="shared" si="355"/>
        <v>-313784866.30509233</v>
      </c>
      <c r="G536" s="1365">
        <f t="shared" si="353"/>
        <v>0.69490766525268555</v>
      </c>
      <c r="H536" s="1369">
        <f>SUM(H531:H535)</f>
        <v>-313784867</v>
      </c>
      <c r="I536" s="1944"/>
      <c r="J536" s="1369"/>
      <c r="K536" s="1944"/>
      <c r="L536" s="1369"/>
      <c r="M536" s="1369">
        <f>SUM(M531:M535)</f>
        <v>-313784867</v>
      </c>
      <c r="N536" s="226"/>
      <c r="O536" s="1469"/>
      <c r="P536" s="1488">
        <f>SUM(P532:P535)</f>
        <v>-482786191</v>
      </c>
      <c r="Q536" s="1369">
        <f>SUM(Q532:Q535)</f>
        <v>105713339</v>
      </c>
      <c r="R536" s="1488">
        <f>SUM(R532:R535)</f>
        <v>-377072852</v>
      </c>
      <c r="S536" s="1489"/>
      <c r="T536" s="1488"/>
      <c r="U536" s="1489"/>
      <c r="V536" s="1488"/>
      <c r="W536" s="1488">
        <f>SUM(W532:W535)</f>
        <v>-377072852</v>
      </c>
      <c r="X536" s="1190"/>
      <c r="Y536" s="428">
        <f>SUM(Y532:Y535)</f>
        <v>-482786191</v>
      </c>
      <c r="Z536" s="707">
        <f>SUM(Z532:Z535)</f>
        <v>105713339</v>
      </c>
      <c r="AA536" s="707">
        <f>SUM(AA532:AA535)</f>
        <v>-377072852</v>
      </c>
      <c r="AB536" s="601"/>
      <c r="AC536" s="223"/>
      <c r="AD536" s="601"/>
      <c r="AE536" s="223"/>
      <c r="AF536" s="707">
        <f>SUM(AF532:AF535)</f>
        <v>-377072852</v>
      </c>
      <c r="AG536" s="707"/>
      <c r="AH536" s="228"/>
      <c r="AI536" s="428">
        <f>SUM(AI532:AI535)</f>
        <v>-377072852</v>
      </c>
      <c r="AJ536" s="428"/>
      <c r="AK536" s="428"/>
      <c r="AL536" s="670"/>
      <c r="AM536" s="428">
        <f>SUM(AM532:AM535)</f>
        <v>-478590506</v>
      </c>
      <c r="AN536" s="428">
        <f>SUM(AN532:AN535)</f>
        <v>109793066</v>
      </c>
      <c r="AO536" s="428">
        <f>SUM(AO532:AO535)</f>
        <v>-368797440</v>
      </c>
      <c r="AP536" s="762"/>
      <c r="AQ536" s="428"/>
      <c r="AR536" s="762"/>
      <c r="AS536" s="428"/>
      <c r="AT536" s="428">
        <f>SUM(AT532:AT535)</f>
        <v>-368797440</v>
      </c>
      <c r="AU536" s="29"/>
      <c r="AV536" s="428">
        <f>SUM(AV532:AV535)</f>
        <v>-478590506</v>
      </c>
      <c r="AW536" s="428">
        <f>SUM(AW532:AW535)</f>
        <v>109793066</v>
      </c>
      <c r="AX536" s="428">
        <f>SUM(AX532:AX535)</f>
        <v>-368797440</v>
      </c>
      <c r="AY536" s="762"/>
      <c r="AZ536" s="428"/>
      <c r="BA536" s="762"/>
      <c r="BB536" s="428"/>
      <c r="BC536" s="428">
        <f>SUM(BC532:BC535)</f>
        <v>-368797440</v>
      </c>
      <c r="BD536" s="138"/>
      <c r="BE536" s="28"/>
      <c r="BF536" s="428">
        <f>SUM(BF532:BF535)</f>
        <v>-368797440</v>
      </c>
      <c r="BG536" s="29"/>
      <c r="BH536" s="428">
        <f>SUM(BH532:BH535)</f>
        <v>-611495277</v>
      </c>
      <c r="BI536" s="29"/>
    </row>
    <row r="537" spans="1:62" s="1" customFormat="1" hidden="1">
      <c r="B537" s="2"/>
      <c r="C537" s="2"/>
      <c r="D537" s="1396"/>
      <c r="E537" s="1396"/>
      <c r="F537" s="1365">
        <f t="shared" si="355"/>
        <v>0</v>
      </c>
      <c r="G537" s="1365">
        <f t="shared" si="353"/>
        <v>0</v>
      </c>
      <c r="H537" s="1396"/>
      <c r="I537" s="1945"/>
      <c r="J537" s="1396"/>
      <c r="K537" s="1945"/>
      <c r="L537" s="1396"/>
      <c r="M537" s="1396"/>
      <c r="N537" s="2260"/>
      <c r="O537" s="2006"/>
      <c r="P537" s="1533"/>
      <c r="Q537" s="1396"/>
      <c r="R537" s="1533"/>
      <c r="S537" s="1491"/>
      <c r="T537" s="1533"/>
      <c r="U537" s="1491"/>
      <c r="V537" s="1533"/>
      <c r="W537" s="1533"/>
      <c r="X537" s="1207"/>
      <c r="Y537" s="440"/>
      <c r="Z537" s="739"/>
      <c r="AA537" s="739"/>
      <c r="AB537" s="253"/>
      <c r="AC537" s="118"/>
      <c r="AD537" s="253"/>
      <c r="AE537" s="118"/>
      <c r="AF537" s="739"/>
      <c r="AG537" s="1169"/>
      <c r="AH537" s="209"/>
      <c r="AI537" s="440"/>
      <c r="AJ537" s="655"/>
      <c r="AK537" s="655"/>
      <c r="AL537" s="668"/>
      <c r="AM537" s="655"/>
      <c r="AN537" s="655"/>
      <c r="AO537" s="655"/>
      <c r="AP537" s="773"/>
      <c r="AQ537" s="655"/>
      <c r="AR537" s="773"/>
      <c r="AS537" s="655"/>
      <c r="AT537" s="655"/>
      <c r="AU537" s="36"/>
      <c r="AV537" s="655"/>
      <c r="AW537" s="655"/>
      <c r="AX537" s="655"/>
      <c r="AY537" s="773"/>
      <c r="AZ537" s="655"/>
      <c r="BA537" s="773"/>
      <c r="BB537" s="655"/>
      <c r="BC537" s="655"/>
      <c r="BD537" s="53"/>
      <c r="BE537" s="42"/>
      <c r="BF537" s="440"/>
      <c r="BG537" s="43"/>
      <c r="BH537" s="440"/>
      <c r="BI537" s="36"/>
    </row>
    <row r="538" spans="1:62" s="1" customFormat="1">
      <c r="B538" s="31"/>
      <c r="C538" s="31" t="s">
        <v>851</v>
      </c>
      <c r="D538" s="1371">
        <f>D536+D529+D525+D520</f>
        <v>155046688097.22052</v>
      </c>
      <c r="E538" s="1371">
        <f>E536+E529+E525+E520</f>
        <v>25093464948.487015</v>
      </c>
      <c r="F538" s="1365">
        <f t="shared" si="355"/>
        <v>180140153045.70752</v>
      </c>
      <c r="G538" s="1365">
        <f t="shared" si="353"/>
        <v>1.0675048828125</v>
      </c>
      <c r="H538" s="1371">
        <f>H536+H529+H525+H520</f>
        <v>180140153044.64001</v>
      </c>
      <c r="I538" s="1946"/>
      <c r="J538" s="1371"/>
      <c r="K538" s="1946"/>
      <c r="L538" s="1371"/>
      <c r="M538" s="1371">
        <f>M536+M529+M525+M520</f>
        <v>179090153044</v>
      </c>
      <c r="N538" s="226"/>
      <c r="O538" s="2007"/>
      <c r="P538" s="1492">
        <f>P536+P529+P525+P520</f>
        <v>155721790181.56</v>
      </c>
      <c r="Q538" s="1371">
        <f>Q536+Q529+Q525+Q520</f>
        <v>25691713761</v>
      </c>
      <c r="R538" s="1492">
        <f>R536+R529+R525+R520</f>
        <v>181413503943</v>
      </c>
      <c r="S538" s="1493"/>
      <c r="T538" s="1492"/>
      <c r="U538" s="1493"/>
      <c r="V538" s="1492"/>
      <c r="W538" s="1492">
        <f>W536+W529+W525+W520</f>
        <v>180363503945</v>
      </c>
      <c r="X538" s="1191"/>
      <c r="Y538" s="430">
        <f>Y536+Y529+Y525+Y520</f>
        <v>85798116846</v>
      </c>
      <c r="Z538" s="709">
        <f>Z536+Z529+Z525+Z520</f>
        <v>25417876381</v>
      </c>
      <c r="AA538" s="709">
        <f>AA536+AA529+AA525+AA520</f>
        <v>111215993227</v>
      </c>
      <c r="AB538" s="602"/>
      <c r="AC538" s="229"/>
      <c r="AD538" s="602"/>
      <c r="AE538" s="229"/>
      <c r="AF538" s="709">
        <f>AF536+AF529+AF525+AF520</f>
        <v>110165993229</v>
      </c>
      <c r="AG538" s="709"/>
      <c r="AH538" s="230"/>
      <c r="AI538" s="430">
        <f>AI536+AI529+AI525+AI520</f>
        <v>109294073770</v>
      </c>
      <c r="AJ538" s="430"/>
      <c r="AK538" s="430"/>
      <c r="AL538" s="670"/>
      <c r="AM538" s="430">
        <f>AM536+AM529+AM525+AM520</f>
        <v>84535779523</v>
      </c>
      <c r="AN538" s="430">
        <f>AN536+AN529+AN525+AN520</f>
        <v>23834410529</v>
      </c>
      <c r="AO538" s="430">
        <f>AO536+AO529+AO525+AO520</f>
        <v>108370190052</v>
      </c>
      <c r="AP538" s="763"/>
      <c r="AQ538" s="430"/>
      <c r="AR538" s="763"/>
      <c r="AS538" s="430"/>
      <c r="AT538" s="430">
        <f>AT536+AT529+AT525+AT520</f>
        <v>108370190052</v>
      </c>
      <c r="AU538" s="33"/>
      <c r="AV538" s="430">
        <f>AV536+AV529+AV525+AV520</f>
        <v>84401437977</v>
      </c>
      <c r="AW538" s="430">
        <f>AW536+AW529+AW525+AW520</f>
        <v>24000334319</v>
      </c>
      <c r="AX538" s="430">
        <f>AX536+AX529+AX525+AX520</f>
        <v>108401772296</v>
      </c>
      <c r="AY538" s="763"/>
      <c r="AZ538" s="430"/>
      <c r="BA538" s="763"/>
      <c r="BB538" s="430"/>
      <c r="BC538" s="430">
        <f>BC536+BC529+BC525+BC520</f>
        <v>108401772296</v>
      </c>
      <c r="BD538" s="138"/>
      <c r="BE538" s="32"/>
      <c r="BF538" s="430">
        <f>BF536+BF529+BF525+BF520</f>
        <v>107556897781</v>
      </c>
      <c r="BG538" s="33"/>
      <c r="BH538" s="430">
        <f>BH536+BH529+BH525+BH520</f>
        <v>101076144702</v>
      </c>
      <c r="BI538" s="33"/>
    </row>
    <row r="539" spans="1:62" s="1" customFormat="1">
      <c r="B539" s="62"/>
      <c r="C539" s="62" t="s">
        <v>852</v>
      </c>
      <c r="D539" s="1382">
        <f>D506+D538</f>
        <v>322471846709.23053</v>
      </c>
      <c r="E539" s="1382">
        <f>E506+E538</f>
        <v>236707357031.70697</v>
      </c>
      <c r="F539" s="1365">
        <f t="shared" si="355"/>
        <v>559179203740.9375</v>
      </c>
      <c r="G539" s="1365">
        <f t="shared" si="353"/>
        <v>0.9375</v>
      </c>
      <c r="H539" s="1382">
        <f>H506+H538</f>
        <v>559179203740</v>
      </c>
      <c r="I539" s="1951"/>
      <c r="J539" s="1382"/>
      <c r="K539" s="1951"/>
      <c r="L539" s="1382"/>
      <c r="M539" s="1382">
        <f>M506+M538</f>
        <v>437269373703</v>
      </c>
      <c r="N539" s="2263"/>
      <c r="O539" s="2008"/>
      <c r="P539" s="1511">
        <f>P506+P538</f>
        <v>303311159345.5</v>
      </c>
      <c r="Q539" s="1382">
        <f>Q506+Q538</f>
        <v>238370059672.5</v>
      </c>
      <c r="R539" s="1511">
        <f>R506+R538</f>
        <v>541681219019</v>
      </c>
      <c r="S539" s="1512"/>
      <c r="T539" s="1511"/>
      <c r="U539" s="1512"/>
      <c r="V539" s="1511"/>
      <c r="W539" s="1511">
        <f>W506+W538</f>
        <v>408113666679</v>
      </c>
      <c r="X539" s="1193"/>
      <c r="Y539" s="435">
        <f>Y506+Y538</f>
        <v>264940920774</v>
      </c>
      <c r="Z539" s="723">
        <f>Z506+Z538</f>
        <v>246014059585</v>
      </c>
      <c r="AA539" s="723">
        <f>AA506+AA538</f>
        <v>510954980359</v>
      </c>
      <c r="AB539" s="607"/>
      <c r="AC539" s="249"/>
      <c r="AD539" s="607"/>
      <c r="AE539" s="249"/>
      <c r="AF539" s="723">
        <f>AF506+AF538</f>
        <v>347660437458</v>
      </c>
      <c r="AG539" s="723"/>
      <c r="AH539" s="250"/>
      <c r="AI539" s="435">
        <f>AI506+AI538</f>
        <v>345325322995</v>
      </c>
      <c r="AJ539" s="435"/>
      <c r="AK539" s="435"/>
      <c r="AL539" s="677"/>
      <c r="AM539" s="435">
        <f>AM506+AM538</f>
        <v>281676261822</v>
      </c>
      <c r="AN539" s="435">
        <f>AN506+AN538</f>
        <v>234780115544</v>
      </c>
      <c r="AO539" s="435">
        <f>AO506+AO538</f>
        <v>516456377366</v>
      </c>
      <c r="AP539" s="768"/>
      <c r="AQ539" s="435"/>
      <c r="AR539" s="768"/>
      <c r="AS539" s="435"/>
      <c r="AT539" s="435">
        <f>AT506+AT538</f>
        <v>331143637453</v>
      </c>
      <c r="AU539" s="64"/>
      <c r="AV539" s="435">
        <f>AV506+AV538</f>
        <v>274636437821</v>
      </c>
      <c r="AW539" s="435">
        <f>AW506+AW538</f>
        <v>226439584572</v>
      </c>
      <c r="AX539" s="435">
        <f>AX506+AX538</f>
        <v>501076022393</v>
      </c>
      <c r="AY539" s="768"/>
      <c r="AZ539" s="435"/>
      <c r="BA539" s="768"/>
      <c r="BB539" s="435"/>
      <c r="BC539" s="435">
        <f>BC506+BC538</f>
        <v>356531626434</v>
      </c>
      <c r="BD539" s="1154"/>
      <c r="BE539" s="63"/>
      <c r="BF539" s="435">
        <f>BF506+BF538</f>
        <v>307658424229</v>
      </c>
      <c r="BG539" s="64"/>
      <c r="BH539" s="435">
        <f>BH506+BH538</f>
        <v>262715700580</v>
      </c>
      <c r="BI539" s="64"/>
    </row>
    <row r="540" spans="1:62" s="1" customFormat="1">
      <c r="B540" s="2" t="s">
        <v>853</v>
      </c>
      <c r="C540" s="4"/>
      <c r="D540" s="1365"/>
      <c r="E540" s="1365"/>
      <c r="F540" s="1365">
        <f t="shared" si="355"/>
        <v>0</v>
      </c>
      <c r="G540" s="1365">
        <f t="shared" si="353"/>
        <v>0</v>
      </c>
      <c r="H540" s="1365"/>
      <c r="I540" s="1384"/>
      <c r="J540" s="1365"/>
      <c r="K540" s="1384"/>
      <c r="L540" s="1365"/>
      <c r="M540" s="1365"/>
      <c r="N540" s="2259"/>
      <c r="O540" s="1058"/>
      <c r="P540" s="1482"/>
      <c r="Q540" s="1365"/>
      <c r="R540" s="1482"/>
      <c r="S540" s="1481"/>
      <c r="T540" s="1482"/>
      <c r="U540" s="1481"/>
      <c r="V540" s="1482"/>
      <c r="W540" s="1482"/>
      <c r="X540" s="1187"/>
      <c r="Y540" s="90"/>
      <c r="Z540" s="697"/>
      <c r="AA540" s="697"/>
      <c r="AB540" s="253"/>
      <c r="AC540" s="90"/>
      <c r="AD540" s="253"/>
      <c r="AE540" s="90"/>
      <c r="AF540" s="90"/>
      <c r="AG540" s="90"/>
      <c r="AH540" s="207"/>
      <c r="AI540" s="14"/>
      <c r="AJ540" s="14"/>
      <c r="AK540" s="14"/>
      <c r="AL540" s="667"/>
      <c r="AM540" s="14"/>
      <c r="AN540" s="14"/>
      <c r="AO540" s="14"/>
      <c r="AP540" s="437"/>
      <c r="AQ540" s="14"/>
      <c r="AR540" s="437"/>
      <c r="AS540" s="14"/>
      <c r="AT540" s="14"/>
      <c r="AU540" s="37"/>
      <c r="AV540" s="14"/>
      <c r="AW540" s="14"/>
      <c r="AX540" s="14"/>
      <c r="AY540" s="437"/>
      <c r="AZ540" s="14"/>
      <c r="BA540" s="437"/>
      <c r="BB540" s="14"/>
      <c r="BC540" s="14"/>
      <c r="BD540" s="14"/>
      <c r="BE540" s="128"/>
      <c r="BF540" s="220"/>
      <c r="BG540" s="37"/>
      <c r="BH540" s="220"/>
      <c r="BI540" s="11"/>
    </row>
    <row r="541" spans="1:62" s="1" customFormat="1">
      <c r="B541" s="2" t="s">
        <v>854</v>
      </c>
      <c r="C541" s="34"/>
      <c r="D541" s="1372"/>
      <c r="E541" s="1372"/>
      <c r="F541" s="1365">
        <f t="shared" si="355"/>
        <v>0</v>
      </c>
      <c r="G541" s="1365">
        <f t="shared" si="353"/>
        <v>0</v>
      </c>
      <c r="H541" s="1372"/>
      <c r="I541" s="1384"/>
      <c r="J541" s="1372"/>
      <c r="K541" s="1384"/>
      <c r="L541" s="1372"/>
      <c r="M541" s="1372"/>
      <c r="N541" s="280"/>
      <c r="O541" s="1997"/>
      <c r="P541" s="1494"/>
      <c r="Q541" s="1372"/>
      <c r="R541" s="1494"/>
      <c r="S541" s="1481"/>
      <c r="T541" s="1494"/>
      <c r="U541" s="1481"/>
      <c r="V541" s="1494"/>
      <c r="W541" s="1494"/>
      <c r="X541" s="1192"/>
      <c r="Y541" s="231"/>
      <c r="Z541" s="710"/>
      <c r="AA541" s="710"/>
      <c r="AB541" s="253"/>
      <c r="AC541" s="231"/>
      <c r="AD541" s="253"/>
      <c r="AE541" s="231"/>
      <c r="AF541" s="231"/>
      <c r="AG541" s="231"/>
      <c r="AH541" s="232"/>
      <c r="AI541" s="14"/>
      <c r="AJ541" s="14"/>
      <c r="AK541" s="14"/>
      <c r="AL541" s="667"/>
      <c r="AM541" s="14"/>
      <c r="AN541" s="14"/>
      <c r="AO541" s="14"/>
      <c r="AP541" s="437"/>
      <c r="AQ541" s="14"/>
      <c r="AR541" s="437"/>
      <c r="AS541" s="14"/>
      <c r="AT541" s="14"/>
      <c r="AU541" s="37"/>
      <c r="AV541" s="14"/>
      <c r="AW541" s="14"/>
      <c r="AX541" s="14"/>
      <c r="AY541" s="437"/>
      <c r="AZ541" s="14"/>
      <c r="BA541" s="437"/>
      <c r="BB541" s="14"/>
      <c r="BC541" s="14"/>
      <c r="BD541" s="14"/>
      <c r="BE541" s="128"/>
      <c r="BF541" s="220"/>
      <c r="BG541" s="37"/>
      <c r="BH541" s="235"/>
      <c r="BI541" s="11"/>
    </row>
    <row r="542" spans="1:62" s="1" customFormat="1">
      <c r="B542" s="2"/>
      <c r="C542" s="13" t="s">
        <v>855</v>
      </c>
      <c r="D542" s="1367">
        <v>171791932076.79999</v>
      </c>
      <c r="E542" s="1367">
        <v>147389690106</v>
      </c>
      <c r="F542" s="1365">
        <f t="shared" si="355"/>
        <v>319181622182.79999</v>
      </c>
      <c r="G542" s="1365">
        <f t="shared" si="353"/>
        <v>0</v>
      </c>
      <c r="H542" s="1367">
        <f>D542+E542</f>
        <v>319181622182.79999</v>
      </c>
      <c r="I542" s="1384"/>
      <c r="J542" s="1367"/>
      <c r="K542" s="1384"/>
      <c r="L542" s="1367"/>
      <c r="M542" s="1367">
        <f>H542-J542+L542</f>
        <v>319181622182.79999</v>
      </c>
      <c r="N542" s="1967"/>
      <c r="O542" s="1057"/>
      <c r="P542" s="1485">
        <f>ROUND(87688651423.5,0)</f>
        <v>87688651424</v>
      </c>
      <c r="Q542" s="1367">
        <f>ROUND(69923633742.22,0)</f>
        <v>69923633742</v>
      </c>
      <c r="R542" s="1485">
        <f>P542+Q542</f>
        <v>157612285166</v>
      </c>
      <c r="S542" s="1481"/>
      <c r="T542" s="1485"/>
      <c r="U542" s="1481"/>
      <c r="V542" s="1485"/>
      <c r="W542" s="1485">
        <f>R542-T542+V542</f>
        <v>157612285166</v>
      </c>
      <c r="X542" s="1189"/>
      <c r="Y542" s="106">
        <v>59135376368</v>
      </c>
      <c r="Z542" s="698">
        <v>45548974818</v>
      </c>
      <c r="AA542" s="698">
        <f>Y542+Z542</f>
        <v>104684351186</v>
      </c>
      <c r="AB542" s="253"/>
      <c r="AC542" s="106"/>
      <c r="AD542" s="253"/>
      <c r="AE542" s="106"/>
      <c r="AF542" s="967">
        <f>AA542-AC542+AE542</f>
        <v>104684351186</v>
      </c>
      <c r="AG542" s="967"/>
      <c r="AH542" s="208"/>
      <c r="AI542" s="955">
        <f>ROUND(208101637385.5,0)</f>
        <v>208101637386</v>
      </c>
      <c r="AJ542" s="955"/>
      <c r="AK542" s="955"/>
      <c r="AL542" s="667"/>
      <c r="AM542" s="14">
        <v>134989855636</v>
      </c>
      <c r="AN542" s="14">
        <v>24579001760</v>
      </c>
      <c r="AO542" s="14">
        <f>AM542+AN542</f>
        <v>159568857396</v>
      </c>
      <c r="AP542" s="437"/>
      <c r="AQ542" s="14"/>
      <c r="AR542" s="437"/>
      <c r="AS542" s="14"/>
      <c r="AT542" s="14">
        <f>AO542-AQ542+AS542</f>
        <v>159568857396</v>
      </c>
      <c r="AU542" s="37"/>
      <c r="AV542" s="14">
        <v>100683910942</v>
      </c>
      <c r="AW542" s="14">
        <v>18778297150</v>
      </c>
      <c r="AX542" s="14">
        <f>AV542+AW542</f>
        <v>119462208092</v>
      </c>
      <c r="AY542" s="437"/>
      <c r="AZ542" s="14"/>
      <c r="BA542" s="437"/>
      <c r="BB542" s="14"/>
      <c r="BC542" s="14">
        <f>AX542-AZ542+BB542</f>
        <v>119462208092</v>
      </c>
      <c r="BD542" s="14"/>
      <c r="BE542" s="128"/>
      <c r="BF542" s="220">
        <v>379749905439</v>
      </c>
      <c r="BG542" s="37"/>
      <c r="BH542" s="235">
        <v>296558327596</v>
      </c>
      <c r="BI542" s="11"/>
    </row>
    <row r="543" spans="1:62" s="1" customFormat="1">
      <c r="B543" s="2"/>
      <c r="C543" s="13"/>
      <c r="D543" s="1367"/>
      <c r="E543" s="1367"/>
      <c r="F543" s="1365">
        <f t="shared" si="355"/>
        <v>0</v>
      </c>
      <c r="G543" s="1365">
        <f t="shared" si="353"/>
        <v>0</v>
      </c>
      <c r="H543" s="1367"/>
      <c r="I543" s="1384"/>
      <c r="J543" s="1367"/>
      <c r="K543" s="1384"/>
      <c r="L543" s="1367"/>
      <c r="M543" s="1367"/>
      <c r="N543" s="1967"/>
      <c r="O543" s="1057"/>
      <c r="P543" s="1485"/>
      <c r="Q543" s="1367"/>
      <c r="R543" s="1485"/>
      <c r="S543" s="1481"/>
      <c r="T543" s="1485"/>
      <c r="U543" s="1481"/>
      <c r="V543" s="1485"/>
      <c r="W543" s="1485"/>
      <c r="X543" s="1189"/>
      <c r="Y543" s="106">
        <v>0</v>
      </c>
      <c r="Z543" s="698">
        <v>0</v>
      </c>
      <c r="AA543" s="698"/>
      <c r="AB543" s="253"/>
      <c r="AC543" s="106"/>
      <c r="AD543" s="253"/>
      <c r="AE543" s="106"/>
      <c r="AF543" s="967"/>
      <c r="AG543" s="967"/>
      <c r="AH543" s="208"/>
      <c r="AI543" s="947"/>
      <c r="AJ543" s="947"/>
      <c r="AK543" s="947"/>
      <c r="AL543" s="667"/>
      <c r="AM543" s="14"/>
      <c r="AN543" s="14"/>
      <c r="AO543" s="14"/>
      <c r="AP543" s="437"/>
      <c r="AQ543" s="14"/>
      <c r="AR543" s="437"/>
      <c r="AS543" s="14"/>
      <c r="AT543" s="14"/>
      <c r="AU543" s="37"/>
      <c r="AV543" s="14"/>
      <c r="AW543" s="14"/>
      <c r="AX543" s="14"/>
      <c r="AY543" s="437"/>
      <c r="AZ543" s="14"/>
      <c r="BA543" s="437"/>
      <c r="BB543" s="14"/>
      <c r="BC543" s="14"/>
      <c r="BD543" s="14"/>
      <c r="BE543" s="128"/>
      <c r="BF543" s="220"/>
      <c r="BG543" s="37"/>
      <c r="BH543" s="235"/>
      <c r="BI543" s="11"/>
    </row>
    <row r="544" spans="1:62" s="1" customFormat="1">
      <c r="B544" s="2" t="s">
        <v>856</v>
      </c>
      <c r="C544" s="13"/>
      <c r="D544" s="1367"/>
      <c r="E544" s="1367"/>
      <c r="F544" s="1365">
        <f t="shared" si="355"/>
        <v>0</v>
      </c>
      <c r="G544" s="1365">
        <f t="shared" si="353"/>
        <v>0</v>
      </c>
      <c r="H544" s="1367"/>
      <c r="I544" s="1384"/>
      <c r="J544" s="1367"/>
      <c r="K544" s="1384"/>
      <c r="L544" s="1367"/>
      <c r="M544" s="1367"/>
      <c r="N544" s="1967"/>
      <c r="O544" s="1057"/>
      <c r="P544" s="1485"/>
      <c r="Q544" s="1367"/>
      <c r="R544" s="1485"/>
      <c r="S544" s="1481"/>
      <c r="T544" s="1485"/>
      <c r="U544" s="1481"/>
      <c r="V544" s="1485"/>
      <c r="W544" s="1485"/>
      <c r="X544" s="1189"/>
      <c r="Y544" s="106">
        <v>0</v>
      </c>
      <c r="Z544" s="698">
        <v>0</v>
      </c>
      <c r="AA544" s="698"/>
      <c r="AB544" s="253"/>
      <c r="AC544" s="106"/>
      <c r="AD544" s="253"/>
      <c r="AE544" s="106"/>
      <c r="AF544" s="967"/>
      <c r="AG544" s="967"/>
      <c r="AH544" s="208"/>
      <c r="AI544" s="947"/>
      <c r="AJ544" s="947"/>
      <c r="AK544" s="947"/>
      <c r="AL544" s="667"/>
      <c r="AM544" s="14"/>
      <c r="AN544" s="14"/>
      <c r="AO544" s="14"/>
      <c r="AP544" s="437"/>
      <c r="AQ544" s="14"/>
      <c r="AR544" s="437"/>
      <c r="AS544" s="14"/>
      <c r="AT544" s="14"/>
      <c r="AU544" s="37"/>
      <c r="AV544" s="14"/>
      <c r="AW544" s="14"/>
      <c r="AX544" s="14"/>
      <c r="AY544" s="437"/>
      <c r="AZ544" s="14"/>
      <c r="BA544" s="437"/>
      <c r="BB544" s="14"/>
      <c r="BC544" s="14"/>
      <c r="BD544" s="14"/>
      <c r="BE544" s="128"/>
      <c r="BF544" s="220"/>
      <c r="BG544" s="37"/>
      <c r="BH544" s="235">
        <v>0</v>
      </c>
      <c r="BI544" s="11"/>
    </row>
    <row r="545" spans="2:61" s="1" customFormat="1">
      <c r="B545" s="30"/>
      <c r="C545" s="13" t="s">
        <v>855</v>
      </c>
      <c r="D545" s="1367">
        <v>16557769585.389999</v>
      </c>
      <c r="E545" s="1367">
        <v>29816732731.689999</v>
      </c>
      <c r="F545" s="1365">
        <f t="shared" si="355"/>
        <v>46374502317.080002</v>
      </c>
      <c r="G545" s="1365">
        <f t="shared" si="353"/>
        <v>0</v>
      </c>
      <c r="H545" s="1367">
        <f t="shared" ref="H545:H551" si="362">D545+E545</f>
        <v>46374502317.080002</v>
      </c>
      <c r="I545" s="1384" t="str">
        <f>'ELIM &amp; CAJE Des 24'!A21</f>
        <v>ELIM 5</v>
      </c>
      <c r="J545" s="1367">
        <f>'ELIM &amp; CAJE Des 24'!H21</f>
        <v>29814768331.690002</v>
      </c>
      <c r="K545" s="1384"/>
      <c r="L545" s="1367"/>
      <c r="M545" s="1367">
        <f>H545-J545-J546+L545</f>
        <v>1488375402.2699928</v>
      </c>
      <c r="N545" s="1967"/>
      <c r="O545" s="1057"/>
      <c r="P545" s="1485">
        <f>ROUND(12606432941.68,0)</f>
        <v>12606432942</v>
      </c>
      <c r="Q545" s="1367">
        <f>ROUND(19248792283.26,0)</f>
        <v>19248792283</v>
      </c>
      <c r="R545" s="1485">
        <f t="shared" ref="R545:R551" si="363">P545+Q545</f>
        <v>31855225225</v>
      </c>
      <c r="S545" s="1481" t="str">
        <f>'ELIM &amp; CAJE Sept 24'!B21</f>
        <v>ELIM 5</v>
      </c>
      <c r="T545" s="1485">
        <f>'ELIM &amp; CAJE Sept 24'!I21</f>
        <v>19246827883</v>
      </c>
      <c r="U545" s="1481"/>
      <c r="V545" s="1485"/>
      <c r="W545" s="1485">
        <f>R545-T545-T546+V545</f>
        <v>1406512146</v>
      </c>
      <c r="X545" s="1189"/>
      <c r="Y545" s="106">
        <v>7176230320</v>
      </c>
      <c r="Z545" s="698">
        <v>12318693328</v>
      </c>
      <c r="AA545" s="698">
        <f t="shared" ref="AA545:AA551" si="364">Y545+Z545</f>
        <v>19494923648</v>
      </c>
      <c r="AB545" s="253" t="str">
        <f>'ELIM &amp; CAJE Juni 24'!B21</f>
        <v>ELIM 5</v>
      </c>
      <c r="AC545" s="106">
        <f>'ELIM &amp; CAJE Juni 24'!I21</f>
        <v>12316866928</v>
      </c>
      <c r="AD545" s="253"/>
      <c r="AE545" s="106"/>
      <c r="AF545" s="1056">
        <f>AA545-AC545-AC546+AE545</f>
        <v>952791705</v>
      </c>
      <c r="AG545" s="1056"/>
      <c r="AH545" s="208"/>
      <c r="AI545" s="14">
        <v>640823781</v>
      </c>
      <c r="AJ545" s="947"/>
      <c r="AK545" s="947"/>
      <c r="AL545" s="667"/>
      <c r="AM545" s="14">
        <v>10652081484</v>
      </c>
      <c r="AN545" s="14">
        <v>71341582258</v>
      </c>
      <c r="AO545" s="14">
        <f t="shared" ref="AO545:AO551" si="365">AM545+AN545</f>
        <v>81993663742</v>
      </c>
      <c r="AP545" s="437" t="str">
        <f>'ELIM &amp; CAJE Sept 23'!A16</f>
        <v>ELIM 4</v>
      </c>
      <c r="AQ545" s="14">
        <f>'ELIM &amp; CAJE Sept 23'!H16</f>
        <v>71326250958</v>
      </c>
      <c r="AR545" s="437"/>
      <c r="AS545" s="14"/>
      <c r="AT545" s="14">
        <f>AO545-AQ545-AQ546+AS545</f>
        <v>337674408</v>
      </c>
      <c r="AU545" s="37"/>
      <c r="AV545" s="14">
        <v>7690808202</v>
      </c>
      <c r="AW545" s="14">
        <v>52210736707</v>
      </c>
      <c r="AX545" s="14">
        <f t="shared" ref="AX545:AX551" si="366">AV545+AW545</f>
        <v>59901544909</v>
      </c>
      <c r="AY545" s="437" t="str">
        <f>'ELIM Juni 23'!A16</f>
        <v>ELIM 4</v>
      </c>
      <c r="AZ545" s="14">
        <f>'ELIM Juni 23'!H16</f>
        <v>52200380108</v>
      </c>
      <c r="BA545" s="437"/>
      <c r="BB545" s="14"/>
      <c r="BC545" s="14">
        <f>AX545-AZ545-AZ546+BB545</f>
        <v>125438699</v>
      </c>
      <c r="BD545" s="14"/>
      <c r="BE545" s="128"/>
      <c r="BF545" s="220">
        <v>341890306</v>
      </c>
      <c r="BG545" s="37">
        <v>705936314</v>
      </c>
      <c r="BH545" s="235">
        <v>4780037989</v>
      </c>
      <c r="BI545" s="11"/>
    </row>
    <row r="546" spans="2:61" s="1" customFormat="1">
      <c r="B546" s="30"/>
      <c r="C546" s="13"/>
      <c r="D546" s="1367"/>
      <c r="E546" s="1367"/>
      <c r="F546" s="1365">
        <f t="shared" si="355"/>
        <v>0</v>
      </c>
      <c r="G546" s="1365">
        <f t="shared" si="353"/>
        <v>0</v>
      </c>
      <c r="H546" s="1367">
        <f t="shared" si="362"/>
        <v>0</v>
      </c>
      <c r="I546" s="1384" t="str">
        <f>'ELIM &amp; CAJE Des 24'!A27</f>
        <v>ELIM 6</v>
      </c>
      <c r="J546" s="1367">
        <f>'ELIM &amp; CAJE Des 24'!H27</f>
        <v>15071358583.120007</v>
      </c>
      <c r="K546" s="1384"/>
      <c r="L546" s="1367"/>
      <c r="M546" s="1367"/>
      <c r="N546" s="1967"/>
      <c r="O546" s="1057"/>
      <c r="P546" s="1485"/>
      <c r="Q546" s="1367"/>
      <c r="R546" s="1485">
        <f t="shared" si="363"/>
        <v>0</v>
      </c>
      <c r="S546" s="1481" t="str">
        <f>'ELIM &amp; CAJE Sept 24'!B27</f>
        <v>ELIM 6</v>
      </c>
      <c r="T546" s="1485">
        <f>'ELIM &amp; CAJE Sept 24'!I27</f>
        <v>11201885196</v>
      </c>
      <c r="U546" s="1481"/>
      <c r="V546" s="1485"/>
      <c r="W546" s="1485"/>
      <c r="X546" s="1189"/>
      <c r="Y546" s="106"/>
      <c r="Z546" s="698">
        <v>0</v>
      </c>
      <c r="AA546" s="698">
        <f t="shared" si="364"/>
        <v>0</v>
      </c>
      <c r="AB546" s="253" t="str">
        <f>'ELIM &amp; CAJE Juni 24'!B27</f>
        <v>ELIM 6</v>
      </c>
      <c r="AC546" s="106">
        <f>'ELIM &amp; CAJE Juni 24'!I27</f>
        <v>6225265015</v>
      </c>
      <c r="AD546" s="253"/>
      <c r="AE546" s="106"/>
      <c r="AF546" s="967"/>
      <c r="AG546" s="967"/>
      <c r="AH546" s="208"/>
      <c r="AI546" s="14"/>
      <c r="AJ546" s="947"/>
      <c r="AK546" s="947"/>
      <c r="AL546" s="667"/>
      <c r="AM546" s="14"/>
      <c r="AN546" s="14"/>
      <c r="AO546" s="14">
        <f t="shared" si="365"/>
        <v>0</v>
      </c>
      <c r="AP546" s="437" t="str">
        <f>'ELIM &amp; CAJE Sept 23'!A22</f>
        <v>ELIM 5</v>
      </c>
      <c r="AQ546" s="14">
        <f>'ELIM &amp; CAJE Sept 23'!H22</f>
        <v>10329738376</v>
      </c>
      <c r="AR546" s="437"/>
      <c r="AS546" s="14"/>
      <c r="AT546" s="14"/>
      <c r="AU546" s="37"/>
      <c r="AV546" s="14"/>
      <c r="AW546" s="14"/>
      <c r="AX546" s="14">
        <f t="shared" si="366"/>
        <v>0</v>
      </c>
      <c r="AY546" s="437" t="str">
        <f>'ELIM Juni 23'!A22</f>
        <v>ELIM 5</v>
      </c>
      <c r="AZ546" s="14">
        <f>'ELIM Juni 23'!H22</f>
        <v>7575726102</v>
      </c>
      <c r="BA546" s="437"/>
      <c r="BB546" s="14"/>
      <c r="BC546" s="14"/>
      <c r="BD546" s="14"/>
      <c r="BE546" s="128"/>
      <c r="BF546" s="220"/>
      <c r="BG546" s="37"/>
      <c r="BH546" s="235"/>
      <c r="BI546" s="11"/>
    </row>
    <row r="547" spans="2:61" s="1" customFormat="1">
      <c r="B547" s="30"/>
      <c r="C547" s="13" t="s">
        <v>857</v>
      </c>
      <c r="D547" s="1367"/>
      <c r="E547" s="1367">
        <v>1874900388</v>
      </c>
      <c r="F547" s="1365">
        <f t="shared" si="355"/>
        <v>1874900388</v>
      </c>
      <c r="G547" s="1365">
        <f t="shared" si="353"/>
        <v>0</v>
      </c>
      <c r="H547" s="1367">
        <f t="shared" si="362"/>
        <v>1874900388</v>
      </c>
      <c r="I547" s="1384"/>
      <c r="J547" s="1367"/>
      <c r="K547" s="1384"/>
      <c r="L547" s="1367"/>
      <c r="M547" s="1367">
        <f t="shared" ref="M547:M551" si="367">H547-J547+L547</f>
        <v>1874900388</v>
      </c>
      <c r="N547" s="1967"/>
      <c r="O547" s="1057"/>
      <c r="P547" s="1485"/>
      <c r="Q547" s="1367">
        <v>1506387001</v>
      </c>
      <c r="R547" s="1485">
        <f t="shared" si="363"/>
        <v>1506387001</v>
      </c>
      <c r="S547" s="1481"/>
      <c r="T547" s="1485"/>
      <c r="U547" s="1481"/>
      <c r="V547" s="1485"/>
      <c r="W547" s="1485">
        <f t="shared" ref="W547:W551" si="368">R547-T547+V547</f>
        <v>1506387001</v>
      </c>
      <c r="X547" s="1189"/>
      <c r="Y547" s="106"/>
      <c r="Z547" s="970">
        <f>1060206907</f>
        <v>1060206907</v>
      </c>
      <c r="AA547" s="698">
        <f t="shared" si="364"/>
        <v>1060206907</v>
      </c>
      <c r="AB547" s="253"/>
      <c r="AC547" s="106"/>
      <c r="AD547" s="253"/>
      <c r="AE547" s="106"/>
      <c r="AF547" s="967">
        <f t="shared" ref="AF547:AF551" si="369">AA547-AC547+AE547</f>
        <v>1060206907</v>
      </c>
      <c r="AG547" s="967"/>
      <c r="AH547" s="208"/>
      <c r="AI547" s="14">
        <v>2267905132</v>
      </c>
      <c r="AJ547" s="947"/>
      <c r="AK547" s="947"/>
      <c r="AL547" s="667"/>
      <c r="AM547" s="14"/>
      <c r="AN547" s="14">
        <v>1655909761</v>
      </c>
      <c r="AO547" s="14">
        <f t="shared" si="365"/>
        <v>1655909761</v>
      </c>
      <c r="AP547" s="437"/>
      <c r="AQ547" s="14"/>
      <c r="AR547" s="437"/>
      <c r="AS547" s="14"/>
      <c r="AT547" s="14">
        <f t="shared" ref="AT547:AT551" si="370">AO547-AQ547+AS547</f>
        <v>1655909761</v>
      </c>
      <c r="AU547" s="37"/>
      <c r="AV547" s="14"/>
      <c r="AW547" s="14">
        <v>1091288201</v>
      </c>
      <c r="AX547" s="14">
        <f t="shared" si="366"/>
        <v>1091288201</v>
      </c>
      <c r="AY547" s="437"/>
      <c r="AZ547" s="14"/>
      <c r="BA547" s="437"/>
      <c r="BB547" s="14"/>
      <c r="BC547" s="14">
        <f t="shared" ref="BC547:BC551" si="371">AX547-AZ547+BB547</f>
        <v>1091288201</v>
      </c>
      <c r="BD547" s="14"/>
      <c r="BE547" s="128"/>
      <c r="BF547" s="220">
        <v>2122624894</v>
      </c>
      <c r="BG547" s="37">
        <v>2429542912</v>
      </c>
      <c r="BH547" s="235">
        <v>2117905033</v>
      </c>
      <c r="BI547" s="11"/>
    </row>
    <row r="548" spans="2:61" s="1" customFormat="1">
      <c r="B548" s="30"/>
      <c r="C548" s="93" t="s">
        <v>858</v>
      </c>
      <c r="D548" s="1375"/>
      <c r="E548" s="1375">
        <v>1744087000</v>
      </c>
      <c r="F548" s="1365">
        <f t="shared" si="355"/>
        <v>1744087000</v>
      </c>
      <c r="G548" s="1365">
        <f t="shared" si="353"/>
        <v>0</v>
      </c>
      <c r="H548" s="1375">
        <f t="shared" si="362"/>
        <v>1744087000</v>
      </c>
      <c r="I548" s="1391"/>
      <c r="J548" s="1375">
        <f>'ELIM &amp; CAJE Des 24'!H23</f>
        <v>1744087000</v>
      </c>
      <c r="K548" s="1391"/>
      <c r="L548" s="1375"/>
      <c r="M548" s="1375">
        <f t="shared" si="367"/>
        <v>0</v>
      </c>
      <c r="N548" s="1967"/>
      <c r="O548" s="1057"/>
      <c r="P548" s="1498"/>
      <c r="Q548" s="1375">
        <v>1388066000</v>
      </c>
      <c r="R548" s="1498">
        <f t="shared" si="363"/>
        <v>1388066000</v>
      </c>
      <c r="S548" s="1496" t="str">
        <f>'ELIM &amp; CAJE Sept 24'!B23</f>
        <v>ELIM 5</v>
      </c>
      <c r="T548" s="1498">
        <f>'ELIM &amp; CAJE Sept 24'!I23</f>
        <v>1388066000</v>
      </c>
      <c r="U548" s="1496"/>
      <c r="V548" s="1498"/>
      <c r="W548" s="1498">
        <f t="shared" si="368"/>
        <v>0</v>
      </c>
      <c r="X548" s="1189"/>
      <c r="Y548" s="278"/>
      <c r="Z548" s="714">
        <v>1056351000</v>
      </c>
      <c r="AA548" s="714">
        <f t="shared" si="364"/>
        <v>1056351000</v>
      </c>
      <c r="AB548" s="274" t="str">
        <f>'ELIM &amp; CAJE Juni 24'!B21</f>
        <v>ELIM 5</v>
      </c>
      <c r="AC548" s="278">
        <f>'ELIM &amp; CAJE Juni 24'!I23</f>
        <v>1056351000</v>
      </c>
      <c r="AD548" s="274"/>
      <c r="AE548" s="278"/>
      <c r="AF548" s="278">
        <f t="shared" si="369"/>
        <v>0</v>
      </c>
      <c r="AG548" s="278"/>
      <c r="AH548" s="208"/>
      <c r="AI548" s="14">
        <v>162500</v>
      </c>
      <c r="AJ548" s="947"/>
      <c r="AK548" s="947"/>
      <c r="AL548" s="667"/>
      <c r="AM548" s="14"/>
      <c r="AN548" s="14">
        <v>1148572700</v>
      </c>
      <c r="AO548" s="14">
        <f t="shared" si="365"/>
        <v>1148572700</v>
      </c>
      <c r="AP548" s="437" t="str">
        <f>'ELIM &amp; CAJE Sept 23'!A18</f>
        <v>ELIM 4</v>
      </c>
      <c r="AQ548" s="14">
        <f>'ELIM &amp; CAJE Sept 23'!H18</f>
        <v>1148410200</v>
      </c>
      <c r="AR548" s="437"/>
      <c r="AS548" s="14"/>
      <c r="AT548" s="14">
        <f t="shared" si="370"/>
        <v>162500</v>
      </c>
      <c r="AU548" s="37"/>
      <c r="AV548" s="14"/>
      <c r="AW548" s="14">
        <v>919192700</v>
      </c>
      <c r="AX548" s="14">
        <f t="shared" si="366"/>
        <v>919192700</v>
      </c>
      <c r="AY548" s="437" t="str">
        <f>'ELIM Juni 23'!A18</f>
        <v>ELIM 4</v>
      </c>
      <c r="AZ548" s="14">
        <f>'ELIM Juni 23'!H18</f>
        <v>919030200</v>
      </c>
      <c r="BA548" s="437"/>
      <c r="BB548" s="14"/>
      <c r="BC548" s="14">
        <f t="shared" si="371"/>
        <v>162500</v>
      </c>
      <c r="BD548" s="14"/>
      <c r="BE548" s="128"/>
      <c r="BF548" s="220">
        <v>401761</v>
      </c>
      <c r="BG548" s="37">
        <v>-598274261</v>
      </c>
      <c r="BH548" s="235">
        <v>1899998</v>
      </c>
      <c r="BI548" s="11">
        <v>-415000240</v>
      </c>
    </row>
    <row r="549" spans="2:61" s="1" customFormat="1">
      <c r="B549" s="30"/>
      <c r="C549" s="13" t="s">
        <v>859</v>
      </c>
      <c r="D549" s="1367"/>
      <c r="E549" s="1367">
        <v>15315315</v>
      </c>
      <c r="F549" s="1365">
        <f t="shared" si="355"/>
        <v>15315315</v>
      </c>
      <c r="G549" s="1365">
        <f t="shared" si="353"/>
        <v>0</v>
      </c>
      <c r="H549" s="1367">
        <f t="shared" si="362"/>
        <v>15315315</v>
      </c>
      <c r="I549" s="1384"/>
      <c r="J549" s="1367"/>
      <c r="K549" s="1384"/>
      <c r="L549" s="1367"/>
      <c r="M549" s="1367">
        <f t="shared" si="367"/>
        <v>15315315</v>
      </c>
      <c r="N549" s="1967"/>
      <c r="O549" s="1057"/>
      <c r="P549" s="1485"/>
      <c r="Q549" s="1367">
        <f>ROUND(15315315.32,0)</f>
        <v>15315315</v>
      </c>
      <c r="R549" s="1485">
        <f t="shared" si="363"/>
        <v>15315315</v>
      </c>
      <c r="S549" s="1481"/>
      <c r="T549" s="1485"/>
      <c r="U549" s="1481"/>
      <c r="V549" s="1485"/>
      <c r="W549" s="1485">
        <f t="shared" si="368"/>
        <v>15315315</v>
      </c>
      <c r="X549" s="1189"/>
      <c r="Y549" s="106"/>
      <c r="Z549" s="698"/>
      <c r="AA549" s="698">
        <f t="shared" si="364"/>
        <v>0</v>
      </c>
      <c r="AB549" s="253"/>
      <c r="AC549" s="106"/>
      <c r="AD549" s="253"/>
      <c r="AE549" s="106"/>
      <c r="AF549" s="106">
        <f t="shared" si="369"/>
        <v>0</v>
      </c>
      <c r="AG549" s="106"/>
      <c r="AH549" s="208"/>
      <c r="AI549" s="14">
        <v>576577</v>
      </c>
      <c r="AJ549" s="947"/>
      <c r="AK549" s="947"/>
      <c r="AL549" s="667"/>
      <c r="AM549" s="14"/>
      <c r="AN549" s="14">
        <v>576577</v>
      </c>
      <c r="AO549" s="14">
        <f t="shared" si="365"/>
        <v>576577</v>
      </c>
      <c r="AP549" s="437"/>
      <c r="AQ549" s="14"/>
      <c r="AR549" s="437"/>
      <c r="AS549" s="14"/>
      <c r="AT549" s="14">
        <f t="shared" si="370"/>
        <v>576577</v>
      </c>
      <c r="AU549" s="37"/>
      <c r="AV549" s="14"/>
      <c r="AW549" s="14"/>
      <c r="AX549" s="14">
        <f t="shared" si="366"/>
        <v>0</v>
      </c>
      <c r="AY549" s="437"/>
      <c r="AZ549" s="14"/>
      <c r="BA549" s="437"/>
      <c r="BB549" s="14"/>
      <c r="BC549" s="14">
        <f t="shared" si="371"/>
        <v>0</v>
      </c>
      <c r="BD549" s="14"/>
      <c r="BE549" s="128"/>
      <c r="BF549" s="220">
        <v>101454545</v>
      </c>
      <c r="BG549" s="37">
        <v>686561314</v>
      </c>
      <c r="BH549" s="235">
        <v>413945455</v>
      </c>
      <c r="BI549" s="11"/>
    </row>
    <row r="550" spans="2:61" s="1" customFormat="1">
      <c r="B550" s="30"/>
      <c r="C550" s="13" t="s">
        <v>499</v>
      </c>
      <c r="D550" s="1367"/>
      <c r="E550" s="1367"/>
      <c r="F550" s="1365">
        <f t="shared" si="355"/>
        <v>0</v>
      </c>
      <c r="G550" s="1365">
        <f t="shared" si="353"/>
        <v>0</v>
      </c>
      <c r="H550" s="1367">
        <f t="shared" si="362"/>
        <v>0</v>
      </c>
      <c r="I550" s="1384"/>
      <c r="J550" s="1367"/>
      <c r="K550" s="1384"/>
      <c r="L550" s="1367"/>
      <c r="M550" s="1967">
        <f t="shared" si="367"/>
        <v>0</v>
      </c>
      <c r="N550" s="1967"/>
      <c r="O550" s="1057"/>
      <c r="P550" s="1485"/>
      <c r="Q550" s="1367"/>
      <c r="R550" s="1485">
        <f t="shared" si="363"/>
        <v>0</v>
      </c>
      <c r="S550" s="1481"/>
      <c r="T550" s="1485"/>
      <c r="U550" s="1481"/>
      <c r="V550" s="1485"/>
      <c r="W550" s="1485">
        <f t="shared" si="368"/>
        <v>0</v>
      </c>
      <c r="X550" s="1189"/>
      <c r="Y550" s="106"/>
      <c r="Z550" s="698"/>
      <c r="AA550" s="698">
        <f t="shared" si="364"/>
        <v>0</v>
      </c>
      <c r="AB550" s="253"/>
      <c r="AC550" s="106"/>
      <c r="AD550" s="253"/>
      <c r="AE550" s="106"/>
      <c r="AF550" s="106">
        <f t="shared" si="369"/>
        <v>0</v>
      </c>
      <c r="AG550" s="106"/>
      <c r="AH550" s="208"/>
      <c r="AI550" s="441">
        <v>0</v>
      </c>
      <c r="AJ550" s="956"/>
      <c r="AK550" s="956"/>
      <c r="AL550" s="667"/>
      <c r="AM550" s="441"/>
      <c r="AN550" s="441"/>
      <c r="AO550" s="441">
        <f t="shared" si="365"/>
        <v>0</v>
      </c>
      <c r="AP550" s="786"/>
      <c r="AQ550" s="441"/>
      <c r="AR550" s="786"/>
      <c r="AS550" s="441"/>
      <c r="AT550" s="441">
        <f t="shared" si="370"/>
        <v>0</v>
      </c>
      <c r="AU550" s="37"/>
      <c r="AV550" s="441"/>
      <c r="AW550" s="441"/>
      <c r="AX550" s="441">
        <f t="shared" si="366"/>
        <v>0</v>
      </c>
      <c r="AY550" s="786"/>
      <c r="AZ550" s="441"/>
      <c r="BA550" s="786"/>
      <c r="BB550" s="441"/>
      <c r="BC550" s="441">
        <f t="shared" si="371"/>
        <v>0</v>
      </c>
      <c r="BD550" s="14"/>
      <c r="BE550" s="128"/>
      <c r="BF550" s="220">
        <v>0</v>
      </c>
      <c r="BG550" s="35"/>
      <c r="BH550" s="235">
        <v>0</v>
      </c>
      <c r="BI550" s="11">
        <v>416900238</v>
      </c>
    </row>
    <row r="551" spans="2:61" s="1" customFormat="1">
      <c r="B551" s="30"/>
      <c r="C551" s="13" t="s">
        <v>860</v>
      </c>
      <c r="D551" s="1367">
        <v>0</v>
      </c>
      <c r="E551" s="1367"/>
      <c r="F551" s="1365">
        <f t="shared" si="355"/>
        <v>0</v>
      </c>
      <c r="G551" s="1365">
        <f t="shared" si="353"/>
        <v>0</v>
      </c>
      <c r="H551" s="1367">
        <f t="shared" si="362"/>
        <v>0</v>
      </c>
      <c r="I551" s="1384"/>
      <c r="J551" s="1367"/>
      <c r="K551" s="1384"/>
      <c r="L551" s="1367"/>
      <c r="M551" s="1367">
        <f t="shared" si="367"/>
        <v>0</v>
      </c>
      <c r="N551" s="1967"/>
      <c r="O551" s="1057"/>
      <c r="P551" s="1485"/>
      <c r="Q551" s="1367"/>
      <c r="R551" s="1485">
        <f t="shared" si="363"/>
        <v>0</v>
      </c>
      <c r="S551" s="1481"/>
      <c r="T551" s="1485"/>
      <c r="U551" s="1481"/>
      <c r="V551" s="1485"/>
      <c r="W551" s="1485">
        <f t="shared" si="368"/>
        <v>0</v>
      </c>
      <c r="X551" s="1189"/>
      <c r="Y551" s="106"/>
      <c r="Z551" s="698"/>
      <c r="AA551" s="698">
        <f t="shared" si="364"/>
        <v>0</v>
      </c>
      <c r="AB551" s="253"/>
      <c r="AC551" s="106"/>
      <c r="AD551" s="253"/>
      <c r="AE551" s="106"/>
      <c r="AF551" s="106">
        <f t="shared" si="369"/>
        <v>0</v>
      </c>
      <c r="AG551" s="106"/>
      <c r="AH551" s="208"/>
      <c r="AI551" s="14">
        <v>-11788311171</v>
      </c>
      <c r="AJ551" s="947"/>
      <c r="AK551" s="947"/>
      <c r="AL551" s="667"/>
      <c r="AM551" s="14"/>
      <c r="AN551" s="14">
        <v>-11788311171</v>
      </c>
      <c r="AO551" s="14">
        <f t="shared" si="365"/>
        <v>-11788311171</v>
      </c>
      <c r="AP551" s="437"/>
      <c r="AQ551" s="14"/>
      <c r="AR551" s="437"/>
      <c r="AS551" s="14"/>
      <c r="AT551" s="14">
        <f t="shared" si="370"/>
        <v>-11788311171</v>
      </c>
      <c r="AU551" s="37"/>
      <c r="AV551" s="14"/>
      <c r="AW551" s="14">
        <v>-360624000</v>
      </c>
      <c r="AX551" s="14">
        <f t="shared" si="366"/>
        <v>-360624000</v>
      </c>
      <c r="AY551" s="437"/>
      <c r="AZ551" s="14"/>
      <c r="BA551" s="437"/>
      <c r="BB551" s="14"/>
      <c r="BC551" s="14">
        <f t="shared" si="371"/>
        <v>-360624000</v>
      </c>
      <c r="BD551" s="14"/>
      <c r="BE551" s="128"/>
      <c r="BF551" s="220">
        <v>0</v>
      </c>
      <c r="BG551" s="37"/>
      <c r="BH551" s="235"/>
      <c r="BI551" s="11"/>
    </row>
    <row r="552" spans="2:61" s="1" customFormat="1">
      <c r="B552" s="30"/>
      <c r="C552" s="13"/>
      <c r="D552" s="1367"/>
      <c r="E552" s="1367"/>
      <c r="F552" s="1365">
        <f t="shared" si="355"/>
        <v>0</v>
      </c>
      <c r="G552" s="1365">
        <f t="shared" si="353"/>
        <v>0</v>
      </c>
      <c r="H552" s="1367"/>
      <c r="I552" s="1384"/>
      <c r="J552" s="1367"/>
      <c r="K552" s="1384"/>
      <c r="L552" s="1367"/>
      <c r="M552" s="1367"/>
      <c r="N552" s="1967"/>
      <c r="O552" s="1057"/>
      <c r="P552" s="1485"/>
      <c r="Q552" s="1367"/>
      <c r="R552" s="1485"/>
      <c r="S552" s="1481"/>
      <c r="T552" s="1485"/>
      <c r="U552" s="1481"/>
      <c r="V552" s="1485"/>
      <c r="W552" s="1485"/>
      <c r="X552" s="1189"/>
      <c r="Y552" s="106"/>
      <c r="Z552" s="698"/>
      <c r="AA552" s="698"/>
      <c r="AB552" s="253"/>
      <c r="AC552" s="106"/>
      <c r="AD552" s="253"/>
      <c r="AE552" s="106"/>
      <c r="AF552" s="106"/>
      <c r="AG552" s="106"/>
      <c r="AH552" s="208"/>
      <c r="AI552" s="947"/>
      <c r="AJ552" s="947"/>
      <c r="AK552" s="947"/>
      <c r="AL552" s="667"/>
      <c r="AM552" s="14"/>
      <c r="AN552" s="14"/>
      <c r="AO552" s="14"/>
      <c r="AP552" s="437"/>
      <c r="AQ552" s="14"/>
      <c r="AR552" s="437"/>
      <c r="AS552" s="14"/>
      <c r="AT552" s="14"/>
      <c r="AU552" s="37"/>
      <c r="AV552" s="14"/>
      <c r="AW552" s="14"/>
      <c r="AX552" s="14"/>
      <c r="AY552" s="437"/>
      <c r="AZ552" s="14"/>
      <c r="BA552" s="437"/>
      <c r="BB552" s="14"/>
      <c r="BC552" s="14"/>
      <c r="BD552" s="14"/>
      <c r="BE552" s="128"/>
      <c r="BF552" s="220"/>
      <c r="BG552" s="37"/>
      <c r="BH552" s="235"/>
      <c r="BI552" s="11"/>
    </row>
    <row r="553" spans="2:61" s="1" customFormat="1">
      <c r="B553" s="30"/>
      <c r="C553" s="13"/>
      <c r="D553" s="1367"/>
      <c r="E553" s="1367"/>
      <c r="F553" s="1365">
        <f t="shared" si="355"/>
        <v>0</v>
      </c>
      <c r="G553" s="1365">
        <f t="shared" si="353"/>
        <v>0</v>
      </c>
      <c r="H553" s="1367"/>
      <c r="I553" s="1384"/>
      <c r="J553" s="1367"/>
      <c r="K553" s="1384"/>
      <c r="L553" s="1367"/>
      <c r="M553" s="1367"/>
      <c r="N553" s="1967"/>
      <c r="O553" s="1057"/>
      <c r="P553" s="1485"/>
      <c r="Q553" s="1367"/>
      <c r="R553" s="1485"/>
      <c r="S553" s="1481"/>
      <c r="T553" s="1485"/>
      <c r="U553" s="1481"/>
      <c r="V553" s="1485"/>
      <c r="W553" s="1485"/>
      <c r="X553" s="1189"/>
      <c r="Y553" s="106"/>
      <c r="Z553" s="698"/>
      <c r="AA553" s="698"/>
      <c r="AB553" s="253"/>
      <c r="AC553" s="106"/>
      <c r="AD553" s="253"/>
      <c r="AE553" s="106"/>
      <c r="AF553" s="106"/>
      <c r="AG553" s="106"/>
      <c r="AH553" s="208"/>
      <c r="AI553" s="947"/>
      <c r="AJ553" s="947"/>
      <c r="AK553" s="947"/>
      <c r="AL553" s="667"/>
      <c r="AM553" s="14"/>
      <c r="AN553" s="14"/>
      <c r="AO553" s="14"/>
      <c r="AP553" s="437"/>
      <c r="AQ553" s="14"/>
      <c r="AR553" s="437"/>
      <c r="AS553" s="14"/>
      <c r="AT553" s="14"/>
      <c r="AU553" s="37"/>
      <c r="AV553" s="14"/>
      <c r="AW553" s="14"/>
      <c r="AX553" s="14"/>
      <c r="AY553" s="437"/>
      <c r="AZ553" s="14"/>
      <c r="BA553" s="437"/>
      <c r="BB553" s="14"/>
      <c r="BC553" s="14"/>
      <c r="BD553" s="14"/>
      <c r="BE553" s="128"/>
      <c r="BF553" s="220"/>
      <c r="BG553" s="37"/>
      <c r="BH553" s="220"/>
      <c r="BI553" s="11"/>
    </row>
    <row r="554" spans="2:61" s="1" customFormat="1">
      <c r="B554" s="27"/>
      <c r="C554" s="19" t="s">
        <v>861</v>
      </c>
      <c r="D554" s="1369">
        <f t="shared" ref="D554:H554" si="372">SUM(D541:D553)</f>
        <v>188349701662.19</v>
      </c>
      <c r="E554" s="1369">
        <f t="shared" si="372"/>
        <v>180840725540.69</v>
      </c>
      <c r="F554" s="1365">
        <f t="shared" si="355"/>
        <v>369190427202.88</v>
      </c>
      <c r="G554" s="1365">
        <f t="shared" si="353"/>
        <v>0</v>
      </c>
      <c r="H554" s="1369">
        <f t="shared" si="372"/>
        <v>369190427202.88</v>
      </c>
      <c r="I554" s="1944"/>
      <c r="J554" s="1369"/>
      <c r="K554" s="1944"/>
      <c r="L554" s="1369"/>
      <c r="M554" s="1369">
        <f t="shared" ref="M554" si="373">SUM(M541:M553)</f>
        <v>322560213288.07001</v>
      </c>
      <c r="N554" s="226"/>
      <c r="O554" s="1469">
        <f>P554/6</f>
        <v>16715847394.333334</v>
      </c>
      <c r="P554" s="1488">
        <f t="shared" ref="P554:R554" si="374">SUM(P541:P553)</f>
        <v>100295084366</v>
      </c>
      <c r="Q554" s="1369">
        <f t="shared" si="374"/>
        <v>92082194341</v>
      </c>
      <c r="R554" s="1488">
        <f t="shared" si="374"/>
        <v>192377278707</v>
      </c>
      <c r="S554" s="1489"/>
      <c r="T554" s="1488"/>
      <c r="U554" s="1489"/>
      <c r="V554" s="1488"/>
      <c r="W554" s="1488">
        <f t="shared" ref="W554" si="375">SUM(W541:W553)</f>
        <v>160540499628</v>
      </c>
      <c r="X554" s="1469">
        <f>Y554/6</f>
        <v>11051934448</v>
      </c>
      <c r="Y554" s="428">
        <f t="shared" ref="Y554" si="376">SUM(Y541:Y553)</f>
        <v>66311606688</v>
      </c>
      <c r="Z554" s="707">
        <f t="shared" ref="Z554" si="377">SUM(Z541:Z553)</f>
        <v>59984226053</v>
      </c>
      <c r="AA554" s="707">
        <f t="shared" ref="AA554" si="378">SUM(AA541:AA553)</f>
        <v>126295832741</v>
      </c>
      <c r="AB554" s="601"/>
      <c r="AC554" s="223"/>
      <c r="AD554" s="601"/>
      <c r="AE554" s="223"/>
      <c r="AF554" s="428">
        <f t="shared" ref="AF554:BH554" si="379">SUM(AF541:AF553)</f>
        <v>106697349798</v>
      </c>
      <c r="AG554" s="428"/>
      <c r="AH554" s="228"/>
      <c r="AI554" s="938">
        <f t="shared" si="379"/>
        <v>199222794205</v>
      </c>
      <c r="AJ554" s="938"/>
      <c r="AK554" s="938"/>
      <c r="AL554" s="670"/>
      <c r="AM554" s="428">
        <f t="shared" ref="AM554:AO554" si="380">SUM(AM541:AM553)</f>
        <v>145641937120</v>
      </c>
      <c r="AN554" s="428">
        <f t="shared" si="380"/>
        <v>86937331885</v>
      </c>
      <c r="AO554" s="428">
        <f t="shared" si="380"/>
        <v>232579269005</v>
      </c>
      <c r="AP554" s="762"/>
      <c r="AQ554" s="428"/>
      <c r="AR554" s="762"/>
      <c r="AS554" s="428"/>
      <c r="AT554" s="428">
        <f t="shared" ref="AT554" si="381">SUM(AT541:AT553)</f>
        <v>149774869471</v>
      </c>
      <c r="AU554" s="29"/>
      <c r="AV554" s="428">
        <f t="shared" ref="AV554:AX554" si="382">SUM(AV541:AV553)</f>
        <v>108374719144</v>
      </c>
      <c r="AW554" s="428">
        <f t="shared" si="382"/>
        <v>72638890758</v>
      </c>
      <c r="AX554" s="428">
        <f t="shared" si="382"/>
        <v>181013609902</v>
      </c>
      <c r="AY554" s="762"/>
      <c r="AZ554" s="428"/>
      <c r="BA554" s="762"/>
      <c r="BB554" s="428"/>
      <c r="BC554" s="428">
        <f t="shared" ref="BC554" si="383">SUM(BC541:BC553)</f>
        <v>120318473492</v>
      </c>
      <c r="BD554" s="138"/>
      <c r="BE554" s="28"/>
      <c r="BF554" s="428">
        <f t="shared" si="379"/>
        <v>382316276945</v>
      </c>
      <c r="BG554" s="29"/>
      <c r="BH554" s="428">
        <f t="shared" si="379"/>
        <v>303872116071</v>
      </c>
      <c r="BI554" s="29"/>
    </row>
    <row r="555" spans="2:61" s="1" customFormat="1">
      <c r="B555" s="2" t="s">
        <v>862</v>
      </c>
      <c r="C555" s="4"/>
      <c r="D555" s="1365"/>
      <c r="E555" s="1365"/>
      <c r="F555" s="1365">
        <f t="shared" si="355"/>
        <v>0</v>
      </c>
      <c r="G555" s="1365">
        <f t="shared" si="353"/>
        <v>0</v>
      </c>
      <c r="H555" s="1365"/>
      <c r="I555" s="1384"/>
      <c r="J555" s="1365"/>
      <c r="K555" s="1384"/>
      <c r="L555" s="1365"/>
      <c r="M555" s="1365"/>
      <c r="N555" s="2259"/>
      <c r="O555" s="1058"/>
      <c r="P555" s="1482"/>
      <c r="Q555" s="1365"/>
      <c r="R555" s="1482"/>
      <c r="S555" s="1481"/>
      <c r="T555" s="1482"/>
      <c r="U555" s="1481"/>
      <c r="V555" s="1482"/>
      <c r="W555" s="1482"/>
      <c r="X555" s="1187"/>
      <c r="Y555" s="90"/>
      <c r="Z555" s="697"/>
      <c r="AA555" s="697"/>
      <c r="AB555" s="253"/>
      <c r="AC555" s="90"/>
      <c r="AD555" s="253"/>
      <c r="AE555" s="90"/>
      <c r="AF555" s="90"/>
      <c r="AG555" s="90"/>
      <c r="AH555" s="207"/>
      <c r="AI555" s="942"/>
      <c r="AJ555" s="942"/>
      <c r="AK555" s="942"/>
      <c r="AL555" s="667"/>
      <c r="AM555" s="9"/>
      <c r="AN555" s="9"/>
      <c r="AO555" s="9"/>
      <c r="AP555" s="769"/>
      <c r="AQ555" s="9"/>
      <c r="AR555" s="769"/>
      <c r="AS555" s="9"/>
      <c r="AT555" s="9"/>
      <c r="AU555" s="37"/>
      <c r="AV555" s="9"/>
      <c r="AW555" s="9"/>
      <c r="AX555" s="9"/>
      <c r="AY555" s="769"/>
      <c r="AZ555" s="9"/>
      <c r="BA555" s="769"/>
      <c r="BB555" s="9"/>
      <c r="BC555" s="9"/>
      <c r="BD555" s="14"/>
      <c r="BE555" s="128"/>
      <c r="BF555" s="219"/>
      <c r="BG555" s="37"/>
      <c r="BH555" s="219"/>
      <c r="BI555" s="11"/>
    </row>
    <row r="556" spans="2:61" s="1" customFormat="1">
      <c r="B556" s="7" t="s">
        <v>863</v>
      </c>
      <c r="C556" s="2"/>
      <c r="D556" s="217"/>
      <c r="E556" s="217"/>
      <c r="F556" s="1365">
        <f t="shared" si="355"/>
        <v>0</v>
      </c>
      <c r="G556" s="1365">
        <f t="shared" si="353"/>
        <v>0</v>
      </c>
      <c r="H556" s="217"/>
      <c r="I556" s="1384"/>
      <c r="J556" s="217"/>
      <c r="K556" s="1384"/>
      <c r="L556" s="217"/>
      <c r="M556" s="217"/>
      <c r="N556" s="226"/>
      <c r="O556" s="1217"/>
      <c r="P556" s="1480"/>
      <c r="Q556" s="217"/>
      <c r="R556" s="1480"/>
      <c r="S556" s="1481"/>
      <c r="T556" s="1480"/>
      <c r="U556" s="1481"/>
      <c r="V556" s="1480"/>
      <c r="W556" s="1480"/>
      <c r="X556" s="1186"/>
      <c r="Y556" s="118"/>
      <c r="Z556" s="705"/>
      <c r="AA556" s="705"/>
      <c r="AB556" s="253"/>
      <c r="AC556" s="118"/>
      <c r="AD556" s="253"/>
      <c r="AE556" s="118"/>
      <c r="AF556" s="118"/>
      <c r="AG556" s="118"/>
      <c r="AH556" s="209"/>
      <c r="AI556" s="942"/>
      <c r="AJ556" s="942"/>
      <c r="AK556" s="942"/>
      <c r="AL556" s="667"/>
      <c r="AM556" s="9"/>
      <c r="AN556" s="9"/>
      <c r="AO556" s="9"/>
      <c r="AP556" s="769"/>
      <c r="AQ556" s="9"/>
      <c r="AR556" s="769"/>
      <c r="AS556" s="9"/>
      <c r="AT556" s="9"/>
      <c r="AU556" s="37"/>
      <c r="AV556" s="9"/>
      <c r="AW556" s="9"/>
      <c r="AX556" s="9"/>
      <c r="AY556" s="769"/>
      <c r="AZ556" s="9"/>
      <c r="BA556" s="769"/>
      <c r="BB556" s="9"/>
      <c r="BC556" s="9"/>
      <c r="BD556" s="14"/>
      <c r="BE556" s="128"/>
      <c r="BF556" s="219"/>
      <c r="BG556" s="37"/>
      <c r="BH556" s="219"/>
      <c r="BI556" s="11"/>
    </row>
    <row r="557" spans="2:61" s="1" customFormat="1">
      <c r="B557" s="30"/>
      <c r="C557" s="23" t="s">
        <v>864</v>
      </c>
      <c r="D557" s="1368">
        <v>88132546606</v>
      </c>
      <c r="E557" s="1368">
        <f>ROUND(98444105258.92,0)</f>
        <v>98444105259</v>
      </c>
      <c r="F557" s="1365">
        <f t="shared" si="355"/>
        <v>186576651865</v>
      </c>
      <c r="G557" s="1365">
        <f t="shared" si="353"/>
        <v>0</v>
      </c>
      <c r="H557" s="1368">
        <f>ROUND((D557+E557),0)</f>
        <v>186576651865</v>
      </c>
      <c r="I557" s="1943"/>
      <c r="J557" s="1368"/>
      <c r="K557" s="1943"/>
      <c r="L557" s="1368"/>
      <c r="M557" s="1368">
        <f>H557+J557-L557</f>
        <v>186576651865</v>
      </c>
      <c r="N557" s="1967"/>
      <c r="O557" s="1057"/>
      <c r="P557" s="1486">
        <v>88132546606</v>
      </c>
      <c r="Q557" s="1368">
        <f>ROUND(98444105258.92,0)</f>
        <v>98444105259</v>
      </c>
      <c r="R557" s="1486">
        <f>ROUND((P557+Q557),0)</f>
        <v>186576651865</v>
      </c>
      <c r="S557" s="1487"/>
      <c r="T557" s="1486"/>
      <c r="U557" s="1487"/>
      <c r="V557" s="1486"/>
      <c r="W557" s="1486">
        <f>R557+T557-V557</f>
        <v>186576651865</v>
      </c>
      <c r="X557" s="1189"/>
      <c r="Y557" s="225">
        <v>88132546606</v>
      </c>
      <c r="Z557" s="699">
        <v>98444105259</v>
      </c>
      <c r="AA557" s="699">
        <f>ROUND((Y557+Z557),0)</f>
        <v>186576651865</v>
      </c>
      <c r="AB557" s="617"/>
      <c r="AC557" s="225"/>
      <c r="AD557" s="617"/>
      <c r="AE557" s="225"/>
      <c r="AF557" s="225">
        <f>AA557+AC557-AE557</f>
        <v>186576651865</v>
      </c>
      <c r="AG557" s="225"/>
      <c r="AH557" s="208"/>
      <c r="AI557" s="947">
        <v>111840608096</v>
      </c>
      <c r="AJ557" s="947"/>
      <c r="AK557" s="947"/>
      <c r="AL557" s="667"/>
      <c r="AM557" s="14">
        <v>50061246940</v>
      </c>
      <c r="AN557" s="14">
        <v>61779361156</v>
      </c>
      <c r="AO557" s="14">
        <f>ROUND((AM557+AN557),0)</f>
        <v>111840608096</v>
      </c>
      <c r="AP557" s="437"/>
      <c r="AQ557" s="14"/>
      <c r="AR557" s="437"/>
      <c r="AS557" s="14"/>
      <c r="AT557" s="14">
        <f>AO557+AQ557-AS557</f>
        <v>111840608096</v>
      </c>
      <c r="AU557" s="37"/>
      <c r="AV557" s="14">
        <v>50061246940</v>
      </c>
      <c r="AW557" s="14">
        <v>61779361156</v>
      </c>
      <c r="AX557" s="14">
        <f>ROUND((AV557+AW557),0)</f>
        <v>111840608096</v>
      </c>
      <c r="AY557" s="437"/>
      <c r="AZ557" s="14"/>
      <c r="BA557" s="437"/>
      <c r="BB557" s="14"/>
      <c r="BC557" s="14">
        <f>AX557+AZ557-BB557</f>
        <v>111840608096</v>
      </c>
      <c r="BD557" s="14"/>
      <c r="BE557" s="128"/>
      <c r="BF557" s="220">
        <v>37360346018</v>
      </c>
      <c r="BG557" s="37"/>
      <c r="BH557" s="220">
        <v>37057693185</v>
      </c>
      <c r="BI557" s="11"/>
    </row>
    <row r="558" spans="2:61" s="1" customFormat="1">
      <c r="B558" s="30"/>
      <c r="C558" s="13" t="s">
        <v>865</v>
      </c>
      <c r="D558" s="1367">
        <v>129291889279.01999</v>
      </c>
      <c r="E558" s="1367">
        <v>99771247337</v>
      </c>
      <c r="F558" s="1365">
        <f t="shared" si="355"/>
        <v>229063136616.01999</v>
      </c>
      <c r="G558" s="1365">
        <f t="shared" si="353"/>
        <v>1.9989013671875E-2</v>
      </c>
      <c r="H558" s="1367">
        <f>ROUND((D558+E558),0)</f>
        <v>229063136616</v>
      </c>
      <c r="I558" s="1384"/>
      <c r="J558" s="1367"/>
      <c r="K558" s="1384" t="s">
        <v>866</v>
      </c>
      <c r="L558" s="1367">
        <f>'ELIM &amp; CAJE Des 24'!I24+'ELIM &amp; CAJE Des 24'!I28</f>
        <v>44886126917.690018</v>
      </c>
      <c r="M558" s="1367">
        <f>H558+J558-L558</f>
        <v>184177009698.31</v>
      </c>
      <c r="N558" s="1967"/>
      <c r="O558" s="1057"/>
      <c r="P558" s="1485">
        <v>79684645960.440002</v>
      </c>
      <c r="Q558" s="1367">
        <f>ROUND(58784625340.02,0)</f>
        <v>58784625340</v>
      </c>
      <c r="R558" s="1485">
        <f>ROUND((P558+Q558),0)</f>
        <v>138469271300</v>
      </c>
      <c r="S558" s="1481"/>
      <c r="T558" s="1485"/>
      <c r="U558" s="1481" t="s">
        <v>866</v>
      </c>
      <c r="V558" s="1485">
        <f>'ELIM &amp; CAJE Sept 24'!J24+'ELIM &amp; CAJE Sept 24'!J28</f>
        <v>30448713079</v>
      </c>
      <c r="W558" s="1485">
        <f>R558+T558-V558</f>
        <v>108020558221</v>
      </c>
      <c r="X558" s="1189"/>
      <c r="Y558" s="106">
        <v>38533887348</v>
      </c>
      <c r="Z558" s="1141">
        <v>31345801943</v>
      </c>
      <c r="AA558" s="698">
        <f>ROUND((Y558+Z558),0)</f>
        <v>69879689291</v>
      </c>
      <c r="AB558" s="253"/>
      <c r="AC558" s="106"/>
      <c r="AD558" s="253" t="s">
        <v>867</v>
      </c>
      <c r="AE558" s="106">
        <f>'ELIM &amp; CAJE Juni 24'!J24+'ELIM &amp; CAJE Juni 24'!J28</f>
        <v>18542131943</v>
      </c>
      <c r="AF558" s="106">
        <f>AA558+AC558-AE558</f>
        <v>51337557348</v>
      </c>
      <c r="AG558" s="106"/>
      <c r="AH558" s="208"/>
      <c r="AI558" s="947">
        <v>164148489614</v>
      </c>
      <c r="AJ558" s="947"/>
      <c r="AK558" s="947"/>
      <c r="AL558" s="667"/>
      <c r="AM558" s="14">
        <v>140612836909</v>
      </c>
      <c r="AN558" s="1139">
        <v>75588548759</v>
      </c>
      <c r="AO558" s="14">
        <f>ROUND((AM558+AN558),0)</f>
        <v>216201385668</v>
      </c>
      <c r="AP558" s="437"/>
      <c r="AQ558" s="14"/>
      <c r="AR558" s="437" t="s">
        <v>868</v>
      </c>
      <c r="AS558" s="14">
        <f>'ELIM &amp; CAJE Sept 23'!I19+'ELIM &amp; CAJE Sept 23'!I23</f>
        <v>81590439734</v>
      </c>
      <c r="AT558" s="14">
        <f>AO558+AQ558-AS558</f>
        <v>134610945934</v>
      </c>
      <c r="AU558" s="37"/>
      <c r="AV558" s="14">
        <v>116393947270</v>
      </c>
      <c r="AW558" s="1138">
        <v>72290935196</v>
      </c>
      <c r="AX558" s="14">
        <f>ROUND((AV558+AW558),0)</f>
        <v>188684882466</v>
      </c>
      <c r="AY558" s="437"/>
      <c r="AZ558" s="14"/>
      <c r="BA558" s="437" t="str">
        <f>'ELIM Juni 23'!A19</f>
        <v>ELIM 4</v>
      </c>
      <c r="BB558" s="14">
        <f>'ELIM Juni 23'!I19+'ELIM Juni 23'!I23</f>
        <v>59726569410</v>
      </c>
      <c r="BC558" s="14">
        <f>AX558+AZ558-BB558</f>
        <v>128958313056</v>
      </c>
      <c r="BD558" s="14"/>
      <c r="BE558" s="128"/>
      <c r="BF558" s="220">
        <v>106302122911</v>
      </c>
      <c r="BG558" s="37"/>
      <c r="BH558" s="220">
        <v>82675380786</v>
      </c>
      <c r="BI558" s="11"/>
    </row>
    <row r="559" spans="2:61" s="41" customFormat="1">
      <c r="B559" s="95"/>
      <c r="C559" s="96" t="s">
        <v>869</v>
      </c>
      <c r="D559" s="1397">
        <f>D557+D558-D560</f>
        <v>205390917117.59998</v>
      </c>
      <c r="E559" s="1397">
        <f>E557+E558-E560</f>
        <v>198215352596</v>
      </c>
      <c r="F559" s="1365">
        <f t="shared" si="355"/>
        <v>403606269713.59998</v>
      </c>
      <c r="G559" s="1365">
        <f t="shared" si="353"/>
        <v>-0.4000244140625</v>
      </c>
      <c r="H559" s="1397">
        <f>H557+H558-H560</f>
        <v>403606269714</v>
      </c>
      <c r="I559" s="1959"/>
      <c r="J559" s="1397"/>
      <c r="K559" s="1959"/>
      <c r="L559" s="1397"/>
      <c r="M559" s="1397">
        <f>M557+M558-M560</f>
        <v>358720142796.31</v>
      </c>
      <c r="N559" s="2271"/>
      <c r="O559" s="2009"/>
      <c r="P559" s="1534">
        <f>P557+P558-P560</f>
        <v>157107977094.44</v>
      </c>
      <c r="Q559" s="1397">
        <f>Q557+Q558-Q560</f>
        <v>157228730599</v>
      </c>
      <c r="R559" s="1534">
        <f>R557+R558-R560</f>
        <v>314336707693</v>
      </c>
      <c r="S559" s="1535"/>
      <c r="T559" s="1534"/>
      <c r="U559" s="1535"/>
      <c r="V559" s="1534"/>
      <c r="W559" s="1534">
        <f>W557+W558-W560</f>
        <v>283887994614</v>
      </c>
      <c r="X559" s="1208"/>
      <c r="Y559" s="442">
        <f>Y557+Y558-Y560</f>
        <v>118177584733</v>
      </c>
      <c r="Z559" s="740">
        <f>Z557+Z558-Z560</f>
        <v>129789907202</v>
      </c>
      <c r="AA559" s="740">
        <f>AA557+AA558-AA560</f>
        <v>247967491935</v>
      </c>
      <c r="AB559" s="611"/>
      <c r="AC559" s="279"/>
      <c r="AD559" s="611"/>
      <c r="AE559" s="279"/>
      <c r="AF559" s="442">
        <f>AF557+AF558-AF560</f>
        <v>229425359992</v>
      </c>
      <c r="AG559" s="442"/>
      <c r="AH559" s="232"/>
      <c r="AI559" s="957">
        <f>AI557+AI558-AI560</f>
        <v>270007545715</v>
      </c>
      <c r="AJ559" s="957"/>
      <c r="AK559" s="957"/>
      <c r="AL559" s="681"/>
      <c r="AM559" s="442">
        <f>AM557+AM558-AM560</f>
        <v>182710412926</v>
      </c>
      <c r="AN559" s="442">
        <f>AN557+AN558-AN560</f>
        <v>137367909915</v>
      </c>
      <c r="AO559" s="442">
        <f>AO557+AO558-AO560</f>
        <v>320078322841</v>
      </c>
      <c r="AP559" s="774"/>
      <c r="AQ559" s="442"/>
      <c r="AR559" s="774"/>
      <c r="AS559" s="442"/>
      <c r="AT559" s="442">
        <f>AT557+AT558-AT560</f>
        <v>238487883107</v>
      </c>
      <c r="AU559" s="1231"/>
      <c r="AV559" s="442">
        <f>AV557+AV558-AV560</f>
        <v>161304061929</v>
      </c>
      <c r="AW559" s="442">
        <f>AW557+AW558-AW560</f>
        <v>134070296352</v>
      </c>
      <c r="AX559" s="442">
        <f>AX557+AX558-AX560</f>
        <v>295374358281</v>
      </c>
      <c r="AY559" s="774"/>
      <c r="AZ559" s="442"/>
      <c r="BA559" s="774"/>
      <c r="BB559" s="442"/>
      <c r="BC559" s="442">
        <f>BC557+BC558-BC560</f>
        <v>235647788871</v>
      </c>
      <c r="BD559" s="1156"/>
      <c r="BE559" s="42"/>
      <c r="BF559" s="442">
        <f>BF557+BF558-BF560</f>
        <v>126036971873</v>
      </c>
      <c r="BG559" s="139" t="e">
        <f>#REF!-BF559</f>
        <v>#REF!</v>
      </c>
      <c r="BH559" s="442">
        <f>BH557+BH558-BH560</f>
        <v>98315209794</v>
      </c>
      <c r="BI559" s="97" t="e">
        <f>AF559-BG559</f>
        <v>#REF!</v>
      </c>
    </row>
    <row r="560" spans="2:61" s="1" customFormat="1">
      <c r="B560" s="30"/>
      <c r="C560" s="13" t="s">
        <v>870</v>
      </c>
      <c r="D560" s="1367">
        <v>12033518767.42</v>
      </c>
      <c r="E560" s="1367">
        <v>0</v>
      </c>
      <c r="F560" s="1365">
        <f t="shared" si="355"/>
        <v>12033518767.42</v>
      </c>
      <c r="G560" s="1365">
        <f t="shared" si="353"/>
        <v>0.42000007629394531</v>
      </c>
      <c r="H560" s="1367">
        <f>ROUND((D560+E560),0)</f>
        <v>12033518767</v>
      </c>
      <c r="I560" s="1384"/>
      <c r="J560" s="1367"/>
      <c r="K560" s="1384"/>
      <c r="L560" s="1367"/>
      <c r="M560" s="1367">
        <f>H560+J560-L560</f>
        <v>12033518767</v>
      </c>
      <c r="N560" s="1967"/>
      <c r="O560" s="1057"/>
      <c r="P560" s="1485">
        <f>ROUND(10709215471.9,0)</f>
        <v>10709215472</v>
      </c>
      <c r="Q560" s="1367">
        <v>0</v>
      </c>
      <c r="R560" s="1485">
        <f>ROUND((P560+Q560),0)</f>
        <v>10709215472</v>
      </c>
      <c r="S560" s="1481"/>
      <c r="T560" s="1485"/>
      <c r="U560" s="1481"/>
      <c r="V560" s="1485"/>
      <c r="W560" s="1485">
        <f>R560+T560-V560</f>
        <v>10709215472</v>
      </c>
      <c r="X560" s="1189"/>
      <c r="Y560" s="106">
        <v>8488849221</v>
      </c>
      <c r="Z560" s="698">
        <v>0</v>
      </c>
      <c r="AA560" s="698">
        <f>ROUND((Y560+Z560),0)</f>
        <v>8488849221</v>
      </c>
      <c r="AB560" s="253"/>
      <c r="AC560" s="106"/>
      <c r="AD560" s="253"/>
      <c r="AE560" s="106"/>
      <c r="AF560" s="106">
        <f>AA560+AC560-AE560</f>
        <v>8488849221</v>
      </c>
      <c r="AG560" s="106"/>
      <c r="AH560" s="208"/>
      <c r="AI560" s="947">
        <v>5981551995</v>
      </c>
      <c r="AJ560" s="947"/>
      <c r="AK560" s="947"/>
      <c r="AL560" s="667"/>
      <c r="AM560" s="14">
        <v>7963670923</v>
      </c>
      <c r="AN560" s="14">
        <v>0</v>
      </c>
      <c r="AO560" s="14">
        <f>ROUND((AM560+AN560),0)</f>
        <v>7963670923</v>
      </c>
      <c r="AP560" s="437"/>
      <c r="AQ560" s="14"/>
      <c r="AR560" s="437"/>
      <c r="AS560" s="14"/>
      <c r="AT560" s="14">
        <f>AO560+AQ560-AS560</f>
        <v>7963670923</v>
      </c>
      <c r="AU560" s="37"/>
      <c r="AV560" s="14">
        <v>5151132281</v>
      </c>
      <c r="AW560" s="14">
        <v>0</v>
      </c>
      <c r="AX560" s="14">
        <f>ROUND((AV560+AW560),0)</f>
        <v>5151132281</v>
      </c>
      <c r="AY560" s="437"/>
      <c r="AZ560" s="14"/>
      <c r="BA560" s="437"/>
      <c r="BB560" s="14"/>
      <c r="BC560" s="14">
        <f>AX560+AZ560-BB560</f>
        <v>5151132281</v>
      </c>
      <c r="BD560" s="14"/>
      <c r="BE560" s="128"/>
      <c r="BF560" s="220">
        <v>17625497056</v>
      </c>
      <c r="BG560" s="37"/>
      <c r="BH560" s="220">
        <v>21417864177</v>
      </c>
      <c r="BI560" s="37"/>
    </row>
    <row r="561" spans="1:61" s="41" customFormat="1">
      <c r="B561" s="95"/>
      <c r="C561" s="96" t="s">
        <v>871</v>
      </c>
      <c r="D561" s="1397">
        <f>D559+D560</f>
        <v>217424435885.01999</v>
      </c>
      <c r="E561" s="1397">
        <f>E559+E560</f>
        <v>198215352596</v>
      </c>
      <c r="F561" s="1365">
        <f t="shared" si="355"/>
        <v>415639788481.02002</v>
      </c>
      <c r="G561" s="1365">
        <f t="shared" si="353"/>
        <v>2.001953125E-2</v>
      </c>
      <c r="H561" s="1397">
        <f>H559+H560</f>
        <v>415639788481</v>
      </c>
      <c r="I561" s="1959"/>
      <c r="J561" s="1397"/>
      <c r="K561" s="1959"/>
      <c r="L561" s="1397"/>
      <c r="M561" s="1397">
        <f>M559+M560</f>
        <v>370753661563.31</v>
      </c>
      <c r="N561" s="2271"/>
      <c r="O561" s="2009"/>
      <c r="P561" s="1534">
        <f>P559+P560</f>
        <v>167817192566.44</v>
      </c>
      <c r="Q561" s="1397">
        <f>Q559+Q560</f>
        <v>157228730599</v>
      </c>
      <c r="R561" s="1534">
        <f>R559+R560</f>
        <v>325045923165</v>
      </c>
      <c r="S561" s="1535"/>
      <c r="T561" s="1534"/>
      <c r="U561" s="1535"/>
      <c r="V561" s="1534"/>
      <c r="W561" s="1534">
        <f>W559+W560</f>
        <v>294597210086</v>
      </c>
      <c r="X561" s="1208"/>
      <c r="Y561" s="442">
        <f>Y559+Y560</f>
        <v>126666433954</v>
      </c>
      <c r="Z561" s="740">
        <f>Z559+Z560</f>
        <v>129789907202</v>
      </c>
      <c r="AA561" s="740">
        <f>AA559+AA560</f>
        <v>256456341156</v>
      </c>
      <c r="AB561" s="611"/>
      <c r="AC561" s="279"/>
      <c r="AD561" s="611"/>
      <c r="AE561" s="279"/>
      <c r="AF561" s="442">
        <f>AF559+AF560</f>
        <v>237914209213</v>
      </c>
      <c r="AG561" s="442"/>
      <c r="AH561" s="232"/>
      <c r="AI561" s="957">
        <f>AI559+AI560</f>
        <v>275989097710</v>
      </c>
      <c r="AJ561" s="957"/>
      <c r="AK561" s="957"/>
      <c r="AL561" s="681"/>
      <c r="AM561" s="442">
        <f>AM559+AM560</f>
        <v>190674083849</v>
      </c>
      <c r="AN561" s="442">
        <f>AN559+AN560</f>
        <v>137367909915</v>
      </c>
      <c r="AO561" s="442">
        <f>AO559+AO560</f>
        <v>328041993764</v>
      </c>
      <c r="AP561" s="774"/>
      <c r="AQ561" s="442"/>
      <c r="AR561" s="774"/>
      <c r="AS561" s="442"/>
      <c r="AT561" s="442">
        <f>AT559+AT560</f>
        <v>246451554030</v>
      </c>
      <c r="AU561" s="1231"/>
      <c r="AV561" s="442">
        <f>AV559+AV560</f>
        <v>166455194210</v>
      </c>
      <c r="AW561" s="442">
        <f>AW559+AW560</f>
        <v>134070296352</v>
      </c>
      <c r="AX561" s="442">
        <f>AX559+AX560</f>
        <v>300525490562</v>
      </c>
      <c r="AY561" s="774"/>
      <c r="AZ561" s="442"/>
      <c r="BA561" s="774"/>
      <c r="BB561" s="442"/>
      <c r="BC561" s="442">
        <f>BC559+BC560</f>
        <v>240798921152</v>
      </c>
      <c r="BD561" s="1156"/>
      <c r="BE561" s="42"/>
      <c r="BF561" s="442">
        <f>BF559+BF560</f>
        <v>143662468929</v>
      </c>
      <c r="BG561" s="139"/>
      <c r="BH561" s="442">
        <f>BH559+BH560</f>
        <v>119733073971</v>
      </c>
      <c r="BI561" s="97"/>
    </row>
    <row r="562" spans="1:61" s="1" customFormat="1">
      <c r="B562" s="30"/>
      <c r="C562" s="13" t="s">
        <v>872</v>
      </c>
      <c r="D562" s="1981">
        <v>-94113724883.270004</v>
      </c>
      <c r="E562" s="1367">
        <v>-88265637010</v>
      </c>
      <c r="F562" s="1365">
        <f t="shared" si="355"/>
        <v>-182379361893.27002</v>
      </c>
      <c r="G562" s="1365">
        <f t="shared" si="353"/>
        <v>-0.27001953125</v>
      </c>
      <c r="H562" s="1367">
        <f>ROUND((D562+E562),0)</f>
        <v>-182379361893</v>
      </c>
      <c r="I562" s="1384"/>
      <c r="J562" s="1367"/>
      <c r="K562" s="1384"/>
      <c r="L562" s="1367"/>
      <c r="M562" s="1367">
        <f>H562+J562-L562</f>
        <v>-182379361893</v>
      </c>
      <c r="N562" s="1967"/>
      <c r="O562" s="1057"/>
      <c r="P562" s="1555">
        <f>-P144</f>
        <v>-108490508464</v>
      </c>
      <c r="Q562" s="1367">
        <f>ROUND(-109925410996.74,0)</f>
        <v>-109925410997</v>
      </c>
      <c r="R562" s="1485">
        <f>ROUND((P562+Q562),0)</f>
        <v>-218415919461</v>
      </c>
      <c r="S562" s="1481"/>
      <c r="T562" s="1485"/>
      <c r="U562" s="1481"/>
      <c r="V562" s="1485"/>
      <c r="W562" s="1485">
        <f>R562+T562-V562</f>
        <v>-218415919461</v>
      </c>
      <c r="X562" s="1189"/>
      <c r="Y562" s="106">
        <v>-89449789570</v>
      </c>
      <c r="Z562" s="698">
        <v>-99446493906</v>
      </c>
      <c r="AA562" s="698">
        <f>ROUND((Y562+Z562),0)</f>
        <v>-188896283476</v>
      </c>
      <c r="AB562" s="253"/>
      <c r="AC562" s="106"/>
      <c r="AD562" s="253"/>
      <c r="AE562" s="106"/>
      <c r="AF562" s="106">
        <f>AA562+AC562-AE562</f>
        <v>-188896283476</v>
      </c>
      <c r="AG562" s="106"/>
      <c r="AH562" s="208"/>
      <c r="AI562" s="947">
        <v>-186576651865</v>
      </c>
      <c r="AJ562" s="947"/>
      <c r="AK562" s="947"/>
      <c r="AL562" s="667"/>
      <c r="AM562" s="14">
        <v>-87174436355</v>
      </c>
      <c r="AN562" s="14">
        <v>-93932007715</v>
      </c>
      <c r="AO562" s="14">
        <f>ROUND((AM562+AN562),0)</f>
        <v>-181106444070</v>
      </c>
      <c r="AP562" s="437"/>
      <c r="AQ562" s="14"/>
      <c r="AR562" s="437"/>
      <c r="AS562" s="14"/>
      <c r="AT562" s="14">
        <f>AO562+AQ562-AS562</f>
        <v>-181106444070</v>
      </c>
      <c r="AU562" s="37"/>
      <c r="AV562" s="14">
        <v>-89064219308</v>
      </c>
      <c r="AW562" s="14">
        <v>-94699458944</v>
      </c>
      <c r="AX562" s="14">
        <f>ROUND((AV562+AW562),0)</f>
        <v>-183763678252</v>
      </c>
      <c r="AY562" s="437"/>
      <c r="AZ562" s="14"/>
      <c r="BA562" s="437"/>
      <c r="BB562" s="14"/>
      <c r="BC562" s="14">
        <f>AX562+AZ562-BB562</f>
        <v>-183763678252</v>
      </c>
      <c r="BD562" s="14"/>
      <c r="BE562" s="128"/>
      <c r="BF562" s="220">
        <v>-50712500769</v>
      </c>
      <c r="BG562" s="37"/>
      <c r="BH562" s="220">
        <v>-38232106308</v>
      </c>
      <c r="BI562" s="11"/>
    </row>
    <row r="563" spans="1:61" s="41" customFormat="1">
      <c r="B563" s="95"/>
      <c r="C563" s="96" t="s">
        <v>873</v>
      </c>
      <c r="D563" s="1397">
        <f>SUM(D561:D562)</f>
        <v>123310711001.74998</v>
      </c>
      <c r="E563" s="1397">
        <f>SUM(E561:E562)</f>
        <v>109949715586</v>
      </c>
      <c r="F563" s="1365">
        <f t="shared" si="355"/>
        <v>233260426587.75</v>
      </c>
      <c r="G563" s="1365">
        <f t="shared" si="353"/>
        <v>-0.25</v>
      </c>
      <c r="H563" s="1397">
        <f>SUM(H561:H562)</f>
        <v>233260426588</v>
      </c>
      <c r="I563" s="1959"/>
      <c r="J563" s="1397"/>
      <c r="K563" s="1959"/>
      <c r="L563" s="1397"/>
      <c r="M563" s="1397">
        <f>SUM(M561:M562)</f>
        <v>188374299670.31</v>
      </c>
      <c r="N563" s="2271"/>
      <c r="O563" s="2009"/>
      <c r="P563" s="1534">
        <f>SUM(P561:P562)</f>
        <v>59326684102.440002</v>
      </c>
      <c r="Q563" s="1397">
        <f>SUM(Q561:Q562)</f>
        <v>47303319602</v>
      </c>
      <c r="R563" s="1534">
        <f>SUM(R561:R562)</f>
        <v>106630003704</v>
      </c>
      <c r="S563" s="1535"/>
      <c r="T563" s="1534"/>
      <c r="U563" s="1535"/>
      <c r="V563" s="1534"/>
      <c r="W563" s="1534">
        <f>SUM(W561:W562)</f>
        <v>76181290625</v>
      </c>
      <c r="X563" s="1208"/>
      <c r="Y563" s="442">
        <f>SUM(Y561:Y562)</f>
        <v>37216644384</v>
      </c>
      <c r="Z563" s="740">
        <f>SUM(Z561:Z562)</f>
        <v>30343413296</v>
      </c>
      <c r="AA563" s="740">
        <f>SUM(AA561:AA562)</f>
        <v>67560057680</v>
      </c>
      <c r="AB563" s="611"/>
      <c r="AC563" s="279"/>
      <c r="AD563" s="611"/>
      <c r="AE563" s="279"/>
      <c r="AF563" s="442">
        <f>SUM(AF561:AF562)</f>
        <v>49017925737</v>
      </c>
      <c r="AG563" s="442"/>
      <c r="AH563" s="232"/>
      <c r="AI563" s="957">
        <f>SUM(AI561:AI562)</f>
        <v>89412445845</v>
      </c>
      <c r="AJ563" s="957"/>
      <c r="AK563" s="957"/>
      <c r="AL563" s="681"/>
      <c r="AM563" s="442">
        <f>SUM(AM561:AM562)</f>
        <v>103499647494</v>
      </c>
      <c r="AN563" s="442">
        <f>SUM(AN561:AN562)</f>
        <v>43435902200</v>
      </c>
      <c r="AO563" s="442">
        <f>SUM(AO561:AO562)</f>
        <v>146935549694</v>
      </c>
      <c r="AP563" s="774"/>
      <c r="AQ563" s="442"/>
      <c r="AR563" s="774"/>
      <c r="AS563" s="442"/>
      <c r="AT563" s="442">
        <f>SUM(AT561:AT562)</f>
        <v>65345109960</v>
      </c>
      <c r="AU563" s="1231"/>
      <c r="AV563" s="442">
        <f>SUM(AV561:AV562)</f>
        <v>77390974902</v>
      </c>
      <c r="AW563" s="442">
        <f>SUM(AW561:AW562)</f>
        <v>39370837408</v>
      </c>
      <c r="AX563" s="442">
        <f>SUM(AX561:AX562)</f>
        <v>116761812310</v>
      </c>
      <c r="AY563" s="774"/>
      <c r="AZ563" s="442"/>
      <c r="BA563" s="774"/>
      <c r="BB563" s="442"/>
      <c r="BC563" s="442">
        <f>SUM(BC561:BC562)</f>
        <v>57035242900</v>
      </c>
      <c r="BD563" s="1156"/>
      <c r="BE563" s="42"/>
      <c r="BF563" s="442">
        <f>SUM(BF561:BF562)</f>
        <v>92949968160</v>
      </c>
      <c r="BG563" s="139"/>
      <c r="BH563" s="442">
        <f>SUM(BH561:BH562)</f>
        <v>81500967663</v>
      </c>
      <c r="BI563" s="97"/>
    </row>
    <row r="564" spans="1:61" s="1" customFormat="1">
      <c r="B564" s="30"/>
      <c r="C564" s="13" t="s">
        <v>874</v>
      </c>
      <c r="D564" s="1367">
        <v>-12033518767.42</v>
      </c>
      <c r="E564" s="1367">
        <v>0</v>
      </c>
      <c r="F564" s="1365">
        <f t="shared" si="355"/>
        <v>-12033518767.42</v>
      </c>
      <c r="G564" s="1365">
        <f t="shared" si="353"/>
        <v>-0.42000007629394531</v>
      </c>
      <c r="H564" s="1367">
        <f>ROUND((D564+E564),0)</f>
        <v>-12033518767</v>
      </c>
      <c r="I564" s="1384"/>
      <c r="J564" s="1367"/>
      <c r="K564" s="1384"/>
      <c r="L564" s="1367"/>
      <c r="M564" s="1367">
        <f>H564+J564-L564</f>
        <v>-12033518767</v>
      </c>
      <c r="N564" s="1967"/>
      <c r="O564" s="1057"/>
      <c r="P564" s="1485">
        <f>-P560</f>
        <v>-10709215472</v>
      </c>
      <c r="Q564" s="1367">
        <v>0</v>
      </c>
      <c r="R564" s="1485">
        <f>ROUND((P564+Q564),0)</f>
        <v>-10709215472</v>
      </c>
      <c r="S564" s="1481"/>
      <c r="T564" s="1485"/>
      <c r="U564" s="1481"/>
      <c r="V564" s="1485"/>
      <c r="W564" s="1485">
        <f>R564+T564-V564</f>
        <v>-10709215472</v>
      </c>
      <c r="X564" s="1189"/>
      <c r="Y564" s="106">
        <v>-8488849221</v>
      </c>
      <c r="Z564" s="698">
        <v>0</v>
      </c>
      <c r="AA564" s="698">
        <f>ROUND((Y564+Z564),0)</f>
        <v>-8488849221</v>
      </c>
      <c r="AB564" s="253"/>
      <c r="AC564" s="106"/>
      <c r="AD564" s="253"/>
      <c r="AE564" s="106"/>
      <c r="AF564" s="106">
        <f>AA564+AC564-AE564</f>
        <v>-8488849221</v>
      </c>
      <c r="AG564" s="106"/>
      <c r="AH564" s="208"/>
      <c r="AI564" s="947">
        <v>-5981551995</v>
      </c>
      <c r="AJ564" s="947"/>
      <c r="AK564" s="947"/>
      <c r="AL564" s="667"/>
      <c r="AM564" s="14">
        <f>-AM560</f>
        <v>-7963670923</v>
      </c>
      <c r="AN564" s="14"/>
      <c r="AO564" s="14">
        <f>ROUND((AM564+AN564),0)</f>
        <v>-7963670923</v>
      </c>
      <c r="AP564" s="437"/>
      <c r="AQ564" s="14"/>
      <c r="AR564" s="437"/>
      <c r="AS564" s="14"/>
      <c r="AT564" s="14">
        <f>AO564+AQ564-AS564</f>
        <v>-7963670923</v>
      </c>
      <c r="AU564" s="37"/>
      <c r="AV564" s="14">
        <v>-5151132281</v>
      </c>
      <c r="AW564" s="14">
        <v>0</v>
      </c>
      <c r="AX564" s="14">
        <f>ROUND((AV564+AW564),0)</f>
        <v>-5151132281</v>
      </c>
      <c r="AY564" s="437"/>
      <c r="AZ564" s="14"/>
      <c r="BA564" s="437"/>
      <c r="BB564" s="14"/>
      <c r="BC564" s="14">
        <f>AX564+AZ564-BB564</f>
        <v>-5151132281</v>
      </c>
      <c r="BD564" s="14"/>
      <c r="BE564" s="128"/>
      <c r="BF564" s="220">
        <v>-17625497056</v>
      </c>
      <c r="BG564" s="37"/>
      <c r="BH564" s="220">
        <v>-21417864177</v>
      </c>
      <c r="BI564" s="11"/>
    </row>
    <row r="565" spans="1:61" s="41" customFormat="1">
      <c r="B565" s="95"/>
      <c r="C565" s="96" t="s">
        <v>875</v>
      </c>
      <c r="D565" s="1397">
        <f>D563+D564</f>
        <v>111277192234.32999</v>
      </c>
      <c r="E565" s="1397">
        <f>E563+E564</f>
        <v>109949715586</v>
      </c>
      <c r="F565" s="1365">
        <f t="shared" si="355"/>
        <v>221226907820.32999</v>
      </c>
      <c r="G565" s="1365">
        <f t="shared" si="353"/>
        <v>-0.670013427734375</v>
      </c>
      <c r="H565" s="1397">
        <f>H563+H564</f>
        <v>221226907821</v>
      </c>
      <c r="I565" s="1959"/>
      <c r="J565" s="1397"/>
      <c r="K565" s="1959"/>
      <c r="L565" s="1397"/>
      <c r="M565" s="1397">
        <f>M563+M564</f>
        <v>176340780903.31</v>
      </c>
      <c r="N565" s="2271"/>
      <c r="O565" s="2009"/>
      <c r="P565" s="1534">
        <f>P563+P564</f>
        <v>48617468630.440002</v>
      </c>
      <c r="Q565" s="1397">
        <f>Q563+Q564</f>
        <v>47303319602</v>
      </c>
      <c r="R565" s="1534">
        <f>R563+R564</f>
        <v>95920788232</v>
      </c>
      <c r="S565" s="1535"/>
      <c r="T565" s="1534"/>
      <c r="U565" s="1535"/>
      <c r="V565" s="1534"/>
      <c r="W565" s="1534">
        <f>W563+W564</f>
        <v>65472075153</v>
      </c>
      <c r="X565" s="1208"/>
      <c r="Y565" s="442">
        <f>Y563+Y564</f>
        <v>28727795163</v>
      </c>
      <c r="Z565" s="740">
        <f>Z563+Z564</f>
        <v>30343413296</v>
      </c>
      <c r="AA565" s="740">
        <f>AA563+AA564</f>
        <v>59071208459</v>
      </c>
      <c r="AB565" s="611"/>
      <c r="AC565" s="279"/>
      <c r="AD565" s="611"/>
      <c r="AE565" s="279"/>
      <c r="AF565" s="442">
        <f>AF563+AF564</f>
        <v>40529076516</v>
      </c>
      <c r="AG565" s="442"/>
      <c r="AH565" s="232"/>
      <c r="AI565" s="957">
        <f>AI563+AI564</f>
        <v>83430893850</v>
      </c>
      <c r="AJ565" s="957"/>
      <c r="AK565" s="957"/>
      <c r="AL565" s="681"/>
      <c r="AM565" s="442">
        <f>AM563+AM564</f>
        <v>95535976571</v>
      </c>
      <c r="AN565" s="442">
        <f>AN563+AN564</f>
        <v>43435902200</v>
      </c>
      <c r="AO565" s="442">
        <f>AO563+AO564</f>
        <v>138971878771</v>
      </c>
      <c r="AP565" s="774"/>
      <c r="AQ565" s="442"/>
      <c r="AR565" s="774"/>
      <c r="AS565" s="442"/>
      <c r="AT565" s="442">
        <f>AT563+AT564</f>
        <v>57381439037</v>
      </c>
      <c r="AU565" s="1231"/>
      <c r="AV565" s="442">
        <f>AV563+AV564</f>
        <v>72239842621</v>
      </c>
      <c r="AW565" s="442">
        <f>AW563+AW564</f>
        <v>39370837408</v>
      </c>
      <c r="AX565" s="442">
        <f>AX563+AX564</f>
        <v>111610680029</v>
      </c>
      <c r="AY565" s="774"/>
      <c r="AZ565" s="442"/>
      <c r="BA565" s="774"/>
      <c r="BB565" s="442"/>
      <c r="BC565" s="442">
        <f>BC563+BC564</f>
        <v>51884110619</v>
      </c>
      <c r="BD565" s="1156"/>
      <c r="BE565" s="42"/>
      <c r="BF565" s="442">
        <f>BF563+BF564</f>
        <v>75324471104</v>
      </c>
      <c r="BG565" s="139"/>
      <c r="BH565" s="442">
        <f>BH563+BH564</f>
        <v>60083103486</v>
      </c>
      <c r="BI565" s="97"/>
    </row>
    <row r="566" spans="1:61" s="1" customFormat="1">
      <c r="B566" s="30"/>
      <c r="C566" s="13"/>
      <c r="D566" s="1367"/>
      <c r="E566" s="1367"/>
      <c r="F566" s="1365">
        <f t="shared" si="355"/>
        <v>0</v>
      </c>
      <c r="G566" s="1365">
        <f t="shared" si="353"/>
        <v>0</v>
      </c>
      <c r="H566" s="1367"/>
      <c r="I566" s="1384"/>
      <c r="J566" s="1367"/>
      <c r="K566" s="1384"/>
      <c r="L566" s="1367"/>
      <c r="M566" s="1367"/>
      <c r="N566" s="1967"/>
      <c r="O566" s="1057"/>
      <c r="P566" s="1485"/>
      <c r="Q566" s="1367"/>
      <c r="R566" s="1485"/>
      <c r="S566" s="1481"/>
      <c r="T566" s="1485"/>
      <c r="U566" s="1481"/>
      <c r="V566" s="1485"/>
      <c r="W566" s="1485"/>
      <c r="X566" s="1189"/>
      <c r="Y566" s="106"/>
      <c r="Z566" s="698"/>
      <c r="AA566" s="698"/>
      <c r="AB566" s="253"/>
      <c r="AC566" s="106"/>
      <c r="AD566" s="253"/>
      <c r="AE566" s="106"/>
      <c r="AF566" s="106"/>
      <c r="AG566" s="106"/>
      <c r="AH566" s="208"/>
      <c r="AI566" s="947"/>
      <c r="AJ566" s="947"/>
      <c r="AK566" s="947"/>
      <c r="AL566" s="667"/>
      <c r="AM566" s="14"/>
      <c r="AN566" s="14"/>
      <c r="AO566" s="14"/>
      <c r="AP566" s="437"/>
      <c r="AQ566" s="14"/>
      <c r="AR566" s="437"/>
      <c r="AS566" s="14"/>
      <c r="AT566" s="14"/>
      <c r="AU566" s="37"/>
      <c r="AV566" s="14"/>
      <c r="AW566" s="14"/>
      <c r="AX566" s="14"/>
      <c r="AY566" s="437"/>
      <c r="AZ566" s="14"/>
      <c r="BA566" s="437"/>
      <c r="BB566" s="14"/>
      <c r="BC566" s="14"/>
      <c r="BD566" s="14"/>
      <c r="BE566" s="128"/>
      <c r="BF566" s="220"/>
      <c r="BG566" s="37"/>
      <c r="BH566" s="220"/>
      <c r="BI566" s="11"/>
    </row>
    <row r="567" spans="1:61" s="1" customFormat="1">
      <c r="B567" s="7" t="s">
        <v>876</v>
      </c>
      <c r="C567" s="13"/>
      <c r="D567" s="1367"/>
      <c r="E567" s="1367"/>
      <c r="F567" s="1365">
        <f t="shared" si="355"/>
        <v>0</v>
      </c>
      <c r="G567" s="1365">
        <f t="shared" si="353"/>
        <v>0</v>
      </c>
      <c r="H567" s="1367"/>
      <c r="I567" s="1384"/>
      <c r="J567" s="1367"/>
      <c r="K567" s="1384"/>
      <c r="L567" s="1367"/>
      <c r="M567" s="1367"/>
      <c r="N567" s="1967"/>
      <c r="O567" s="1057"/>
      <c r="P567" s="1485"/>
      <c r="Q567" s="1367"/>
      <c r="R567" s="1485"/>
      <c r="S567" s="1481"/>
      <c r="T567" s="1485"/>
      <c r="U567" s="1481"/>
      <c r="V567" s="1485"/>
      <c r="W567" s="1485"/>
      <c r="X567" s="1189"/>
      <c r="Y567" s="106"/>
      <c r="Z567" s="698"/>
      <c r="AA567" s="698"/>
      <c r="AB567" s="253"/>
      <c r="AC567" s="106"/>
      <c r="AD567" s="253"/>
      <c r="AE567" s="106"/>
      <c r="AF567" s="106"/>
      <c r="AG567" s="106"/>
      <c r="AH567" s="208"/>
      <c r="AI567" s="947"/>
      <c r="AJ567" s="947"/>
      <c r="AK567" s="947"/>
      <c r="AL567" s="667"/>
      <c r="AM567" s="14"/>
      <c r="AN567" s="14"/>
      <c r="AO567" s="14"/>
      <c r="AP567" s="437"/>
      <c r="AQ567" s="14"/>
      <c r="AR567" s="437"/>
      <c r="AS567" s="14"/>
      <c r="AT567" s="14"/>
      <c r="AU567" s="37"/>
      <c r="AV567" s="14"/>
      <c r="AW567" s="14"/>
      <c r="AX567" s="14"/>
      <c r="AY567" s="437"/>
      <c r="AZ567" s="14"/>
      <c r="BA567" s="437"/>
      <c r="BB567" s="14"/>
      <c r="BC567" s="14"/>
      <c r="BD567" s="14"/>
      <c r="BE567" s="128"/>
      <c r="BF567" s="220"/>
      <c r="BG567" s="37"/>
      <c r="BH567" s="220"/>
      <c r="BI567" s="11"/>
    </row>
    <row r="568" spans="1:61" s="1" customFormat="1">
      <c r="B568" s="7"/>
      <c r="C568" s="23" t="s">
        <v>877</v>
      </c>
      <c r="D568" s="1368">
        <v>3808188569</v>
      </c>
      <c r="E568" s="1368"/>
      <c r="F568" s="1365">
        <f t="shared" si="355"/>
        <v>3808188569</v>
      </c>
      <c r="G568" s="1365">
        <f t="shared" si="353"/>
        <v>0</v>
      </c>
      <c r="H568" s="1368">
        <f>ROUND((D568+E568),0)</f>
        <v>3808188569</v>
      </c>
      <c r="I568" s="1943"/>
      <c r="J568" s="1368"/>
      <c r="K568" s="1943"/>
      <c r="L568" s="1368"/>
      <c r="M568" s="1368">
        <f t="shared" ref="M568:M569" si="384">H568+J568-L568</f>
        <v>3808188569</v>
      </c>
      <c r="N568" s="1967"/>
      <c r="O568" s="1057"/>
      <c r="P568" s="1486">
        <v>3808188569</v>
      </c>
      <c r="Q568" s="1368"/>
      <c r="R568" s="1486">
        <f>ROUND((P568+Q568),0)</f>
        <v>3808188569</v>
      </c>
      <c r="S568" s="1487"/>
      <c r="T568" s="1486"/>
      <c r="U568" s="1487"/>
      <c r="V568" s="1486"/>
      <c r="W568" s="1486">
        <f t="shared" ref="W568:W569" si="385">R568+T568-V568</f>
        <v>3808188569</v>
      </c>
      <c r="X568" s="1189"/>
      <c r="Y568" s="225">
        <v>3808188569</v>
      </c>
      <c r="Z568" s="699"/>
      <c r="AA568" s="699">
        <f>ROUND((Y568+Z568),0)</f>
        <v>3808188569</v>
      </c>
      <c r="AB568" s="617"/>
      <c r="AC568" s="225"/>
      <c r="AD568" s="617"/>
      <c r="AE568" s="225"/>
      <c r="AF568" s="225">
        <f t="shared" ref="AF568:AF569" si="386">AA568+AC568-AE568</f>
        <v>3808188569</v>
      </c>
      <c r="AG568" s="225"/>
      <c r="AH568" s="208"/>
      <c r="AI568" s="947">
        <v>4118553810</v>
      </c>
      <c r="AJ568" s="947"/>
      <c r="AK568" s="947"/>
      <c r="AL568" s="667"/>
      <c r="AM568" s="14">
        <v>4118553810</v>
      </c>
      <c r="AN568" s="14"/>
      <c r="AO568" s="14">
        <f t="shared" ref="AO568:AO569" si="387">ROUND((AM568+AN568),0)</f>
        <v>4118553810</v>
      </c>
      <c r="AP568" s="437"/>
      <c r="AQ568" s="14"/>
      <c r="AR568" s="437"/>
      <c r="AS568" s="14"/>
      <c r="AT568" s="14">
        <f t="shared" ref="AT568:AT569" si="388">AO568+AQ568-AS568</f>
        <v>4118553810</v>
      </c>
      <c r="AU568" s="37"/>
      <c r="AV568" s="14">
        <v>4118553810</v>
      </c>
      <c r="AW568" s="14"/>
      <c r="AX568" s="14">
        <f t="shared" ref="AX568:AX569" si="389">ROUND((AV568+AW568),0)</f>
        <v>4118553810</v>
      </c>
      <c r="AY568" s="437"/>
      <c r="AZ568" s="14"/>
      <c r="BA568" s="437"/>
      <c r="BB568" s="14"/>
      <c r="BC568" s="14">
        <f t="shared" ref="BC568:BC569" si="390">AX568+AZ568-BB568</f>
        <v>4118553810</v>
      </c>
      <c r="BD568" s="14"/>
      <c r="BE568" s="128"/>
      <c r="BF568" s="220">
        <v>38854106304</v>
      </c>
      <c r="BG568" s="37"/>
      <c r="BH568" s="220">
        <v>22688161482</v>
      </c>
      <c r="BI568" s="37"/>
    </row>
    <row r="569" spans="1:61" s="1" customFormat="1">
      <c r="B569" s="7"/>
      <c r="C569" s="23" t="s">
        <v>878</v>
      </c>
      <c r="D569" s="1368">
        <v>12033518767</v>
      </c>
      <c r="E569" s="1368"/>
      <c r="F569" s="1365">
        <f t="shared" si="355"/>
        <v>12033518767</v>
      </c>
      <c r="G569" s="1365">
        <f t="shared" si="353"/>
        <v>0</v>
      </c>
      <c r="H569" s="1368">
        <f>ROUND((D569+E569),0)</f>
        <v>12033518767</v>
      </c>
      <c r="I569" s="1943"/>
      <c r="J569" s="1368"/>
      <c r="K569" s="1943"/>
      <c r="L569" s="1368"/>
      <c r="M569" s="1368">
        <f t="shared" si="384"/>
        <v>12033518767</v>
      </c>
      <c r="N569" s="1967"/>
      <c r="O569" s="1057"/>
      <c r="P569" s="1486">
        <f>P560</f>
        <v>10709215472</v>
      </c>
      <c r="Q569" s="1368"/>
      <c r="R569" s="1486">
        <f>ROUND((P569+Q569),0)</f>
        <v>10709215472</v>
      </c>
      <c r="S569" s="1487"/>
      <c r="T569" s="1486"/>
      <c r="U569" s="1487"/>
      <c r="V569" s="1486"/>
      <c r="W569" s="1486">
        <f t="shared" si="385"/>
        <v>10709215472</v>
      </c>
      <c r="X569" s="1189"/>
      <c r="Y569" s="225">
        <v>8488849221</v>
      </c>
      <c r="Z569" s="699"/>
      <c r="AA569" s="699">
        <f>ROUND((Y569+Z569),0)</f>
        <v>8488849221</v>
      </c>
      <c r="AB569" s="617"/>
      <c r="AC569" s="225"/>
      <c r="AD569" s="617"/>
      <c r="AE569" s="225"/>
      <c r="AF569" s="225">
        <f t="shared" si="386"/>
        <v>8488849221</v>
      </c>
      <c r="AG569" s="225"/>
      <c r="AH569" s="208"/>
      <c r="AI569" s="947">
        <v>5981551995</v>
      </c>
      <c r="AJ569" s="947"/>
      <c r="AK569" s="947"/>
      <c r="AL569" s="667"/>
      <c r="AM569" s="14">
        <f>AM560</f>
        <v>7963670923</v>
      </c>
      <c r="AN569" s="14"/>
      <c r="AO569" s="14">
        <f t="shared" si="387"/>
        <v>7963670923</v>
      </c>
      <c r="AP569" s="437"/>
      <c r="AQ569" s="14"/>
      <c r="AR569" s="437"/>
      <c r="AS569" s="14"/>
      <c r="AT569" s="14">
        <f t="shared" si="388"/>
        <v>7963670923</v>
      </c>
      <c r="AU569" s="37"/>
      <c r="AV569" s="14">
        <v>5151132281</v>
      </c>
      <c r="AW569" s="14"/>
      <c r="AX569" s="14">
        <f t="shared" si="389"/>
        <v>5151132281</v>
      </c>
      <c r="AY569" s="437"/>
      <c r="AZ569" s="14"/>
      <c r="BA569" s="437"/>
      <c r="BB569" s="14"/>
      <c r="BC569" s="14">
        <f t="shared" si="390"/>
        <v>5151132281</v>
      </c>
      <c r="BD569" s="14"/>
      <c r="BE569" s="128"/>
      <c r="BF569" s="220">
        <v>167002603986</v>
      </c>
      <c r="BG569" s="37"/>
      <c r="BH569" s="220">
        <v>121741633607</v>
      </c>
      <c r="BI569" s="37"/>
    </row>
    <row r="570" spans="1:61" s="41" customFormat="1">
      <c r="A570" s="99"/>
      <c r="B570" s="100"/>
      <c r="C570" s="96" t="s">
        <v>869</v>
      </c>
      <c r="D570" s="1397">
        <f>SUM(D568:D569)</f>
        <v>15841707336</v>
      </c>
      <c r="E570" s="1397">
        <f>SUM(E568:E569)</f>
        <v>0</v>
      </c>
      <c r="F570" s="1365">
        <f t="shared" si="355"/>
        <v>15841707336</v>
      </c>
      <c r="G570" s="1365">
        <f t="shared" si="353"/>
        <v>0</v>
      </c>
      <c r="H570" s="1397">
        <f>SUM(H568:H569)</f>
        <v>15841707336</v>
      </c>
      <c r="I570" s="1959"/>
      <c r="J570" s="1397"/>
      <c r="K570" s="1959"/>
      <c r="L570" s="1397"/>
      <c r="M570" s="1397">
        <f>SUM(M568:M569)</f>
        <v>15841707336</v>
      </c>
      <c r="N570" s="2271"/>
      <c r="O570" s="2009"/>
      <c r="P570" s="1534">
        <f>SUM(P568:P569)</f>
        <v>14517404041</v>
      </c>
      <c r="Q570" s="1397">
        <f>SUM(Q568:Q569)</f>
        <v>0</v>
      </c>
      <c r="R570" s="1534">
        <f>SUM(R568:R569)</f>
        <v>14517404041</v>
      </c>
      <c r="S570" s="1535"/>
      <c r="T570" s="1534"/>
      <c r="U570" s="1535"/>
      <c r="V570" s="1534"/>
      <c r="W570" s="1534">
        <f>SUM(W568:W569)</f>
        <v>14517404041</v>
      </c>
      <c r="X570" s="1208"/>
      <c r="Y570" s="442">
        <f>SUM(Y568:Y569)</f>
        <v>12297037790</v>
      </c>
      <c r="Z570" s="740">
        <f>SUM(Z568:Z569)</f>
        <v>0</v>
      </c>
      <c r="AA570" s="740">
        <f>SUM(AA568:AA569)</f>
        <v>12297037790</v>
      </c>
      <c r="AB570" s="611"/>
      <c r="AC570" s="279"/>
      <c r="AD570" s="611"/>
      <c r="AE570" s="279"/>
      <c r="AF570" s="442">
        <f>SUM(AF568:AF569)</f>
        <v>12297037790</v>
      </c>
      <c r="AG570" s="442"/>
      <c r="AH570" s="232"/>
      <c r="AI570" s="957">
        <f>SUM(AI568:AI569)</f>
        <v>10100105805</v>
      </c>
      <c r="AJ570" s="957"/>
      <c r="AK570" s="957"/>
      <c r="AL570" s="681"/>
      <c r="AM570" s="442">
        <f>SUM(AM568:AM569)</f>
        <v>12082224733</v>
      </c>
      <c r="AN570" s="442">
        <f>SUM(AN568:AN569)</f>
        <v>0</v>
      </c>
      <c r="AO570" s="442">
        <f>SUM(AO568:AO569)</f>
        <v>12082224733</v>
      </c>
      <c r="AP570" s="774"/>
      <c r="AQ570" s="442"/>
      <c r="AR570" s="774"/>
      <c r="AS570" s="442"/>
      <c r="AT570" s="442">
        <f>SUM(AT568:AT569)</f>
        <v>12082224733</v>
      </c>
      <c r="AU570" s="1231"/>
      <c r="AV570" s="442">
        <f>SUM(AV568:AV569)</f>
        <v>9269686091</v>
      </c>
      <c r="AW570" s="442">
        <f>SUM(AW568:AW569)</f>
        <v>0</v>
      </c>
      <c r="AX570" s="442">
        <f>SUM(AX568:AX569)</f>
        <v>9269686091</v>
      </c>
      <c r="AY570" s="774"/>
      <c r="AZ570" s="442"/>
      <c r="BA570" s="774"/>
      <c r="BB570" s="442"/>
      <c r="BC570" s="442">
        <f>SUM(BC568:BC569)</f>
        <v>9269686091</v>
      </c>
      <c r="BD570" s="1156"/>
      <c r="BE570" s="42"/>
      <c r="BF570" s="442">
        <f>SUM(BF568:BF569)</f>
        <v>205856710290</v>
      </c>
      <c r="BG570" s="139"/>
      <c r="BH570" s="442">
        <f>SUM(BH568:BH569)</f>
        <v>144429795089</v>
      </c>
      <c r="BI570" s="97"/>
    </row>
    <row r="571" spans="1:61" s="1" customFormat="1">
      <c r="B571" s="7"/>
      <c r="C571" s="23" t="s">
        <v>879</v>
      </c>
      <c r="D571" s="1368">
        <v>-4614448027</v>
      </c>
      <c r="E571" s="1368"/>
      <c r="F571" s="1365">
        <f t="shared" si="355"/>
        <v>-4614448027</v>
      </c>
      <c r="G571" s="1365">
        <f t="shared" si="353"/>
        <v>0</v>
      </c>
      <c r="H571" s="1368">
        <f>ROUND((D571+E571),0)</f>
        <v>-4614448027</v>
      </c>
      <c r="I571" s="1943"/>
      <c r="J571" s="1368"/>
      <c r="K571" s="1943"/>
      <c r="L571" s="1368"/>
      <c r="M571" s="1368">
        <f>H571+J571-L571</f>
        <v>-4614448027</v>
      </c>
      <c r="N571" s="1967"/>
      <c r="O571" s="1057"/>
      <c r="P571" s="1486">
        <f>ROUND(-6129938496.79,0)</f>
        <v>-6129938497</v>
      </c>
      <c r="Q571" s="1368"/>
      <c r="R571" s="1486">
        <f>ROUND((P571+Q571),0)</f>
        <v>-6129938497</v>
      </c>
      <c r="S571" s="1487"/>
      <c r="T571" s="1486"/>
      <c r="U571" s="1487"/>
      <c r="V571" s="1486"/>
      <c r="W571" s="1486">
        <f>R571+T571-V571</f>
        <v>-6129938497</v>
      </c>
      <c r="X571" s="1189"/>
      <c r="Y571" s="225">
        <v>-5993032339</v>
      </c>
      <c r="Z571" s="699"/>
      <c r="AA571" s="699">
        <f>ROUND((Y571+Z571),0)</f>
        <v>-5993032339</v>
      </c>
      <c r="AB571" s="617"/>
      <c r="AC571" s="225"/>
      <c r="AD571" s="617"/>
      <c r="AE571" s="225"/>
      <c r="AF571" s="225">
        <f>AA571+AC571-AE571</f>
        <v>-5993032339</v>
      </c>
      <c r="AG571" s="225"/>
      <c r="AH571" s="208"/>
      <c r="AI571" s="947">
        <v>-3808188569</v>
      </c>
      <c r="AJ571" s="947"/>
      <c r="AK571" s="947"/>
      <c r="AL571" s="667"/>
      <c r="AM571" s="14">
        <v>-4720465278</v>
      </c>
      <c r="AN571" s="14"/>
      <c r="AO571" s="14">
        <f>ROUND((AM571+AN571),0)</f>
        <v>-4720465278</v>
      </c>
      <c r="AP571" s="437"/>
      <c r="AQ571" s="14"/>
      <c r="AR571" s="437"/>
      <c r="AS571" s="14"/>
      <c r="AT571" s="14">
        <f>AO571+AQ571-AS571</f>
        <v>-4720465278</v>
      </c>
      <c r="AU571" s="37"/>
      <c r="AV571" s="14">
        <v>-4344319666</v>
      </c>
      <c r="AW571" s="14"/>
      <c r="AX571" s="14">
        <f>ROUND((AV571+AW571),0)</f>
        <v>-4344319666</v>
      </c>
      <c r="AY571" s="437"/>
      <c r="AZ571" s="14"/>
      <c r="BA571" s="437"/>
      <c r="BB571" s="14"/>
      <c r="BC571" s="14">
        <f>AX571+AZ571-BB571</f>
        <v>-4344319666</v>
      </c>
      <c r="BD571" s="14"/>
      <c r="BE571" s="128"/>
      <c r="BF571" s="220">
        <v>-65026154676</v>
      </c>
      <c r="BG571" s="37"/>
      <c r="BH571" s="220">
        <v>-38431919587</v>
      </c>
      <c r="BI571" s="37"/>
    </row>
    <row r="572" spans="1:61" s="41" customFormat="1">
      <c r="A572" s="99"/>
      <c r="B572" s="100"/>
      <c r="C572" s="96" t="s">
        <v>873</v>
      </c>
      <c r="D572" s="1397">
        <f>D570+D571</f>
        <v>11227259309</v>
      </c>
      <c r="E572" s="1397">
        <f>E570+E571</f>
        <v>0</v>
      </c>
      <c r="F572" s="1365">
        <f t="shared" si="355"/>
        <v>11227259309</v>
      </c>
      <c r="G572" s="1365">
        <f t="shared" si="353"/>
        <v>0</v>
      </c>
      <c r="H572" s="1397">
        <f>H570+H571</f>
        <v>11227259309</v>
      </c>
      <c r="I572" s="1959"/>
      <c r="J572" s="1397"/>
      <c r="K572" s="1959"/>
      <c r="L572" s="1397"/>
      <c r="M572" s="1397">
        <f>M570+M571</f>
        <v>11227259309</v>
      </c>
      <c r="N572" s="2271"/>
      <c r="O572" s="2009"/>
      <c r="P572" s="1534">
        <f>P570+P571</f>
        <v>8387465544</v>
      </c>
      <c r="Q572" s="1397">
        <f>Q570+Q571</f>
        <v>0</v>
      </c>
      <c r="R572" s="1534">
        <f>R570+R571</f>
        <v>8387465544</v>
      </c>
      <c r="S572" s="1535"/>
      <c r="T572" s="1534"/>
      <c r="U572" s="1535"/>
      <c r="V572" s="1534"/>
      <c r="W572" s="1534">
        <f>W570+W571</f>
        <v>8387465544</v>
      </c>
      <c r="X572" s="1208"/>
      <c r="Y572" s="442">
        <f>Y570+Y571</f>
        <v>6304005451</v>
      </c>
      <c r="Z572" s="740">
        <f>Z570+Z571</f>
        <v>0</v>
      </c>
      <c r="AA572" s="740">
        <f>AA570+AA571</f>
        <v>6304005451</v>
      </c>
      <c r="AB572" s="611"/>
      <c r="AC572" s="279"/>
      <c r="AD572" s="611"/>
      <c r="AE572" s="279"/>
      <c r="AF572" s="442">
        <f>AF570+AF571</f>
        <v>6304005451</v>
      </c>
      <c r="AG572" s="442"/>
      <c r="AH572" s="232"/>
      <c r="AI572" s="957">
        <f>AI570+AI571</f>
        <v>6291917236</v>
      </c>
      <c r="AJ572" s="957"/>
      <c r="AK572" s="957"/>
      <c r="AL572" s="681"/>
      <c r="AM572" s="442">
        <f>AM570+AM571</f>
        <v>7361759455</v>
      </c>
      <c r="AN572" s="442">
        <f>AN570+AN571</f>
        <v>0</v>
      </c>
      <c r="AO572" s="442">
        <f>AO570+AO571</f>
        <v>7361759455</v>
      </c>
      <c r="AP572" s="774"/>
      <c r="AQ572" s="442"/>
      <c r="AR572" s="774"/>
      <c r="AS572" s="442"/>
      <c r="AT572" s="442">
        <f>AT570+AT571</f>
        <v>7361759455</v>
      </c>
      <c r="AU572" s="1231"/>
      <c r="AV572" s="442">
        <f>AV570+AV571</f>
        <v>4925366425</v>
      </c>
      <c r="AW572" s="442">
        <f>AW570+AW571</f>
        <v>0</v>
      </c>
      <c r="AX572" s="442">
        <f>AX570+AX571</f>
        <v>4925366425</v>
      </c>
      <c r="AY572" s="774"/>
      <c r="AZ572" s="442"/>
      <c r="BA572" s="774"/>
      <c r="BB572" s="442"/>
      <c r="BC572" s="442">
        <f>BC570+BC571</f>
        <v>4925366425</v>
      </c>
      <c r="BD572" s="1156"/>
      <c r="BE572" s="42"/>
      <c r="BF572" s="442">
        <f>BF570+BF571</f>
        <v>140830555614</v>
      </c>
      <c r="BG572" s="139"/>
      <c r="BH572" s="442">
        <f>BH570+BH571</f>
        <v>105997875502</v>
      </c>
      <c r="BI572" s="97"/>
    </row>
    <row r="573" spans="1:61" s="101" customFormat="1">
      <c r="B573" s="102"/>
      <c r="C573" s="103"/>
      <c r="D573" s="280"/>
      <c r="E573" s="280"/>
      <c r="F573" s="1365">
        <f t="shared" si="355"/>
        <v>0</v>
      </c>
      <c r="G573" s="1365">
        <f t="shared" si="353"/>
        <v>0</v>
      </c>
      <c r="H573" s="280"/>
      <c r="I573" s="612"/>
      <c r="J573" s="280"/>
      <c r="K573" s="612"/>
      <c r="L573" s="280"/>
      <c r="M573" s="280"/>
      <c r="N573" s="280"/>
      <c r="O573" s="2010"/>
      <c r="P573" s="1536"/>
      <c r="Q573" s="280"/>
      <c r="R573" s="1536"/>
      <c r="S573" s="1537"/>
      <c r="T573" s="1536"/>
      <c r="U573" s="1537"/>
      <c r="V573" s="1536"/>
      <c r="W573" s="1536"/>
      <c r="X573" s="1209"/>
      <c r="Y573" s="280"/>
      <c r="Z573" s="741"/>
      <c r="AA573" s="741"/>
      <c r="AB573" s="612"/>
      <c r="AC573" s="280"/>
      <c r="AD573" s="612"/>
      <c r="AE573" s="280"/>
      <c r="AF573" s="280"/>
      <c r="AG573" s="280"/>
      <c r="AH573" s="281"/>
      <c r="AI573" s="958"/>
      <c r="AJ573" s="958"/>
      <c r="AK573" s="958"/>
      <c r="AL573" s="682"/>
      <c r="AM573" s="1422"/>
      <c r="AN573" s="443"/>
      <c r="AO573" s="443"/>
      <c r="AP573" s="775"/>
      <c r="AQ573" s="443"/>
      <c r="AR573" s="775"/>
      <c r="AS573" s="443"/>
      <c r="AT573" s="443"/>
      <c r="AU573" s="1232"/>
      <c r="AV573" s="443"/>
      <c r="AW573" s="443"/>
      <c r="AX573" s="443"/>
      <c r="AY573" s="775"/>
      <c r="AZ573" s="443"/>
      <c r="BA573" s="775"/>
      <c r="BB573" s="443"/>
      <c r="BC573" s="443"/>
      <c r="BD573" s="443"/>
      <c r="BE573" s="282"/>
      <c r="BF573" s="239"/>
      <c r="BG573" s="145"/>
      <c r="BH573" s="239"/>
      <c r="BI573" s="345"/>
    </row>
    <row r="574" spans="1:61" s="101" customFormat="1">
      <c r="B574" s="102" t="s">
        <v>880</v>
      </c>
      <c r="C574" s="103"/>
      <c r="D574" s="280"/>
      <c r="E574" s="280"/>
      <c r="F574" s="1365">
        <f t="shared" si="355"/>
        <v>0</v>
      </c>
      <c r="G574" s="1365">
        <f t="shared" si="353"/>
        <v>0</v>
      </c>
      <c r="H574" s="280"/>
      <c r="I574" s="612"/>
      <c r="J574" s="280"/>
      <c r="K574" s="612"/>
      <c r="L574" s="280"/>
      <c r="M574" s="280"/>
      <c r="N574" s="280"/>
      <c r="O574" s="2010"/>
      <c r="P574" s="1536"/>
      <c r="Q574" s="280"/>
      <c r="R574" s="1536"/>
      <c r="S574" s="1537"/>
      <c r="T574" s="1536"/>
      <c r="U574" s="1537"/>
      <c r="V574" s="1536"/>
      <c r="W574" s="1536"/>
      <c r="X574" s="1209"/>
      <c r="Y574" s="280"/>
      <c r="Z574" s="741"/>
      <c r="AA574" s="741"/>
      <c r="AB574" s="612"/>
      <c r="AC574" s="280"/>
      <c r="AD574" s="612"/>
      <c r="AE574" s="280"/>
      <c r="AF574" s="280"/>
      <c r="AG574" s="280"/>
      <c r="AH574" s="281"/>
      <c r="AI574" s="958"/>
      <c r="AJ574" s="958"/>
      <c r="AK574" s="958"/>
      <c r="AL574" s="682"/>
      <c r="AM574" s="1422"/>
      <c r="AN574" s="443"/>
      <c r="AO574" s="443"/>
      <c r="AP574" s="775"/>
      <c r="AQ574" s="443"/>
      <c r="AR574" s="775"/>
      <c r="AS574" s="443"/>
      <c r="AT574" s="443"/>
      <c r="AU574" s="1232"/>
      <c r="AV574" s="443"/>
      <c r="AW574" s="443"/>
      <c r="AX574" s="443"/>
      <c r="AY574" s="775"/>
      <c r="AZ574" s="443"/>
      <c r="BA574" s="775"/>
      <c r="BB574" s="443"/>
      <c r="BC574" s="443"/>
      <c r="BD574" s="443"/>
      <c r="BE574" s="282"/>
      <c r="BF574" s="239"/>
      <c r="BG574" s="145"/>
      <c r="BH574" s="239"/>
      <c r="BI574" s="345"/>
    </row>
    <row r="575" spans="1:61" s="101" customFormat="1">
      <c r="B575" s="102"/>
      <c r="C575" s="34" t="s">
        <v>509</v>
      </c>
      <c r="D575" s="1372"/>
      <c r="E575" s="1372"/>
      <c r="F575" s="1365">
        <f t="shared" si="355"/>
        <v>0</v>
      </c>
      <c r="G575" s="1365">
        <f t="shared" si="353"/>
        <v>0</v>
      </c>
      <c r="H575" s="1372"/>
      <c r="I575" s="1384"/>
      <c r="J575" s="1372"/>
      <c r="K575" s="1384"/>
      <c r="L575" s="1372"/>
      <c r="M575" s="1372"/>
      <c r="N575" s="280"/>
      <c r="O575" s="1997"/>
      <c r="P575" s="1494"/>
      <c r="Q575" s="1372"/>
      <c r="R575" s="1494"/>
      <c r="S575" s="1481"/>
      <c r="T575" s="1494"/>
      <c r="U575" s="1481"/>
      <c r="V575" s="1494"/>
      <c r="W575" s="1494"/>
      <c r="X575" s="1192"/>
      <c r="Y575" s="231"/>
      <c r="Z575" s="710"/>
      <c r="AA575" s="710"/>
      <c r="AB575" s="253"/>
      <c r="AC575" s="231"/>
      <c r="AD575" s="253"/>
      <c r="AE575" s="231"/>
      <c r="AF575" s="231"/>
      <c r="AG575" s="231"/>
      <c r="AH575" s="232"/>
      <c r="AI575" s="959">
        <v>0</v>
      </c>
      <c r="AJ575" s="959"/>
      <c r="AK575" s="959"/>
      <c r="AL575" s="683"/>
      <c r="AM575" s="445"/>
      <c r="AN575" s="444"/>
      <c r="AO575" s="444"/>
      <c r="AP575" s="775"/>
      <c r="AQ575" s="444"/>
      <c r="AR575" s="775"/>
      <c r="AS575" s="444"/>
      <c r="AT575" s="444"/>
      <c r="AU575" s="1233"/>
      <c r="AV575" s="444"/>
      <c r="AW575" s="444"/>
      <c r="AX575" s="444"/>
      <c r="AY575" s="775"/>
      <c r="AZ575" s="444"/>
      <c r="BA575" s="775"/>
      <c r="BB575" s="444"/>
      <c r="BC575" s="444"/>
      <c r="BD575" s="444"/>
      <c r="BE575" s="233"/>
      <c r="BF575" s="220">
        <v>0</v>
      </c>
      <c r="BG575" s="37"/>
      <c r="BH575" s="220"/>
      <c r="BI575" s="98"/>
    </row>
    <row r="576" spans="1:61" s="101" customFormat="1">
      <c r="B576" s="102"/>
      <c r="C576" s="13" t="s">
        <v>881</v>
      </c>
      <c r="D576" s="1367"/>
      <c r="E576" s="1367"/>
      <c r="F576" s="1365">
        <f t="shared" si="355"/>
        <v>0</v>
      </c>
      <c r="G576" s="1365">
        <f t="shared" si="353"/>
        <v>0</v>
      </c>
      <c r="H576" s="1367">
        <f t="shared" ref="H576:H582" si="391">ROUND((D576+E576),0)</f>
        <v>0</v>
      </c>
      <c r="I576" s="1384"/>
      <c r="J576" s="1367"/>
      <c r="K576" s="1384"/>
      <c r="L576" s="1367"/>
      <c r="M576" s="1367">
        <f>ROUND((H576+J576-L576),0)</f>
        <v>0</v>
      </c>
      <c r="N576" s="1967"/>
      <c r="O576" s="1057"/>
      <c r="P576" s="1485"/>
      <c r="Q576" s="1367"/>
      <c r="R576" s="1485">
        <f t="shared" ref="R576:R582" si="392">ROUND((P576+Q576),0)</f>
        <v>0</v>
      </c>
      <c r="S576" s="1481"/>
      <c r="T576" s="1485"/>
      <c r="U576" s="1481"/>
      <c r="V576" s="1485"/>
      <c r="W576" s="1485">
        <f>ROUND((R576+T576-V576),0)</f>
        <v>0</v>
      </c>
      <c r="X576" s="1189"/>
      <c r="Y576" s="106"/>
      <c r="Z576" s="698"/>
      <c r="AA576" s="698">
        <f t="shared" ref="AA576:AA582" si="393">ROUND((Y576+Z576),0)</f>
        <v>0</v>
      </c>
      <c r="AB576" s="253"/>
      <c r="AC576" s="106"/>
      <c r="AD576" s="253"/>
      <c r="AE576" s="106"/>
      <c r="AF576" s="106">
        <f>ROUND((AA576+AC576-AE576),0)</f>
        <v>0</v>
      </c>
      <c r="AG576" s="106"/>
      <c r="AH576" s="208"/>
      <c r="AI576" s="959">
        <v>0</v>
      </c>
      <c r="AJ576" s="959"/>
      <c r="AK576" s="959"/>
      <c r="AL576" s="683"/>
      <c r="AM576" s="445"/>
      <c r="AN576" s="444"/>
      <c r="AO576" s="444">
        <f t="shared" ref="AO576:AO583" si="394">ROUND((AM576+AN576),0)</f>
        <v>0</v>
      </c>
      <c r="AP576" s="775"/>
      <c r="AQ576" s="444"/>
      <c r="AR576" s="775"/>
      <c r="AS576" s="444"/>
      <c r="AT576" s="444">
        <f>ROUND((AO576+AQ576-AS576),0)</f>
        <v>0</v>
      </c>
      <c r="AU576" s="1233"/>
      <c r="AV576" s="444"/>
      <c r="AW576" s="444"/>
      <c r="AX576" s="444">
        <f t="shared" ref="AX576:AX582" si="395">ROUND((AV576+AW576),0)</f>
        <v>0</v>
      </c>
      <c r="AY576" s="775"/>
      <c r="AZ576" s="444"/>
      <c r="BA576" s="775"/>
      <c r="BB576" s="444"/>
      <c r="BC576" s="444">
        <f>ROUND((AX576+AZ576-BB576),0)</f>
        <v>0</v>
      </c>
      <c r="BD576" s="444"/>
      <c r="BE576" s="283"/>
      <c r="BF576" s="220">
        <v>1860015644</v>
      </c>
      <c r="BG576" s="37"/>
      <c r="BH576" s="220">
        <v>5775690619</v>
      </c>
      <c r="BI576" s="15"/>
    </row>
    <row r="577" spans="2:61" s="101" customFormat="1">
      <c r="B577" s="102"/>
      <c r="C577" s="13" t="s">
        <v>882</v>
      </c>
      <c r="D577" s="1367"/>
      <c r="E577" s="1367"/>
      <c r="F577" s="1365">
        <f t="shared" si="355"/>
        <v>0</v>
      </c>
      <c r="G577" s="1365">
        <f t="shared" si="353"/>
        <v>0</v>
      </c>
      <c r="H577" s="1367">
        <f t="shared" si="391"/>
        <v>0</v>
      </c>
      <c r="I577" s="1384"/>
      <c r="J577" s="1367"/>
      <c r="K577" s="1384"/>
      <c r="L577" s="1367"/>
      <c r="M577" s="1367">
        <f t="shared" ref="M577:M582" si="396">ROUND((H577+J577-L577),0)</f>
        <v>0</v>
      </c>
      <c r="N577" s="1967"/>
      <c r="O577" s="1057"/>
      <c r="P577" s="1485"/>
      <c r="Q577" s="1367"/>
      <c r="R577" s="1485">
        <f t="shared" si="392"/>
        <v>0</v>
      </c>
      <c r="S577" s="1481"/>
      <c r="T577" s="1485"/>
      <c r="U577" s="1481"/>
      <c r="V577" s="1485"/>
      <c r="W577" s="1485">
        <f t="shared" ref="W577:W582" si="397">ROUND((R577+T577-V577),0)</f>
        <v>0</v>
      </c>
      <c r="X577" s="1189"/>
      <c r="Y577" s="106"/>
      <c r="Z577" s="698"/>
      <c r="AA577" s="698">
        <f t="shared" si="393"/>
        <v>0</v>
      </c>
      <c r="AB577" s="253"/>
      <c r="AC577" s="106"/>
      <c r="AD577" s="253"/>
      <c r="AE577" s="106"/>
      <c r="AF577" s="106">
        <f t="shared" ref="AF577:AF582" si="398">ROUND((AA577+AC577-AE577),0)</f>
        <v>0</v>
      </c>
      <c r="AG577" s="106"/>
      <c r="AH577" s="208"/>
      <c r="AI577" s="959">
        <v>0</v>
      </c>
      <c r="AJ577" s="959"/>
      <c r="AK577" s="959"/>
      <c r="AL577" s="683"/>
      <c r="AM577" s="445"/>
      <c r="AN577" s="444"/>
      <c r="AO577" s="444">
        <f t="shared" si="394"/>
        <v>0</v>
      </c>
      <c r="AP577" s="775"/>
      <c r="AQ577" s="444"/>
      <c r="AR577" s="775"/>
      <c r="AS577" s="444"/>
      <c r="AT577" s="444">
        <f t="shared" ref="AT577:AT583" si="399">ROUND((AO577+AQ577-AS577),0)</f>
        <v>0</v>
      </c>
      <c r="AU577" s="1233"/>
      <c r="AV577" s="444"/>
      <c r="AW577" s="444"/>
      <c r="AX577" s="444">
        <f t="shared" si="395"/>
        <v>0</v>
      </c>
      <c r="AY577" s="775"/>
      <c r="AZ577" s="444"/>
      <c r="BA577" s="775"/>
      <c r="BB577" s="444"/>
      <c r="BC577" s="444">
        <f t="shared" ref="BC577:BC582" si="400">ROUND((AX577+AZ577-BB577),0)</f>
        <v>0</v>
      </c>
      <c r="BD577" s="444"/>
      <c r="BE577" s="283"/>
      <c r="BF577" s="220">
        <v>5879028750</v>
      </c>
      <c r="BG577" s="37"/>
      <c r="BH577" s="220">
        <v>3911602551</v>
      </c>
      <c r="BI577" s="15"/>
    </row>
    <row r="578" spans="2:61" s="101" customFormat="1">
      <c r="B578" s="102"/>
      <c r="C578" s="93" t="s">
        <v>883</v>
      </c>
      <c r="D578" s="1375">
        <v>10703932151.639999</v>
      </c>
      <c r="E578" s="1375">
        <v>6227305625</v>
      </c>
      <c r="F578" s="1365">
        <f t="shared" si="355"/>
        <v>16931237776.639999</v>
      </c>
      <c r="G578" s="1365">
        <f t="shared" si="353"/>
        <v>-0.3600006103515625</v>
      </c>
      <c r="H578" s="1375">
        <f t="shared" si="391"/>
        <v>16931237777</v>
      </c>
      <c r="I578" s="1391"/>
      <c r="J578" s="1375"/>
      <c r="K578" s="1391" t="str">
        <f>'ELIM &amp; CAJE Des 24'!A25</f>
        <v>ELIM 5</v>
      </c>
      <c r="L578" s="1375">
        <f>'ELIM &amp; CAJE Des 24'!I25</f>
        <v>2134718228</v>
      </c>
      <c r="M578" s="1375">
        <f t="shared" si="396"/>
        <v>14796519549</v>
      </c>
      <c r="N578" s="1967"/>
      <c r="O578" s="1057"/>
      <c r="P578" s="1498">
        <f>ROUND(7884643326.64,0)</f>
        <v>7884643327</v>
      </c>
      <c r="Q578" s="1375">
        <f>ROUND(7671197540.3,0)</f>
        <v>7671197540</v>
      </c>
      <c r="R578" s="1498">
        <f t="shared" si="392"/>
        <v>15555840867</v>
      </c>
      <c r="S578" s="1496"/>
      <c r="T578" s="1498"/>
      <c r="U578" s="1496" t="str">
        <f>'ELIM &amp; CAJE Sept 24'!B25</f>
        <v>ELIM 5</v>
      </c>
      <c r="V578" s="1498">
        <f>'ELIM &amp; CAJE Sept 24'!J25</f>
        <v>1659714678</v>
      </c>
      <c r="W578" s="1498">
        <f t="shared" si="397"/>
        <v>13896126189</v>
      </c>
      <c r="X578" s="1189"/>
      <c r="Y578" s="278">
        <v>4473605114</v>
      </c>
      <c r="Z578" s="714">
        <v>4021021972</v>
      </c>
      <c r="AA578" s="714">
        <f t="shared" si="393"/>
        <v>8494627086</v>
      </c>
      <c r="AB578" s="274">
        <f>'ELIM &amp; CAJE Juni 24'!B38</f>
        <v>0</v>
      </c>
      <c r="AC578" s="278">
        <f>'ELIM &amp; CAJE Juni 24'!I38</f>
        <v>0</v>
      </c>
      <c r="AD578" s="274" t="str">
        <f>'ELIM &amp; CAJE Juni 24'!B21</f>
        <v>ELIM 5</v>
      </c>
      <c r="AE578" s="278">
        <f>'ELIM &amp; CAJE Juni 24'!J25</f>
        <v>1250367790</v>
      </c>
      <c r="AF578" s="278">
        <f t="shared" si="398"/>
        <v>7244259296</v>
      </c>
      <c r="AG578" s="278"/>
      <c r="AH578" s="208"/>
      <c r="AI578" s="959">
        <v>13800716295</v>
      </c>
      <c r="AJ578" s="959"/>
      <c r="AK578" s="959"/>
      <c r="AL578" s="683"/>
      <c r="AM578" s="445">
        <v>10035783058</v>
      </c>
      <c r="AN578" s="444">
        <v>3311164580</v>
      </c>
      <c r="AO578" s="444">
        <f t="shared" si="394"/>
        <v>13346947638</v>
      </c>
      <c r="AP578" s="775"/>
      <c r="AQ578" s="444"/>
      <c r="AR578" s="775" t="s">
        <v>868</v>
      </c>
      <c r="AS578" s="444">
        <f>'ELIM &amp; CAJE Sept 23'!I20+'ELIM &amp; CAJE Sept 23'!I24</f>
        <v>1711924932</v>
      </c>
      <c r="AT578" s="444">
        <f t="shared" si="399"/>
        <v>11635022706</v>
      </c>
      <c r="AU578" s="1233"/>
      <c r="AV578" s="444">
        <v>7303739178</v>
      </c>
      <c r="AW578" s="444">
        <v>2639859930</v>
      </c>
      <c r="AX578" s="444">
        <f t="shared" si="395"/>
        <v>9943599108</v>
      </c>
      <c r="AY578" s="775"/>
      <c r="AZ578" s="444"/>
      <c r="BA578" s="775" t="str">
        <f>'ELIM Juni 23'!A20</f>
        <v>ELIM 4</v>
      </c>
      <c r="BB578" s="444">
        <f>'ELIM Juni 23'!I20+'ELIM Juni 23'!I24</f>
        <v>1279902980</v>
      </c>
      <c r="BC578" s="444">
        <f t="shared" si="400"/>
        <v>8663696128</v>
      </c>
      <c r="BD578" s="444"/>
      <c r="BE578" s="283"/>
      <c r="BF578" s="220">
        <v>27096061622</v>
      </c>
      <c r="BG578" s="37"/>
      <c r="BH578" s="220">
        <v>16840693165</v>
      </c>
      <c r="BI578" s="15"/>
    </row>
    <row r="579" spans="2:61" s="101" customFormat="1">
      <c r="B579" s="102"/>
      <c r="C579" s="13" t="s">
        <v>884</v>
      </c>
      <c r="D579" s="1367">
        <v>0</v>
      </c>
      <c r="E579" s="1367">
        <v>14016700</v>
      </c>
      <c r="F579" s="1365">
        <f t="shared" si="355"/>
        <v>14016700</v>
      </c>
      <c r="G579" s="1365">
        <f t="shared" si="353"/>
        <v>0</v>
      </c>
      <c r="H579" s="1367">
        <f t="shared" si="391"/>
        <v>14016700</v>
      </c>
      <c r="I579" s="1384"/>
      <c r="J579" s="1367"/>
      <c r="K579" s="1384"/>
      <c r="L579" s="1367"/>
      <c r="M579" s="1367">
        <f t="shared" si="396"/>
        <v>14016700</v>
      </c>
      <c r="N579" s="1967"/>
      <c r="O579" s="1057"/>
      <c r="P579" s="1485">
        <v>672480</v>
      </c>
      <c r="Q579" s="1367">
        <v>7165900</v>
      </c>
      <c r="R579" s="1485">
        <f t="shared" si="392"/>
        <v>7838380</v>
      </c>
      <c r="S579" s="1481"/>
      <c r="T579" s="1485"/>
      <c r="U579" s="1481"/>
      <c r="V579" s="1485"/>
      <c r="W579" s="1485">
        <f t="shared" si="397"/>
        <v>7838380</v>
      </c>
      <c r="X579" s="1189"/>
      <c r="Y579" s="106">
        <v>672480</v>
      </c>
      <c r="Z579" s="698">
        <v>5887500</v>
      </c>
      <c r="AA579" s="698">
        <f t="shared" si="393"/>
        <v>6559980</v>
      </c>
      <c r="AB579" s="253"/>
      <c r="AC579" s="106"/>
      <c r="AD579" s="253"/>
      <c r="AE579" s="106"/>
      <c r="AF579" s="106">
        <f t="shared" si="398"/>
        <v>6559980</v>
      </c>
      <c r="AG579" s="106"/>
      <c r="AH579" s="208"/>
      <c r="AI579" s="959">
        <v>9153750</v>
      </c>
      <c r="AJ579" s="959"/>
      <c r="AK579" s="959"/>
      <c r="AL579" s="683"/>
      <c r="AM579" s="445">
        <v>5748750</v>
      </c>
      <c r="AN579" s="444">
        <v>2680000</v>
      </c>
      <c r="AO579" s="444">
        <f t="shared" si="394"/>
        <v>8428750</v>
      </c>
      <c r="AP579" s="775"/>
      <c r="AQ579" s="444"/>
      <c r="AR579" s="775"/>
      <c r="AS579" s="444"/>
      <c r="AT579" s="444">
        <f t="shared" si="399"/>
        <v>8428750</v>
      </c>
      <c r="AU579" s="1233"/>
      <c r="AV579" s="444"/>
      <c r="AW579" s="444">
        <v>905000</v>
      </c>
      <c r="AX579" s="444">
        <f t="shared" si="395"/>
        <v>905000</v>
      </c>
      <c r="AY579" s="775"/>
      <c r="AZ579" s="444"/>
      <c r="BA579" s="775"/>
      <c r="BB579" s="444"/>
      <c r="BC579" s="444">
        <f t="shared" si="400"/>
        <v>905000</v>
      </c>
      <c r="BD579" s="444"/>
      <c r="BE579" s="283"/>
      <c r="BF579" s="220">
        <v>4207500</v>
      </c>
      <c r="BG579" s="37"/>
      <c r="BH579" s="220">
        <v>39922500</v>
      </c>
      <c r="BI579" s="15"/>
    </row>
    <row r="580" spans="2:61" s="104" customFormat="1">
      <c r="B580" s="105"/>
      <c r="C580" s="106" t="s">
        <v>885</v>
      </c>
      <c r="D580" s="1367">
        <v>0</v>
      </c>
      <c r="E580" s="1367"/>
      <c r="F580" s="1365">
        <f t="shared" si="355"/>
        <v>0</v>
      </c>
      <c r="G580" s="1365">
        <f t="shared" si="353"/>
        <v>0</v>
      </c>
      <c r="H580" s="1367">
        <f t="shared" si="391"/>
        <v>0</v>
      </c>
      <c r="I580" s="1384"/>
      <c r="J580" s="1367"/>
      <c r="K580" s="1384"/>
      <c r="L580" s="1367"/>
      <c r="M580" s="1367">
        <f t="shared" si="396"/>
        <v>0</v>
      </c>
      <c r="N580" s="1967"/>
      <c r="O580" s="1057"/>
      <c r="P580" s="1485"/>
      <c r="Q580" s="1367"/>
      <c r="R580" s="1485">
        <f t="shared" si="392"/>
        <v>0</v>
      </c>
      <c r="S580" s="1481"/>
      <c r="T580" s="1485"/>
      <c r="U580" s="1481"/>
      <c r="V580" s="1485"/>
      <c r="W580" s="1485">
        <f t="shared" si="397"/>
        <v>0</v>
      </c>
      <c r="X580" s="1057"/>
      <c r="Y580" s="106"/>
      <c r="Z580" s="698"/>
      <c r="AA580" s="698">
        <f t="shared" si="393"/>
        <v>0</v>
      </c>
      <c r="AB580" s="253"/>
      <c r="AC580" s="106"/>
      <c r="AD580" s="253"/>
      <c r="AE580" s="106"/>
      <c r="AF580" s="106">
        <f t="shared" si="398"/>
        <v>0</v>
      </c>
      <c r="AG580" s="106"/>
      <c r="AH580" s="208"/>
      <c r="AI580" s="959">
        <v>-57072003</v>
      </c>
      <c r="AJ580" s="959"/>
      <c r="AK580" s="959"/>
      <c r="AL580" s="684"/>
      <c r="AM580" s="445"/>
      <c r="AN580" s="445">
        <v>-3154903</v>
      </c>
      <c r="AO580" s="445">
        <f t="shared" si="394"/>
        <v>-3154903</v>
      </c>
      <c r="AP580" s="787"/>
      <c r="AQ580" s="445"/>
      <c r="AR580" s="787"/>
      <c r="AS580" s="445"/>
      <c r="AT580" s="445">
        <f t="shared" si="399"/>
        <v>-3154903</v>
      </c>
      <c r="AU580" s="1234"/>
      <c r="AV580" s="445"/>
      <c r="AW580" s="445">
        <v>-3154903</v>
      </c>
      <c r="AX580" s="445">
        <f t="shared" si="395"/>
        <v>-3154903</v>
      </c>
      <c r="AY580" s="787"/>
      <c r="AZ580" s="445"/>
      <c r="BA580" s="787"/>
      <c r="BB580" s="445"/>
      <c r="BC580" s="445">
        <f t="shared" si="400"/>
        <v>-3154903</v>
      </c>
      <c r="BD580" s="445"/>
      <c r="BE580" s="146">
        <f>SUM(AI578:AI580)</f>
        <v>13752798042</v>
      </c>
      <c r="BF580" s="220">
        <v>0</v>
      </c>
      <c r="BG580" s="37"/>
      <c r="BH580" s="220">
        <v>-118617976</v>
      </c>
      <c r="BI580" s="15"/>
    </row>
    <row r="581" spans="2:61" s="101" customFormat="1">
      <c r="B581" s="102"/>
      <c r="C581" s="13" t="s">
        <v>886</v>
      </c>
      <c r="D581" s="1367">
        <v>0</v>
      </c>
      <c r="E581" s="1367"/>
      <c r="F581" s="1365">
        <f t="shared" si="355"/>
        <v>0</v>
      </c>
      <c r="G581" s="1365">
        <f t="shared" si="353"/>
        <v>0</v>
      </c>
      <c r="H581" s="1367">
        <f t="shared" si="391"/>
        <v>0</v>
      </c>
      <c r="I581" s="1384"/>
      <c r="J581" s="1367"/>
      <c r="K581" s="1384"/>
      <c r="L581" s="1367"/>
      <c r="M581" s="1367">
        <f t="shared" si="396"/>
        <v>0</v>
      </c>
      <c r="N581" s="1967"/>
      <c r="O581" s="1057"/>
      <c r="P581" s="1485"/>
      <c r="Q581" s="1367"/>
      <c r="R581" s="1485">
        <f t="shared" si="392"/>
        <v>0</v>
      </c>
      <c r="S581" s="1481"/>
      <c r="T581" s="1485"/>
      <c r="U581" s="1481"/>
      <c r="V581" s="1485"/>
      <c r="W581" s="1485">
        <f t="shared" si="397"/>
        <v>0</v>
      </c>
      <c r="X581" s="1189"/>
      <c r="Y581" s="106"/>
      <c r="Z581" s="698"/>
      <c r="AA581" s="698">
        <f t="shared" si="393"/>
        <v>0</v>
      </c>
      <c r="AB581" s="253"/>
      <c r="AC581" s="106"/>
      <c r="AD581" s="253"/>
      <c r="AE581" s="106"/>
      <c r="AF581" s="106">
        <f t="shared" si="398"/>
        <v>0</v>
      </c>
      <c r="AG581" s="106"/>
      <c r="AH581" s="208"/>
      <c r="AI581" s="959">
        <v>0</v>
      </c>
      <c r="AJ581" s="959"/>
      <c r="AK581" s="959"/>
      <c r="AL581" s="683"/>
      <c r="AM581" s="445"/>
      <c r="AN581" s="444"/>
      <c r="AO581" s="444">
        <f t="shared" si="394"/>
        <v>0</v>
      </c>
      <c r="AP581" s="775"/>
      <c r="AQ581" s="444"/>
      <c r="AR581" s="775"/>
      <c r="AS581" s="444"/>
      <c r="AT581" s="444">
        <f t="shared" si="399"/>
        <v>0</v>
      </c>
      <c r="AU581" s="1233"/>
      <c r="AV581" s="444"/>
      <c r="AW581" s="444"/>
      <c r="AX581" s="444">
        <f t="shared" si="395"/>
        <v>0</v>
      </c>
      <c r="AY581" s="775"/>
      <c r="AZ581" s="444"/>
      <c r="BA581" s="775"/>
      <c r="BB581" s="444"/>
      <c r="BC581" s="444">
        <f t="shared" si="400"/>
        <v>0</v>
      </c>
      <c r="BD581" s="444"/>
      <c r="BE581" s="283"/>
      <c r="BF581" s="220">
        <v>0</v>
      </c>
      <c r="BG581" s="37"/>
      <c r="BH581" s="220">
        <v>-97635000</v>
      </c>
      <c r="BI581" s="15"/>
    </row>
    <row r="582" spans="2:61" s="101" customFormat="1">
      <c r="B582" s="102"/>
      <c r="C582" s="13" t="s">
        <v>887</v>
      </c>
      <c r="D582" s="1367"/>
      <c r="E582" s="1367"/>
      <c r="F582" s="1365">
        <f t="shared" si="355"/>
        <v>0</v>
      </c>
      <c r="G582" s="1365">
        <f t="shared" si="353"/>
        <v>0</v>
      </c>
      <c r="H582" s="1367">
        <f t="shared" si="391"/>
        <v>0</v>
      </c>
      <c r="I582" s="1384"/>
      <c r="J582" s="1367"/>
      <c r="K582" s="1384"/>
      <c r="L582" s="1367"/>
      <c r="M582" s="1367">
        <f t="shared" si="396"/>
        <v>0</v>
      </c>
      <c r="N582" s="1967"/>
      <c r="O582" s="1057"/>
      <c r="P582" s="1485"/>
      <c r="Q582" s="1367"/>
      <c r="R582" s="1485">
        <f t="shared" si="392"/>
        <v>0</v>
      </c>
      <c r="S582" s="1481"/>
      <c r="T582" s="1485"/>
      <c r="U582" s="1481"/>
      <c r="V582" s="1485"/>
      <c r="W582" s="1485">
        <f t="shared" si="397"/>
        <v>0</v>
      </c>
      <c r="X582" s="1189"/>
      <c r="Y582" s="106"/>
      <c r="Z582" s="698"/>
      <c r="AA582" s="698">
        <f t="shared" si="393"/>
        <v>0</v>
      </c>
      <c r="AB582" s="253"/>
      <c r="AC582" s="106"/>
      <c r="AD582" s="253"/>
      <c r="AE582" s="106"/>
      <c r="AF582" s="106">
        <f t="shared" si="398"/>
        <v>0</v>
      </c>
      <c r="AG582" s="106"/>
      <c r="AH582" s="208"/>
      <c r="AI582" s="959">
        <v>0</v>
      </c>
      <c r="AJ582" s="959"/>
      <c r="AK582" s="959"/>
      <c r="AL582" s="683"/>
      <c r="AM582" s="445"/>
      <c r="AN582" s="444"/>
      <c r="AO582" s="444">
        <f t="shared" si="394"/>
        <v>0</v>
      </c>
      <c r="AP582" s="775"/>
      <c r="AQ582" s="444"/>
      <c r="AR582" s="775"/>
      <c r="AS582" s="444"/>
      <c r="AT582" s="444">
        <f t="shared" si="399"/>
        <v>0</v>
      </c>
      <c r="AU582" s="1233"/>
      <c r="AV582" s="444"/>
      <c r="AW582" s="444"/>
      <c r="AX582" s="444">
        <f t="shared" si="395"/>
        <v>0</v>
      </c>
      <c r="AY582" s="775"/>
      <c r="AZ582" s="444"/>
      <c r="BA582" s="775"/>
      <c r="BB582" s="444"/>
      <c r="BC582" s="444">
        <f t="shared" si="400"/>
        <v>0</v>
      </c>
      <c r="BD582" s="444"/>
      <c r="BE582" s="283"/>
      <c r="BF582" s="220">
        <v>0</v>
      </c>
      <c r="BG582" s="145"/>
      <c r="BH582" s="220">
        <v>0</v>
      </c>
      <c r="BI582" s="346"/>
    </row>
    <row r="583" spans="2:61" s="101" customFormat="1">
      <c r="B583" s="102"/>
      <c r="C583" s="689" t="s">
        <v>802</v>
      </c>
      <c r="D583" s="1375"/>
      <c r="E583" s="1375"/>
      <c r="F583" s="1365">
        <f t="shared" si="355"/>
        <v>0</v>
      </c>
      <c r="G583" s="1365">
        <f t="shared" si="353"/>
        <v>0</v>
      </c>
      <c r="H583" s="1375"/>
      <c r="I583" s="1391"/>
      <c r="J583" s="1375"/>
      <c r="K583" s="1391"/>
      <c r="L583" s="1375"/>
      <c r="M583" s="1375"/>
      <c r="N583" s="1967"/>
      <c r="O583" s="2011"/>
      <c r="P583" s="1498"/>
      <c r="Q583" s="1375"/>
      <c r="R583" s="1498"/>
      <c r="S583" s="1496"/>
      <c r="T583" s="1498"/>
      <c r="U583" s="1496"/>
      <c r="V583" s="1498"/>
      <c r="W583" s="1498"/>
      <c r="X583" s="1210"/>
      <c r="Y583" s="280"/>
      <c r="Z583" s="741"/>
      <c r="AA583" s="741"/>
      <c r="AB583" s="612"/>
      <c r="AC583" s="280"/>
      <c r="AD583" s="612"/>
      <c r="AE583" s="280"/>
      <c r="AF583" s="280"/>
      <c r="AG583" s="280"/>
      <c r="AH583" s="281"/>
      <c r="AI583" s="958"/>
      <c r="AJ583" s="958"/>
      <c r="AK583" s="958"/>
      <c r="AL583" s="682"/>
      <c r="AM583" s="445"/>
      <c r="AN583" s="443"/>
      <c r="AO583" s="444">
        <f t="shared" si="394"/>
        <v>0</v>
      </c>
      <c r="AP583" s="775"/>
      <c r="AQ583" s="444"/>
      <c r="AR583" s="775"/>
      <c r="AS583" s="444"/>
      <c r="AT583" s="444">
        <f t="shared" si="399"/>
        <v>0</v>
      </c>
      <c r="AU583" s="1233"/>
      <c r="AV583" s="444">
        <v>660187360</v>
      </c>
      <c r="AW583" s="443"/>
      <c r="AX583" s="444">
        <f t="shared" ref="AX583" si="401">ROUND((AV583+AW583),0)</f>
        <v>660187360</v>
      </c>
      <c r="AY583" s="775"/>
      <c r="AZ583" s="444"/>
      <c r="BA583" s="775"/>
      <c r="BB583" s="444"/>
      <c r="BC583" s="444">
        <f t="shared" ref="BC583" si="402">ROUND((AX583+AZ583-BB583),0)</f>
        <v>660187360</v>
      </c>
      <c r="BD583" s="444"/>
      <c r="BE583" s="282"/>
      <c r="BF583" s="239"/>
      <c r="BG583" s="145"/>
      <c r="BH583" s="220">
        <v>0</v>
      </c>
      <c r="BI583" s="346"/>
    </row>
    <row r="584" spans="2:61" s="101" customFormat="1">
      <c r="B584" s="24" t="s">
        <v>888</v>
      </c>
      <c r="C584" s="103"/>
      <c r="D584" s="280"/>
      <c r="E584" s="280"/>
      <c r="F584" s="1365">
        <f t="shared" si="355"/>
        <v>0</v>
      </c>
      <c r="G584" s="1365">
        <f t="shared" si="353"/>
        <v>0</v>
      </c>
      <c r="H584" s="280"/>
      <c r="I584" s="612"/>
      <c r="J584" s="280"/>
      <c r="K584" s="612"/>
      <c r="L584" s="280"/>
      <c r="M584" s="280"/>
      <c r="N584" s="280"/>
      <c r="O584" s="2010"/>
      <c r="P584" s="1536"/>
      <c r="Q584" s="280"/>
      <c r="R584" s="1536"/>
      <c r="S584" s="1537"/>
      <c r="T584" s="1536"/>
      <c r="U584" s="1537"/>
      <c r="V584" s="1536"/>
      <c r="W584" s="1536"/>
      <c r="X584" s="1209"/>
      <c r="Y584" s="280"/>
      <c r="Z584" s="741"/>
      <c r="AA584" s="741"/>
      <c r="AB584" s="612"/>
      <c r="AC584" s="280"/>
      <c r="AD584" s="612"/>
      <c r="AE584" s="280"/>
      <c r="AF584" s="280"/>
      <c r="AG584" s="280"/>
      <c r="AH584" s="281"/>
      <c r="AI584" s="958"/>
      <c r="AJ584" s="958"/>
      <c r="AK584" s="958"/>
      <c r="AL584" s="682"/>
      <c r="AM584" s="1422"/>
      <c r="AN584" s="443"/>
      <c r="AO584" s="443"/>
      <c r="AP584" s="775"/>
      <c r="AQ584" s="443"/>
      <c r="AR584" s="775"/>
      <c r="AS584" s="443"/>
      <c r="AT584" s="443"/>
      <c r="AU584" s="1232"/>
      <c r="AV584" s="443"/>
      <c r="AW584" s="443"/>
      <c r="AX584" s="443"/>
      <c r="AY584" s="775"/>
      <c r="AZ584" s="443"/>
      <c r="BA584" s="775"/>
      <c r="BB584" s="443"/>
      <c r="BC584" s="443"/>
      <c r="BD584" s="443"/>
      <c r="BE584" s="282"/>
      <c r="BF584" s="239"/>
      <c r="BG584" s="145"/>
      <c r="BH584" s="239"/>
      <c r="BI584" s="346"/>
    </row>
    <row r="585" spans="2:61" s="1" customFormat="1">
      <c r="B585" s="24"/>
      <c r="C585" s="13" t="s">
        <v>509</v>
      </c>
      <c r="D585" s="1367">
        <v>0</v>
      </c>
      <c r="E585" s="1367"/>
      <c r="F585" s="1365">
        <f t="shared" si="355"/>
        <v>0</v>
      </c>
      <c r="G585" s="1365">
        <f t="shared" si="353"/>
        <v>0</v>
      </c>
      <c r="H585" s="1367">
        <f t="shared" ref="H585:H591" si="403">ROUND((D585+E585),0)</f>
        <v>0</v>
      </c>
      <c r="I585" s="1384"/>
      <c r="J585" s="1367"/>
      <c r="K585" s="1384"/>
      <c r="L585" s="1367"/>
      <c r="M585" s="1367">
        <f t="shared" ref="M585:M591" si="404">ROUND((H585+J585-L585),0)</f>
        <v>0</v>
      </c>
      <c r="N585" s="1967"/>
      <c r="O585" s="1057"/>
      <c r="P585" s="1485"/>
      <c r="Q585" s="1367"/>
      <c r="R585" s="1485">
        <f t="shared" ref="R585:R591" si="405">ROUND((P585+Q585),0)</f>
        <v>0</v>
      </c>
      <c r="S585" s="1481"/>
      <c r="T585" s="1485"/>
      <c r="U585" s="1481"/>
      <c r="V585" s="1485"/>
      <c r="W585" s="1485">
        <f t="shared" ref="W585:W591" si="406">ROUND((R585+T585-V585),0)</f>
        <v>0</v>
      </c>
      <c r="X585" s="1189"/>
      <c r="Y585" s="106"/>
      <c r="Z585" s="698"/>
      <c r="AA585" s="698">
        <f t="shared" ref="AA585:AA591" si="407">ROUND((Y585+Z585),0)</f>
        <v>0</v>
      </c>
      <c r="AB585" s="253"/>
      <c r="AC585" s="106"/>
      <c r="AD585" s="253"/>
      <c r="AE585" s="106"/>
      <c r="AF585" s="106">
        <f t="shared" ref="AF585:AF591" si="408">ROUND((AA585+AC585-AE585),0)</f>
        <v>0</v>
      </c>
      <c r="AG585" s="106"/>
      <c r="AH585" s="208"/>
      <c r="AI585" s="947"/>
      <c r="AJ585" s="947"/>
      <c r="AK585" s="947"/>
      <c r="AL585" s="667"/>
      <c r="AM585" s="14"/>
      <c r="AN585" s="14"/>
      <c r="AO585" s="14">
        <f t="shared" ref="AO585:AO591" si="409">ROUND((AM585+AN585),0)</f>
        <v>0</v>
      </c>
      <c r="AP585" s="437"/>
      <c r="AQ585" s="14"/>
      <c r="AR585" s="437"/>
      <c r="AS585" s="14"/>
      <c r="AT585" s="14">
        <f t="shared" ref="AT585:AT591" si="410">ROUND((AO585+AQ585-AS585),0)</f>
        <v>0</v>
      </c>
      <c r="AU585" s="37"/>
      <c r="AV585" s="14"/>
      <c r="AW585" s="14"/>
      <c r="AX585" s="14">
        <f t="shared" ref="AX585:AX591" si="411">ROUND((AV585+AW585),0)</f>
        <v>0</v>
      </c>
      <c r="AY585" s="437"/>
      <c r="AZ585" s="14"/>
      <c r="BA585" s="437"/>
      <c r="BB585" s="14"/>
      <c r="BC585" s="14">
        <f t="shared" ref="BC585:BC591" si="412">ROUND((AX585+AZ585-BB585),0)</f>
        <v>0</v>
      </c>
      <c r="BD585" s="14"/>
      <c r="BE585" s="128"/>
      <c r="BF585" s="220"/>
      <c r="BG585" s="37"/>
      <c r="BH585" s="220"/>
      <c r="BI585" s="98"/>
    </row>
    <row r="586" spans="2:61" s="1" customFormat="1">
      <c r="B586" s="24"/>
      <c r="C586" s="13" t="s">
        <v>889</v>
      </c>
      <c r="D586" s="1367"/>
      <c r="E586" s="1367">
        <f>ROUND(229236127.75,0)</f>
        <v>229236128</v>
      </c>
      <c r="F586" s="1365">
        <f t="shared" si="355"/>
        <v>229236128</v>
      </c>
      <c r="G586" s="1365">
        <f t="shared" si="353"/>
        <v>0</v>
      </c>
      <c r="H586" s="1367">
        <f t="shared" si="403"/>
        <v>229236128</v>
      </c>
      <c r="I586" s="1384"/>
      <c r="J586" s="1367"/>
      <c r="K586" s="1384"/>
      <c r="L586" s="1367"/>
      <c r="M586" s="1367">
        <f t="shared" si="404"/>
        <v>229236128</v>
      </c>
      <c r="N586" s="1967"/>
      <c r="O586" s="1057"/>
      <c r="P586" s="1485"/>
      <c r="Q586" s="1367">
        <f>ROUND(229236127.75,0)</f>
        <v>229236128</v>
      </c>
      <c r="R586" s="1485">
        <f t="shared" si="405"/>
        <v>229236128</v>
      </c>
      <c r="S586" s="1481"/>
      <c r="T586" s="1485"/>
      <c r="U586" s="1481"/>
      <c r="V586" s="1485"/>
      <c r="W586" s="1485">
        <f t="shared" si="406"/>
        <v>229236128</v>
      </c>
      <c r="X586" s="1189"/>
      <c r="Y586" s="106"/>
      <c r="Z586" s="858">
        <f>229236129-1</f>
        <v>229236128</v>
      </c>
      <c r="AA586" s="698">
        <f t="shared" si="407"/>
        <v>229236128</v>
      </c>
      <c r="AB586" s="253"/>
      <c r="AC586" s="106"/>
      <c r="AD586" s="253"/>
      <c r="AE586" s="106"/>
      <c r="AF586" s="106">
        <f t="shared" si="408"/>
        <v>229236128</v>
      </c>
      <c r="AG586" s="106"/>
      <c r="AH586" s="208"/>
      <c r="AI586" s="947">
        <v>263412431</v>
      </c>
      <c r="AJ586" s="947"/>
      <c r="AK586" s="947"/>
      <c r="AL586" s="667"/>
      <c r="AM586" s="14"/>
      <c r="AN586" s="14">
        <v>263412431</v>
      </c>
      <c r="AO586" s="14">
        <f t="shared" si="409"/>
        <v>263412431</v>
      </c>
      <c r="AP586" s="437"/>
      <c r="AQ586" s="14"/>
      <c r="AR586" s="437"/>
      <c r="AS586" s="14"/>
      <c r="AT586" s="14">
        <f t="shared" si="410"/>
        <v>263412431</v>
      </c>
      <c r="AU586" s="37"/>
      <c r="AV586" s="14"/>
      <c r="AW586" s="14">
        <v>263412431</v>
      </c>
      <c r="AX586" s="14">
        <f t="shared" si="411"/>
        <v>263412431</v>
      </c>
      <c r="AY586" s="437"/>
      <c r="AZ586" s="14"/>
      <c r="BA586" s="437"/>
      <c r="BB586" s="14"/>
      <c r="BC586" s="14">
        <f t="shared" si="412"/>
        <v>263412431</v>
      </c>
      <c r="BD586" s="14"/>
      <c r="BE586" s="128"/>
      <c r="BF586" s="220">
        <v>266628667</v>
      </c>
      <c r="BG586" s="37"/>
      <c r="BH586" s="220">
        <v>450247559</v>
      </c>
      <c r="BI586" s="98"/>
    </row>
    <row r="587" spans="2:61" s="1" customFormat="1">
      <c r="B587" s="24"/>
      <c r="C587" s="23" t="s">
        <v>890</v>
      </c>
      <c r="D587" s="1368"/>
      <c r="E587" s="1368">
        <f>ROUND(391129610.98,0)</f>
        <v>391129611</v>
      </c>
      <c r="F587" s="1365">
        <f t="shared" si="355"/>
        <v>391129611</v>
      </c>
      <c r="G587" s="1365">
        <f t="shared" si="353"/>
        <v>0</v>
      </c>
      <c r="H587" s="1368">
        <f t="shared" si="403"/>
        <v>391129611</v>
      </c>
      <c r="I587" s="1943"/>
      <c r="J587" s="1368"/>
      <c r="K587" s="1943"/>
      <c r="L587" s="1368"/>
      <c r="M587" s="1368">
        <f t="shared" si="404"/>
        <v>391129611</v>
      </c>
      <c r="N587" s="1967"/>
      <c r="O587" s="1057"/>
      <c r="P587" s="1486"/>
      <c r="Q587" s="1368">
        <f>ROUND(391129610.98,0)</f>
        <v>391129611</v>
      </c>
      <c r="R587" s="1486">
        <f t="shared" si="405"/>
        <v>391129611</v>
      </c>
      <c r="S587" s="1487"/>
      <c r="T587" s="1486"/>
      <c r="U587" s="1487"/>
      <c r="V587" s="1486"/>
      <c r="W587" s="1486">
        <f t="shared" si="406"/>
        <v>391129611</v>
      </c>
      <c r="X587" s="1189"/>
      <c r="Y587" s="225"/>
      <c r="Z587" s="699">
        <v>391129611</v>
      </c>
      <c r="AA587" s="699">
        <f t="shared" si="407"/>
        <v>391129611</v>
      </c>
      <c r="AB587" s="617"/>
      <c r="AC587" s="225"/>
      <c r="AD587" s="617"/>
      <c r="AE587" s="225"/>
      <c r="AF587" s="225">
        <f t="shared" si="408"/>
        <v>391129611</v>
      </c>
      <c r="AG587" s="225"/>
      <c r="AH587" s="208"/>
      <c r="AI587" s="947">
        <v>71217053</v>
      </c>
      <c r="AJ587" s="947"/>
      <c r="AK587" s="947"/>
      <c r="AL587" s="667"/>
      <c r="AM587" s="14"/>
      <c r="AN587" s="14">
        <v>71217053</v>
      </c>
      <c r="AO587" s="14">
        <f t="shared" si="409"/>
        <v>71217053</v>
      </c>
      <c r="AP587" s="437"/>
      <c r="AQ587" s="14"/>
      <c r="AR587" s="437"/>
      <c r="AS587" s="14"/>
      <c r="AT587" s="14">
        <f t="shared" si="410"/>
        <v>71217053</v>
      </c>
      <c r="AU587" s="37"/>
      <c r="AV587" s="14"/>
      <c r="AW587" s="14">
        <v>71217053</v>
      </c>
      <c r="AX587" s="14">
        <f t="shared" si="411"/>
        <v>71217053</v>
      </c>
      <c r="AY587" s="437"/>
      <c r="AZ587" s="14"/>
      <c r="BA587" s="437"/>
      <c r="BB587" s="14"/>
      <c r="BC587" s="14">
        <f t="shared" si="412"/>
        <v>71217053</v>
      </c>
      <c r="BD587" s="14"/>
      <c r="BE587" s="128"/>
      <c r="BF587" s="220">
        <v>232337910</v>
      </c>
      <c r="BG587" s="37"/>
      <c r="BH587" s="220">
        <v>131072010</v>
      </c>
      <c r="BI587" s="98"/>
    </row>
    <row r="588" spans="2:61" s="1" customFormat="1">
      <c r="B588" s="24"/>
      <c r="C588" s="13" t="s">
        <v>883</v>
      </c>
      <c r="D588" s="1367">
        <v>16305238543</v>
      </c>
      <c r="E588" s="1367">
        <v>10241769535</v>
      </c>
      <c r="F588" s="1365">
        <f t="shared" si="355"/>
        <v>26547008078</v>
      </c>
      <c r="G588" s="1365">
        <f t="shared" si="353"/>
        <v>0</v>
      </c>
      <c r="H588" s="1367">
        <f t="shared" si="403"/>
        <v>26547008078</v>
      </c>
      <c r="I588" s="1384"/>
      <c r="J588" s="1367"/>
      <c r="K588" s="1384"/>
      <c r="L588" s="1367"/>
      <c r="M588" s="1367">
        <f t="shared" si="404"/>
        <v>26547008078</v>
      </c>
      <c r="N588" s="1967"/>
      <c r="O588" s="1057"/>
      <c r="P588" s="1485">
        <v>16305238543</v>
      </c>
      <c r="Q588" s="1367">
        <v>10326759282</v>
      </c>
      <c r="R588" s="1485">
        <f t="shared" si="405"/>
        <v>26631997825</v>
      </c>
      <c r="S588" s="1481"/>
      <c r="T588" s="1485"/>
      <c r="U588" s="1481"/>
      <c r="V588" s="1485"/>
      <c r="W588" s="1485">
        <f t="shared" si="406"/>
        <v>26631997825</v>
      </c>
      <c r="X588" s="1189"/>
      <c r="Y588" s="106">
        <v>16305238543</v>
      </c>
      <c r="Z588" s="698">
        <v>10326759282</v>
      </c>
      <c r="AA588" s="698">
        <f t="shared" si="407"/>
        <v>26631997825</v>
      </c>
      <c r="AB588" s="253"/>
      <c r="AC588" s="106"/>
      <c r="AD588" s="253"/>
      <c r="AE588" s="106"/>
      <c r="AF588" s="106">
        <f t="shared" si="408"/>
        <v>26631997825</v>
      </c>
      <c r="AG588" s="106"/>
      <c r="AH588" s="208"/>
      <c r="AI588" s="947">
        <v>20155257971</v>
      </c>
      <c r="AJ588" s="947"/>
      <c r="AK588" s="947"/>
      <c r="AL588" s="667"/>
      <c r="AM588" s="14">
        <v>12890764983</v>
      </c>
      <c r="AN588" s="14">
        <v>7301697895</v>
      </c>
      <c r="AO588" s="14">
        <f t="shared" si="409"/>
        <v>20192462878</v>
      </c>
      <c r="AP588" s="437"/>
      <c r="AQ588" s="14"/>
      <c r="AR588" s="437"/>
      <c r="AS588" s="14"/>
      <c r="AT588" s="14">
        <f t="shared" si="410"/>
        <v>20192462878</v>
      </c>
      <c r="AU588" s="37"/>
      <c r="AV588" s="14">
        <v>12890764983</v>
      </c>
      <c r="AW588" s="14">
        <v>7301697895</v>
      </c>
      <c r="AX588" s="14">
        <f t="shared" si="411"/>
        <v>20192462878</v>
      </c>
      <c r="AY588" s="437"/>
      <c r="AZ588" s="14"/>
      <c r="BA588" s="437"/>
      <c r="BB588" s="14"/>
      <c r="BC588" s="14">
        <f t="shared" si="412"/>
        <v>20192462878</v>
      </c>
      <c r="BD588" s="14"/>
      <c r="BE588" s="128"/>
      <c r="BF588" s="220">
        <v>17865013711</v>
      </c>
      <c r="BG588" s="37"/>
      <c r="BH588" s="220">
        <v>19974791340</v>
      </c>
      <c r="BI588" s="98"/>
    </row>
    <row r="589" spans="2:61" s="1" customFormat="1">
      <c r="B589" s="24"/>
      <c r="C589" s="13" t="s">
        <v>891</v>
      </c>
      <c r="D589" s="1367"/>
      <c r="E589" s="1367"/>
      <c r="F589" s="1365">
        <f t="shared" si="355"/>
        <v>0</v>
      </c>
      <c r="G589" s="1365">
        <f t="shared" si="353"/>
        <v>0</v>
      </c>
      <c r="H589" s="1367">
        <f t="shared" si="403"/>
        <v>0</v>
      </c>
      <c r="I589" s="1384"/>
      <c r="J589" s="1367"/>
      <c r="K589" s="1384"/>
      <c r="L589" s="1367"/>
      <c r="M589" s="1367">
        <f t="shared" si="404"/>
        <v>0</v>
      </c>
      <c r="N589" s="1967"/>
      <c r="O589" s="1057"/>
      <c r="P589" s="1485"/>
      <c r="Q589" s="1367"/>
      <c r="R589" s="1485">
        <f t="shared" si="405"/>
        <v>0</v>
      </c>
      <c r="S589" s="1481"/>
      <c r="T589" s="1485"/>
      <c r="U589" s="1481"/>
      <c r="V589" s="1485"/>
      <c r="W589" s="1485">
        <f t="shared" si="406"/>
        <v>0</v>
      </c>
      <c r="X589" s="1189"/>
      <c r="Y589" s="106">
        <v>0</v>
      </c>
      <c r="Z589" s="698">
        <v>0</v>
      </c>
      <c r="AA589" s="698">
        <f t="shared" si="407"/>
        <v>0</v>
      </c>
      <c r="AB589" s="253"/>
      <c r="AC589" s="106"/>
      <c r="AD589" s="253"/>
      <c r="AE589" s="106"/>
      <c r="AF589" s="106">
        <f t="shared" si="408"/>
        <v>0</v>
      </c>
      <c r="AG589" s="106"/>
      <c r="AH589" s="208"/>
      <c r="AI589" s="947">
        <v>597076478</v>
      </c>
      <c r="AJ589" s="947"/>
      <c r="AK589" s="947"/>
      <c r="AL589" s="667"/>
      <c r="AM589" s="14"/>
      <c r="AN589" s="14"/>
      <c r="AO589" s="14">
        <f t="shared" si="409"/>
        <v>0</v>
      </c>
      <c r="AP589" s="437"/>
      <c r="AQ589" s="14"/>
      <c r="AR589" s="437"/>
      <c r="AS589" s="14"/>
      <c r="AT589" s="14">
        <f t="shared" si="410"/>
        <v>0</v>
      </c>
      <c r="AU589" s="37"/>
      <c r="AV589" s="14"/>
      <c r="AW589" s="14"/>
      <c r="AX589" s="14">
        <f t="shared" si="411"/>
        <v>0</v>
      </c>
      <c r="AY589" s="437"/>
      <c r="AZ589" s="14"/>
      <c r="BA589" s="437"/>
      <c r="BB589" s="14"/>
      <c r="BC589" s="14">
        <f t="shared" si="412"/>
        <v>0</v>
      </c>
      <c r="BD589" s="14"/>
      <c r="BE589" s="128"/>
      <c r="BF589" s="220">
        <v>0</v>
      </c>
      <c r="BG589" s="37"/>
      <c r="BH589" s="220">
        <v>0</v>
      </c>
      <c r="BI589" s="98"/>
    </row>
    <row r="590" spans="2:61" s="1" customFormat="1">
      <c r="B590" s="24"/>
      <c r="C590" s="13" t="s">
        <v>892</v>
      </c>
      <c r="D590" s="1367"/>
      <c r="E590" s="1367">
        <v>84989747</v>
      </c>
      <c r="F590" s="1365">
        <f t="shared" si="355"/>
        <v>84989747</v>
      </c>
      <c r="G590" s="1365">
        <f t="shared" si="353"/>
        <v>0</v>
      </c>
      <c r="H590" s="1367">
        <f t="shared" si="403"/>
        <v>84989747</v>
      </c>
      <c r="I590" s="1384"/>
      <c r="J590" s="1367"/>
      <c r="K590" s="1384"/>
      <c r="L590" s="1367"/>
      <c r="M590" s="1367">
        <f t="shared" si="404"/>
        <v>84989747</v>
      </c>
      <c r="N590" s="1967"/>
      <c r="O590" s="1057"/>
      <c r="P590" s="1485"/>
      <c r="Q590" s="1367"/>
      <c r="R590" s="1485">
        <f t="shared" si="405"/>
        <v>0</v>
      </c>
      <c r="S590" s="1481"/>
      <c r="T590" s="1485"/>
      <c r="U590" s="1481"/>
      <c r="V590" s="1485"/>
      <c r="W590" s="1485">
        <f t="shared" si="406"/>
        <v>0</v>
      </c>
      <c r="X590" s="1189"/>
      <c r="Y590" s="106">
        <v>0</v>
      </c>
      <c r="Z590" s="698">
        <v>0</v>
      </c>
      <c r="AA590" s="698">
        <f t="shared" si="407"/>
        <v>0</v>
      </c>
      <c r="AB590" s="253"/>
      <c r="AC590" s="106"/>
      <c r="AD590" s="253"/>
      <c r="AE590" s="106"/>
      <c r="AF590" s="106">
        <f t="shared" si="408"/>
        <v>0</v>
      </c>
      <c r="AG590" s="106"/>
      <c r="AH590" s="208"/>
      <c r="AI590" s="947">
        <v>0</v>
      </c>
      <c r="AJ590" s="947"/>
      <c r="AK590" s="947"/>
      <c r="AL590" s="667"/>
      <c r="AM590" s="14"/>
      <c r="AN590" s="14"/>
      <c r="AO590" s="14">
        <f t="shared" si="409"/>
        <v>0</v>
      </c>
      <c r="AP590" s="437"/>
      <c r="AQ590" s="14"/>
      <c r="AR590" s="437"/>
      <c r="AS590" s="14"/>
      <c r="AT590" s="14">
        <f t="shared" si="410"/>
        <v>0</v>
      </c>
      <c r="AU590" s="37"/>
      <c r="AV590" s="14"/>
      <c r="AW590" s="14"/>
      <c r="AX590" s="14">
        <f t="shared" si="411"/>
        <v>0</v>
      </c>
      <c r="AY590" s="437"/>
      <c r="AZ590" s="14"/>
      <c r="BA590" s="437"/>
      <c r="BB590" s="14"/>
      <c r="BC590" s="14">
        <f t="shared" si="412"/>
        <v>0</v>
      </c>
      <c r="BD590" s="14"/>
      <c r="BE590" s="128"/>
      <c r="BF590" s="220">
        <v>699506086</v>
      </c>
      <c r="BG590" s="37"/>
      <c r="BH590" s="220">
        <v>241111015</v>
      </c>
      <c r="BI590" s="98"/>
    </row>
    <row r="591" spans="2:61" s="1" customFormat="1">
      <c r="B591" s="24"/>
      <c r="C591" s="13" t="s">
        <v>887</v>
      </c>
      <c r="D591" s="1367">
        <v>76848942</v>
      </c>
      <c r="E591" s="1367">
        <v>357343423</v>
      </c>
      <c r="F591" s="1365">
        <f t="shared" si="355"/>
        <v>434192365</v>
      </c>
      <c r="G591" s="1365">
        <f t="shared" si="353"/>
        <v>0</v>
      </c>
      <c r="H591" s="1367">
        <f t="shared" si="403"/>
        <v>434192365</v>
      </c>
      <c r="I591" s="1384"/>
      <c r="J591" s="1367"/>
      <c r="K591" s="1384"/>
      <c r="L591" s="1367"/>
      <c r="M591" s="1367">
        <f t="shared" si="404"/>
        <v>434192365</v>
      </c>
      <c r="N591" s="1967"/>
      <c r="O591" s="1057"/>
      <c r="P591" s="1485">
        <v>76848942</v>
      </c>
      <c r="Q591" s="1367">
        <f>ROUND(357343423.17,0)</f>
        <v>357343423</v>
      </c>
      <c r="R591" s="1485">
        <f t="shared" si="405"/>
        <v>434192365</v>
      </c>
      <c r="S591" s="1481"/>
      <c r="T591" s="1485"/>
      <c r="U591" s="1481"/>
      <c r="V591" s="1485"/>
      <c r="W591" s="1485">
        <f t="shared" si="406"/>
        <v>434192365</v>
      </c>
      <c r="X591" s="1189"/>
      <c r="Y591" s="106">
        <v>76848942</v>
      </c>
      <c r="Z591" s="698">
        <v>357343423</v>
      </c>
      <c r="AA591" s="698">
        <f t="shared" si="407"/>
        <v>434192365</v>
      </c>
      <c r="AB591" s="253"/>
      <c r="AC591" s="106"/>
      <c r="AD591" s="253"/>
      <c r="AE591" s="106"/>
      <c r="AF591" s="106">
        <f t="shared" si="408"/>
        <v>434192365</v>
      </c>
      <c r="AG591" s="106"/>
      <c r="AH591" s="208"/>
      <c r="AI591" s="947">
        <v>133767661</v>
      </c>
      <c r="AJ591" s="947"/>
      <c r="AK591" s="947"/>
      <c r="AL591" s="667"/>
      <c r="AM591" s="14">
        <v>96562754</v>
      </c>
      <c r="AN591" s="14">
        <v>597076478</v>
      </c>
      <c r="AO591" s="14">
        <f t="shared" si="409"/>
        <v>693639232</v>
      </c>
      <c r="AP591" s="437"/>
      <c r="AQ591" s="14"/>
      <c r="AR591" s="437"/>
      <c r="AS591" s="14"/>
      <c r="AT591" s="14">
        <f t="shared" si="410"/>
        <v>693639232</v>
      </c>
      <c r="AU591" s="37"/>
      <c r="AV591" s="14">
        <v>96562754</v>
      </c>
      <c r="AW591" s="14">
        <v>597076478</v>
      </c>
      <c r="AX591" s="14">
        <f t="shared" si="411"/>
        <v>693639232</v>
      </c>
      <c r="AY591" s="437"/>
      <c r="AZ591" s="14"/>
      <c r="BA591" s="437"/>
      <c r="BB591" s="14"/>
      <c r="BC591" s="14">
        <f t="shared" si="412"/>
        <v>693639232</v>
      </c>
      <c r="BD591" s="14"/>
      <c r="BE591" s="128"/>
      <c r="BF591" s="220">
        <v>587707389</v>
      </c>
      <c r="BG591" s="37"/>
      <c r="BH591" s="220">
        <v>568422179</v>
      </c>
      <c r="BI591" s="98"/>
    </row>
    <row r="592" spans="2:61" s="1" customFormat="1">
      <c r="B592" s="24"/>
      <c r="C592" s="13"/>
      <c r="D592" s="1367"/>
      <c r="E592" s="1367"/>
      <c r="F592" s="1365">
        <f t="shared" si="355"/>
        <v>0</v>
      </c>
      <c r="G592" s="1365">
        <f t="shared" si="353"/>
        <v>0</v>
      </c>
      <c r="H592" s="1367"/>
      <c r="I592" s="1384"/>
      <c r="J592" s="1367"/>
      <c r="K592" s="1384"/>
      <c r="L592" s="1367"/>
      <c r="M592" s="1367"/>
      <c r="N592" s="1967"/>
      <c r="O592" s="1057"/>
      <c r="P592" s="1485"/>
      <c r="Q592" s="1367"/>
      <c r="R592" s="1485"/>
      <c r="S592" s="1481"/>
      <c r="T592" s="1485"/>
      <c r="U592" s="1481"/>
      <c r="V592" s="1485"/>
      <c r="W592" s="1485"/>
      <c r="X592" s="1189"/>
      <c r="Y592" s="106">
        <v>0</v>
      </c>
      <c r="Z592" s="698"/>
      <c r="AA592" s="698"/>
      <c r="AB592" s="253"/>
      <c r="AC592" s="106"/>
      <c r="AD592" s="253"/>
      <c r="AE592" s="106"/>
      <c r="AF592" s="106"/>
      <c r="AG592" s="106"/>
      <c r="AH592" s="208"/>
      <c r="AI592" s="947"/>
      <c r="AJ592" s="947"/>
      <c r="AK592" s="947"/>
      <c r="AL592" s="667"/>
      <c r="AM592" s="14"/>
      <c r="AN592" s="14"/>
      <c r="AO592" s="14"/>
      <c r="AP592" s="437"/>
      <c r="AQ592" s="14"/>
      <c r="AR592" s="437"/>
      <c r="AS592" s="14"/>
      <c r="AT592" s="14"/>
      <c r="AU592" s="37"/>
      <c r="AV592" s="14"/>
      <c r="AW592" s="14"/>
      <c r="AX592" s="14"/>
      <c r="AY592" s="437"/>
      <c r="AZ592" s="14"/>
      <c r="BA592" s="437"/>
      <c r="BB592" s="14"/>
      <c r="BC592" s="14"/>
      <c r="BD592" s="14"/>
      <c r="BE592" s="128"/>
      <c r="BF592" s="220"/>
      <c r="BG592" s="37"/>
      <c r="BH592" s="220">
        <v>0</v>
      </c>
      <c r="BI592" s="15"/>
    </row>
    <row r="593" spans="1:61" s="1" customFormat="1">
      <c r="B593" s="24" t="s">
        <v>893</v>
      </c>
      <c r="C593" s="13"/>
      <c r="D593" s="1367"/>
      <c r="E593" s="1367"/>
      <c r="F593" s="1365">
        <f t="shared" si="355"/>
        <v>0</v>
      </c>
      <c r="G593" s="1365">
        <f t="shared" si="353"/>
        <v>0</v>
      </c>
      <c r="H593" s="1367"/>
      <c r="I593" s="1384"/>
      <c r="J593" s="1367"/>
      <c r="K593" s="1384"/>
      <c r="L593" s="1367"/>
      <c r="M593" s="1367"/>
      <c r="N593" s="1967"/>
      <c r="O593" s="1057"/>
      <c r="P593" s="1485"/>
      <c r="Q593" s="1367"/>
      <c r="R593" s="1485"/>
      <c r="S593" s="1481"/>
      <c r="T593" s="1485"/>
      <c r="U593" s="1481"/>
      <c r="V593" s="1485"/>
      <c r="W593" s="1485"/>
      <c r="X593" s="1189"/>
      <c r="Y593" s="106">
        <v>0</v>
      </c>
      <c r="Z593" s="698"/>
      <c r="AA593" s="698"/>
      <c r="AB593" s="253"/>
      <c r="AC593" s="106"/>
      <c r="AD593" s="253"/>
      <c r="AE593" s="106"/>
      <c r="AF593" s="106"/>
      <c r="AG593" s="106"/>
      <c r="AH593" s="208"/>
      <c r="AI593" s="942"/>
      <c r="AJ593" s="942"/>
      <c r="AK593" s="942"/>
      <c r="AL593" s="667"/>
      <c r="AM593" s="9"/>
      <c r="AN593" s="9"/>
      <c r="AO593" s="9"/>
      <c r="AP593" s="769"/>
      <c r="AQ593" s="9"/>
      <c r="AR593" s="769"/>
      <c r="AS593" s="9"/>
      <c r="AT593" s="9"/>
      <c r="AU593" s="37"/>
      <c r="AV593" s="9"/>
      <c r="AW593" s="9"/>
      <c r="AX593" s="9"/>
      <c r="AY593" s="769"/>
      <c r="AZ593" s="9"/>
      <c r="BA593" s="769"/>
      <c r="BB593" s="9"/>
      <c r="BC593" s="9"/>
      <c r="BD593" s="14"/>
      <c r="BE593" s="128"/>
      <c r="BF593" s="219"/>
      <c r="BG593" s="37"/>
      <c r="BH593" s="219"/>
      <c r="BI593" s="15"/>
    </row>
    <row r="594" spans="1:61" s="1" customFormat="1">
      <c r="B594" s="30"/>
      <c r="C594" s="13" t="s">
        <v>509</v>
      </c>
      <c r="D594" s="1367"/>
      <c r="E594" s="1367"/>
      <c r="F594" s="1365">
        <f t="shared" si="355"/>
        <v>0</v>
      </c>
      <c r="G594" s="1365">
        <f t="shared" ref="G594:G657" si="413">F594-H594</f>
        <v>0</v>
      </c>
      <c r="H594" s="1367">
        <f t="shared" ref="H594:H600" si="414">ROUND((D594+E594),0)</f>
        <v>0</v>
      </c>
      <c r="I594" s="1384"/>
      <c r="J594" s="1367"/>
      <c r="K594" s="1384"/>
      <c r="L594" s="1367"/>
      <c r="M594" s="1367">
        <f t="shared" ref="M594:M600" si="415">ROUND((H594+J594-L594),0)</f>
        <v>0</v>
      </c>
      <c r="N594" s="1967"/>
      <c r="O594" s="1057"/>
      <c r="P594" s="1485"/>
      <c r="Q594" s="1367"/>
      <c r="R594" s="1485">
        <f t="shared" ref="R594:R600" si="416">ROUND((P594+Q594),0)</f>
        <v>0</v>
      </c>
      <c r="S594" s="1481"/>
      <c r="T594" s="1485"/>
      <c r="U594" s="1481"/>
      <c r="V594" s="1485"/>
      <c r="W594" s="1485">
        <f t="shared" ref="W594:W600" si="417">ROUND((R594+T594-V594),0)</f>
        <v>0</v>
      </c>
      <c r="X594" s="1189"/>
      <c r="Y594" s="106">
        <v>0</v>
      </c>
      <c r="Z594" s="698"/>
      <c r="AA594" s="698">
        <f t="shared" ref="AA594:AA600" si="418">ROUND((Y594+Z594),0)</f>
        <v>0</v>
      </c>
      <c r="AB594" s="253"/>
      <c r="AC594" s="106"/>
      <c r="AD594" s="253"/>
      <c r="AE594" s="106"/>
      <c r="AF594" s="106">
        <f t="shared" ref="AF594:AF600" si="419">ROUND((AA594+AC594-AE594),0)</f>
        <v>0</v>
      </c>
      <c r="AG594" s="106"/>
      <c r="AH594" s="208"/>
      <c r="AI594" s="947"/>
      <c r="AJ594" s="947"/>
      <c r="AK594" s="947"/>
      <c r="AL594" s="667"/>
      <c r="AM594" s="14"/>
      <c r="AN594" s="14"/>
      <c r="AO594" s="14">
        <f t="shared" ref="AO594:AO600" si="420">ROUND((AM594+AN594),0)</f>
        <v>0</v>
      </c>
      <c r="AP594" s="437"/>
      <c r="AQ594" s="14"/>
      <c r="AR594" s="437"/>
      <c r="AS594" s="14"/>
      <c r="AT594" s="14">
        <f t="shared" ref="AT594:AT600" si="421">ROUND((AO594+AQ594-AS594),0)</f>
        <v>0</v>
      </c>
      <c r="AU594" s="37"/>
      <c r="AV594" s="14"/>
      <c r="AW594" s="14"/>
      <c r="AX594" s="14">
        <f t="shared" ref="AX594:AX600" si="422">ROUND((AV594+AW594),0)</f>
        <v>0</v>
      </c>
      <c r="AY594" s="437"/>
      <c r="AZ594" s="14"/>
      <c r="BA594" s="437"/>
      <c r="BB594" s="14"/>
      <c r="BC594" s="14">
        <f t="shared" ref="BC594:BC600" si="423">ROUND((AX594+AZ594-BB594),0)</f>
        <v>0</v>
      </c>
      <c r="BD594" s="14"/>
      <c r="BE594" s="128"/>
      <c r="BF594" s="220"/>
      <c r="BG594" s="37"/>
      <c r="BH594" s="220">
        <v>0</v>
      </c>
      <c r="BI594" s="98"/>
    </row>
    <row r="595" spans="1:61" s="1" customFormat="1">
      <c r="B595" s="30"/>
      <c r="C595" s="13" t="s">
        <v>889</v>
      </c>
      <c r="D595" s="1367"/>
      <c r="E595" s="1367">
        <v>245423491</v>
      </c>
      <c r="F595" s="1365">
        <f t="shared" si="355"/>
        <v>245423491</v>
      </c>
      <c r="G595" s="1365">
        <f t="shared" si="413"/>
        <v>0</v>
      </c>
      <c r="H595" s="1367">
        <f t="shared" si="414"/>
        <v>245423491</v>
      </c>
      <c r="I595" s="1384"/>
      <c r="J595" s="1367"/>
      <c r="K595" s="1384"/>
      <c r="L595" s="1367"/>
      <c r="M595" s="1367">
        <f t="shared" si="415"/>
        <v>245423491</v>
      </c>
      <c r="N595" s="1967"/>
      <c r="O595" s="1057"/>
      <c r="P595" s="1485"/>
      <c r="Q595" s="1367">
        <f>ROUND(183377961.37,0)</f>
        <v>183377961</v>
      </c>
      <c r="R595" s="1485">
        <f t="shared" si="416"/>
        <v>183377961</v>
      </c>
      <c r="S595" s="1481"/>
      <c r="T595" s="1485"/>
      <c r="U595" s="1481"/>
      <c r="V595" s="1485"/>
      <c r="W595" s="1485">
        <f t="shared" si="417"/>
        <v>183377961</v>
      </c>
      <c r="X595" s="1189"/>
      <c r="Y595" s="106">
        <v>0</v>
      </c>
      <c r="Z595" s="698">
        <v>243994215</v>
      </c>
      <c r="AA595" s="698">
        <f t="shared" si="418"/>
        <v>243994215</v>
      </c>
      <c r="AB595" s="253"/>
      <c r="AC595" s="106"/>
      <c r="AD595" s="253"/>
      <c r="AE595" s="106"/>
      <c r="AF595" s="106">
        <f t="shared" si="419"/>
        <v>243994215</v>
      </c>
      <c r="AG595" s="106"/>
      <c r="AH595" s="208"/>
      <c r="AI595" s="947">
        <v>229236128</v>
      </c>
      <c r="AJ595" s="947"/>
      <c r="AK595" s="947"/>
      <c r="AL595" s="667"/>
      <c r="AM595" s="14"/>
      <c r="AN595" s="14">
        <v>234097396</v>
      </c>
      <c r="AO595" s="14">
        <f t="shared" si="420"/>
        <v>234097396</v>
      </c>
      <c r="AP595" s="437"/>
      <c r="AQ595" s="14"/>
      <c r="AR595" s="437"/>
      <c r="AS595" s="14"/>
      <c r="AT595" s="14">
        <f t="shared" si="421"/>
        <v>234097396</v>
      </c>
      <c r="AU595" s="37"/>
      <c r="AV595" s="14"/>
      <c r="AW595" s="14">
        <v>265384969</v>
      </c>
      <c r="AX595" s="14">
        <f t="shared" si="422"/>
        <v>265384969</v>
      </c>
      <c r="AY595" s="437"/>
      <c r="AZ595" s="14"/>
      <c r="BA595" s="437"/>
      <c r="BB595" s="14"/>
      <c r="BC595" s="14">
        <f t="shared" si="423"/>
        <v>265384969</v>
      </c>
      <c r="BD595" s="14"/>
      <c r="BE595" s="128"/>
      <c r="BF595" s="220">
        <v>263412431</v>
      </c>
      <c r="BG595" s="37"/>
      <c r="BH595" s="220">
        <v>266628666</v>
      </c>
      <c r="BI595" s="98"/>
    </row>
    <row r="596" spans="1:61" s="1" customFormat="1">
      <c r="B596" s="30"/>
      <c r="C596" s="13" t="s">
        <v>890</v>
      </c>
      <c r="D596" s="1367"/>
      <c r="E596" s="1367">
        <v>510166833</v>
      </c>
      <c r="F596" s="1365">
        <f t="shared" ref="F596:F659" si="424">D596+E596</f>
        <v>510166833</v>
      </c>
      <c r="G596" s="1365">
        <f t="shared" si="413"/>
        <v>0</v>
      </c>
      <c r="H596" s="1367">
        <f t="shared" si="414"/>
        <v>510166833</v>
      </c>
      <c r="I596" s="1384"/>
      <c r="J596" s="1367"/>
      <c r="K596" s="1384"/>
      <c r="L596" s="1367"/>
      <c r="M596" s="1367">
        <f t="shared" si="415"/>
        <v>510166833</v>
      </c>
      <c r="N596" s="1967"/>
      <c r="O596" s="1057"/>
      <c r="P596" s="1485"/>
      <c r="Q596" s="1367">
        <f>ROUND(722030411.33,0)</f>
        <v>722030411</v>
      </c>
      <c r="R596" s="1485">
        <f t="shared" si="416"/>
        <v>722030411</v>
      </c>
      <c r="S596" s="1481"/>
      <c r="T596" s="1485"/>
      <c r="U596" s="1481"/>
      <c r="V596" s="1485"/>
      <c r="W596" s="1485">
        <f t="shared" si="417"/>
        <v>722030411</v>
      </c>
      <c r="X596" s="1189"/>
      <c r="Y596" s="106">
        <v>0</v>
      </c>
      <c r="Z596" s="698">
        <v>717148294</v>
      </c>
      <c r="AA596" s="698">
        <f t="shared" si="418"/>
        <v>717148294</v>
      </c>
      <c r="AB596" s="253"/>
      <c r="AC596" s="106"/>
      <c r="AD596" s="253"/>
      <c r="AE596" s="106"/>
      <c r="AF596" s="106">
        <f t="shared" si="419"/>
        <v>717148294</v>
      </c>
      <c r="AG596" s="106"/>
      <c r="AH596" s="208"/>
      <c r="AI596" s="947">
        <v>391129611</v>
      </c>
      <c r="AJ596" s="947"/>
      <c r="AK596" s="947"/>
      <c r="AL596" s="667"/>
      <c r="AM596" s="14"/>
      <c r="AN596" s="14">
        <v>428218258</v>
      </c>
      <c r="AO596" s="14">
        <f t="shared" si="420"/>
        <v>428218258</v>
      </c>
      <c r="AP596" s="437"/>
      <c r="AQ596" s="14"/>
      <c r="AR596" s="437"/>
      <c r="AS596" s="14"/>
      <c r="AT596" s="14">
        <f t="shared" si="421"/>
        <v>428218258</v>
      </c>
      <c r="AU596" s="37"/>
      <c r="AV596" s="14"/>
      <c r="AW596" s="14">
        <v>329334853</v>
      </c>
      <c r="AX596" s="14">
        <f t="shared" si="422"/>
        <v>329334853</v>
      </c>
      <c r="AY596" s="437"/>
      <c r="AZ596" s="14"/>
      <c r="BA596" s="437"/>
      <c r="BB596" s="14"/>
      <c r="BC596" s="14">
        <f t="shared" si="423"/>
        <v>329334853</v>
      </c>
      <c r="BD596" s="14"/>
      <c r="BE596" s="128"/>
      <c r="BF596" s="220">
        <v>71217053</v>
      </c>
      <c r="BG596" s="37"/>
      <c r="BH596" s="220">
        <v>232337910</v>
      </c>
      <c r="BI596" s="98"/>
    </row>
    <row r="597" spans="1:61" s="1" customFormat="1">
      <c r="B597" s="30"/>
      <c r="C597" s="13" t="s">
        <v>883</v>
      </c>
      <c r="D597" s="2252">
        <v>18499017334.48</v>
      </c>
      <c r="E597" s="1367">
        <v>10905937521</v>
      </c>
      <c r="F597" s="1365">
        <f t="shared" si="424"/>
        <v>29404954855.48</v>
      </c>
      <c r="G597" s="1365">
        <f t="shared" si="413"/>
        <v>0.47999954223632813</v>
      </c>
      <c r="H597" s="1367">
        <f t="shared" si="414"/>
        <v>29404954855</v>
      </c>
      <c r="I597" s="1384"/>
      <c r="J597" s="1367"/>
      <c r="K597" s="1384"/>
      <c r="L597" s="1367"/>
      <c r="M597" s="1367">
        <f t="shared" si="415"/>
        <v>29404954855</v>
      </c>
      <c r="N597" s="1967"/>
      <c r="O597" s="1057"/>
      <c r="P597" s="1485">
        <f>ROUND(20674773552.8,0)</f>
        <v>20674773553</v>
      </c>
      <c r="Q597" s="1367">
        <v>15556778616</v>
      </c>
      <c r="R597" s="1485">
        <f t="shared" si="416"/>
        <v>36231552169</v>
      </c>
      <c r="S597" s="1481"/>
      <c r="T597" s="1485"/>
      <c r="U597" s="1481"/>
      <c r="V597" s="1485"/>
      <c r="W597" s="1485">
        <f t="shared" si="417"/>
        <v>36231552169</v>
      </c>
      <c r="X597" s="1189"/>
      <c r="Y597" s="857">
        <v>18114515166</v>
      </c>
      <c r="Z597" s="698">
        <v>10618117349</v>
      </c>
      <c r="AA597" s="698">
        <f t="shared" si="418"/>
        <v>28732632515</v>
      </c>
      <c r="AB597" s="253"/>
      <c r="AC597" s="106"/>
      <c r="AD597" s="253"/>
      <c r="AE597" s="106"/>
      <c r="AF597" s="106">
        <f t="shared" si="419"/>
        <v>28732632515</v>
      </c>
      <c r="AG597" s="106"/>
      <c r="AH597" s="208"/>
      <c r="AI597" s="947">
        <v>26596041644</v>
      </c>
      <c r="AJ597" s="947"/>
      <c r="AK597" s="947"/>
      <c r="AL597" s="667"/>
      <c r="AM597" s="14">
        <v>17383013044</v>
      </c>
      <c r="AN597" s="14">
        <v>10796146379</v>
      </c>
      <c r="AO597" s="14">
        <f t="shared" si="420"/>
        <v>28179159423</v>
      </c>
      <c r="AP597" s="437"/>
      <c r="AQ597" s="14"/>
      <c r="AR597" s="437"/>
      <c r="AS597" s="14"/>
      <c r="AT597" s="14">
        <f t="shared" si="421"/>
        <v>28179159423</v>
      </c>
      <c r="AU597" s="37"/>
      <c r="AV597" s="14">
        <v>15866341315</v>
      </c>
      <c r="AW597" s="14">
        <v>10074131051</v>
      </c>
      <c r="AX597" s="14">
        <f t="shared" si="422"/>
        <v>25940472366</v>
      </c>
      <c r="AY597" s="437"/>
      <c r="AZ597" s="14"/>
      <c r="BA597" s="437"/>
      <c r="BB597" s="14"/>
      <c r="BC597" s="14">
        <f t="shared" si="423"/>
        <v>25940472366</v>
      </c>
      <c r="BD597" s="14"/>
      <c r="BE597" s="128"/>
      <c r="BF597" s="220">
        <v>20022757910</v>
      </c>
      <c r="BG597" s="37"/>
      <c r="BH597" s="220">
        <v>17865013709</v>
      </c>
      <c r="BI597" s="98"/>
    </row>
    <row r="598" spans="1:61" s="1" customFormat="1">
      <c r="B598" s="30"/>
      <c r="C598" s="13" t="s">
        <v>891</v>
      </c>
      <c r="D598" s="1367"/>
      <c r="E598" s="1367"/>
      <c r="F598" s="1365">
        <f t="shared" si="424"/>
        <v>0</v>
      </c>
      <c r="G598" s="1365">
        <f t="shared" si="413"/>
        <v>0</v>
      </c>
      <c r="H598" s="1367">
        <f t="shared" si="414"/>
        <v>0</v>
      </c>
      <c r="I598" s="1384"/>
      <c r="J598" s="1367"/>
      <c r="K598" s="1384"/>
      <c r="L598" s="1367"/>
      <c r="M598" s="1367">
        <f t="shared" si="415"/>
        <v>0</v>
      </c>
      <c r="N598" s="1967"/>
      <c r="O598" s="1057"/>
      <c r="P598" s="1485"/>
      <c r="Q598" s="1367"/>
      <c r="R598" s="1485">
        <f t="shared" si="416"/>
        <v>0</v>
      </c>
      <c r="S598" s="1481"/>
      <c r="T598" s="1485"/>
      <c r="U598" s="1481"/>
      <c r="V598" s="1485"/>
      <c r="W598" s="1485">
        <f t="shared" si="417"/>
        <v>0</v>
      </c>
      <c r="X598" s="1189"/>
      <c r="Y598" s="106">
        <v>0</v>
      </c>
      <c r="Z598" s="698"/>
      <c r="AA598" s="698">
        <f t="shared" si="418"/>
        <v>0</v>
      </c>
      <c r="AB598" s="253"/>
      <c r="AC598" s="106"/>
      <c r="AD598" s="253"/>
      <c r="AE598" s="106"/>
      <c r="AF598" s="106">
        <f t="shared" si="419"/>
        <v>0</v>
      </c>
      <c r="AG598" s="106"/>
      <c r="AH598" s="208"/>
      <c r="AI598" s="947">
        <v>357343423</v>
      </c>
      <c r="AJ598" s="947"/>
      <c r="AK598" s="947"/>
      <c r="AL598" s="667"/>
      <c r="AM598" s="14"/>
      <c r="AN598" s="14"/>
      <c r="AO598" s="14">
        <f t="shared" si="420"/>
        <v>0</v>
      </c>
      <c r="AP598" s="437"/>
      <c r="AQ598" s="14"/>
      <c r="AR598" s="437"/>
      <c r="AS598" s="14"/>
      <c r="AT598" s="14">
        <f t="shared" si="421"/>
        <v>0</v>
      </c>
      <c r="AU598" s="37"/>
      <c r="AV598" s="14"/>
      <c r="AW598" s="14"/>
      <c r="AX598" s="14">
        <f t="shared" si="422"/>
        <v>0</v>
      </c>
      <c r="AY598" s="437"/>
      <c r="AZ598" s="14"/>
      <c r="BA598" s="437"/>
      <c r="BB598" s="14"/>
      <c r="BC598" s="14">
        <f t="shared" si="423"/>
        <v>0</v>
      </c>
      <c r="BD598" s="14"/>
      <c r="BE598" s="128"/>
      <c r="BF598" s="220">
        <v>0</v>
      </c>
      <c r="BG598" s="37"/>
      <c r="BH598" s="220">
        <v>0</v>
      </c>
      <c r="BI598" s="98"/>
    </row>
    <row r="599" spans="1:61" s="1" customFormat="1">
      <c r="B599" s="30"/>
      <c r="C599" s="13" t="s">
        <v>892</v>
      </c>
      <c r="D599" s="1367"/>
      <c r="E599" s="1367">
        <v>32221681</v>
      </c>
      <c r="F599" s="1365">
        <f t="shared" si="424"/>
        <v>32221681</v>
      </c>
      <c r="G599" s="1365">
        <f t="shared" si="413"/>
        <v>0</v>
      </c>
      <c r="H599" s="1367">
        <f t="shared" si="414"/>
        <v>32221681</v>
      </c>
      <c r="I599" s="1384"/>
      <c r="J599" s="1367"/>
      <c r="K599" s="1384"/>
      <c r="L599" s="1367"/>
      <c r="M599" s="1367">
        <f t="shared" si="415"/>
        <v>32221681</v>
      </c>
      <c r="N599" s="1967"/>
      <c r="O599" s="1057"/>
      <c r="P599" s="1485"/>
      <c r="Q599" s="1367"/>
      <c r="R599" s="1485">
        <f t="shared" si="416"/>
        <v>0</v>
      </c>
      <c r="S599" s="1481"/>
      <c r="T599" s="1485"/>
      <c r="U599" s="1481"/>
      <c r="V599" s="1485"/>
      <c r="W599" s="1485">
        <f t="shared" si="417"/>
        <v>0</v>
      </c>
      <c r="X599" s="1189"/>
      <c r="Y599" s="106">
        <v>0</v>
      </c>
      <c r="Z599" s="698"/>
      <c r="AA599" s="698">
        <f t="shared" si="418"/>
        <v>0</v>
      </c>
      <c r="AB599" s="253"/>
      <c r="AC599" s="106"/>
      <c r="AD599" s="253"/>
      <c r="AE599" s="106"/>
      <c r="AF599" s="106">
        <f t="shared" si="419"/>
        <v>0</v>
      </c>
      <c r="AG599" s="106"/>
      <c r="AH599" s="208"/>
      <c r="AI599" s="947">
        <v>0</v>
      </c>
      <c r="AJ599" s="947"/>
      <c r="AK599" s="947"/>
      <c r="AL599" s="667"/>
      <c r="AM599" s="14"/>
      <c r="AN599" s="14"/>
      <c r="AO599" s="14">
        <f t="shared" si="420"/>
        <v>0</v>
      </c>
      <c r="AP599" s="437"/>
      <c r="AQ599" s="14"/>
      <c r="AR599" s="437"/>
      <c r="AS599" s="14"/>
      <c r="AT599" s="14">
        <f t="shared" si="421"/>
        <v>0</v>
      </c>
      <c r="AU599" s="37"/>
      <c r="AV599" s="14"/>
      <c r="AW599" s="14"/>
      <c r="AX599" s="14">
        <f t="shared" si="422"/>
        <v>0</v>
      </c>
      <c r="AY599" s="437"/>
      <c r="AZ599" s="14"/>
      <c r="BA599" s="437"/>
      <c r="BB599" s="14"/>
      <c r="BC599" s="14">
        <f t="shared" si="423"/>
        <v>0</v>
      </c>
      <c r="BD599" s="14"/>
      <c r="BE599" s="128"/>
      <c r="BF599" s="220">
        <v>169704968</v>
      </c>
      <c r="BG599" s="37"/>
      <c r="BH599" s="220">
        <v>699506086</v>
      </c>
      <c r="BI599" s="98"/>
    </row>
    <row r="600" spans="1:61" s="1" customFormat="1">
      <c r="B600" s="30"/>
      <c r="C600" s="13" t="s">
        <v>887</v>
      </c>
      <c r="D600" s="1485">
        <v>28060854.120000001</v>
      </c>
      <c r="E600" s="1367">
        <v>527514066</v>
      </c>
      <c r="F600" s="1365">
        <f t="shared" si="424"/>
        <v>555574920.12</v>
      </c>
      <c r="G600" s="1365">
        <f t="shared" si="413"/>
        <v>0.12000000476837158</v>
      </c>
      <c r="H600" s="1367">
        <f t="shared" si="414"/>
        <v>555574920</v>
      </c>
      <c r="I600" s="1384"/>
      <c r="J600" s="1367"/>
      <c r="K600" s="1384"/>
      <c r="L600" s="1367"/>
      <c r="M600" s="1367">
        <f t="shared" si="415"/>
        <v>555574920</v>
      </c>
      <c r="N600" s="1967"/>
      <c r="O600" s="1057"/>
      <c r="P600" s="1485">
        <f>ROUND(34860372.94,0)</f>
        <v>34860373</v>
      </c>
      <c r="Q600" s="1367">
        <f>ROUND(384980844.22,0)</f>
        <v>384980844</v>
      </c>
      <c r="R600" s="1485">
        <f t="shared" si="416"/>
        <v>419841217</v>
      </c>
      <c r="S600" s="1481"/>
      <c r="T600" s="1485"/>
      <c r="U600" s="1481"/>
      <c r="V600" s="1485"/>
      <c r="W600" s="1485">
        <f t="shared" si="417"/>
        <v>419841217</v>
      </c>
      <c r="X600" s="1189"/>
      <c r="Y600" s="857">
        <v>37188506</v>
      </c>
      <c r="Z600" s="698">
        <v>370551831</v>
      </c>
      <c r="AA600" s="698">
        <f t="shared" si="418"/>
        <v>407740337</v>
      </c>
      <c r="AB600" s="253"/>
      <c r="AC600" s="106"/>
      <c r="AD600" s="253"/>
      <c r="AE600" s="106"/>
      <c r="AF600" s="106">
        <f t="shared" si="419"/>
        <v>407740337</v>
      </c>
      <c r="AG600" s="106"/>
      <c r="AH600" s="208"/>
      <c r="AI600" s="947">
        <v>112805123</v>
      </c>
      <c r="AJ600" s="947"/>
      <c r="AK600" s="947"/>
      <c r="AL600" s="667"/>
      <c r="AM600" s="14">
        <v>84387986</v>
      </c>
      <c r="AN600" s="14">
        <v>407655746</v>
      </c>
      <c r="AO600" s="14">
        <f t="shared" si="420"/>
        <v>492043732</v>
      </c>
      <c r="AP600" s="437"/>
      <c r="AQ600" s="14"/>
      <c r="AR600" s="437"/>
      <c r="AS600" s="14"/>
      <c r="AT600" s="14">
        <f t="shared" si="421"/>
        <v>492043732</v>
      </c>
      <c r="AU600" s="37"/>
      <c r="AV600" s="14">
        <v>85764324</v>
      </c>
      <c r="AW600" s="14">
        <v>449119407</v>
      </c>
      <c r="AX600" s="14">
        <f t="shared" si="422"/>
        <v>534883731</v>
      </c>
      <c r="AY600" s="437"/>
      <c r="AZ600" s="14"/>
      <c r="BA600" s="437"/>
      <c r="BB600" s="14"/>
      <c r="BC600" s="14">
        <f t="shared" si="423"/>
        <v>534883731</v>
      </c>
      <c r="BD600" s="14"/>
      <c r="BE600" s="128"/>
      <c r="BF600" s="220">
        <v>693639232</v>
      </c>
      <c r="BG600" s="37"/>
      <c r="BH600" s="220">
        <v>587707387</v>
      </c>
      <c r="BI600" s="98"/>
    </row>
    <row r="601" spans="1:61" s="41" customFormat="1">
      <c r="A601" s="99"/>
      <c r="B601" s="95"/>
      <c r="C601" s="96" t="s">
        <v>894</v>
      </c>
      <c r="D601" s="1397">
        <f>SUM(D576:D582)+SUM(D585:D591)-SUM(D595:D600)</f>
        <v>8558941448.0400009</v>
      </c>
      <c r="E601" s="1397">
        <f>SUM(E576:E582)+SUM(E585:E591)-SUM(E595:E600)</f>
        <v>5324527177</v>
      </c>
      <c r="F601" s="1365">
        <f t="shared" si="424"/>
        <v>13883468625.040001</v>
      </c>
      <c r="G601" s="1365">
        <f t="shared" si="413"/>
        <v>-0.95999908447265625</v>
      </c>
      <c r="H601" s="1397">
        <f>SUM(H576:H582)+SUM(H585:H591)-SUM(H595:H600)</f>
        <v>13883468626</v>
      </c>
      <c r="I601" s="1959"/>
      <c r="J601" s="1397"/>
      <c r="K601" s="1959"/>
      <c r="L601" s="1397"/>
      <c r="M601" s="1397">
        <f>SUM(M576:M582)+SUM(M585:M591)-SUM(M595:M600)</f>
        <v>11748750398</v>
      </c>
      <c r="N601" s="2271"/>
      <c r="O601" s="2009"/>
      <c r="P601" s="1534">
        <f>SUM(P576:P582)+SUM(P585:P591)-SUM(P595:P600)</f>
        <v>3557769366</v>
      </c>
      <c r="Q601" s="1397">
        <f>SUM(Q576:Q582)+SUM(Q585:Q591)-SUM(Q595:Q600)</f>
        <v>2135664052</v>
      </c>
      <c r="R601" s="1534">
        <f>SUM(R576:R582)+SUM(R585:R591)-SUM(R595:R600)</f>
        <v>5693433418</v>
      </c>
      <c r="S601" s="1535"/>
      <c r="T601" s="1534"/>
      <c r="U601" s="1535"/>
      <c r="V601" s="1534"/>
      <c r="W601" s="1534">
        <f>SUM(W576:W582)+SUM(W585:W591)-SUM(W595:W600)</f>
        <v>4033718740</v>
      </c>
      <c r="X601" s="1208"/>
      <c r="Y601" s="446">
        <f>SUM(Y576:Y582)+SUM(Y585:Y591)-SUM(Y595:Y600)</f>
        <v>2704661407</v>
      </c>
      <c r="Z601" s="742">
        <f>SUM(Z576:Z582)+SUM(Z585:Z591)-SUM(Z595:Z600)</f>
        <v>3381566227</v>
      </c>
      <c r="AA601" s="742">
        <f>SUM(AA576:AA582)+SUM(AA585:AA591)-SUM(AA595:AA600)</f>
        <v>6086227634</v>
      </c>
      <c r="AB601" s="611"/>
      <c r="AC601" s="279"/>
      <c r="AD601" s="611"/>
      <c r="AE601" s="279"/>
      <c r="AF601" s="446">
        <f>SUM(AF576:AF582)+SUM(AF585:AF591)-SUM(AF595:AF600)</f>
        <v>4835859844</v>
      </c>
      <c r="AG601" s="446"/>
      <c r="AH601" s="232"/>
      <c r="AI601" s="960">
        <f>SUM(AI576:AI582)+SUM(AI585:AI591)-SUM(AI595:AI600)</f>
        <v>7286973707</v>
      </c>
      <c r="AJ601" s="960"/>
      <c r="AK601" s="960"/>
      <c r="AL601" s="685"/>
      <c r="AM601" s="446">
        <f>SUM(AM576:AM583)+SUM(AM585:AM591)-SUM(AM595:AM600)</f>
        <v>5561458515</v>
      </c>
      <c r="AN601" s="446">
        <f>SUM(AN576:AN583)+SUM(AN585:AN591)-SUM(AN595:AN600)</f>
        <v>-322024245</v>
      </c>
      <c r="AO601" s="446">
        <f>SUM(AO576:AO583)+SUM(AO585:AO591)-SUM(AO595:AO600)</f>
        <v>5239434270</v>
      </c>
      <c r="AP601" s="774"/>
      <c r="AQ601" s="446"/>
      <c r="AR601" s="774"/>
      <c r="AS601" s="446"/>
      <c r="AT601" s="446">
        <f>SUM(AT576:AT583)+SUM(AT585:AT591)-SUM(AT595:AT600)</f>
        <v>3527509338</v>
      </c>
      <c r="AU601" s="97"/>
      <c r="AV601" s="446">
        <f>SUM(AV576:AV583)+SUM(AV585:AV591)-SUM(AV595:AV600)</f>
        <v>4999148636</v>
      </c>
      <c r="AW601" s="446">
        <f>SUM(AW576:AW583)+SUM(AW585:AW591)-SUM(AW595:AW600)</f>
        <v>-246956396</v>
      </c>
      <c r="AX601" s="446">
        <f>SUM(AX576:AX583)+SUM(AX585:AX591)-SUM(AX595:AX600)</f>
        <v>4752192240</v>
      </c>
      <c r="AY601" s="774"/>
      <c r="AZ601" s="446"/>
      <c r="BA601" s="774"/>
      <c r="BB601" s="446"/>
      <c r="BC601" s="446">
        <f>SUM(BC576:BC583)+SUM(BC585:BC591)-SUM(BC595:BC600)</f>
        <v>3472289260</v>
      </c>
      <c r="BD601" s="1157"/>
      <c r="BE601" s="136"/>
      <c r="BF601" s="446">
        <f>SUM(BF576:BF582)+SUM(BF585:BF591)-SUM(BF595:BF600)</f>
        <v>33269775685</v>
      </c>
      <c r="BG601" s="139"/>
      <c r="BH601" s="446">
        <f>SUM(BH576:BH582)+SUM(BH585:BH591)-SUM(BH595:BH600)</f>
        <v>28066106204</v>
      </c>
      <c r="BI601" s="97">
        <f>AF601-BG601</f>
        <v>4835859844</v>
      </c>
    </row>
    <row r="602" spans="1:61" s="1" customFormat="1" hidden="1">
      <c r="B602" s="30"/>
      <c r="C602" s="13"/>
      <c r="D602" s="1367"/>
      <c r="E602" s="1367"/>
      <c r="F602" s="1365">
        <f t="shared" si="424"/>
        <v>0</v>
      </c>
      <c r="G602" s="1365">
        <f t="shared" si="413"/>
        <v>0</v>
      </c>
      <c r="H602" s="1367"/>
      <c r="I602" s="1384"/>
      <c r="J602" s="1367"/>
      <c r="K602" s="1384"/>
      <c r="L602" s="1367"/>
      <c r="M602" s="1367"/>
      <c r="N602" s="1967"/>
      <c r="O602" s="1057"/>
      <c r="P602" s="1485"/>
      <c r="Q602" s="1367"/>
      <c r="R602" s="1485"/>
      <c r="S602" s="1481"/>
      <c r="T602" s="1485"/>
      <c r="U602" s="1481"/>
      <c r="V602" s="1485"/>
      <c r="W602" s="1485"/>
      <c r="X602" s="1189"/>
      <c r="Y602" s="106"/>
      <c r="Z602" s="698"/>
      <c r="AA602" s="698"/>
      <c r="AB602" s="253"/>
      <c r="AC602" s="106"/>
      <c r="AD602" s="253"/>
      <c r="AE602" s="106"/>
      <c r="AF602" s="106"/>
      <c r="AG602" s="106"/>
      <c r="AH602" s="208"/>
      <c r="AI602" s="947"/>
      <c r="AJ602" s="947"/>
      <c r="AK602" s="947"/>
      <c r="AL602" s="667"/>
      <c r="AM602" s="14"/>
      <c r="AN602" s="14"/>
      <c r="AO602" s="14"/>
      <c r="AP602" s="437"/>
      <c r="AQ602" s="14"/>
      <c r="AR602" s="437"/>
      <c r="AS602" s="14"/>
      <c r="AT602" s="14"/>
      <c r="AU602" s="37"/>
      <c r="AV602" s="14"/>
      <c r="AW602" s="14"/>
      <c r="AX602" s="14"/>
      <c r="AY602" s="437"/>
      <c r="AZ602" s="14"/>
      <c r="BA602" s="437"/>
      <c r="BB602" s="14"/>
      <c r="BC602" s="14"/>
      <c r="BD602" s="14"/>
      <c r="BE602" s="128"/>
      <c r="BF602" s="220"/>
      <c r="BG602" s="37"/>
      <c r="BH602" s="220"/>
      <c r="BI602" s="11"/>
    </row>
    <row r="603" spans="1:61" s="1" customFormat="1" hidden="1">
      <c r="B603" s="30"/>
      <c r="C603" s="13"/>
      <c r="D603" s="1367"/>
      <c r="E603" s="1367"/>
      <c r="F603" s="1365">
        <f t="shared" si="424"/>
        <v>0</v>
      </c>
      <c r="G603" s="1365">
        <f t="shared" si="413"/>
        <v>0</v>
      </c>
      <c r="H603" s="1367"/>
      <c r="I603" s="1384"/>
      <c r="J603" s="1367"/>
      <c r="K603" s="1384"/>
      <c r="L603" s="1367"/>
      <c r="M603" s="1367"/>
      <c r="N603" s="1967"/>
      <c r="O603" s="1057"/>
      <c r="P603" s="1485"/>
      <c r="Q603" s="1367"/>
      <c r="R603" s="1485"/>
      <c r="S603" s="1481"/>
      <c r="T603" s="1485"/>
      <c r="U603" s="1481"/>
      <c r="V603" s="1485"/>
      <c r="W603" s="1485"/>
      <c r="X603" s="1189"/>
      <c r="Y603" s="106"/>
      <c r="Z603" s="698"/>
      <c r="AA603" s="698"/>
      <c r="AB603" s="253"/>
      <c r="AC603" s="106"/>
      <c r="AD603" s="253"/>
      <c r="AE603" s="106"/>
      <c r="AF603" s="106"/>
      <c r="AG603" s="106"/>
      <c r="AH603" s="208"/>
      <c r="AI603" s="947" t="e">
        <v>#REF!</v>
      </c>
      <c r="AJ603" s="947"/>
      <c r="AK603" s="947"/>
      <c r="AL603" s="667"/>
      <c r="AM603" s="14"/>
      <c r="AN603" s="14"/>
      <c r="AO603" s="14"/>
      <c r="AP603" s="437"/>
      <c r="AQ603" s="14"/>
      <c r="AR603" s="437"/>
      <c r="AS603" s="14"/>
      <c r="AT603" s="14"/>
      <c r="AU603" s="37"/>
      <c r="AV603" s="14"/>
      <c r="AW603" s="14"/>
      <c r="AX603" s="14"/>
      <c r="AY603" s="437"/>
      <c r="AZ603" s="14"/>
      <c r="BA603" s="437"/>
      <c r="BB603" s="14"/>
      <c r="BC603" s="14"/>
      <c r="BD603" s="14"/>
      <c r="BE603" s="128"/>
      <c r="BF603" s="220" t="e">
        <v>#REF!</v>
      </c>
      <c r="BG603" s="37"/>
      <c r="BH603" s="220" t="e">
        <v>#REF!</v>
      </c>
      <c r="BI603" s="11"/>
    </row>
    <row r="604" spans="1:61" s="1" customFormat="1">
      <c r="B604" s="2" t="s">
        <v>895</v>
      </c>
      <c r="C604" s="13"/>
      <c r="D604" s="1367"/>
      <c r="E604" s="2254"/>
      <c r="F604" s="1365">
        <f t="shared" si="424"/>
        <v>0</v>
      </c>
      <c r="G604" s="1365">
        <f t="shared" si="413"/>
        <v>0</v>
      </c>
      <c r="H604" s="1367"/>
      <c r="I604" s="1384"/>
      <c r="J604" s="1367"/>
      <c r="K604" s="1384"/>
      <c r="L604" s="1367"/>
      <c r="M604" s="1367"/>
      <c r="N604" s="1967"/>
      <c r="O604" s="1057"/>
      <c r="P604" s="1485"/>
      <c r="Q604" s="1367"/>
      <c r="R604" s="1485"/>
      <c r="S604" s="1481"/>
      <c r="T604" s="1485"/>
      <c r="U604" s="1481"/>
      <c r="V604" s="1485"/>
      <c r="W604" s="1485"/>
      <c r="X604" s="1189"/>
      <c r="Y604" s="106"/>
      <c r="Z604" s="698"/>
      <c r="AA604" s="698"/>
      <c r="AB604" s="253"/>
      <c r="AC604" s="106"/>
      <c r="AD604" s="253"/>
      <c r="AE604" s="106"/>
      <c r="AF604" s="106"/>
      <c r="AG604" s="106"/>
      <c r="AH604" s="208"/>
      <c r="AI604" s="947"/>
      <c r="AJ604" s="947"/>
      <c r="AK604" s="947"/>
      <c r="AL604" s="667"/>
      <c r="AM604" s="14"/>
      <c r="AN604" s="14"/>
      <c r="AO604" s="14"/>
      <c r="AP604" s="437"/>
      <c r="AQ604" s="14"/>
      <c r="AR604" s="437"/>
      <c r="AS604" s="14"/>
      <c r="AT604" s="14"/>
      <c r="AU604" s="37"/>
      <c r="AV604" s="14"/>
      <c r="AW604" s="14"/>
      <c r="AX604" s="14"/>
      <c r="AY604" s="437"/>
      <c r="AZ604" s="14"/>
      <c r="BA604" s="437"/>
      <c r="BB604" s="14"/>
      <c r="BC604" s="14"/>
      <c r="BD604" s="14"/>
      <c r="BE604" s="128"/>
      <c r="BF604" s="220"/>
      <c r="BG604" s="37"/>
      <c r="BH604" s="220"/>
      <c r="BI604" s="11"/>
    </row>
    <row r="605" spans="1:61" s="1" customFormat="1">
      <c r="B605" s="147"/>
      <c r="C605" s="34" t="s">
        <v>896</v>
      </c>
      <c r="D605" s="1372"/>
      <c r="E605" s="2254"/>
      <c r="F605" s="1365">
        <f t="shared" si="424"/>
        <v>0</v>
      </c>
      <c r="G605" s="1365">
        <f t="shared" si="413"/>
        <v>0</v>
      </c>
      <c r="H605" s="1372">
        <f t="shared" ref="H605:H638" si="425">ROUND((D605+E605),0)</f>
        <v>0</v>
      </c>
      <c r="I605" s="1384"/>
      <c r="J605" s="1372"/>
      <c r="K605" s="1384"/>
      <c r="L605" s="1372"/>
      <c r="M605" s="1372">
        <f t="shared" ref="M605:M638" si="426">ROUND((H605+J605-L605),0)</f>
        <v>0</v>
      </c>
      <c r="N605" s="280"/>
      <c r="O605" s="1997"/>
      <c r="P605" s="1494"/>
      <c r="Q605" s="1372"/>
      <c r="R605" s="1494">
        <f t="shared" ref="R605:R638" si="427">ROUND((P605+Q605),0)</f>
        <v>0</v>
      </c>
      <c r="S605" s="1481"/>
      <c r="T605" s="1494"/>
      <c r="U605" s="1481"/>
      <c r="V605" s="1494"/>
      <c r="W605" s="1494">
        <f t="shared" ref="W605:W638" si="428">ROUND((R605+T605-V605),0)</f>
        <v>0</v>
      </c>
      <c r="X605" s="1192"/>
      <c r="Y605" s="231"/>
      <c r="Z605" s="710"/>
      <c r="AA605" s="710">
        <f t="shared" ref="AA605:AA638" si="429">ROUND((Y605+Z605),0)</f>
        <v>0</v>
      </c>
      <c r="AB605" s="253"/>
      <c r="AC605" s="231"/>
      <c r="AD605" s="253"/>
      <c r="AE605" s="231"/>
      <c r="AF605" s="231">
        <f t="shared" ref="AF605:AF638" si="430">ROUND((AA605+AC605-AE605),0)</f>
        <v>0</v>
      </c>
      <c r="AG605" s="231"/>
      <c r="AH605" s="232"/>
      <c r="AI605" s="947">
        <v>0</v>
      </c>
      <c r="AJ605" s="947"/>
      <c r="AK605" s="947"/>
      <c r="AL605" s="667"/>
      <c r="AM605" s="14"/>
      <c r="AN605" s="14"/>
      <c r="AO605" s="14">
        <f t="shared" ref="AO605:AO638" si="431">ROUND((AM605+AN605),0)</f>
        <v>0</v>
      </c>
      <c r="AP605" s="437"/>
      <c r="AQ605" s="14"/>
      <c r="AR605" s="437"/>
      <c r="AS605" s="14"/>
      <c r="AT605" s="14">
        <f t="shared" ref="AT605:AT638" si="432">ROUND((AO605+AQ605-AS605),0)</f>
        <v>0</v>
      </c>
      <c r="AU605" s="37"/>
      <c r="AV605" s="14"/>
      <c r="AW605" s="14"/>
      <c r="AX605" s="14">
        <f t="shared" ref="AX605:AX638" si="433">ROUND((AV605+AW605),0)</f>
        <v>0</v>
      </c>
      <c r="AY605" s="437"/>
      <c r="AZ605" s="14"/>
      <c r="BA605" s="437"/>
      <c r="BB605" s="14"/>
      <c r="BC605" s="14">
        <f t="shared" ref="BC605:BC638" si="434">ROUND((AX605+AZ605-BB605),0)</f>
        <v>0</v>
      </c>
      <c r="BD605" s="14"/>
      <c r="BE605" s="128"/>
      <c r="BF605" s="220">
        <v>0</v>
      </c>
      <c r="BG605" s="37"/>
      <c r="BH605" s="220">
        <v>0</v>
      </c>
      <c r="BI605" s="11"/>
    </row>
    <row r="606" spans="1:61" s="1" customFormat="1">
      <c r="B606" s="30"/>
      <c r="C606" s="13" t="s">
        <v>897</v>
      </c>
      <c r="D606" s="1367">
        <v>0</v>
      </c>
      <c r="E606" s="2254"/>
      <c r="F606" s="1365">
        <f t="shared" si="424"/>
        <v>0</v>
      </c>
      <c r="G606" s="1365">
        <f t="shared" si="413"/>
        <v>0</v>
      </c>
      <c r="H606" s="1367">
        <f t="shared" si="425"/>
        <v>0</v>
      </c>
      <c r="I606" s="1384"/>
      <c r="J606" s="1367"/>
      <c r="K606" s="1384"/>
      <c r="L606" s="1367"/>
      <c r="M606" s="1367">
        <f t="shared" si="426"/>
        <v>0</v>
      </c>
      <c r="N606" s="1967"/>
      <c r="O606" s="1057"/>
      <c r="P606" s="1485"/>
      <c r="Q606" s="1367"/>
      <c r="R606" s="1485">
        <f t="shared" si="427"/>
        <v>0</v>
      </c>
      <c r="S606" s="1481"/>
      <c r="T606" s="1485"/>
      <c r="U606" s="1481"/>
      <c r="V606" s="1485"/>
      <c r="W606" s="1485">
        <f t="shared" si="428"/>
        <v>0</v>
      </c>
      <c r="X606" s="1189"/>
      <c r="Y606" s="106"/>
      <c r="Z606" s="698"/>
      <c r="AA606" s="698">
        <f t="shared" si="429"/>
        <v>0</v>
      </c>
      <c r="AB606" s="253"/>
      <c r="AC606" s="106"/>
      <c r="AD606" s="253"/>
      <c r="AE606" s="106"/>
      <c r="AF606" s="106">
        <f t="shared" si="430"/>
        <v>0</v>
      </c>
      <c r="AG606" s="106"/>
      <c r="AH606" s="208"/>
      <c r="AI606" s="947">
        <v>0</v>
      </c>
      <c r="AJ606" s="947"/>
      <c r="AK606" s="947"/>
      <c r="AL606" s="667"/>
      <c r="AM606" s="14"/>
      <c r="AN606" s="14"/>
      <c r="AO606" s="14">
        <f t="shared" si="431"/>
        <v>0</v>
      </c>
      <c r="AP606" s="437"/>
      <c r="AQ606" s="14"/>
      <c r="AR606" s="437"/>
      <c r="AS606" s="14"/>
      <c r="AT606" s="14">
        <f t="shared" si="432"/>
        <v>0</v>
      </c>
      <c r="AU606" s="37"/>
      <c r="AV606" s="14"/>
      <c r="AW606" s="14"/>
      <c r="AX606" s="14">
        <f t="shared" si="433"/>
        <v>0</v>
      </c>
      <c r="AY606" s="437"/>
      <c r="AZ606" s="14"/>
      <c r="BA606" s="437"/>
      <c r="BB606" s="14"/>
      <c r="BC606" s="14">
        <f t="shared" si="434"/>
        <v>0</v>
      </c>
      <c r="BD606" s="14"/>
      <c r="BE606" s="128"/>
      <c r="BF606" s="220">
        <v>0</v>
      </c>
      <c r="BG606" s="37"/>
      <c r="BH606" s="220">
        <v>0</v>
      </c>
      <c r="BI606" s="11"/>
    </row>
    <row r="607" spans="1:61" s="1" customFormat="1">
      <c r="B607" s="30"/>
      <c r="C607" s="13" t="s">
        <v>898</v>
      </c>
      <c r="D607" s="1367">
        <v>0</v>
      </c>
      <c r="E607" s="2254">
        <v>111284000</v>
      </c>
      <c r="F607" s="1365">
        <f t="shared" si="424"/>
        <v>111284000</v>
      </c>
      <c r="G607" s="1365">
        <f t="shared" si="413"/>
        <v>0</v>
      </c>
      <c r="H607" s="1367">
        <f t="shared" si="425"/>
        <v>111284000</v>
      </c>
      <c r="I607" s="1384"/>
      <c r="J607" s="1367"/>
      <c r="K607" s="1384"/>
      <c r="L607" s="1367"/>
      <c r="M607" s="1367">
        <f t="shared" si="426"/>
        <v>111284000</v>
      </c>
      <c r="N607" s="1967"/>
      <c r="O607" s="1057"/>
      <c r="P607" s="1485"/>
      <c r="Q607" s="1367">
        <v>69504600</v>
      </c>
      <c r="R607" s="1485">
        <f t="shared" si="427"/>
        <v>69504600</v>
      </c>
      <c r="S607" s="1481"/>
      <c r="T607" s="1485"/>
      <c r="U607" s="1481"/>
      <c r="V607" s="1485"/>
      <c r="W607" s="1485">
        <f t="shared" si="428"/>
        <v>69504600</v>
      </c>
      <c r="X607" s="1189"/>
      <c r="Y607" s="106"/>
      <c r="Z607" s="698">
        <v>23064800</v>
      </c>
      <c r="AA607" s="698">
        <f t="shared" si="429"/>
        <v>23064800</v>
      </c>
      <c r="AB607" s="253"/>
      <c r="AC607" s="106"/>
      <c r="AD607" s="253"/>
      <c r="AE607" s="106"/>
      <c r="AF607" s="106">
        <f t="shared" si="430"/>
        <v>23064800</v>
      </c>
      <c r="AG607" s="106"/>
      <c r="AH607" s="208"/>
      <c r="AI607" s="947">
        <v>105789800</v>
      </c>
      <c r="AJ607" s="947"/>
      <c r="AK607" s="947"/>
      <c r="AL607" s="667"/>
      <c r="AM607" s="14"/>
      <c r="AN607" s="140">
        <v>76189600</v>
      </c>
      <c r="AO607" s="14">
        <f t="shared" si="431"/>
        <v>76189600</v>
      </c>
      <c r="AP607" s="437"/>
      <c r="AQ607" s="14"/>
      <c r="AR607" s="437"/>
      <c r="AS607" s="14"/>
      <c r="AT607" s="14">
        <f t="shared" si="432"/>
        <v>76189600</v>
      </c>
      <c r="AU607" s="37"/>
      <c r="AV607" s="14"/>
      <c r="AW607" s="140">
        <v>58606800</v>
      </c>
      <c r="AX607" s="14">
        <f t="shared" si="433"/>
        <v>58606800</v>
      </c>
      <c r="AY607" s="437"/>
      <c r="AZ607" s="14"/>
      <c r="BA607" s="437"/>
      <c r="BB607" s="14"/>
      <c r="BC607" s="14">
        <f t="shared" si="434"/>
        <v>58606800</v>
      </c>
      <c r="BD607" s="14"/>
      <c r="BE607" s="128"/>
      <c r="BF607" s="233">
        <v>183891400</v>
      </c>
      <c r="BG607" s="37"/>
      <c r="BH607" s="220">
        <v>134467320</v>
      </c>
      <c r="BI607" s="11"/>
    </row>
    <row r="608" spans="1:61" s="1" customFormat="1">
      <c r="B608" s="147"/>
      <c r="C608" s="34" t="s">
        <v>899</v>
      </c>
      <c r="D608" s="1372"/>
      <c r="E608" s="2254"/>
      <c r="F608" s="1365">
        <f t="shared" si="424"/>
        <v>0</v>
      </c>
      <c r="G608" s="1365">
        <f t="shared" si="413"/>
        <v>0</v>
      </c>
      <c r="H608" s="1372">
        <f t="shared" si="425"/>
        <v>0</v>
      </c>
      <c r="I608" s="1384"/>
      <c r="J608" s="1372"/>
      <c r="K608" s="1384"/>
      <c r="L608" s="1372"/>
      <c r="M608" s="1372">
        <f t="shared" si="426"/>
        <v>0</v>
      </c>
      <c r="N608" s="280"/>
      <c r="O608" s="1997"/>
      <c r="P608" s="1494"/>
      <c r="Q608" s="1372"/>
      <c r="R608" s="1494">
        <f t="shared" si="427"/>
        <v>0</v>
      </c>
      <c r="S608" s="1481"/>
      <c r="T608" s="1494"/>
      <c r="U608" s="1481"/>
      <c r="V608" s="1494"/>
      <c r="W608" s="1494">
        <f t="shared" si="428"/>
        <v>0</v>
      </c>
      <c r="X608" s="1192"/>
      <c r="Y608" s="231"/>
      <c r="Z608" s="710">
        <v>0</v>
      </c>
      <c r="AA608" s="710">
        <f t="shared" si="429"/>
        <v>0</v>
      </c>
      <c r="AB608" s="253"/>
      <c r="AC608" s="231"/>
      <c r="AD608" s="253"/>
      <c r="AE608" s="231"/>
      <c r="AF608" s="231">
        <f t="shared" si="430"/>
        <v>0</v>
      </c>
      <c r="AG608" s="231"/>
      <c r="AH608" s="232"/>
      <c r="AI608" s="947">
        <v>0</v>
      </c>
      <c r="AJ608" s="947"/>
      <c r="AK608" s="947"/>
      <c r="AL608" s="667"/>
      <c r="AM608" s="14"/>
      <c r="AN608" s="140"/>
      <c r="AO608" s="14">
        <f t="shared" si="431"/>
        <v>0</v>
      </c>
      <c r="AP608" s="437"/>
      <c r="AQ608" s="14"/>
      <c r="AR608" s="437"/>
      <c r="AS608" s="14"/>
      <c r="AT608" s="14">
        <f t="shared" si="432"/>
        <v>0</v>
      </c>
      <c r="AU608" s="37"/>
      <c r="AV608" s="14"/>
      <c r="AW608" s="140"/>
      <c r="AX608" s="14">
        <f t="shared" si="433"/>
        <v>0</v>
      </c>
      <c r="AY608" s="437"/>
      <c r="AZ608" s="14"/>
      <c r="BA608" s="437"/>
      <c r="BB608" s="14"/>
      <c r="BC608" s="14">
        <f t="shared" si="434"/>
        <v>0</v>
      </c>
      <c r="BD608" s="14"/>
      <c r="BE608" s="128"/>
      <c r="BF608" s="220">
        <v>0</v>
      </c>
      <c r="BG608" s="37"/>
      <c r="BH608" s="220">
        <v>0</v>
      </c>
      <c r="BI608" s="11"/>
    </row>
    <row r="609" spans="2:63" s="1" customFormat="1">
      <c r="B609" s="30"/>
      <c r="C609" s="13" t="s">
        <v>900</v>
      </c>
      <c r="D609" s="1367">
        <v>0</v>
      </c>
      <c r="E609" s="2254">
        <v>281905180</v>
      </c>
      <c r="F609" s="1365">
        <f t="shared" si="424"/>
        <v>281905180</v>
      </c>
      <c r="G609" s="1365">
        <f t="shared" si="413"/>
        <v>0</v>
      </c>
      <c r="H609" s="1367">
        <f t="shared" si="425"/>
        <v>281905180</v>
      </c>
      <c r="I609" s="1384"/>
      <c r="J609" s="1367"/>
      <c r="K609" s="1384"/>
      <c r="L609" s="1367"/>
      <c r="M609" s="1367">
        <f t="shared" si="426"/>
        <v>281905180</v>
      </c>
      <c r="N609" s="1967"/>
      <c r="O609" s="1057"/>
      <c r="P609" s="1485"/>
      <c r="Q609" s="1367">
        <v>173527815</v>
      </c>
      <c r="R609" s="1485">
        <f t="shared" si="427"/>
        <v>173527815</v>
      </c>
      <c r="S609" s="1481"/>
      <c r="T609" s="1485"/>
      <c r="U609" s="1481"/>
      <c r="V609" s="1485"/>
      <c r="W609" s="1485">
        <f t="shared" si="428"/>
        <v>173527815</v>
      </c>
      <c r="X609" s="1189"/>
      <c r="Y609" s="106"/>
      <c r="Z609" s="698">
        <v>127491870</v>
      </c>
      <c r="AA609" s="698">
        <f t="shared" si="429"/>
        <v>127491870</v>
      </c>
      <c r="AB609" s="253"/>
      <c r="AC609" s="106"/>
      <c r="AD609" s="253"/>
      <c r="AE609" s="106"/>
      <c r="AF609" s="106">
        <f t="shared" si="430"/>
        <v>127491870</v>
      </c>
      <c r="AG609" s="106"/>
      <c r="AH609" s="208"/>
      <c r="AI609" s="947">
        <v>459148348</v>
      </c>
      <c r="AJ609" s="947"/>
      <c r="AK609" s="947"/>
      <c r="AL609" s="667"/>
      <c r="AM609" s="14">
        <v>7000000</v>
      </c>
      <c r="AN609" s="140">
        <v>287522363</v>
      </c>
      <c r="AO609" s="14">
        <f t="shared" si="431"/>
        <v>294522363</v>
      </c>
      <c r="AP609" s="437"/>
      <c r="AQ609" s="14"/>
      <c r="AR609" s="437"/>
      <c r="AS609" s="14"/>
      <c r="AT609" s="14">
        <f t="shared" si="432"/>
        <v>294522363</v>
      </c>
      <c r="AU609" s="37"/>
      <c r="AV609" s="14">
        <v>7000000</v>
      </c>
      <c r="AW609" s="140">
        <v>235724033</v>
      </c>
      <c r="AX609" s="14">
        <f t="shared" si="433"/>
        <v>242724033</v>
      </c>
      <c r="AY609" s="437"/>
      <c r="AZ609" s="14"/>
      <c r="BA609" s="437"/>
      <c r="BB609" s="14"/>
      <c r="BC609" s="14">
        <f t="shared" si="434"/>
        <v>242724033</v>
      </c>
      <c r="BD609" s="14"/>
      <c r="BE609" s="128"/>
      <c r="BF609" s="220">
        <v>133554614</v>
      </c>
      <c r="BG609" s="37"/>
      <c r="BH609" s="220">
        <v>69490220</v>
      </c>
      <c r="BI609" s="11"/>
    </row>
    <row r="610" spans="2:63" s="1" customFormat="1">
      <c r="B610" s="30"/>
      <c r="C610" s="13" t="s">
        <v>901</v>
      </c>
      <c r="D610" s="1986">
        <v>202933926</v>
      </c>
      <c r="E610" s="2254">
        <f>ROUND(498471627.12,0)</f>
        <v>498471627</v>
      </c>
      <c r="F610" s="1365">
        <f t="shared" si="424"/>
        <v>701405553</v>
      </c>
      <c r="G610" s="1365">
        <f t="shared" si="413"/>
        <v>0</v>
      </c>
      <c r="H610" s="1367">
        <f t="shared" si="425"/>
        <v>701405553</v>
      </c>
      <c r="I610" s="1384"/>
      <c r="J610" s="1367"/>
      <c r="K610" s="1384"/>
      <c r="L610" s="1367"/>
      <c r="M610" s="1367">
        <f t="shared" si="426"/>
        <v>701405553</v>
      </c>
      <c r="N610" s="1967"/>
      <c r="O610" s="35">
        <f>M611+M612+M614+M615</f>
        <v>1731519733</v>
      </c>
      <c r="P610" s="1557">
        <v>147923694</v>
      </c>
      <c r="Q610" s="1367">
        <f>ROUND(384196651.12,0)</f>
        <v>384196651</v>
      </c>
      <c r="R610" s="1485">
        <f t="shared" si="427"/>
        <v>532120345</v>
      </c>
      <c r="S610" s="1481"/>
      <c r="T610" s="1485"/>
      <c r="U610" s="1481"/>
      <c r="V610" s="1485"/>
      <c r="W610" s="1485">
        <f t="shared" si="428"/>
        <v>532120345</v>
      </c>
      <c r="X610" s="35">
        <f>W611+W612+W614+W615</f>
        <v>1284607247</v>
      </c>
      <c r="Y610" s="106">
        <v>98735254</v>
      </c>
      <c r="Z610" s="698">
        <v>275423169</v>
      </c>
      <c r="AA610" s="698">
        <f t="shared" si="429"/>
        <v>374158423</v>
      </c>
      <c r="AB610" s="253"/>
      <c r="AC610" s="106"/>
      <c r="AD610" s="253"/>
      <c r="AE610" s="106"/>
      <c r="AF610" s="106">
        <f t="shared" si="430"/>
        <v>374158423</v>
      </c>
      <c r="AG610" s="106"/>
      <c r="AH610" s="35">
        <f>AF611+AF612+AF614+AF615</f>
        <v>856377853</v>
      </c>
      <c r="AI610" s="947">
        <v>825948093</v>
      </c>
      <c r="AJ610" s="961"/>
      <c r="AK610" s="961"/>
      <c r="AL610" s="35">
        <f>AI611+AI612+AI614+AI615</f>
        <v>1315468603</v>
      </c>
      <c r="AM610" s="447">
        <v>171780835</v>
      </c>
      <c r="AN610" s="693">
        <v>466422898</v>
      </c>
      <c r="AO610" s="447">
        <f t="shared" si="431"/>
        <v>638203733</v>
      </c>
      <c r="AP610" s="788"/>
      <c r="AQ610" s="447"/>
      <c r="AR610" s="788"/>
      <c r="AS610" s="447"/>
      <c r="AT610" s="447">
        <f t="shared" si="432"/>
        <v>638203733</v>
      </c>
      <c r="AU610" s="35">
        <f>AT611+AT612+AT614+AT615</f>
        <v>926315092</v>
      </c>
      <c r="AV610" s="447">
        <v>120499392</v>
      </c>
      <c r="AW610" s="693">
        <v>324760124</v>
      </c>
      <c r="AX610" s="447">
        <f t="shared" si="433"/>
        <v>445259516</v>
      </c>
      <c r="AY610" s="788"/>
      <c r="AZ610" s="447"/>
      <c r="BA610" s="788"/>
      <c r="BB610" s="447"/>
      <c r="BC610" s="447">
        <f t="shared" si="434"/>
        <v>445259516</v>
      </c>
      <c r="BD610" s="14"/>
      <c r="BE610" s="35">
        <f>BC611+BC612+BC614+BC615</f>
        <v>606730645</v>
      </c>
      <c r="BF610" s="220">
        <v>735319734</v>
      </c>
      <c r="BG610" s="37">
        <f>BF611</f>
        <v>1354239657</v>
      </c>
      <c r="BH610" s="220">
        <v>1190000064</v>
      </c>
      <c r="BI610" s="11">
        <f>BG611+BG666-BI460+BG667+BG668+BG669</f>
        <v>27086865973</v>
      </c>
    </row>
    <row r="611" spans="2:63" s="1" customFormat="1">
      <c r="B611" s="30" t="s">
        <v>407</v>
      </c>
      <c r="C611" s="13" t="s">
        <v>902</v>
      </c>
      <c r="D611" s="1367"/>
      <c r="E611" s="2254">
        <v>1223958413</v>
      </c>
      <c r="F611" s="1365">
        <f t="shared" si="424"/>
        <v>1223958413</v>
      </c>
      <c r="G611" s="1365">
        <f t="shared" si="413"/>
        <v>0</v>
      </c>
      <c r="H611" s="1367">
        <f t="shared" si="425"/>
        <v>1223958413</v>
      </c>
      <c r="I611" s="1384"/>
      <c r="J611" s="1367"/>
      <c r="K611" s="1384"/>
      <c r="L611" s="1367"/>
      <c r="M611" s="1367">
        <f t="shared" si="426"/>
        <v>1223958413</v>
      </c>
      <c r="N611" s="1967"/>
      <c r="O611" s="1057"/>
      <c r="P611" s="1485"/>
      <c r="Q611" s="1367">
        <v>915641317</v>
      </c>
      <c r="R611" s="1485">
        <f t="shared" si="427"/>
        <v>915641317</v>
      </c>
      <c r="S611" s="1481"/>
      <c r="T611" s="1485"/>
      <c r="U611" s="1481"/>
      <c r="V611" s="1485"/>
      <c r="W611" s="1485">
        <f t="shared" si="428"/>
        <v>915641317</v>
      </c>
      <c r="X611" s="1189"/>
      <c r="Y611" s="106">
        <v>0</v>
      </c>
      <c r="Z611" s="698">
        <v>598541317</v>
      </c>
      <c r="AA611" s="698">
        <f t="shared" si="429"/>
        <v>598541317</v>
      </c>
      <c r="AB611" s="253"/>
      <c r="AC611" s="106"/>
      <c r="AD611" s="253"/>
      <c r="AE611" s="106"/>
      <c r="AF611" s="106">
        <f t="shared" si="430"/>
        <v>598541317</v>
      </c>
      <c r="AG611" s="106"/>
      <c r="AH611" s="208"/>
      <c r="AI611" s="947">
        <v>899279742</v>
      </c>
      <c r="AJ611" s="961"/>
      <c r="AK611" s="961"/>
      <c r="AL611" s="667"/>
      <c r="AM611" s="447"/>
      <c r="AN611" s="693">
        <v>640507161</v>
      </c>
      <c r="AO611" s="447">
        <f t="shared" si="431"/>
        <v>640507161</v>
      </c>
      <c r="AP611" s="788"/>
      <c r="AQ611" s="447"/>
      <c r="AR611" s="788"/>
      <c r="AS611" s="447"/>
      <c r="AT611" s="447">
        <f t="shared" si="432"/>
        <v>640507161</v>
      </c>
      <c r="AU611" s="37"/>
      <c r="AV611" s="447"/>
      <c r="AW611" s="693">
        <v>400631355</v>
      </c>
      <c r="AX611" s="447">
        <f t="shared" si="433"/>
        <v>400631355</v>
      </c>
      <c r="AY611" s="788"/>
      <c r="AZ611" s="447"/>
      <c r="BA611" s="788"/>
      <c r="BB611" s="447"/>
      <c r="BC611" s="447">
        <f t="shared" si="434"/>
        <v>400631355</v>
      </c>
      <c r="BD611" s="14"/>
      <c r="BE611" s="128"/>
      <c r="BF611" s="220">
        <v>1354239657</v>
      </c>
      <c r="BG611" s="37"/>
      <c r="BH611" s="220">
        <v>1376479493</v>
      </c>
      <c r="BI611" s="11"/>
    </row>
    <row r="612" spans="2:63" s="1" customFormat="1">
      <c r="B612" s="30"/>
      <c r="C612" s="13" t="s">
        <v>903</v>
      </c>
      <c r="D612" s="1367">
        <v>20534000</v>
      </c>
      <c r="E612" s="2254">
        <v>32052000</v>
      </c>
      <c r="F612" s="1365">
        <f t="shared" si="424"/>
        <v>52586000</v>
      </c>
      <c r="G612" s="1365">
        <f t="shared" si="413"/>
        <v>0</v>
      </c>
      <c r="H612" s="1367">
        <f t="shared" si="425"/>
        <v>52586000</v>
      </c>
      <c r="I612" s="1384"/>
      <c r="J612" s="1367"/>
      <c r="K612" s="1384"/>
      <c r="L612" s="1367"/>
      <c r="M612" s="1367">
        <f t="shared" si="426"/>
        <v>52586000</v>
      </c>
      <c r="N612" s="1967"/>
      <c r="O612" s="1057"/>
      <c r="P612" s="1485">
        <v>16511000</v>
      </c>
      <c r="Q612" s="1367">
        <v>24864000</v>
      </c>
      <c r="R612" s="1485">
        <f t="shared" si="427"/>
        <v>41375000</v>
      </c>
      <c r="S612" s="1481"/>
      <c r="T612" s="1485"/>
      <c r="U612" s="1481"/>
      <c r="V612" s="1485"/>
      <c r="W612" s="1485">
        <f t="shared" si="428"/>
        <v>41375000</v>
      </c>
      <c r="X612" s="1189"/>
      <c r="Y612" s="106">
        <v>12513000</v>
      </c>
      <c r="Z612" s="698">
        <v>19808000</v>
      </c>
      <c r="AA612" s="698">
        <f t="shared" si="429"/>
        <v>32321000</v>
      </c>
      <c r="AB612" s="253"/>
      <c r="AC612" s="106"/>
      <c r="AD612" s="253"/>
      <c r="AE612" s="106"/>
      <c r="AF612" s="106">
        <f t="shared" si="430"/>
        <v>32321000</v>
      </c>
      <c r="AG612" s="106"/>
      <c r="AH612" s="208"/>
      <c r="AI612" s="947">
        <v>66265000</v>
      </c>
      <c r="AJ612" s="947"/>
      <c r="AK612" s="947"/>
      <c r="AL612" s="667"/>
      <c r="AM612" s="14">
        <v>23504000</v>
      </c>
      <c r="AN612" s="140">
        <v>32746000</v>
      </c>
      <c r="AO612" s="14">
        <f t="shared" si="431"/>
        <v>56250000</v>
      </c>
      <c r="AP612" s="437"/>
      <c r="AQ612" s="14"/>
      <c r="AR612" s="437"/>
      <c r="AS612" s="14"/>
      <c r="AT612" s="14">
        <f t="shared" si="432"/>
        <v>56250000</v>
      </c>
      <c r="AU612" s="37"/>
      <c r="AV612" s="14">
        <v>18255000</v>
      </c>
      <c r="AW612" s="140">
        <v>24963000</v>
      </c>
      <c r="AX612" s="14">
        <f t="shared" si="433"/>
        <v>43218000</v>
      </c>
      <c r="AY612" s="437"/>
      <c r="AZ612" s="14"/>
      <c r="BA612" s="437"/>
      <c r="BB612" s="14"/>
      <c r="BC612" s="14">
        <f t="shared" si="434"/>
        <v>43218000</v>
      </c>
      <c r="BD612" s="14"/>
      <c r="BE612" s="128"/>
      <c r="BF612" s="220">
        <v>58157000</v>
      </c>
      <c r="BG612" s="37"/>
      <c r="BH612" s="220">
        <v>64022000</v>
      </c>
      <c r="BI612" s="11"/>
    </row>
    <row r="613" spans="2:63" s="1" customFormat="1">
      <c r="B613" s="30"/>
      <c r="C613" s="13" t="s">
        <v>904</v>
      </c>
      <c r="D613" s="1367">
        <v>33278920</v>
      </c>
      <c r="E613" s="2254">
        <v>456238300</v>
      </c>
      <c r="F613" s="1365">
        <f t="shared" si="424"/>
        <v>489517220</v>
      </c>
      <c r="G613" s="1365">
        <f t="shared" si="413"/>
        <v>0</v>
      </c>
      <c r="H613" s="1367">
        <f t="shared" si="425"/>
        <v>489517220</v>
      </c>
      <c r="I613" s="1384"/>
      <c r="J613" s="1367"/>
      <c r="K613" s="1384"/>
      <c r="L613" s="1367"/>
      <c r="M613" s="1367">
        <f t="shared" si="426"/>
        <v>489517220</v>
      </c>
      <c r="N613" s="1967"/>
      <c r="O613" s="1057"/>
      <c r="P613" s="1485">
        <v>23120000</v>
      </c>
      <c r="Q613" s="1367">
        <v>340699400</v>
      </c>
      <c r="R613" s="1485">
        <f t="shared" si="427"/>
        <v>363819400</v>
      </c>
      <c r="S613" s="1481"/>
      <c r="T613" s="1485"/>
      <c r="U613" s="1481"/>
      <c r="V613" s="1485"/>
      <c r="W613" s="1485">
        <f t="shared" si="428"/>
        <v>363819400</v>
      </c>
      <c r="X613" s="1189"/>
      <c r="Y613" s="106">
        <v>13955800</v>
      </c>
      <c r="Z613" s="698">
        <v>222386000</v>
      </c>
      <c r="AA613" s="698">
        <f t="shared" si="429"/>
        <v>236341800</v>
      </c>
      <c r="AB613" s="253"/>
      <c r="AC613" s="106"/>
      <c r="AD613" s="253"/>
      <c r="AE613" s="106"/>
      <c r="AF613" s="106">
        <f t="shared" si="430"/>
        <v>236341800</v>
      </c>
      <c r="AG613" s="106"/>
      <c r="AH613" s="208"/>
      <c r="AI613" s="947">
        <v>400922876</v>
      </c>
      <c r="AJ613" s="947"/>
      <c r="AK613" s="947"/>
      <c r="AL613" s="667"/>
      <c r="AM613" s="14">
        <v>25346100</v>
      </c>
      <c r="AN613" s="140">
        <v>268781735</v>
      </c>
      <c r="AO613" s="14">
        <f t="shared" si="431"/>
        <v>294127835</v>
      </c>
      <c r="AP613" s="437"/>
      <c r="AQ613" s="14"/>
      <c r="AR613" s="437"/>
      <c r="AS613" s="14"/>
      <c r="AT613" s="14">
        <f t="shared" si="432"/>
        <v>294127835</v>
      </c>
      <c r="AU613" s="37"/>
      <c r="AV613" s="14">
        <v>17435300</v>
      </c>
      <c r="AW613" s="140">
        <v>172040735</v>
      </c>
      <c r="AX613" s="14">
        <f t="shared" si="433"/>
        <v>189476035</v>
      </c>
      <c r="AY613" s="437"/>
      <c r="AZ613" s="14"/>
      <c r="BA613" s="437"/>
      <c r="BB613" s="14"/>
      <c r="BC613" s="14">
        <f t="shared" si="434"/>
        <v>189476035</v>
      </c>
      <c r="BD613" s="14"/>
      <c r="BE613" s="128"/>
      <c r="BF613" s="220">
        <v>426734898</v>
      </c>
      <c r="BG613" s="37"/>
      <c r="BH613" s="220">
        <v>335569581</v>
      </c>
      <c r="BI613" s="11"/>
    </row>
    <row r="614" spans="2:63" s="1" customFormat="1">
      <c r="B614" s="30"/>
      <c r="C614" s="13" t="s">
        <v>905</v>
      </c>
      <c r="D614" s="1367">
        <v>44726209</v>
      </c>
      <c r="E614" s="2254">
        <v>57411611</v>
      </c>
      <c r="F614" s="1365">
        <f t="shared" si="424"/>
        <v>102137820</v>
      </c>
      <c r="G614" s="1365">
        <f t="shared" si="413"/>
        <v>0</v>
      </c>
      <c r="H614" s="1367">
        <f t="shared" si="425"/>
        <v>102137820</v>
      </c>
      <c r="I614" s="1384"/>
      <c r="J614" s="1367"/>
      <c r="K614" s="1384"/>
      <c r="L614" s="1367"/>
      <c r="M614" s="1367">
        <f t="shared" si="426"/>
        <v>102137820</v>
      </c>
      <c r="N614" s="1967"/>
      <c r="O614" s="1057"/>
      <c r="P614" s="1485">
        <v>35827876</v>
      </c>
      <c r="Q614" s="1367">
        <v>43820554</v>
      </c>
      <c r="R614" s="1485">
        <f t="shared" si="427"/>
        <v>79648430</v>
      </c>
      <c r="S614" s="1481"/>
      <c r="T614" s="1485"/>
      <c r="U614" s="1481"/>
      <c r="V614" s="1485"/>
      <c r="W614" s="1485">
        <f t="shared" si="428"/>
        <v>79648430</v>
      </c>
      <c r="X614" s="1189"/>
      <c r="Y614" s="106">
        <v>25795745</v>
      </c>
      <c r="Z614" s="698">
        <v>30815291</v>
      </c>
      <c r="AA614" s="698">
        <f t="shared" si="429"/>
        <v>56611036</v>
      </c>
      <c r="AB614" s="253"/>
      <c r="AC614" s="106"/>
      <c r="AD614" s="253"/>
      <c r="AE614" s="106"/>
      <c r="AF614" s="106">
        <f t="shared" si="430"/>
        <v>56611036</v>
      </c>
      <c r="AG614" s="106"/>
      <c r="AH614" s="208"/>
      <c r="AI614" s="947">
        <v>83363031</v>
      </c>
      <c r="AJ614" s="947"/>
      <c r="AK614" s="947"/>
      <c r="AL614" s="667"/>
      <c r="AM614" s="14">
        <v>29115977</v>
      </c>
      <c r="AN614" s="140">
        <v>36350124</v>
      </c>
      <c r="AO614" s="14">
        <f t="shared" si="431"/>
        <v>65466101</v>
      </c>
      <c r="AP614" s="437"/>
      <c r="AQ614" s="14"/>
      <c r="AR614" s="437"/>
      <c r="AS614" s="14"/>
      <c r="AT614" s="14">
        <f t="shared" si="432"/>
        <v>65466101</v>
      </c>
      <c r="AU614" s="37"/>
      <c r="AV614" s="14">
        <v>18517328</v>
      </c>
      <c r="AW614" s="140">
        <v>24315132</v>
      </c>
      <c r="AX614" s="14">
        <f t="shared" si="433"/>
        <v>42832460</v>
      </c>
      <c r="AY614" s="437"/>
      <c r="AZ614" s="14"/>
      <c r="BA614" s="437"/>
      <c r="BB614" s="14"/>
      <c r="BC614" s="14">
        <f t="shared" si="434"/>
        <v>42832460</v>
      </c>
      <c r="BD614" s="14"/>
      <c r="BE614" s="128">
        <v>23104282940</v>
      </c>
      <c r="BF614" s="220">
        <v>133569430</v>
      </c>
      <c r="BG614" s="37"/>
      <c r="BH614" s="220">
        <v>131096063</v>
      </c>
      <c r="BI614" s="11"/>
    </row>
    <row r="615" spans="2:63" s="1" customFormat="1">
      <c r="B615" s="30"/>
      <c r="C615" s="13" t="s">
        <v>906</v>
      </c>
      <c r="D615" s="1367">
        <v>0</v>
      </c>
      <c r="E615" s="2254">
        <v>352837500</v>
      </c>
      <c r="F615" s="1365">
        <f t="shared" si="424"/>
        <v>352837500</v>
      </c>
      <c r="G615" s="1365">
        <f t="shared" si="413"/>
        <v>0</v>
      </c>
      <c r="H615" s="1367">
        <f t="shared" si="425"/>
        <v>352837500</v>
      </c>
      <c r="I615" s="1384"/>
      <c r="J615" s="1367"/>
      <c r="K615" s="1384"/>
      <c r="L615" s="1367"/>
      <c r="M615" s="1367">
        <f t="shared" si="426"/>
        <v>352837500</v>
      </c>
      <c r="N615" s="1967"/>
      <c r="O615" s="1057"/>
      <c r="P615" s="1485"/>
      <c r="Q615" s="1367">
        <v>247942500</v>
      </c>
      <c r="R615" s="1485">
        <f t="shared" si="427"/>
        <v>247942500</v>
      </c>
      <c r="S615" s="1481"/>
      <c r="T615" s="1485"/>
      <c r="U615" s="1481"/>
      <c r="V615" s="1485"/>
      <c r="W615" s="1485">
        <f t="shared" si="428"/>
        <v>247942500</v>
      </c>
      <c r="X615" s="1189"/>
      <c r="Y615" s="106">
        <v>0</v>
      </c>
      <c r="Z615" s="698">
        <v>168904500</v>
      </c>
      <c r="AA615" s="698">
        <f t="shared" si="429"/>
        <v>168904500</v>
      </c>
      <c r="AB615" s="253"/>
      <c r="AC615" s="106"/>
      <c r="AD615" s="253"/>
      <c r="AE615" s="106"/>
      <c r="AF615" s="106">
        <f t="shared" si="430"/>
        <v>168904500</v>
      </c>
      <c r="AG615" s="106"/>
      <c r="AH615" s="208"/>
      <c r="AI615" s="947">
        <v>266560830</v>
      </c>
      <c r="AJ615" s="947"/>
      <c r="AK615" s="947"/>
      <c r="AL615" s="667"/>
      <c r="AM615" s="14">
        <v>12911080</v>
      </c>
      <c r="AN615" s="140">
        <v>151180750</v>
      </c>
      <c r="AO615" s="14">
        <f t="shared" si="431"/>
        <v>164091830</v>
      </c>
      <c r="AP615" s="437"/>
      <c r="AQ615" s="14"/>
      <c r="AR615" s="437"/>
      <c r="AS615" s="14"/>
      <c r="AT615" s="14">
        <f t="shared" si="432"/>
        <v>164091830</v>
      </c>
      <c r="AU615" s="37"/>
      <c r="AV615" s="14">
        <v>12911080</v>
      </c>
      <c r="AW615" s="140">
        <v>107137750</v>
      </c>
      <c r="AX615" s="14">
        <f t="shared" si="433"/>
        <v>120048830</v>
      </c>
      <c r="AY615" s="437"/>
      <c r="AZ615" s="14"/>
      <c r="BA615" s="437"/>
      <c r="BB615" s="14"/>
      <c r="BC615" s="14">
        <f t="shared" si="434"/>
        <v>120048830</v>
      </c>
      <c r="BD615" s="14"/>
      <c r="BE615" s="128"/>
      <c r="BF615" s="220">
        <v>267448590</v>
      </c>
      <c r="BG615" s="37"/>
      <c r="BH615" s="220">
        <v>198794107</v>
      </c>
      <c r="BI615" s="11"/>
    </row>
    <row r="616" spans="2:63" s="1" customFormat="1">
      <c r="B616" s="30"/>
      <c r="C616" s="13" t="s">
        <v>907</v>
      </c>
      <c r="D616" s="1367">
        <v>0</v>
      </c>
      <c r="E616" s="2254">
        <f>ROUND(309909516.38,0)</f>
        <v>309909516</v>
      </c>
      <c r="F616" s="1365">
        <f t="shared" si="424"/>
        <v>309909516</v>
      </c>
      <c r="G616" s="1365">
        <f t="shared" si="413"/>
        <v>0</v>
      </c>
      <c r="H616" s="1367">
        <f t="shared" si="425"/>
        <v>309909516</v>
      </c>
      <c r="I616" s="1384"/>
      <c r="J616" s="1367"/>
      <c r="K616" s="1384"/>
      <c r="L616" s="1367"/>
      <c r="M616" s="1367">
        <f t="shared" si="426"/>
        <v>309909516</v>
      </c>
      <c r="N616" s="1967"/>
      <c r="O616" s="1057"/>
      <c r="P616" s="1485"/>
      <c r="Q616" s="1367">
        <f>ROUND(225437891.42,0)</f>
        <v>225437891</v>
      </c>
      <c r="R616" s="1485">
        <f t="shared" si="427"/>
        <v>225437891</v>
      </c>
      <c r="S616" s="1481"/>
      <c r="T616" s="1485"/>
      <c r="U616" s="1481"/>
      <c r="V616" s="1485"/>
      <c r="W616" s="1485">
        <f t="shared" si="428"/>
        <v>225437891</v>
      </c>
      <c r="X616" s="1189"/>
      <c r="Y616" s="106">
        <v>0</v>
      </c>
      <c r="Z616" s="698">
        <v>129615288</v>
      </c>
      <c r="AA616" s="698">
        <f t="shared" si="429"/>
        <v>129615288</v>
      </c>
      <c r="AB616" s="253"/>
      <c r="AC616" s="106"/>
      <c r="AD616" s="253"/>
      <c r="AE616" s="106"/>
      <c r="AF616" s="106">
        <f t="shared" si="430"/>
        <v>129615288</v>
      </c>
      <c r="AG616" s="106"/>
      <c r="AH616" s="208"/>
      <c r="AI616" s="947">
        <v>276778163</v>
      </c>
      <c r="AJ616" s="947"/>
      <c r="AK616" s="947"/>
      <c r="AL616" s="667"/>
      <c r="AM616" s="14">
        <v>915000</v>
      </c>
      <c r="AN616" s="140">
        <v>257043352</v>
      </c>
      <c r="AO616" s="14">
        <f t="shared" si="431"/>
        <v>257958352</v>
      </c>
      <c r="AP616" s="437"/>
      <c r="AQ616" s="14"/>
      <c r="AR616" s="437"/>
      <c r="AS616" s="14"/>
      <c r="AT616" s="14">
        <f t="shared" si="432"/>
        <v>257958352</v>
      </c>
      <c r="AU616" s="37"/>
      <c r="AV616" s="14">
        <v>765000</v>
      </c>
      <c r="AW616" s="140">
        <v>225644224</v>
      </c>
      <c r="AX616" s="14">
        <f t="shared" si="433"/>
        <v>226409224</v>
      </c>
      <c r="AY616" s="437"/>
      <c r="AZ616" s="14"/>
      <c r="BA616" s="437"/>
      <c r="BB616" s="14"/>
      <c r="BC616" s="14">
        <f t="shared" si="434"/>
        <v>226409224</v>
      </c>
      <c r="BD616" s="14"/>
      <c r="BE616" s="128">
        <f>BE614-BE620</f>
        <v>291236401</v>
      </c>
      <c r="BF616" s="220">
        <v>375975040</v>
      </c>
      <c r="BG616" s="37">
        <f>BG618-BG620</f>
        <v>89020148</v>
      </c>
      <c r="BH616" s="220">
        <v>184960419</v>
      </c>
      <c r="BI616" s="11">
        <f>BI618-BI620</f>
        <v>-43034348812</v>
      </c>
    </row>
    <row r="617" spans="2:63" s="1" customFormat="1">
      <c r="B617" s="30"/>
      <c r="C617" s="13" t="s">
        <v>908</v>
      </c>
      <c r="D617" s="1367">
        <v>295770</v>
      </c>
      <c r="E617" s="2254">
        <v>7443988</v>
      </c>
      <c r="F617" s="1365">
        <f t="shared" si="424"/>
        <v>7739758</v>
      </c>
      <c r="G617" s="1365">
        <f t="shared" si="413"/>
        <v>0</v>
      </c>
      <c r="H617" s="1367">
        <f t="shared" si="425"/>
        <v>7739758</v>
      </c>
      <c r="I617" s="1384"/>
      <c r="J617" s="1367"/>
      <c r="K617" s="1384"/>
      <c r="L617" s="1367"/>
      <c r="M617" s="1367">
        <f t="shared" si="426"/>
        <v>7739758</v>
      </c>
      <c r="N617" s="1967"/>
      <c r="O617" s="1057"/>
      <c r="P617" s="1485">
        <v>245970</v>
      </c>
      <c r="Q617" s="1367">
        <v>2735780</v>
      </c>
      <c r="R617" s="1485">
        <f t="shared" si="427"/>
        <v>2981750</v>
      </c>
      <c r="S617" s="1481"/>
      <c r="T617" s="1485"/>
      <c r="U617" s="1481"/>
      <c r="V617" s="1485"/>
      <c r="W617" s="1485">
        <f t="shared" si="428"/>
        <v>2981750</v>
      </c>
      <c r="X617" s="1189"/>
      <c r="Y617" s="106">
        <v>106600</v>
      </c>
      <c r="Z617" s="698">
        <v>1882320</v>
      </c>
      <c r="AA617" s="698">
        <f t="shared" si="429"/>
        <v>1988920</v>
      </c>
      <c r="AB617" s="253"/>
      <c r="AC617" s="106"/>
      <c r="AD617" s="253"/>
      <c r="AE617" s="106"/>
      <c r="AF617" s="106">
        <f t="shared" si="430"/>
        <v>1988920</v>
      </c>
      <c r="AG617" s="106"/>
      <c r="AH617" s="208"/>
      <c r="AI617" s="947">
        <v>3248336</v>
      </c>
      <c r="AJ617" s="947"/>
      <c r="AK617" s="947"/>
      <c r="AL617" s="667"/>
      <c r="AM617" s="14">
        <v>99600</v>
      </c>
      <c r="AN617" s="140">
        <v>1735066</v>
      </c>
      <c r="AO617" s="14">
        <f t="shared" si="431"/>
        <v>1834666</v>
      </c>
      <c r="AP617" s="437"/>
      <c r="AQ617" s="14"/>
      <c r="AR617" s="437"/>
      <c r="AS617" s="14"/>
      <c r="AT617" s="14">
        <f t="shared" si="432"/>
        <v>1834666</v>
      </c>
      <c r="AU617" s="37"/>
      <c r="AV617" s="14">
        <v>99600</v>
      </c>
      <c r="AW617" s="140">
        <v>973478</v>
      </c>
      <c r="AX617" s="14">
        <f t="shared" si="433"/>
        <v>1073078</v>
      </c>
      <c r="AY617" s="437"/>
      <c r="AZ617" s="14"/>
      <c r="BA617" s="437"/>
      <c r="BB617" s="14"/>
      <c r="BC617" s="14">
        <f t="shared" si="434"/>
        <v>1073078</v>
      </c>
      <c r="BD617" s="14"/>
      <c r="BE617" s="128"/>
      <c r="BF617" s="220">
        <v>3897120</v>
      </c>
      <c r="BG617" s="37"/>
      <c r="BH617" s="220">
        <v>4479558</v>
      </c>
      <c r="BI617" s="11"/>
    </row>
    <row r="618" spans="2:63" s="1" customFormat="1">
      <c r="B618" s="30" t="s">
        <v>407</v>
      </c>
      <c r="C618" s="23" t="s">
        <v>178</v>
      </c>
      <c r="D618" s="1368"/>
      <c r="E618" s="2254"/>
      <c r="F618" s="1365">
        <f t="shared" si="424"/>
        <v>0</v>
      </c>
      <c r="G618" s="1365">
        <f t="shared" si="413"/>
        <v>0</v>
      </c>
      <c r="H618" s="1368">
        <f t="shared" si="425"/>
        <v>0</v>
      </c>
      <c r="I618" s="1943"/>
      <c r="J618" s="1368"/>
      <c r="K618" s="1943"/>
      <c r="L618" s="1368"/>
      <c r="M618" s="1368">
        <f t="shared" si="426"/>
        <v>0</v>
      </c>
      <c r="N618" s="1967"/>
      <c r="O618" s="1057"/>
      <c r="P618" s="1486"/>
      <c r="Q618" s="1368"/>
      <c r="R618" s="1486">
        <f t="shared" si="427"/>
        <v>0</v>
      </c>
      <c r="S618" s="1487"/>
      <c r="T618" s="1486"/>
      <c r="U618" s="1487"/>
      <c r="V618" s="1486"/>
      <c r="W618" s="1486">
        <f t="shared" si="428"/>
        <v>0</v>
      </c>
      <c r="X618" s="1189"/>
      <c r="Y618" s="225">
        <v>0</v>
      </c>
      <c r="Z618" s="699">
        <v>0</v>
      </c>
      <c r="AA618" s="699">
        <f t="shared" si="429"/>
        <v>0</v>
      </c>
      <c r="AB618" s="617"/>
      <c r="AC618" s="225"/>
      <c r="AD618" s="617"/>
      <c r="AE618" s="225"/>
      <c r="AF618" s="225">
        <f t="shared" si="430"/>
        <v>0</v>
      </c>
      <c r="AG618" s="225"/>
      <c r="AH618" s="208"/>
      <c r="AI618" s="947">
        <v>6727668531</v>
      </c>
      <c r="AJ618" s="947"/>
      <c r="AK618" s="947"/>
      <c r="AL618" s="667"/>
      <c r="AM618" s="14"/>
      <c r="AN618" s="140"/>
      <c r="AO618" s="14">
        <f t="shared" si="431"/>
        <v>0</v>
      </c>
      <c r="AP618" s="437"/>
      <c r="AQ618" s="14"/>
      <c r="AR618" s="437"/>
      <c r="AS618" s="14"/>
      <c r="AT618" s="14">
        <f t="shared" si="432"/>
        <v>0</v>
      </c>
      <c r="AU618" s="37"/>
      <c r="AV618" s="14"/>
      <c r="AW618" s="140"/>
      <c r="AX618" s="14">
        <f t="shared" si="433"/>
        <v>0</v>
      </c>
      <c r="AY618" s="437"/>
      <c r="AZ618" s="14"/>
      <c r="BA618" s="437"/>
      <c r="BB618" s="14"/>
      <c r="BC618" s="14">
        <f t="shared" si="434"/>
        <v>0</v>
      </c>
      <c r="BD618" s="14"/>
      <c r="BE618" s="128"/>
      <c r="BF618" s="220">
        <v>6960613058</v>
      </c>
      <c r="BG618" s="37">
        <v>30562426615</v>
      </c>
      <c r="BH618" s="220">
        <v>0</v>
      </c>
      <c r="BI618" s="11">
        <v>19444744075</v>
      </c>
      <c r="BJ618" s="2145"/>
      <c r="BK618" s="2115"/>
    </row>
    <row r="619" spans="2:63" s="1" customFormat="1">
      <c r="B619" s="30" t="s">
        <v>407</v>
      </c>
      <c r="C619" s="23" t="s">
        <v>909</v>
      </c>
      <c r="D619" s="1368"/>
      <c r="E619" s="2254">
        <f>ROUND(283373178.547143,0)</f>
        <v>283373179</v>
      </c>
      <c r="F619" s="1365">
        <f t="shared" si="424"/>
        <v>283373179</v>
      </c>
      <c r="G619" s="1365">
        <f t="shared" si="413"/>
        <v>0</v>
      </c>
      <c r="H619" s="1368">
        <f t="shared" si="425"/>
        <v>283373179</v>
      </c>
      <c r="I619" s="1943"/>
      <c r="J619" s="1368"/>
      <c r="K619" s="1943"/>
      <c r="L619" s="1368"/>
      <c r="M619" s="1368">
        <f t="shared" si="426"/>
        <v>283373179</v>
      </c>
      <c r="N619" s="1967"/>
      <c r="O619" s="1057"/>
      <c r="P619" s="1486"/>
      <c r="Q619" s="1368">
        <f>ROUND(212529883.910357,0)</f>
        <v>212529884</v>
      </c>
      <c r="R619" s="1486">
        <f t="shared" si="427"/>
        <v>212529884</v>
      </c>
      <c r="S619" s="1487"/>
      <c r="T619" s="1486"/>
      <c r="U619" s="1487"/>
      <c r="V619" s="1486"/>
      <c r="W619" s="1486">
        <f t="shared" si="428"/>
        <v>212529884</v>
      </c>
      <c r="X619" s="1189"/>
      <c r="Y619" s="225">
        <v>0</v>
      </c>
      <c r="Z619" s="699">
        <v>141686589</v>
      </c>
      <c r="AA619" s="699">
        <f t="shared" si="429"/>
        <v>141686589</v>
      </c>
      <c r="AB619" s="617"/>
      <c r="AC619" s="225"/>
      <c r="AD619" s="617"/>
      <c r="AE619" s="225"/>
      <c r="AF619" s="225">
        <f t="shared" si="430"/>
        <v>141686589</v>
      </c>
      <c r="AG619" s="225"/>
      <c r="AH619" s="208"/>
      <c r="AI619" s="947">
        <v>282792707</v>
      </c>
      <c r="AJ619" s="947"/>
      <c r="AK619" s="947"/>
      <c r="AL619" s="667"/>
      <c r="AM619" s="14"/>
      <c r="AN619" s="140">
        <v>212529884</v>
      </c>
      <c r="AO619" s="14">
        <f t="shared" si="431"/>
        <v>212529884</v>
      </c>
      <c r="AP619" s="437"/>
      <c r="AQ619" s="14"/>
      <c r="AR619" s="437"/>
      <c r="AS619" s="14"/>
      <c r="AT619" s="14">
        <f t="shared" si="432"/>
        <v>212529884</v>
      </c>
      <c r="AU619" s="37"/>
      <c r="AV619" s="14"/>
      <c r="AW619" s="140">
        <v>141686589</v>
      </c>
      <c r="AX619" s="14">
        <f t="shared" si="433"/>
        <v>141686589</v>
      </c>
      <c r="AY619" s="437"/>
      <c r="AZ619" s="14"/>
      <c r="BA619" s="437"/>
      <c r="BB619" s="14"/>
      <c r="BC619" s="14">
        <f t="shared" si="434"/>
        <v>141686589</v>
      </c>
      <c r="BD619" s="14"/>
      <c r="BE619" s="128"/>
      <c r="BF619" s="220">
        <v>282792706</v>
      </c>
      <c r="BG619" s="37"/>
      <c r="BH619" s="220">
        <v>282792707</v>
      </c>
      <c r="BI619" s="11"/>
    </row>
    <row r="620" spans="2:63" s="1" customFormat="1">
      <c r="B620" s="30"/>
      <c r="C620" s="93" t="s">
        <v>910</v>
      </c>
      <c r="D620" s="1375">
        <v>8493757952</v>
      </c>
      <c r="E620" s="2254">
        <v>5968281469.4300003</v>
      </c>
      <c r="F620" s="1365">
        <f t="shared" si="424"/>
        <v>14462039421.43</v>
      </c>
      <c r="G620" s="1365">
        <f t="shared" si="413"/>
        <v>0.43000030517578125</v>
      </c>
      <c r="H620" s="1375">
        <f t="shared" si="425"/>
        <v>14462039421</v>
      </c>
      <c r="I620" s="1391"/>
      <c r="J620" s="1375"/>
      <c r="K620" s="1391"/>
      <c r="L620" s="1375"/>
      <c r="M620" s="1375">
        <f t="shared" si="426"/>
        <v>14462039421</v>
      </c>
      <c r="N620" s="1967"/>
      <c r="O620" s="1057"/>
      <c r="P620" s="1498">
        <v>5953468406</v>
      </c>
      <c r="Q620" s="1375">
        <v>4275845094</v>
      </c>
      <c r="R620" s="1498">
        <f t="shared" si="427"/>
        <v>10229313500</v>
      </c>
      <c r="S620" s="1496"/>
      <c r="T620" s="1498"/>
      <c r="U620" s="1496"/>
      <c r="V620" s="1498"/>
      <c r="W620" s="1498">
        <f t="shared" si="428"/>
        <v>10229313500</v>
      </c>
      <c r="X620" s="1189"/>
      <c r="Y620" s="278">
        <v>3534233460</v>
      </c>
      <c r="Z620" s="714">
        <v>2447806701</v>
      </c>
      <c r="AA620" s="714">
        <f t="shared" si="429"/>
        <v>5982040161</v>
      </c>
      <c r="AB620" s="274"/>
      <c r="AC620" s="278"/>
      <c r="AD620" s="274"/>
      <c r="AE620" s="278"/>
      <c r="AF620" s="278">
        <f t="shared" si="430"/>
        <v>5982040161</v>
      </c>
      <c r="AG620" s="278"/>
      <c r="AH620" s="208"/>
      <c r="AI620" s="947">
        <v>12521070882</v>
      </c>
      <c r="AJ620" s="947"/>
      <c r="AK620" s="947"/>
      <c r="AL620" s="667"/>
      <c r="AM620" s="14">
        <v>6562123730</v>
      </c>
      <c r="AN620" s="140">
        <v>3688351955</v>
      </c>
      <c r="AO620" s="14">
        <f t="shared" si="431"/>
        <v>10250475685</v>
      </c>
      <c r="AP620" s="437"/>
      <c r="AQ620" s="14"/>
      <c r="AR620" s="437"/>
      <c r="AS620" s="14"/>
      <c r="AT620" s="14">
        <f t="shared" si="432"/>
        <v>10250475685</v>
      </c>
      <c r="AU620" s="37"/>
      <c r="AV620" s="14">
        <v>5000509047</v>
      </c>
      <c r="AW620" s="140">
        <v>3298053681</v>
      </c>
      <c r="AX620" s="14">
        <f t="shared" si="433"/>
        <v>8298562728</v>
      </c>
      <c r="AY620" s="437"/>
      <c r="AZ620" s="14"/>
      <c r="BA620" s="437"/>
      <c r="BB620" s="14"/>
      <c r="BC620" s="14">
        <f t="shared" si="434"/>
        <v>8298562728</v>
      </c>
      <c r="BD620" s="14"/>
      <c r="BE620" s="137">
        <f>SUM(AI609:AI620)</f>
        <v>22813046539</v>
      </c>
      <c r="BF620" s="220">
        <v>19741104620</v>
      </c>
      <c r="BG620" s="137">
        <f>SUM(BF609:BF620)</f>
        <v>30473406467</v>
      </c>
      <c r="BH620" s="220">
        <v>15472592543</v>
      </c>
      <c r="BI620" s="49">
        <f>SUM(BG609:BG620)</f>
        <v>62479092887</v>
      </c>
    </row>
    <row r="621" spans="2:63" s="1" customFormat="1">
      <c r="B621" s="82" t="s">
        <v>911</v>
      </c>
      <c r="C621" s="13"/>
      <c r="D621" s="1367"/>
      <c r="E621" s="2254"/>
      <c r="F621" s="1365">
        <f t="shared" si="424"/>
        <v>0</v>
      </c>
      <c r="G621" s="1365">
        <f t="shared" si="413"/>
        <v>0</v>
      </c>
      <c r="H621" s="1367">
        <f t="shared" si="425"/>
        <v>0</v>
      </c>
      <c r="I621" s="1384"/>
      <c r="J621" s="1367"/>
      <c r="K621" s="1384"/>
      <c r="L621" s="1367"/>
      <c r="M621" s="1367">
        <f t="shared" si="426"/>
        <v>0</v>
      </c>
      <c r="N621" s="1967"/>
      <c r="O621" s="1057"/>
      <c r="P621" s="1485"/>
      <c r="Q621" s="1367"/>
      <c r="R621" s="1485">
        <f t="shared" si="427"/>
        <v>0</v>
      </c>
      <c r="S621" s="1481"/>
      <c r="T621" s="1485"/>
      <c r="U621" s="1481"/>
      <c r="V621" s="1485"/>
      <c r="W621" s="1485">
        <f t="shared" si="428"/>
        <v>0</v>
      </c>
      <c r="X621" s="1189"/>
      <c r="Y621" s="106">
        <v>0</v>
      </c>
      <c r="Z621" s="698">
        <v>0</v>
      </c>
      <c r="AA621" s="698">
        <f t="shared" si="429"/>
        <v>0</v>
      </c>
      <c r="AB621" s="253"/>
      <c r="AC621" s="106"/>
      <c r="AD621" s="253"/>
      <c r="AE621" s="106"/>
      <c r="AF621" s="106">
        <f t="shared" si="430"/>
        <v>0</v>
      </c>
      <c r="AG621" s="106"/>
      <c r="AH621" s="208"/>
      <c r="AI621" s="947">
        <v>0</v>
      </c>
      <c r="AJ621" s="947"/>
      <c r="AK621" s="947"/>
      <c r="AL621" s="667"/>
      <c r="AM621" s="14"/>
      <c r="AN621" s="140"/>
      <c r="AO621" s="14">
        <f t="shared" si="431"/>
        <v>0</v>
      </c>
      <c r="AP621" s="437"/>
      <c r="AQ621" s="14"/>
      <c r="AR621" s="437"/>
      <c r="AS621" s="14"/>
      <c r="AT621" s="14">
        <f t="shared" si="432"/>
        <v>0</v>
      </c>
      <c r="AU621" s="37"/>
      <c r="AV621" s="14"/>
      <c r="AW621" s="140"/>
      <c r="AX621" s="14">
        <f t="shared" si="433"/>
        <v>0</v>
      </c>
      <c r="AY621" s="437"/>
      <c r="AZ621" s="14"/>
      <c r="BA621" s="437"/>
      <c r="BB621" s="14"/>
      <c r="BC621" s="14">
        <f t="shared" si="434"/>
        <v>0</v>
      </c>
      <c r="BD621" s="14"/>
      <c r="BE621" s="128"/>
      <c r="BF621" s="220">
        <v>0</v>
      </c>
      <c r="BG621" s="37"/>
      <c r="BH621" s="220">
        <v>0</v>
      </c>
      <c r="BI621" s="11"/>
    </row>
    <row r="622" spans="2:63" s="1" customFormat="1">
      <c r="B622" s="140"/>
      <c r="C622" s="13" t="s">
        <v>912</v>
      </c>
      <c r="D622" s="1367">
        <v>13531332</v>
      </c>
      <c r="E622" s="2254">
        <v>42745598</v>
      </c>
      <c r="F622" s="1365">
        <f t="shared" si="424"/>
        <v>56276930</v>
      </c>
      <c r="G622" s="1365">
        <f t="shared" si="413"/>
        <v>0</v>
      </c>
      <c r="H622" s="1367">
        <f t="shared" si="425"/>
        <v>56276930</v>
      </c>
      <c r="I622" s="1384"/>
      <c r="J622" s="1367"/>
      <c r="K622" s="1384"/>
      <c r="L622" s="1367"/>
      <c r="M622" s="1367">
        <f t="shared" si="426"/>
        <v>56276930</v>
      </c>
      <c r="N622" s="1967"/>
      <c r="O622" s="1057"/>
      <c r="P622" s="1485">
        <v>12561332</v>
      </c>
      <c r="Q622" s="1367">
        <v>32715746</v>
      </c>
      <c r="R622" s="1485">
        <f t="shared" si="427"/>
        <v>45277078</v>
      </c>
      <c r="S622" s="1481"/>
      <c r="T622" s="1485"/>
      <c r="U622" s="1481"/>
      <c r="V622" s="1485"/>
      <c r="W622" s="1485">
        <f t="shared" si="428"/>
        <v>45277078</v>
      </c>
      <c r="X622" s="1189"/>
      <c r="Y622" s="106">
        <v>5955756</v>
      </c>
      <c r="Z622" s="698">
        <v>20765786</v>
      </c>
      <c r="AA622" s="698">
        <f t="shared" si="429"/>
        <v>26721542</v>
      </c>
      <c r="AB622" s="253"/>
      <c r="AC622" s="106"/>
      <c r="AD622" s="253"/>
      <c r="AE622" s="106"/>
      <c r="AF622" s="106">
        <f t="shared" si="430"/>
        <v>26721542</v>
      </c>
      <c r="AG622" s="106"/>
      <c r="AH622" s="208"/>
      <c r="AI622" s="947">
        <v>60683280</v>
      </c>
      <c r="AJ622" s="947"/>
      <c r="AK622" s="947"/>
      <c r="AL622" s="667"/>
      <c r="AM622" s="14">
        <v>656000</v>
      </c>
      <c r="AN622" s="140">
        <v>46110312</v>
      </c>
      <c r="AO622" s="14">
        <f t="shared" si="431"/>
        <v>46766312</v>
      </c>
      <c r="AP622" s="437"/>
      <c r="AQ622" s="14"/>
      <c r="AR622" s="437"/>
      <c r="AS622" s="14"/>
      <c r="AT622" s="14">
        <f t="shared" si="432"/>
        <v>46766312</v>
      </c>
      <c r="AU622" s="37"/>
      <c r="AV622" s="14">
        <v>346000</v>
      </c>
      <c r="AW622" s="140">
        <v>35133312</v>
      </c>
      <c r="AX622" s="14">
        <f t="shared" si="433"/>
        <v>35479312</v>
      </c>
      <c r="AY622" s="437"/>
      <c r="AZ622" s="14"/>
      <c r="BA622" s="437"/>
      <c r="BB622" s="14"/>
      <c r="BC622" s="14">
        <f t="shared" si="434"/>
        <v>35479312</v>
      </c>
      <c r="BD622" s="14"/>
      <c r="BE622" s="128"/>
      <c r="BF622" s="284">
        <v>76814108</v>
      </c>
      <c r="BG622" s="37"/>
      <c r="BH622" s="220">
        <v>66343829</v>
      </c>
      <c r="BI622" s="11"/>
    </row>
    <row r="623" spans="2:63" s="1" customFormat="1">
      <c r="B623" s="140" t="s">
        <v>403</v>
      </c>
      <c r="C623" s="23" t="s">
        <v>311</v>
      </c>
      <c r="D623" s="1368">
        <v>2331987755.4500003</v>
      </c>
      <c r="E623" s="2254">
        <f>ROUND(4898382557.34979,0)</f>
        <v>4898382557</v>
      </c>
      <c r="F623" s="1365">
        <f t="shared" si="424"/>
        <v>7230370312.4500008</v>
      </c>
      <c r="G623" s="1365">
        <f t="shared" si="413"/>
        <v>0.45000076293945313</v>
      </c>
      <c r="H623" s="1368">
        <f t="shared" si="425"/>
        <v>7230370312</v>
      </c>
      <c r="I623" s="1943"/>
      <c r="J623" s="1368"/>
      <c r="K623" s="1943"/>
      <c r="L623" s="1368"/>
      <c r="M623" s="1368">
        <f t="shared" si="426"/>
        <v>7230370312</v>
      </c>
      <c r="N623" s="1967"/>
      <c r="O623" s="1057"/>
      <c r="P623" s="1486">
        <f>ROUND(1622489016.64767,0)</f>
        <v>1622489017</v>
      </c>
      <c r="Q623" s="1368">
        <f>ROUND(3683969263.05895,0)</f>
        <v>3683969263</v>
      </c>
      <c r="R623" s="1486">
        <f t="shared" si="427"/>
        <v>5306458280</v>
      </c>
      <c r="S623" s="1487"/>
      <c r="T623" s="1486"/>
      <c r="U623" s="1487"/>
      <c r="V623" s="1486"/>
      <c r="W623" s="1486">
        <f t="shared" si="428"/>
        <v>5306458280</v>
      </c>
      <c r="X623" s="1189"/>
      <c r="Y623" s="225">
        <v>1040987145</v>
      </c>
      <c r="Z623" s="699">
        <v>2166260225</v>
      </c>
      <c r="AA623" s="699">
        <f t="shared" si="429"/>
        <v>3207247370</v>
      </c>
      <c r="AB623" s="617"/>
      <c r="AC623" s="225"/>
      <c r="AD623" s="617"/>
      <c r="AE623" s="225"/>
      <c r="AF623" s="225">
        <f t="shared" si="430"/>
        <v>3207247370</v>
      </c>
      <c r="AG623" s="225"/>
      <c r="AH623" s="208"/>
      <c r="AI623" s="947">
        <v>2107125819</v>
      </c>
      <c r="AJ623" s="947"/>
      <c r="AK623" s="947"/>
      <c r="AL623" s="667"/>
      <c r="AM623" s="14">
        <v>1696263520</v>
      </c>
      <c r="AN623" s="140">
        <v>5368420133</v>
      </c>
      <c r="AO623" s="14">
        <f t="shared" si="431"/>
        <v>7064683653</v>
      </c>
      <c r="AP623" s="437"/>
      <c r="AQ623" s="14"/>
      <c r="AR623" s="437"/>
      <c r="AS623" s="14"/>
      <c r="AT623" s="14">
        <f t="shared" si="432"/>
        <v>7064683653</v>
      </c>
      <c r="AU623" s="37"/>
      <c r="AV623" s="14">
        <v>1157140334</v>
      </c>
      <c r="AW623" s="140">
        <v>2810693347</v>
      </c>
      <c r="AX623" s="14">
        <f t="shared" si="433"/>
        <v>3967833681</v>
      </c>
      <c r="AY623" s="437"/>
      <c r="AZ623" s="14"/>
      <c r="BA623" s="437"/>
      <c r="BB623" s="14"/>
      <c r="BC623" s="14">
        <f t="shared" si="434"/>
        <v>3967833681</v>
      </c>
      <c r="BD623" s="14"/>
      <c r="BE623" s="148"/>
      <c r="BF623" s="284">
        <v>2131609609</v>
      </c>
      <c r="BG623" s="35"/>
      <c r="BH623" s="220">
        <v>7652242238</v>
      </c>
      <c r="BI623" s="94"/>
      <c r="BJ623" s="2146">
        <f>AI623+AI618</f>
        <v>8834794350</v>
      </c>
      <c r="BK623" s="2146">
        <f>M623+M618</f>
        <v>7230370312</v>
      </c>
    </row>
    <row r="624" spans="2:63" s="1" customFormat="1">
      <c r="B624" s="24"/>
      <c r="C624" s="23" t="s">
        <v>913</v>
      </c>
      <c r="D624" s="1368">
        <v>80961375</v>
      </c>
      <c r="E624" s="2254">
        <f>ROUND(411333351.59,0)</f>
        <v>411333352</v>
      </c>
      <c r="F624" s="1365">
        <f t="shared" si="424"/>
        <v>492294727</v>
      </c>
      <c r="G624" s="1365">
        <f t="shared" si="413"/>
        <v>0</v>
      </c>
      <c r="H624" s="1368">
        <f t="shared" si="425"/>
        <v>492294727</v>
      </c>
      <c r="I624" s="1943"/>
      <c r="J624" s="1368"/>
      <c r="K624" s="1943"/>
      <c r="L624" s="1368"/>
      <c r="M624" s="1368">
        <f t="shared" si="426"/>
        <v>492294727</v>
      </c>
      <c r="N624" s="1967"/>
      <c r="O624" s="1057"/>
      <c r="P624" s="1486">
        <v>69677916</v>
      </c>
      <c r="Q624" s="1368">
        <f>ROUND(284862602.4,0)</f>
        <v>284862602</v>
      </c>
      <c r="R624" s="1486">
        <f t="shared" si="427"/>
        <v>354540518</v>
      </c>
      <c r="S624" s="1487"/>
      <c r="T624" s="1486"/>
      <c r="U624" s="1487"/>
      <c r="V624" s="1486"/>
      <c r="W624" s="1486">
        <f t="shared" si="428"/>
        <v>354540518</v>
      </c>
      <c r="X624" s="1189"/>
      <c r="Y624" s="225">
        <v>65814496</v>
      </c>
      <c r="Z624" s="699">
        <v>174405982</v>
      </c>
      <c r="AA624" s="699">
        <f t="shared" si="429"/>
        <v>240220478</v>
      </c>
      <c r="AB624" s="617"/>
      <c r="AC624" s="225"/>
      <c r="AD624" s="617"/>
      <c r="AE624" s="225"/>
      <c r="AF624" s="225">
        <f t="shared" si="430"/>
        <v>240220478</v>
      </c>
      <c r="AG624" s="225"/>
      <c r="AH624" s="208"/>
      <c r="AI624" s="947">
        <v>485436571</v>
      </c>
      <c r="AJ624" s="947"/>
      <c r="AK624" s="947"/>
      <c r="AL624" s="667"/>
      <c r="AM624" s="14">
        <v>18383794</v>
      </c>
      <c r="AN624" s="140">
        <v>301111041</v>
      </c>
      <c r="AO624" s="14">
        <f t="shared" si="431"/>
        <v>319494835</v>
      </c>
      <c r="AP624" s="437"/>
      <c r="AQ624" s="14"/>
      <c r="AR624" s="437"/>
      <c r="AS624" s="14"/>
      <c r="AT624" s="14">
        <f t="shared" si="432"/>
        <v>319494835</v>
      </c>
      <c r="AU624" s="37"/>
      <c r="AV624" s="14">
        <v>16099831</v>
      </c>
      <c r="AW624" s="140">
        <v>244046245</v>
      </c>
      <c r="AX624" s="14">
        <f t="shared" si="433"/>
        <v>260146076</v>
      </c>
      <c r="AY624" s="437"/>
      <c r="AZ624" s="14"/>
      <c r="BA624" s="437"/>
      <c r="BB624" s="14"/>
      <c r="BC624" s="14">
        <f t="shared" si="434"/>
        <v>260146076</v>
      </c>
      <c r="BD624" s="14"/>
      <c r="BE624" s="128"/>
      <c r="BF624" s="284">
        <v>519595040</v>
      </c>
      <c r="BG624" s="37"/>
      <c r="BH624" s="220">
        <v>286000112</v>
      </c>
      <c r="BI624" s="11"/>
    </row>
    <row r="625" spans="2:61" s="1" customFormat="1">
      <c r="B625" s="24"/>
      <c r="C625" s="13" t="s">
        <v>914</v>
      </c>
      <c r="D625" s="1367">
        <v>2728000</v>
      </c>
      <c r="E625" s="2254">
        <v>88851000</v>
      </c>
      <c r="F625" s="1365">
        <f t="shared" si="424"/>
        <v>91579000</v>
      </c>
      <c r="G625" s="1365">
        <f t="shared" si="413"/>
        <v>0</v>
      </c>
      <c r="H625" s="1367">
        <f t="shared" si="425"/>
        <v>91579000</v>
      </c>
      <c r="I625" s="1384"/>
      <c r="J625" s="1367"/>
      <c r="K625" s="1384"/>
      <c r="L625" s="1367"/>
      <c r="M625" s="1367">
        <f t="shared" si="426"/>
        <v>91579000</v>
      </c>
      <c r="N625" s="1967"/>
      <c r="O625" s="1057"/>
      <c r="P625" s="1485">
        <v>2340000</v>
      </c>
      <c r="Q625" s="1367">
        <v>67595000</v>
      </c>
      <c r="R625" s="1485">
        <f t="shared" si="427"/>
        <v>69935000</v>
      </c>
      <c r="S625" s="1481"/>
      <c r="T625" s="1485"/>
      <c r="U625" s="1481"/>
      <c r="V625" s="1485"/>
      <c r="W625" s="1485">
        <f t="shared" si="428"/>
        <v>69935000</v>
      </c>
      <c r="X625" s="1189"/>
      <c r="Y625" s="106">
        <v>1564000</v>
      </c>
      <c r="Z625" s="698">
        <v>47172000</v>
      </c>
      <c r="AA625" s="698">
        <f t="shared" si="429"/>
        <v>48736000</v>
      </c>
      <c r="AB625" s="253"/>
      <c r="AC625" s="106"/>
      <c r="AD625" s="253"/>
      <c r="AE625" s="106"/>
      <c r="AF625" s="106">
        <f t="shared" si="430"/>
        <v>48736000</v>
      </c>
      <c r="AG625" s="106"/>
      <c r="AH625" s="208"/>
      <c r="AI625" s="947">
        <v>67539000</v>
      </c>
      <c r="AJ625" s="947"/>
      <c r="AK625" s="947"/>
      <c r="AL625" s="667"/>
      <c r="AM625" s="14">
        <v>2990000</v>
      </c>
      <c r="AN625" s="140">
        <v>39484000</v>
      </c>
      <c r="AO625" s="14">
        <f t="shared" si="431"/>
        <v>42474000</v>
      </c>
      <c r="AP625" s="437"/>
      <c r="AQ625" s="14"/>
      <c r="AR625" s="437"/>
      <c r="AS625" s="14"/>
      <c r="AT625" s="14">
        <f t="shared" si="432"/>
        <v>42474000</v>
      </c>
      <c r="AU625" s="37"/>
      <c r="AV625" s="14">
        <v>2150000</v>
      </c>
      <c r="AW625" s="140">
        <v>33415000</v>
      </c>
      <c r="AX625" s="14">
        <f t="shared" si="433"/>
        <v>35565000</v>
      </c>
      <c r="AY625" s="437"/>
      <c r="AZ625" s="14"/>
      <c r="BA625" s="437"/>
      <c r="BB625" s="14"/>
      <c r="BC625" s="14">
        <f t="shared" si="434"/>
        <v>35565000</v>
      </c>
      <c r="BD625" s="14"/>
      <c r="BE625" s="128"/>
      <c r="BF625" s="284">
        <v>118409500</v>
      </c>
      <c r="BG625" s="37"/>
      <c r="BH625" s="220">
        <v>92400000</v>
      </c>
      <c r="BI625" s="11"/>
    </row>
    <row r="626" spans="2:61" s="1" customFormat="1">
      <c r="B626" s="24"/>
      <c r="C626" s="13" t="s">
        <v>915</v>
      </c>
      <c r="D626" s="1367">
        <v>3088453537</v>
      </c>
      <c r="E626" s="2254">
        <v>7030646165.6000004</v>
      </c>
      <c r="F626" s="1365">
        <f t="shared" si="424"/>
        <v>10119099702.6</v>
      </c>
      <c r="G626" s="1365">
        <f t="shared" si="413"/>
        <v>-0.39999961853027344</v>
      </c>
      <c r="H626" s="1367">
        <f t="shared" si="425"/>
        <v>10119099703</v>
      </c>
      <c r="I626" s="1384"/>
      <c r="J626" s="1367"/>
      <c r="K626" s="1384"/>
      <c r="L626" s="1367"/>
      <c r="M626" s="1367">
        <f t="shared" si="426"/>
        <v>10119099703</v>
      </c>
      <c r="N626" s="1967"/>
      <c r="O626" s="1057"/>
      <c r="P626" s="1485">
        <v>2153355677</v>
      </c>
      <c r="Q626" s="1367">
        <v>5035653174</v>
      </c>
      <c r="R626" s="1485">
        <f t="shared" si="427"/>
        <v>7189008851</v>
      </c>
      <c r="S626" s="1481"/>
      <c r="T626" s="1485"/>
      <c r="U626" s="1481"/>
      <c r="V626" s="1485"/>
      <c r="W626" s="1485">
        <f t="shared" si="428"/>
        <v>7189008851</v>
      </c>
      <c r="X626" s="1189"/>
      <c r="Y626" s="106">
        <v>1244523750</v>
      </c>
      <c r="Z626" s="698">
        <v>3035375767</v>
      </c>
      <c r="AA626" s="698">
        <f t="shared" si="429"/>
        <v>4279899517</v>
      </c>
      <c r="AB626" s="253"/>
      <c r="AC626" s="106"/>
      <c r="AD626" s="253"/>
      <c r="AE626" s="106"/>
      <c r="AF626" s="106">
        <f t="shared" si="430"/>
        <v>4279899517</v>
      </c>
      <c r="AG626" s="106"/>
      <c r="AH626" s="208"/>
      <c r="AI626" s="947">
        <v>8731633855</v>
      </c>
      <c r="AJ626" s="947"/>
      <c r="AK626" s="947"/>
      <c r="AL626" s="667"/>
      <c r="AM626" s="14">
        <v>2300707763</v>
      </c>
      <c r="AN626" s="140">
        <v>4165253797</v>
      </c>
      <c r="AO626" s="14">
        <f t="shared" si="431"/>
        <v>6465961560</v>
      </c>
      <c r="AP626" s="437"/>
      <c r="AQ626" s="14"/>
      <c r="AR626" s="437"/>
      <c r="AS626" s="14"/>
      <c r="AT626" s="14">
        <f t="shared" si="432"/>
        <v>6465961560</v>
      </c>
      <c r="AU626" s="37"/>
      <c r="AV626" s="14">
        <v>1580026955</v>
      </c>
      <c r="AW626" s="140">
        <v>3037013828</v>
      </c>
      <c r="AX626" s="14">
        <f t="shared" si="433"/>
        <v>4617040783</v>
      </c>
      <c r="AY626" s="437"/>
      <c r="AZ626" s="14"/>
      <c r="BA626" s="437"/>
      <c r="BB626" s="14"/>
      <c r="BC626" s="14">
        <f t="shared" si="434"/>
        <v>4617040783</v>
      </c>
      <c r="BD626" s="14"/>
      <c r="BE626" s="128"/>
      <c r="BF626" s="284">
        <v>11133202440</v>
      </c>
      <c r="BG626" s="37"/>
      <c r="BH626" s="220">
        <v>10893764708</v>
      </c>
      <c r="BI626" s="11"/>
    </row>
    <row r="627" spans="2:61" s="1" customFormat="1">
      <c r="B627" s="24"/>
      <c r="C627" s="13" t="s">
        <v>916</v>
      </c>
      <c r="D627" s="1367">
        <v>64008793</v>
      </c>
      <c r="E627" s="2254">
        <v>51786000</v>
      </c>
      <c r="F627" s="1365">
        <f t="shared" si="424"/>
        <v>115794793</v>
      </c>
      <c r="G627" s="1365">
        <f t="shared" si="413"/>
        <v>0</v>
      </c>
      <c r="H627" s="1367">
        <f t="shared" si="425"/>
        <v>115794793</v>
      </c>
      <c r="I627" s="1384"/>
      <c r="J627" s="1367"/>
      <c r="K627" s="1384"/>
      <c r="L627" s="1367"/>
      <c r="M627" s="1367">
        <f t="shared" si="426"/>
        <v>115794793</v>
      </c>
      <c r="N627" s="1967"/>
      <c r="O627" s="1057"/>
      <c r="P627" s="1485">
        <v>31664255</v>
      </c>
      <c r="Q627" s="1367">
        <v>31444000</v>
      </c>
      <c r="R627" s="1485">
        <f t="shared" si="427"/>
        <v>63108255</v>
      </c>
      <c r="S627" s="1481"/>
      <c r="T627" s="1485"/>
      <c r="U627" s="1481"/>
      <c r="V627" s="1485"/>
      <c r="W627" s="1485">
        <f t="shared" si="428"/>
        <v>63108255</v>
      </c>
      <c r="X627" s="1189"/>
      <c r="Y627" s="106">
        <v>17150817</v>
      </c>
      <c r="Z627" s="698">
        <v>51716000</v>
      </c>
      <c r="AA627" s="698">
        <f t="shared" si="429"/>
        <v>68866817</v>
      </c>
      <c r="AB627" s="253"/>
      <c r="AC627" s="106"/>
      <c r="AD627" s="253"/>
      <c r="AE627" s="106"/>
      <c r="AF627" s="106">
        <f t="shared" si="430"/>
        <v>68866817</v>
      </c>
      <c r="AG627" s="106"/>
      <c r="AH627" s="208"/>
      <c r="AI627" s="947">
        <v>169543950</v>
      </c>
      <c r="AJ627" s="947"/>
      <c r="AK627" s="947"/>
      <c r="AL627" s="667"/>
      <c r="AM627" s="14">
        <v>122076750</v>
      </c>
      <c r="AN627" s="140">
        <v>26250855</v>
      </c>
      <c r="AO627" s="14">
        <f t="shared" si="431"/>
        <v>148327605</v>
      </c>
      <c r="AP627" s="437"/>
      <c r="AQ627" s="14"/>
      <c r="AR627" s="437"/>
      <c r="AS627" s="14"/>
      <c r="AT627" s="14">
        <f t="shared" si="432"/>
        <v>148327605</v>
      </c>
      <c r="AU627" s="37"/>
      <c r="AV627" s="14">
        <v>60181680</v>
      </c>
      <c r="AW627" s="140">
        <v>18265855</v>
      </c>
      <c r="AX627" s="14">
        <f t="shared" si="433"/>
        <v>78447535</v>
      </c>
      <c r="AY627" s="437"/>
      <c r="AZ627" s="14"/>
      <c r="BA627" s="437"/>
      <c r="BB627" s="14"/>
      <c r="BC627" s="14">
        <f t="shared" si="434"/>
        <v>78447535</v>
      </c>
      <c r="BD627" s="14"/>
      <c r="BE627" s="128"/>
      <c r="BF627" s="284">
        <v>68340339</v>
      </c>
      <c r="BG627" s="37"/>
      <c r="BH627" s="220">
        <v>46495641</v>
      </c>
      <c r="BI627" s="11"/>
    </row>
    <row r="628" spans="2:61" s="1" customFormat="1">
      <c r="B628" s="24" t="s">
        <v>407</v>
      </c>
      <c r="C628" s="13" t="s">
        <v>917</v>
      </c>
      <c r="D628" s="1367"/>
      <c r="E628" s="2254">
        <v>12258700</v>
      </c>
      <c r="F628" s="1365">
        <f t="shared" si="424"/>
        <v>12258700</v>
      </c>
      <c r="G628" s="1365">
        <f t="shared" si="413"/>
        <v>0</v>
      </c>
      <c r="H628" s="1367">
        <f t="shared" si="425"/>
        <v>12258700</v>
      </c>
      <c r="I628" s="1384"/>
      <c r="J628" s="1367"/>
      <c r="K628" s="1384"/>
      <c r="L628" s="1367"/>
      <c r="M628" s="1367">
        <f t="shared" si="426"/>
        <v>12258700</v>
      </c>
      <c r="N628" s="1967"/>
      <c r="O628" s="1057"/>
      <c r="P628" s="1485"/>
      <c r="Q628" s="1367">
        <v>11431700</v>
      </c>
      <c r="R628" s="1485">
        <f t="shared" si="427"/>
        <v>11431700</v>
      </c>
      <c r="S628" s="1481"/>
      <c r="T628" s="1485"/>
      <c r="U628" s="1481"/>
      <c r="V628" s="1485"/>
      <c r="W628" s="1485">
        <f t="shared" si="428"/>
        <v>11431700</v>
      </c>
      <c r="X628" s="1189"/>
      <c r="Y628" s="106">
        <v>0</v>
      </c>
      <c r="Z628" s="698">
        <v>4676500</v>
      </c>
      <c r="AA628" s="698">
        <f t="shared" si="429"/>
        <v>4676500</v>
      </c>
      <c r="AB628" s="253"/>
      <c r="AC628" s="106"/>
      <c r="AD628" s="253"/>
      <c r="AE628" s="106"/>
      <c r="AF628" s="106">
        <f t="shared" si="430"/>
        <v>4676500</v>
      </c>
      <c r="AG628" s="106"/>
      <c r="AH628" s="208"/>
      <c r="AI628" s="947">
        <v>5107800</v>
      </c>
      <c r="AJ628" s="947"/>
      <c r="AK628" s="947"/>
      <c r="AL628" s="667"/>
      <c r="AM628" s="14"/>
      <c r="AN628" s="140">
        <v>3079200</v>
      </c>
      <c r="AO628" s="14">
        <f t="shared" si="431"/>
        <v>3079200</v>
      </c>
      <c r="AP628" s="437"/>
      <c r="AQ628" s="14"/>
      <c r="AR628" s="437"/>
      <c r="AS628" s="14"/>
      <c r="AT628" s="14">
        <f t="shared" si="432"/>
        <v>3079200</v>
      </c>
      <c r="AU628" s="37"/>
      <c r="AV628" s="14"/>
      <c r="AW628" s="140">
        <v>2005900</v>
      </c>
      <c r="AX628" s="14">
        <f t="shared" si="433"/>
        <v>2005900</v>
      </c>
      <c r="AY628" s="437"/>
      <c r="AZ628" s="14"/>
      <c r="BA628" s="437"/>
      <c r="BB628" s="14"/>
      <c r="BC628" s="14">
        <f t="shared" si="434"/>
        <v>2005900</v>
      </c>
      <c r="BD628" s="14"/>
      <c r="BE628" s="128"/>
      <c r="BF628" s="284">
        <v>6035020</v>
      </c>
      <c r="BG628" s="37"/>
      <c r="BH628" s="220">
        <v>3907250</v>
      </c>
      <c r="BI628" s="11"/>
    </row>
    <row r="629" spans="2:61" s="1" customFormat="1">
      <c r="B629" s="24" t="s">
        <v>407</v>
      </c>
      <c r="C629" s="13" t="s">
        <v>918</v>
      </c>
      <c r="D629" s="1367"/>
      <c r="E629" s="2254">
        <v>27214011</v>
      </c>
      <c r="F629" s="1365">
        <f t="shared" si="424"/>
        <v>27214011</v>
      </c>
      <c r="G629" s="1365">
        <f t="shared" si="413"/>
        <v>0</v>
      </c>
      <c r="H629" s="1367">
        <f t="shared" si="425"/>
        <v>27214011</v>
      </c>
      <c r="I629" s="1384"/>
      <c r="J629" s="1367"/>
      <c r="K629" s="1384"/>
      <c r="L629" s="1367"/>
      <c r="M629" s="1367">
        <f t="shared" si="426"/>
        <v>27214011</v>
      </c>
      <c r="N629" s="1967"/>
      <c r="O629" s="1057"/>
      <c r="P629" s="1485"/>
      <c r="Q629" s="1367">
        <v>24662311</v>
      </c>
      <c r="R629" s="1485">
        <f t="shared" si="427"/>
        <v>24662311</v>
      </c>
      <c r="S629" s="1481"/>
      <c r="T629" s="1485"/>
      <c r="U629" s="1481"/>
      <c r="V629" s="1485"/>
      <c r="W629" s="1485">
        <f t="shared" si="428"/>
        <v>24662311</v>
      </c>
      <c r="X629" s="1189"/>
      <c r="Y629" s="106">
        <v>0</v>
      </c>
      <c r="Z629" s="698">
        <v>17558800</v>
      </c>
      <c r="AA629" s="698">
        <f t="shared" si="429"/>
        <v>17558800</v>
      </c>
      <c r="AB629" s="253"/>
      <c r="AC629" s="106"/>
      <c r="AD629" s="253"/>
      <c r="AE629" s="106"/>
      <c r="AF629" s="106">
        <f t="shared" si="430"/>
        <v>17558800</v>
      </c>
      <c r="AG629" s="106"/>
      <c r="AH629" s="208"/>
      <c r="AI629" s="947">
        <v>24358633</v>
      </c>
      <c r="AJ629" s="947"/>
      <c r="AK629" s="947"/>
      <c r="AL629" s="667"/>
      <c r="AM629" s="14"/>
      <c r="AN629" s="140">
        <v>17896433</v>
      </c>
      <c r="AO629" s="14">
        <f t="shared" si="431"/>
        <v>17896433</v>
      </c>
      <c r="AP629" s="437"/>
      <c r="AQ629" s="14"/>
      <c r="AR629" s="437"/>
      <c r="AS629" s="14"/>
      <c r="AT629" s="14">
        <f t="shared" si="432"/>
        <v>17896433</v>
      </c>
      <c r="AU629" s="37"/>
      <c r="AV629" s="14"/>
      <c r="AW629" s="140">
        <v>16623600</v>
      </c>
      <c r="AX629" s="14">
        <f t="shared" si="433"/>
        <v>16623600</v>
      </c>
      <c r="AY629" s="437"/>
      <c r="AZ629" s="14"/>
      <c r="BA629" s="437"/>
      <c r="BB629" s="14"/>
      <c r="BC629" s="14">
        <f t="shared" si="434"/>
        <v>16623600</v>
      </c>
      <c r="BD629" s="14"/>
      <c r="BE629" s="128"/>
      <c r="BF629" s="284">
        <v>79404422</v>
      </c>
      <c r="BG629" s="37"/>
      <c r="BH629" s="220">
        <v>55158245</v>
      </c>
      <c r="BI629" s="11"/>
    </row>
    <row r="630" spans="2:61" s="1" customFormat="1">
      <c r="B630" s="24" t="s">
        <v>407</v>
      </c>
      <c r="C630" s="13" t="s">
        <v>889</v>
      </c>
      <c r="D630" s="1367"/>
      <c r="E630" s="2254">
        <f>ROUND(2109004365.1,0)</f>
        <v>2109004365</v>
      </c>
      <c r="F630" s="1365">
        <f t="shared" si="424"/>
        <v>2109004365</v>
      </c>
      <c r="G630" s="1365">
        <f t="shared" si="413"/>
        <v>0</v>
      </c>
      <c r="H630" s="1367">
        <f t="shared" si="425"/>
        <v>2109004365</v>
      </c>
      <c r="I630" s="1384"/>
      <c r="J630" s="1367"/>
      <c r="K630" s="1384"/>
      <c r="L630" s="1367"/>
      <c r="M630" s="1367">
        <f t="shared" si="426"/>
        <v>2109004365</v>
      </c>
      <c r="N630" s="1967"/>
      <c r="O630" s="1057"/>
      <c r="P630" s="1485"/>
      <c r="Q630" s="1367">
        <f>ROUND(1605400503.31,0)</f>
        <v>1605400503</v>
      </c>
      <c r="R630" s="1485">
        <f t="shared" si="427"/>
        <v>1605400503</v>
      </c>
      <c r="S630" s="1481"/>
      <c r="T630" s="1485"/>
      <c r="U630" s="1481"/>
      <c r="V630" s="1485"/>
      <c r="W630" s="1485">
        <f t="shared" si="428"/>
        <v>1605400503</v>
      </c>
      <c r="X630" s="1189"/>
      <c r="Y630" s="106">
        <v>0</v>
      </c>
      <c r="Z630" s="698">
        <v>1046857169</v>
      </c>
      <c r="AA630" s="698">
        <f t="shared" si="429"/>
        <v>1046857169</v>
      </c>
      <c r="AB630" s="253"/>
      <c r="AC630" s="106"/>
      <c r="AD630" s="253"/>
      <c r="AE630" s="106"/>
      <c r="AF630" s="106">
        <f t="shared" si="430"/>
        <v>1046857169</v>
      </c>
      <c r="AG630" s="106"/>
      <c r="AH630" s="208"/>
      <c r="AI630" s="947">
        <v>1329172446</v>
      </c>
      <c r="AJ630" s="947"/>
      <c r="AK630" s="947"/>
      <c r="AL630" s="667"/>
      <c r="AM630" s="14"/>
      <c r="AN630" s="140">
        <v>854823295</v>
      </c>
      <c r="AO630" s="14">
        <f t="shared" si="431"/>
        <v>854823295</v>
      </c>
      <c r="AP630" s="437"/>
      <c r="AQ630" s="14"/>
      <c r="AR630" s="437"/>
      <c r="AS630" s="14"/>
      <c r="AT630" s="14">
        <f t="shared" si="432"/>
        <v>854823295</v>
      </c>
      <c r="AU630" s="37"/>
      <c r="AV630" s="14"/>
      <c r="AW630" s="140">
        <v>445443549</v>
      </c>
      <c r="AX630" s="14">
        <f t="shared" si="433"/>
        <v>445443549</v>
      </c>
      <c r="AY630" s="437"/>
      <c r="AZ630" s="14"/>
      <c r="BA630" s="437"/>
      <c r="BB630" s="14"/>
      <c r="BC630" s="14">
        <f t="shared" si="434"/>
        <v>445443549</v>
      </c>
      <c r="BD630" s="14"/>
      <c r="BE630" s="128"/>
      <c r="BF630" s="284">
        <v>1613546016</v>
      </c>
      <c r="BG630" s="37"/>
      <c r="BH630" s="220">
        <v>1358600340</v>
      </c>
      <c r="BI630" s="11"/>
    </row>
    <row r="631" spans="2:61" s="1" customFormat="1">
      <c r="B631" s="24" t="s">
        <v>407</v>
      </c>
      <c r="C631" s="13" t="s">
        <v>919</v>
      </c>
      <c r="D631" s="1367"/>
      <c r="E631" s="2254">
        <v>64532707</v>
      </c>
      <c r="F631" s="1365">
        <f t="shared" si="424"/>
        <v>64532707</v>
      </c>
      <c r="G631" s="1365">
        <f t="shared" si="413"/>
        <v>0</v>
      </c>
      <c r="H631" s="1367">
        <f t="shared" si="425"/>
        <v>64532707</v>
      </c>
      <c r="I631" s="1384"/>
      <c r="J631" s="1367"/>
      <c r="K631" s="1384"/>
      <c r="L631" s="1367"/>
      <c r="M631" s="1367">
        <f t="shared" si="426"/>
        <v>64532707</v>
      </c>
      <c r="N631" s="1967"/>
      <c r="O631" s="1057"/>
      <c r="P631" s="1485"/>
      <c r="Q631" s="1367">
        <v>38036457</v>
      </c>
      <c r="R631" s="1485">
        <f t="shared" si="427"/>
        <v>38036457</v>
      </c>
      <c r="S631" s="1481"/>
      <c r="T631" s="1485"/>
      <c r="U631" s="1481"/>
      <c r="V631" s="1485"/>
      <c r="W631" s="1485">
        <f t="shared" si="428"/>
        <v>38036457</v>
      </c>
      <c r="X631" s="1189"/>
      <c r="Y631" s="106">
        <v>0</v>
      </c>
      <c r="Z631" s="698">
        <v>26275457</v>
      </c>
      <c r="AA631" s="698">
        <f t="shared" si="429"/>
        <v>26275457</v>
      </c>
      <c r="AB631" s="253"/>
      <c r="AC631" s="106"/>
      <c r="AD631" s="253"/>
      <c r="AE631" s="106"/>
      <c r="AF631" s="106">
        <f t="shared" si="430"/>
        <v>26275457</v>
      </c>
      <c r="AG631" s="106"/>
      <c r="AH631" s="208"/>
      <c r="AI631" s="947">
        <v>69993215</v>
      </c>
      <c r="AJ631" s="947"/>
      <c r="AK631" s="947"/>
      <c r="AL631" s="667"/>
      <c r="AM631" s="14"/>
      <c r="AN631" s="140">
        <v>55020940</v>
      </c>
      <c r="AO631" s="14">
        <f t="shared" si="431"/>
        <v>55020940</v>
      </c>
      <c r="AP631" s="437"/>
      <c r="AQ631" s="14"/>
      <c r="AR631" s="437"/>
      <c r="AS631" s="14"/>
      <c r="AT631" s="14">
        <f t="shared" si="432"/>
        <v>55020940</v>
      </c>
      <c r="AU631" s="37"/>
      <c r="AV631" s="14"/>
      <c r="AW631" s="140">
        <v>27024340</v>
      </c>
      <c r="AX631" s="14">
        <f t="shared" si="433"/>
        <v>27024340</v>
      </c>
      <c r="AY631" s="437"/>
      <c r="AZ631" s="14"/>
      <c r="BA631" s="437"/>
      <c r="BB631" s="14"/>
      <c r="BC631" s="14">
        <f t="shared" si="434"/>
        <v>27024340</v>
      </c>
      <c r="BD631" s="14"/>
      <c r="BE631" s="128"/>
      <c r="BF631" s="284">
        <v>40057075</v>
      </c>
      <c r="BG631" s="37"/>
      <c r="BH631" s="220">
        <v>62720913</v>
      </c>
      <c r="BI631" s="11"/>
    </row>
    <row r="632" spans="2:61" s="1" customFormat="1">
      <c r="B632" s="24" t="s">
        <v>407</v>
      </c>
      <c r="C632" s="13" t="s">
        <v>920</v>
      </c>
      <c r="D632" s="1367"/>
      <c r="E632" s="2254">
        <v>290712636</v>
      </c>
      <c r="F632" s="1365">
        <f t="shared" si="424"/>
        <v>290712636</v>
      </c>
      <c r="G632" s="1365">
        <f t="shared" si="413"/>
        <v>0</v>
      </c>
      <c r="H632" s="1367">
        <f t="shared" si="425"/>
        <v>290712636</v>
      </c>
      <c r="I632" s="1384"/>
      <c r="J632" s="1367"/>
      <c r="K632" s="1384"/>
      <c r="L632" s="1367"/>
      <c r="M632" s="1367">
        <f t="shared" si="426"/>
        <v>290712636</v>
      </c>
      <c r="N632" s="1967"/>
      <c r="O632" s="1057"/>
      <c r="P632" s="1485"/>
      <c r="Q632" s="1367">
        <v>146678128</v>
      </c>
      <c r="R632" s="1485">
        <f t="shared" si="427"/>
        <v>146678128</v>
      </c>
      <c r="S632" s="1481"/>
      <c r="T632" s="1485"/>
      <c r="U632" s="1481"/>
      <c r="V632" s="1485"/>
      <c r="W632" s="1485">
        <f t="shared" si="428"/>
        <v>146678128</v>
      </c>
      <c r="X632" s="1189"/>
      <c r="Y632" s="106">
        <v>0</v>
      </c>
      <c r="Z632" s="698">
        <v>62532287</v>
      </c>
      <c r="AA632" s="698">
        <f t="shared" si="429"/>
        <v>62532287</v>
      </c>
      <c r="AB632" s="253"/>
      <c r="AC632" s="106"/>
      <c r="AD632" s="253"/>
      <c r="AE632" s="106"/>
      <c r="AF632" s="106">
        <f t="shared" si="430"/>
        <v>62532287</v>
      </c>
      <c r="AG632" s="106"/>
      <c r="AH632" s="208"/>
      <c r="AI632" s="947">
        <v>205122491</v>
      </c>
      <c r="AJ632" s="947"/>
      <c r="AK632" s="947"/>
      <c r="AL632" s="667"/>
      <c r="AM632" s="14"/>
      <c r="AN632" s="140">
        <v>166340341</v>
      </c>
      <c r="AO632" s="14">
        <f t="shared" si="431"/>
        <v>166340341</v>
      </c>
      <c r="AP632" s="437"/>
      <c r="AQ632" s="14"/>
      <c r="AR632" s="437"/>
      <c r="AS632" s="14"/>
      <c r="AT632" s="14">
        <f t="shared" si="432"/>
        <v>166340341</v>
      </c>
      <c r="AU632" s="37"/>
      <c r="AV632" s="14"/>
      <c r="AW632" s="140">
        <v>116518600</v>
      </c>
      <c r="AX632" s="14">
        <f t="shared" si="433"/>
        <v>116518600</v>
      </c>
      <c r="AY632" s="437"/>
      <c r="AZ632" s="14"/>
      <c r="BA632" s="437"/>
      <c r="BB632" s="14"/>
      <c r="BC632" s="14">
        <f t="shared" si="434"/>
        <v>116518600</v>
      </c>
      <c r="BD632" s="14"/>
      <c r="BE632" s="128"/>
      <c r="BF632" s="284">
        <v>536291810</v>
      </c>
      <c r="BG632" s="37"/>
      <c r="BH632" s="220">
        <v>272677406</v>
      </c>
      <c r="BI632" s="11"/>
    </row>
    <row r="633" spans="2:61" s="1" customFormat="1">
      <c r="B633" s="24" t="s">
        <v>407</v>
      </c>
      <c r="C633" s="13" t="s">
        <v>921</v>
      </c>
      <c r="D633" s="1367"/>
      <c r="E633" s="2254">
        <v>2086587575</v>
      </c>
      <c r="F633" s="1365">
        <f t="shared" si="424"/>
        <v>2086587575</v>
      </c>
      <c r="G633" s="1365">
        <f t="shared" si="413"/>
        <v>0</v>
      </c>
      <c r="H633" s="1367">
        <f t="shared" si="425"/>
        <v>2086587575</v>
      </c>
      <c r="I633" s="1384"/>
      <c r="J633" s="1367"/>
      <c r="K633" s="1384"/>
      <c r="L633" s="1367"/>
      <c r="M633" s="1367">
        <f t="shared" si="426"/>
        <v>2086587575</v>
      </c>
      <c r="N633" s="1967"/>
      <c r="O633" s="1057"/>
      <c r="P633" s="1485"/>
      <c r="Q633" s="1367">
        <v>1330993804</v>
      </c>
      <c r="R633" s="1485">
        <f t="shared" si="427"/>
        <v>1330993804</v>
      </c>
      <c r="S633" s="1481"/>
      <c r="T633" s="1485"/>
      <c r="U633" s="1481"/>
      <c r="V633" s="1485"/>
      <c r="W633" s="1485">
        <f t="shared" si="428"/>
        <v>1330993804</v>
      </c>
      <c r="X633" s="1189"/>
      <c r="Y633" s="106">
        <v>0</v>
      </c>
      <c r="Z633" s="698">
        <v>462669129</v>
      </c>
      <c r="AA633" s="698">
        <f t="shared" si="429"/>
        <v>462669129</v>
      </c>
      <c r="AB633" s="253"/>
      <c r="AC633" s="106"/>
      <c r="AD633" s="253"/>
      <c r="AE633" s="106"/>
      <c r="AF633" s="106">
        <f t="shared" si="430"/>
        <v>462669129</v>
      </c>
      <c r="AG633" s="106"/>
      <c r="AH633" s="208"/>
      <c r="AI633" s="947">
        <v>587806643</v>
      </c>
      <c r="AJ633" s="947"/>
      <c r="AK633" s="947"/>
      <c r="AL633" s="667"/>
      <c r="AM633" s="14"/>
      <c r="AN633" s="140">
        <v>356963445</v>
      </c>
      <c r="AO633" s="14">
        <f t="shared" si="431"/>
        <v>356963445</v>
      </c>
      <c r="AP633" s="437"/>
      <c r="AQ633" s="14"/>
      <c r="AR633" s="437"/>
      <c r="AS633" s="14"/>
      <c r="AT633" s="14">
        <f t="shared" si="432"/>
        <v>356963445</v>
      </c>
      <c r="AU633" s="37"/>
      <c r="AV633" s="14"/>
      <c r="AW633" s="140">
        <v>227530475</v>
      </c>
      <c r="AX633" s="14">
        <f t="shared" si="433"/>
        <v>227530475</v>
      </c>
      <c r="AY633" s="437"/>
      <c r="AZ633" s="14"/>
      <c r="BA633" s="437"/>
      <c r="BB633" s="14"/>
      <c r="BC633" s="14">
        <f t="shared" si="434"/>
        <v>227530475</v>
      </c>
      <c r="BD633" s="14"/>
      <c r="BE633" s="128"/>
      <c r="BF633" s="284">
        <v>1026392222</v>
      </c>
      <c r="BG633" s="37"/>
      <c r="BH633" s="220">
        <v>666721133</v>
      </c>
      <c r="BI633" s="11"/>
    </row>
    <row r="634" spans="2:61" s="1" customFormat="1">
      <c r="B634" s="24" t="s">
        <v>407</v>
      </c>
      <c r="C634" s="13" t="s">
        <v>922</v>
      </c>
      <c r="D634" s="1367"/>
      <c r="E634" s="2254">
        <v>2169900</v>
      </c>
      <c r="F634" s="1365">
        <f t="shared" si="424"/>
        <v>2169900</v>
      </c>
      <c r="G634" s="1365">
        <f t="shared" si="413"/>
        <v>0</v>
      </c>
      <c r="H634" s="1367">
        <f t="shared" si="425"/>
        <v>2169900</v>
      </c>
      <c r="I634" s="1384"/>
      <c r="J634" s="1367"/>
      <c r="K634" s="1384"/>
      <c r="L634" s="1367"/>
      <c r="M634" s="1367">
        <f t="shared" si="426"/>
        <v>2169900</v>
      </c>
      <c r="N634" s="1967"/>
      <c r="O634" s="1057"/>
      <c r="P634" s="1485"/>
      <c r="Q634" s="1367">
        <v>1600900</v>
      </c>
      <c r="R634" s="1485">
        <f t="shared" si="427"/>
        <v>1600900</v>
      </c>
      <c r="S634" s="1481"/>
      <c r="T634" s="1485"/>
      <c r="U634" s="1481"/>
      <c r="V634" s="1485"/>
      <c r="W634" s="1485">
        <f t="shared" si="428"/>
        <v>1600900</v>
      </c>
      <c r="X634" s="1189"/>
      <c r="Y634" s="106">
        <v>0</v>
      </c>
      <c r="Z634" s="698">
        <v>754000</v>
      </c>
      <c r="AA634" s="698">
        <f t="shared" si="429"/>
        <v>754000</v>
      </c>
      <c r="AB634" s="253"/>
      <c r="AC634" s="106"/>
      <c r="AD634" s="253"/>
      <c r="AE634" s="106"/>
      <c r="AF634" s="106">
        <f t="shared" si="430"/>
        <v>754000</v>
      </c>
      <c r="AG634" s="106"/>
      <c r="AH634" s="208"/>
      <c r="AI634" s="947">
        <v>2501200</v>
      </c>
      <c r="AJ634" s="947"/>
      <c r="AK634" s="947"/>
      <c r="AL634" s="667"/>
      <c r="AM634" s="14"/>
      <c r="AN634" s="140">
        <v>2131200</v>
      </c>
      <c r="AO634" s="14">
        <f t="shared" si="431"/>
        <v>2131200</v>
      </c>
      <c r="AP634" s="437"/>
      <c r="AQ634" s="14"/>
      <c r="AR634" s="437"/>
      <c r="AS634" s="14"/>
      <c r="AT634" s="14">
        <f t="shared" si="432"/>
        <v>2131200</v>
      </c>
      <c r="AU634" s="37"/>
      <c r="AV634" s="14"/>
      <c r="AW634" s="140">
        <v>1310000</v>
      </c>
      <c r="AX634" s="14">
        <f t="shared" si="433"/>
        <v>1310000</v>
      </c>
      <c r="AY634" s="437"/>
      <c r="AZ634" s="14"/>
      <c r="BA634" s="437"/>
      <c r="BB634" s="14"/>
      <c r="BC634" s="14">
        <f t="shared" si="434"/>
        <v>1310000</v>
      </c>
      <c r="BD634" s="14"/>
      <c r="BE634" s="128"/>
      <c r="BF634" s="284">
        <v>1020000</v>
      </c>
      <c r="BG634" s="37"/>
      <c r="BH634" s="220">
        <v>1856000</v>
      </c>
      <c r="BI634" s="11"/>
    </row>
    <row r="635" spans="2:61" s="1" customFormat="1">
      <c r="B635" s="24"/>
      <c r="C635" s="13" t="s">
        <v>923</v>
      </c>
      <c r="D635" s="1367">
        <v>123006069</v>
      </c>
      <c r="E635" s="2254">
        <v>473987006</v>
      </c>
      <c r="F635" s="1365">
        <f t="shared" si="424"/>
        <v>596993075</v>
      </c>
      <c r="G635" s="1365">
        <f t="shared" si="413"/>
        <v>0</v>
      </c>
      <c r="H635" s="1367">
        <f t="shared" si="425"/>
        <v>596993075</v>
      </c>
      <c r="I635" s="1384"/>
      <c r="J635" s="1367"/>
      <c r="K635" s="1384"/>
      <c r="L635" s="1367"/>
      <c r="M635" s="1367">
        <f t="shared" si="426"/>
        <v>596993075</v>
      </c>
      <c r="N635" s="1967"/>
      <c r="O635" s="1057"/>
      <c r="P635" s="1485">
        <v>72898009</v>
      </c>
      <c r="Q635" s="1367">
        <v>288741264</v>
      </c>
      <c r="R635" s="1485">
        <f t="shared" si="427"/>
        <v>361639273</v>
      </c>
      <c r="S635" s="1481"/>
      <c r="T635" s="1485"/>
      <c r="U635" s="1481"/>
      <c r="V635" s="1485"/>
      <c r="W635" s="1485">
        <f t="shared" si="428"/>
        <v>361639273</v>
      </c>
      <c r="X635" s="1189"/>
      <c r="Y635" s="106">
        <v>43007255</v>
      </c>
      <c r="Z635" s="698">
        <v>143455770</v>
      </c>
      <c r="AA635" s="698">
        <f t="shared" si="429"/>
        <v>186463025</v>
      </c>
      <c r="AB635" s="253"/>
      <c r="AC635" s="106"/>
      <c r="AD635" s="253"/>
      <c r="AE635" s="106"/>
      <c r="AF635" s="106">
        <f t="shared" si="430"/>
        <v>186463025</v>
      </c>
      <c r="AG635" s="106"/>
      <c r="AH635" s="208"/>
      <c r="AI635" s="947">
        <v>439689777</v>
      </c>
      <c r="AJ635" s="947"/>
      <c r="AK635" s="947"/>
      <c r="AL635" s="667"/>
      <c r="AM635" s="14">
        <v>134103819</v>
      </c>
      <c r="AN635" s="140">
        <v>240958608</v>
      </c>
      <c r="AO635" s="14">
        <f t="shared" si="431"/>
        <v>375062427</v>
      </c>
      <c r="AP635" s="437"/>
      <c r="AQ635" s="14"/>
      <c r="AR635" s="437"/>
      <c r="AS635" s="14"/>
      <c r="AT635" s="14">
        <f t="shared" si="432"/>
        <v>375062427</v>
      </c>
      <c r="AU635" s="37"/>
      <c r="AV635" s="14">
        <v>113860939</v>
      </c>
      <c r="AW635" s="140">
        <v>177331379</v>
      </c>
      <c r="AX635" s="14">
        <f t="shared" si="433"/>
        <v>291192318</v>
      </c>
      <c r="AY635" s="437"/>
      <c r="AZ635" s="14"/>
      <c r="BA635" s="437"/>
      <c r="BB635" s="14"/>
      <c r="BC635" s="14">
        <f t="shared" si="434"/>
        <v>291192318</v>
      </c>
      <c r="BD635" s="14"/>
      <c r="BE635" s="128"/>
      <c r="BF635" s="284">
        <v>576278088</v>
      </c>
      <c r="BG635" s="37"/>
      <c r="BH635" s="220">
        <v>461671594</v>
      </c>
      <c r="BI635" s="11"/>
    </row>
    <row r="636" spans="2:61" s="1" customFormat="1">
      <c r="B636" s="24"/>
      <c r="C636" s="71" t="s">
        <v>288</v>
      </c>
      <c r="D636" s="1367">
        <v>15000000</v>
      </c>
      <c r="E636" s="2255"/>
      <c r="F636" s="1365">
        <f t="shared" si="424"/>
        <v>15000000</v>
      </c>
      <c r="G636" s="1365">
        <f t="shared" si="413"/>
        <v>0</v>
      </c>
      <c r="H636" s="1384">
        <f t="shared" si="425"/>
        <v>15000000</v>
      </c>
      <c r="I636" s="1384"/>
      <c r="J636" s="1384"/>
      <c r="K636" s="1384" t="str">
        <f>'ELIM &amp; CAJE Des 24'!A42</f>
        <v>ELIM 8</v>
      </c>
      <c r="L636" s="1384">
        <f>'ELIM &amp; CAJE Des 24'!I42</f>
        <v>15000000</v>
      </c>
      <c r="M636" s="1384">
        <f t="shared" si="426"/>
        <v>0</v>
      </c>
      <c r="N636" s="612"/>
      <c r="O636" s="1996"/>
      <c r="P636" s="1481"/>
      <c r="Q636" s="1384"/>
      <c r="R636" s="1481">
        <f t="shared" si="427"/>
        <v>0</v>
      </c>
      <c r="S636" s="1481"/>
      <c r="T636" s="1481"/>
      <c r="U636" s="1481"/>
      <c r="V636" s="1481"/>
      <c r="W636" s="1481">
        <f t="shared" si="428"/>
        <v>0</v>
      </c>
      <c r="X636" s="1196"/>
      <c r="Y636" s="253">
        <v>0</v>
      </c>
      <c r="Z636" s="725"/>
      <c r="AA636" s="725">
        <f t="shared" si="429"/>
        <v>0</v>
      </c>
      <c r="AB636" s="253"/>
      <c r="AC636" s="253"/>
      <c r="AD636" s="253"/>
      <c r="AE636" s="253"/>
      <c r="AF636" s="253">
        <f t="shared" si="430"/>
        <v>0</v>
      </c>
      <c r="AG636" s="253"/>
      <c r="AH636" s="254"/>
      <c r="AI636" s="947">
        <v>0</v>
      </c>
      <c r="AJ636" s="947"/>
      <c r="AK636" s="947"/>
      <c r="AL636" s="667"/>
      <c r="AM636" s="14"/>
      <c r="AN636" s="140"/>
      <c r="AO636" s="14">
        <f t="shared" si="431"/>
        <v>0</v>
      </c>
      <c r="AP636" s="437"/>
      <c r="AQ636" s="14"/>
      <c r="AR636" s="437"/>
      <c r="AS636" s="14"/>
      <c r="AT636" s="14">
        <f t="shared" si="432"/>
        <v>0</v>
      </c>
      <c r="AU636" s="37"/>
      <c r="AV636" s="14"/>
      <c r="AW636" s="140"/>
      <c r="AX636" s="14">
        <f t="shared" si="433"/>
        <v>0</v>
      </c>
      <c r="AY636" s="437"/>
      <c r="AZ636" s="14"/>
      <c r="BA636" s="437"/>
      <c r="BB636" s="14"/>
      <c r="BC636" s="14">
        <f t="shared" si="434"/>
        <v>0</v>
      </c>
      <c r="BD636" s="14"/>
      <c r="BE636" s="128"/>
      <c r="BF636" s="284"/>
      <c r="BG636" s="37"/>
      <c r="BH636" s="220"/>
      <c r="BI636" s="11"/>
    </row>
    <row r="637" spans="2:61" s="1" customFormat="1">
      <c r="B637" s="24"/>
      <c r="C637" s="51" t="s">
        <v>924</v>
      </c>
      <c r="D637" s="1384"/>
      <c r="E637" s="2256">
        <v>150000</v>
      </c>
      <c r="F637" s="1365">
        <f t="shared" si="424"/>
        <v>150000</v>
      </c>
      <c r="G637" s="1365">
        <f t="shared" si="413"/>
        <v>0</v>
      </c>
      <c r="H637" s="1367">
        <f t="shared" ref="H637" si="435">ROUND((D637+E637),0)</f>
        <v>150000</v>
      </c>
      <c r="I637" s="1384"/>
      <c r="J637" s="1367"/>
      <c r="K637" s="1384"/>
      <c r="L637" s="1367"/>
      <c r="M637" s="1367">
        <f t="shared" ref="M637" si="436">ROUND((H637+J637-L637),0)</f>
        <v>150000</v>
      </c>
      <c r="N637" s="1967"/>
      <c r="O637" s="1996"/>
      <c r="P637" s="1481"/>
      <c r="Q637" s="1384"/>
      <c r="R637" s="1481"/>
      <c r="S637" s="1481"/>
      <c r="T637" s="1481"/>
      <c r="U637" s="1481"/>
      <c r="V637" s="1481"/>
      <c r="W637" s="1481"/>
      <c r="X637" s="1196"/>
      <c r="Y637" s="253"/>
      <c r="Z637" s="725"/>
      <c r="AA637" s="725"/>
      <c r="AB637" s="253"/>
      <c r="AC637" s="253"/>
      <c r="AD637" s="253"/>
      <c r="AE637" s="253"/>
      <c r="AF637" s="253"/>
      <c r="AG637" s="253"/>
      <c r="AH637" s="254"/>
      <c r="AI637" s="947"/>
      <c r="AJ637" s="947"/>
      <c r="AK637" s="947"/>
      <c r="AL637" s="667"/>
      <c r="AM637" s="14"/>
      <c r="AN637" s="140"/>
      <c r="AO637" s="14"/>
      <c r="AP637" s="437"/>
      <c r="AQ637" s="14"/>
      <c r="AR637" s="437"/>
      <c r="AS637" s="14"/>
      <c r="AT637" s="14"/>
      <c r="AU637" s="37"/>
      <c r="AV637" s="14"/>
      <c r="AW637" s="140"/>
      <c r="AX637" s="14"/>
      <c r="AY637" s="437"/>
      <c r="AZ637" s="14"/>
      <c r="BA637" s="437"/>
      <c r="BB637" s="14"/>
      <c r="BC637" s="14"/>
      <c r="BD637" s="14"/>
      <c r="BE637" s="128"/>
      <c r="BF637" s="284">
        <v>560000</v>
      </c>
      <c r="BG637" s="37"/>
      <c r="BH637" s="220">
        <v>1520000</v>
      </c>
      <c r="BI637" s="11"/>
    </row>
    <row r="638" spans="2:61" s="1" customFormat="1">
      <c r="B638" s="24"/>
      <c r="C638" s="13" t="s">
        <v>925</v>
      </c>
      <c r="D638" s="1367">
        <f>ROUND(3720084779.68,0)</f>
        <v>3720084780</v>
      </c>
      <c r="E638" s="2254">
        <v>2224131482</v>
      </c>
      <c r="F638" s="1365">
        <f t="shared" si="424"/>
        <v>5944216262</v>
      </c>
      <c r="G638" s="1365">
        <f t="shared" si="413"/>
        <v>0</v>
      </c>
      <c r="H638" s="1367">
        <f t="shared" si="425"/>
        <v>5944216262</v>
      </c>
      <c r="I638" s="1384"/>
      <c r="J638" s="1367"/>
      <c r="K638" s="1384"/>
      <c r="L638" s="1367"/>
      <c r="M638" s="1367">
        <f t="shared" si="426"/>
        <v>5944216262</v>
      </c>
      <c r="N638" s="1967"/>
      <c r="O638" s="1057"/>
      <c r="P638" s="1485"/>
      <c r="Q638" s="1367"/>
      <c r="R638" s="1485">
        <f t="shared" si="427"/>
        <v>0</v>
      </c>
      <c r="S638" s="1481"/>
      <c r="T638" s="1485"/>
      <c r="U638" s="1481"/>
      <c r="V638" s="1485"/>
      <c r="W638" s="1485">
        <f t="shared" si="428"/>
        <v>0</v>
      </c>
      <c r="X638" s="1189"/>
      <c r="Y638" s="106">
        <v>0</v>
      </c>
      <c r="Z638" s="698"/>
      <c r="AA638" s="698">
        <f t="shared" si="429"/>
        <v>0</v>
      </c>
      <c r="AB638" s="253"/>
      <c r="AC638" s="106"/>
      <c r="AD638" s="253"/>
      <c r="AE638" s="106"/>
      <c r="AF638" s="106">
        <f t="shared" si="430"/>
        <v>0</v>
      </c>
      <c r="AG638" s="106"/>
      <c r="AH638" s="208"/>
      <c r="AI638" s="947">
        <v>0</v>
      </c>
      <c r="AJ638" s="947"/>
      <c r="AK638" s="947"/>
      <c r="AL638" s="667"/>
      <c r="AM638" s="14"/>
      <c r="AN638" s="14"/>
      <c r="AO638" s="14">
        <f t="shared" si="431"/>
        <v>0</v>
      </c>
      <c r="AP638" s="437"/>
      <c r="AQ638" s="14"/>
      <c r="AR638" s="437"/>
      <c r="AS638" s="14"/>
      <c r="AT638" s="14">
        <f t="shared" si="432"/>
        <v>0</v>
      </c>
      <c r="AU638" s="37"/>
      <c r="AV638" s="14"/>
      <c r="AW638" s="14"/>
      <c r="AX638" s="14">
        <f t="shared" si="433"/>
        <v>0</v>
      </c>
      <c r="AY638" s="437"/>
      <c r="AZ638" s="14"/>
      <c r="BA638" s="437"/>
      <c r="BB638" s="14"/>
      <c r="BC638" s="14">
        <f t="shared" si="434"/>
        <v>0</v>
      </c>
      <c r="BD638" s="14"/>
      <c r="BE638" s="128"/>
      <c r="BF638" s="220">
        <v>0</v>
      </c>
      <c r="BG638" s="37"/>
      <c r="BH638" s="220">
        <v>0</v>
      </c>
      <c r="BI638" s="11"/>
    </row>
    <row r="639" spans="2:61" s="1" customFormat="1">
      <c r="B639" s="27"/>
      <c r="C639" s="19" t="s">
        <v>926</v>
      </c>
      <c r="D639" s="1369">
        <f>SUM(D604:D638)</f>
        <v>18235288418.450001</v>
      </c>
      <c r="E639" s="1369">
        <f>SUM(E604:E638)</f>
        <v>29397659838.029999</v>
      </c>
      <c r="F639" s="1365">
        <f t="shared" si="424"/>
        <v>47632948256.479996</v>
      </c>
      <c r="G639" s="1365">
        <f t="shared" si="413"/>
        <v>0.4799957275390625</v>
      </c>
      <c r="H639" s="1369">
        <f>SUM(H604:H638)</f>
        <v>47632948256</v>
      </c>
      <c r="I639" s="1944"/>
      <c r="J639" s="1369"/>
      <c r="K639" s="1944"/>
      <c r="L639" s="1369"/>
      <c r="M639" s="1369">
        <f>SUM(M604:M638)</f>
        <v>47617948256</v>
      </c>
      <c r="N639" s="226"/>
      <c r="O639" s="1469"/>
      <c r="P639" s="1488">
        <f>SUM(P604:P638)</f>
        <v>10142083152</v>
      </c>
      <c r="Q639" s="1369">
        <f>SUM(Q604:Q638)</f>
        <v>19500530338</v>
      </c>
      <c r="R639" s="1488">
        <f>SUM(R604:R638)</f>
        <v>29642613490</v>
      </c>
      <c r="S639" s="1489"/>
      <c r="T639" s="1488"/>
      <c r="U639" s="1489"/>
      <c r="V639" s="1488"/>
      <c r="W639" s="1488">
        <f>SUM(W604:W638)</f>
        <v>29642613490</v>
      </c>
      <c r="X639" s="1190"/>
      <c r="Y639" s="428">
        <f>SUM(Y604:Y638)</f>
        <v>6104343078</v>
      </c>
      <c r="Z639" s="707">
        <f>SUM(Z604:Z638)</f>
        <v>11447900717</v>
      </c>
      <c r="AA639" s="707">
        <f>SUM(AA604:AA638)</f>
        <v>17552243795</v>
      </c>
      <c r="AB639" s="601"/>
      <c r="AC639" s="223"/>
      <c r="AD639" s="601"/>
      <c r="AE639" s="223"/>
      <c r="AF639" s="428">
        <f>SUM(AF604:AF638)</f>
        <v>17552243795</v>
      </c>
      <c r="AG639" s="428"/>
      <c r="AH639" s="228"/>
      <c r="AI639" s="938">
        <f>SUM(AI604:AI638)</f>
        <v>37204551019</v>
      </c>
      <c r="AJ639" s="938"/>
      <c r="AK639" s="938"/>
      <c r="AL639" s="670"/>
      <c r="AM639" s="428">
        <f>SUM(AM604:AM638)</f>
        <v>11107977968</v>
      </c>
      <c r="AN639" s="428">
        <f>SUM(AN604:AN638)</f>
        <v>17763204488</v>
      </c>
      <c r="AO639" s="428">
        <f>SUM(AO604:AO638)</f>
        <v>28871182456</v>
      </c>
      <c r="AP639" s="762"/>
      <c r="AQ639" s="428"/>
      <c r="AR639" s="762"/>
      <c r="AS639" s="428"/>
      <c r="AT639" s="428">
        <f>SUM(AT604:AT638)</f>
        <v>28871182456</v>
      </c>
      <c r="AU639" s="29"/>
      <c r="AV639" s="428">
        <f>SUM(AV604:AV638)</f>
        <v>8125797486</v>
      </c>
      <c r="AW639" s="428">
        <f>SUM(AW604:AW638)</f>
        <v>12206892331</v>
      </c>
      <c r="AX639" s="428">
        <f>SUM(AX604:AX638)</f>
        <v>20332689817</v>
      </c>
      <c r="AY639" s="762"/>
      <c r="AZ639" s="428"/>
      <c r="BA639" s="762"/>
      <c r="BB639" s="428"/>
      <c r="BC639" s="428">
        <f>SUM(BC604:BC638)</f>
        <v>20332689817</v>
      </c>
      <c r="BD639" s="138"/>
      <c r="BE639" s="28"/>
      <c r="BF639" s="428">
        <f>SUM(BF604:BF638)</f>
        <v>48584853556</v>
      </c>
      <c r="BG639" s="29" t="e">
        <f>#REF!-BF639</f>
        <v>#REF!</v>
      </c>
      <c r="BH639" s="428">
        <f>SUM(BH604:BH638)</f>
        <v>41366823484</v>
      </c>
      <c r="BI639" s="29"/>
    </row>
    <row r="640" spans="2:61" s="1" customFormat="1">
      <c r="B640" s="27"/>
      <c r="C640" s="19" t="s">
        <v>927</v>
      </c>
      <c r="D640" s="1369">
        <f>D565+D572+D601+D639</f>
        <v>149298681409.82001</v>
      </c>
      <c r="E640" s="1369">
        <f>E565+E572+E601+E639</f>
        <v>144671902601.03</v>
      </c>
      <c r="F640" s="1365">
        <f t="shared" si="424"/>
        <v>293970584010.84998</v>
      </c>
      <c r="G640" s="1365">
        <f t="shared" si="413"/>
        <v>-1.1500244140625</v>
      </c>
      <c r="H640" s="1369">
        <f>H565+H572+H601+H639</f>
        <v>293970584012</v>
      </c>
      <c r="I640" s="1944"/>
      <c r="J640" s="1369"/>
      <c r="K640" s="1944"/>
      <c r="L640" s="1369"/>
      <c r="M640" s="1369">
        <f>M565+M572+M601+M639</f>
        <v>246934738866.31</v>
      </c>
      <c r="N640" s="226"/>
      <c r="O640" s="1469">
        <v>237494073710.31</v>
      </c>
      <c r="P640" s="1488">
        <f>P565+P572+P601+P639</f>
        <v>70704786692.440002</v>
      </c>
      <c r="Q640" s="1369">
        <f>Q565+Q572+Q601+Q639</f>
        <v>68939513992</v>
      </c>
      <c r="R640" s="1488">
        <f>R565+R572+R601+R639</f>
        <v>139644300684</v>
      </c>
      <c r="S640" s="1489"/>
      <c r="T640" s="1488"/>
      <c r="U640" s="1489"/>
      <c r="V640" s="1488"/>
      <c r="W640" s="1488">
        <f>W565+W572+W601+W639</f>
        <v>107535872927</v>
      </c>
      <c r="X640" s="1190"/>
      <c r="Y640" s="428">
        <f>Y565+Y572+Y601+Y639</f>
        <v>43840805099</v>
      </c>
      <c r="Z640" s="707">
        <f>Z565+Z572+Z601+Z639</f>
        <v>45172880240</v>
      </c>
      <c r="AA640" s="707">
        <f>AA565+AA572+AA601+AA639</f>
        <v>89013685339</v>
      </c>
      <c r="AB640" s="601"/>
      <c r="AC640" s="223"/>
      <c r="AD640" s="601"/>
      <c r="AE640" s="223"/>
      <c r="AF640" s="428">
        <f>AF565+AF572+AF601+AF639</f>
        <v>69221185606</v>
      </c>
      <c r="AG640" s="428"/>
      <c r="AH640" s="228"/>
      <c r="AI640" s="938">
        <f>AI565+AI572+AI601+AI639</f>
        <v>134214335812</v>
      </c>
      <c r="AJ640" s="938"/>
      <c r="AK640" s="938"/>
      <c r="AL640" s="670"/>
      <c r="AM640" s="428">
        <f>AM565+AM572+AM601+AM639</f>
        <v>119567172509</v>
      </c>
      <c r="AN640" s="428">
        <f>AN565+AN572+AN601+AN639</f>
        <v>60877082443</v>
      </c>
      <c r="AO640" s="428">
        <f>AO565+AO572+AO601+AO639</f>
        <v>180444254952</v>
      </c>
      <c r="AP640" s="762"/>
      <c r="AQ640" s="428"/>
      <c r="AR640" s="762"/>
      <c r="AS640" s="428"/>
      <c r="AT640" s="428">
        <f>AT565+AT572+AT601+AT639</f>
        <v>97141890286</v>
      </c>
      <c r="AU640" s="29"/>
      <c r="AV640" s="428">
        <f>AV565+AV572+AV601+AV639</f>
        <v>90290155168</v>
      </c>
      <c r="AW640" s="428">
        <f>AW565+AW572+AW601+AW639</f>
        <v>51330773343</v>
      </c>
      <c r="AX640" s="428">
        <f>AX565+AX572+AX601+AX639</f>
        <v>141620928511</v>
      </c>
      <c r="AY640" s="762"/>
      <c r="AZ640" s="428"/>
      <c r="BA640" s="762"/>
      <c r="BB640" s="428"/>
      <c r="BC640" s="428">
        <f>BC565+BC572+BC601+BC639</f>
        <v>80614456121</v>
      </c>
      <c r="BD640" s="138"/>
      <c r="BE640" s="28"/>
      <c r="BF640" s="428">
        <f>BF565+BF572+BF601+BF639</f>
        <v>298009655959</v>
      </c>
      <c r="BG640" s="29"/>
      <c r="BH640" s="428">
        <f>BH565+BH572+BH601+BH639</f>
        <v>235513908676</v>
      </c>
      <c r="BI640" s="29"/>
    </row>
    <row r="641" spans="2:61" s="1" customFormat="1">
      <c r="B641" s="62"/>
      <c r="C641" s="62" t="s">
        <v>928</v>
      </c>
      <c r="D641" s="1382">
        <f>D554-D640</f>
        <v>39051020252.369995</v>
      </c>
      <c r="E641" s="1382">
        <f>E554-E640</f>
        <v>36168822939.660004</v>
      </c>
      <c r="F641" s="1365">
        <f t="shared" si="424"/>
        <v>75219843192.029999</v>
      </c>
      <c r="G641" s="1365">
        <f t="shared" si="413"/>
        <v>1.149993896484375</v>
      </c>
      <c r="H641" s="1382">
        <f>H554-H640</f>
        <v>75219843190.880005</v>
      </c>
      <c r="I641" s="1951"/>
      <c r="J641" s="1382"/>
      <c r="K641" s="1951"/>
      <c r="L641" s="1382"/>
      <c r="M641" s="1382">
        <f>M554-M640</f>
        <v>75625474421.76001</v>
      </c>
      <c r="N641" s="2263"/>
      <c r="O641" s="2111">
        <f>M640-O640</f>
        <v>9440665156</v>
      </c>
      <c r="P641" s="1511">
        <f>P554-P640</f>
        <v>29590297673.559998</v>
      </c>
      <c r="Q641" s="1382">
        <f>Q554-Q640</f>
        <v>23142680349</v>
      </c>
      <c r="R641" s="1511">
        <f>R554-R640</f>
        <v>52732978023</v>
      </c>
      <c r="S641" s="1512"/>
      <c r="T641" s="1511"/>
      <c r="U641" s="1512"/>
      <c r="V641" s="1511"/>
      <c r="W641" s="1511">
        <f>W554-W640</f>
        <v>53004626701</v>
      </c>
      <c r="X641" s="1193"/>
      <c r="Y641" s="435">
        <f>Y554-Y640</f>
        <v>22470801589</v>
      </c>
      <c r="Z641" s="723">
        <f>Z554-Z640</f>
        <v>14811345813</v>
      </c>
      <c r="AA641" s="723">
        <f>AA554-AA640</f>
        <v>37282147402</v>
      </c>
      <c r="AB641" s="607"/>
      <c r="AC641" s="249"/>
      <c r="AD641" s="607"/>
      <c r="AE641" s="249"/>
      <c r="AF641" s="435">
        <f>AF554-AF640</f>
        <v>37476164192</v>
      </c>
      <c r="AG641" s="435"/>
      <c r="AH641" s="250"/>
      <c r="AI641" s="940">
        <f>AI554-AI640</f>
        <v>65008458393</v>
      </c>
      <c r="AJ641" s="940"/>
      <c r="AK641" s="940"/>
      <c r="AL641" s="677"/>
      <c r="AM641" s="435">
        <f>AM554-AM640</f>
        <v>26074764611</v>
      </c>
      <c r="AN641" s="435">
        <f>AN554-AN640</f>
        <v>26060249442</v>
      </c>
      <c r="AO641" s="435">
        <f>AO554-AO640</f>
        <v>52135014053</v>
      </c>
      <c r="AP641" s="768"/>
      <c r="AQ641" s="435"/>
      <c r="AR641" s="768"/>
      <c r="AS641" s="435"/>
      <c r="AT641" s="435">
        <f>AT554-AT640</f>
        <v>52632979185</v>
      </c>
      <c r="AU641" s="64"/>
      <c r="AV641" s="435">
        <f>AV554-AV640</f>
        <v>18084563976</v>
      </c>
      <c r="AW641" s="435">
        <f>AW554-AW640</f>
        <v>21308117415</v>
      </c>
      <c r="AX641" s="435">
        <f>AX554-AX640</f>
        <v>39392681391</v>
      </c>
      <c r="AY641" s="768"/>
      <c r="AZ641" s="435"/>
      <c r="BA641" s="768"/>
      <c r="BB641" s="435"/>
      <c r="BC641" s="435">
        <f>BC554-BC640</f>
        <v>39704017371</v>
      </c>
      <c r="BD641" s="1154"/>
      <c r="BE641" s="63"/>
      <c r="BF641" s="435">
        <f>BF554-BF640</f>
        <v>84306620986</v>
      </c>
      <c r="BG641" s="64"/>
      <c r="BH641" s="435">
        <f>BH554-BH640</f>
        <v>68358207395</v>
      </c>
      <c r="BI641" s="64"/>
    </row>
    <row r="642" spans="2:61" s="1" customFormat="1">
      <c r="B642" s="2" t="s">
        <v>929</v>
      </c>
      <c r="C642" s="4"/>
      <c r="D642" s="1365"/>
      <c r="E642" s="1365"/>
      <c r="F642" s="1365">
        <f t="shared" si="424"/>
        <v>0</v>
      </c>
      <c r="G642" s="1365">
        <f t="shared" si="413"/>
        <v>0</v>
      </c>
      <c r="H642" s="1365"/>
      <c r="I642" s="1384"/>
      <c r="J642" s="1365"/>
      <c r="K642" s="1384"/>
      <c r="L642" s="1365"/>
      <c r="M642" s="1365"/>
      <c r="N642" s="2259"/>
      <c r="O642" s="1058"/>
      <c r="P642" s="1482"/>
      <c r="Q642" s="1365"/>
      <c r="R642" s="1482"/>
      <c r="S642" s="1481"/>
      <c r="T642" s="1482"/>
      <c r="U642" s="1481"/>
      <c r="V642" s="1482"/>
      <c r="W642" s="1482"/>
      <c r="X642" s="1187"/>
      <c r="Y642" s="90"/>
      <c r="Z642" s="697"/>
      <c r="AA642" s="697"/>
      <c r="AB642" s="253"/>
      <c r="AC642" s="90"/>
      <c r="AD642" s="253"/>
      <c r="AE642" s="90"/>
      <c r="AF642" s="90"/>
      <c r="AG642" s="90"/>
      <c r="AH642" s="207"/>
      <c r="AI642" s="962"/>
      <c r="AJ642" s="962"/>
      <c r="AK642" s="962"/>
      <c r="AL642" s="673"/>
      <c r="AM642" s="140"/>
      <c r="AN642" s="140"/>
      <c r="AO642" s="140"/>
      <c r="AP642" s="437"/>
      <c r="AQ642" s="140"/>
      <c r="AR642" s="437"/>
      <c r="AS642" s="140"/>
      <c r="AT642" s="140"/>
      <c r="AU642" s="66"/>
      <c r="AV642" s="140"/>
      <c r="AW642" s="140"/>
      <c r="AX642" s="140"/>
      <c r="AY642" s="437"/>
      <c r="AZ642" s="140"/>
      <c r="BA642" s="437"/>
      <c r="BB642" s="140"/>
      <c r="BC642" s="140"/>
      <c r="BD642" s="140"/>
      <c r="BE642" s="40"/>
      <c r="BF642" s="235"/>
      <c r="BG642" s="66"/>
      <c r="BH642" s="235"/>
      <c r="BI642" s="46"/>
    </row>
    <row r="643" spans="2:61" s="41" customFormat="1">
      <c r="B643" s="107" t="s">
        <v>930</v>
      </c>
      <c r="C643" s="108"/>
      <c r="D643" s="1398"/>
      <c r="E643" s="1398"/>
      <c r="F643" s="1365">
        <f t="shared" si="424"/>
        <v>0</v>
      </c>
      <c r="G643" s="1365">
        <f t="shared" si="413"/>
        <v>0</v>
      </c>
      <c r="H643" s="1398"/>
      <c r="I643" s="1960"/>
      <c r="J643" s="1398"/>
      <c r="K643" s="1960"/>
      <c r="L643" s="1398"/>
      <c r="M643" s="1398"/>
      <c r="N643" s="2272"/>
      <c r="O643" s="2012"/>
      <c r="P643" s="1538"/>
      <c r="Q643" s="1398"/>
      <c r="R643" s="1538"/>
      <c r="S643" s="1539"/>
      <c r="T643" s="1538"/>
      <c r="U643" s="1539"/>
      <c r="V643" s="1538"/>
      <c r="W643" s="1538"/>
      <c r="X643" s="1211"/>
      <c r="Y643" s="285"/>
      <c r="Z643" s="743"/>
      <c r="AA643" s="743"/>
      <c r="AB643" s="613"/>
      <c r="AC643" s="285"/>
      <c r="AD643" s="613"/>
      <c r="AE643" s="285"/>
      <c r="AF643" s="285"/>
      <c r="AG643" s="285"/>
      <c r="AH643" s="286"/>
      <c r="AI643" s="963"/>
      <c r="AJ643" s="963"/>
      <c r="AK643" s="963"/>
      <c r="AL643" s="675"/>
      <c r="AM643" s="432"/>
      <c r="AN643" s="432"/>
      <c r="AO643" s="432"/>
      <c r="AP643" s="437"/>
      <c r="AQ643" s="432"/>
      <c r="AR643" s="437"/>
      <c r="AS643" s="432"/>
      <c r="AT643" s="432"/>
      <c r="AU643" s="139"/>
      <c r="AV643" s="432"/>
      <c r="AW643" s="432"/>
      <c r="AX643" s="432"/>
      <c r="AY643" s="437"/>
      <c r="AZ643" s="432"/>
      <c r="BA643" s="437"/>
      <c r="BB643" s="432"/>
      <c r="BC643" s="432"/>
      <c r="BD643" s="432"/>
      <c r="BE643" s="136"/>
      <c r="BF643" s="239"/>
      <c r="BG643" s="139"/>
      <c r="BH643" s="239"/>
      <c r="BI643" s="65"/>
    </row>
    <row r="644" spans="2:61" s="1" customFormat="1">
      <c r="B644" s="30"/>
      <c r="C644" s="109" t="s">
        <v>931</v>
      </c>
      <c r="D644" s="1399">
        <f>ROUND(9137801037.48,0)</f>
        <v>9137801037</v>
      </c>
      <c r="E644" s="2253">
        <v>4672504321</v>
      </c>
      <c r="F644" s="1365">
        <f t="shared" si="424"/>
        <v>13810305358</v>
      </c>
      <c r="G644" s="1365">
        <f t="shared" si="413"/>
        <v>0</v>
      </c>
      <c r="H644" s="1399">
        <f t="shared" ref="H644:H661" si="437">ROUND((D644+E644),0)</f>
        <v>13810305358</v>
      </c>
      <c r="I644" s="1960"/>
      <c r="J644" s="1399"/>
      <c r="K644" s="1960"/>
      <c r="L644" s="1399"/>
      <c r="M644" s="2122">
        <f t="shared" ref="M644:M661" si="438">ROUND((H644+J644-L644),0)</f>
        <v>13810305358</v>
      </c>
      <c r="N644" s="2273"/>
      <c r="O644" s="2013">
        <f>M644/$W$554</f>
        <v>8.6023809506017845E-2</v>
      </c>
      <c r="P644" s="1540">
        <f>ROUND(7381123763.23,0)</f>
        <v>7381123763</v>
      </c>
      <c r="Q644" s="1399">
        <f>ROUND(2790086598.29,0)</f>
        <v>2790086598</v>
      </c>
      <c r="R644" s="1540">
        <f t="shared" ref="R644:R661" si="439">ROUND((P644+Q644),0)</f>
        <v>10171210361</v>
      </c>
      <c r="S644" s="1539"/>
      <c r="T644" s="1540"/>
      <c r="U644" s="1539"/>
      <c r="V644" s="1540"/>
      <c r="W644" s="1399">
        <f t="shared" ref="W644:W661" si="440">ROUND((R644+T644-V644),0)</f>
        <v>10171210361</v>
      </c>
      <c r="X644" s="1601">
        <f>W644/$W$554</f>
        <v>6.3356040279981984E-2</v>
      </c>
      <c r="Y644" s="287">
        <v>6020129246</v>
      </c>
      <c r="Z644" s="744">
        <v>1300889055</v>
      </c>
      <c r="AA644" s="744">
        <f t="shared" ref="AA644:AA661" si="441">ROUND((Y644+Z644),0)</f>
        <v>7321018301</v>
      </c>
      <c r="AB644" s="613"/>
      <c r="AC644" s="287"/>
      <c r="AD644" s="613"/>
      <c r="AE644" s="287"/>
      <c r="AF644" s="287">
        <f t="shared" ref="AF644:AF661" si="442">ROUND((AA644+AC644-AE644),0)</f>
        <v>7321018301</v>
      </c>
      <c r="AG644" s="287"/>
      <c r="AH644" s="288"/>
      <c r="AI644" s="947">
        <v>9853456973</v>
      </c>
      <c r="AJ644" s="947"/>
      <c r="AK644" s="947"/>
      <c r="AL644" s="1603">
        <f>AI644/$AI$554</f>
        <v>4.9459485860141109E-2</v>
      </c>
      <c r="AM644" s="14">
        <v>10791530434</v>
      </c>
      <c r="AN644" s="14">
        <v>2855120391</v>
      </c>
      <c r="AO644" s="14">
        <f t="shared" ref="AO644:AO661" si="443">ROUND((AM644+AN644),0)</f>
        <v>13646650825</v>
      </c>
      <c r="AP644" s="437"/>
      <c r="AQ644" s="14"/>
      <c r="AR644" s="437"/>
      <c r="AS644" s="14"/>
      <c r="AT644" s="14">
        <f t="shared" ref="AT644:AT661" si="444">ROUND((AO644+AQ644-AS644),0)</f>
        <v>13646650825</v>
      </c>
      <c r="AU644" s="37"/>
      <c r="AV644" s="14">
        <v>8820956802</v>
      </c>
      <c r="AW644" s="14">
        <v>2582101071</v>
      </c>
      <c r="AX644" s="14">
        <f t="shared" ref="AX644:AX661" si="445">ROUND((AV644+AW644),0)</f>
        <v>11403057873</v>
      </c>
      <c r="AY644" s="437"/>
      <c r="AZ644" s="14"/>
      <c r="BA644" s="437"/>
      <c r="BB644" s="14"/>
      <c r="BC644" s="14">
        <f t="shared" ref="BC644:BC661" si="446">ROUND((AX644+AZ644-BB644),0)</f>
        <v>11403057873</v>
      </c>
      <c r="BD644" s="14"/>
      <c r="BE644" s="128"/>
      <c r="BF644" s="220">
        <v>17464492090</v>
      </c>
      <c r="BG644" s="37"/>
      <c r="BH644" s="220">
        <v>14343677710</v>
      </c>
      <c r="BI644" s="11"/>
    </row>
    <row r="645" spans="2:61" s="1" customFormat="1">
      <c r="B645" s="30"/>
      <c r="C645" s="109" t="s">
        <v>932</v>
      </c>
      <c r="D645" s="1399">
        <v>130843300</v>
      </c>
      <c r="E645" s="2253">
        <v>12797469</v>
      </c>
      <c r="F645" s="1365">
        <f t="shared" si="424"/>
        <v>143640769</v>
      </c>
      <c r="G645" s="1365">
        <f t="shared" si="413"/>
        <v>0</v>
      </c>
      <c r="H645" s="1399">
        <f t="shared" si="437"/>
        <v>143640769</v>
      </c>
      <c r="I645" s="1960"/>
      <c r="J645" s="1399"/>
      <c r="K645" s="1960"/>
      <c r="L645" s="1399"/>
      <c r="M645" s="2122">
        <f t="shared" si="438"/>
        <v>143640769</v>
      </c>
      <c r="N645" s="2273"/>
      <c r="O645" s="2013">
        <f>M645/$W$554</f>
        <v>8.9473229081035884E-4</v>
      </c>
      <c r="P645" s="1540">
        <v>76968600</v>
      </c>
      <c r="Q645" s="1399">
        <v>12797469</v>
      </c>
      <c r="R645" s="1540">
        <f t="shared" si="439"/>
        <v>89766069</v>
      </c>
      <c r="S645" s="1539"/>
      <c r="T645" s="1540"/>
      <c r="U645" s="1539"/>
      <c r="V645" s="1540"/>
      <c r="W645" s="1605">
        <f t="shared" si="440"/>
        <v>89766069</v>
      </c>
      <c r="X645" s="1601">
        <f>W645/$W$554</f>
        <v>5.5914905714136585E-4</v>
      </c>
      <c r="Y645" s="287">
        <v>76968600</v>
      </c>
      <c r="Z645" s="744">
        <v>12797469</v>
      </c>
      <c r="AA645" s="744">
        <f t="shared" si="441"/>
        <v>89766069</v>
      </c>
      <c r="AB645" s="613"/>
      <c r="AC645" s="287"/>
      <c r="AD645" s="613"/>
      <c r="AE645" s="287"/>
      <c r="AF645" s="287">
        <f t="shared" si="442"/>
        <v>89766069</v>
      </c>
      <c r="AG645" s="287"/>
      <c r="AH645" s="288"/>
      <c r="AI645" s="947">
        <v>1229376113</v>
      </c>
      <c r="AJ645" s="947"/>
      <c r="AK645" s="947"/>
      <c r="AL645" s="1603">
        <f>AI645/$AI$554</f>
        <v>6.1708607085139743E-3</v>
      </c>
      <c r="AM645" s="14">
        <v>611722178</v>
      </c>
      <c r="AN645" s="14">
        <v>135434760</v>
      </c>
      <c r="AO645" s="14">
        <f>ROUND((AM645+AN645),0)</f>
        <v>747156938</v>
      </c>
      <c r="AP645" s="437"/>
      <c r="AQ645" s="14"/>
      <c r="AR645" s="437"/>
      <c r="AS645" s="14"/>
      <c r="AT645" s="14">
        <f t="shared" si="444"/>
        <v>747156938</v>
      </c>
      <c r="AU645" s="37"/>
      <c r="AV645" s="14">
        <v>389595698</v>
      </c>
      <c r="AW645" s="14">
        <v>135434760</v>
      </c>
      <c r="AX645" s="14">
        <f t="shared" si="445"/>
        <v>525030458</v>
      </c>
      <c r="AY645" s="437"/>
      <c r="AZ645" s="14"/>
      <c r="BA645" s="437"/>
      <c r="BB645" s="14"/>
      <c r="BC645" s="14">
        <f t="shared" si="446"/>
        <v>525030458</v>
      </c>
      <c r="BD645" s="14"/>
      <c r="BE645" s="128"/>
      <c r="BF645" s="220">
        <v>1069704241</v>
      </c>
      <c r="BG645" s="37"/>
      <c r="BH645" s="220">
        <v>1456899023</v>
      </c>
      <c r="BI645" s="11"/>
    </row>
    <row r="646" spans="2:61" s="1" customFormat="1">
      <c r="B646" s="30"/>
      <c r="C646" s="109" t="s">
        <v>933</v>
      </c>
      <c r="D646" s="1399">
        <v>0</v>
      </c>
      <c r="E646" s="2253"/>
      <c r="F646" s="1365">
        <f t="shared" si="424"/>
        <v>0</v>
      </c>
      <c r="G646" s="1365">
        <f t="shared" si="413"/>
        <v>0</v>
      </c>
      <c r="H646" s="1399">
        <f t="shared" si="437"/>
        <v>0</v>
      </c>
      <c r="I646" s="1960"/>
      <c r="J646" s="1399"/>
      <c r="K646" s="1960"/>
      <c r="L646" s="1399"/>
      <c r="M646" s="2122">
        <f t="shared" si="438"/>
        <v>0</v>
      </c>
      <c r="N646" s="2273"/>
      <c r="O646" s="2014"/>
      <c r="P646" s="1540"/>
      <c r="Q646" s="1399"/>
      <c r="R646" s="1540">
        <f t="shared" si="439"/>
        <v>0</v>
      </c>
      <c r="S646" s="1539"/>
      <c r="T646" s="1540"/>
      <c r="U646" s="1539"/>
      <c r="V646" s="1540"/>
      <c r="W646" s="1399">
        <f t="shared" si="440"/>
        <v>0</v>
      </c>
      <c r="X646" s="1602"/>
      <c r="Y646" s="287">
        <v>0</v>
      </c>
      <c r="Z646" s="744">
        <v>0</v>
      </c>
      <c r="AA646" s="744">
        <f t="shared" si="441"/>
        <v>0</v>
      </c>
      <c r="AB646" s="613"/>
      <c r="AC646" s="287"/>
      <c r="AD646" s="613"/>
      <c r="AE646" s="287"/>
      <c r="AF646" s="287">
        <f t="shared" si="442"/>
        <v>0</v>
      </c>
      <c r="AG646" s="287"/>
      <c r="AH646" s="288"/>
      <c r="AI646" s="947">
        <v>0</v>
      </c>
      <c r="AJ646" s="947"/>
      <c r="AK646" s="947"/>
      <c r="AL646" s="1604"/>
      <c r="AM646" s="14"/>
      <c r="AN646" s="14"/>
      <c r="AO646" s="14">
        <f t="shared" si="443"/>
        <v>0</v>
      </c>
      <c r="AP646" s="437"/>
      <c r="AQ646" s="14"/>
      <c r="AR646" s="437"/>
      <c r="AS646" s="14"/>
      <c r="AT646" s="14">
        <f t="shared" si="444"/>
        <v>0</v>
      </c>
      <c r="AU646" s="37"/>
      <c r="AV646" s="14"/>
      <c r="AW646" s="14"/>
      <c r="AX646" s="14">
        <f t="shared" si="445"/>
        <v>0</v>
      </c>
      <c r="AY646" s="437"/>
      <c r="AZ646" s="14"/>
      <c r="BA646" s="437"/>
      <c r="BB646" s="14"/>
      <c r="BC646" s="14">
        <f t="shared" si="446"/>
        <v>0</v>
      </c>
      <c r="BD646" s="14"/>
      <c r="BE646" s="128"/>
      <c r="BF646" s="220">
        <v>131326287</v>
      </c>
      <c r="BG646" s="37"/>
      <c r="BH646" s="220">
        <v>345250206</v>
      </c>
      <c r="BI646" s="11"/>
    </row>
    <row r="647" spans="2:61" s="1" customFormat="1">
      <c r="B647" s="30"/>
      <c r="C647" s="109" t="s">
        <v>934</v>
      </c>
      <c r="D647" s="1399">
        <v>158102500</v>
      </c>
      <c r="E647" s="2253">
        <v>170531963</v>
      </c>
      <c r="F647" s="1365">
        <f t="shared" si="424"/>
        <v>328634463</v>
      </c>
      <c r="G647" s="1365">
        <f t="shared" si="413"/>
        <v>0</v>
      </c>
      <c r="H647" s="1399">
        <f t="shared" si="437"/>
        <v>328634463</v>
      </c>
      <c r="I647" s="1960"/>
      <c r="J647" s="1399"/>
      <c r="K647" s="1960"/>
      <c r="L647" s="1399"/>
      <c r="M647" s="2122">
        <f t="shared" si="438"/>
        <v>328634463</v>
      </c>
      <c r="N647" s="2273"/>
      <c r="O647" s="2013">
        <f>M647/$W$554</f>
        <v>2.0470502070287725E-3</v>
      </c>
      <c r="P647" s="1540">
        <v>118426500</v>
      </c>
      <c r="Q647" s="1399">
        <f>ROUND(116590463.49,0)</f>
        <v>116590463</v>
      </c>
      <c r="R647" s="1540">
        <f t="shared" si="439"/>
        <v>235016963</v>
      </c>
      <c r="S647" s="1539"/>
      <c r="T647" s="1540"/>
      <c r="U647" s="1539"/>
      <c r="V647" s="1540"/>
      <c r="W647" s="1399">
        <f t="shared" si="440"/>
        <v>235016963</v>
      </c>
      <c r="X647" s="1601">
        <f>W647/$W$554</f>
        <v>1.4639107486557896E-3</v>
      </c>
      <c r="Y647" s="287">
        <v>70081500</v>
      </c>
      <c r="Z647" s="744">
        <v>69515463</v>
      </c>
      <c r="AA647" s="744">
        <f t="shared" si="441"/>
        <v>139596963</v>
      </c>
      <c r="AB647" s="613"/>
      <c r="AC647" s="287"/>
      <c r="AD647" s="613"/>
      <c r="AE647" s="287"/>
      <c r="AF647" s="287">
        <f t="shared" si="442"/>
        <v>139596963</v>
      </c>
      <c r="AG647" s="287"/>
      <c r="AH647" s="288"/>
      <c r="AI647" s="947">
        <v>383202271</v>
      </c>
      <c r="AJ647" s="947"/>
      <c r="AK647" s="947"/>
      <c r="AL647" s="1603">
        <f t="shared" ref="AL647:AL650" si="447">AI647/$AI$554</f>
        <v>1.9234860776306819E-3</v>
      </c>
      <c r="AM647" s="14">
        <v>148529000</v>
      </c>
      <c r="AN647" s="14">
        <v>145125638</v>
      </c>
      <c r="AO647" s="14">
        <f t="shared" si="443"/>
        <v>293654638</v>
      </c>
      <c r="AP647" s="437"/>
      <c r="AQ647" s="14"/>
      <c r="AR647" s="437"/>
      <c r="AS647" s="14"/>
      <c r="AT647" s="14">
        <f t="shared" si="444"/>
        <v>293654638</v>
      </c>
      <c r="AU647" s="37"/>
      <c r="AV647" s="14">
        <v>72262000</v>
      </c>
      <c r="AW647" s="14">
        <v>101612179</v>
      </c>
      <c r="AX647" s="14">
        <f t="shared" si="445"/>
        <v>173874179</v>
      </c>
      <c r="AY647" s="437"/>
      <c r="AZ647" s="14"/>
      <c r="BA647" s="437"/>
      <c r="BB647" s="14"/>
      <c r="BC647" s="14">
        <f t="shared" si="446"/>
        <v>173874179</v>
      </c>
      <c r="BD647" s="14"/>
      <c r="BE647" s="128"/>
      <c r="BF647" s="220">
        <v>605904981</v>
      </c>
      <c r="BG647" s="37"/>
      <c r="BH647" s="220">
        <v>416435129</v>
      </c>
      <c r="BI647" s="11"/>
    </row>
    <row r="648" spans="2:61" s="1" customFormat="1">
      <c r="B648" s="30"/>
      <c r="C648" s="109" t="s">
        <v>935</v>
      </c>
      <c r="D648" s="1399">
        <v>325461602</v>
      </c>
      <c r="E648" s="2253"/>
      <c r="F648" s="1365">
        <f t="shared" si="424"/>
        <v>325461602</v>
      </c>
      <c r="G648" s="1365">
        <f t="shared" si="413"/>
        <v>0</v>
      </c>
      <c r="H648" s="1399">
        <f t="shared" si="437"/>
        <v>325461602</v>
      </c>
      <c r="I648" s="1960"/>
      <c r="J648" s="1399"/>
      <c r="K648" s="1960"/>
      <c r="L648" s="1399"/>
      <c r="M648" s="2122">
        <f t="shared" si="438"/>
        <v>325461602</v>
      </c>
      <c r="N648" s="2273"/>
      <c r="O648" s="2013">
        <f t="shared" ref="O648:O649" si="448">M648/$W$554</f>
        <v>2.0272865897026024E-3</v>
      </c>
      <c r="P648" s="1540">
        <v>275521602</v>
      </c>
      <c r="Q648" s="1399"/>
      <c r="R648" s="1540">
        <f t="shared" si="439"/>
        <v>275521602</v>
      </c>
      <c r="S648" s="1539"/>
      <c r="T648" s="1540"/>
      <c r="U648" s="1539"/>
      <c r="V648" s="1540"/>
      <c r="W648" s="1399">
        <f t="shared" si="440"/>
        <v>275521602</v>
      </c>
      <c r="X648" s="1601">
        <f t="shared" ref="X648:X660" si="449">W648/$W$554</f>
        <v>1.7162124363536368E-3</v>
      </c>
      <c r="Y648" s="287">
        <v>113224933</v>
      </c>
      <c r="Z648" s="744">
        <v>0</v>
      </c>
      <c r="AA648" s="744">
        <f t="shared" si="441"/>
        <v>113224933</v>
      </c>
      <c r="AB648" s="613"/>
      <c r="AC648" s="287"/>
      <c r="AD648" s="613"/>
      <c r="AE648" s="287"/>
      <c r="AF648" s="287">
        <f t="shared" si="442"/>
        <v>113224933</v>
      </c>
      <c r="AG648" s="287"/>
      <c r="AH648" s="288"/>
      <c r="AI648" s="947">
        <v>254460965</v>
      </c>
      <c r="AJ648" s="947"/>
      <c r="AK648" s="947"/>
      <c r="AL648" s="1603">
        <f t="shared" si="447"/>
        <v>1.2772683267265089E-3</v>
      </c>
      <c r="AM648" s="14">
        <v>207767704</v>
      </c>
      <c r="AN648" s="14"/>
      <c r="AO648" s="14">
        <f t="shared" si="443"/>
        <v>207767704</v>
      </c>
      <c r="AP648" s="437"/>
      <c r="AQ648" s="14"/>
      <c r="AR648" s="437"/>
      <c r="AS648" s="14"/>
      <c r="AT648" s="14">
        <f t="shared" si="444"/>
        <v>207767704</v>
      </c>
      <c r="AU648" s="37"/>
      <c r="AV648" s="14">
        <v>108995422</v>
      </c>
      <c r="AW648" s="14"/>
      <c r="AX648" s="14">
        <f t="shared" si="445"/>
        <v>108995422</v>
      </c>
      <c r="AY648" s="437"/>
      <c r="AZ648" s="14"/>
      <c r="BA648" s="437"/>
      <c r="BB648" s="14"/>
      <c r="BC648" s="14">
        <f t="shared" si="446"/>
        <v>108995422</v>
      </c>
      <c r="BD648" s="14"/>
      <c r="BE648" s="128"/>
      <c r="BF648" s="220">
        <v>204953785</v>
      </c>
      <c r="BG648" s="37"/>
      <c r="BH648" s="220">
        <v>125573501</v>
      </c>
      <c r="BI648" s="11"/>
    </row>
    <row r="649" spans="2:61" s="1" customFormat="1">
      <c r="B649" s="30"/>
      <c r="C649" s="109" t="s">
        <v>936</v>
      </c>
      <c r="D649" s="1399">
        <v>22344010</v>
      </c>
      <c r="E649" s="2253">
        <v>13532230</v>
      </c>
      <c r="F649" s="1365">
        <f t="shared" si="424"/>
        <v>35876240</v>
      </c>
      <c r="G649" s="1365">
        <f t="shared" si="413"/>
        <v>0</v>
      </c>
      <c r="H649" s="1399">
        <f t="shared" si="437"/>
        <v>35876240</v>
      </c>
      <c r="I649" s="1960"/>
      <c r="J649" s="1399"/>
      <c r="K649" s="1960"/>
      <c r="L649" s="1399"/>
      <c r="M649" s="2122">
        <f t="shared" si="438"/>
        <v>35876240</v>
      </c>
      <c r="N649" s="2273"/>
      <c r="O649" s="2013">
        <f t="shared" si="448"/>
        <v>2.2347158556956922E-4</v>
      </c>
      <c r="P649" s="1540">
        <v>15164370</v>
      </c>
      <c r="Q649" s="1399">
        <v>8505520</v>
      </c>
      <c r="R649" s="1540">
        <f t="shared" si="439"/>
        <v>23669890</v>
      </c>
      <c r="S649" s="1539"/>
      <c r="T649" s="1540"/>
      <c r="U649" s="1539"/>
      <c r="V649" s="1540"/>
      <c r="W649" s="1399">
        <f t="shared" si="440"/>
        <v>23669890</v>
      </c>
      <c r="X649" s="1601">
        <f t="shared" si="449"/>
        <v>1.4743874632785629E-4</v>
      </c>
      <c r="Y649" s="287">
        <v>8455980</v>
      </c>
      <c r="Z649" s="744">
        <v>4399720</v>
      </c>
      <c r="AA649" s="744">
        <f t="shared" si="441"/>
        <v>12855700</v>
      </c>
      <c r="AB649" s="613"/>
      <c r="AC649" s="287"/>
      <c r="AD649" s="613"/>
      <c r="AE649" s="287"/>
      <c r="AF649" s="287">
        <f t="shared" si="442"/>
        <v>12855700</v>
      </c>
      <c r="AG649" s="287"/>
      <c r="AH649" s="288"/>
      <c r="AI649" s="947">
        <v>44687370</v>
      </c>
      <c r="AJ649" s="947"/>
      <c r="AK649" s="947"/>
      <c r="AL649" s="1603">
        <f t="shared" si="447"/>
        <v>2.2430851940575009E-4</v>
      </c>
      <c r="AM649" s="14">
        <v>29878940</v>
      </c>
      <c r="AN649" s="1420">
        <v>9630530</v>
      </c>
      <c r="AO649" s="14">
        <f t="shared" si="443"/>
        <v>39509470</v>
      </c>
      <c r="AP649" s="437"/>
      <c r="AQ649" s="14"/>
      <c r="AR649" s="437"/>
      <c r="AS649" s="14"/>
      <c r="AT649" s="14">
        <f t="shared" si="444"/>
        <v>39509470</v>
      </c>
      <c r="AU649" s="37"/>
      <c r="AV649" s="14">
        <v>19542900</v>
      </c>
      <c r="AW649" s="14">
        <v>5964010</v>
      </c>
      <c r="AX649" s="14">
        <f t="shared" si="445"/>
        <v>25506910</v>
      </c>
      <c r="AY649" s="437"/>
      <c r="AZ649" s="14"/>
      <c r="BA649" s="437"/>
      <c r="BB649" s="14"/>
      <c r="BC649" s="14">
        <f t="shared" si="446"/>
        <v>25506910</v>
      </c>
      <c r="BD649" s="14"/>
      <c r="BE649" s="128"/>
      <c r="BF649" s="220">
        <v>57670220</v>
      </c>
      <c r="BG649" s="37"/>
      <c r="BH649" s="220">
        <v>47193770</v>
      </c>
      <c r="BI649" s="11"/>
    </row>
    <row r="650" spans="2:61" s="1" customFormat="1">
      <c r="B650" s="30" t="s">
        <v>407</v>
      </c>
      <c r="C650" s="109" t="s">
        <v>937</v>
      </c>
      <c r="D650" s="1399"/>
      <c r="E650" s="2253"/>
      <c r="F650" s="1365">
        <f t="shared" si="424"/>
        <v>0</v>
      </c>
      <c r="G650" s="1365">
        <f t="shared" si="413"/>
        <v>0</v>
      </c>
      <c r="H650" s="1399">
        <f t="shared" si="437"/>
        <v>0</v>
      </c>
      <c r="I650" s="1960"/>
      <c r="J650" s="1399"/>
      <c r="K650" s="1960"/>
      <c r="L650" s="1399"/>
      <c r="M650" s="2122">
        <f t="shared" si="438"/>
        <v>0</v>
      </c>
      <c r="N650" s="2273"/>
      <c r="O650" s="2014"/>
      <c r="P650" s="1540"/>
      <c r="Q650" s="1399"/>
      <c r="R650" s="1540">
        <f t="shared" si="439"/>
        <v>0</v>
      </c>
      <c r="S650" s="1539"/>
      <c r="T650" s="1540"/>
      <c r="U650" s="1539"/>
      <c r="V650" s="1540"/>
      <c r="W650" s="1399">
        <f t="shared" si="440"/>
        <v>0</v>
      </c>
      <c r="X650" s="1602"/>
      <c r="Y650" s="287">
        <v>0</v>
      </c>
      <c r="Z650" s="744">
        <v>0</v>
      </c>
      <c r="AA650" s="744">
        <f t="shared" si="441"/>
        <v>0</v>
      </c>
      <c r="AB650" s="613"/>
      <c r="AC650" s="287"/>
      <c r="AD650" s="613"/>
      <c r="AE650" s="287"/>
      <c r="AF650" s="287">
        <f t="shared" si="442"/>
        <v>0</v>
      </c>
      <c r="AG650" s="287"/>
      <c r="AH650" s="288"/>
      <c r="AI650" s="947">
        <v>2599453188</v>
      </c>
      <c r="AJ650" s="947"/>
      <c r="AK650" s="947"/>
      <c r="AL650" s="1603">
        <f t="shared" si="447"/>
        <v>1.3047970732330789E-2</v>
      </c>
      <c r="AM650" s="14"/>
      <c r="AN650" s="14"/>
      <c r="AO650" s="14">
        <f t="shared" si="443"/>
        <v>0</v>
      </c>
      <c r="AP650" s="437"/>
      <c r="AQ650" s="14"/>
      <c r="AR650" s="437"/>
      <c r="AS650" s="14"/>
      <c r="AT650" s="14">
        <f t="shared" si="444"/>
        <v>0</v>
      </c>
      <c r="AU650" s="37"/>
      <c r="AV650" s="14"/>
      <c r="AW650" s="14"/>
      <c r="AX650" s="14">
        <f t="shared" si="445"/>
        <v>0</v>
      </c>
      <c r="AY650" s="437"/>
      <c r="AZ650" s="14"/>
      <c r="BA650" s="437"/>
      <c r="BB650" s="14"/>
      <c r="BC650" s="14">
        <f t="shared" si="446"/>
        <v>0</v>
      </c>
      <c r="BD650" s="14"/>
      <c r="BE650" s="128"/>
      <c r="BF650" s="220">
        <v>11969259961</v>
      </c>
      <c r="BG650" s="37"/>
      <c r="BH650" s="220">
        <v>0</v>
      </c>
      <c r="BI650" s="11"/>
    </row>
    <row r="651" spans="2:61" s="1" customFormat="1" ht="29.1">
      <c r="B651" s="30" t="s">
        <v>407</v>
      </c>
      <c r="C651" s="109" t="s">
        <v>938</v>
      </c>
      <c r="D651" s="1399"/>
      <c r="E651" s="2253">
        <v>431769524</v>
      </c>
      <c r="F651" s="1365">
        <f t="shared" si="424"/>
        <v>431769524</v>
      </c>
      <c r="G651" s="1365">
        <f t="shared" si="413"/>
        <v>0</v>
      </c>
      <c r="H651" s="1399">
        <f t="shared" si="437"/>
        <v>431769524</v>
      </c>
      <c r="I651" s="1960"/>
      <c r="J651" s="1399"/>
      <c r="K651" s="1960"/>
      <c r="L651" s="1399"/>
      <c r="M651" s="2122">
        <f t="shared" si="438"/>
        <v>431769524</v>
      </c>
      <c r="N651" s="2273"/>
      <c r="O651" s="2013">
        <f t="shared" ref="O651:O658" si="450">M651/$W$554</f>
        <v>2.6894741513853785E-3</v>
      </c>
      <c r="P651" s="1540"/>
      <c r="Q651" s="1399">
        <v>329647045</v>
      </c>
      <c r="R651" s="1540">
        <f t="shared" si="439"/>
        <v>329647045</v>
      </c>
      <c r="S651" s="1539"/>
      <c r="T651" s="1540"/>
      <c r="U651" s="1539"/>
      <c r="V651" s="1540"/>
      <c r="W651" s="1399">
        <f t="shared" si="440"/>
        <v>329647045</v>
      </c>
      <c r="X651" s="1601">
        <f t="shared" si="449"/>
        <v>2.0533575375923769E-3</v>
      </c>
      <c r="Y651" s="287">
        <v>0</v>
      </c>
      <c r="Z651" s="744">
        <v>175503333</v>
      </c>
      <c r="AA651" s="744">
        <f t="shared" si="441"/>
        <v>175503333</v>
      </c>
      <c r="AB651" s="613"/>
      <c r="AC651" s="287"/>
      <c r="AD651" s="613"/>
      <c r="AE651" s="287"/>
      <c r="AF651" s="287">
        <f t="shared" si="442"/>
        <v>175503333</v>
      </c>
      <c r="AG651" s="287"/>
      <c r="AH651" s="288"/>
      <c r="AI651" s="947">
        <v>342181963</v>
      </c>
      <c r="AJ651" s="947"/>
      <c r="AK651" s="947"/>
      <c r="AL651" s="1603">
        <f>AI651/$AI$554</f>
        <v>1.7175843977366124E-3</v>
      </c>
      <c r="AM651" s="14"/>
      <c r="AN651" s="14">
        <v>295488702</v>
      </c>
      <c r="AO651" s="14">
        <f t="shared" si="443"/>
        <v>295488702</v>
      </c>
      <c r="AP651" s="437"/>
      <c r="AQ651" s="14"/>
      <c r="AR651" s="437"/>
      <c r="AS651" s="14"/>
      <c r="AT651" s="14">
        <f t="shared" si="444"/>
        <v>295488702</v>
      </c>
      <c r="AU651" s="37"/>
      <c r="AV651" s="14"/>
      <c r="AW651" s="14">
        <v>167528389</v>
      </c>
      <c r="AX651" s="14">
        <f t="shared" si="445"/>
        <v>167528389</v>
      </c>
      <c r="AY651" s="437"/>
      <c r="AZ651" s="14"/>
      <c r="BA651" s="437"/>
      <c r="BB651" s="14"/>
      <c r="BC651" s="14">
        <f t="shared" si="446"/>
        <v>167528389</v>
      </c>
      <c r="BD651" s="14"/>
      <c r="BE651" s="128"/>
      <c r="BF651" s="220">
        <v>400659782</v>
      </c>
      <c r="BG651" s="37"/>
      <c r="BH651" s="220">
        <v>329890465</v>
      </c>
      <c r="BI651" s="11"/>
    </row>
    <row r="652" spans="2:61" s="1" customFormat="1">
      <c r="B652" s="30" t="s">
        <v>407</v>
      </c>
      <c r="C652" s="109" t="s">
        <v>939</v>
      </c>
      <c r="D652" s="1399"/>
      <c r="E652" s="2253">
        <v>215633484</v>
      </c>
      <c r="F652" s="1365">
        <f t="shared" si="424"/>
        <v>215633484</v>
      </c>
      <c r="G652" s="1365">
        <f t="shared" si="413"/>
        <v>0</v>
      </c>
      <c r="H652" s="1399">
        <f t="shared" si="437"/>
        <v>215633484</v>
      </c>
      <c r="I652" s="1960"/>
      <c r="J652" s="1399"/>
      <c r="K652" s="1960"/>
      <c r="L652" s="1399"/>
      <c r="M652" s="2122">
        <f t="shared" si="438"/>
        <v>215633484</v>
      </c>
      <c r="N652" s="2273"/>
      <c r="O652" s="2013">
        <f t="shared" si="450"/>
        <v>1.3431718756305104E-3</v>
      </c>
      <c r="P652" s="1540"/>
      <c r="Q652" s="1399">
        <v>36907034</v>
      </c>
      <c r="R652" s="1540">
        <f t="shared" si="439"/>
        <v>36907034</v>
      </c>
      <c r="S652" s="1539"/>
      <c r="T652" s="1540"/>
      <c r="U652" s="1539"/>
      <c r="V652" s="1540"/>
      <c r="W652" s="1399">
        <f t="shared" si="440"/>
        <v>36907034</v>
      </c>
      <c r="X652" s="1601">
        <f t="shared" si="449"/>
        <v>2.2989235791292514E-4</v>
      </c>
      <c r="Y652" s="287">
        <v>0</v>
      </c>
      <c r="Z652" s="744">
        <v>22028419</v>
      </c>
      <c r="AA652" s="744">
        <f t="shared" si="441"/>
        <v>22028419</v>
      </c>
      <c r="AB652" s="613"/>
      <c r="AC652" s="287"/>
      <c r="AD652" s="613"/>
      <c r="AE652" s="287"/>
      <c r="AF652" s="287">
        <f t="shared" si="442"/>
        <v>22028419</v>
      </c>
      <c r="AG652" s="287"/>
      <c r="AH652" s="288"/>
      <c r="AI652" s="947">
        <v>225819577</v>
      </c>
      <c r="AJ652" s="947"/>
      <c r="AK652" s="947"/>
      <c r="AL652" s="1603">
        <f t="shared" ref="AL652:AL659" si="451">AI652/$AI$554</f>
        <v>1.1335027093718601E-3</v>
      </c>
      <c r="AM652" s="14"/>
      <c r="AN652" s="14">
        <v>134407349</v>
      </c>
      <c r="AO652" s="14">
        <f t="shared" si="443"/>
        <v>134407349</v>
      </c>
      <c r="AP652" s="437"/>
      <c r="AQ652" s="14"/>
      <c r="AR652" s="437"/>
      <c r="AS652" s="14"/>
      <c r="AT652" s="14">
        <f t="shared" si="444"/>
        <v>134407349</v>
      </c>
      <c r="AU652" s="37"/>
      <c r="AV652" s="14"/>
      <c r="AW652" s="14">
        <v>92832248</v>
      </c>
      <c r="AX652" s="14">
        <f t="shared" si="445"/>
        <v>92832248</v>
      </c>
      <c r="AY652" s="437"/>
      <c r="AZ652" s="14"/>
      <c r="BA652" s="437"/>
      <c r="BB652" s="14"/>
      <c r="BC652" s="14">
        <f t="shared" si="446"/>
        <v>92832248</v>
      </c>
      <c r="BD652" s="14"/>
      <c r="BE652" s="128"/>
      <c r="BF652" s="220">
        <v>183623438</v>
      </c>
      <c r="BG652" s="37"/>
      <c r="BH652" s="220">
        <v>211439028</v>
      </c>
      <c r="BI652" s="11"/>
    </row>
    <row r="653" spans="2:61" s="1" customFormat="1">
      <c r="B653" s="30"/>
      <c r="C653" s="109" t="s">
        <v>940</v>
      </c>
      <c r="D653" s="1399">
        <v>61172281</v>
      </c>
      <c r="E653" s="2253">
        <v>40799656</v>
      </c>
      <c r="F653" s="1365">
        <f t="shared" si="424"/>
        <v>101971937</v>
      </c>
      <c r="G653" s="1365">
        <f t="shared" si="413"/>
        <v>0</v>
      </c>
      <c r="H653" s="1399">
        <f t="shared" si="437"/>
        <v>101971937</v>
      </c>
      <c r="I653" s="1960"/>
      <c r="J653" s="1399"/>
      <c r="K653" s="1960"/>
      <c r="L653" s="1399"/>
      <c r="M653" s="2122">
        <f t="shared" si="438"/>
        <v>101971937</v>
      </c>
      <c r="N653" s="2273"/>
      <c r="O653" s="2013">
        <f t="shared" si="450"/>
        <v>6.3517889402541134E-4</v>
      </c>
      <c r="P653" s="1540">
        <v>40627257</v>
      </c>
      <c r="Q653" s="1399">
        <v>24761370</v>
      </c>
      <c r="R653" s="1540">
        <f t="shared" si="439"/>
        <v>65388627</v>
      </c>
      <c r="S653" s="1539"/>
      <c r="T653" s="1540"/>
      <c r="U653" s="1539"/>
      <c r="V653" s="1540"/>
      <c r="W653" s="1399">
        <f t="shared" si="440"/>
        <v>65388627</v>
      </c>
      <c r="X653" s="1601">
        <f t="shared" si="449"/>
        <v>4.0730299925262917E-4</v>
      </c>
      <c r="Y653" s="287">
        <v>27420444</v>
      </c>
      <c r="Z653" s="744">
        <v>17222037</v>
      </c>
      <c r="AA653" s="744">
        <f t="shared" si="441"/>
        <v>44642481</v>
      </c>
      <c r="AB653" s="613"/>
      <c r="AC653" s="287"/>
      <c r="AD653" s="613"/>
      <c r="AE653" s="287"/>
      <c r="AF653" s="287">
        <f t="shared" si="442"/>
        <v>44642481</v>
      </c>
      <c r="AG653" s="287"/>
      <c r="AH653" s="288"/>
      <c r="AI653" s="947">
        <v>186833999</v>
      </c>
      <c r="AJ653" s="947"/>
      <c r="AK653" s="947"/>
      <c r="AL653" s="1603">
        <f t="shared" si="451"/>
        <v>9.3781436881036845E-4</v>
      </c>
      <c r="AM653" s="14">
        <v>91621530</v>
      </c>
      <c r="AN653" s="14">
        <v>44817803</v>
      </c>
      <c r="AO653" s="14">
        <f t="shared" si="443"/>
        <v>136439333</v>
      </c>
      <c r="AP653" s="437"/>
      <c r="AQ653" s="14"/>
      <c r="AR653" s="437"/>
      <c r="AS653" s="14"/>
      <c r="AT653" s="14">
        <f t="shared" si="444"/>
        <v>136439333</v>
      </c>
      <c r="AU653" s="37"/>
      <c r="AV653" s="14">
        <v>67289995</v>
      </c>
      <c r="AW653" s="14">
        <v>24265741</v>
      </c>
      <c r="AX653" s="14">
        <f t="shared" si="445"/>
        <v>91555736</v>
      </c>
      <c r="AY653" s="437"/>
      <c r="AZ653" s="14"/>
      <c r="BA653" s="437"/>
      <c r="BB653" s="14"/>
      <c r="BC653" s="14">
        <f t="shared" si="446"/>
        <v>91555736</v>
      </c>
      <c r="BD653" s="14"/>
      <c r="BE653" s="128"/>
      <c r="BF653" s="220">
        <v>213494844</v>
      </c>
      <c r="BG653" s="37"/>
      <c r="BH653" s="220">
        <v>129100270</v>
      </c>
      <c r="BI653" s="11"/>
    </row>
    <row r="654" spans="2:61" s="1" customFormat="1">
      <c r="B654" s="30"/>
      <c r="C654" s="109" t="s">
        <v>941</v>
      </c>
      <c r="D654" s="1399">
        <f>ROUND(398789293.08,0)</f>
        <v>398789293</v>
      </c>
      <c r="E654" s="2253">
        <v>217546958</v>
      </c>
      <c r="F654" s="1365">
        <f t="shared" si="424"/>
        <v>616336251</v>
      </c>
      <c r="G654" s="1365">
        <f t="shared" si="413"/>
        <v>0</v>
      </c>
      <c r="H654" s="1399">
        <f t="shared" si="437"/>
        <v>616336251</v>
      </c>
      <c r="I654" s="1960"/>
      <c r="J654" s="1399"/>
      <c r="K654" s="1960"/>
      <c r="L654" s="1399"/>
      <c r="M654" s="2122">
        <f t="shared" si="438"/>
        <v>616336251</v>
      </c>
      <c r="N654" s="2273"/>
      <c r="O654" s="2013">
        <f t="shared" si="450"/>
        <v>3.8391325081718153E-3</v>
      </c>
      <c r="P654" s="1540">
        <f>ROUND(325003877.67,0)</f>
        <v>325003878</v>
      </c>
      <c r="Q654" s="1399">
        <f>ROUND(156567077.87,0)</f>
        <v>156567078</v>
      </c>
      <c r="R654" s="1540">
        <f t="shared" si="439"/>
        <v>481570956</v>
      </c>
      <c r="S654" s="1539"/>
      <c r="T654" s="1540"/>
      <c r="U654" s="1539"/>
      <c r="V654" s="1540"/>
      <c r="W654" s="1399">
        <f t="shared" si="440"/>
        <v>481570956</v>
      </c>
      <c r="X654" s="1601">
        <f t="shared" si="449"/>
        <v>2.9996851705076468E-3</v>
      </c>
      <c r="Y654" s="287">
        <v>725392925</v>
      </c>
      <c r="Z654" s="744">
        <v>102851811</v>
      </c>
      <c r="AA654" s="744">
        <f t="shared" si="441"/>
        <v>828244736</v>
      </c>
      <c r="AB654" s="613"/>
      <c r="AC654" s="287"/>
      <c r="AD654" s="613"/>
      <c r="AE654" s="287"/>
      <c r="AF654" s="287">
        <f t="shared" si="442"/>
        <v>828244736</v>
      </c>
      <c r="AG654" s="287"/>
      <c r="AH654" s="288"/>
      <c r="AI654" s="947">
        <v>348314071</v>
      </c>
      <c r="AJ654" s="947"/>
      <c r="AK654" s="947"/>
      <c r="AL654" s="1603">
        <f t="shared" si="451"/>
        <v>1.7483645503013339E-3</v>
      </c>
      <c r="AM654" s="14">
        <v>133097587</v>
      </c>
      <c r="AN654" s="14">
        <v>130531754</v>
      </c>
      <c r="AO654" s="14">
        <f t="shared" si="443"/>
        <v>263629341</v>
      </c>
      <c r="AP654" s="437"/>
      <c r="AQ654" s="14"/>
      <c r="AR654" s="437"/>
      <c r="AS654" s="14"/>
      <c r="AT654" s="14">
        <f t="shared" si="444"/>
        <v>263629341</v>
      </c>
      <c r="AU654" s="37"/>
      <c r="AV654" s="14">
        <v>102897677</v>
      </c>
      <c r="AW654" s="14">
        <v>56960444</v>
      </c>
      <c r="AX654" s="14">
        <f t="shared" si="445"/>
        <v>159858121</v>
      </c>
      <c r="AY654" s="437"/>
      <c r="AZ654" s="14"/>
      <c r="BA654" s="437"/>
      <c r="BB654" s="14"/>
      <c r="BC654" s="14">
        <f t="shared" si="446"/>
        <v>159858121</v>
      </c>
      <c r="BD654" s="14"/>
      <c r="BE654" s="37">
        <f>AI654+AI650</f>
        <v>2947767259</v>
      </c>
      <c r="BF654" s="220">
        <v>469607619</v>
      </c>
      <c r="BG654" s="37">
        <f>BF654+BF650</f>
        <v>12438867580</v>
      </c>
      <c r="BH654" s="220">
        <v>8190322782</v>
      </c>
      <c r="BI654" s="11">
        <f>BG654+BG650</f>
        <v>12438867580</v>
      </c>
    </row>
    <row r="655" spans="2:61" s="1" customFormat="1">
      <c r="B655" s="30"/>
      <c r="C655" s="109" t="s">
        <v>942</v>
      </c>
      <c r="D655" s="1399">
        <v>71339220</v>
      </c>
      <c r="E655" s="2253">
        <v>82462482</v>
      </c>
      <c r="F655" s="1365">
        <f t="shared" si="424"/>
        <v>153801702</v>
      </c>
      <c r="G655" s="1365">
        <f t="shared" si="413"/>
        <v>0</v>
      </c>
      <c r="H655" s="1399">
        <f t="shared" si="437"/>
        <v>153801702</v>
      </c>
      <c r="I655" s="1960"/>
      <c r="J655" s="1399"/>
      <c r="K655" s="1960"/>
      <c r="L655" s="1399"/>
      <c r="M655" s="2122">
        <f t="shared" si="438"/>
        <v>153801702</v>
      </c>
      <c r="N655" s="2273"/>
      <c r="O655" s="2013">
        <f t="shared" si="450"/>
        <v>9.5802431384220833E-4</v>
      </c>
      <c r="P655" s="1540">
        <v>16228200</v>
      </c>
      <c r="Q655" s="1399">
        <v>66230202</v>
      </c>
      <c r="R655" s="1540">
        <f t="shared" si="439"/>
        <v>82458402</v>
      </c>
      <c r="S655" s="1539"/>
      <c r="T655" s="1540"/>
      <c r="U655" s="1539"/>
      <c r="V655" s="1540"/>
      <c r="W655" s="1399">
        <f t="shared" si="440"/>
        <v>82458402</v>
      </c>
      <c r="X655" s="1601">
        <f t="shared" si="449"/>
        <v>5.1362990766236761E-4</v>
      </c>
      <c r="Y655" s="287">
        <v>16228200</v>
      </c>
      <c r="Z655" s="744">
        <v>49430082</v>
      </c>
      <c r="AA655" s="744">
        <f t="shared" si="441"/>
        <v>65658282</v>
      </c>
      <c r="AB655" s="613"/>
      <c r="AC655" s="287"/>
      <c r="AD655" s="613"/>
      <c r="AE655" s="287"/>
      <c r="AF655" s="287">
        <f t="shared" si="442"/>
        <v>65658282</v>
      </c>
      <c r="AG655" s="287"/>
      <c r="AH655" s="288"/>
      <c r="AI655" s="947">
        <v>57662760</v>
      </c>
      <c r="AJ655" s="947"/>
      <c r="AK655" s="947"/>
      <c r="AL655" s="1603">
        <f t="shared" si="451"/>
        <v>2.8943856665650968E-4</v>
      </c>
      <c r="AM655" s="14">
        <v>40946661</v>
      </c>
      <c r="AN655" s="14">
        <v>16716099</v>
      </c>
      <c r="AO655" s="14">
        <f t="shared" si="443"/>
        <v>57662760</v>
      </c>
      <c r="AP655" s="437"/>
      <c r="AQ655" s="14"/>
      <c r="AR655" s="437"/>
      <c r="AS655" s="14"/>
      <c r="AT655" s="14">
        <f t="shared" si="444"/>
        <v>57662760</v>
      </c>
      <c r="AU655" s="37"/>
      <c r="AV655" s="14">
        <v>41077100</v>
      </c>
      <c r="AW655" s="14">
        <v>16716099</v>
      </c>
      <c r="AX655" s="14">
        <f t="shared" si="445"/>
        <v>57793199</v>
      </c>
      <c r="AY655" s="437"/>
      <c r="AZ655" s="14"/>
      <c r="BA655" s="437"/>
      <c r="BB655" s="14"/>
      <c r="BC655" s="14">
        <f t="shared" si="446"/>
        <v>57793199</v>
      </c>
      <c r="BD655" s="14"/>
      <c r="BE655" s="128"/>
      <c r="BF655" s="220">
        <v>718602725</v>
      </c>
      <c r="BG655" s="37"/>
      <c r="BH655" s="220">
        <v>637909544</v>
      </c>
      <c r="BI655" s="11"/>
    </row>
    <row r="656" spans="2:61" s="1" customFormat="1">
      <c r="B656" s="30"/>
      <c r="C656" s="109" t="s">
        <v>943</v>
      </c>
      <c r="D656" s="1399">
        <v>9095000</v>
      </c>
      <c r="E656" s="2253">
        <v>1010000</v>
      </c>
      <c r="F656" s="1365">
        <f t="shared" si="424"/>
        <v>10105000</v>
      </c>
      <c r="G656" s="1365">
        <f t="shared" si="413"/>
        <v>0</v>
      </c>
      <c r="H656" s="1399">
        <f t="shared" si="437"/>
        <v>10105000</v>
      </c>
      <c r="I656" s="1960"/>
      <c r="J656" s="1399"/>
      <c r="K656" s="1960"/>
      <c r="L656" s="1399"/>
      <c r="M656" s="2122">
        <f t="shared" si="438"/>
        <v>10105000</v>
      </c>
      <c r="N656" s="2273"/>
      <c r="O656" s="2013">
        <f t="shared" si="450"/>
        <v>6.2943618734307086E-5</v>
      </c>
      <c r="P656" s="1540">
        <v>7750000</v>
      </c>
      <c r="Q656" s="1399">
        <v>590000</v>
      </c>
      <c r="R656" s="1540">
        <f t="shared" si="439"/>
        <v>8340000</v>
      </c>
      <c r="S656" s="1539"/>
      <c r="T656" s="1540"/>
      <c r="U656" s="1539"/>
      <c r="V656" s="1540"/>
      <c r="W656" s="1605">
        <f t="shared" si="440"/>
        <v>8340000</v>
      </c>
      <c r="X656" s="1601">
        <f t="shared" si="449"/>
        <v>5.1949508188433555E-5</v>
      </c>
      <c r="Y656" s="287">
        <v>4805000</v>
      </c>
      <c r="Z656" s="744">
        <v>590000</v>
      </c>
      <c r="AA656" s="744">
        <f t="shared" si="441"/>
        <v>5395000</v>
      </c>
      <c r="AB656" s="613"/>
      <c r="AC656" s="287"/>
      <c r="AD656" s="613"/>
      <c r="AE656" s="287"/>
      <c r="AF656" s="287">
        <f t="shared" si="442"/>
        <v>5395000</v>
      </c>
      <c r="AG656" s="287"/>
      <c r="AH656" s="288"/>
      <c r="AI656" s="947">
        <v>2183123370</v>
      </c>
      <c r="AJ656" s="947"/>
      <c r="AK656" s="947"/>
      <c r="AL656" s="1603">
        <f t="shared" si="451"/>
        <v>1.0958200735572301E-2</v>
      </c>
      <c r="AM656" s="14">
        <v>6140000</v>
      </c>
      <c r="AN656" s="14">
        <v>2173613370</v>
      </c>
      <c r="AO656" s="14">
        <f t="shared" si="443"/>
        <v>2179753370</v>
      </c>
      <c r="AP656" s="437"/>
      <c r="AQ656" s="14"/>
      <c r="AR656" s="437"/>
      <c r="AS656" s="14"/>
      <c r="AT656" s="14">
        <f t="shared" si="444"/>
        <v>2179753370</v>
      </c>
      <c r="AU656" s="37"/>
      <c r="AV656" s="14">
        <v>3280000</v>
      </c>
      <c r="AW656" s="14">
        <v>536637247</v>
      </c>
      <c r="AX656" s="14">
        <f t="shared" si="445"/>
        <v>539917247</v>
      </c>
      <c r="AY656" s="437"/>
      <c r="AZ656" s="14"/>
      <c r="BA656" s="437"/>
      <c r="BB656" s="14"/>
      <c r="BC656" s="14">
        <f t="shared" si="446"/>
        <v>539917247</v>
      </c>
      <c r="BD656" s="14"/>
      <c r="BE656" s="128"/>
      <c r="BF656" s="220">
        <v>20936001</v>
      </c>
      <c r="BG656" s="37"/>
      <c r="BH656" s="220">
        <v>13938175</v>
      </c>
      <c r="BI656" s="11"/>
    </row>
    <row r="657" spans="2:61" s="1" customFormat="1">
      <c r="B657" s="30"/>
      <c r="C657" s="109" t="s">
        <v>944</v>
      </c>
      <c r="D657" s="1399">
        <v>12600000</v>
      </c>
      <c r="E657" s="2253">
        <v>9750000</v>
      </c>
      <c r="F657" s="1365">
        <f t="shared" si="424"/>
        <v>22350000</v>
      </c>
      <c r="G657" s="1365">
        <f t="shared" si="413"/>
        <v>0</v>
      </c>
      <c r="H657" s="1399">
        <f t="shared" si="437"/>
        <v>22350000</v>
      </c>
      <c r="I657" s="1960"/>
      <c r="J657" s="1399"/>
      <c r="K657" s="1960"/>
      <c r="L657" s="1399"/>
      <c r="M657" s="2122">
        <f t="shared" si="438"/>
        <v>22350000</v>
      </c>
      <c r="N657" s="2273"/>
      <c r="O657" s="2013">
        <f t="shared" si="450"/>
        <v>1.392172071956223E-4</v>
      </c>
      <c r="P657" s="1540">
        <v>6300000</v>
      </c>
      <c r="Q657" s="1399">
        <v>4200000</v>
      </c>
      <c r="R657" s="1540">
        <f t="shared" si="439"/>
        <v>10500000</v>
      </c>
      <c r="S657" s="1539"/>
      <c r="T657" s="1540"/>
      <c r="U657" s="1539"/>
      <c r="V657" s="1540"/>
      <c r="W657" s="1399">
        <f t="shared" si="440"/>
        <v>10500000</v>
      </c>
      <c r="X657" s="1601">
        <f t="shared" si="449"/>
        <v>6.540405707176886E-5</v>
      </c>
      <c r="Y657" s="287">
        <v>5400000</v>
      </c>
      <c r="Z657" s="744">
        <v>2700000</v>
      </c>
      <c r="AA657" s="744">
        <f t="shared" si="441"/>
        <v>8100000</v>
      </c>
      <c r="AB657" s="613"/>
      <c r="AC657" s="287"/>
      <c r="AD657" s="613"/>
      <c r="AE657" s="287"/>
      <c r="AF657" s="287">
        <f t="shared" si="442"/>
        <v>8100000</v>
      </c>
      <c r="AG657" s="287"/>
      <c r="AH657" s="288"/>
      <c r="AI657" s="947">
        <v>20100000</v>
      </c>
      <c r="AJ657" s="947"/>
      <c r="AK657" s="947"/>
      <c r="AL657" s="1603">
        <f t="shared" si="451"/>
        <v>1.0089206950544588E-4</v>
      </c>
      <c r="AM657" s="14">
        <v>6450000</v>
      </c>
      <c r="AN657" s="14">
        <v>4050000</v>
      </c>
      <c r="AO657" s="14">
        <f t="shared" si="443"/>
        <v>10500000</v>
      </c>
      <c r="AP657" s="437"/>
      <c r="AQ657" s="14"/>
      <c r="AR657" s="437"/>
      <c r="AS657" s="14"/>
      <c r="AT657" s="14">
        <f t="shared" si="444"/>
        <v>10500000</v>
      </c>
      <c r="AU657" s="37"/>
      <c r="AV657" s="14">
        <v>1500000</v>
      </c>
      <c r="AW657" s="14">
        <v>2400000</v>
      </c>
      <c r="AX657" s="14">
        <f t="shared" si="445"/>
        <v>3900000</v>
      </c>
      <c r="AY657" s="437"/>
      <c r="AZ657" s="14"/>
      <c r="BA657" s="437"/>
      <c r="BB657" s="14"/>
      <c r="BC657" s="14">
        <f t="shared" si="446"/>
        <v>3900000</v>
      </c>
      <c r="BD657" s="14"/>
      <c r="BE657" s="128"/>
      <c r="BF657" s="220">
        <v>284484632</v>
      </c>
      <c r="BG657" s="37"/>
      <c r="BH657" s="220">
        <v>33450000</v>
      </c>
      <c r="BI657" s="11"/>
    </row>
    <row r="658" spans="2:61" s="1" customFormat="1">
      <c r="B658" s="30"/>
      <c r="C658" s="109" t="s">
        <v>945</v>
      </c>
      <c r="D658" s="1399">
        <v>63110969</v>
      </c>
      <c r="E658" s="2253"/>
      <c r="F658" s="1365">
        <f t="shared" si="424"/>
        <v>63110969</v>
      </c>
      <c r="G658" s="1365">
        <f t="shared" ref="G658:G721" si="452">F658-H658</f>
        <v>0</v>
      </c>
      <c r="H658" s="1399">
        <f t="shared" si="437"/>
        <v>63110969</v>
      </c>
      <c r="I658" s="1960"/>
      <c r="J658" s="1399"/>
      <c r="K658" s="1960"/>
      <c r="L658" s="1399"/>
      <c r="M658" s="2122">
        <f t="shared" si="438"/>
        <v>63110969</v>
      </c>
      <c r="N658" s="2273"/>
      <c r="O658" s="2013">
        <f t="shared" si="450"/>
        <v>3.9311556365053671E-4</v>
      </c>
      <c r="P658" s="1540">
        <v>47749920</v>
      </c>
      <c r="Q658" s="1399"/>
      <c r="R658" s="1540">
        <f t="shared" si="439"/>
        <v>47749920</v>
      </c>
      <c r="S658" s="1539"/>
      <c r="T658" s="1540"/>
      <c r="U658" s="1539"/>
      <c r="V658" s="1540"/>
      <c r="W658" s="1399">
        <f t="shared" si="440"/>
        <v>47749920</v>
      </c>
      <c r="X658" s="1601">
        <f t="shared" si="449"/>
        <v>2.9743223741451403E-4</v>
      </c>
      <c r="Y658" s="287">
        <v>40011937</v>
      </c>
      <c r="Z658" s="744">
        <v>0</v>
      </c>
      <c r="AA658" s="744">
        <f t="shared" si="441"/>
        <v>40011937</v>
      </c>
      <c r="AB658" s="613"/>
      <c r="AC658" s="287"/>
      <c r="AD658" s="613"/>
      <c r="AE658" s="287"/>
      <c r="AF658" s="287">
        <f t="shared" si="442"/>
        <v>40011937</v>
      </c>
      <c r="AG658" s="287"/>
      <c r="AH658" s="288"/>
      <c r="AI658" s="947">
        <v>187461273</v>
      </c>
      <c r="AJ658" s="947"/>
      <c r="AK658" s="947"/>
      <c r="AL658" s="1603">
        <f t="shared" si="451"/>
        <v>9.4096297438285396E-4</v>
      </c>
      <c r="AM658" s="14">
        <v>53050186</v>
      </c>
      <c r="AN658" s="14"/>
      <c r="AO658" s="14">
        <f t="shared" si="443"/>
        <v>53050186</v>
      </c>
      <c r="AP658" s="437"/>
      <c r="AQ658" s="14"/>
      <c r="AR658" s="437"/>
      <c r="AS658" s="14"/>
      <c r="AT658" s="14">
        <f t="shared" si="444"/>
        <v>53050186</v>
      </c>
      <c r="AU658" s="37"/>
      <c r="AV658" s="14">
        <v>35725233</v>
      </c>
      <c r="AW658" s="14"/>
      <c r="AX658" s="14">
        <f t="shared" si="445"/>
        <v>35725233</v>
      </c>
      <c r="AY658" s="437"/>
      <c r="AZ658" s="14"/>
      <c r="BA658" s="437"/>
      <c r="BB658" s="14"/>
      <c r="BC658" s="14">
        <f t="shared" si="446"/>
        <v>35725233</v>
      </c>
      <c r="BD658" s="14"/>
      <c r="BE658" s="128"/>
      <c r="BF658" s="220">
        <v>32197750</v>
      </c>
      <c r="BG658" s="37"/>
      <c r="BH658" s="220">
        <v>240062798</v>
      </c>
      <c r="BI658" s="11"/>
    </row>
    <row r="659" spans="2:61" s="1" customFormat="1">
      <c r="B659" s="30" t="s">
        <v>407</v>
      </c>
      <c r="C659" s="110" t="s">
        <v>946</v>
      </c>
      <c r="D659" s="1400"/>
      <c r="E659" s="2253"/>
      <c r="F659" s="1365">
        <f t="shared" si="424"/>
        <v>0</v>
      </c>
      <c r="G659" s="1365">
        <f t="shared" si="452"/>
        <v>0</v>
      </c>
      <c r="H659" s="1400">
        <f t="shared" si="437"/>
        <v>0</v>
      </c>
      <c r="I659" s="1961"/>
      <c r="J659" s="1400"/>
      <c r="K659" s="1961"/>
      <c r="L659" s="1400"/>
      <c r="M659" s="2122">
        <f t="shared" si="438"/>
        <v>0</v>
      </c>
      <c r="N659" s="2273"/>
      <c r="O659" s="2014"/>
      <c r="P659" s="1541"/>
      <c r="Q659" s="1400"/>
      <c r="R659" s="1541">
        <f t="shared" si="439"/>
        <v>0</v>
      </c>
      <c r="S659" s="1542"/>
      <c r="T659" s="1541"/>
      <c r="U659" s="1542"/>
      <c r="V659" s="1541"/>
      <c r="W659" s="1400">
        <f t="shared" si="440"/>
        <v>0</v>
      </c>
      <c r="X659" s="1602"/>
      <c r="Y659" s="289">
        <v>0</v>
      </c>
      <c r="Z659" s="745">
        <v>0</v>
      </c>
      <c r="AA659" s="745">
        <f t="shared" si="441"/>
        <v>0</v>
      </c>
      <c r="AB659" s="624"/>
      <c r="AC659" s="289"/>
      <c r="AD659" s="624"/>
      <c r="AE659" s="289"/>
      <c r="AF659" s="289">
        <f t="shared" si="442"/>
        <v>0</v>
      </c>
      <c r="AG659" s="289"/>
      <c r="AH659" s="288"/>
      <c r="AI659" s="947">
        <v>42591530</v>
      </c>
      <c r="AJ659" s="947"/>
      <c r="AK659" s="947"/>
      <c r="AL659" s="1603">
        <f t="shared" si="451"/>
        <v>2.1378843806483996E-4</v>
      </c>
      <c r="AM659" s="14"/>
      <c r="AN659" s="14">
        <v>42591530</v>
      </c>
      <c r="AO659" s="14">
        <f t="shared" si="443"/>
        <v>42591530</v>
      </c>
      <c r="AP659" s="437"/>
      <c r="AQ659" s="14"/>
      <c r="AR659" s="437"/>
      <c r="AS659" s="14"/>
      <c r="AT659" s="14">
        <f t="shared" si="444"/>
        <v>42591530</v>
      </c>
      <c r="AU659" s="37"/>
      <c r="AV659" s="14"/>
      <c r="AW659" s="14">
        <v>25812810</v>
      </c>
      <c r="AX659" s="14">
        <f t="shared" si="445"/>
        <v>25812810</v>
      </c>
      <c r="AY659" s="437"/>
      <c r="AZ659" s="14"/>
      <c r="BA659" s="437"/>
      <c r="BB659" s="14"/>
      <c r="BC659" s="14">
        <f t="shared" si="446"/>
        <v>25812810</v>
      </c>
      <c r="BD659" s="14"/>
      <c r="BE659" s="128"/>
      <c r="BF659" s="220"/>
      <c r="BG659" s="37"/>
      <c r="BH659" s="220"/>
      <c r="BI659" s="11"/>
    </row>
    <row r="660" spans="2:61" s="1" customFormat="1">
      <c r="B660" s="30"/>
      <c r="C660" s="109" t="s">
        <v>947</v>
      </c>
      <c r="D660" s="1400"/>
      <c r="E660" s="2253"/>
      <c r="F660" s="1365">
        <f t="shared" ref="F660:F723" si="453">D660+E660</f>
        <v>0</v>
      </c>
      <c r="G660" s="1365">
        <f t="shared" si="452"/>
        <v>0</v>
      </c>
      <c r="H660" s="1400">
        <f t="shared" si="437"/>
        <v>0</v>
      </c>
      <c r="I660" s="1961"/>
      <c r="J660" s="1400"/>
      <c r="K660" s="1961"/>
      <c r="L660" s="1400"/>
      <c r="M660" s="2122">
        <f t="shared" si="438"/>
        <v>0</v>
      </c>
      <c r="N660" s="2273"/>
      <c r="O660" s="2013">
        <f t="shared" ref="O660" si="454">M660/$W$554</f>
        <v>0</v>
      </c>
      <c r="P660" s="1541">
        <f>ROUND(1081932570.35,0)</f>
        <v>1081932570</v>
      </c>
      <c r="Q660" s="1400">
        <f>ROUND(510535940.92,0)</f>
        <v>510535941</v>
      </c>
      <c r="R660" s="1541">
        <f t="shared" ref="R660" si="455">ROUND((P660+Q660),0)</f>
        <v>1592468511</v>
      </c>
      <c r="S660" s="1542"/>
      <c r="T660" s="1541"/>
      <c r="U660" s="1542"/>
      <c r="V660" s="1541"/>
      <c r="W660" s="1400">
        <f t="shared" ref="W660" si="456">ROUND((R660+T660-V660),0)</f>
        <v>1592468511</v>
      </c>
      <c r="X660" s="1601">
        <f t="shared" si="449"/>
        <v>9.9194191788989309E-3</v>
      </c>
      <c r="Y660" s="289"/>
      <c r="Z660" s="745"/>
      <c r="AA660" s="745"/>
      <c r="AB660" s="624"/>
      <c r="AC660" s="289"/>
      <c r="AD660" s="624"/>
      <c r="AE660" s="289"/>
      <c r="AF660" s="289"/>
      <c r="AG660" s="289"/>
      <c r="AH660" s="288"/>
      <c r="AI660" s="947"/>
      <c r="AJ660" s="947"/>
      <c r="AK660" s="947"/>
      <c r="AL660" s="667"/>
      <c r="AM660" s="14"/>
      <c r="AN660" s="14"/>
      <c r="AO660" s="14"/>
      <c r="AP660" s="437"/>
      <c r="AQ660" s="14"/>
      <c r="AR660" s="437"/>
      <c r="AS660" s="14"/>
      <c r="AT660" s="14"/>
      <c r="AU660" s="37"/>
      <c r="AV660" s="14"/>
      <c r="AW660" s="14"/>
      <c r="AX660" s="14"/>
      <c r="AY660" s="437"/>
      <c r="AZ660" s="14"/>
      <c r="BA660" s="437"/>
      <c r="BB660" s="14"/>
      <c r="BC660" s="14"/>
      <c r="BD660" s="14"/>
      <c r="BE660" s="128"/>
      <c r="BF660" s="220"/>
      <c r="BG660" s="37"/>
      <c r="BH660" s="220"/>
      <c r="BI660" s="11"/>
    </row>
    <row r="661" spans="2:61" s="1" customFormat="1">
      <c r="B661" s="14"/>
      <c r="C661" s="109" t="s">
        <v>948</v>
      </c>
      <c r="D661" s="1399"/>
      <c r="E661" s="2253"/>
      <c r="F661" s="1365">
        <f t="shared" si="453"/>
        <v>0</v>
      </c>
      <c r="G661" s="1365">
        <f t="shared" si="452"/>
        <v>0</v>
      </c>
      <c r="H661" s="1399">
        <f t="shared" si="437"/>
        <v>0</v>
      </c>
      <c r="I661" s="1960"/>
      <c r="J661" s="1399"/>
      <c r="K661" s="1960"/>
      <c r="L661" s="1399"/>
      <c r="M661" s="2122">
        <f t="shared" si="438"/>
        <v>0</v>
      </c>
      <c r="N661" s="2273"/>
      <c r="O661" s="2014"/>
      <c r="P661" s="1540"/>
      <c r="Q661" s="1399"/>
      <c r="R661" s="1540">
        <f t="shared" si="439"/>
        <v>0</v>
      </c>
      <c r="S661" s="1539"/>
      <c r="T661" s="1540"/>
      <c r="U661" s="1539"/>
      <c r="V661" s="1540"/>
      <c r="W661" s="1540">
        <f t="shared" si="440"/>
        <v>0</v>
      </c>
      <c r="X661" s="1212"/>
      <c r="Y661" s="287">
        <v>0</v>
      </c>
      <c r="Z661" s="744"/>
      <c r="AA661" s="744">
        <f t="shared" si="441"/>
        <v>0</v>
      </c>
      <c r="AB661" s="613"/>
      <c r="AC661" s="287"/>
      <c r="AD661" s="613"/>
      <c r="AE661" s="287"/>
      <c r="AF661" s="287">
        <f t="shared" si="442"/>
        <v>0</v>
      </c>
      <c r="AG661" s="287"/>
      <c r="AH661" s="288"/>
      <c r="AI661" s="947">
        <v>0</v>
      </c>
      <c r="AJ661" s="947"/>
      <c r="AK661" s="947"/>
      <c r="AL661" s="667"/>
      <c r="AM661" s="14"/>
      <c r="AN661" s="14"/>
      <c r="AO661" s="14">
        <f t="shared" si="443"/>
        <v>0</v>
      </c>
      <c r="AP661" s="437"/>
      <c r="AQ661" s="14"/>
      <c r="AR661" s="437"/>
      <c r="AS661" s="14"/>
      <c r="AT661" s="14">
        <f t="shared" si="444"/>
        <v>0</v>
      </c>
      <c r="AU661" s="37"/>
      <c r="AV661" s="14"/>
      <c r="AW661" s="14"/>
      <c r="AX661" s="14">
        <f t="shared" si="445"/>
        <v>0</v>
      </c>
      <c r="AY661" s="437"/>
      <c r="AZ661" s="14"/>
      <c r="BA661" s="437"/>
      <c r="BB661" s="14"/>
      <c r="BC661" s="14">
        <f t="shared" si="446"/>
        <v>0</v>
      </c>
      <c r="BD661" s="14"/>
      <c r="BE661" s="128"/>
      <c r="BF661" s="220">
        <v>0</v>
      </c>
      <c r="BG661" s="37">
        <v>9736452492</v>
      </c>
      <c r="BH661" s="220">
        <v>0</v>
      </c>
      <c r="BI661" s="11"/>
    </row>
    <row r="662" spans="2:61" s="1" customFormat="1">
      <c r="B662" s="27"/>
      <c r="C662" s="19" t="s">
        <v>949</v>
      </c>
      <c r="D662" s="1369">
        <f>SUM(D644:D661)</f>
        <v>10390659212</v>
      </c>
      <c r="E662" s="1369">
        <f>SUM(E644:E661)</f>
        <v>5868338087</v>
      </c>
      <c r="F662" s="1365">
        <f t="shared" si="453"/>
        <v>16258997299</v>
      </c>
      <c r="G662" s="1365">
        <f t="shared" si="452"/>
        <v>0</v>
      </c>
      <c r="H662" s="1369">
        <f>SUM(H644:H661)</f>
        <v>16258997299</v>
      </c>
      <c r="I662" s="1944"/>
      <c r="J662" s="1369"/>
      <c r="K662" s="1944"/>
      <c r="L662" s="1369"/>
      <c r="M662" s="1369">
        <f>SUM(M644:M661)</f>
        <v>16258997299</v>
      </c>
      <c r="N662" s="226"/>
      <c r="O662" s="1469"/>
      <c r="P662" s="1488">
        <f>SUM(P644:P661)</f>
        <v>9392796660</v>
      </c>
      <c r="Q662" s="1369">
        <f>SUM(Q644:Q661)</f>
        <v>4057418720</v>
      </c>
      <c r="R662" s="1488">
        <f>SUM(R644:R661)</f>
        <v>13450215380</v>
      </c>
      <c r="S662" s="1489"/>
      <c r="T662" s="1488"/>
      <c r="U662" s="1489"/>
      <c r="V662" s="1488"/>
      <c r="W662" s="1488">
        <f>SUM(W644:W661)</f>
        <v>13450215380</v>
      </c>
      <c r="X662" s="1190"/>
      <c r="Y662" s="428">
        <f>SUM(Y644:Y661)</f>
        <v>7108118765</v>
      </c>
      <c r="Z662" s="707">
        <f>SUM(Z644:Z661)</f>
        <v>1757927389</v>
      </c>
      <c r="AA662" s="707">
        <f>SUM(AA644:AA661)</f>
        <v>8866046154</v>
      </c>
      <c r="AB662" s="601"/>
      <c r="AC662" s="223"/>
      <c r="AD662" s="601"/>
      <c r="AE662" s="223"/>
      <c r="AF662" s="428">
        <f>SUM(AF644:AF661)</f>
        <v>8866046154</v>
      </c>
      <c r="AG662" s="428"/>
      <c r="AH662" s="228"/>
      <c r="AI662" s="938">
        <f>SUM(AI644:AI661)</f>
        <v>17958725423</v>
      </c>
      <c r="AJ662" s="938"/>
      <c r="AK662" s="938"/>
      <c r="AL662" s="670"/>
      <c r="AM662" s="428">
        <f>SUM(AM644:AM661)</f>
        <v>12120734220</v>
      </c>
      <c r="AN662" s="428">
        <f>SUM(AN644:AN661)</f>
        <v>5987527926</v>
      </c>
      <c r="AO662" s="428">
        <f>SUM(AO644:AO661)</f>
        <v>18108262146</v>
      </c>
      <c r="AP662" s="762"/>
      <c r="AQ662" s="428"/>
      <c r="AR662" s="762"/>
      <c r="AS662" s="428"/>
      <c r="AT662" s="428">
        <f>SUM(AT644:AT661)</f>
        <v>18108262146</v>
      </c>
      <c r="AU662" s="29"/>
      <c r="AV662" s="428">
        <f>SUM(AV644:AV661)</f>
        <v>9663122827</v>
      </c>
      <c r="AW662" s="428">
        <f>SUM(AW644:AW661)</f>
        <v>3748264998</v>
      </c>
      <c r="AX662" s="428">
        <f>SUM(AX644:AX661)</f>
        <v>13411387825</v>
      </c>
      <c r="AY662" s="762"/>
      <c r="AZ662" s="428"/>
      <c r="BA662" s="762"/>
      <c r="BB662" s="428"/>
      <c r="BC662" s="428">
        <f>SUM(BC644:BC661)</f>
        <v>13411387825</v>
      </c>
      <c r="BD662" s="138"/>
      <c r="BE662" s="28"/>
      <c r="BF662" s="428">
        <f>SUM(BF644:BF661)</f>
        <v>33826918356</v>
      </c>
      <c r="BG662" s="29"/>
      <c r="BH662" s="428">
        <f>SUM(BH644:BH661)</f>
        <v>26521142401</v>
      </c>
      <c r="BI662" s="29"/>
    </row>
    <row r="663" spans="2:61" s="1" customFormat="1">
      <c r="B663" s="107" t="s">
        <v>226</v>
      </c>
      <c r="C663" s="109"/>
      <c r="D663" s="1399"/>
      <c r="E663" s="1399"/>
      <c r="F663" s="1365">
        <f t="shared" si="453"/>
        <v>0</v>
      </c>
      <c r="G663" s="1365">
        <f t="shared" si="452"/>
        <v>0</v>
      </c>
      <c r="H663" s="1399"/>
      <c r="I663" s="1960"/>
      <c r="J663" s="1399"/>
      <c r="K663" s="1960"/>
      <c r="L663" s="1399"/>
      <c r="M663" s="1399"/>
      <c r="N663" s="2273"/>
      <c r="O663" s="2014"/>
      <c r="P663" s="1540"/>
      <c r="Q663" s="1399"/>
      <c r="R663" s="1540"/>
      <c r="S663" s="1539"/>
      <c r="T663" s="1540"/>
      <c r="U663" s="1539"/>
      <c r="V663" s="1540"/>
      <c r="W663" s="1540"/>
      <c r="X663" s="1212"/>
      <c r="Y663" s="287"/>
      <c r="Z663" s="744"/>
      <c r="AA663" s="744"/>
      <c r="AB663" s="613"/>
      <c r="AC663" s="287"/>
      <c r="AD663" s="613"/>
      <c r="AE663" s="287"/>
      <c r="AF663" s="287"/>
      <c r="AG663" s="287"/>
      <c r="AH663" s="288"/>
      <c r="AI663" s="947"/>
      <c r="AJ663" s="947"/>
      <c r="AK663" s="947"/>
      <c r="AL663" s="667"/>
      <c r="AM663" s="14"/>
      <c r="AN663" s="14"/>
      <c r="AO663" s="14"/>
      <c r="AP663" s="437"/>
      <c r="AQ663" s="14"/>
      <c r="AR663" s="437"/>
      <c r="AS663" s="14"/>
      <c r="AT663" s="14"/>
      <c r="AU663" s="37"/>
      <c r="AV663" s="14"/>
      <c r="AW663" s="14"/>
      <c r="AX663" s="14"/>
      <c r="AY663" s="437"/>
      <c r="AZ663" s="14"/>
      <c r="BA663" s="437"/>
      <c r="BB663" s="14"/>
      <c r="BC663" s="14"/>
      <c r="BD663" s="14"/>
      <c r="BE663" s="128"/>
      <c r="BF663" s="220"/>
      <c r="BG663" s="37"/>
      <c r="BH663" s="220"/>
      <c r="BI663" s="11"/>
    </row>
    <row r="664" spans="2:61" s="1" customFormat="1">
      <c r="B664" s="107"/>
      <c r="C664" s="108" t="s">
        <v>950</v>
      </c>
      <c r="D664" s="1398"/>
      <c r="E664" s="1398"/>
      <c r="F664" s="1365">
        <f t="shared" si="453"/>
        <v>0</v>
      </c>
      <c r="G664" s="1365">
        <f t="shared" si="452"/>
        <v>0</v>
      </c>
      <c r="H664" s="1398">
        <f t="shared" ref="H664:H718" si="457">ROUND((D664+E664),0)</f>
        <v>0</v>
      </c>
      <c r="I664" s="1960"/>
      <c r="J664" s="1398"/>
      <c r="K664" s="1960"/>
      <c r="L664" s="1398"/>
      <c r="M664" s="2123">
        <f t="shared" ref="M664:M718" si="458">ROUND((H664+J664-L664),0)</f>
        <v>0</v>
      </c>
      <c r="N664" s="2272"/>
      <c r="O664" s="2012"/>
      <c r="P664" s="1538"/>
      <c r="Q664" s="1398"/>
      <c r="R664" s="1538">
        <f t="shared" ref="R664:R718" si="459">ROUND((P664+Q664),0)</f>
        <v>0</v>
      </c>
      <c r="S664" s="1539"/>
      <c r="T664" s="1538"/>
      <c r="U664" s="1539"/>
      <c r="V664" s="1538"/>
      <c r="W664" s="1538">
        <f t="shared" ref="W664:W718" si="460">ROUND((R664+T664-V664),0)</f>
        <v>0</v>
      </c>
      <c r="X664" s="1211"/>
      <c r="Y664" s="285">
        <v>0</v>
      </c>
      <c r="Z664" s="743"/>
      <c r="AA664" s="743">
        <f t="shared" ref="AA664:AA695" si="461">ROUND((Y664+Z664),0)</f>
        <v>0</v>
      </c>
      <c r="AB664" s="613"/>
      <c r="AC664" s="285"/>
      <c r="AD664" s="613"/>
      <c r="AE664" s="285"/>
      <c r="AF664" s="285">
        <f t="shared" ref="AF664:AF718" si="462">ROUND((AA664+AC664-AE664),0)</f>
        <v>0</v>
      </c>
      <c r="AG664" s="285"/>
      <c r="AH664" s="286"/>
      <c r="AI664" s="947"/>
      <c r="AJ664" s="947"/>
      <c r="AK664" s="947"/>
      <c r="AL664" s="667"/>
      <c r="AM664" s="14"/>
      <c r="AN664" s="14"/>
      <c r="AO664" s="14">
        <f t="shared" ref="AO664:AO718" si="463">ROUND((AM664+AN664),0)</f>
        <v>0</v>
      </c>
      <c r="AP664" s="437"/>
      <c r="AQ664" s="14"/>
      <c r="AR664" s="437"/>
      <c r="AS664" s="14"/>
      <c r="AT664" s="14">
        <f t="shared" ref="AT664:AT718" si="464">ROUND((AO664+AQ664-AS664),0)</f>
        <v>0</v>
      </c>
      <c r="AU664" s="37"/>
      <c r="AV664" s="14"/>
      <c r="AW664" s="14"/>
      <c r="AX664" s="14">
        <f t="shared" ref="AX664:AX718" si="465">ROUND((AV664+AW664),0)</f>
        <v>0</v>
      </c>
      <c r="AY664" s="437"/>
      <c r="AZ664" s="14"/>
      <c r="BA664" s="437"/>
      <c r="BB664" s="14"/>
      <c r="BC664" s="14">
        <f t="shared" ref="BC664:BC718" si="466">ROUND((AX664+AZ664-BB664),0)</f>
        <v>0</v>
      </c>
      <c r="BD664" s="14"/>
      <c r="BE664" s="128"/>
      <c r="BF664" s="220"/>
      <c r="BG664" s="37" t="e">
        <f>BG666-#REF!</f>
        <v>#REF!</v>
      </c>
      <c r="BH664" s="220"/>
      <c r="BI664" s="11"/>
    </row>
    <row r="665" spans="2:61" s="1" customFormat="1">
      <c r="B665" s="14"/>
      <c r="C665" s="109" t="s">
        <v>951</v>
      </c>
      <c r="D665" s="1399">
        <v>313949059</v>
      </c>
      <c r="E665" s="2253">
        <v>958128112</v>
      </c>
      <c r="F665" s="1365">
        <f t="shared" si="453"/>
        <v>1272077171</v>
      </c>
      <c r="G665" s="1365">
        <f t="shared" si="452"/>
        <v>0</v>
      </c>
      <c r="H665" s="1399">
        <f t="shared" si="457"/>
        <v>1272077171</v>
      </c>
      <c r="I665" s="1960"/>
      <c r="J665" s="1399"/>
      <c r="K665" s="1960"/>
      <c r="L665" s="1399"/>
      <c r="M665" s="2124">
        <f t="shared" si="458"/>
        <v>1272077171</v>
      </c>
      <c r="N665" s="2273"/>
      <c r="O665" s="128">
        <f>M666+O610-O462+M667+M668+M669</f>
        <v>16701074831</v>
      </c>
      <c r="P665" s="1540">
        <v>270332060</v>
      </c>
      <c r="Q665" s="1399">
        <v>708764789</v>
      </c>
      <c r="R665" s="1540">
        <f t="shared" si="459"/>
        <v>979096849</v>
      </c>
      <c r="S665" s="1539"/>
      <c r="T665" s="1540"/>
      <c r="U665" s="1539"/>
      <c r="V665" s="1540"/>
      <c r="W665" s="1540">
        <f t="shared" si="460"/>
        <v>979096849</v>
      </c>
      <c r="X665" s="128">
        <f>W666+X610-X462+W667+W668+W669</f>
        <v>12095966141</v>
      </c>
      <c r="Y665" s="287">
        <v>191617354</v>
      </c>
      <c r="Z665" s="744">
        <v>465017500</v>
      </c>
      <c r="AA665" s="744">
        <f t="shared" si="461"/>
        <v>656634854</v>
      </c>
      <c r="AB665" s="613"/>
      <c r="AC665" s="287"/>
      <c r="AD665" s="613"/>
      <c r="AE665" s="287"/>
      <c r="AF665" s="285">
        <f t="shared" si="462"/>
        <v>656634854</v>
      </c>
      <c r="AG665" s="285"/>
      <c r="AH665" s="128">
        <f>AF666+AH610-AH462+AF667+AF668+AF669</f>
        <v>8159846550</v>
      </c>
      <c r="AI665" s="963">
        <v>1294999296</v>
      </c>
      <c r="AJ665" s="963"/>
      <c r="AK665" s="963"/>
      <c r="AL665" s="128">
        <f>AI666+AL610-AL462+AI667+AI668+AI669</f>
        <v>17018689565</v>
      </c>
      <c r="AM665" s="14">
        <v>255023239</v>
      </c>
      <c r="AN665" s="14">
        <v>749417816</v>
      </c>
      <c r="AO665" s="432">
        <f t="shared" si="463"/>
        <v>1004441055</v>
      </c>
      <c r="AP665" s="437"/>
      <c r="AQ665" s="432"/>
      <c r="AR665" s="437"/>
      <c r="AS665" s="432"/>
      <c r="AT665" s="432">
        <f t="shared" si="464"/>
        <v>1004441055</v>
      </c>
      <c r="AU665" s="128">
        <f>AT666+AU610-AU462+AT667+AT668+AT669</f>
        <v>13349367162</v>
      </c>
      <c r="AV665" s="14">
        <v>172477639</v>
      </c>
      <c r="AW665" s="14">
        <v>497128665</v>
      </c>
      <c r="AX665" s="432">
        <f t="shared" si="465"/>
        <v>669606304</v>
      </c>
      <c r="AY665" s="437"/>
      <c r="AZ665" s="432"/>
      <c r="BA665" s="437"/>
      <c r="BB665" s="432"/>
      <c r="BC665" s="432">
        <f t="shared" si="466"/>
        <v>669606304</v>
      </c>
      <c r="BD665" s="432"/>
      <c r="BE665" s="128">
        <f>BC666+BE610-BE462+BC667+BC668+BC669</f>
        <v>8368654553</v>
      </c>
      <c r="BF665" s="220">
        <v>1413441544</v>
      </c>
      <c r="BG665" s="37"/>
      <c r="BH665" s="220">
        <v>1510132759</v>
      </c>
      <c r="BI665" s="11"/>
    </row>
    <row r="666" spans="2:61" s="1" customFormat="1">
      <c r="B666" s="30"/>
      <c r="C666" s="109" t="s">
        <v>952</v>
      </c>
      <c r="D666" s="1399">
        <v>3962378187</v>
      </c>
      <c r="E666" s="2253">
        <v>8994141238</v>
      </c>
      <c r="F666" s="1365">
        <f t="shared" si="453"/>
        <v>12956519425</v>
      </c>
      <c r="G666" s="1365">
        <f t="shared" si="452"/>
        <v>0</v>
      </c>
      <c r="H666" s="1399">
        <f t="shared" si="457"/>
        <v>12956519425</v>
      </c>
      <c r="I666" s="1960"/>
      <c r="J666" s="1399"/>
      <c r="K666" s="1960"/>
      <c r="L666" s="1399"/>
      <c r="M666" s="2124">
        <f t="shared" si="458"/>
        <v>12956519425</v>
      </c>
      <c r="N666" s="2273"/>
      <c r="O666" s="2014"/>
      <c r="P666" s="1540">
        <v>2892243979</v>
      </c>
      <c r="Q666" s="1399">
        <v>6629924392</v>
      </c>
      <c r="R666" s="1540">
        <f t="shared" si="459"/>
        <v>9522168371</v>
      </c>
      <c r="S666" s="1539"/>
      <c r="T666" s="1540"/>
      <c r="U666" s="1539"/>
      <c r="V666" s="1540"/>
      <c r="W666" s="1540">
        <f t="shared" si="460"/>
        <v>9522168371</v>
      </c>
      <c r="X666" s="1212"/>
      <c r="Y666" s="287">
        <v>1843142836</v>
      </c>
      <c r="Z666" s="744">
        <v>4380250619</v>
      </c>
      <c r="AA666" s="744">
        <f t="shared" si="461"/>
        <v>6223393455</v>
      </c>
      <c r="AB666" s="613"/>
      <c r="AC666" s="287"/>
      <c r="AD666" s="613"/>
      <c r="AE666" s="287"/>
      <c r="AF666" s="285">
        <f t="shared" si="462"/>
        <v>6223393455</v>
      </c>
      <c r="AG666" s="285"/>
      <c r="AH666" s="288"/>
      <c r="AI666" s="963">
        <v>13208655931</v>
      </c>
      <c r="AJ666" s="963"/>
      <c r="AK666" s="963"/>
      <c r="AL666" s="675"/>
      <c r="AM666" s="14">
        <v>2965790410</v>
      </c>
      <c r="AN666" s="14">
        <v>7275240711</v>
      </c>
      <c r="AO666" s="432">
        <f t="shared" si="463"/>
        <v>10241031121</v>
      </c>
      <c r="AP666" s="437"/>
      <c r="AQ666" s="432"/>
      <c r="AR666" s="437"/>
      <c r="AS666" s="432"/>
      <c r="AT666" s="432">
        <f t="shared" si="464"/>
        <v>10241031121</v>
      </c>
      <c r="AU666" s="139"/>
      <c r="AV666" s="14">
        <v>2010094974</v>
      </c>
      <c r="AW666" s="14">
        <v>4882041069</v>
      </c>
      <c r="AX666" s="432">
        <f t="shared" si="465"/>
        <v>6892136043</v>
      </c>
      <c r="AY666" s="437"/>
      <c r="AZ666" s="432"/>
      <c r="BA666" s="437"/>
      <c r="BB666" s="432"/>
      <c r="BC666" s="432">
        <f t="shared" si="466"/>
        <v>6892136043</v>
      </c>
      <c r="BD666" s="432"/>
      <c r="BE666" s="128"/>
      <c r="BF666" s="220">
        <v>14020560766</v>
      </c>
      <c r="BG666" s="35">
        <v>9740207412</v>
      </c>
      <c r="BH666" s="220">
        <v>15047808802</v>
      </c>
      <c r="BI666" s="15"/>
    </row>
    <row r="667" spans="2:61" s="1" customFormat="1">
      <c r="B667" s="30"/>
      <c r="C667" s="109" t="s">
        <v>953</v>
      </c>
      <c r="D667" s="1399">
        <v>332597853</v>
      </c>
      <c r="E667" s="2253">
        <v>853607539</v>
      </c>
      <c r="F667" s="1365">
        <f t="shared" si="453"/>
        <v>1186205392</v>
      </c>
      <c r="G667" s="1365">
        <f t="shared" si="452"/>
        <v>0</v>
      </c>
      <c r="H667" s="1399">
        <f t="shared" si="457"/>
        <v>1186205392</v>
      </c>
      <c r="I667" s="1960"/>
      <c r="J667" s="1399"/>
      <c r="K667" s="1960"/>
      <c r="L667" s="1399"/>
      <c r="M667" s="2124">
        <f t="shared" si="458"/>
        <v>1186205392</v>
      </c>
      <c r="N667" s="2273"/>
      <c r="O667" s="2014"/>
      <c r="P667" s="1540">
        <v>332597853</v>
      </c>
      <c r="Q667" s="1399">
        <v>853607539</v>
      </c>
      <c r="R667" s="1540">
        <f t="shared" si="459"/>
        <v>1186205392</v>
      </c>
      <c r="S667" s="1539"/>
      <c r="T667" s="1540"/>
      <c r="U667" s="1539"/>
      <c r="V667" s="1540"/>
      <c r="W667" s="1540">
        <f t="shared" si="460"/>
        <v>1186205392</v>
      </c>
      <c r="X667" s="1212"/>
      <c r="Y667" s="287">
        <v>332597853</v>
      </c>
      <c r="Z667" s="744">
        <v>853607539</v>
      </c>
      <c r="AA667" s="744">
        <f t="shared" si="461"/>
        <v>1186205392</v>
      </c>
      <c r="AB667" s="613"/>
      <c r="AC667" s="287"/>
      <c r="AD667" s="613"/>
      <c r="AE667" s="287"/>
      <c r="AF667" s="285">
        <f t="shared" si="462"/>
        <v>1186205392</v>
      </c>
      <c r="AG667" s="285"/>
      <c r="AH667" s="288"/>
      <c r="AI667" s="963">
        <v>1250975832</v>
      </c>
      <c r="AJ667" s="963"/>
      <c r="AK667" s="963"/>
      <c r="AL667" s="675"/>
      <c r="AM667" s="14">
        <v>341934529</v>
      </c>
      <c r="AN667" s="14">
        <v>909041303</v>
      </c>
      <c r="AO667" s="432">
        <f t="shared" si="463"/>
        <v>1250975832</v>
      </c>
      <c r="AP667" s="437"/>
      <c r="AQ667" s="432"/>
      <c r="AR667" s="437"/>
      <c r="AS667" s="432"/>
      <c r="AT667" s="432">
        <f t="shared" si="464"/>
        <v>1250975832</v>
      </c>
      <c r="AU667" s="139"/>
      <c r="AV667" s="14">
        <v>341934529</v>
      </c>
      <c r="AW667" s="14">
        <v>909041303</v>
      </c>
      <c r="AX667" s="432">
        <f t="shared" si="465"/>
        <v>1250975832</v>
      </c>
      <c r="AY667" s="437"/>
      <c r="AZ667" s="432"/>
      <c r="BA667" s="437"/>
      <c r="BB667" s="432"/>
      <c r="BC667" s="432">
        <f t="shared" si="466"/>
        <v>1250975832</v>
      </c>
      <c r="BD667" s="432"/>
      <c r="BE667" s="128"/>
      <c r="BF667" s="220">
        <v>1154897551</v>
      </c>
      <c r="BG667" s="37"/>
      <c r="BH667" s="220">
        <v>1535113840</v>
      </c>
      <c r="BI667" s="15"/>
    </row>
    <row r="668" spans="2:61" s="1" customFormat="1">
      <c r="B668" s="30"/>
      <c r="C668" s="109" t="s">
        <v>954</v>
      </c>
      <c r="D668" s="1399">
        <v>432045000</v>
      </c>
      <c r="E668" s="2253">
        <v>922140904</v>
      </c>
      <c r="F668" s="1365">
        <f t="shared" si="453"/>
        <v>1354185904</v>
      </c>
      <c r="G668" s="1365">
        <f t="shared" si="452"/>
        <v>0</v>
      </c>
      <c r="H668" s="1399">
        <f t="shared" si="457"/>
        <v>1354185904</v>
      </c>
      <c r="I668" s="1960"/>
      <c r="J668" s="1399"/>
      <c r="K668" s="1960"/>
      <c r="L668" s="1399"/>
      <c r="M668" s="2124">
        <f t="shared" si="458"/>
        <v>1354185904</v>
      </c>
      <c r="N668" s="2273"/>
      <c r="O668" s="2014"/>
      <c r="P668" s="1540">
        <v>339109000</v>
      </c>
      <c r="Q668" s="1399">
        <v>698539912</v>
      </c>
      <c r="R668" s="1540">
        <f t="shared" si="459"/>
        <v>1037648912</v>
      </c>
      <c r="S668" s="1539"/>
      <c r="T668" s="1540"/>
      <c r="U668" s="1539"/>
      <c r="V668" s="1540"/>
      <c r="W668" s="1540">
        <f t="shared" si="460"/>
        <v>1037648912</v>
      </c>
      <c r="X668" s="1212"/>
      <c r="Y668" s="287">
        <v>246139000</v>
      </c>
      <c r="Z668" s="744">
        <v>463955946</v>
      </c>
      <c r="AA668" s="744">
        <f t="shared" si="461"/>
        <v>710094946</v>
      </c>
      <c r="AB668" s="613"/>
      <c r="AC668" s="287"/>
      <c r="AD668" s="613"/>
      <c r="AE668" s="287"/>
      <c r="AF668" s="285">
        <f t="shared" si="462"/>
        <v>710094946</v>
      </c>
      <c r="AG668" s="285"/>
      <c r="AH668" s="288"/>
      <c r="AI668" s="963">
        <v>1236286991</v>
      </c>
      <c r="AJ668" s="963"/>
      <c r="AK668" s="963"/>
      <c r="AL668" s="675"/>
      <c r="AM668" s="14">
        <v>287526000</v>
      </c>
      <c r="AN668" s="14">
        <v>641417444</v>
      </c>
      <c r="AO668" s="432">
        <f t="shared" si="463"/>
        <v>928943444</v>
      </c>
      <c r="AP668" s="437"/>
      <c r="AQ668" s="432"/>
      <c r="AR668" s="437"/>
      <c r="AS668" s="432"/>
      <c r="AT668" s="432">
        <f t="shared" si="464"/>
        <v>928943444</v>
      </c>
      <c r="AU668" s="139"/>
      <c r="AV668" s="14">
        <v>193170000</v>
      </c>
      <c r="AW668" s="14">
        <v>419452721</v>
      </c>
      <c r="AX668" s="432">
        <f t="shared" si="465"/>
        <v>612622721</v>
      </c>
      <c r="AY668" s="437"/>
      <c r="AZ668" s="432"/>
      <c r="BA668" s="437"/>
      <c r="BB668" s="432"/>
      <c r="BC668" s="432">
        <f t="shared" si="466"/>
        <v>612622721</v>
      </c>
      <c r="BD668" s="432"/>
      <c r="BE668" s="128"/>
      <c r="BF668" s="220">
        <v>1396109807</v>
      </c>
      <c r="BG668" s="37">
        <f>BF666+BG610-BG460+BF667+BF668+BF669</f>
        <v>17641958141</v>
      </c>
      <c r="BH668" s="220">
        <v>1465005948</v>
      </c>
      <c r="BI668" s="15" t="s">
        <v>468</v>
      </c>
    </row>
    <row r="669" spans="2:61" s="1" customFormat="1">
      <c r="B669" s="30"/>
      <c r="C669" s="109" t="s">
        <v>955</v>
      </c>
      <c r="D669" s="1399">
        <v>0</v>
      </c>
      <c r="E669" s="2253">
        <v>19824269</v>
      </c>
      <c r="F669" s="1365">
        <f t="shared" si="453"/>
        <v>19824269</v>
      </c>
      <c r="G669" s="1365">
        <f t="shared" si="452"/>
        <v>0</v>
      </c>
      <c r="H669" s="1399">
        <f t="shared" si="457"/>
        <v>19824269</v>
      </c>
      <c r="I669" s="1960"/>
      <c r="J669" s="1399"/>
      <c r="K669" s="1960"/>
      <c r="L669" s="1399"/>
      <c r="M669" s="2124">
        <f t="shared" si="458"/>
        <v>19824269</v>
      </c>
      <c r="N669" s="2273"/>
      <c r="O669" s="2014"/>
      <c r="P669" s="1540"/>
      <c r="Q669" s="1399">
        <v>17324269</v>
      </c>
      <c r="R669" s="1540">
        <f t="shared" si="459"/>
        <v>17324269</v>
      </c>
      <c r="S669" s="1539"/>
      <c r="T669" s="1540"/>
      <c r="U669" s="1539"/>
      <c r="V669" s="1540"/>
      <c r="W669" s="1540">
        <f t="shared" si="460"/>
        <v>17324269</v>
      </c>
      <c r="X669" s="1212"/>
      <c r="Y669" s="287">
        <v>0</v>
      </c>
      <c r="Z669" s="744">
        <v>2891693</v>
      </c>
      <c r="AA669" s="744">
        <f t="shared" si="461"/>
        <v>2891693</v>
      </c>
      <c r="AB669" s="613"/>
      <c r="AC669" s="287"/>
      <c r="AD669" s="613"/>
      <c r="AE669" s="287"/>
      <c r="AF669" s="285">
        <f t="shared" si="462"/>
        <v>2891693</v>
      </c>
      <c r="AG669" s="285"/>
      <c r="AH669" s="288"/>
      <c r="AI669" s="963">
        <v>7302208</v>
      </c>
      <c r="AJ669" s="963"/>
      <c r="AK669" s="963"/>
      <c r="AL669" s="675"/>
      <c r="AM669" s="14"/>
      <c r="AN669" s="14">
        <v>4439110</v>
      </c>
      <c r="AO669" s="432">
        <f t="shared" si="463"/>
        <v>4439110</v>
      </c>
      <c r="AP669" s="437"/>
      <c r="AQ669" s="432"/>
      <c r="AR669" s="437"/>
      <c r="AS669" s="432"/>
      <c r="AT669" s="432">
        <f t="shared" si="464"/>
        <v>4439110</v>
      </c>
      <c r="AU669" s="139"/>
      <c r="AV669" s="14">
        <v>0</v>
      </c>
      <c r="AW669" s="14">
        <v>4439110</v>
      </c>
      <c r="AX669" s="432">
        <f t="shared" si="465"/>
        <v>4439110</v>
      </c>
      <c r="AY669" s="437"/>
      <c r="AZ669" s="432"/>
      <c r="BA669" s="437"/>
      <c r="BB669" s="432"/>
      <c r="BC669" s="432">
        <f t="shared" si="466"/>
        <v>4439110</v>
      </c>
      <c r="BD669" s="432"/>
      <c r="BE669" s="128"/>
      <c r="BF669" s="220">
        <v>11449940</v>
      </c>
      <c r="BG669" s="37"/>
      <c r="BH669" s="220">
        <v>10810369</v>
      </c>
      <c r="BI669" s="15"/>
    </row>
    <row r="670" spans="2:61" s="1" customFormat="1">
      <c r="B670" s="30" t="s">
        <v>407</v>
      </c>
      <c r="C670" s="109" t="s">
        <v>956</v>
      </c>
      <c r="D670" s="1399"/>
      <c r="E670" s="1399"/>
      <c r="F670" s="1365">
        <f t="shared" si="453"/>
        <v>0</v>
      </c>
      <c r="G670" s="1365">
        <f t="shared" si="452"/>
        <v>0</v>
      </c>
      <c r="H670" s="1399">
        <f t="shared" si="457"/>
        <v>0</v>
      </c>
      <c r="I670" s="1960"/>
      <c r="J670" s="1399"/>
      <c r="K670" s="1960"/>
      <c r="L670" s="1399"/>
      <c r="M670" s="1399">
        <f t="shared" si="458"/>
        <v>0</v>
      </c>
      <c r="N670" s="2273"/>
      <c r="O670" s="2014"/>
      <c r="P670" s="1540"/>
      <c r="Q670" s="1399"/>
      <c r="R670" s="1540">
        <f t="shared" si="459"/>
        <v>0</v>
      </c>
      <c r="S670" s="1539"/>
      <c r="T670" s="1540"/>
      <c r="U670" s="1539"/>
      <c r="V670" s="1540"/>
      <c r="W670" s="1540">
        <f t="shared" si="460"/>
        <v>0</v>
      </c>
      <c r="X670" s="1212"/>
      <c r="Y670" s="287">
        <v>0</v>
      </c>
      <c r="Z670" s="744">
        <v>0</v>
      </c>
      <c r="AA670" s="744">
        <f t="shared" si="461"/>
        <v>0</v>
      </c>
      <c r="AB670" s="613"/>
      <c r="AC670" s="287"/>
      <c r="AD670" s="613"/>
      <c r="AE670" s="287"/>
      <c r="AF670" s="287">
        <f t="shared" si="462"/>
        <v>0</v>
      </c>
      <c r="AG670" s="287"/>
      <c r="AH670" s="288"/>
      <c r="AI670" s="963"/>
      <c r="AJ670" s="963"/>
      <c r="AK670" s="963"/>
      <c r="AL670" s="675"/>
      <c r="AM670" s="14"/>
      <c r="AN670" s="14"/>
      <c r="AO670" s="432">
        <f t="shared" si="463"/>
        <v>0</v>
      </c>
      <c r="AP670" s="437"/>
      <c r="AQ670" s="432"/>
      <c r="AR670" s="437"/>
      <c r="AS670" s="432"/>
      <c r="AT670" s="432">
        <f t="shared" si="464"/>
        <v>0</v>
      </c>
      <c r="AU670" s="139"/>
      <c r="AV670" s="14"/>
      <c r="AW670" s="14"/>
      <c r="AX670" s="432">
        <f t="shared" si="465"/>
        <v>0</v>
      </c>
      <c r="AY670" s="437"/>
      <c r="AZ670" s="432"/>
      <c r="BA670" s="437"/>
      <c r="BB670" s="432"/>
      <c r="BC670" s="432">
        <f t="shared" si="466"/>
        <v>0</v>
      </c>
      <c r="BD670" s="432"/>
      <c r="BE670" s="136"/>
      <c r="BF670" s="239"/>
      <c r="BG670" s="37"/>
      <c r="BH670" s="220">
        <v>0</v>
      </c>
      <c r="BI670" s="15"/>
    </row>
    <row r="671" spans="2:61" s="1" customFormat="1">
      <c r="B671" s="30"/>
      <c r="C671" s="108" t="s">
        <v>957</v>
      </c>
      <c r="D671" s="1398"/>
      <c r="E671" s="1399"/>
      <c r="F671" s="1365">
        <f t="shared" si="453"/>
        <v>0</v>
      </c>
      <c r="G671" s="1365">
        <f t="shared" si="452"/>
        <v>0</v>
      </c>
      <c r="H671" s="1398">
        <f t="shared" si="457"/>
        <v>0</v>
      </c>
      <c r="I671" s="1960"/>
      <c r="J671" s="1398"/>
      <c r="K671" s="1960"/>
      <c r="L671" s="1398"/>
      <c r="M671" s="1398">
        <f t="shared" si="458"/>
        <v>0</v>
      </c>
      <c r="N671" s="2272"/>
      <c r="O671" s="2012"/>
      <c r="P671" s="1538"/>
      <c r="Q671" s="1398"/>
      <c r="R671" s="1538">
        <f t="shared" si="459"/>
        <v>0</v>
      </c>
      <c r="S671" s="1539"/>
      <c r="T671" s="1538"/>
      <c r="U671" s="1539"/>
      <c r="V671" s="1538"/>
      <c r="W671" s="1538">
        <f t="shared" si="460"/>
        <v>0</v>
      </c>
      <c r="X671" s="1211"/>
      <c r="Y671" s="285">
        <v>0</v>
      </c>
      <c r="Z671" s="743">
        <v>0</v>
      </c>
      <c r="AA671" s="743">
        <f t="shared" si="461"/>
        <v>0</v>
      </c>
      <c r="AB671" s="613"/>
      <c r="AC671" s="285"/>
      <c r="AD671" s="613"/>
      <c r="AE671" s="285"/>
      <c r="AF671" s="285">
        <f t="shared" si="462"/>
        <v>0</v>
      </c>
      <c r="AG671" s="285"/>
      <c r="AH671" s="286"/>
      <c r="AI671" s="947"/>
      <c r="AJ671" s="947"/>
      <c r="AK671" s="947"/>
      <c r="AL671" s="667"/>
      <c r="AM671" s="14"/>
      <c r="AN671" s="14"/>
      <c r="AO671" s="14">
        <f t="shared" si="463"/>
        <v>0</v>
      </c>
      <c r="AP671" s="437"/>
      <c r="AQ671" s="14"/>
      <c r="AR671" s="437"/>
      <c r="AS671" s="14"/>
      <c r="AT671" s="14">
        <f t="shared" si="464"/>
        <v>0</v>
      </c>
      <c r="AU671" s="37"/>
      <c r="AV671" s="14"/>
      <c r="AW671" s="14"/>
      <c r="AX671" s="14">
        <f t="shared" si="465"/>
        <v>0</v>
      </c>
      <c r="AY671" s="437"/>
      <c r="AZ671" s="14"/>
      <c r="BA671" s="437"/>
      <c r="BB671" s="14"/>
      <c r="BC671" s="14">
        <f t="shared" si="466"/>
        <v>0</v>
      </c>
      <c r="BD671" s="14"/>
      <c r="BE671" s="128"/>
      <c r="BF671" s="220"/>
      <c r="BG671" s="37"/>
      <c r="BH671" s="220">
        <v>0</v>
      </c>
      <c r="BI671" s="15"/>
    </row>
    <row r="672" spans="2:61" s="1" customFormat="1">
      <c r="B672" s="30"/>
      <c r="C672" s="110" t="s">
        <v>958</v>
      </c>
      <c r="D672" s="1400">
        <v>1343058</v>
      </c>
      <c r="E672" s="1400">
        <v>7183543</v>
      </c>
      <c r="F672" s="1365">
        <f t="shared" si="453"/>
        <v>8526601</v>
      </c>
      <c r="G672" s="1365">
        <f t="shared" si="452"/>
        <v>0</v>
      </c>
      <c r="H672" s="1400">
        <f t="shared" si="457"/>
        <v>8526601</v>
      </c>
      <c r="I672" s="1961"/>
      <c r="J672" s="1400"/>
      <c r="K672" s="1961"/>
      <c r="L672" s="1400"/>
      <c r="M672" s="2124">
        <f t="shared" si="458"/>
        <v>8526601</v>
      </c>
      <c r="N672" s="2273"/>
      <c r="O672" s="2014"/>
      <c r="P672" s="1541">
        <v>1293058</v>
      </c>
      <c r="Q672" s="1400">
        <v>7183543</v>
      </c>
      <c r="R672" s="1541">
        <f t="shared" si="459"/>
        <v>8476601</v>
      </c>
      <c r="S672" s="1542"/>
      <c r="T672" s="1541"/>
      <c r="U672" s="1542"/>
      <c r="V672" s="1541"/>
      <c r="W672" s="1541">
        <f t="shared" si="460"/>
        <v>8476601</v>
      </c>
      <c r="X672" s="1212"/>
      <c r="Y672" s="289">
        <v>900258</v>
      </c>
      <c r="Z672" s="745">
        <v>7183543</v>
      </c>
      <c r="AA672" s="745">
        <f t="shared" si="461"/>
        <v>8083801</v>
      </c>
      <c r="AB672" s="624"/>
      <c r="AC672" s="289"/>
      <c r="AD672" s="624"/>
      <c r="AE672" s="289"/>
      <c r="AF672" s="1083">
        <f t="shared" si="462"/>
        <v>8083801</v>
      </c>
      <c r="AG672" s="1083"/>
      <c r="AH672" s="288"/>
      <c r="AI672" s="963">
        <v>1599194</v>
      </c>
      <c r="AJ672" s="963"/>
      <c r="AK672" s="963"/>
      <c r="AL672" s="675"/>
      <c r="AM672" s="1364">
        <v>25000</v>
      </c>
      <c r="AN672" s="14"/>
      <c r="AO672" s="432">
        <f t="shared" si="463"/>
        <v>25000</v>
      </c>
      <c r="AP672" s="437"/>
      <c r="AQ672" s="432"/>
      <c r="AR672" s="437"/>
      <c r="AS672" s="432"/>
      <c r="AT672" s="432">
        <f t="shared" si="464"/>
        <v>25000</v>
      </c>
      <c r="AU672" s="139"/>
      <c r="AV672" s="14">
        <v>5000</v>
      </c>
      <c r="AW672" s="14">
        <v>0</v>
      </c>
      <c r="AX672" s="432">
        <f t="shared" si="465"/>
        <v>5000</v>
      </c>
      <c r="AY672" s="437"/>
      <c r="AZ672" s="432"/>
      <c r="BA672" s="437"/>
      <c r="BB672" s="432"/>
      <c r="BC672" s="432">
        <f t="shared" si="466"/>
        <v>5000</v>
      </c>
      <c r="BD672" s="432"/>
      <c r="BE672" s="128"/>
      <c r="BF672" s="220">
        <v>191860893</v>
      </c>
      <c r="BG672" s="37"/>
      <c r="BH672" s="220">
        <v>45640425</v>
      </c>
      <c r="BI672" s="15"/>
    </row>
    <row r="673" spans="2:61" s="1" customFormat="1">
      <c r="B673" s="14"/>
      <c r="C673" s="109" t="s">
        <v>959</v>
      </c>
      <c r="D673" s="1399">
        <v>20121300</v>
      </c>
      <c r="E673" s="1399">
        <v>5094140</v>
      </c>
      <c r="F673" s="1365">
        <f t="shared" si="453"/>
        <v>25215440</v>
      </c>
      <c r="G673" s="1365">
        <f t="shared" si="452"/>
        <v>0</v>
      </c>
      <c r="H673" s="1399">
        <f t="shared" si="457"/>
        <v>25215440</v>
      </c>
      <c r="I673" s="1960"/>
      <c r="J673" s="1399"/>
      <c r="K673" s="1960"/>
      <c r="L673" s="1399"/>
      <c r="M673" s="2124">
        <f t="shared" si="458"/>
        <v>25215440</v>
      </c>
      <c r="N673" s="2273"/>
      <c r="O673" s="2014"/>
      <c r="P673" s="1540">
        <v>16530500</v>
      </c>
      <c r="Q673" s="1399">
        <v>4056140</v>
      </c>
      <c r="R673" s="1540">
        <f t="shared" si="459"/>
        <v>20586640</v>
      </c>
      <c r="S673" s="1539"/>
      <c r="T673" s="1540"/>
      <c r="U673" s="1539"/>
      <c r="V673" s="1540"/>
      <c r="W673" s="1540">
        <f t="shared" si="460"/>
        <v>20586640</v>
      </c>
      <c r="X673" s="1212"/>
      <c r="Y673" s="287">
        <v>6190500</v>
      </c>
      <c r="Z673" s="744">
        <v>3304500</v>
      </c>
      <c r="AA673" s="744">
        <f t="shared" si="461"/>
        <v>9495000</v>
      </c>
      <c r="AB673" s="613"/>
      <c r="AC673" s="287"/>
      <c r="AD673" s="613"/>
      <c r="AE673" s="287"/>
      <c r="AF673" s="287">
        <f t="shared" si="462"/>
        <v>9495000</v>
      </c>
      <c r="AG673" s="287"/>
      <c r="AH673" s="288"/>
      <c r="AI673" s="963">
        <v>82750930</v>
      </c>
      <c r="AJ673" s="963"/>
      <c r="AK673" s="963"/>
      <c r="AL673" s="675"/>
      <c r="AM673" s="1364">
        <v>20495300</v>
      </c>
      <c r="AN673" s="14">
        <v>46243130</v>
      </c>
      <c r="AO673" s="432">
        <f t="shared" si="463"/>
        <v>66738430</v>
      </c>
      <c r="AP673" s="437"/>
      <c r="AQ673" s="432"/>
      <c r="AR673" s="437"/>
      <c r="AS673" s="432"/>
      <c r="AT673" s="432">
        <f t="shared" si="464"/>
        <v>66738430</v>
      </c>
      <c r="AU673" s="139"/>
      <c r="AV673" s="14">
        <v>15001800</v>
      </c>
      <c r="AW673" s="14">
        <v>33926130</v>
      </c>
      <c r="AX673" s="432">
        <f t="shared" si="465"/>
        <v>48927930</v>
      </c>
      <c r="AY673" s="437"/>
      <c r="AZ673" s="432"/>
      <c r="BA673" s="437"/>
      <c r="BB673" s="432"/>
      <c r="BC673" s="432">
        <f t="shared" si="466"/>
        <v>48927930</v>
      </c>
      <c r="BD673" s="432"/>
      <c r="BE673" s="128"/>
      <c r="BF673" s="220">
        <v>96047700</v>
      </c>
      <c r="BG673" s="37"/>
      <c r="BH673" s="220">
        <v>43828754</v>
      </c>
      <c r="BI673" s="15"/>
    </row>
    <row r="674" spans="2:61" s="1" customFormat="1">
      <c r="B674" s="30"/>
      <c r="C674" s="109" t="s">
        <v>960</v>
      </c>
      <c r="D674" s="1399">
        <v>111024837</v>
      </c>
      <c r="E674" s="1399">
        <v>289763072</v>
      </c>
      <c r="F674" s="1365">
        <f t="shared" si="453"/>
        <v>400787909</v>
      </c>
      <c r="G674" s="1365">
        <f t="shared" si="452"/>
        <v>0</v>
      </c>
      <c r="H674" s="1399">
        <f t="shared" si="457"/>
        <v>400787909</v>
      </c>
      <c r="I674" s="1960"/>
      <c r="J674" s="1399"/>
      <c r="K674" s="1960"/>
      <c r="L674" s="1399"/>
      <c r="M674" s="2124">
        <f t="shared" si="458"/>
        <v>400787909</v>
      </c>
      <c r="N674" s="2273"/>
      <c r="O674" s="2014"/>
      <c r="P674" s="1540">
        <v>80745336</v>
      </c>
      <c r="Q674" s="1399">
        <v>175094247</v>
      </c>
      <c r="R674" s="1540">
        <f t="shared" si="459"/>
        <v>255839583</v>
      </c>
      <c r="S674" s="1539"/>
      <c r="T674" s="1540"/>
      <c r="U674" s="1539"/>
      <c r="V674" s="1540"/>
      <c r="W674" s="1540">
        <f t="shared" si="460"/>
        <v>255839583</v>
      </c>
      <c r="X674" s="1212"/>
      <c r="Y674" s="287">
        <v>50465835</v>
      </c>
      <c r="Z674" s="744">
        <v>103486812</v>
      </c>
      <c r="AA674" s="744">
        <f t="shared" si="461"/>
        <v>153952647</v>
      </c>
      <c r="AB674" s="613"/>
      <c r="AC674" s="287"/>
      <c r="AD674" s="613"/>
      <c r="AE674" s="287"/>
      <c r="AF674" s="287">
        <f t="shared" si="462"/>
        <v>153952647</v>
      </c>
      <c r="AG674" s="287"/>
      <c r="AH674" s="288"/>
      <c r="AI674" s="963">
        <v>365704510</v>
      </c>
      <c r="AJ674" s="963"/>
      <c r="AK674" s="963"/>
      <c r="AL674" s="675"/>
      <c r="AM674" s="1364">
        <v>110236455</v>
      </c>
      <c r="AN674" s="14">
        <v>187073114</v>
      </c>
      <c r="AO674" s="432">
        <f t="shared" si="463"/>
        <v>297309569</v>
      </c>
      <c r="AP674" s="437"/>
      <c r="AQ674" s="432"/>
      <c r="AR674" s="437"/>
      <c r="AS674" s="432"/>
      <c r="AT674" s="432">
        <f t="shared" si="464"/>
        <v>297309569</v>
      </c>
      <c r="AU674" s="139"/>
      <c r="AV674" s="14">
        <v>73490970</v>
      </c>
      <c r="AW674" s="14">
        <v>124715276</v>
      </c>
      <c r="AX674" s="432">
        <f t="shared" si="465"/>
        <v>198206246</v>
      </c>
      <c r="AY674" s="437"/>
      <c r="AZ674" s="432"/>
      <c r="BA674" s="437"/>
      <c r="BB674" s="432"/>
      <c r="BC674" s="432">
        <f t="shared" si="466"/>
        <v>198206246</v>
      </c>
      <c r="BD674" s="432"/>
      <c r="BE674" s="128"/>
      <c r="BF674" s="220">
        <v>247700188</v>
      </c>
      <c r="BG674" s="37"/>
      <c r="BH674" s="220">
        <v>216959385</v>
      </c>
      <c r="BI674" s="15"/>
    </row>
    <row r="675" spans="2:61" s="1" customFormat="1">
      <c r="B675" s="147"/>
      <c r="C675" s="109" t="s">
        <v>961</v>
      </c>
      <c r="D675" s="1399">
        <v>144047264</v>
      </c>
      <c r="E675" s="1399">
        <v>134022383</v>
      </c>
      <c r="F675" s="1365">
        <f t="shared" si="453"/>
        <v>278069647</v>
      </c>
      <c r="G675" s="1365">
        <f t="shared" si="452"/>
        <v>0</v>
      </c>
      <c r="H675" s="1399">
        <f t="shared" si="457"/>
        <v>278069647</v>
      </c>
      <c r="I675" s="1960"/>
      <c r="J675" s="1399"/>
      <c r="K675" s="1960"/>
      <c r="L675" s="1399"/>
      <c r="M675" s="2124">
        <f t="shared" si="458"/>
        <v>278069647</v>
      </c>
      <c r="N675" s="2273"/>
      <c r="O675" s="2014"/>
      <c r="P675" s="1540">
        <v>105481619</v>
      </c>
      <c r="Q675" s="1399">
        <v>95948185</v>
      </c>
      <c r="R675" s="1540">
        <f t="shared" si="459"/>
        <v>201429804</v>
      </c>
      <c r="S675" s="1539"/>
      <c r="T675" s="1540"/>
      <c r="U675" s="1539"/>
      <c r="V675" s="1540"/>
      <c r="W675" s="1540">
        <f t="shared" si="460"/>
        <v>201429804</v>
      </c>
      <c r="X675" s="1212"/>
      <c r="Y675" s="287">
        <v>68278271</v>
      </c>
      <c r="Z675" s="744">
        <v>57085613</v>
      </c>
      <c r="AA675" s="744">
        <f t="shared" si="461"/>
        <v>125363884</v>
      </c>
      <c r="AB675" s="613"/>
      <c r="AC675" s="287"/>
      <c r="AD675" s="613"/>
      <c r="AE675" s="287"/>
      <c r="AF675" s="287">
        <f t="shared" si="462"/>
        <v>125363884</v>
      </c>
      <c r="AG675" s="287"/>
      <c r="AH675" s="288"/>
      <c r="AI675" s="963">
        <v>263144207</v>
      </c>
      <c r="AJ675" s="963"/>
      <c r="AK675" s="963"/>
      <c r="AL675" s="675"/>
      <c r="AM675" s="14">
        <v>94549815</v>
      </c>
      <c r="AN675" s="14">
        <v>93219756</v>
      </c>
      <c r="AO675" s="432">
        <f t="shared" si="463"/>
        <v>187769571</v>
      </c>
      <c r="AP675" s="437"/>
      <c r="AQ675" s="432"/>
      <c r="AR675" s="437"/>
      <c r="AS675" s="432"/>
      <c r="AT675" s="432">
        <f t="shared" si="464"/>
        <v>187769571</v>
      </c>
      <c r="AU675" s="139"/>
      <c r="AV675" s="14">
        <v>59747336</v>
      </c>
      <c r="AW675" s="14">
        <v>61877609</v>
      </c>
      <c r="AX675" s="432">
        <f t="shared" si="465"/>
        <v>121624945</v>
      </c>
      <c r="AY675" s="437"/>
      <c r="AZ675" s="432"/>
      <c r="BA675" s="437"/>
      <c r="BB675" s="432"/>
      <c r="BC675" s="432">
        <f t="shared" si="466"/>
        <v>121624945</v>
      </c>
      <c r="BD675" s="432"/>
      <c r="BE675" s="128"/>
      <c r="BF675" s="220">
        <v>208118518</v>
      </c>
      <c r="BG675" s="37"/>
      <c r="BH675" s="220">
        <v>178874476</v>
      </c>
      <c r="BI675" s="15"/>
    </row>
    <row r="676" spans="2:61" s="1" customFormat="1">
      <c r="B676" s="147"/>
      <c r="C676" s="109" t="s">
        <v>962</v>
      </c>
      <c r="D676" s="1399">
        <v>1750000</v>
      </c>
      <c r="E676" s="1399">
        <v>3750000</v>
      </c>
      <c r="F676" s="1365">
        <f t="shared" si="453"/>
        <v>5500000</v>
      </c>
      <c r="G676" s="1365">
        <f t="shared" si="452"/>
        <v>0</v>
      </c>
      <c r="H676" s="1399">
        <f t="shared" si="457"/>
        <v>5500000</v>
      </c>
      <c r="I676" s="1960"/>
      <c r="J676" s="1399"/>
      <c r="K676" s="1960"/>
      <c r="L676" s="1399"/>
      <c r="M676" s="2124">
        <f t="shared" si="458"/>
        <v>5500000</v>
      </c>
      <c r="N676" s="2273"/>
      <c r="O676" s="2014"/>
      <c r="P676" s="1540">
        <v>1750000</v>
      </c>
      <c r="Q676" s="1399">
        <v>2250000</v>
      </c>
      <c r="R676" s="1540">
        <f t="shared" si="459"/>
        <v>4000000</v>
      </c>
      <c r="S676" s="1539"/>
      <c r="T676" s="1540"/>
      <c r="U676" s="1539"/>
      <c r="V676" s="1540"/>
      <c r="W676" s="1540">
        <f t="shared" si="460"/>
        <v>4000000</v>
      </c>
      <c r="X676" s="1212"/>
      <c r="Y676" s="287">
        <v>1500000</v>
      </c>
      <c r="Z676" s="744">
        <v>1500000</v>
      </c>
      <c r="AA676" s="744">
        <f t="shared" si="461"/>
        <v>3000000</v>
      </c>
      <c r="AB676" s="613"/>
      <c r="AC676" s="287"/>
      <c r="AD676" s="613"/>
      <c r="AE676" s="287"/>
      <c r="AF676" s="287">
        <f t="shared" si="462"/>
        <v>3000000</v>
      </c>
      <c r="AG676" s="287"/>
      <c r="AH676" s="288"/>
      <c r="AI676" s="963">
        <v>5610000</v>
      </c>
      <c r="AJ676" s="963"/>
      <c r="AK676" s="963"/>
      <c r="AL676" s="675"/>
      <c r="AM676" s="14">
        <v>3550000</v>
      </c>
      <c r="AN676" s="14">
        <v>500000</v>
      </c>
      <c r="AO676" s="432">
        <f t="shared" si="463"/>
        <v>4050000</v>
      </c>
      <c r="AP676" s="437"/>
      <c r="AQ676" s="432"/>
      <c r="AR676" s="437"/>
      <c r="AS676" s="432"/>
      <c r="AT676" s="432">
        <f t="shared" si="464"/>
        <v>4050000</v>
      </c>
      <c r="AU676" s="139"/>
      <c r="AV676" s="14">
        <v>750000</v>
      </c>
      <c r="AW676" s="14">
        <v>0</v>
      </c>
      <c r="AX676" s="432">
        <f t="shared" si="465"/>
        <v>750000</v>
      </c>
      <c r="AY676" s="437"/>
      <c r="AZ676" s="432"/>
      <c r="BA676" s="437"/>
      <c r="BB676" s="432"/>
      <c r="BC676" s="432">
        <f t="shared" si="466"/>
        <v>750000</v>
      </c>
      <c r="BD676" s="432"/>
      <c r="BE676" s="128"/>
      <c r="BF676" s="220">
        <v>5900000</v>
      </c>
      <c r="BG676" s="37"/>
      <c r="BH676" s="220">
        <v>6417500</v>
      </c>
      <c r="BI676" s="15"/>
    </row>
    <row r="677" spans="2:61" s="1" customFormat="1">
      <c r="B677" s="147"/>
      <c r="C677" s="109" t="s">
        <v>963</v>
      </c>
      <c r="D677" s="1399">
        <v>494527864</v>
      </c>
      <c r="E677" s="1399"/>
      <c r="F677" s="1365">
        <f t="shared" si="453"/>
        <v>494527864</v>
      </c>
      <c r="G677" s="1365">
        <f t="shared" si="452"/>
        <v>0</v>
      </c>
      <c r="H677" s="1399">
        <f t="shared" si="457"/>
        <v>494527864</v>
      </c>
      <c r="I677" s="1960"/>
      <c r="J677" s="1399"/>
      <c r="K677" s="1960"/>
      <c r="L677" s="1399"/>
      <c r="M677" s="2124">
        <f t="shared" si="458"/>
        <v>494527864</v>
      </c>
      <c r="N677" s="2273"/>
      <c r="O677" s="2014"/>
      <c r="P677" s="1540">
        <v>370520898</v>
      </c>
      <c r="Q677" s="1399"/>
      <c r="R677" s="1540">
        <f t="shared" si="459"/>
        <v>370520898</v>
      </c>
      <c r="S677" s="1539"/>
      <c r="T677" s="1540"/>
      <c r="U677" s="1539"/>
      <c r="V677" s="1540"/>
      <c r="W677" s="1540">
        <f t="shared" si="460"/>
        <v>370520898</v>
      </c>
      <c r="X677" s="1212"/>
      <c r="Y677" s="287">
        <v>247013932</v>
      </c>
      <c r="Z677" s="744">
        <v>0</v>
      </c>
      <c r="AA677" s="744">
        <f t="shared" si="461"/>
        <v>247013932</v>
      </c>
      <c r="AB677" s="613"/>
      <c r="AC677" s="287"/>
      <c r="AD677" s="613"/>
      <c r="AE677" s="287"/>
      <c r="AF677" s="287">
        <f t="shared" si="462"/>
        <v>247013932</v>
      </c>
      <c r="AG677" s="287"/>
      <c r="AH677" s="288"/>
      <c r="AI677" s="963">
        <v>487203054</v>
      </c>
      <c r="AJ677" s="963"/>
      <c r="AK677" s="963"/>
      <c r="AL677" s="675"/>
      <c r="AM677" s="14">
        <v>365402292</v>
      </c>
      <c r="AN677" s="14"/>
      <c r="AO677" s="432">
        <f t="shared" si="463"/>
        <v>365402292</v>
      </c>
      <c r="AP677" s="437"/>
      <c r="AQ677" s="432"/>
      <c r="AR677" s="437"/>
      <c r="AS677" s="432"/>
      <c r="AT677" s="432">
        <f t="shared" si="464"/>
        <v>365402292</v>
      </c>
      <c r="AU677" s="139"/>
      <c r="AV677" s="14">
        <v>243601528</v>
      </c>
      <c r="AW677" s="14"/>
      <c r="AX677" s="432">
        <f t="shared" si="465"/>
        <v>243601528</v>
      </c>
      <c r="AY677" s="437"/>
      <c r="AZ677" s="432"/>
      <c r="BA677" s="437"/>
      <c r="BB677" s="432"/>
      <c r="BC677" s="432">
        <f t="shared" si="466"/>
        <v>243601528</v>
      </c>
      <c r="BD677" s="432"/>
      <c r="BE677" s="128"/>
      <c r="BF677" s="220">
        <v>461364173</v>
      </c>
      <c r="BG677" s="37"/>
      <c r="BH677" s="220">
        <v>456472520</v>
      </c>
      <c r="BI677" s="15"/>
    </row>
    <row r="678" spans="2:61" s="1" customFormat="1">
      <c r="B678" s="149"/>
      <c r="C678" s="109" t="s">
        <v>964</v>
      </c>
      <c r="D678" s="1399">
        <v>1985000</v>
      </c>
      <c r="E678" s="1399"/>
      <c r="F678" s="1365">
        <f t="shared" si="453"/>
        <v>1985000</v>
      </c>
      <c r="G678" s="1365">
        <f t="shared" si="452"/>
        <v>0</v>
      </c>
      <c r="H678" s="1399">
        <f t="shared" si="457"/>
        <v>1985000</v>
      </c>
      <c r="I678" s="1960"/>
      <c r="J678" s="1399"/>
      <c r="K678" s="1960"/>
      <c r="L678" s="1399"/>
      <c r="M678" s="2124">
        <f t="shared" si="458"/>
        <v>1985000</v>
      </c>
      <c r="N678" s="2273"/>
      <c r="O678" s="2014"/>
      <c r="P678" s="1540">
        <v>2690000</v>
      </c>
      <c r="Q678" s="1399"/>
      <c r="R678" s="1540">
        <f t="shared" si="459"/>
        <v>2690000</v>
      </c>
      <c r="S678" s="1539"/>
      <c r="T678" s="1540"/>
      <c r="U678" s="1539"/>
      <c r="V678" s="1540"/>
      <c r="W678" s="1540">
        <f t="shared" si="460"/>
        <v>2690000</v>
      </c>
      <c r="X678" s="1212"/>
      <c r="Y678" s="287">
        <v>2785000</v>
      </c>
      <c r="Z678" s="744">
        <v>0</v>
      </c>
      <c r="AA678" s="744">
        <f t="shared" si="461"/>
        <v>2785000</v>
      </c>
      <c r="AB678" s="613"/>
      <c r="AC678" s="287"/>
      <c r="AD678" s="613"/>
      <c r="AE678" s="287"/>
      <c r="AF678" s="287">
        <f t="shared" si="462"/>
        <v>2785000</v>
      </c>
      <c r="AG678" s="287"/>
      <c r="AH678" s="288"/>
      <c r="AI678" s="963">
        <v>10279200</v>
      </c>
      <c r="AJ678" s="963"/>
      <c r="AK678" s="963"/>
      <c r="AL678" s="675"/>
      <c r="AM678" s="14"/>
      <c r="AN678" s="14">
        <v>7381700</v>
      </c>
      <c r="AO678" s="432">
        <f t="shared" si="463"/>
        <v>7381700</v>
      </c>
      <c r="AP678" s="437"/>
      <c r="AQ678" s="432"/>
      <c r="AR678" s="437"/>
      <c r="AS678" s="432"/>
      <c r="AT678" s="432">
        <f t="shared" si="464"/>
        <v>7381700</v>
      </c>
      <c r="AU678" s="139"/>
      <c r="AV678" s="14">
        <v>0</v>
      </c>
      <c r="AW678" s="14">
        <v>4341700</v>
      </c>
      <c r="AX678" s="432">
        <f t="shared" si="465"/>
        <v>4341700</v>
      </c>
      <c r="AY678" s="437"/>
      <c r="AZ678" s="432"/>
      <c r="BA678" s="437"/>
      <c r="BB678" s="432"/>
      <c r="BC678" s="432">
        <f t="shared" si="466"/>
        <v>4341700</v>
      </c>
      <c r="BD678" s="432"/>
      <c r="BE678" s="128"/>
      <c r="BF678" s="220">
        <v>7608500</v>
      </c>
      <c r="BG678" s="37"/>
      <c r="BH678" s="220">
        <v>5267650</v>
      </c>
      <c r="BI678" s="15"/>
    </row>
    <row r="679" spans="2:61" s="1" customFormat="1">
      <c r="B679" s="147"/>
      <c r="C679" s="109" t="s">
        <v>965</v>
      </c>
      <c r="D679" s="1399">
        <v>66151774</v>
      </c>
      <c r="E679" s="1399">
        <v>44218410</v>
      </c>
      <c r="F679" s="1365">
        <f t="shared" si="453"/>
        <v>110370184</v>
      </c>
      <c r="G679" s="1365">
        <f t="shared" si="452"/>
        <v>0</v>
      </c>
      <c r="H679" s="1399">
        <f t="shared" si="457"/>
        <v>110370184</v>
      </c>
      <c r="I679" s="1960"/>
      <c r="J679" s="1399"/>
      <c r="K679" s="1960"/>
      <c r="L679" s="1399"/>
      <c r="M679" s="2124">
        <f t="shared" si="458"/>
        <v>110370184</v>
      </c>
      <c r="N679" s="2273"/>
      <c r="O679" s="2014"/>
      <c r="P679" s="1540">
        <v>45624644</v>
      </c>
      <c r="Q679" s="1399">
        <v>28040603</v>
      </c>
      <c r="R679" s="1540">
        <f t="shared" si="459"/>
        <v>73665247</v>
      </c>
      <c r="S679" s="1539"/>
      <c r="T679" s="1540"/>
      <c r="U679" s="1539"/>
      <c r="V679" s="1540"/>
      <c r="W679" s="1540">
        <f t="shared" si="460"/>
        <v>73665247</v>
      </c>
      <c r="X679" s="1212"/>
      <c r="Y679" s="287">
        <v>25238344</v>
      </c>
      <c r="Z679" s="744">
        <v>15359253</v>
      </c>
      <c r="AA679" s="744">
        <f t="shared" si="461"/>
        <v>40597597</v>
      </c>
      <c r="AB679" s="613"/>
      <c r="AC679" s="287"/>
      <c r="AD679" s="613"/>
      <c r="AE679" s="287"/>
      <c r="AF679" s="287">
        <f t="shared" si="462"/>
        <v>40597597</v>
      </c>
      <c r="AG679" s="287"/>
      <c r="AH679" s="288"/>
      <c r="AI679" s="963">
        <v>104106223</v>
      </c>
      <c r="AJ679" s="963"/>
      <c r="AK679" s="963"/>
      <c r="AL679" s="675"/>
      <c r="AM679" s="14">
        <v>43166473</v>
      </c>
      <c r="AN679" s="14">
        <v>29043764</v>
      </c>
      <c r="AO679" s="432">
        <f t="shared" si="463"/>
        <v>72210237</v>
      </c>
      <c r="AP679" s="437"/>
      <c r="AQ679" s="432"/>
      <c r="AR679" s="437"/>
      <c r="AS679" s="432"/>
      <c r="AT679" s="432">
        <f t="shared" si="464"/>
        <v>72210237</v>
      </c>
      <c r="AU679" s="139"/>
      <c r="AV679" s="14">
        <v>19838462</v>
      </c>
      <c r="AW679" s="14">
        <v>16663050</v>
      </c>
      <c r="AX679" s="432">
        <f t="shared" si="465"/>
        <v>36501512</v>
      </c>
      <c r="AY679" s="437"/>
      <c r="AZ679" s="432"/>
      <c r="BA679" s="437"/>
      <c r="BB679" s="432"/>
      <c r="BC679" s="432">
        <f t="shared" si="466"/>
        <v>36501512</v>
      </c>
      <c r="BD679" s="432"/>
      <c r="BE679" s="128"/>
      <c r="BF679" s="220">
        <v>63045430</v>
      </c>
      <c r="BG679" s="37"/>
      <c r="BH679" s="220">
        <v>34491325</v>
      </c>
      <c r="BI679" s="15"/>
    </row>
    <row r="680" spans="2:61" s="1" customFormat="1">
      <c r="B680" s="147"/>
      <c r="C680" s="109" t="s">
        <v>966</v>
      </c>
      <c r="D680" s="1399">
        <v>95443972</v>
      </c>
      <c r="E680" s="1399">
        <v>104761767</v>
      </c>
      <c r="F680" s="1365">
        <f t="shared" si="453"/>
        <v>200205739</v>
      </c>
      <c r="G680" s="1365">
        <f t="shared" si="452"/>
        <v>0</v>
      </c>
      <c r="H680" s="1399">
        <f t="shared" si="457"/>
        <v>200205739</v>
      </c>
      <c r="I680" s="1960"/>
      <c r="J680" s="1399"/>
      <c r="K680" s="1960"/>
      <c r="L680" s="1399"/>
      <c r="M680" s="2124">
        <f t="shared" si="458"/>
        <v>200205739</v>
      </c>
      <c r="N680" s="2273">
        <f>2085951250*2</f>
        <v>4171902500</v>
      </c>
      <c r="O680" s="2014"/>
      <c r="P680" s="1540">
        <v>70172940</v>
      </c>
      <c r="Q680" s="1399">
        <v>40807633</v>
      </c>
      <c r="R680" s="1540">
        <f t="shared" si="459"/>
        <v>110980573</v>
      </c>
      <c r="S680" s="1539"/>
      <c r="T680" s="1540"/>
      <c r="U680" s="1539"/>
      <c r="V680" s="1540"/>
      <c r="W680" s="1540">
        <f t="shared" si="460"/>
        <v>110980573</v>
      </c>
      <c r="X680" s="1212"/>
      <c r="Y680" s="287">
        <v>47188290</v>
      </c>
      <c r="Z680" s="744">
        <v>11540950</v>
      </c>
      <c r="AA680" s="744">
        <f t="shared" si="461"/>
        <v>58729240</v>
      </c>
      <c r="AB680" s="613"/>
      <c r="AC680" s="287"/>
      <c r="AD680" s="613"/>
      <c r="AE680" s="287"/>
      <c r="AF680" s="287">
        <f t="shared" si="462"/>
        <v>58729240</v>
      </c>
      <c r="AG680" s="287"/>
      <c r="AH680" s="288"/>
      <c r="AI680" s="963">
        <v>192672174</v>
      </c>
      <c r="AJ680" s="963"/>
      <c r="AK680" s="963"/>
      <c r="AL680" s="675"/>
      <c r="AM680" s="14">
        <v>75479450</v>
      </c>
      <c r="AN680" s="14">
        <v>71877875</v>
      </c>
      <c r="AO680" s="432">
        <f t="shared" si="463"/>
        <v>147357325</v>
      </c>
      <c r="AP680" s="437"/>
      <c r="AQ680" s="432"/>
      <c r="AR680" s="437"/>
      <c r="AS680" s="432"/>
      <c r="AT680" s="432">
        <f t="shared" si="464"/>
        <v>147357325</v>
      </c>
      <c r="AU680" s="139"/>
      <c r="AV680" s="14">
        <v>36097625</v>
      </c>
      <c r="AW680" s="14">
        <v>54410000</v>
      </c>
      <c r="AX680" s="432">
        <f t="shared" si="465"/>
        <v>90507625</v>
      </c>
      <c r="AY680" s="437"/>
      <c r="AZ680" s="432"/>
      <c r="BA680" s="437"/>
      <c r="BB680" s="432"/>
      <c r="BC680" s="432">
        <f t="shared" si="466"/>
        <v>90507625</v>
      </c>
      <c r="BD680" s="432"/>
      <c r="BE680" s="128"/>
      <c r="BF680" s="220">
        <v>141070125</v>
      </c>
      <c r="BG680" s="37"/>
      <c r="BH680" s="220">
        <v>294120683</v>
      </c>
      <c r="BI680" s="15"/>
    </row>
    <row r="681" spans="2:61" s="1" customFormat="1">
      <c r="B681" s="147"/>
      <c r="C681" s="109" t="s">
        <v>967</v>
      </c>
      <c r="D681" s="1987">
        <v>5869396531</v>
      </c>
      <c r="E681" s="1399">
        <v>5501283728</v>
      </c>
      <c r="F681" s="1365">
        <f t="shared" si="453"/>
        <v>11370680259</v>
      </c>
      <c r="G681" s="1365">
        <f t="shared" si="452"/>
        <v>0</v>
      </c>
      <c r="H681" s="1399">
        <f t="shared" si="457"/>
        <v>11370680259</v>
      </c>
      <c r="I681" s="1960"/>
      <c r="J681" s="1399"/>
      <c r="K681" s="1960"/>
      <c r="L681" s="1399"/>
      <c r="M681" s="2124">
        <f t="shared" si="458"/>
        <v>11370680259</v>
      </c>
      <c r="N681" s="2273"/>
      <c r="O681" s="2014"/>
      <c r="P681" s="1558">
        <f>ROUND(3778603202.11,0)+2085951250</f>
        <v>5864554452</v>
      </c>
      <c r="Q681" s="1399">
        <v>1250369055</v>
      </c>
      <c r="R681" s="1540">
        <f t="shared" si="459"/>
        <v>7114923507</v>
      </c>
      <c r="S681" s="1539"/>
      <c r="T681" s="1540"/>
      <c r="U681" s="1539"/>
      <c r="V681" s="1540"/>
      <c r="W681" s="1540">
        <f t="shared" si="460"/>
        <v>7114923507</v>
      </c>
      <c r="X681" s="1212"/>
      <c r="Y681" s="287">
        <v>195000073</v>
      </c>
      <c r="Z681" s="744">
        <v>489633558</v>
      </c>
      <c r="AA681" s="744">
        <f t="shared" si="461"/>
        <v>684633631</v>
      </c>
      <c r="AB681" s="613"/>
      <c r="AC681" s="287"/>
      <c r="AD681" s="613"/>
      <c r="AE681" s="287"/>
      <c r="AF681" s="287">
        <f t="shared" si="462"/>
        <v>684633631</v>
      </c>
      <c r="AG681" s="287"/>
      <c r="AH681" s="288"/>
      <c r="AI681" s="963">
        <v>1957630111</v>
      </c>
      <c r="AJ681" s="963"/>
      <c r="AK681" s="963"/>
      <c r="AL681" s="675"/>
      <c r="AM681" s="14">
        <v>54336906</v>
      </c>
      <c r="AN681" s="14">
        <v>1654156867</v>
      </c>
      <c r="AO681" s="432">
        <f t="shared" si="463"/>
        <v>1708493773</v>
      </c>
      <c r="AP681" s="437"/>
      <c r="AQ681" s="432"/>
      <c r="AR681" s="437"/>
      <c r="AS681" s="432"/>
      <c r="AT681" s="432">
        <f t="shared" si="464"/>
        <v>1708493773</v>
      </c>
      <c r="AU681" s="139"/>
      <c r="AV681" s="14">
        <v>17899763</v>
      </c>
      <c r="AW681" s="14">
        <v>1338063233</v>
      </c>
      <c r="AX681" s="432">
        <f t="shared" si="465"/>
        <v>1355962996</v>
      </c>
      <c r="AY681" s="437"/>
      <c r="AZ681" s="432"/>
      <c r="BA681" s="437"/>
      <c r="BB681" s="432"/>
      <c r="BC681" s="432">
        <f t="shared" si="466"/>
        <v>1355962996</v>
      </c>
      <c r="BD681" s="432"/>
      <c r="BE681" s="128"/>
      <c r="BF681" s="220">
        <v>352776403</v>
      </c>
      <c r="BG681" s="37"/>
      <c r="BH681" s="220">
        <v>206002701</v>
      </c>
      <c r="BI681" s="15"/>
    </row>
    <row r="682" spans="2:61" s="1" customFormat="1">
      <c r="B682" s="147"/>
      <c r="C682" s="109" t="s">
        <v>968</v>
      </c>
      <c r="D682" s="1399">
        <v>48008000</v>
      </c>
      <c r="E682" s="1399">
        <v>12323000</v>
      </c>
      <c r="F682" s="1365">
        <f t="shared" si="453"/>
        <v>60331000</v>
      </c>
      <c r="G682" s="1365">
        <f t="shared" si="452"/>
        <v>0</v>
      </c>
      <c r="H682" s="1399">
        <f t="shared" si="457"/>
        <v>60331000</v>
      </c>
      <c r="I682" s="1960"/>
      <c r="J682" s="1399"/>
      <c r="K682" s="1960"/>
      <c r="L682" s="1399"/>
      <c r="M682" s="2124">
        <f t="shared" si="458"/>
        <v>60331000</v>
      </c>
      <c r="N682" s="2273"/>
      <c r="O682" s="2014"/>
      <c r="P682" s="1540">
        <v>36022500</v>
      </c>
      <c r="Q682" s="1399">
        <v>8638000</v>
      </c>
      <c r="R682" s="1540">
        <f t="shared" si="459"/>
        <v>44660500</v>
      </c>
      <c r="S682" s="1539"/>
      <c r="T682" s="1540"/>
      <c r="U682" s="1539"/>
      <c r="V682" s="1540"/>
      <c r="W682" s="1540">
        <f t="shared" si="460"/>
        <v>44660500</v>
      </c>
      <c r="X682" s="1212"/>
      <c r="Y682" s="287">
        <v>21600500</v>
      </c>
      <c r="Z682" s="744">
        <v>4524500</v>
      </c>
      <c r="AA682" s="744">
        <f t="shared" si="461"/>
        <v>26125000</v>
      </c>
      <c r="AB682" s="613"/>
      <c r="AC682" s="287"/>
      <c r="AD682" s="613"/>
      <c r="AE682" s="287"/>
      <c r="AF682" s="287">
        <f t="shared" si="462"/>
        <v>26125000</v>
      </c>
      <c r="AG682" s="287"/>
      <c r="AH682" s="288"/>
      <c r="AI682" s="963">
        <v>39993160</v>
      </c>
      <c r="AJ682" s="963"/>
      <c r="AK682" s="963"/>
      <c r="AL682" s="675"/>
      <c r="AM682" s="14">
        <v>17523000</v>
      </c>
      <c r="AN682" s="14">
        <v>9251410</v>
      </c>
      <c r="AO682" s="432">
        <f t="shared" si="463"/>
        <v>26774410</v>
      </c>
      <c r="AP682" s="437"/>
      <c r="AQ682" s="432"/>
      <c r="AR682" s="437"/>
      <c r="AS682" s="432"/>
      <c r="AT682" s="432">
        <f t="shared" si="464"/>
        <v>26774410</v>
      </c>
      <c r="AU682" s="139"/>
      <c r="AV682" s="14">
        <v>9931500</v>
      </c>
      <c r="AW682" s="14">
        <v>6549510</v>
      </c>
      <c r="AX682" s="432">
        <f t="shared" si="465"/>
        <v>16481010</v>
      </c>
      <c r="AY682" s="437"/>
      <c r="AZ682" s="432"/>
      <c r="BA682" s="437"/>
      <c r="BB682" s="432"/>
      <c r="BC682" s="432">
        <f t="shared" si="466"/>
        <v>16481010</v>
      </c>
      <c r="BD682" s="432"/>
      <c r="BE682" s="128"/>
      <c r="BF682" s="220">
        <v>33652650</v>
      </c>
      <c r="BG682" s="37"/>
      <c r="BH682" s="220">
        <v>17517600</v>
      </c>
      <c r="BI682" s="15"/>
    </row>
    <row r="683" spans="2:61" s="1" customFormat="1">
      <c r="B683" s="147"/>
      <c r="C683" s="109" t="s">
        <v>969</v>
      </c>
      <c r="D683" s="1399">
        <f>ROUND(9081632.15,0)</f>
        <v>9081632</v>
      </c>
      <c r="E683" s="1399">
        <v>400000</v>
      </c>
      <c r="F683" s="1365">
        <f t="shared" si="453"/>
        <v>9481632</v>
      </c>
      <c r="G683" s="1365">
        <f t="shared" si="452"/>
        <v>0</v>
      </c>
      <c r="H683" s="1399">
        <f t="shared" si="457"/>
        <v>9481632</v>
      </c>
      <c r="I683" s="1960"/>
      <c r="J683" s="1399"/>
      <c r="K683" s="1960"/>
      <c r="L683" s="1399"/>
      <c r="M683" s="2124">
        <f t="shared" si="458"/>
        <v>9481632</v>
      </c>
      <c r="N683" s="2273"/>
      <c r="O683" s="2014"/>
      <c r="P683" s="1540"/>
      <c r="Q683" s="1399">
        <v>400000</v>
      </c>
      <c r="R683" s="1540">
        <f t="shared" si="459"/>
        <v>400000</v>
      </c>
      <c r="S683" s="1539"/>
      <c r="T683" s="1540"/>
      <c r="U683" s="1539"/>
      <c r="V683" s="1540"/>
      <c r="W683" s="1540">
        <f t="shared" si="460"/>
        <v>400000</v>
      </c>
      <c r="X683" s="1212"/>
      <c r="Y683" s="287">
        <v>0</v>
      </c>
      <c r="Z683" s="744">
        <v>400000</v>
      </c>
      <c r="AA683" s="744">
        <f t="shared" si="461"/>
        <v>400000</v>
      </c>
      <c r="AB683" s="613"/>
      <c r="AC683" s="287"/>
      <c r="AD683" s="613"/>
      <c r="AE683" s="287"/>
      <c r="AF683" s="287">
        <f t="shared" si="462"/>
        <v>400000</v>
      </c>
      <c r="AG683" s="287"/>
      <c r="AH683" s="288"/>
      <c r="AI683" s="963">
        <v>12725792</v>
      </c>
      <c r="AJ683" s="963"/>
      <c r="AK683" s="963"/>
      <c r="AL683" s="675"/>
      <c r="AM683" s="14"/>
      <c r="AN683" s="14">
        <v>8344345</v>
      </c>
      <c r="AO683" s="432">
        <f t="shared" si="463"/>
        <v>8344345</v>
      </c>
      <c r="AP683" s="437"/>
      <c r="AQ683" s="432"/>
      <c r="AR683" s="437"/>
      <c r="AS683" s="432"/>
      <c r="AT683" s="432">
        <f t="shared" si="464"/>
        <v>8344345</v>
      </c>
      <c r="AU683" s="139"/>
      <c r="AV683" s="14">
        <v>0</v>
      </c>
      <c r="AW683" s="14">
        <v>5663927</v>
      </c>
      <c r="AX683" s="432">
        <f t="shared" si="465"/>
        <v>5663927</v>
      </c>
      <c r="AY683" s="437"/>
      <c r="AZ683" s="432"/>
      <c r="BA683" s="437"/>
      <c r="BB683" s="432"/>
      <c r="BC683" s="432">
        <f t="shared" si="466"/>
        <v>5663927</v>
      </c>
      <c r="BD683" s="432"/>
      <c r="BE683" s="128"/>
      <c r="BF683" s="220">
        <v>10715486</v>
      </c>
      <c r="BG683" s="37"/>
      <c r="BH683" s="220">
        <v>11470092</v>
      </c>
      <c r="BI683" s="15"/>
    </row>
    <row r="684" spans="2:61" s="1" customFormat="1">
      <c r="B684" s="147"/>
      <c r="C684" s="109" t="s">
        <v>970</v>
      </c>
      <c r="D684" s="1399">
        <v>0</v>
      </c>
      <c r="E684" s="1399">
        <v>113039448</v>
      </c>
      <c r="F684" s="1365">
        <f t="shared" si="453"/>
        <v>113039448</v>
      </c>
      <c r="G684" s="1365">
        <f t="shared" si="452"/>
        <v>0</v>
      </c>
      <c r="H684" s="1399">
        <f t="shared" si="457"/>
        <v>113039448</v>
      </c>
      <c r="I684" s="1960"/>
      <c r="J684" s="1399"/>
      <c r="K684" s="1960"/>
      <c r="L684" s="1399"/>
      <c r="M684" s="2124">
        <f t="shared" si="458"/>
        <v>113039448</v>
      </c>
      <c r="N684" s="2273"/>
      <c r="O684" s="2014"/>
      <c r="P684" s="1540"/>
      <c r="Q684" s="1399">
        <v>84698350</v>
      </c>
      <c r="R684" s="1540">
        <f t="shared" si="459"/>
        <v>84698350</v>
      </c>
      <c r="S684" s="1539"/>
      <c r="T684" s="1540"/>
      <c r="U684" s="1539"/>
      <c r="V684" s="1540"/>
      <c r="W684" s="1540">
        <f t="shared" si="460"/>
        <v>84698350</v>
      </c>
      <c r="X684" s="1212"/>
      <c r="Y684" s="287">
        <v>0</v>
      </c>
      <c r="Z684" s="744">
        <v>57148900</v>
      </c>
      <c r="AA684" s="744">
        <f t="shared" si="461"/>
        <v>57148900</v>
      </c>
      <c r="AB684" s="613"/>
      <c r="AC684" s="287"/>
      <c r="AD684" s="613"/>
      <c r="AE684" s="287"/>
      <c r="AF684" s="287">
        <f t="shared" si="462"/>
        <v>57148900</v>
      </c>
      <c r="AG684" s="287"/>
      <c r="AH684" s="288"/>
      <c r="AI684" s="963">
        <v>112201144</v>
      </c>
      <c r="AJ684" s="963"/>
      <c r="AK684" s="963"/>
      <c r="AL684" s="675"/>
      <c r="AM684" s="14"/>
      <c r="AN684" s="14">
        <v>84899108</v>
      </c>
      <c r="AO684" s="432">
        <f t="shared" si="463"/>
        <v>84899108</v>
      </c>
      <c r="AP684" s="437"/>
      <c r="AQ684" s="432"/>
      <c r="AR684" s="437"/>
      <c r="AS684" s="432"/>
      <c r="AT684" s="432">
        <f t="shared" si="464"/>
        <v>84899108</v>
      </c>
      <c r="AU684" s="139"/>
      <c r="AV684" s="14">
        <v>0</v>
      </c>
      <c r="AW684" s="14">
        <v>57657072</v>
      </c>
      <c r="AX684" s="432">
        <f t="shared" si="465"/>
        <v>57657072</v>
      </c>
      <c r="AY684" s="437"/>
      <c r="AZ684" s="432"/>
      <c r="BA684" s="437"/>
      <c r="BB684" s="432"/>
      <c r="BC684" s="432">
        <f t="shared" si="466"/>
        <v>57657072</v>
      </c>
      <c r="BD684" s="432"/>
      <c r="BE684" s="128"/>
      <c r="BF684" s="220">
        <v>108173739</v>
      </c>
      <c r="BG684" s="37"/>
      <c r="BH684" s="220">
        <v>113114098</v>
      </c>
      <c r="BI684" s="15"/>
    </row>
    <row r="685" spans="2:61" s="1" customFormat="1">
      <c r="B685" s="147"/>
      <c r="C685" s="109" t="s">
        <v>971</v>
      </c>
      <c r="D685" s="1399">
        <v>29120505</v>
      </c>
      <c r="E685" s="1399">
        <v>96850600</v>
      </c>
      <c r="F685" s="1365">
        <f t="shared" si="453"/>
        <v>125971105</v>
      </c>
      <c r="G685" s="1365">
        <f t="shared" si="452"/>
        <v>0</v>
      </c>
      <c r="H685" s="1399">
        <f t="shared" si="457"/>
        <v>125971105</v>
      </c>
      <c r="I685" s="1960"/>
      <c r="J685" s="1399"/>
      <c r="K685" s="1960"/>
      <c r="L685" s="1399"/>
      <c r="M685" s="2124">
        <f t="shared" si="458"/>
        <v>125971105</v>
      </c>
      <c r="N685" s="2273"/>
      <c r="O685" s="2014"/>
      <c r="P685" s="1540">
        <v>23213065</v>
      </c>
      <c r="Q685" s="1399">
        <v>48489260</v>
      </c>
      <c r="R685" s="1540">
        <f t="shared" si="459"/>
        <v>71702325</v>
      </c>
      <c r="S685" s="1539"/>
      <c r="T685" s="1540"/>
      <c r="U685" s="1539"/>
      <c r="V685" s="1540"/>
      <c r="W685" s="1540">
        <f t="shared" si="460"/>
        <v>71702325</v>
      </c>
      <c r="X685" s="1212"/>
      <c r="Y685" s="287">
        <v>6006765</v>
      </c>
      <c r="Z685" s="744">
        <v>33114760</v>
      </c>
      <c r="AA685" s="744">
        <f t="shared" si="461"/>
        <v>39121525</v>
      </c>
      <c r="AB685" s="613"/>
      <c r="AC685" s="287"/>
      <c r="AD685" s="613"/>
      <c r="AE685" s="287"/>
      <c r="AF685" s="287">
        <f t="shared" si="462"/>
        <v>39121525</v>
      </c>
      <c r="AG685" s="287"/>
      <c r="AH685" s="288"/>
      <c r="AI685" s="963">
        <v>58019190</v>
      </c>
      <c r="AJ685" s="963"/>
      <c r="AK685" s="963"/>
      <c r="AL685" s="675"/>
      <c r="AM685" s="14">
        <v>18194800</v>
      </c>
      <c r="AN685" s="14">
        <v>34031090</v>
      </c>
      <c r="AO685" s="432">
        <f t="shared" si="463"/>
        <v>52225890</v>
      </c>
      <c r="AP685" s="437"/>
      <c r="AQ685" s="432"/>
      <c r="AR685" s="437"/>
      <c r="AS685" s="432"/>
      <c r="AT685" s="432">
        <f t="shared" si="464"/>
        <v>52225890</v>
      </c>
      <c r="AU685" s="139"/>
      <c r="AV685" s="14">
        <v>15968700</v>
      </c>
      <c r="AW685" s="14">
        <v>26141590</v>
      </c>
      <c r="AX685" s="432">
        <f t="shared" si="465"/>
        <v>42110290</v>
      </c>
      <c r="AY685" s="437"/>
      <c r="AZ685" s="432"/>
      <c r="BA685" s="437"/>
      <c r="BB685" s="432"/>
      <c r="BC685" s="432">
        <f t="shared" si="466"/>
        <v>42110290</v>
      </c>
      <c r="BD685" s="432"/>
      <c r="BE685" s="128"/>
      <c r="BF685" s="220">
        <v>45427197</v>
      </c>
      <c r="BG685" s="37"/>
      <c r="BH685" s="220">
        <v>79473172</v>
      </c>
      <c r="BI685" s="15"/>
    </row>
    <row r="686" spans="2:61" s="1" customFormat="1">
      <c r="B686" s="147" t="s">
        <v>407</v>
      </c>
      <c r="C686" s="109" t="s">
        <v>972</v>
      </c>
      <c r="D686" s="1399"/>
      <c r="E686" s="1399">
        <v>11199100</v>
      </c>
      <c r="F686" s="1365">
        <f t="shared" si="453"/>
        <v>11199100</v>
      </c>
      <c r="G686" s="1365">
        <f t="shared" si="452"/>
        <v>0</v>
      </c>
      <c r="H686" s="1399">
        <f t="shared" si="457"/>
        <v>11199100</v>
      </c>
      <c r="I686" s="1960"/>
      <c r="J686" s="1399"/>
      <c r="K686" s="1960"/>
      <c r="L686" s="1399"/>
      <c r="M686" s="2124">
        <f t="shared" si="458"/>
        <v>11199100</v>
      </c>
      <c r="N686" s="2273"/>
      <c r="O686" s="2014"/>
      <c r="P686" s="1540"/>
      <c r="Q686" s="1399">
        <v>4480600</v>
      </c>
      <c r="R686" s="1540">
        <f t="shared" si="459"/>
        <v>4480600</v>
      </c>
      <c r="S686" s="1539"/>
      <c r="T686" s="1540"/>
      <c r="U686" s="1539"/>
      <c r="V686" s="1540"/>
      <c r="W686" s="1540">
        <f t="shared" si="460"/>
        <v>4480600</v>
      </c>
      <c r="X686" s="1212"/>
      <c r="Y686" s="287">
        <v>0</v>
      </c>
      <c r="Z686" s="744">
        <v>3820600</v>
      </c>
      <c r="AA686" s="744">
        <f t="shared" si="461"/>
        <v>3820600</v>
      </c>
      <c r="AB686" s="613"/>
      <c r="AC686" s="287"/>
      <c r="AD686" s="613"/>
      <c r="AE686" s="287"/>
      <c r="AF686" s="287">
        <f t="shared" si="462"/>
        <v>3820600</v>
      </c>
      <c r="AG686" s="287"/>
      <c r="AH686" s="288"/>
      <c r="AI686" s="963">
        <v>61999059</v>
      </c>
      <c r="AJ686" s="963"/>
      <c r="AK686" s="963"/>
      <c r="AL686" s="675"/>
      <c r="AM686" s="14"/>
      <c r="AN686" s="14">
        <v>54499059</v>
      </c>
      <c r="AO686" s="432">
        <f t="shared" si="463"/>
        <v>54499059</v>
      </c>
      <c r="AP686" s="437"/>
      <c r="AQ686" s="432"/>
      <c r="AR686" s="437"/>
      <c r="AS686" s="432"/>
      <c r="AT686" s="432">
        <f t="shared" si="464"/>
        <v>54499059</v>
      </c>
      <c r="AU686" s="139"/>
      <c r="AV686" s="14"/>
      <c r="AW686" s="14">
        <v>42645659</v>
      </c>
      <c r="AX686" s="432">
        <f t="shared" si="465"/>
        <v>42645659</v>
      </c>
      <c r="AY686" s="437"/>
      <c r="AZ686" s="432"/>
      <c r="BA686" s="437"/>
      <c r="BB686" s="432"/>
      <c r="BC686" s="432">
        <f t="shared" si="466"/>
        <v>42645659</v>
      </c>
      <c r="BD686" s="432"/>
      <c r="BE686" s="128"/>
      <c r="BF686" s="220">
        <v>56133012</v>
      </c>
      <c r="BG686" s="37"/>
      <c r="BH686" s="220">
        <v>14462900</v>
      </c>
      <c r="BI686" s="15"/>
    </row>
    <row r="687" spans="2:61" s="1" customFormat="1">
      <c r="B687" s="147"/>
      <c r="C687" s="109" t="s">
        <v>973</v>
      </c>
      <c r="D687" s="1399">
        <v>1940000</v>
      </c>
      <c r="E687" s="1399">
        <v>25000</v>
      </c>
      <c r="F687" s="1365">
        <f t="shared" si="453"/>
        <v>1965000</v>
      </c>
      <c r="G687" s="1365">
        <f t="shared" si="452"/>
        <v>0</v>
      </c>
      <c r="H687" s="1399">
        <f t="shared" si="457"/>
        <v>1965000</v>
      </c>
      <c r="I687" s="1960"/>
      <c r="J687" s="1399"/>
      <c r="K687" s="1960"/>
      <c r="L687" s="1399"/>
      <c r="M687" s="2124">
        <f t="shared" si="458"/>
        <v>1965000</v>
      </c>
      <c r="N687" s="2273"/>
      <c r="O687" s="2014"/>
      <c r="P687" s="1540">
        <v>1940000</v>
      </c>
      <c r="Q687" s="1399">
        <v>25000</v>
      </c>
      <c r="R687" s="1540">
        <f t="shared" si="459"/>
        <v>1965000</v>
      </c>
      <c r="S687" s="1539"/>
      <c r="T687" s="1540"/>
      <c r="U687" s="1539"/>
      <c r="V687" s="1540"/>
      <c r="W687" s="1540">
        <f t="shared" si="460"/>
        <v>1965000</v>
      </c>
      <c r="X687" s="1212"/>
      <c r="Y687" s="287">
        <v>1940000</v>
      </c>
      <c r="Z687" s="744">
        <v>25000</v>
      </c>
      <c r="AA687" s="744">
        <f t="shared" si="461"/>
        <v>1965000</v>
      </c>
      <c r="AB687" s="613"/>
      <c r="AC687" s="287"/>
      <c r="AD687" s="613"/>
      <c r="AE687" s="287"/>
      <c r="AF687" s="287">
        <f t="shared" si="462"/>
        <v>1965000</v>
      </c>
      <c r="AG687" s="287"/>
      <c r="AH687" s="288"/>
      <c r="AI687" s="963">
        <v>225000</v>
      </c>
      <c r="AJ687" s="963"/>
      <c r="AK687" s="963"/>
      <c r="AL687" s="675"/>
      <c r="AM687" s="14">
        <v>50000</v>
      </c>
      <c r="AN687" s="14">
        <v>150000</v>
      </c>
      <c r="AO687" s="432">
        <f t="shared" si="463"/>
        <v>200000</v>
      </c>
      <c r="AP687" s="437"/>
      <c r="AQ687" s="432"/>
      <c r="AR687" s="437"/>
      <c r="AS687" s="432"/>
      <c r="AT687" s="432">
        <f t="shared" si="464"/>
        <v>200000</v>
      </c>
      <c r="AU687" s="139"/>
      <c r="AV687" s="14">
        <v>25000</v>
      </c>
      <c r="AW687" s="14">
        <v>75000</v>
      </c>
      <c r="AX687" s="432">
        <f t="shared" si="465"/>
        <v>100000</v>
      </c>
      <c r="AY687" s="437"/>
      <c r="AZ687" s="432"/>
      <c r="BA687" s="437"/>
      <c r="BB687" s="432"/>
      <c r="BC687" s="432">
        <f t="shared" si="466"/>
        <v>100000</v>
      </c>
      <c r="BD687" s="432"/>
      <c r="BE687" s="128"/>
      <c r="BF687" s="220">
        <v>1270000</v>
      </c>
      <c r="BG687" s="37"/>
      <c r="BH687" s="220">
        <v>750000</v>
      </c>
      <c r="BI687" s="15"/>
    </row>
    <row r="688" spans="2:61" s="1" customFormat="1">
      <c r="B688" s="147"/>
      <c r="C688" s="109" t="s">
        <v>974</v>
      </c>
      <c r="D688" s="1399">
        <v>708567753</v>
      </c>
      <c r="E688" s="1399">
        <v>817961045</v>
      </c>
      <c r="F688" s="1365">
        <f t="shared" si="453"/>
        <v>1526528798</v>
      </c>
      <c r="G688" s="1365">
        <f t="shared" si="452"/>
        <v>0</v>
      </c>
      <c r="H688" s="1399">
        <f t="shared" si="457"/>
        <v>1526528798</v>
      </c>
      <c r="I688" s="1960"/>
      <c r="J688" s="1399"/>
      <c r="K688" s="1960"/>
      <c r="L688" s="1399"/>
      <c r="M688" s="2124">
        <f t="shared" si="458"/>
        <v>1526528798</v>
      </c>
      <c r="N688" s="2273"/>
      <c r="O688" s="2014"/>
      <c r="P688" s="1540">
        <v>399285816</v>
      </c>
      <c r="Q688" s="1399">
        <f>ROUND(700456825.890002,0)</f>
        <v>700456826</v>
      </c>
      <c r="R688" s="1540">
        <f t="shared" si="459"/>
        <v>1099742642</v>
      </c>
      <c r="S688" s="1539"/>
      <c r="T688" s="1540"/>
      <c r="U688" s="1539"/>
      <c r="V688" s="1540"/>
      <c r="W688" s="1540">
        <f t="shared" si="460"/>
        <v>1099742642</v>
      </c>
      <c r="X688" s="1212"/>
      <c r="Y688" s="287">
        <v>399285816</v>
      </c>
      <c r="Z688" s="744">
        <v>470985575</v>
      </c>
      <c r="AA688" s="744">
        <f t="shared" si="461"/>
        <v>870271391</v>
      </c>
      <c r="AB688" s="613"/>
      <c r="AC688" s="287"/>
      <c r="AD688" s="613"/>
      <c r="AE688" s="287"/>
      <c r="AF688" s="285">
        <f t="shared" si="462"/>
        <v>870271391</v>
      </c>
      <c r="AG688" s="285"/>
      <c r="AH688" s="288"/>
      <c r="AI688" s="963">
        <v>988291910</v>
      </c>
      <c r="AJ688" s="963"/>
      <c r="AK688" s="963"/>
      <c r="AL688" s="675"/>
      <c r="AM688" s="14">
        <v>493818136</v>
      </c>
      <c r="AN688" s="14">
        <v>256923641</v>
      </c>
      <c r="AO688" s="432">
        <f t="shared" si="463"/>
        <v>750741777</v>
      </c>
      <c r="AP688" s="437"/>
      <c r="AQ688" s="432"/>
      <c r="AR688" s="437"/>
      <c r="AS688" s="432"/>
      <c r="AT688" s="432">
        <f t="shared" si="464"/>
        <v>750741777</v>
      </c>
      <c r="AU688" s="139"/>
      <c r="AV688" s="14">
        <v>426209369</v>
      </c>
      <c r="AW688" s="14">
        <v>223241030</v>
      </c>
      <c r="AX688" s="432">
        <f t="shared" si="465"/>
        <v>649450399</v>
      </c>
      <c r="AY688" s="437"/>
      <c r="AZ688" s="432"/>
      <c r="BA688" s="437"/>
      <c r="BB688" s="432"/>
      <c r="BC688" s="432">
        <f t="shared" si="466"/>
        <v>649450399</v>
      </c>
      <c r="BD688" s="432"/>
      <c r="BE688" s="128"/>
      <c r="BF688" s="220">
        <v>1079123182</v>
      </c>
      <c r="BG688" s="37"/>
      <c r="BH688" s="220">
        <v>377491276</v>
      </c>
      <c r="BI688" s="15"/>
    </row>
    <row r="689" spans="2:61" s="1" customFormat="1">
      <c r="B689" s="147"/>
      <c r="C689" s="109" t="s">
        <v>975</v>
      </c>
      <c r="D689" s="1399">
        <v>18004700</v>
      </c>
      <c r="E689" s="1399">
        <v>49972350</v>
      </c>
      <c r="F689" s="1365">
        <f t="shared" si="453"/>
        <v>67977050</v>
      </c>
      <c r="G689" s="1365">
        <f t="shared" si="452"/>
        <v>0</v>
      </c>
      <c r="H689" s="1399">
        <f t="shared" si="457"/>
        <v>67977050</v>
      </c>
      <c r="I689" s="1960"/>
      <c r="J689" s="1399"/>
      <c r="K689" s="1960"/>
      <c r="L689" s="1399"/>
      <c r="M689" s="2124">
        <f t="shared" si="458"/>
        <v>67977050</v>
      </c>
      <c r="N689" s="2273"/>
      <c r="O689" s="2014"/>
      <c r="P689" s="1540">
        <v>10757450</v>
      </c>
      <c r="Q689" s="1399">
        <v>47177075</v>
      </c>
      <c r="R689" s="1540">
        <f t="shared" si="459"/>
        <v>57934525</v>
      </c>
      <c r="S689" s="1539"/>
      <c r="T689" s="1540"/>
      <c r="U689" s="1539"/>
      <c r="V689" s="1540"/>
      <c r="W689" s="1540">
        <f t="shared" si="460"/>
        <v>57934525</v>
      </c>
      <c r="X689" s="1212"/>
      <c r="Y689" s="287">
        <v>10757450</v>
      </c>
      <c r="Z689" s="744">
        <v>30799575</v>
      </c>
      <c r="AA689" s="744">
        <f t="shared" si="461"/>
        <v>41557025</v>
      </c>
      <c r="AB689" s="613"/>
      <c r="AC689" s="287"/>
      <c r="AD689" s="613"/>
      <c r="AE689" s="287"/>
      <c r="AF689" s="287">
        <f t="shared" si="462"/>
        <v>41557025</v>
      </c>
      <c r="AG689" s="287"/>
      <c r="AH689" s="288"/>
      <c r="AI689" s="963">
        <v>79640650</v>
      </c>
      <c r="AJ689" s="963"/>
      <c r="AK689" s="963"/>
      <c r="AL689" s="675"/>
      <c r="AM689" s="14">
        <v>37163000</v>
      </c>
      <c r="AN689" s="14">
        <v>32614900</v>
      </c>
      <c r="AO689" s="432">
        <f t="shared" si="463"/>
        <v>69777900</v>
      </c>
      <c r="AP689" s="437"/>
      <c r="AQ689" s="432"/>
      <c r="AR689" s="437"/>
      <c r="AS689" s="432"/>
      <c r="AT689" s="432">
        <f t="shared" si="464"/>
        <v>69777900</v>
      </c>
      <c r="AU689" s="139"/>
      <c r="AV689" s="14">
        <v>19688500</v>
      </c>
      <c r="AW689" s="14">
        <v>25333750</v>
      </c>
      <c r="AX689" s="432">
        <f t="shared" si="465"/>
        <v>45022250</v>
      </c>
      <c r="AY689" s="437"/>
      <c r="AZ689" s="432"/>
      <c r="BA689" s="437"/>
      <c r="BB689" s="432"/>
      <c r="BC689" s="432">
        <f t="shared" si="466"/>
        <v>45022250</v>
      </c>
      <c r="BD689" s="432"/>
      <c r="BE689" s="128"/>
      <c r="BF689" s="220">
        <v>69854525</v>
      </c>
      <c r="BG689" s="37"/>
      <c r="BH689" s="220">
        <v>56509500</v>
      </c>
      <c r="BI689" s="15"/>
    </row>
    <row r="690" spans="2:61" s="1" customFormat="1">
      <c r="B690" s="147"/>
      <c r="C690" s="109" t="s">
        <v>976</v>
      </c>
      <c r="D690" s="1399">
        <v>986155206</v>
      </c>
      <c r="E690" s="1399">
        <v>254556660</v>
      </c>
      <c r="F690" s="1365">
        <f t="shared" si="453"/>
        <v>1240711866</v>
      </c>
      <c r="G690" s="1365">
        <f t="shared" si="452"/>
        <v>0</v>
      </c>
      <c r="H690" s="1399">
        <f t="shared" si="457"/>
        <v>1240711866</v>
      </c>
      <c r="I690" s="1960"/>
      <c r="J690" s="1399"/>
      <c r="K690" s="1960"/>
      <c r="L690" s="1399"/>
      <c r="M690" s="2124">
        <f t="shared" si="458"/>
        <v>1240711866</v>
      </c>
      <c r="N690" s="2273"/>
      <c r="O690" s="2014"/>
      <c r="P690" s="1540">
        <v>933155206</v>
      </c>
      <c r="Q690" s="1399">
        <v>153569310</v>
      </c>
      <c r="R690" s="1540">
        <f t="shared" si="459"/>
        <v>1086724516</v>
      </c>
      <c r="S690" s="1539"/>
      <c r="T690" s="1540"/>
      <c r="U690" s="1539"/>
      <c r="V690" s="1540"/>
      <c r="W690" s="1540">
        <f t="shared" si="460"/>
        <v>1086724516</v>
      </c>
      <c r="X690" s="1212"/>
      <c r="Y690" s="287">
        <v>371185489</v>
      </c>
      <c r="Z690" s="744">
        <v>122694310</v>
      </c>
      <c r="AA690" s="744">
        <f t="shared" si="461"/>
        <v>493879799</v>
      </c>
      <c r="AB690" s="613"/>
      <c r="AC690" s="287"/>
      <c r="AD690" s="613"/>
      <c r="AE690" s="287"/>
      <c r="AF690" s="287">
        <f t="shared" si="462"/>
        <v>493879799</v>
      </c>
      <c r="AG690" s="287"/>
      <c r="AH690" s="288"/>
      <c r="AI690" s="963">
        <v>960749200</v>
      </c>
      <c r="AJ690" s="963"/>
      <c r="AK690" s="963"/>
      <c r="AL690" s="675"/>
      <c r="AM690" s="14"/>
      <c r="AN690" s="14">
        <v>882432990</v>
      </c>
      <c r="AO690" s="432">
        <f t="shared" si="463"/>
        <v>882432990</v>
      </c>
      <c r="AP690" s="437"/>
      <c r="AQ690" s="432"/>
      <c r="AR690" s="437"/>
      <c r="AS690" s="432"/>
      <c r="AT690" s="432">
        <f t="shared" si="464"/>
        <v>882432990</v>
      </c>
      <c r="AU690" s="139"/>
      <c r="AV690" s="14">
        <v>0</v>
      </c>
      <c r="AW690" s="14">
        <v>834215280</v>
      </c>
      <c r="AX690" s="432">
        <f t="shared" si="465"/>
        <v>834215280</v>
      </c>
      <c r="AY690" s="437"/>
      <c r="AZ690" s="432"/>
      <c r="BA690" s="437"/>
      <c r="BB690" s="432"/>
      <c r="BC690" s="432">
        <f t="shared" si="466"/>
        <v>834215280</v>
      </c>
      <c r="BD690" s="432"/>
      <c r="BE690" s="128"/>
      <c r="BF690" s="220">
        <v>1016725183</v>
      </c>
      <c r="BG690" s="37"/>
      <c r="BH690" s="220">
        <v>231515000</v>
      </c>
      <c r="BI690" s="15"/>
    </row>
    <row r="691" spans="2:61" s="1" customFormat="1">
      <c r="B691" s="147"/>
      <c r="C691" s="109" t="s">
        <v>977</v>
      </c>
      <c r="D691" s="1399">
        <v>20197065</v>
      </c>
      <c r="E691" s="1399">
        <v>44471605</v>
      </c>
      <c r="F691" s="1365">
        <f t="shared" si="453"/>
        <v>64668670</v>
      </c>
      <c r="G691" s="1365">
        <f t="shared" si="452"/>
        <v>0</v>
      </c>
      <c r="H691" s="1399">
        <f t="shared" si="457"/>
        <v>64668670</v>
      </c>
      <c r="I691" s="1960"/>
      <c r="J691" s="1399"/>
      <c r="K691" s="1960"/>
      <c r="L691" s="1399"/>
      <c r="M691" s="2124">
        <f t="shared" si="458"/>
        <v>64668670</v>
      </c>
      <c r="N691" s="2273"/>
      <c r="O691" s="2014"/>
      <c r="P691" s="1540">
        <v>14677914</v>
      </c>
      <c r="Q691" s="1399">
        <v>32726289</v>
      </c>
      <c r="R691" s="1540">
        <f t="shared" si="459"/>
        <v>47404203</v>
      </c>
      <c r="S691" s="1539"/>
      <c r="T691" s="1540"/>
      <c r="U691" s="1539"/>
      <c r="V691" s="1540"/>
      <c r="W691" s="1540">
        <f t="shared" si="460"/>
        <v>47404203</v>
      </c>
      <c r="X691" s="1212"/>
      <c r="Y691" s="287">
        <v>9655397</v>
      </c>
      <c r="Z691" s="744">
        <v>20448943</v>
      </c>
      <c r="AA691" s="744">
        <f t="shared" si="461"/>
        <v>30104340</v>
      </c>
      <c r="AB691" s="613"/>
      <c r="AC691" s="287"/>
      <c r="AD691" s="613"/>
      <c r="AE691" s="287"/>
      <c r="AF691" s="287">
        <f t="shared" si="462"/>
        <v>30104340</v>
      </c>
      <c r="AG691" s="287"/>
      <c r="AH691" s="288"/>
      <c r="AI691" s="963">
        <v>66161688</v>
      </c>
      <c r="AJ691" s="963"/>
      <c r="AK691" s="963"/>
      <c r="AL691" s="675"/>
      <c r="AM691" s="14">
        <v>16408319</v>
      </c>
      <c r="AN691" s="14">
        <v>32650421</v>
      </c>
      <c r="AO691" s="432">
        <f t="shared" si="463"/>
        <v>49058740</v>
      </c>
      <c r="AP691" s="437"/>
      <c r="AQ691" s="432"/>
      <c r="AR691" s="437"/>
      <c r="AS691" s="432"/>
      <c r="AT691" s="432">
        <f t="shared" si="464"/>
        <v>49058740</v>
      </c>
      <c r="AU691" s="139"/>
      <c r="AV691" s="14">
        <v>11756305</v>
      </c>
      <c r="AW691" s="14">
        <v>20869709</v>
      </c>
      <c r="AX691" s="432">
        <f t="shared" si="465"/>
        <v>32626014</v>
      </c>
      <c r="AY691" s="437"/>
      <c r="AZ691" s="432"/>
      <c r="BA691" s="437"/>
      <c r="BB691" s="432"/>
      <c r="BC691" s="432">
        <f t="shared" si="466"/>
        <v>32626014</v>
      </c>
      <c r="BD691" s="432"/>
      <c r="BE691" s="128"/>
      <c r="BF691" s="220">
        <v>69667116</v>
      </c>
      <c r="BG691" s="37"/>
      <c r="BH691" s="220">
        <v>80170969</v>
      </c>
      <c r="BI691" s="15"/>
    </row>
    <row r="692" spans="2:61" s="1" customFormat="1">
      <c r="B692" s="147"/>
      <c r="C692" s="109" t="s">
        <v>978</v>
      </c>
      <c r="D692" s="1399">
        <v>634079028</v>
      </c>
      <c r="E692" s="1399">
        <v>546544351</v>
      </c>
      <c r="F692" s="1365">
        <f t="shared" si="453"/>
        <v>1180623379</v>
      </c>
      <c r="G692" s="1365">
        <f t="shared" si="452"/>
        <v>0</v>
      </c>
      <c r="H692" s="1399">
        <f t="shared" si="457"/>
        <v>1180623379</v>
      </c>
      <c r="I692" s="1960"/>
      <c r="J692" s="1399"/>
      <c r="K692" s="1960"/>
      <c r="L692" s="1399"/>
      <c r="M692" s="2124">
        <f t="shared" si="458"/>
        <v>1180623379</v>
      </c>
      <c r="N692" s="2273"/>
      <c r="O692" s="2014"/>
      <c r="P692" s="1540">
        <v>574668461</v>
      </c>
      <c r="Q692" s="1399">
        <v>484044351</v>
      </c>
      <c r="R692" s="1540">
        <f t="shared" si="459"/>
        <v>1058712812</v>
      </c>
      <c r="S692" s="1539"/>
      <c r="T692" s="1540"/>
      <c r="U692" s="1539"/>
      <c r="V692" s="1540"/>
      <c r="W692" s="1540">
        <f t="shared" si="460"/>
        <v>1058712812</v>
      </c>
      <c r="X692" s="1212"/>
      <c r="Y692" s="287">
        <v>522456153</v>
      </c>
      <c r="Z692" s="744">
        <v>278846153</v>
      </c>
      <c r="AA692" s="744">
        <f t="shared" si="461"/>
        <v>801302306</v>
      </c>
      <c r="AB692" s="613"/>
      <c r="AC692" s="287"/>
      <c r="AD692" s="613"/>
      <c r="AE692" s="287"/>
      <c r="AF692" s="287">
        <f t="shared" si="462"/>
        <v>801302306</v>
      </c>
      <c r="AG692" s="287"/>
      <c r="AH692" s="288"/>
      <c r="AI692" s="963">
        <v>1422785302</v>
      </c>
      <c r="AJ692" s="963"/>
      <c r="AK692" s="963"/>
      <c r="AL692" s="675"/>
      <c r="AM692" s="14">
        <v>293940084</v>
      </c>
      <c r="AN692" s="14">
        <v>509179487</v>
      </c>
      <c r="AO692" s="432">
        <f t="shared" si="463"/>
        <v>803119571</v>
      </c>
      <c r="AP692" s="437"/>
      <c r="AQ692" s="432"/>
      <c r="AR692" s="437"/>
      <c r="AS692" s="432"/>
      <c r="AT692" s="432">
        <f t="shared" si="464"/>
        <v>803119571</v>
      </c>
      <c r="AU692" s="139"/>
      <c r="AV692" s="14">
        <v>155507634</v>
      </c>
      <c r="AW692" s="14">
        <v>269179487</v>
      </c>
      <c r="AX692" s="432">
        <f t="shared" si="465"/>
        <v>424687121</v>
      </c>
      <c r="AY692" s="437"/>
      <c r="AZ692" s="432"/>
      <c r="BA692" s="437"/>
      <c r="BB692" s="432"/>
      <c r="BC692" s="432">
        <f t="shared" si="466"/>
        <v>424687121</v>
      </c>
      <c r="BD692" s="432"/>
      <c r="BE692" s="128"/>
      <c r="BF692" s="220">
        <v>2885596157</v>
      </c>
      <c r="BG692" s="37">
        <v>274414948</v>
      </c>
      <c r="BH692" s="220">
        <v>1712548442</v>
      </c>
      <c r="BI692" s="15"/>
    </row>
    <row r="693" spans="2:61" s="1" customFormat="1">
      <c r="B693" s="30"/>
      <c r="C693" s="110" t="s">
        <v>219</v>
      </c>
      <c r="D693" s="1400">
        <f>ROUND(290182718,0)</f>
        <v>290182718</v>
      </c>
      <c r="E693" s="1400">
        <f>ROUND(593613940,0)</f>
        <v>593613940</v>
      </c>
      <c r="F693" s="1365">
        <f t="shared" si="453"/>
        <v>883796658</v>
      </c>
      <c r="G693" s="1365">
        <f t="shared" si="452"/>
        <v>0</v>
      </c>
      <c r="H693" s="1400">
        <f t="shared" si="457"/>
        <v>883796658</v>
      </c>
      <c r="I693" s="1961"/>
      <c r="J693" s="1400"/>
      <c r="K693" s="1961"/>
      <c r="L693" s="1400"/>
      <c r="M693" s="2124">
        <f t="shared" si="458"/>
        <v>883796658</v>
      </c>
      <c r="N693" s="2273"/>
      <c r="O693" s="2014"/>
      <c r="P693" s="1541">
        <v>209687496</v>
      </c>
      <c r="Q693" s="1400">
        <f>ROUND(444416578.5,0)</f>
        <v>444416579</v>
      </c>
      <c r="R693" s="1541">
        <f t="shared" si="459"/>
        <v>654104075</v>
      </c>
      <c r="S693" s="1542"/>
      <c r="T693" s="1541"/>
      <c r="U693" s="1542"/>
      <c r="V693" s="1541"/>
      <c r="W693" s="1541">
        <f t="shared" si="460"/>
        <v>654104075</v>
      </c>
      <c r="X693" s="1212"/>
      <c r="Y693" s="289">
        <v>0</v>
      </c>
      <c r="Z693" s="745">
        <v>0</v>
      </c>
      <c r="AA693" s="745">
        <f t="shared" si="461"/>
        <v>0</v>
      </c>
      <c r="AB693" s="624"/>
      <c r="AC693" s="289"/>
      <c r="AD693" s="624"/>
      <c r="AE693" s="289"/>
      <c r="AF693" s="289">
        <f t="shared" si="462"/>
        <v>0</v>
      </c>
      <c r="AG693" s="289"/>
      <c r="AH693" s="288"/>
      <c r="AI693" s="963">
        <v>872138766</v>
      </c>
      <c r="AJ693" s="963"/>
      <c r="AK693" s="963"/>
      <c r="AL693" s="675">
        <f>(AI693/12)*9</f>
        <v>654104074.5</v>
      </c>
      <c r="AM693" s="14">
        <v>81714215</v>
      </c>
      <c r="AN693" s="14">
        <v>205811211</v>
      </c>
      <c r="AO693" s="432">
        <f t="shared" si="463"/>
        <v>287525426</v>
      </c>
      <c r="AP693" s="437"/>
      <c r="AQ693" s="432"/>
      <c r="AR693" s="437"/>
      <c r="AS693" s="432"/>
      <c r="AT693" s="432">
        <f t="shared" si="464"/>
        <v>287525426</v>
      </c>
      <c r="AU693" s="139"/>
      <c r="AV693" s="14">
        <v>0</v>
      </c>
      <c r="AW693" s="14"/>
      <c r="AX693" s="432">
        <f t="shared" si="465"/>
        <v>0</v>
      </c>
      <c r="AY693" s="437"/>
      <c r="AZ693" s="432"/>
      <c r="BA693" s="437"/>
      <c r="BB693" s="432"/>
      <c r="BC693" s="432">
        <f t="shared" si="466"/>
        <v>0</v>
      </c>
      <c r="BD693" s="432"/>
      <c r="BE693" s="128"/>
      <c r="BF693" s="220">
        <v>383367235</v>
      </c>
      <c r="BG693" s="35" t="e">
        <f>#REF!-BG692</f>
        <v>#REF!</v>
      </c>
      <c r="BH693" s="220">
        <v>818235175</v>
      </c>
      <c r="BI693" s="15"/>
    </row>
    <row r="694" spans="2:61" s="1" customFormat="1">
      <c r="B694" s="147"/>
      <c r="C694" s="109" t="s">
        <v>979</v>
      </c>
      <c r="D694" s="1399">
        <v>405000</v>
      </c>
      <c r="E694" s="1399">
        <v>20796460</v>
      </c>
      <c r="F694" s="1365">
        <f t="shared" si="453"/>
        <v>21201460</v>
      </c>
      <c r="G694" s="1365">
        <f t="shared" si="452"/>
        <v>0</v>
      </c>
      <c r="H694" s="1399">
        <f t="shared" si="457"/>
        <v>21201460</v>
      </c>
      <c r="I694" s="1960"/>
      <c r="J694" s="1399"/>
      <c r="K694" s="1960"/>
      <c r="L694" s="1399"/>
      <c r="M694" s="2124">
        <f t="shared" si="458"/>
        <v>21201460</v>
      </c>
      <c r="N694" s="2273"/>
      <c r="O694" s="2014"/>
      <c r="P694" s="1540">
        <v>305000</v>
      </c>
      <c r="Q694" s="1399">
        <v>14576194</v>
      </c>
      <c r="R694" s="1540">
        <f t="shared" si="459"/>
        <v>14881194</v>
      </c>
      <c r="S694" s="1539"/>
      <c r="T694" s="1540"/>
      <c r="U694" s="1539"/>
      <c r="V694" s="1540"/>
      <c r="W694" s="1540">
        <f t="shared" si="460"/>
        <v>14881194</v>
      </c>
      <c r="X694" s="1212"/>
      <c r="Y694" s="287">
        <v>155000</v>
      </c>
      <c r="Z694" s="744">
        <v>8862938</v>
      </c>
      <c r="AA694" s="744">
        <f t="shared" si="461"/>
        <v>9017938</v>
      </c>
      <c r="AB694" s="613"/>
      <c r="AC694" s="287"/>
      <c r="AD694" s="613"/>
      <c r="AE694" s="287"/>
      <c r="AF694" s="287">
        <f t="shared" si="462"/>
        <v>9017938</v>
      </c>
      <c r="AG694" s="287"/>
      <c r="AH694" s="288"/>
      <c r="AI694" s="963">
        <v>16448010</v>
      </c>
      <c r="AJ694" s="963"/>
      <c r="AK694" s="963"/>
      <c r="AL694" s="675"/>
      <c r="AM694" s="14">
        <v>140000</v>
      </c>
      <c r="AN694" s="14">
        <v>12683010</v>
      </c>
      <c r="AO694" s="432">
        <f t="shared" si="463"/>
        <v>12823010</v>
      </c>
      <c r="AP694" s="437"/>
      <c r="AQ694" s="432"/>
      <c r="AR694" s="437"/>
      <c r="AS694" s="432"/>
      <c r="AT694" s="432">
        <f t="shared" si="464"/>
        <v>12823010</v>
      </c>
      <c r="AU694" s="139"/>
      <c r="AV694" s="14">
        <v>80000</v>
      </c>
      <c r="AW694" s="14">
        <v>9683010</v>
      </c>
      <c r="AX694" s="432">
        <f t="shared" si="465"/>
        <v>9763010</v>
      </c>
      <c r="AY694" s="437"/>
      <c r="AZ694" s="432"/>
      <c r="BA694" s="437"/>
      <c r="BB694" s="432"/>
      <c r="BC694" s="432">
        <f t="shared" si="466"/>
        <v>9763010</v>
      </c>
      <c r="BD694" s="432"/>
      <c r="BE694" s="128"/>
      <c r="BF694" s="220">
        <v>21265000</v>
      </c>
      <c r="BG694" s="37">
        <f>(BF693/12)*9</f>
        <v>287525426.25</v>
      </c>
      <c r="BH694" s="220">
        <v>15375000</v>
      </c>
      <c r="BI694" s="15"/>
    </row>
    <row r="695" spans="2:61" s="1" customFormat="1">
      <c r="B695" s="147"/>
      <c r="C695" s="109" t="s">
        <v>980</v>
      </c>
      <c r="D695" s="1399"/>
      <c r="E695" s="1399"/>
      <c r="F695" s="1365">
        <f t="shared" si="453"/>
        <v>0</v>
      </c>
      <c r="G695" s="1365">
        <f t="shared" si="452"/>
        <v>0</v>
      </c>
      <c r="H695" s="1399">
        <f t="shared" si="457"/>
        <v>0</v>
      </c>
      <c r="I695" s="1960"/>
      <c r="J695" s="1399"/>
      <c r="K695" s="1960"/>
      <c r="L695" s="1399"/>
      <c r="M695" s="1399">
        <f t="shared" si="458"/>
        <v>0</v>
      </c>
      <c r="N695" s="2273"/>
      <c r="O695" s="2014"/>
      <c r="P695" s="1540"/>
      <c r="Q695" s="1399"/>
      <c r="R695" s="1540">
        <f t="shared" si="459"/>
        <v>0</v>
      </c>
      <c r="S695" s="1539"/>
      <c r="T695" s="1540"/>
      <c r="U695" s="1539"/>
      <c r="V695" s="1540"/>
      <c r="W695" s="1540">
        <f t="shared" si="460"/>
        <v>0</v>
      </c>
      <c r="X695" s="1212"/>
      <c r="Y695" s="287">
        <v>0</v>
      </c>
      <c r="Z695" s="744">
        <v>0</v>
      </c>
      <c r="AA695" s="744">
        <f t="shared" si="461"/>
        <v>0</v>
      </c>
      <c r="AB695" s="613"/>
      <c r="AC695" s="287"/>
      <c r="AD695" s="613"/>
      <c r="AE695" s="287"/>
      <c r="AF695" s="287">
        <f t="shared" si="462"/>
        <v>0</v>
      </c>
      <c r="AG695" s="287"/>
      <c r="AH695" s="288"/>
      <c r="AI695" s="947">
        <v>0</v>
      </c>
      <c r="AJ695" s="947"/>
      <c r="AK695" s="947"/>
      <c r="AL695" s="667"/>
      <c r="AM695" s="14"/>
      <c r="AN695" s="14"/>
      <c r="AO695" s="14">
        <f t="shared" si="463"/>
        <v>0</v>
      </c>
      <c r="AP695" s="437"/>
      <c r="AQ695" s="14"/>
      <c r="AR695" s="437"/>
      <c r="AS695" s="14"/>
      <c r="AT695" s="14">
        <f t="shared" si="464"/>
        <v>0</v>
      </c>
      <c r="AU695" s="37"/>
      <c r="AV695" s="14"/>
      <c r="AW695" s="14"/>
      <c r="AX695" s="14">
        <f t="shared" si="465"/>
        <v>0</v>
      </c>
      <c r="AY695" s="437"/>
      <c r="AZ695" s="14"/>
      <c r="BA695" s="437"/>
      <c r="BB695" s="14"/>
      <c r="BC695" s="14">
        <f t="shared" si="466"/>
        <v>0</v>
      </c>
      <c r="BD695" s="14"/>
      <c r="BE695" s="128"/>
      <c r="BF695" s="220">
        <v>0</v>
      </c>
      <c r="BG695" s="37"/>
      <c r="BH695" s="220">
        <v>0</v>
      </c>
      <c r="BI695" s="15"/>
    </row>
    <row r="696" spans="2:61" s="1" customFormat="1">
      <c r="B696" s="147"/>
      <c r="C696" s="109" t="s">
        <v>981</v>
      </c>
      <c r="D696" s="1399">
        <v>0</v>
      </c>
      <c r="E696" s="1399"/>
      <c r="F696" s="1365">
        <f t="shared" si="453"/>
        <v>0</v>
      </c>
      <c r="G696" s="1365">
        <f t="shared" si="452"/>
        <v>0</v>
      </c>
      <c r="H696" s="1399">
        <f t="shared" si="457"/>
        <v>0</v>
      </c>
      <c r="I696" s="1960"/>
      <c r="J696" s="1399"/>
      <c r="K696" s="1960"/>
      <c r="L696" s="1399"/>
      <c r="M696" s="1399">
        <f t="shared" si="458"/>
        <v>0</v>
      </c>
      <c r="N696" s="2273"/>
      <c r="O696" s="2014"/>
      <c r="P696" s="1540"/>
      <c r="Q696" s="1399"/>
      <c r="R696" s="1540">
        <f t="shared" si="459"/>
        <v>0</v>
      </c>
      <c r="S696" s="1539"/>
      <c r="T696" s="1540"/>
      <c r="U696" s="1539"/>
      <c r="V696" s="1540"/>
      <c r="W696" s="1540">
        <f t="shared" si="460"/>
        <v>0</v>
      </c>
      <c r="X696" s="1212"/>
      <c r="Y696" s="287">
        <v>0</v>
      </c>
      <c r="Z696" s="744">
        <v>0</v>
      </c>
      <c r="AA696" s="744">
        <f t="shared" ref="AA696:AA718" si="467">ROUND((Y696+Z696),0)</f>
        <v>0</v>
      </c>
      <c r="AB696" s="613"/>
      <c r="AC696" s="287"/>
      <c r="AD696" s="613"/>
      <c r="AE696" s="287"/>
      <c r="AF696" s="287">
        <f t="shared" si="462"/>
        <v>0</v>
      </c>
      <c r="AG696" s="287"/>
      <c r="AH696" s="288"/>
      <c r="AI696" s="947">
        <v>0</v>
      </c>
      <c r="AJ696" s="947"/>
      <c r="AK696" s="947"/>
      <c r="AL696" s="667"/>
      <c r="AM696" s="14"/>
      <c r="AN696" s="14"/>
      <c r="AO696" s="14">
        <f t="shared" si="463"/>
        <v>0</v>
      </c>
      <c r="AP696" s="437"/>
      <c r="AQ696" s="14"/>
      <c r="AR696" s="437"/>
      <c r="AS696" s="14"/>
      <c r="AT696" s="14">
        <f t="shared" si="464"/>
        <v>0</v>
      </c>
      <c r="AU696" s="37"/>
      <c r="AV696" s="14"/>
      <c r="AW696" s="14"/>
      <c r="AX696" s="14">
        <f t="shared" si="465"/>
        <v>0</v>
      </c>
      <c r="AY696" s="437"/>
      <c r="AZ696" s="14"/>
      <c r="BA696" s="437"/>
      <c r="BB696" s="14"/>
      <c r="BC696" s="14">
        <f t="shared" si="466"/>
        <v>0</v>
      </c>
      <c r="BD696" s="14"/>
      <c r="BE696" s="128"/>
      <c r="BF696" s="220">
        <v>0</v>
      </c>
      <c r="BG696" s="37"/>
      <c r="BH696" s="220">
        <v>0</v>
      </c>
      <c r="BI696" s="15"/>
    </row>
    <row r="697" spans="2:61" s="1" customFormat="1">
      <c r="B697" s="147"/>
      <c r="C697" s="1977" t="s">
        <v>982</v>
      </c>
      <c r="D697" s="1399"/>
      <c r="E697" s="2253">
        <v>14735875</v>
      </c>
      <c r="F697" s="1365">
        <f t="shared" si="453"/>
        <v>14735875</v>
      </c>
      <c r="G697" s="1365">
        <f t="shared" si="452"/>
        <v>0</v>
      </c>
      <c r="H697" s="1399">
        <f t="shared" ref="H697" si="468">ROUND((D697+E697),0)</f>
        <v>14735875</v>
      </c>
      <c r="I697" s="1960"/>
      <c r="J697" s="1399"/>
      <c r="K697" s="1960"/>
      <c r="L697" s="1399"/>
      <c r="M697" s="1399">
        <f t="shared" ref="M697" si="469">ROUND((H697+J697-L697),0)</f>
        <v>14735875</v>
      </c>
      <c r="N697" s="2273"/>
      <c r="O697" s="2014"/>
      <c r="P697" s="1540"/>
      <c r="Q697" s="1399"/>
      <c r="R697" s="1540"/>
      <c r="S697" s="1539"/>
      <c r="T697" s="1540"/>
      <c r="U697" s="1539"/>
      <c r="V697" s="1540"/>
      <c r="W697" s="1540"/>
      <c r="X697" s="1212"/>
      <c r="Y697" s="287"/>
      <c r="Z697" s="744"/>
      <c r="AA697" s="744"/>
      <c r="AB697" s="613"/>
      <c r="AC697" s="287"/>
      <c r="AD697" s="613"/>
      <c r="AE697" s="287"/>
      <c r="AF697" s="287"/>
      <c r="AG697" s="287"/>
      <c r="AH697" s="288"/>
      <c r="AI697" s="947"/>
      <c r="AJ697" s="947"/>
      <c r="AK697" s="947"/>
      <c r="AL697" s="667"/>
      <c r="AM697" s="14"/>
      <c r="AN697" s="14"/>
      <c r="AO697" s="14"/>
      <c r="AP697" s="437"/>
      <c r="AQ697" s="14"/>
      <c r="AR697" s="437"/>
      <c r="AS697" s="14"/>
      <c r="AT697" s="14"/>
      <c r="AU697" s="37"/>
      <c r="AV697" s="14"/>
      <c r="AW697" s="14"/>
      <c r="AX697" s="14"/>
      <c r="AY697" s="437"/>
      <c r="AZ697" s="14"/>
      <c r="BA697" s="437"/>
      <c r="BB697" s="14"/>
      <c r="BC697" s="14"/>
      <c r="BD697" s="14"/>
      <c r="BE697" s="128"/>
      <c r="BF697" s="220"/>
      <c r="BG697" s="37"/>
      <c r="BH697" s="220"/>
      <c r="BI697" s="15"/>
    </row>
    <row r="698" spans="2:61" s="1" customFormat="1">
      <c r="B698" s="30"/>
      <c r="C698" s="108" t="s">
        <v>983</v>
      </c>
      <c r="D698" s="1398"/>
      <c r="E698" s="1399"/>
      <c r="F698" s="1365">
        <f t="shared" si="453"/>
        <v>0</v>
      </c>
      <c r="G698" s="1365">
        <f t="shared" si="452"/>
        <v>0</v>
      </c>
      <c r="H698" s="1398">
        <f t="shared" si="457"/>
        <v>0</v>
      </c>
      <c r="I698" s="1960"/>
      <c r="J698" s="1398"/>
      <c r="K698" s="1960"/>
      <c r="L698" s="1398"/>
      <c r="M698" s="1398">
        <f t="shared" si="458"/>
        <v>0</v>
      </c>
      <c r="N698" s="2272"/>
      <c r="O698" s="2012"/>
      <c r="P698" s="1538"/>
      <c r="Q698" s="1398"/>
      <c r="R698" s="1538">
        <f t="shared" si="459"/>
        <v>0</v>
      </c>
      <c r="S698" s="1539"/>
      <c r="T698" s="1538"/>
      <c r="U698" s="1539"/>
      <c r="V698" s="1538"/>
      <c r="W698" s="1538">
        <f t="shared" si="460"/>
        <v>0</v>
      </c>
      <c r="X698" s="1211"/>
      <c r="Y698" s="285">
        <v>0</v>
      </c>
      <c r="Z698" s="743">
        <v>0</v>
      </c>
      <c r="AA698" s="743">
        <f t="shared" si="467"/>
        <v>0</v>
      </c>
      <c r="AB698" s="613"/>
      <c r="AC698" s="285"/>
      <c r="AD698" s="613"/>
      <c r="AE698" s="285"/>
      <c r="AF698" s="285">
        <f t="shared" si="462"/>
        <v>0</v>
      </c>
      <c r="AG698" s="285"/>
      <c r="AH698" s="286"/>
      <c r="AI698" s="947"/>
      <c r="AJ698" s="947"/>
      <c r="AK698" s="947"/>
      <c r="AL698" s="667"/>
      <c r="AM698" s="14"/>
      <c r="AN698" s="14"/>
      <c r="AO698" s="14">
        <f t="shared" si="463"/>
        <v>0</v>
      </c>
      <c r="AP698" s="437"/>
      <c r="AQ698" s="14"/>
      <c r="AR698" s="437"/>
      <c r="AS698" s="14"/>
      <c r="AT698" s="14">
        <f t="shared" si="464"/>
        <v>0</v>
      </c>
      <c r="AU698" s="37"/>
      <c r="AV698" s="14"/>
      <c r="AW698" s="14"/>
      <c r="AX698" s="14">
        <f t="shared" si="465"/>
        <v>0</v>
      </c>
      <c r="AY698" s="437"/>
      <c r="AZ698" s="14"/>
      <c r="BA698" s="437"/>
      <c r="BB698" s="14"/>
      <c r="BC698" s="14">
        <f t="shared" si="466"/>
        <v>0</v>
      </c>
      <c r="BD698" s="14"/>
      <c r="BE698" s="128"/>
      <c r="BF698" s="220"/>
      <c r="BG698" s="37"/>
      <c r="BH698" s="220">
        <v>0</v>
      </c>
      <c r="BI698" s="15"/>
    </row>
    <row r="699" spans="2:61" s="1" customFormat="1">
      <c r="B699" s="30"/>
      <c r="C699" s="150" t="s">
        <v>984</v>
      </c>
      <c r="D699" s="1399">
        <v>1230000</v>
      </c>
      <c r="E699" s="2253">
        <v>1740000</v>
      </c>
      <c r="F699" s="1365">
        <f t="shared" si="453"/>
        <v>2970000</v>
      </c>
      <c r="G699" s="1365">
        <f t="shared" si="452"/>
        <v>0</v>
      </c>
      <c r="H699" s="1399">
        <f t="shared" si="457"/>
        <v>2970000</v>
      </c>
      <c r="I699" s="1960"/>
      <c r="J699" s="1399"/>
      <c r="K699" s="1960"/>
      <c r="L699" s="1399"/>
      <c r="M699" s="2124">
        <f t="shared" si="458"/>
        <v>2970000</v>
      </c>
      <c r="N699" s="2273"/>
      <c r="O699" s="2015"/>
      <c r="P699" s="1540">
        <v>1230000</v>
      </c>
      <c r="Q699" s="1399">
        <v>1740000</v>
      </c>
      <c r="R699" s="1540">
        <f t="shared" si="459"/>
        <v>2970000</v>
      </c>
      <c r="S699" s="1539"/>
      <c r="T699" s="1540"/>
      <c r="U699" s="1539"/>
      <c r="V699" s="1540"/>
      <c r="W699" s="1540">
        <f t="shared" si="460"/>
        <v>2970000</v>
      </c>
      <c r="X699" s="1213"/>
      <c r="Y699" s="290">
        <v>1230000</v>
      </c>
      <c r="Z699" s="746">
        <v>1740000</v>
      </c>
      <c r="AA699" s="746">
        <f t="shared" si="467"/>
        <v>2970000</v>
      </c>
      <c r="AB699" s="625"/>
      <c r="AC699" s="290"/>
      <c r="AD699" s="625"/>
      <c r="AE699" s="290"/>
      <c r="AF699" s="290">
        <f t="shared" si="462"/>
        <v>2970000</v>
      </c>
      <c r="AG699" s="290"/>
      <c r="AH699" s="291"/>
      <c r="AI699" s="947">
        <v>21071100</v>
      </c>
      <c r="AJ699" s="947"/>
      <c r="AK699" s="947"/>
      <c r="AL699" s="667"/>
      <c r="AM699" s="14">
        <v>50000</v>
      </c>
      <c r="AN699" s="14"/>
      <c r="AO699" s="14">
        <f t="shared" si="463"/>
        <v>50000</v>
      </c>
      <c r="AP699" s="437"/>
      <c r="AQ699" s="14"/>
      <c r="AR699" s="437"/>
      <c r="AS699" s="14"/>
      <c r="AT699" s="14">
        <f t="shared" si="464"/>
        <v>50000</v>
      </c>
      <c r="AU699" s="37"/>
      <c r="AV699" s="14">
        <v>50000</v>
      </c>
      <c r="AW699" s="14">
        <v>0</v>
      </c>
      <c r="AX699" s="14">
        <f t="shared" si="465"/>
        <v>50000</v>
      </c>
      <c r="AY699" s="437"/>
      <c r="AZ699" s="14"/>
      <c r="BA699" s="437"/>
      <c r="BB699" s="14"/>
      <c r="BC699" s="14">
        <f t="shared" si="466"/>
        <v>50000</v>
      </c>
      <c r="BD699" s="14"/>
      <c r="BE699" s="128"/>
      <c r="BF699" s="220"/>
      <c r="BG699" s="37"/>
      <c r="BH699" s="220"/>
      <c r="BI699" s="15"/>
    </row>
    <row r="700" spans="2:61" s="1" customFormat="1">
      <c r="B700" s="30"/>
      <c r="C700" s="109" t="s">
        <v>985</v>
      </c>
      <c r="D700" s="1399">
        <v>75826976</v>
      </c>
      <c r="E700" s="1399"/>
      <c r="F700" s="1365">
        <f t="shared" si="453"/>
        <v>75826976</v>
      </c>
      <c r="G700" s="1365">
        <f t="shared" si="452"/>
        <v>0</v>
      </c>
      <c r="H700" s="1399">
        <f t="shared" si="457"/>
        <v>75826976</v>
      </c>
      <c r="I700" s="1960"/>
      <c r="J700" s="1399"/>
      <c r="K700" s="1960"/>
      <c r="L700" s="1399"/>
      <c r="M700" s="2124">
        <f t="shared" si="458"/>
        <v>75826976</v>
      </c>
      <c r="N700" s="2273"/>
      <c r="O700" s="2014"/>
      <c r="P700" s="1540">
        <v>40209876</v>
      </c>
      <c r="Q700" s="1399"/>
      <c r="R700" s="1540">
        <f t="shared" si="459"/>
        <v>40209876</v>
      </c>
      <c r="S700" s="1539"/>
      <c r="T700" s="1540"/>
      <c r="U700" s="1539"/>
      <c r="V700" s="1540"/>
      <c r="W700" s="1540">
        <f t="shared" si="460"/>
        <v>40209876</v>
      </c>
      <c r="X700" s="1212"/>
      <c r="Y700" s="287">
        <v>31219040</v>
      </c>
      <c r="Z700" s="744">
        <v>0</v>
      </c>
      <c r="AA700" s="744">
        <f t="shared" si="467"/>
        <v>31219040</v>
      </c>
      <c r="AB700" s="613"/>
      <c r="AC700" s="287"/>
      <c r="AD700" s="613"/>
      <c r="AE700" s="287"/>
      <c r="AF700" s="287">
        <f t="shared" si="462"/>
        <v>31219040</v>
      </c>
      <c r="AG700" s="287"/>
      <c r="AH700" s="288"/>
      <c r="AI700" s="963">
        <v>70559347</v>
      </c>
      <c r="AJ700" s="963"/>
      <c r="AK700" s="963"/>
      <c r="AL700" s="675"/>
      <c r="AM700" s="14">
        <v>56612666</v>
      </c>
      <c r="AN700" s="14"/>
      <c r="AO700" s="432">
        <f t="shared" si="463"/>
        <v>56612666</v>
      </c>
      <c r="AP700" s="437"/>
      <c r="AQ700" s="432"/>
      <c r="AR700" s="437"/>
      <c r="AS700" s="432"/>
      <c r="AT700" s="432">
        <f t="shared" si="464"/>
        <v>56612666</v>
      </c>
      <c r="AU700" s="139"/>
      <c r="AV700" s="14">
        <v>40936166</v>
      </c>
      <c r="AW700" s="14"/>
      <c r="AX700" s="432">
        <f t="shared" si="465"/>
        <v>40936166</v>
      </c>
      <c r="AY700" s="437"/>
      <c r="AZ700" s="432"/>
      <c r="BA700" s="437"/>
      <c r="BB700" s="432"/>
      <c r="BC700" s="432">
        <f t="shared" si="466"/>
        <v>40936166</v>
      </c>
      <c r="BD700" s="432"/>
      <c r="BE700" s="128"/>
      <c r="BF700" s="220">
        <v>85453163</v>
      </c>
      <c r="BG700" s="37"/>
      <c r="BH700" s="220">
        <v>29288615</v>
      </c>
      <c r="BI700" s="15"/>
    </row>
    <row r="701" spans="2:61" s="1" customFormat="1">
      <c r="B701" s="30"/>
      <c r="C701" s="109" t="s">
        <v>986</v>
      </c>
      <c r="D701" s="1399">
        <v>116254721</v>
      </c>
      <c r="E701" s="2253">
        <v>140376425</v>
      </c>
      <c r="F701" s="1365">
        <f t="shared" si="453"/>
        <v>256631146</v>
      </c>
      <c r="G701" s="1365">
        <f t="shared" si="452"/>
        <v>0</v>
      </c>
      <c r="H701" s="1399">
        <f t="shared" si="457"/>
        <v>256631146</v>
      </c>
      <c r="I701" s="1960"/>
      <c r="J701" s="1399"/>
      <c r="K701" s="1960"/>
      <c r="L701" s="1399"/>
      <c r="M701" s="2124">
        <f t="shared" si="458"/>
        <v>256631146</v>
      </c>
      <c r="N701" s="2273"/>
      <c r="O701" s="2014"/>
      <c r="P701" s="1540">
        <v>104199521</v>
      </c>
      <c r="Q701" s="1399">
        <v>112387691</v>
      </c>
      <c r="R701" s="1540">
        <f t="shared" si="459"/>
        <v>216587212</v>
      </c>
      <c r="S701" s="1539"/>
      <c r="T701" s="1540"/>
      <c r="U701" s="1539"/>
      <c r="V701" s="1540"/>
      <c r="W701" s="1540">
        <f t="shared" si="460"/>
        <v>216587212</v>
      </c>
      <c r="X701" s="1212"/>
      <c r="Y701" s="287">
        <v>54303980</v>
      </c>
      <c r="Z701" s="744">
        <v>60667238</v>
      </c>
      <c r="AA701" s="744">
        <f t="shared" si="467"/>
        <v>114971218</v>
      </c>
      <c r="AB701" s="613"/>
      <c r="AC701" s="287"/>
      <c r="AD701" s="613"/>
      <c r="AE701" s="287"/>
      <c r="AF701" s="287">
        <f t="shared" si="462"/>
        <v>114971218</v>
      </c>
      <c r="AG701" s="287"/>
      <c r="AH701" s="288"/>
      <c r="AI701" s="963">
        <v>93669865</v>
      </c>
      <c r="AJ701" s="963"/>
      <c r="AK701" s="963"/>
      <c r="AL701" s="675"/>
      <c r="AM701" s="14">
        <v>42577015</v>
      </c>
      <c r="AN701" s="14">
        <v>89965258</v>
      </c>
      <c r="AO701" s="432">
        <f t="shared" si="463"/>
        <v>132542273</v>
      </c>
      <c r="AP701" s="437"/>
      <c r="AQ701" s="432"/>
      <c r="AR701" s="437"/>
      <c r="AS701" s="432"/>
      <c r="AT701" s="432">
        <f t="shared" si="464"/>
        <v>132542273</v>
      </c>
      <c r="AU701" s="139"/>
      <c r="AV701" s="14">
        <v>34675960</v>
      </c>
      <c r="AW701" s="14">
        <v>61044808</v>
      </c>
      <c r="AX701" s="432">
        <f t="shared" si="465"/>
        <v>95720768</v>
      </c>
      <c r="AY701" s="437"/>
      <c r="AZ701" s="432"/>
      <c r="BA701" s="437"/>
      <c r="BB701" s="432"/>
      <c r="BC701" s="432">
        <f t="shared" si="466"/>
        <v>95720768</v>
      </c>
      <c r="BD701" s="432"/>
      <c r="BE701" s="128"/>
      <c r="BF701" s="220">
        <v>205602228</v>
      </c>
      <c r="BG701" s="37"/>
      <c r="BH701" s="220">
        <v>159949699</v>
      </c>
      <c r="BI701" s="15"/>
    </row>
    <row r="702" spans="2:61" s="1" customFormat="1">
      <c r="B702" s="30"/>
      <c r="C702" s="110" t="s">
        <v>987</v>
      </c>
      <c r="D702" s="1400">
        <v>3815000</v>
      </c>
      <c r="E702" s="2253">
        <v>69397950</v>
      </c>
      <c r="F702" s="1365">
        <f t="shared" si="453"/>
        <v>73212950</v>
      </c>
      <c r="G702" s="1365">
        <f t="shared" si="452"/>
        <v>0</v>
      </c>
      <c r="H702" s="1400">
        <f t="shared" si="457"/>
        <v>73212950</v>
      </c>
      <c r="I702" s="1961"/>
      <c r="J702" s="1400"/>
      <c r="K702" s="1961"/>
      <c r="L702" s="1400"/>
      <c r="M702" s="2124">
        <f t="shared" si="458"/>
        <v>73212950</v>
      </c>
      <c r="N702" s="2273"/>
      <c r="O702" s="2014"/>
      <c r="P702" s="1541">
        <v>3815000</v>
      </c>
      <c r="Q702" s="1400">
        <v>53403450</v>
      </c>
      <c r="R702" s="1541">
        <f t="shared" si="459"/>
        <v>57218450</v>
      </c>
      <c r="S702" s="1542"/>
      <c r="T702" s="1541"/>
      <c r="U702" s="1542"/>
      <c r="V702" s="1541"/>
      <c r="W702" s="1541">
        <f t="shared" si="460"/>
        <v>57218450</v>
      </c>
      <c r="X702" s="1212"/>
      <c r="Y702" s="289">
        <v>0</v>
      </c>
      <c r="Z702" s="745">
        <v>25760350</v>
      </c>
      <c r="AA702" s="745">
        <f t="shared" si="467"/>
        <v>25760350</v>
      </c>
      <c r="AB702" s="624"/>
      <c r="AC702" s="289"/>
      <c r="AD702" s="624"/>
      <c r="AE702" s="289"/>
      <c r="AF702" s="289">
        <f t="shared" si="462"/>
        <v>25760350</v>
      </c>
      <c r="AG702" s="289"/>
      <c r="AH702" s="288"/>
      <c r="AI702" s="963">
        <v>103211733</v>
      </c>
      <c r="AJ702" s="963"/>
      <c r="AK702" s="963"/>
      <c r="AL702" s="675"/>
      <c r="AM702" s="14">
        <v>1150000</v>
      </c>
      <c r="AN702" s="14">
        <v>61219833</v>
      </c>
      <c r="AO702" s="432">
        <f t="shared" si="463"/>
        <v>62369833</v>
      </c>
      <c r="AP702" s="437"/>
      <c r="AQ702" s="432"/>
      <c r="AR702" s="437"/>
      <c r="AS702" s="432"/>
      <c r="AT702" s="432">
        <f t="shared" si="464"/>
        <v>62369833</v>
      </c>
      <c r="AU702" s="139"/>
      <c r="AV702" s="14">
        <v>1150000</v>
      </c>
      <c r="AW702" s="14">
        <v>38870910</v>
      </c>
      <c r="AX702" s="432">
        <f t="shared" si="465"/>
        <v>40020910</v>
      </c>
      <c r="AY702" s="437"/>
      <c r="AZ702" s="432"/>
      <c r="BA702" s="437"/>
      <c r="BB702" s="432"/>
      <c r="BC702" s="432">
        <f t="shared" si="466"/>
        <v>40020910</v>
      </c>
      <c r="BD702" s="432"/>
      <c r="BE702" s="128"/>
      <c r="BF702" s="220">
        <v>128882313</v>
      </c>
      <c r="BG702" s="37"/>
      <c r="BH702" s="220">
        <v>108415127</v>
      </c>
      <c r="BI702" s="15"/>
    </row>
    <row r="703" spans="2:61" s="1" customFormat="1">
      <c r="B703" s="30"/>
      <c r="C703" s="109" t="s">
        <v>988</v>
      </c>
      <c r="D703" s="1399">
        <v>369131259</v>
      </c>
      <c r="E703" s="1399"/>
      <c r="F703" s="1365">
        <f t="shared" si="453"/>
        <v>369131259</v>
      </c>
      <c r="G703" s="1365">
        <f t="shared" si="452"/>
        <v>0</v>
      </c>
      <c r="H703" s="1399">
        <f t="shared" si="457"/>
        <v>369131259</v>
      </c>
      <c r="I703" s="1960"/>
      <c r="J703" s="1399"/>
      <c r="K703" s="1960"/>
      <c r="L703" s="1399"/>
      <c r="M703" s="2124">
        <f t="shared" si="458"/>
        <v>369131259</v>
      </c>
      <c r="N703" s="2273"/>
      <c r="O703" s="2014"/>
      <c r="P703" s="1540">
        <v>242979329</v>
      </c>
      <c r="Q703" s="1399"/>
      <c r="R703" s="1540">
        <f t="shared" si="459"/>
        <v>242979329</v>
      </c>
      <c r="S703" s="1539"/>
      <c r="T703" s="1540"/>
      <c r="U703" s="1539"/>
      <c r="V703" s="1540"/>
      <c r="W703" s="1540">
        <f t="shared" si="460"/>
        <v>242979329</v>
      </c>
      <c r="X703" s="1212"/>
      <c r="Y703" s="287">
        <v>139624073</v>
      </c>
      <c r="Z703" s="744">
        <v>0</v>
      </c>
      <c r="AA703" s="744">
        <f t="shared" si="467"/>
        <v>139624073</v>
      </c>
      <c r="AB703" s="613"/>
      <c r="AC703" s="287"/>
      <c r="AD703" s="613"/>
      <c r="AE703" s="287"/>
      <c r="AF703" s="287">
        <f t="shared" si="462"/>
        <v>139624073</v>
      </c>
      <c r="AG703" s="287"/>
      <c r="AH703" s="288"/>
      <c r="AI703" s="963">
        <v>376334324</v>
      </c>
      <c r="AJ703" s="963"/>
      <c r="AK703" s="963"/>
      <c r="AL703" s="675"/>
      <c r="AM703" s="14">
        <v>273933689</v>
      </c>
      <c r="AN703" s="14"/>
      <c r="AO703" s="432">
        <f t="shared" si="463"/>
        <v>273933689</v>
      </c>
      <c r="AP703" s="437"/>
      <c r="AQ703" s="432"/>
      <c r="AR703" s="437"/>
      <c r="AS703" s="432"/>
      <c r="AT703" s="432">
        <f t="shared" si="464"/>
        <v>273933689</v>
      </c>
      <c r="AU703" s="139"/>
      <c r="AV703" s="14">
        <v>189908360</v>
      </c>
      <c r="AW703" s="14"/>
      <c r="AX703" s="432">
        <f t="shared" si="465"/>
        <v>189908360</v>
      </c>
      <c r="AY703" s="437"/>
      <c r="AZ703" s="432"/>
      <c r="BA703" s="437"/>
      <c r="BB703" s="432"/>
      <c r="BC703" s="432">
        <f t="shared" si="466"/>
        <v>189908360</v>
      </c>
      <c r="BD703" s="432"/>
      <c r="BE703" s="128"/>
      <c r="BF703" s="220">
        <v>365635084</v>
      </c>
      <c r="BG703" s="37"/>
      <c r="BH703" s="220">
        <v>362576333</v>
      </c>
      <c r="BI703" s="15"/>
    </row>
    <row r="704" spans="2:61" s="1" customFormat="1">
      <c r="B704" s="30"/>
      <c r="C704" s="109" t="s">
        <v>989</v>
      </c>
      <c r="D704" s="1399">
        <v>6061000</v>
      </c>
      <c r="E704" s="2253">
        <v>9190500</v>
      </c>
      <c r="F704" s="1365">
        <f t="shared" si="453"/>
        <v>15251500</v>
      </c>
      <c r="G704" s="1365">
        <f t="shared" si="452"/>
        <v>0</v>
      </c>
      <c r="H704" s="1399">
        <f t="shared" si="457"/>
        <v>15251500</v>
      </c>
      <c r="I704" s="1960"/>
      <c r="J704" s="1399"/>
      <c r="K704" s="1960"/>
      <c r="L704" s="1399"/>
      <c r="M704" s="2124">
        <f t="shared" si="458"/>
        <v>15251500</v>
      </c>
      <c r="N704" s="2273"/>
      <c r="O704" s="2014"/>
      <c r="P704" s="1540">
        <v>3374000</v>
      </c>
      <c r="Q704" s="1399">
        <v>8110500</v>
      </c>
      <c r="R704" s="1540">
        <f t="shared" si="459"/>
        <v>11484500</v>
      </c>
      <c r="S704" s="1539"/>
      <c r="T704" s="1540"/>
      <c r="U704" s="1539"/>
      <c r="V704" s="1540"/>
      <c r="W704" s="1540">
        <f t="shared" si="460"/>
        <v>11484500</v>
      </c>
      <c r="X704" s="1212"/>
      <c r="Y704" s="287">
        <v>3029000</v>
      </c>
      <c r="Z704" s="744">
        <v>3520000</v>
      </c>
      <c r="AA704" s="744">
        <f t="shared" si="467"/>
        <v>6549000</v>
      </c>
      <c r="AB704" s="613"/>
      <c r="AC704" s="287"/>
      <c r="AD704" s="613"/>
      <c r="AE704" s="287"/>
      <c r="AF704" s="287">
        <f t="shared" si="462"/>
        <v>6549000</v>
      </c>
      <c r="AG704" s="287"/>
      <c r="AH704" s="288"/>
      <c r="AI704" s="963">
        <v>121073181</v>
      </c>
      <c r="AJ704" s="963"/>
      <c r="AK704" s="963"/>
      <c r="AL704" s="675"/>
      <c r="AM704" s="14">
        <v>5034363</v>
      </c>
      <c r="AN704" s="14">
        <v>17305500</v>
      </c>
      <c r="AO704" s="432">
        <f t="shared" si="463"/>
        <v>22339863</v>
      </c>
      <c r="AP704" s="437"/>
      <c r="AQ704" s="432"/>
      <c r="AR704" s="437"/>
      <c r="AS704" s="432"/>
      <c r="AT704" s="432">
        <f t="shared" si="464"/>
        <v>22339863</v>
      </c>
      <c r="AU704" s="139"/>
      <c r="AV704" s="14">
        <v>3280245</v>
      </c>
      <c r="AW704" s="14">
        <v>9335000</v>
      </c>
      <c r="AX704" s="432">
        <f t="shared" si="465"/>
        <v>12615245</v>
      </c>
      <c r="AY704" s="437"/>
      <c r="AZ704" s="432"/>
      <c r="BA704" s="437"/>
      <c r="BB704" s="432"/>
      <c r="BC704" s="432">
        <f t="shared" si="466"/>
        <v>12615245</v>
      </c>
      <c r="BD704" s="432"/>
      <c r="BE704" s="128"/>
      <c r="BF704" s="220">
        <v>15520400</v>
      </c>
      <c r="BG704" s="37"/>
      <c r="BH704" s="220">
        <v>6714900</v>
      </c>
      <c r="BI704" s="15"/>
    </row>
    <row r="705" spans="2:63" s="1" customFormat="1">
      <c r="B705" s="30" t="s">
        <v>407</v>
      </c>
      <c r="C705" s="109" t="s">
        <v>990</v>
      </c>
      <c r="D705" s="1399"/>
      <c r="E705" s="2253">
        <v>45000</v>
      </c>
      <c r="F705" s="1365">
        <f t="shared" si="453"/>
        <v>45000</v>
      </c>
      <c r="G705" s="1365">
        <f t="shared" si="452"/>
        <v>0</v>
      </c>
      <c r="H705" s="1399">
        <f t="shared" si="457"/>
        <v>45000</v>
      </c>
      <c r="I705" s="1960"/>
      <c r="J705" s="1399"/>
      <c r="K705" s="1960"/>
      <c r="L705" s="1399"/>
      <c r="M705" s="2124">
        <f t="shared" si="458"/>
        <v>45000</v>
      </c>
      <c r="N705" s="2273"/>
      <c r="O705" s="2014"/>
      <c r="P705" s="1540"/>
      <c r="Q705" s="1399">
        <v>45000</v>
      </c>
      <c r="R705" s="1540">
        <f t="shared" si="459"/>
        <v>45000</v>
      </c>
      <c r="S705" s="1539"/>
      <c r="T705" s="1540"/>
      <c r="U705" s="1539"/>
      <c r="V705" s="1540"/>
      <c r="W705" s="1540">
        <f t="shared" si="460"/>
        <v>45000</v>
      </c>
      <c r="X705" s="1212"/>
      <c r="Y705" s="287">
        <v>0</v>
      </c>
      <c r="Z705" s="744">
        <v>45000</v>
      </c>
      <c r="AA705" s="744">
        <f t="shared" si="467"/>
        <v>45000</v>
      </c>
      <c r="AB705" s="613"/>
      <c r="AC705" s="287"/>
      <c r="AD705" s="613"/>
      <c r="AE705" s="287"/>
      <c r="AF705" s="287">
        <f t="shared" si="462"/>
        <v>45000</v>
      </c>
      <c r="AG705" s="287"/>
      <c r="AH705" s="288"/>
      <c r="AI705" s="963">
        <v>305960167</v>
      </c>
      <c r="AJ705" s="963"/>
      <c r="AK705" s="963"/>
      <c r="AL705" s="675"/>
      <c r="AM705" s="14"/>
      <c r="AN705" s="14">
        <v>232882008</v>
      </c>
      <c r="AO705" s="432">
        <f t="shared" si="463"/>
        <v>232882008</v>
      </c>
      <c r="AP705" s="437"/>
      <c r="AQ705" s="432"/>
      <c r="AR705" s="437"/>
      <c r="AS705" s="432"/>
      <c r="AT705" s="432">
        <f t="shared" si="464"/>
        <v>232882008</v>
      </c>
      <c r="AU705" s="139"/>
      <c r="AV705" s="14"/>
      <c r="AW705" s="14">
        <v>153418248</v>
      </c>
      <c r="AX705" s="432">
        <f t="shared" si="465"/>
        <v>153418248</v>
      </c>
      <c r="AY705" s="437"/>
      <c r="AZ705" s="432"/>
      <c r="BA705" s="437"/>
      <c r="BB705" s="432"/>
      <c r="BC705" s="432">
        <f t="shared" si="466"/>
        <v>153418248</v>
      </c>
      <c r="BD705" s="432"/>
      <c r="BE705" s="128"/>
      <c r="BF705" s="220">
        <v>252382202</v>
      </c>
      <c r="BG705" s="37"/>
      <c r="BH705" s="220">
        <v>49007118</v>
      </c>
      <c r="BI705" s="15"/>
      <c r="BJ705" s="2121">
        <f>SUM(AI706:AI714)</f>
        <v>1449500862</v>
      </c>
      <c r="BK705" s="2121">
        <f>SUM(M706:M714)</f>
        <v>415220585</v>
      </c>
    </row>
    <row r="706" spans="2:63" s="1" customFormat="1">
      <c r="B706" s="30"/>
      <c r="C706" s="108" t="s">
        <v>991</v>
      </c>
      <c r="D706" s="1398"/>
      <c r="E706" s="1399"/>
      <c r="F706" s="1365">
        <f t="shared" si="453"/>
        <v>0</v>
      </c>
      <c r="G706" s="1365">
        <f t="shared" si="452"/>
        <v>0</v>
      </c>
      <c r="H706" s="1398">
        <f t="shared" si="457"/>
        <v>0</v>
      </c>
      <c r="I706" s="1960"/>
      <c r="J706" s="1398"/>
      <c r="K706" s="1960"/>
      <c r="L706" s="1398"/>
      <c r="M706" s="1398">
        <f t="shared" si="458"/>
        <v>0</v>
      </c>
      <c r="N706" s="2272"/>
      <c r="O706" s="2012"/>
      <c r="P706" s="1538"/>
      <c r="Q706" s="1398"/>
      <c r="R706" s="1538">
        <f t="shared" si="459"/>
        <v>0</v>
      </c>
      <c r="S706" s="1539"/>
      <c r="T706" s="1538"/>
      <c r="U706" s="1539"/>
      <c r="V706" s="1538"/>
      <c r="W706" s="1538">
        <f t="shared" si="460"/>
        <v>0</v>
      </c>
      <c r="X706" s="1211"/>
      <c r="Y706" s="285">
        <v>0</v>
      </c>
      <c r="Z706" s="743">
        <v>0</v>
      </c>
      <c r="AA706" s="743">
        <f t="shared" si="467"/>
        <v>0</v>
      </c>
      <c r="AB706" s="613"/>
      <c r="AC706" s="285"/>
      <c r="AD706" s="613"/>
      <c r="AE706" s="285"/>
      <c r="AF706" s="285">
        <f t="shared" si="462"/>
        <v>0</v>
      </c>
      <c r="AG706" s="285"/>
      <c r="AH706" s="286"/>
      <c r="AI706" s="947">
        <v>0</v>
      </c>
      <c r="AJ706" s="947"/>
      <c r="AK706" s="947"/>
      <c r="AL706" s="667"/>
      <c r="AM706" s="14"/>
      <c r="AN706" s="14"/>
      <c r="AO706" s="14">
        <f t="shared" si="463"/>
        <v>0</v>
      </c>
      <c r="AP706" s="437"/>
      <c r="AQ706" s="14"/>
      <c r="AR706" s="437"/>
      <c r="AS706" s="14"/>
      <c r="AT706" s="14">
        <f t="shared" si="464"/>
        <v>0</v>
      </c>
      <c r="AU706" s="37"/>
      <c r="AV706" s="14"/>
      <c r="AW706" s="14"/>
      <c r="AX706" s="14">
        <f t="shared" si="465"/>
        <v>0</v>
      </c>
      <c r="AY706" s="437"/>
      <c r="AZ706" s="14"/>
      <c r="BA706" s="437"/>
      <c r="BB706" s="14"/>
      <c r="BC706" s="14">
        <f t="shared" si="466"/>
        <v>0</v>
      </c>
      <c r="BD706" s="14"/>
      <c r="BE706" s="128"/>
      <c r="BF706" s="220">
        <v>0</v>
      </c>
      <c r="BG706" s="37"/>
      <c r="BH706" s="220">
        <v>0</v>
      </c>
      <c r="BI706" s="15"/>
    </row>
    <row r="707" spans="2:63" s="1" customFormat="1">
      <c r="B707" s="30"/>
      <c r="C707" s="109" t="s">
        <v>992</v>
      </c>
      <c r="D707" s="1399">
        <v>10112250</v>
      </c>
      <c r="E707" s="2253">
        <f>ROUND(13105708.8,0)</f>
        <v>13105709</v>
      </c>
      <c r="F707" s="1365">
        <f t="shared" si="453"/>
        <v>23217959</v>
      </c>
      <c r="G707" s="1365">
        <f t="shared" si="452"/>
        <v>0</v>
      </c>
      <c r="H707" s="1399">
        <f t="shared" si="457"/>
        <v>23217959</v>
      </c>
      <c r="I707" s="1960"/>
      <c r="J707" s="1399"/>
      <c r="K707" s="1960"/>
      <c r="L707" s="1399"/>
      <c r="M707" s="1399">
        <f t="shared" si="458"/>
        <v>23217959</v>
      </c>
      <c r="N707" s="2273"/>
      <c r="O707" s="2014"/>
      <c r="P707" s="1540">
        <f>ROUND(8961208.3333334,0)</f>
        <v>8961208</v>
      </c>
      <c r="Q707" s="1399">
        <f>ROUND(10057771.3,0)</f>
        <v>10057771</v>
      </c>
      <c r="R707" s="1540">
        <f t="shared" si="459"/>
        <v>19018979</v>
      </c>
      <c r="S707" s="1539"/>
      <c r="T707" s="1540"/>
      <c r="U707" s="1539"/>
      <c r="V707" s="1540"/>
      <c r="W707" s="1540">
        <f t="shared" si="460"/>
        <v>19018979</v>
      </c>
      <c r="X707" s="1212"/>
      <c r="Y707" s="287">
        <v>6200917</v>
      </c>
      <c r="Z707" s="744">
        <v>6801500</v>
      </c>
      <c r="AA707" s="744">
        <f t="shared" si="467"/>
        <v>13002417</v>
      </c>
      <c r="AB707" s="613"/>
      <c r="AC707" s="287"/>
      <c r="AD707" s="613"/>
      <c r="AE707" s="287"/>
      <c r="AF707" s="287">
        <f t="shared" si="462"/>
        <v>13002417</v>
      </c>
      <c r="AG707" s="287"/>
      <c r="AH707" s="288"/>
      <c r="AI707" s="963">
        <v>63006263</v>
      </c>
      <c r="AJ707" s="963"/>
      <c r="AK707" s="963"/>
      <c r="AL707" s="675"/>
      <c r="AM707" s="14">
        <v>14839992</v>
      </c>
      <c r="AN707" s="14">
        <v>24381157</v>
      </c>
      <c r="AO707" s="432">
        <f t="shared" si="463"/>
        <v>39221149</v>
      </c>
      <c r="AP707" s="437"/>
      <c r="AQ707" s="432"/>
      <c r="AR707" s="437"/>
      <c r="AS707" s="432"/>
      <c r="AT707" s="432">
        <f t="shared" si="464"/>
        <v>39221149</v>
      </c>
      <c r="AU707" s="139"/>
      <c r="AV707" s="14">
        <v>9912867</v>
      </c>
      <c r="AW707" s="14">
        <v>28401500</v>
      </c>
      <c r="AX707" s="432">
        <f t="shared" si="465"/>
        <v>38314367</v>
      </c>
      <c r="AY707" s="437"/>
      <c r="AZ707" s="432"/>
      <c r="BA707" s="437"/>
      <c r="BB707" s="432"/>
      <c r="BC707" s="432">
        <f t="shared" si="466"/>
        <v>38314367</v>
      </c>
      <c r="BD707" s="432"/>
      <c r="BE707" s="128"/>
      <c r="BF707" s="220">
        <v>71156047</v>
      </c>
      <c r="BG707" s="37"/>
      <c r="BH707" s="220">
        <v>74514735</v>
      </c>
      <c r="BI707" s="15"/>
      <c r="BJ707" s="2116"/>
      <c r="BK707" s="2116"/>
    </row>
    <row r="708" spans="2:63" s="1" customFormat="1">
      <c r="B708" s="30" t="s">
        <v>407</v>
      </c>
      <c r="C708" s="109" t="s">
        <v>993</v>
      </c>
      <c r="D708" s="1399"/>
      <c r="E708" s="2253">
        <v>306845625</v>
      </c>
      <c r="F708" s="1365">
        <f t="shared" si="453"/>
        <v>306845625</v>
      </c>
      <c r="G708" s="1365">
        <f t="shared" si="452"/>
        <v>0</v>
      </c>
      <c r="H708" s="1399">
        <f t="shared" si="457"/>
        <v>306845625</v>
      </c>
      <c r="I708" s="1960"/>
      <c r="J708" s="1399"/>
      <c r="K708" s="1960"/>
      <c r="L708" s="1399"/>
      <c r="M708" s="1399">
        <f t="shared" si="458"/>
        <v>306845625</v>
      </c>
      <c r="N708" s="2273"/>
      <c r="O708" s="2014"/>
      <c r="P708" s="1540"/>
      <c r="Q708" s="1399">
        <f>ROUND(230134218.75,0)</f>
        <v>230134219</v>
      </c>
      <c r="R708" s="1540">
        <f t="shared" si="459"/>
        <v>230134219</v>
      </c>
      <c r="S708" s="1539"/>
      <c r="T708" s="1540"/>
      <c r="U708" s="1539"/>
      <c r="V708" s="1540"/>
      <c r="W708" s="1540">
        <f t="shared" si="460"/>
        <v>230134219</v>
      </c>
      <c r="X708" s="1212"/>
      <c r="Y708" s="287">
        <v>0</v>
      </c>
      <c r="Z708" s="744">
        <v>153422813</v>
      </c>
      <c r="AA708" s="744">
        <f t="shared" si="467"/>
        <v>153422813</v>
      </c>
      <c r="AB708" s="613"/>
      <c r="AC708" s="287"/>
      <c r="AD708" s="613"/>
      <c r="AE708" s="287"/>
      <c r="AF708" s="287">
        <f t="shared" si="462"/>
        <v>153422813</v>
      </c>
      <c r="AG708" s="287"/>
      <c r="AH708" s="288"/>
      <c r="AI708" s="963">
        <v>378489750</v>
      </c>
      <c r="AJ708" s="963"/>
      <c r="AK708" s="963"/>
      <c r="AL708" s="675"/>
      <c r="AM708" s="14"/>
      <c r="AN708" s="14">
        <v>283867312</v>
      </c>
      <c r="AO708" s="432">
        <f t="shared" si="463"/>
        <v>283867312</v>
      </c>
      <c r="AP708" s="437"/>
      <c r="AQ708" s="432"/>
      <c r="AR708" s="437"/>
      <c r="AS708" s="432"/>
      <c r="AT708" s="432">
        <f t="shared" si="464"/>
        <v>283867312</v>
      </c>
      <c r="AU708" s="139"/>
      <c r="AV708" s="14"/>
      <c r="AW708" s="14">
        <v>189244875</v>
      </c>
      <c r="AX708" s="432">
        <f t="shared" si="465"/>
        <v>189244875</v>
      </c>
      <c r="AY708" s="437"/>
      <c r="AZ708" s="432"/>
      <c r="BA708" s="437"/>
      <c r="BB708" s="432"/>
      <c r="BC708" s="432">
        <f t="shared" si="466"/>
        <v>189244875</v>
      </c>
      <c r="BD708" s="432"/>
      <c r="BE708" s="128"/>
      <c r="BF708" s="220">
        <v>490758624</v>
      </c>
      <c r="BG708" s="37"/>
      <c r="BH708" s="220">
        <v>497213968</v>
      </c>
      <c r="BI708" s="15"/>
      <c r="BJ708" s="2117"/>
    </row>
    <row r="709" spans="2:63" s="1" customFormat="1">
      <c r="B709" s="30"/>
      <c r="C709" s="109" t="s">
        <v>994</v>
      </c>
      <c r="D709" s="1399">
        <v>0</v>
      </c>
      <c r="E709" s="2253">
        <v>41407000.000000238</v>
      </c>
      <c r="F709" s="1365">
        <f t="shared" si="453"/>
        <v>41407000.000000238</v>
      </c>
      <c r="G709" s="1365">
        <f t="shared" si="452"/>
        <v>2.384185791015625E-7</v>
      </c>
      <c r="H709" s="1399">
        <f t="shared" si="457"/>
        <v>41407000</v>
      </c>
      <c r="I709" s="1960"/>
      <c r="J709" s="1399"/>
      <c r="K709" s="1960"/>
      <c r="L709" s="1399"/>
      <c r="M709" s="1399">
        <f t="shared" si="458"/>
        <v>41407000</v>
      </c>
      <c r="N709" s="2273"/>
      <c r="O709" s="2014"/>
      <c r="P709" s="1540"/>
      <c r="Q709" s="1399"/>
      <c r="R709" s="1540">
        <f t="shared" si="459"/>
        <v>0</v>
      </c>
      <c r="S709" s="1539"/>
      <c r="T709" s="1540"/>
      <c r="U709" s="1539"/>
      <c r="V709" s="1540"/>
      <c r="W709" s="1540">
        <f t="shared" si="460"/>
        <v>0</v>
      </c>
      <c r="X709" s="1212"/>
      <c r="Y709" s="287">
        <v>0</v>
      </c>
      <c r="Z709" s="744">
        <v>0</v>
      </c>
      <c r="AA709" s="744">
        <f t="shared" si="467"/>
        <v>0</v>
      </c>
      <c r="AB709" s="613"/>
      <c r="AC709" s="287"/>
      <c r="AD709" s="613"/>
      <c r="AE709" s="287"/>
      <c r="AF709" s="287">
        <f t="shared" si="462"/>
        <v>0</v>
      </c>
      <c r="AG709" s="287"/>
      <c r="AH709" s="288"/>
      <c r="AI709" s="963">
        <v>0</v>
      </c>
      <c r="AJ709" s="963"/>
      <c r="AK709" s="963"/>
      <c r="AL709" s="675"/>
      <c r="AM709" s="14"/>
      <c r="AN709" s="14"/>
      <c r="AO709" s="432">
        <f t="shared" si="463"/>
        <v>0</v>
      </c>
      <c r="AP709" s="437"/>
      <c r="AQ709" s="432"/>
      <c r="AR709" s="437"/>
      <c r="AS709" s="432"/>
      <c r="AT709" s="432">
        <f t="shared" si="464"/>
        <v>0</v>
      </c>
      <c r="AU709" s="139"/>
      <c r="AV709" s="14"/>
      <c r="AW709" s="14"/>
      <c r="AX709" s="432">
        <f t="shared" si="465"/>
        <v>0</v>
      </c>
      <c r="AY709" s="437"/>
      <c r="AZ709" s="432"/>
      <c r="BA709" s="437"/>
      <c r="BB709" s="432"/>
      <c r="BC709" s="432">
        <f t="shared" si="466"/>
        <v>0</v>
      </c>
      <c r="BD709" s="432"/>
      <c r="BE709" s="128"/>
      <c r="BF709" s="220">
        <v>37788413</v>
      </c>
      <c r="BG709" s="37"/>
      <c r="BH709" s="220">
        <v>41105451</v>
      </c>
      <c r="BI709" s="15"/>
      <c r="BJ709" s="2115"/>
    </row>
    <row r="710" spans="2:63" s="1" customFormat="1">
      <c r="B710" s="30"/>
      <c r="C710" s="109" t="s">
        <v>995</v>
      </c>
      <c r="D710" s="1399">
        <v>0</v>
      </c>
      <c r="E710" s="1399"/>
      <c r="F710" s="1365">
        <f t="shared" si="453"/>
        <v>0</v>
      </c>
      <c r="G710" s="1365">
        <f t="shared" si="452"/>
        <v>0</v>
      </c>
      <c r="H710" s="1399">
        <f t="shared" si="457"/>
        <v>0</v>
      </c>
      <c r="I710" s="1960"/>
      <c r="J710" s="1399"/>
      <c r="K710" s="1960"/>
      <c r="L710" s="1399"/>
      <c r="M710" s="1399">
        <f t="shared" si="458"/>
        <v>0</v>
      </c>
      <c r="N710" s="2273"/>
      <c r="O710" s="2014"/>
      <c r="P710" s="1540"/>
      <c r="Q710" s="1399"/>
      <c r="R710" s="1540">
        <f t="shared" si="459"/>
        <v>0</v>
      </c>
      <c r="S710" s="1539"/>
      <c r="T710" s="1540"/>
      <c r="U710" s="1539"/>
      <c r="V710" s="1540"/>
      <c r="W710" s="1540">
        <f t="shared" si="460"/>
        <v>0</v>
      </c>
      <c r="X710" s="1212"/>
      <c r="Y710" s="287">
        <v>0</v>
      </c>
      <c r="Z710" s="744">
        <v>0</v>
      </c>
      <c r="AA710" s="744">
        <f t="shared" si="467"/>
        <v>0</v>
      </c>
      <c r="AB710" s="613"/>
      <c r="AC710" s="287"/>
      <c r="AD710" s="613"/>
      <c r="AE710" s="287"/>
      <c r="AF710" s="287">
        <f t="shared" si="462"/>
        <v>0</v>
      </c>
      <c r="AG710" s="287"/>
      <c r="AH710" s="288"/>
      <c r="AI710" s="963">
        <v>0</v>
      </c>
      <c r="AJ710" s="963"/>
      <c r="AK710" s="963"/>
      <c r="AL710" s="675"/>
      <c r="AM710" s="14"/>
      <c r="AN710" s="14"/>
      <c r="AO710" s="432">
        <f t="shared" si="463"/>
        <v>0</v>
      </c>
      <c r="AP710" s="437"/>
      <c r="AQ710" s="432"/>
      <c r="AR710" s="437"/>
      <c r="AS710" s="432"/>
      <c r="AT710" s="432">
        <f t="shared" si="464"/>
        <v>0</v>
      </c>
      <c r="AU710" s="139"/>
      <c r="AV710" s="14"/>
      <c r="AW710" s="14"/>
      <c r="AX710" s="432">
        <f t="shared" si="465"/>
        <v>0</v>
      </c>
      <c r="AY710" s="437"/>
      <c r="AZ710" s="432"/>
      <c r="BA710" s="437"/>
      <c r="BB710" s="432"/>
      <c r="BC710" s="432">
        <f t="shared" si="466"/>
        <v>0</v>
      </c>
      <c r="BD710" s="432"/>
      <c r="BE710" s="128"/>
      <c r="BF710" s="220">
        <v>0</v>
      </c>
      <c r="BG710" s="37"/>
      <c r="BH710" s="220">
        <v>0</v>
      </c>
      <c r="BI710" s="15"/>
    </row>
    <row r="711" spans="2:63" s="1" customFormat="1">
      <c r="B711" s="30"/>
      <c r="C711" s="109" t="s">
        <v>996</v>
      </c>
      <c r="D711" s="1399">
        <v>0</v>
      </c>
      <c r="E711" s="1399"/>
      <c r="F711" s="1365">
        <f t="shared" si="453"/>
        <v>0</v>
      </c>
      <c r="G711" s="1365">
        <f t="shared" si="452"/>
        <v>0</v>
      </c>
      <c r="H711" s="1399">
        <f t="shared" si="457"/>
        <v>0</v>
      </c>
      <c r="I711" s="1960"/>
      <c r="J711" s="1399"/>
      <c r="K711" s="1960"/>
      <c r="L711" s="1399"/>
      <c r="M711" s="1399">
        <f t="shared" si="458"/>
        <v>0</v>
      </c>
      <c r="N711" s="2273"/>
      <c r="O711" s="2014"/>
      <c r="P711" s="1540"/>
      <c r="Q711" s="1399"/>
      <c r="R711" s="1540">
        <f t="shared" si="459"/>
        <v>0</v>
      </c>
      <c r="S711" s="1539"/>
      <c r="T711" s="1540"/>
      <c r="U711" s="1539"/>
      <c r="V711" s="1540"/>
      <c r="W711" s="1540">
        <f t="shared" si="460"/>
        <v>0</v>
      </c>
      <c r="X711" s="1212"/>
      <c r="Y711" s="287">
        <v>0</v>
      </c>
      <c r="Z711" s="744">
        <v>297740406</v>
      </c>
      <c r="AA711" s="744">
        <f t="shared" si="467"/>
        <v>297740406</v>
      </c>
      <c r="AB711" s="613"/>
      <c r="AC711" s="287"/>
      <c r="AD711" s="613"/>
      <c r="AE711" s="287"/>
      <c r="AF711" s="287">
        <f t="shared" si="462"/>
        <v>297740406</v>
      </c>
      <c r="AG711" s="287"/>
      <c r="AH711" s="288"/>
      <c r="AI711" s="963">
        <v>202850000</v>
      </c>
      <c r="AJ711" s="963"/>
      <c r="AK711" s="963"/>
      <c r="AL711" s="675"/>
      <c r="AM711" s="14"/>
      <c r="AN711" s="14"/>
      <c r="AO711" s="432">
        <f t="shared" si="463"/>
        <v>0</v>
      </c>
      <c r="AP711" s="437"/>
      <c r="AQ711" s="432"/>
      <c r="AR711" s="437"/>
      <c r="AS711" s="432"/>
      <c r="AT711" s="432">
        <f t="shared" si="464"/>
        <v>0</v>
      </c>
      <c r="AU711" s="139"/>
      <c r="AV711" s="14"/>
      <c r="AW711" s="14">
        <v>662376747</v>
      </c>
      <c r="AX711" s="432">
        <f t="shared" si="465"/>
        <v>662376747</v>
      </c>
      <c r="AY711" s="437"/>
      <c r="AZ711" s="432"/>
      <c r="BA711" s="437"/>
      <c r="BB711" s="432"/>
      <c r="BC711" s="432">
        <f t="shared" si="466"/>
        <v>662376747</v>
      </c>
      <c r="BD711" s="432"/>
      <c r="BE711" s="128"/>
      <c r="BF711" s="220">
        <v>0</v>
      </c>
      <c r="BG711" s="37"/>
      <c r="BH711" s="220">
        <v>0</v>
      </c>
      <c r="BI711" s="15"/>
    </row>
    <row r="712" spans="2:63" s="1" customFormat="1">
      <c r="B712" s="30"/>
      <c r="C712" s="109" t="s">
        <v>997</v>
      </c>
      <c r="D712" s="1399">
        <v>0</v>
      </c>
      <c r="E712" s="2253">
        <f>ROUND(43750000.5,0)</f>
        <v>43750001</v>
      </c>
      <c r="F712" s="1365">
        <f t="shared" si="453"/>
        <v>43750001</v>
      </c>
      <c r="G712" s="1365">
        <f t="shared" si="452"/>
        <v>0</v>
      </c>
      <c r="H712" s="1399">
        <f t="shared" si="457"/>
        <v>43750001</v>
      </c>
      <c r="I712" s="1960"/>
      <c r="J712" s="1399"/>
      <c r="K712" s="1960"/>
      <c r="L712" s="1399"/>
      <c r="M712" s="1399">
        <f t="shared" si="458"/>
        <v>43750001</v>
      </c>
      <c r="N712" s="2273"/>
      <c r="O712" s="2014"/>
      <c r="P712" s="1540">
        <v>157686750</v>
      </c>
      <c r="Q712" s="1399">
        <v>32812500</v>
      </c>
      <c r="R712" s="1540">
        <f t="shared" si="459"/>
        <v>190499250</v>
      </c>
      <c r="S712" s="1539"/>
      <c r="T712" s="1540"/>
      <c r="U712" s="1539"/>
      <c r="V712" s="1540"/>
      <c r="W712" s="1540">
        <f t="shared" si="460"/>
        <v>190499250</v>
      </c>
      <c r="X712" s="1212"/>
      <c r="Y712" s="287">
        <v>101889924</v>
      </c>
      <c r="Z712" s="744">
        <v>21875000</v>
      </c>
      <c r="AA712" s="744">
        <f t="shared" si="467"/>
        <v>123764924</v>
      </c>
      <c r="AB712" s="613"/>
      <c r="AC712" s="287"/>
      <c r="AD712" s="613"/>
      <c r="AE712" s="287"/>
      <c r="AF712" s="287">
        <f t="shared" si="462"/>
        <v>123764924</v>
      </c>
      <c r="AG712" s="287"/>
      <c r="AH712" s="288"/>
      <c r="AI712" s="963">
        <v>805154849</v>
      </c>
      <c r="AJ712" s="963"/>
      <c r="AK712" s="963"/>
      <c r="AL712" s="675"/>
      <c r="AM712" s="14">
        <v>36915730</v>
      </c>
      <c r="AN712" s="14">
        <v>285825000</v>
      </c>
      <c r="AO712" s="432">
        <f t="shared" si="463"/>
        <v>322740730</v>
      </c>
      <c r="AP712" s="437"/>
      <c r="AQ712" s="432"/>
      <c r="AR712" s="437"/>
      <c r="AS712" s="432"/>
      <c r="AT712" s="432">
        <f t="shared" si="464"/>
        <v>322740730</v>
      </c>
      <c r="AU712" s="139"/>
      <c r="AV712" s="14">
        <v>12187500</v>
      </c>
      <c r="AW712" s="14">
        <v>300687500</v>
      </c>
      <c r="AX712" s="432">
        <f t="shared" si="465"/>
        <v>312875000</v>
      </c>
      <c r="AY712" s="437"/>
      <c r="AZ712" s="432"/>
      <c r="BA712" s="437"/>
      <c r="BB712" s="432"/>
      <c r="BC712" s="432">
        <f t="shared" si="466"/>
        <v>312875000</v>
      </c>
      <c r="BD712" s="432"/>
      <c r="BE712" s="128"/>
      <c r="BF712" s="220">
        <v>993004849</v>
      </c>
      <c r="BG712" s="37"/>
      <c r="BH712" s="220">
        <v>968158875</v>
      </c>
      <c r="BI712" s="15"/>
    </row>
    <row r="713" spans="2:63" s="1" customFormat="1">
      <c r="B713" s="30"/>
      <c r="C713" s="109" t="s">
        <v>998</v>
      </c>
      <c r="D713" s="1399">
        <v>0</v>
      </c>
      <c r="E713" s="1399"/>
      <c r="F713" s="1365">
        <f t="shared" si="453"/>
        <v>0</v>
      </c>
      <c r="G713" s="1365">
        <f t="shared" si="452"/>
        <v>0</v>
      </c>
      <c r="H713" s="1399">
        <f t="shared" si="457"/>
        <v>0</v>
      </c>
      <c r="I713" s="1960"/>
      <c r="J713" s="1399"/>
      <c r="K713" s="1960"/>
      <c r="L713" s="1399"/>
      <c r="M713" s="1399">
        <f t="shared" si="458"/>
        <v>0</v>
      </c>
      <c r="N713" s="2273"/>
      <c r="O713" s="2014"/>
      <c r="P713" s="1540"/>
      <c r="Q713" s="1399"/>
      <c r="R713" s="1540">
        <f t="shared" si="459"/>
        <v>0</v>
      </c>
      <c r="S713" s="1539"/>
      <c r="T713" s="1540"/>
      <c r="U713" s="1539"/>
      <c r="V713" s="1540"/>
      <c r="W713" s="1540">
        <f t="shared" si="460"/>
        <v>0</v>
      </c>
      <c r="X713" s="1212"/>
      <c r="Y713" s="287">
        <v>0</v>
      </c>
      <c r="Z713" s="744">
        <v>0</v>
      </c>
      <c r="AA713" s="744">
        <f t="shared" si="467"/>
        <v>0</v>
      </c>
      <c r="AB713" s="613"/>
      <c r="AC713" s="287"/>
      <c r="AD713" s="613"/>
      <c r="AE713" s="287"/>
      <c r="AF713" s="287">
        <f t="shared" si="462"/>
        <v>0</v>
      </c>
      <c r="AG713" s="287"/>
      <c r="AH713" s="288"/>
      <c r="AI713" s="963">
        <v>0</v>
      </c>
      <c r="AJ713" s="963"/>
      <c r="AK713" s="963"/>
      <c r="AL713" s="675"/>
      <c r="AM713" s="14"/>
      <c r="AN713" s="14"/>
      <c r="AO713" s="432">
        <f t="shared" si="463"/>
        <v>0</v>
      </c>
      <c r="AP713" s="437"/>
      <c r="AQ713" s="432"/>
      <c r="AR713" s="437"/>
      <c r="AS713" s="432"/>
      <c r="AT713" s="432">
        <f t="shared" si="464"/>
        <v>0</v>
      </c>
      <c r="AU713" s="139"/>
      <c r="AV713" s="14"/>
      <c r="AW713" s="14"/>
      <c r="AX713" s="432">
        <f t="shared" si="465"/>
        <v>0</v>
      </c>
      <c r="AY713" s="437"/>
      <c r="AZ713" s="432"/>
      <c r="BA713" s="437"/>
      <c r="BB713" s="432"/>
      <c r="BC713" s="432">
        <f t="shared" si="466"/>
        <v>0</v>
      </c>
      <c r="BD713" s="432"/>
      <c r="BE713" s="128">
        <v>30439186</v>
      </c>
      <c r="BF713" s="220">
        <v>0</v>
      </c>
      <c r="BG713" s="37"/>
      <c r="BH713" s="220">
        <v>0</v>
      </c>
      <c r="BI713" s="15"/>
    </row>
    <row r="714" spans="2:63" s="1" customFormat="1">
      <c r="B714" s="30"/>
      <c r="C714" s="109" t="s">
        <v>999</v>
      </c>
      <c r="D714" s="1399"/>
      <c r="E714" s="1399"/>
      <c r="F714" s="1365">
        <f t="shared" si="453"/>
        <v>0</v>
      </c>
      <c r="G714" s="1365">
        <f t="shared" si="452"/>
        <v>0</v>
      </c>
      <c r="H714" s="1399">
        <f t="shared" si="457"/>
        <v>0</v>
      </c>
      <c r="I714" s="1960"/>
      <c r="J714" s="1399"/>
      <c r="K714" s="1960"/>
      <c r="L714" s="1399"/>
      <c r="M714" s="1399">
        <f t="shared" si="458"/>
        <v>0</v>
      </c>
      <c r="N714" s="2273"/>
      <c r="O714" s="2014"/>
      <c r="P714" s="1540"/>
      <c r="Q714" s="1399"/>
      <c r="R714" s="1540">
        <f t="shared" si="459"/>
        <v>0</v>
      </c>
      <c r="S714" s="1539"/>
      <c r="T714" s="1540"/>
      <c r="U714" s="1539"/>
      <c r="V714" s="1540"/>
      <c r="W714" s="1540">
        <f t="shared" si="460"/>
        <v>0</v>
      </c>
      <c r="X714" s="1212"/>
      <c r="Y714" s="287">
        <v>0</v>
      </c>
      <c r="Z714" s="744">
        <v>0</v>
      </c>
      <c r="AA714" s="744">
        <f t="shared" si="467"/>
        <v>0</v>
      </c>
      <c r="AB714" s="613"/>
      <c r="AC714" s="287"/>
      <c r="AD714" s="613"/>
      <c r="AE714" s="287"/>
      <c r="AF714" s="287">
        <f t="shared" si="462"/>
        <v>0</v>
      </c>
      <c r="AG714" s="287"/>
      <c r="AH714" s="288"/>
      <c r="AI714" s="963">
        <v>0</v>
      </c>
      <c r="AJ714" s="963"/>
      <c r="AK714" s="963"/>
      <c r="AL714" s="675"/>
      <c r="AM714" s="14"/>
      <c r="AN714" s="14"/>
      <c r="AO714" s="432">
        <f t="shared" si="463"/>
        <v>0</v>
      </c>
      <c r="AP714" s="437"/>
      <c r="AQ714" s="432"/>
      <c r="AR714" s="437"/>
      <c r="AS714" s="432"/>
      <c r="AT714" s="432">
        <f t="shared" si="464"/>
        <v>0</v>
      </c>
      <c r="AU714" s="139"/>
      <c r="AV714" s="14"/>
      <c r="AW714" s="14"/>
      <c r="AX714" s="432">
        <f t="shared" si="465"/>
        <v>0</v>
      </c>
      <c r="AY714" s="437"/>
      <c r="AZ714" s="432"/>
      <c r="BA714" s="437"/>
      <c r="BB714" s="432"/>
      <c r="BC714" s="432">
        <f t="shared" si="466"/>
        <v>0</v>
      </c>
      <c r="BD714" s="432"/>
      <c r="BE714" s="128">
        <v>27703306505</v>
      </c>
      <c r="BF714" s="220">
        <v>0</v>
      </c>
      <c r="BG714" s="37"/>
      <c r="BH714" s="220">
        <v>0</v>
      </c>
      <c r="BI714" s="15"/>
    </row>
    <row r="715" spans="2:63" s="1" customFormat="1">
      <c r="B715" s="30"/>
      <c r="C715" s="112" t="s">
        <v>1000</v>
      </c>
      <c r="D715" s="1401"/>
      <c r="E715" s="2253">
        <v>31485909</v>
      </c>
      <c r="F715" s="1365">
        <f t="shared" si="453"/>
        <v>31485909</v>
      </c>
      <c r="G715" s="1365">
        <f t="shared" si="452"/>
        <v>0</v>
      </c>
      <c r="H715" s="1605">
        <f t="shared" si="457"/>
        <v>31485909</v>
      </c>
      <c r="I715" s="2016"/>
      <c r="J715" s="1401"/>
      <c r="K715" s="2016"/>
      <c r="L715" s="1401"/>
      <c r="M715" s="1401">
        <f t="shared" si="458"/>
        <v>31485909</v>
      </c>
      <c r="N715" s="2272"/>
      <c r="O715" s="2012"/>
      <c r="P715" s="1543"/>
      <c r="Q715" s="1401">
        <f>ROUND(23614431.5455953,0)</f>
        <v>23614432</v>
      </c>
      <c r="R715" s="1543">
        <f t="shared" si="459"/>
        <v>23614432</v>
      </c>
      <c r="S715" s="1544"/>
      <c r="T715" s="1543"/>
      <c r="U715" s="1544"/>
      <c r="V715" s="1543"/>
      <c r="W715" s="1543">
        <f t="shared" si="460"/>
        <v>23614432</v>
      </c>
      <c r="X715" s="1211"/>
      <c r="Y715" s="292">
        <v>0</v>
      </c>
      <c r="Z715" s="747">
        <v>15742954</v>
      </c>
      <c r="AA715" s="747">
        <f t="shared" si="467"/>
        <v>15742954</v>
      </c>
      <c r="AB715" s="614"/>
      <c r="AC715" s="292"/>
      <c r="AD715" s="614"/>
      <c r="AE715" s="292"/>
      <c r="AF715" s="292">
        <f t="shared" si="462"/>
        <v>15742954</v>
      </c>
      <c r="AG715" s="292"/>
      <c r="AH715" s="286"/>
      <c r="AI715" s="963">
        <v>32066380</v>
      </c>
      <c r="AJ715" s="963"/>
      <c r="AK715" s="963"/>
      <c r="AL715" s="675"/>
      <c r="AM715" s="14"/>
      <c r="AN715" s="14">
        <v>23614432</v>
      </c>
      <c r="AO715" s="432">
        <f t="shared" si="463"/>
        <v>23614432</v>
      </c>
      <c r="AP715" s="437"/>
      <c r="AQ715" s="432"/>
      <c r="AR715" s="437"/>
      <c r="AS715" s="432"/>
      <c r="AT715" s="432">
        <f t="shared" si="464"/>
        <v>23614432</v>
      </c>
      <c r="AU715" s="139"/>
      <c r="AV715" s="14"/>
      <c r="AW715" s="14">
        <v>15742955</v>
      </c>
      <c r="AX715" s="432">
        <f t="shared" si="465"/>
        <v>15742955</v>
      </c>
      <c r="AY715" s="437"/>
      <c r="AZ715" s="432"/>
      <c r="BA715" s="437"/>
      <c r="BB715" s="432"/>
      <c r="BC715" s="432">
        <f t="shared" si="466"/>
        <v>15742955</v>
      </c>
      <c r="BD715" s="432"/>
      <c r="BE715" s="128"/>
      <c r="BF715" s="220">
        <v>32066380</v>
      </c>
      <c r="BG715" s="35"/>
      <c r="BH715" s="220">
        <v>32066380</v>
      </c>
      <c r="BI715" s="111">
        <v>32066380</v>
      </c>
    </row>
    <row r="716" spans="2:63" s="1" customFormat="1">
      <c r="B716" s="30"/>
      <c r="C716" s="109" t="s">
        <v>1001</v>
      </c>
      <c r="D716" s="1399">
        <v>0</v>
      </c>
      <c r="E716" s="1399"/>
      <c r="F716" s="1365">
        <f t="shared" si="453"/>
        <v>0</v>
      </c>
      <c r="G716" s="1365">
        <f t="shared" si="452"/>
        <v>0</v>
      </c>
      <c r="H716" s="1399">
        <f t="shared" si="457"/>
        <v>0</v>
      </c>
      <c r="I716" s="1960"/>
      <c r="J716" s="1399"/>
      <c r="K716" s="1960"/>
      <c r="L716" s="1399"/>
      <c r="M716" s="1399">
        <f t="shared" si="458"/>
        <v>0</v>
      </c>
      <c r="N716" s="2273"/>
      <c r="O716" s="2014"/>
      <c r="P716" s="1540"/>
      <c r="Q716" s="1399"/>
      <c r="R716" s="1540">
        <f t="shared" si="459"/>
        <v>0</v>
      </c>
      <c r="S716" s="1539"/>
      <c r="T716" s="1540"/>
      <c r="U716" s="1539"/>
      <c r="V716" s="1540"/>
      <c r="W716" s="1540">
        <f t="shared" si="460"/>
        <v>0</v>
      </c>
      <c r="X716" s="1212"/>
      <c r="Y716" s="287">
        <v>0</v>
      </c>
      <c r="Z716" s="744"/>
      <c r="AA716" s="744">
        <f t="shared" si="467"/>
        <v>0</v>
      </c>
      <c r="AB716" s="613"/>
      <c r="AC716" s="287"/>
      <c r="AD716" s="613"/>
      <c r="AE716" s="287"/>
      <c r="AF716" s="287">
        <f t="shared" si="462"/>
        <v>0</v>
      </c>
      <c r="AG716" s="287"/>
      <c r="AH716" s="288"/>
      <c r="AI716" s="963">
        <v>0</v>
      </c>
      <c r="AJ716" s="963"/>
      <c r="AK716" s="963"/>
      <c r="AL716" s="675"/>
      <c r="AM716" s="14"/>
      <c r="AN716" s="14"/>
      <c r="AO716" s="432">
        <f t="shared" si="463"/>
        <v>0</v>
      </c>
      <c r="AP716" s="437"/>
      <c r="AQ716" s="432"/>
      <c r="AR716" s="437"/>
      <c r="AS716" s="432"/>
      <c r="AT716" s="432">
        <f t="shared" si="464"/>
        <v>0</v>
      </c>
      <c r="AU716" s="139"/>
      <c r="AV716" s="14"/>
      <c r="AW716" s="14"/>
      <c r="AX716" s="432">
        <f t="shared" si="465"/>
        <v>0</v>
      </c>
      <c r="AY716" s="437"/>
      <c r="AZ716" s="432"/>
      <c r="BA716" s="437"/>
      <c r="BB716" s="432"/>
      <c r="BC716" s="432">
        <f t="shared" si="466"/>
        <v>0</v>
      </c>
      <c r="BD716" s="432"/>
      <c r="BE716" s="128"/>
      <c r="BF716" s="220">
        <v>0</v>
      </c>
      <c r="BG716" s="37"/>
      <c r="BH716" s="220">
        <v>0</v>
      </c>
      <c r="BI716" s="15"/>
    </row>
    <row r="717" spans="2:63" s="1" customFormat="1">
      <c r="B717" s="30"/>
      <c r="C717" s="109" t="s">
        <v>1002</v>
      </c>
      <c r="D717" s="1399"/>
      <c r="E717" s="1399"/>
      <c r="F717" s="1365">
        <f t="shared" si="453"/>
        <v>0</v>
      </c>
      <c r="G717" s="1365">
        <f t="shared" si="452"/>
        <v>0</v>
      </c>
      <c r="H717" s="1399">
        <f t="shared" si="457"/>
        <v>0</v>
      </c>
      <c r="I717" s="1960"/>
      <c r="J717" s="1399"/>
      <c r="K717" s="1960"/>
      <c r="L717" s="1399"/>
      <c r="M717" s="1399">
        <f t="shared" si="458"/>
        <v>0</v>
      </c>
      <c r="N717" s="2273"/>
      <c r="O717" s="2014"/>
      <c r="P717" s="1540"/>
      <c r="Q717" s="1399"/>
      <c r="R717" s="1540">
        <f t="shared" si="459"/>
        <v>0</v>
      </c>
      <c r="S717" s="1539"/>
      <c r="T717" s="1540"/>
      <c r="U717" s="1539"/>
      <c r="V717" s="1540"/>
      <c r="W717" s="1540">
        <f t="shared" si="460"/>
        <v>0</v>
      </c>
      <c r="X717" s="1212"/>
      <c r="Y717" s="287">
        <v>0</v>
      </c>
      <c r="Z717" s="744"/>
      <c r="AA717" s="744">
        <f t="shared" si="467"/>
        <v>0</v>
      </c>
      <c r="AB717" s="613"/>
      <c r="AC717" s="287"/>
      <c r="AD717" s="613"/>
      <c r="AE717" s="287"/>
      <c r="AF717" s="287">
        <f t="shared" si="462"/>
        <v>0</v>
      </c>
      <c r="AG717" s="287"/>
      <c r="AH717" s="288"/>
      <c r="AI717" s="963">
        <v>0</v>
      </c>
      <c r="AJ717" s="963"/>
      <c r="AK717" s="963"/>
      <c r="AL717" s="675"/>
      <c r="AM717" s="14"/>
      <c r="AN717" s="14"/>
      <c r="AO717" s="432">
        <f t="shared" si="463"/>
        <v>0</v>
      </c>
      <c r="AP717" s="437"/>
      <c r="AQ717" s="432"/>
      <c r="AR717" s="437"/>
      <c r="AS717" s="432"/>
      <c r="AT717" s="432">
        <f t="shared" si="464"/>
        <v>0</v>
      </c>
      <c r="AU717" s="139"/>
      <c r="AV717" s="14"/>
      <c r="AW717" s="14"/>
      <c r="AX717" s="432">
        <f t="shared" si="465"/>
        <v>0</v>
      </c>
      <c r="AY717" s="437"/>
      <c r="AZ717" s="432"/>
      <c r="BA717" s="437"/>
      <c r="BB717" s="432"/>
      <c r="BC717" s="432">
        <f t="shared" si="466"/>
        <v>0</v>
      </c>
      <c r="BD717" s="432"/>
      <c r="BE717" s="128"/>
      <c r="BF717" s="220">
        <v>0</v>
      </c>
      <c r="BG717" s="37"/>
      <c r="BH717" s="220">
        <v>0</v>
      </c>
      <c r="BI717" s="15"/>
    </row>
    <row r="718" spans="2:63" s="1" customFormat="1">
      <c r="B718" s="30"/>
      <c r="C718" s="109" t="s">
        <v>1003</v>
      </c>
      <c r="D718" s="1399">
        <v>0</v>
      </c>
      <c r="E718" s="1399"/>
      <c r="F718" s="1365">
        <f t="shared" si="453"/>
        <v>0</v>
      </c>
      <c r="G718" s="1365">
        <f t="shared" si="452"/>
        <v>0</v>
      </c>
      <c r="H718" s="1399">
        <f t="shared" si="457"/>
        <v>0</v>
      </c>
      <c r="I718" s="1960"/>
      <c r="J718" s="1399"/>
      <c r="K718" s="1960"/>
      <c r="L718" s="1399"/>
      <c r="M718" s="1399">
        <f t="shared" si="458"/>
        <v>0</v>
      </c>
      <c r="N718" s="2273"/>
      <c r="O718" s="2014"/>
      <c r="P718" s="1540"/>
      <c r="Q718" s="1399"/>
      <c r="R718" s="1540">
        <f t="shared" si="459"/>
        <v>0</v>
      </c>
      <c r="S718" s="1539"/>
      <c r="T718" s="1540"/>
      <c r="U718" s="1539"/>
      <c r="V718" s="1540"/>
      <c r="W718" s="1540">
        <f t="shared" si="460"/>
        <v>0</v>
      </c>
      <c r="X718" s="1212"/>
      <c r="Y718" s="287">
        <v>0</v>
      </c>
      <c r="Z718" s="744"/>
      <c r="AA718" s="744">
        <f t="shared" si="467"/>
        <v>0</v>
      </c>
      <c r="AB718" s="613"/>
      <c r="AC718" s="287"/>
      <c r="AD718" s="613"/>
      <c r="AE718" s="287"/>
      <c r="AF718" s="287">
        <f t="shared" si="462"/>
        <v>0</v>
      </c>
      <c r="AG718" s="287"/>
      <c r="AH718" s="288"/>
      <c r="AI718" s="963">
        <v>0</v>
      </c>
      <c r="AJ718" s="963"/>
      <c r="AK718" s="963"/>
      <c r="AL718" s="675"/>
      <c r="AM718" s="14"/>
      <c r="AN718" s="14"/>
      <c r="AO718" s="432">
        <f t="shared" si="463"/>
        <v>0</v>
      </c>
      <c r="AP718" s="437"/>
      <c r="AQ718" s="432"/>
      <c r="AR718" s="437"/>
      <c r="AS718" s="432"/>
      <c r="AT718" s="432">
        <f t="shared" si="464"/>
        <v>0</v>
      </c>
      <c r="AU718" s="139"/>
      <c r="AV718" s="14"/>
      <c r="AW718" s="14"/>
      <c r="AX718" s="432">
        <f t="shared" si="465"/>
        <v>0</v>
      </c>
      <c r="AY718" s="437"/>
      <c r="AZ718" s="432"/>
      <c r="BA718" s="437"/>
      <c r="BB718" s="432"/>
      <c r="BC718" s="432">
        <f t="shared" si="466"/>
        <v>0</v>
      </c>
      <c r="BD718" s="432"/>
      <c r="BE718" s="128">
        <v>27735807561</v>
      </c>
      <c r="BF718" s="220">
        <v>16885000</v>
      </c>
      <c r="BG718" s="37"/>
      <c r="BH718" s="220">
        <v>28242500</v>
      </c>
      <c r="BI718" s="15"/>
    </row>
    <row r="719" spans="2:63" s="1" customFormat="1">
      <c r="B719" s="19"/>
      <c r="C719" s="19" t="s">
        <v>1004</v>
      </c>
      <c r="D719" s="1366">
        <f>SUM(D665:D718)</f>
        <v>15174934512</v>
      </c>
      <c r="E719" s="1366">
        <f>SUM(E665:E718)</f>
        <v>21071752658</v>
      </c>
      <c r="F719" s="1365">
        <f t="shared" si="453"/>
        <v>36246687170</v>
      </c>
      <c r="G719" s="1365">
        <f t="shared" si="452"/>
        <v>0</v>
      </c>
      <c r="H719" s="1366">
        <f>SUM(H665:H718)</f>
        <v>36246687170</v>
      </c>
      <c r="I719" s="1942"/>
      <c r="J719" s="1366"/>
      <c r="K719" s="1942"/>
      <c r="L719" s="1366"/>
      <c r="M719" s="1366">
        <f>SUM(M665:M718)</f>
        <v>36246687170</v>
      </c>
      <c r="N719" s="2260"/>
      <c r="O719" s="1989"/>
      <c r="P719" s="1483">
        <f>SUM(P665:P718)</f>
        <v>13159814931</v>
      </c>
      <c r="Q719" s="1366">
        <f>SUM(Q665:Q718)</f>
        <v>13007913704</v>
      </c>
      <c r="R719" s="1483">
        <f>SUM(R665:R718)</f>
        <v>26167728635</v>
      </c>
      <c r="S719" s="1484"/>
      <c r="T719" s="1483"/>
      <c r="U719" s="1484"/>
      <c r="V719" s="1483"/>
      <c r="W719" s="1483">
        <f>SUM(W665:W718)</f>
        <v>26167728635</v>
      </c>
      <c r="X719" s="1188"/>
      <c r="Y719" s="448">
        <f>SUM(Y665:Y718)</f>
        <v>4938597050</v>
      </c>
      <c r="Z719" s="748">
        <f>SUM(Z665:Z718)</f>
        <v>8473804041</v>
      </c>
      <c r="AA719" s="748">
        <f>SUM(AA665:AA718)</f>
        <v>13412401091</v>
      </c>
      <c r="AB719" s="601"/>
      <c r="AC719" s="223"/>
      <c r="AD719" s="601"/>
      <c r="AE719" s="223"/>
      <c r="AF719" s="448">
        <f>SUM(AF665:AF718)</f>
        <v>13412401091</v>
      </c>
      <c r="AG719" s="448"/>
      <c r="AH719" s="228"/>
      <c r="AI719" s="964">
        <f>SUM(AI665:AI718)</f>
        <v>27733745691</v>
      </c>
      <c r="AJ719" s="964"/>
      <c r="AK719" s="964"/>
      <c r="AL719" s="668"/>
      <c r="AM719" s="448">
        <f>SUM(AM665:AM718)</f>
        <v>6007580878</v>
      </c>
      <c r="AN719" s="448">
        <f>SUM(AN665:AN718)</f>
        <v>14811583762</v>
      </c>
      <c r="AO719" s="448">
        <f>SUM(AO665:AO718)</f>
        <v>20819164640</v>
      </c>
      <c r="AP719" s="759"/>
      <c r="AQ719" s="448"/>
      <c r="AR719" s="759"/>
      <c r="AS719" s="448"/>
      <c r="AT719" s="448">
        <f>SUM(AT665:AT718)</f>
        <v>20819164640</v>
      </c>
      <c r="AU719" s="20"/>
      <c r="AV719" s="448">
        <f>SUM(AV665:AV718)</f>
        <v>4115377732</v>
      </c>
      <c r="AW719" s="448">
        <f>SUM(AW665:AW718)</f>
        <v>11326477433</v>
      </c>
      <c r="AX719" s="448">
        <f>SUM(AX665:AX718)</f>
        <v>15441855165</v>
      </c>
      <c r="AY719" s="759"/>
      <c r="AZ719" s="448"/>
      <c r="BA719" s="759"/>
      <c r="BB719" s="448"/>
      <c r="BC719" s="448">
        <f>SUM(BC665:BC718)</f>
        <v>15441855165</v>
      </c>
      <c r="BD719" s="53"/>
      <c r="BE719" s="28">
        <f>BE718-AI719</f>
        <v>2061870</v>
      </c>
      <c r="BF719" s="448">
        <f>SUM(BF665:BF718)</f>
        <v>28248056723</v>
      </c>
      <c r="BG719" s="29"/>
      <c r="BH719" s="448">
        <f>SUM(BH665:BH718)</f>
        <v>26942834062</v>
      </c>
      <c r="BI719" s="20">
        <f>BJ719+BK719</f>
        <v>0</v>
      </c>
    </row>
    <row r="720" spans="2:63" s="1" customFormat="1">
      <c r="B720" s="19"/>
      <c r="C720" s="19" t="s">
        <v>1005</v>
      </c>
      <c r="D720" s="1366">
        <f>ROUND(D662+D719,0)</f>
        <v>25565593724</v>
      </c>
      <c r="E720" s="1366">
        <f>E662+E719</f>
        <v>26940090745</v>
      </c>
      <c r="F720" s="1365">
        <f t="shared" si="453"/>
        <v>52505684469</v>
      </c>
      <c r="G720" s="1365">
        <f t="shared" si="452"/>
        <v>0</v>
      </c>
      <c r="H720" s="1366">
        <f>ROUND(H662+H719,0)</f>
        <v>52505684469</v>
      </c>
      <c r="I720" s="1942"/>
      <c r="J720" s="1366"/>
      <c r="K720" s="1942"/>
      <c r="L720" s="1366"/>
      <c r="M720" s="1366">
        <f>M662+M719</f>
        <v>52505684469</v>
      </c>
      <c r="N720" s="2260"/>
      <c r="O720" s="1989"/>
      <c r="P720" s="1483">
        <f>P662+P719</f>
        <v>22552611591</v>
      </c>
      <c r="Q720" s="1366">
        <f>Q662+Q719</f>
        <v>17065332424</v>
      </c>
      <c r="R720" s="1483">
        <f>R662+R719</f>
        <v>39617944015</v>
      </c>
      <c r="S720" s="1484"/>
      <c r="T720" s="1483"/>
      <c r="U720" s="1484"/>
      <c r="V720" s="1483"/>
      <c r="W720" s="1483">
        <f>W662+W719</f>
        <v>39617944015</v>
      </c>
      <c r="X720" s="1188"/>
      <c r="Y720" s="448">
        <f>Y662+Y719</f>
        <v>12046715815</v>
      </c>
      <c r="Z720" s="748">
        <f>Z662+Z719</f>
        <v>10231731430</v>
      </c>
      <c r="AA720" s="748">
        <f>AA662+AA719</f>
        <v>22278447245</v>
      </c>
      <c r="AB720" s="601"/>
      <c r="AC720" s="223"/>
      <c r="AD720" s="601"/>
      <c r="AE720" s="223"/>
      <c r="AF720" s="448">
        <f>AF662+AF719</f>
        <v>22278447245</v>
      </c>
      <c r="AG720" s="448"/>
      <c r="AH720" s="228"/>
      <c r="AI720" s="964">
        <f>AI662+AI719</f>
        <v>45692471114</v>
      </c>
      <c r="AJ720" s="964"/>
      <c r="AK720" s="964"/>
      <c r="AL720" s="668"/>
      <c r="AM720" s="448">
        <f>AM662+AM719</f>
        <v>18128315098</v>
      </c>
      <c r="AN720" s="448">
        <f>AN662+AN719</f>
        <v>20799111688</v>
      </c>
      <c r="AO720" s="448">
        <f>AO662+AO719</f>
        <v>38927426786</v>
      </c>
      <c r="AP720" s="759"/>
      <c r="AQ720" s="448"/>
      <c r="AR720" s="759"/>
      <c r="AS720" s="448"/>
      <c r="AT720" s="448">
        <f>AT662+AT719</f>
        <v>38927426786</v>
      </c>
      <c r="AU720" s="20"/>
      <c r="AV720" s="448">
        <f>AV662+AV719</f>
        <v>13778500559</v>
      </c>
      <c r="AW720" s="448">
        <f>AW662+AW719</f>
        <v>15074742431</v>
      </c>
      <c r="AX720" s="448">
        <f>AX662+AX719</f>
        <v>28853242990</v>
      </c>
      <c r="AY720" s="759"/>
      <c r="AZ720" s="448"/>
      <c r="BA720" s="759"/>
      <c r="BB720" s="448"/>
      <c r="BC720" s="448">
        <f>BC662+BC719</f>
        <v>28853242990</v>
      </c>
      <c r="BD720" s="53"/>
      <c r="BE720" s="28" t="e">
        <f>BE721-BE725</f>
        <v>#REF!</v>
      </c>
      <c r="BF720" s="448">
        <f>BF662+BF719</f>
        <v>62074975079</v>
      </c>
      <c r="BG720" s="29"/>
      <c r="BH720" s="448">
        <f>BH662+BH719</f>
        <v>53463976463</v>
      </c>
      <c r="BI720" s="20">
        <f>BI719-BL719</f>
        <v>0</v>
      </c>
    </row>
    <row r="721" spans="2:64" s="1" customFormat="1">
      <c r="B721" s="113"/>
      <c r="C721" s="113" t="s">
        <v>1006</v>
      </c>
      <c r="D721" s="1402">
        <f>ROUND(D641-D720,0)</f>
        <v>13485426528</v>
      </c>
      <c r="E721" s="1402">
        <f>E641-E720</f>
        <v>9228732194.6600037</v>
      </c>
      <c r="F721" s="1365">
        <f t="shared" si="453"/>
        <v>22714158722.660004</v>
      </c>
      <c r="G721" s="1365">
        <f t="shared" si="452"/>
        <v>0.660003662109375</v>
      </c>
      <c r="H721" s="1402">
        <f>ROUND(H641-H720,0)</f>
        <v>22714158722</v>
      </c>
      <c r="I721" s="2017"/>
      <c r="J721" s="1402"/>
      <c r="K721" s="2017"/>
      <c r="L721" s="1402"/>
      <c r="M721" s="1402">
        <f>ROUND(M641-M720,0)</f>
        <v>23119789953</v>
      </c>
      <c r="N721" s="1983"/>
      <c r="O721" s="2018"/>
      <c r="P721" s="1545">
        <f>P641-P720</f>
        <v>7037686082.5599976</v>
      </c>
      <c r="Q721" s="1402">
        <f>Q641-Q720</f>
        <v>6077347925</v>
      </c>
      <c r="R721" s="1545">
        <f>R641-R720</f>
        <v>13115034008</v>
      </c>
      <c r="S721" s="1546"/>
      <c r="T721" s="1545"/>
      <c r="U721" s="1546"/>
      <c r="V721" s="1545"/>
      <c r="W721" s="1545">
        <f>W641-W720</f>
        <v>13386682686</v>
      </c>
      <c r="X721" s="1214"/>
      <c r="Y721" s="449">
        <f>Y641-Y720</f>
        <v>10424085774</v>
      </c>
      <c r="Z721" s="749">
        <f>Z641-Z720</f>
        <v>4579614383</v>
      </c>
      <c r="AA721" s="749">
        <f>AA641-AA720</f>
        <v>15003700157</v>
      </c>
      <c r="AB721" s="602"/>
      <c r="AC721" s="293"/>
      <c r="AD721" s="602"/>
      <c r="AE721" s="293"/>
      <c r="AF721" s="449">
        <f>AF641-AF720</f>
        <v>15197716947</v>
      </c>
      <c r="AG721" s="656"/>
      <c r="AH721" s="294"/>
      <c r="AI721" s="965">
        <f>AI641-AI720</f>
        <v>19315987279</v>
      </c>
      <c r="AJ721" s="1161"/>
      <c r="AK721" s="1161"/>
      <c r="AL721" s="668"/>
      <c r="AM721" s="656">
        <f>AM641-AM720</f>
        <v>7946449513</v>
      </c>
      <c r="AN721" s="656">
        <f>AN641-AN720</f>
        <v>5261137754</v>
      </c>
      <c r="AO721" s="656">
        <f>AO641-AO720</f>
        <v>13207587267</v>
      </c>
      <c r="AP721" s="776"/>
      <c r="AQ721" s="656"/>
      <c r="AR721" s="776"/>
      <c r="AS721" s="656"/>
      <c r="AT721" s="656">
        <f>AT641-AT720</f>
        <v>13705552399</v>
      </c>
      <c r="AU721" s="114"/>
      <c r="AV721" s="656">
        <f>AV641-AV720</f>
        <v>4306063417</v>
      </c>
      <c r="AW721" s="656">
        <f>AW641-AW720</f>
        <v>6233374984</v>
      </c>
      <c r="AX721" s="656">
        <f>AX641-AX720</f>
        <v>10539438401</v>
      </c>
      <c r="AY721" s="776"/>
      <c r="AZ721" s="656"/>
      <c r="BA721" s="776"/>
      <c r="BB721" s="656"/>
      <c r="BC721" s="656">
        <f>BC641-BC720</f>
        <v>10850774381</v>
      </c>
      <c r="BD721" s="53"/>
      <c r="BE721" s="32" t="e">
        <f>#REF!</f>
        <v>#REF!</v>
      </c>
      <c r="BF721" s="449">
        <f>BF641-BF720</f>
        <v>22231645907</v>
      </c>
      <c r="BG721" s="33"/>
      <c r="BH721" s="449">
        <f>BH641-BH720</f>
        <v>14894230932</v>
      </c>
      <c r="BI721" s="114"/>
    </row>
    <row r="722" spans="2:64" s="1" customFormat="1">
      <c r="B722" s="2" t="s">
        <v>1007</v>
      </c>
      <c r="C722" s="2"/>
      <c r="D722" s="217"/>
      <c r="E722" s="217"/>
      <c r="F722" s="1365">
        <f t="shared" si="453"/>
        <v>0</v>
      </c>
      <c r="G722" s="1365">
        <f t="shared" ref="G722:G765" si="470">F722-H722</f>
        <v>0</v>
      </c>
      <c r="H722" s="217"/>
      <c r="I722" s="1384"/>
      <c r="J722" s="217"/>
      <c r="K722" s="1384"/>
      <c r="L722" s="217"/>
      <c r="M722" s="217"/>
      <c r="N722" s="226"/>
      <c r="O722" s="1217"/>
      <c r="P722" s="1480"/>
      <c r="Q722" s="217"/>
      <c r="R722" s="1480"/>
      <c r="S722" s="1481"/>
      <c r="T722" s="1480"/>
      <c r="U722" s="1481"/>
      <c r="V722" s="1480"/>
      <c r="W722" s="1480"/>
      <c r="X722" s="1186"/>
      <c r="Y722" s="118"/>
      <c r="Z722" s="705"/>
      <c r="AA722" s="705"/>
      <c r="AB722" s="253"/>
      <c r="AC722" s="118"/>
      <c r="AD722" s="253"/>
      <c r="AE722" s="118"/>
      <c r="AF722" s="118"/>
      <c r="AG722" s="118"/>
      <c r="AH722" s="209"/>
      <c r="AI722" s="942"/>
      <c r="AJ722" s="942"/>
      <c r="AK722" s="942"/>
      <c r="AL722" s="667"/>
      <c r="AM722" s="9"/>
      <c r="AN722" s="9"/>
      <c r="AO722" s="9"/>
      <c r="AP722" s="769"/>
      <c r="AQ722" s="9"/>
      <c r="AR722" s="769"/>
      <c r="AS722" s="9"/>
      <c r="AT722" s="9"/>
      <c r="AU722" s="37"/>
      <c r="AV722" s="9"/>
      <c r="AW722" s="9"/>
      <c r="AX722" s="9"/>
      <c r="AY722" s="769"/>
      <c r="AZ722" s="9"/>
      <c r="BA722" s="769"/>
      <c r="BB722" s="9"/>
      <c r="BC722" s="9"/>
      <c r="BD722" s="14"/>
      <c r="BE722" s="128"/>
      <c r="BF722" s="219"/>
      <c r="BG722" s="37"/>
      <c r="BH722" s="219"/>
      <c r="BI722" s="11"/>
    </row>
    <row r="723" spans="2:64" s="1" customFormat="1">
      <c r="B723" s="2" t="s">
        <v>1008</v>
      </c>
      <c r="C723" s="2"/>
      <c r="D723" s="217"/>
      <c r="E723" s="217"/>
      <c r="F723" s="1365">
        <f t="shared" si="453"/>
        <v>0</v>
      </c>
      <c r="G723" s="1365">
        <f t="shared" si="470"/>
        <v>0</v>
      </c>
      <c r="H723" s="217"/>
      <c r="I723" s="1384"/>
      <c r="J723" s="217"/>
      <c r="K723" s="1384"/>
      <c r="L723" s="217"/>
      <c r="M723" s="217"/>
      <c r="N723" s="226"/>
      <c r="O723" s="1217"/>
      <c r="P723" s="1480"/>
      <c r="Q723" s="217"/>
      <c r="R723" s="1480"/>
      <c r="S723" s="1481"/>
      <c r="T723" s="1480"/>
      <c r="U723" s="1481"/>
      <c r="V723" s="1480"/>
      <c r="W723" s="1480"/>
      <c r="X723" s="1186"/>
      <c r="Y723" s="118"/>
      <c r="Z723" s="705"/>
      <c r="AA723" s="705"/>
      <c r="AB723" s="253"/>
      <c r="AC723" s="118"/>
      <c r="AD723" s="253"/>
      <c r="AE723" s="118"/>
      <c r="AF723" s="118"/>
      <c r="AG723" s="118"/>
      <c r="AH723" s="209"/>
      <c r="AI723" s="947"/>
      <c r="AJ723" s="947"/>
      <c r="AK723" s="947"/>
      <c r="AL723" s="667"/>
      <c r="AM723" s="14"/>
      <c r="AN723" s="14"/>
      <c r="AO723" s="14"/>
      <c r="AP723" s="437"/>
      <c r="AQ723" s="14"/>
      <c r="AR723" s="437"/>
      <c r="AS723" s="14"/>
      <c r="AT723" s="14"/>
      <c r="AU723" s="37"/>
      <c r="AV723" s="14"/>
      <c r="AW723" s="14"/>
      <c r="AX723" s="14"/>
      <c r="AY723" s="437"/>
      <c r="AZ723" s="14"/>
      <c r="BA723" s="437"/>
      <c r="BB723" s="14"/>
      <c r="BC723" s="14"/>
      <c r="BD723" s="14"/>
      <c r="BE723" s="128"/>
      <c r="BF723" s="220"/>
      <c r="BG723" s="37"/>
      <c r="BH723" s="220"/>
      <c r="BI723" s="11"/>
    </row>
    <row r="724" spans="2:64" s="1" customFormat="1">
      <c r="B724" s="30"/>
      <c r="C724" s="13" t="s">
        <v>1009</v>
      </c>
      <c r="D724" s="1367">
        <f>ROUND(70634245.09,0)</f>
        <v>70634245</v>
      </c>
      <c r="E724" s="2254"/>
      <c r="F724" s="1365">
        <f t="shared" ref="F724:F764" si="471">D724+E724</f>
        <v>70634245</v>
      </c>
      <c r="G724" s="1365">
        <f t="shared" si="470"/>
        <v>0</v>
      </c>
      <c r="H724" s="1367">
        <f t="shared" ref="H724:H729" si="472">ROUND((D724+E724),0)</f>
        <v>70634245</v>
      </c>
      <c r="I724" s="1384"/>
      <c r="J724" s="1367"/>
      <c r="K724" s="1384"/>
      <c r="L724" s="1367"/>
      <c r="M724" s="1375">
        <f>ROUND((H724-J724+L724),0)</f>
        <v>70634245</v>
      </c>
      <c r="N724" s="1967" t="s">
        <v>1010</v>
      </c>
      <c r="O724" s="1057"/>
      <c r="P724" s="1485">
        <f>ROUND(69022353.19,0)</f>
        <v>69022353</v>
      </c>
      <c r="Q724" s="1367">
        <f>ROUND(6661016.01,0)</f>
        <v>6661016</v>
      </c>
      <c r="R724" s="1485">
        <f>ROUND((P724+Q724),0)</f>
        <v>75683369</v>
      </c>
      <c r="S724" s="1481"/>
      <c r="T724" s="1485"/>
      <c r="U724" s="1481"/>
      <c r="V724" s="1485"/>
      <c r="W724" s="1485">
        <f>ROUND((R724-T724+V724),0)</f>
        <v>75683369</v>
      </c>
      <c r="X724" s="1189"/>
      <c r="Y724" s="106"/>
      <c r="Z724" s="698"/>
      <c r="AA724" s="698">
        <f>ROUND((Y724+Z724),0)</f>
        <v>0</v>
      </c>
      <c r="AB724" s="253"/>
      <c r="AC724" s="106"/>
      <c r="AD724" s="253"/>
      <c r="AE724" s="106"/>
      <c r="AF724" s="106">
        <f>ROUND((AA724-AC724+AE724),0)</f>
        <v>0</v>
      </c>
      <c r="AG724" s="106"/>
      <c r="AH724" s="208"/>
      <c r="AI724" s="2322">
        <v>65659825</v>
      </c>
      <c r="AJ724" s="947"/>
      <c r="AK724" s="947"/>
      <c r="AL724" s="667"/>
      <c r="AM724" s="14">
        <v>47280776</v>
      </c>
      <c r="AN724" s="14"/>
      <c r="AO724" s="14">
        <f>ROUND((AM724+AN724),0)</f>
        <v>47280776</v>
      </c>
      <c r="AP724" s="437"/>
      <c r="AQ724" s="14"/>
      <c r="AR724" s="437"/>
      <c r="AS724" s="14"/>
      <c r="AT724" s="14">
        <f>ROUND((AO724-AQ724+AS724),0)</f>
        <v>47280776</v>
      </c>
      <c r="AU724" s="37"/>
      <c r="AV724" s="14">
        <v>32273195</v>
      </c>
      <c r="AW724" s="14"/>
      <c r="AX724" s="14">
        <f>ROUND((AV724+AW724),0)</f>
        <v>32273195</v>
      </c>
      <c r="AY724" s="437"/>
      <c r="AZ724" s="14"/>
      <c r="BA724" s="437"/>
      <c r="BB724" s="14"/>
      <c r="BC724" s="14">
        <f>ROUND((AX724-AZ724+BB724),0)</f>
        <v>32273195</v>
      </c>
      <c r="BD724" s="14"/>
      <c r="BE724" s="128"/>
      <c r="BF724" s="220">
        <v>68879296</v>
      </c>
      <c r="BG724" s="37">
        <v>316935156</v>
      </c>
      <c r="BH724" s="220">
        <v>46643732</v>
      </c>
      <c r="BI724" s="11"/>
    </row>
    <row r="725" spans="2:64" s="1" customFormat="1">
      <c r="B725" s="30" t="s">
        <v>407</v>
      </c>
      <c r="C725" s="13" t="s">
        <v>1011</v>
      </c>
      <c r="D725" s="1367"/>
      <c r="E725" s="2254">
        <f>ROUND(5045160.16,0)</f>
        <v>5045160</v>
      </c>
      <c r="F725" s="1365">
        <f t="shared" si="471"/>
        <v>5045160</v>
      </c>
      <c r="G725" s="1365">
        <f t="shared" si="470"/>
        <v>0</v>
      </c>
      <c r="H725" s="1367">
        <f t="shared" si="472"/>
        <v>5045160</v>
      </c>
      <c r="I725" s="1384"/>
      <c r="J725" s="1367"/>
      <c r="K725" s="1384"/>
      <c r="L725" s="1367"/>
      <c r="M725" s="1375">
        <f>ROUND((H725-J725+L725),0)</f>
        <v>5045160</v>
      </c>
      <c r="N725" s="1967" t="s">
        <v>1012</v>
      </c>
      <c r="O725" s="1057"/>
      <c r="P725" s="1485"/>
      <c r="Q725" s="1367"/>
      <c r="R725" s="1485">
        <f>ROUND((P725+Q725),0)</f>
        <v>0</v>
      </c>
      <c r="S725" s="1481"/>
      <c r="T725" s="1485"/>
      <c r="U725" s="1481"/>
      <c r="V725" s="1485"/>
      <c r="W725" s="1485">
        <f>ROUND((R725-T725+V725),0)</f>
        <v>0</v>
      </c>
      <c r="X725" s="1189"/>
      <c r="Y725" s="106">
        <v>479220</v>
      </c>
      <c r="Z725" s="698">
        <v>6440647</v>
      </c>
      <c r="AA725" s="698">
        <f>ROUND((Y725+Z725),0)</f>
        <v>6919867</v>
      </c>
      <c r="AB725" s="253"/>
      <c r="AC725" s="106"/>
      <c r="AD725" s="253"/>
      <c r="AE725" s="106"/>
      <c r="AF725" s="106">
        <f>ROUND((AA725-AC725+AE725),0)</f>
        <v>6919867</v>
      </c>
      <c r="AG725" s="106"/>
      <c r="AH725" s="208"/>
      <c r="AI725" s="2322">
        <v>8717809</v>
      </c>
      <c r="AJ725" s="947"/>
      <c r="AK725" s="947"/>
      <c r="AL725" s="667"/>
      <c r="AM725" s="14">
        <v>-751427729</v>
      </c>
      <c r="AN725" s="14">
        <v>2448214</v>
      </c>
      <c r="AO725" s="14">
        <f>ROUND((AM725+AN725),0)</f>
        <v>-748979515</v>
      </c>
      <c r="AP725" s="437"/>
      <c r="AQ725" s="14"/>
      <c r="AR725" s="437"/>
      <c r="AS725" s="14"/>
      <c r="AT725" s="14">
        <f>ROUND((AO725-AQ725+AS725),0)</f>
        <v>-748979515</v>
      </c>
      <c r="AU725" s="37"/>
      <c r="AV725" s="14"/>
      <c r="AW725" s="14">
        <v>2030287</v>
      </c>
      <c r="AX725" s="14">
        <f>ROUND((AV725+AW725),0)</f>
        <v>2030287</v>
      </c>
      <c r="AY725" s="437"/>
      <c r="AZ725" s="14"/>
      <c r="BA725" s="437"/>
      <c r="BB725" s="14"/>
      <c r="BC725" s="14">
        <f>ROUND((AX725-AZ725+BB725),0)</f>
        <v>2030287</v>
      </c>
      <c r="BD725" s="14"/>
      <c r="BE725" s="128"/>
      <c r="BF725" s="220">
        <v>7219511</v>
      </c>
      <c r="BG725" s="37"/>
      <c r="BH725" s="220">
        <v>591169</v>
      </c>
      <c r="BI725" s="11"/>
      <c r="BJ725" s="2323"/>
      <c r="BK725" s="2324"/>
    </row>
    <row r="726" spans="2:64" s="1" customFormat="1">
      <c r="B726" s="30"/>
      <c r="C726" s="23" t="s">
        <v>1013</v>
      </c>
      <c r="D726" s="1368">
        <v>-1990315161.5</v>
      </c>
      <c r="E726" s="2254">
        <v>-1049940922</v>
      </c>
      <c r="F726" s="1365">
        <f t="shared" si="471"/>
        <v>-3040256083.5</v>
      </c>
      <c r="G726" s="1365">
        <f t="shared" si="470"/>
        <v>0.5</v>
      </c>
      <c r="H726" s="1368">
        <f t="shared" si="472"/>
        <v>-3040256084</v>
      </c>
      <c r="I726" s="1943"/>
      <c r="J726" s="1368"/>
      <c r="K726" s="1943"/>
      <c r="L726" s="1368"/>
      <c r="M726" s="2281">
        <f t="shared" ref="M726:M727" si="473">ROUND((H726-J726+L726),0)</f>
        <v>-3040256084</v>
      </c>
      <c r="N726" s="1967" t="s">
        <v>1012</v>
      </c>
      <c r="O726" s="1057"/>
      <c r="P726" s="1486">
        <f>ROUND(1578595518.5,0)</f>
        <v>1578595519</v>
      </c>
      <c r="Q726" s="1368">
        <f>ROUND(592099935.85,0)</f>
        <v>592099936</v>
      </c>
      <c r="R726" s="1486">
        <f>ROUND((P726+Q726),0)</f>
        <v>2170695455</v>
      </c>
      <c r="S726" s="1487"/>
      <c r="T726" s="1486"/>
      <c r="U726" s="1487"/>
      <c r="V726" s="1486"/>
      <c r="W726" s="1547">
        <f t="shared" ref="W726:W728" si="474">ROUND((R726-T726+V726),0)</f>
        <v>2170695455</v>
      </c>
      <c r="X726" s="1189"/>
      <c r="Y726" s="225">
        <v>-4019509585</v>
      </c>
      <c r="Z726" s="699">
        <v>-507575526</v>
      </c>
      <c r="AA726" s="699">
        <f>ROUND((Y726+Z726),0)</f>
        <v>-4527085111</v>
      </c>
      <c r="AB726" s="617"/>
      <c r="AC726" s="225"/>
      <c r="AD726" s="617">
        <f>'ELIM &amp; CAJE Juni 24'!B39</f>
        <v>0</v>
      </c>
      <c r="AE726" s="225">
        <f>'ELIM &amp; CAJE Juni 24'!J39</f>
        <v>0</v>
      </c>
      <c r="AF726" s="1142">
        <f t="shared" ref="AF726:AF728" si="475">ROUND((AA726-AC726+AE726),0)</f>
        <v>-4527085111</v>
      </c>
      <c r="AG726" s="1142"/>
      <c r="AH726" s="208"/>
      <c r="AI726" s="2322">
        <v>-782537414</v>
      </c>
      <c r="AJ726" s="947"/>
      <c r="AK726" s="947"/>
      <c r="AL726" s="667">
        <f>AI727-AI739</f>
        <v>-465520410</v>
      </c>
      <c r="AM726" s="14"/>
      <c r="AN726" s="1139">
        <v>-335481225</v>
      </c>
      <c r="AO726" s="14">
        <f>ROUND((AM726+AN726),0)</f>
        <v>-335481225</v>
      </c>
      <c r="AP726" s="437"/>
      <c r="AQ726" s="14"/>
      <c r="AR726" s="437"/>
      <c r="AS726" s="14"/>
      <c r="AT726" s="14">
        <f t="shared" ref="AT726:AT728" si="476">ROUND((AO726-AQ726+AS726),0)</f>
        <v>-335481225</v>
      </c>
      <c r="AU726" s="37"/>
      <c r="AV726" s="14">
        <v>249104985</v>
      </c>
      <c r="AW726" s="1139">
        <v>-2326568088</v>
      </c>
      <c r="AX726" s="14">
        <f>ROUND((AV726+AW726),0)</f>
        <v>-2077463103</v>
      </c>
      <c r="AY726" s="437"/>
      <c r="AZ726" s="14"/>
      <c r="BA726" s="437"/>
      <c r="BB726" s="14"/>
      <c r="BC726" s="14">
        <f t="shared" ref="BC726:BC728" si="477">ROUND((AX726-AZ726+BB726),0)</f>
        <v>-2077463103</v>
      </c>
      <c r="BD726" s="14"/>
      <c r="BE726" s="128"/>
      <c r="BF726" s="220">
        <v>-668709005</v>
      </c>
      <c r="BG726" s="37"/>
      <c r="BH726" s="220">
        <v>-315273152</v>
      </c>
      <c r="BI726" s="37">
        <f>BH735+BH741+BH739+BH733+BH742</f>
        <v>753105835</v>
      </c>
    </row>
    <row r="727" spans="2:64" s="1" customFormat="1">
      <c r="B727" s="30"/>
      <c r="C727" s="23" t="s">
        <v>1014</v>
      </c>
      <c r="D727" s="1368">
        <f>-182634290.386528</f>
        <v>-182634290.38652799</v>
      </c>
      <c r="E727" s="2254">
        <v>-235132811</v>
      </c>
      <c r="F727" s="1365">
        <f t="shared" si="471"/>
        <v>-417767101.38652802</v>
      </c>
      <c r="G727" s="1365">
        <f t="shared" si="470"/>
        <v>-0.38652801513671875</v>
      </c>
      <c r="H727" s="1368">
        <f t="shared" si="472"/>
        <v>-417767101</v>
      </c>
      <c r="I727" s="1943"/>
      <c r="J727" s="1368"/>
      <c r="K727" s="1943"/>
      <c r="L727" s="1368"/>
      <c r="M727" s="1375">
        <f t="shared" si="473"/>
        <v>-417767101</v>
      </c>
      <c r="N727" s="2303">
        <f>M727-M739</f>
        <v>-453394068</v>
      </c>
      <c r="O727" s="10">
        <f>M730-M739-M733-M736-M743</f>
        <v>-2610994654</v>
      </c>
      <c r="P727" s="1486"/>
      <c r="Q727" s="1368"/>
      <c r="R727" s="1486">
        <f>ROUND((P727+Q727),0)</f>
        <v>0</v>
      </c>
      <c r="S727" s="1487"/>
      <c r="T727" s="1486"/>
      <c r="U727" s="1487"/>
      <c r="V727" s="1486"/>
      <c r="W727" s="1486">
        <f t="shared" si="474"/>
        <v>0</v>
      </c>
      <c r="X727" s="10">
        <f>W730-W739-W733-W736</f>
        <v>2273092655</v>
      </c>
      <c r="Y727" s="225"/>
      <c r="Z727" s="699">
        <v>0</v>
      </c>
      <c r="AA727" s="699">
        <f>ROUND((Y727+Z727),0)</f>
        <v>0</v>
      </c>
      <c r="AB727" s="617"/>
      <c r="AC727" s="225"/>
      <c r="AD727" s="617"/>
      <c r="AE727" s="225"/>
      <c r="AF727" s="225">
        <f t="shared" si="475"/>
        <v>0</v>
      </c>
      <c r="AG727" s="1170"/>
      <c r="AH727" s="10">
        <f>AF730-AF739-AF733</f>
        <v>-4496948237</v>
      </c>
      <c r="AI727" s="2322">
        <v>-119304064</v>
      </c>
      <c r="AJ727" s="1162"/>
      <c r="AK727" s="1162"/>
      <c r="AL727" s="10">
        <f>AI730-AI739-AI733-AI736</f>
        <v>-1084534135</v>
      </c>
      <c r="AM727" s="14"/>
      <c r="AN727" s="14"/>
      <c r="AO727" s="14">
        <f>ROUND((AM727+AN727),0)</f>
        <v>0</v>
      </c>
      <c r="AP727" s="437"/>
      <c r="AQ727" s="14"/>
      <c r="AR727" s="437"/>
      <c r="AS727" s="14"/>
      <c r="AT727" s="14">
        <f t="shared" si="476"/>
        <v>0</v>
      </c>
      <c r="AU727" s="10">
        <f>AT730-AT739-AT733-AT736</f>
        <v>-906733107</v>
      </c>
      <c r="AV727" s="14"/>
      <c r="AW727" s="14"/>
      <c r="AX727" s="14">
        <f>ROUND((AV727+AW727),0)</f>
        <v>0</v>
      </c>
      <c r="AY727" s="437"/>
      <c r="AZ727" s="14"/>
      <c r="BA727" s="437"/>
      <c r="BB727" s="14"/>
      <c r="BC727" s="14">
        <f t="shared" si="477"/>
        <v>0</v>
      </c>
      <c r="BD727" s="25"/>
      <c r="BE727" s="10">
        <f>BC730-BC739-BC734-BC733</f>
        <v>-1927750383</v>
      </c>
      <c r="BF727" s="220">
        <v>-379120191</v>
      </c>
      <c r="BG727" s="128">
        <f>BF730-BF733-BF739-BF742</f>
        <v>-602810576</v>
      </c>
      <c r="BH727" s="220">
        <v>-227692470</v>
      </c>
      <c r="BI727" s="10"/>
      <c r="BJ727" s="2147">
        <f>AI727-AI739</f>
        <v>-465520410</v>
      </c>
      <c r="BK727" s="2147">
        <f>M727-M739</f>
        <v>-453394068</v>
      </c>
      <c r="BL727" s="2115"/>
    </row>
    <row r="728" spans="2:64" s="1" customFormat="1">
      <c r="B728" s="30"/>
      <c r="C728" s="23" t="s">
        <v>22</v>
      </c>
      <c r="D728" s="1368">
        <v>-8183319</v>
      </c>
      <c r="E728" s="2254">
        <v>473164989</v>
      </c>
      <c r="F728" s="1365">
        <f t="shared" si="471"/>
        <v>464981670</v>
      </c>
      <c r="G728" s="1365">
        <f t="shared" si="470"/>
        <v>0</v>
      </c>
      <c r="H728" s="1368">
        <f t="shared" si="472"/>
        <v>464981670</v>
      </c>
      <c r="I728" s="1943" t="s">
        <v>1015</v>
      </c>
      <c r="J728" s="1368">
        <f>'ELIM &amp; CAJE Des 24'!F37+'ELIM &amp; CAJE Des 24'!H22+'ELIM &amp; CAJE Des 24'!H41</f>
        <v>405631233</v>
      </c>
      <c r="K728" s="1943"/>
      <c r="L728" s="1368"/>
      <c r="M728" s="1375">
        <f>ROUND((H728-J728+L728),0)</f>
        <v>59350437</v>
      </c>
      <c r="N728" s="1967" t="s">
        <v>1016</v>
      </c>
      <c r="O728" s="1057"/>
      <c r="P728" s="1486"/>
      <c r="Q728" s="1368">
        <v>312601380</v>
      </c>
      <c r="R728" s="1486">
        <f>ROUND((P728+Q728),0)</f>
        <v>312601380</v>
      </c>
      <c r="S728" s="1487" t="str">
        <f>'ELIM &amp; CAJE Sept 24'!B22</f>
        <v>ELIM 5</v>
      </c>
      <c r="T728" s="1486">
        <f>'ELIM &amp; CAJE Sept 24'!I22</f>
        <v>271648678</v>
      </c>
      <c r="U728" s="1487"/>
      <c r="V728" s="1486"/>
      <c r="W728" s="1486">
        <f t="shared" si="474"/>
        <v>40952702</v>
      </c>
      <c r="X728" s="1189"/>
      <c r="Y728" s="225"/>
      <c r="Z728" s="858">
        <f>217894492+1</f>
        <v>217894493</v>
      </c>
      <c r="AA728" s="699">
        <f>ROUND((Y728+Z728),0)</f>
        <v>217894493</v>
      </c>
      <c r="AB728" s="617" t="str">
        <f>'ELIM &amp; CAJE Juni 24'!B21</f>
        <v>ELIM 5</v>
      </c>
      <c r="AC728" s="225">
        <f>'ELIM &amp; CAJE Juni 24'!I22</f>
        <v>194016790</v>
      </c>
      <c r="AD728" s="617"/>
      <c r="AE728" s="225"/>
      <c r="AF728" s="1142">
        <f t="shared" si="475"/>
        <v>23877703</v>
      </c>
      <c r="AG728" s="1142"/>
      <c r="AH728" s="208"/>
      <c r="AI728" s="2322">
        <v>103191582</v>
      </c>
      <c r="AJ728" s="947"/>
      <c r="AK728" s="947"/>
      <c r="AL728" s="667"/>
      <c r="AM728" s="14">
        <v>11038330</v>
      </c>
      <c r="AN728" s="14">
        <v>627467905</v>
      </c>
      <c r="AO728" s="14">
        <f>ROUND((AM728+AN728),0)</f>
        <v>638506235</v>
      </c>
      <c r="AP728" s="437" t="str">
        <f>'ELIM &amp; CAJE Sept 23'!A17</f>
        <v>ELIM 4</v>
      </c>
      <c r="AQ728" s="14">
        <f>'ELIM &amp; CAJE Sept 23'!H17</f>
        <v>497965132</v>
      </c>
      <c r="AR728" s="437"/>
      <c r="AS728" s="14"/>
      <c r="AT728" s="14">
        <f t="shared" si="476"/>
        <v>140541103</v>
      </c>
      <c r="AU728" s="37"/>
      <c r="AV728" s="14">
        <v>9518130</v>
      </c>
      <c r="AW728" s="14">
        <v>424161276</v>
      </c>
      <c r="AX728" s="14">
        <f>ROUND((AV728+AW728),0)</f>
        <v>433679406</v>
      </c>
      <c r="AY728" s="437" t="str">
        <f>'ELIM Juni 23'!A17</f>
        <v>ELIM 4</v>
      </c>
      <c r="AZ728" s="14">
        <f>'ELIM Juni 23'!H17</f>
        <v>311335980</v>
      </c>
      <c r="BA728" s="437"/>
      <c r="BB728" s="14"/>
      <c r="BC728" s="14">
        <f t="shared" si="477"/>
        <v>122343426</v>
      </c>
      <c r="BD728" s="14"/>
      <c r="BE728" s="128"/>
      <c r="BF728" s="220">
        <v>409357447</v>
      </c>
      <c r="BG728" s="37">
        <v>356355675</v>
      </c>
      <c r="BH728" s="220">
        <v>1361080740</v>
      </c>
      <c r="BI728" s="37"/>
    </row>
    <row r="729" spans="2:64" s="1" customFormat="1">
      <c r="B729" s="30"/>
      <c r="C729" s="1978" t="s">
        <v>1017</v>
      </c>
      <c r="D729" s="1967"/>
      <c r="E729" s="2254">
        <v>1080666000</v>
      </c>
      <c r="F729" s="1365">
        <f t="shared" si="471"/>
        <v>1080666000</v>
      </c>
      <c r="G729" s="1365">
        <f t="shared" si="470"/>
        <v>0</v>
      </c>
      <c r="H729" s="1967">
        <f t="shared" si="472"/>
        <v>1080666000</v>
      </c>
      <c r="I729" s="612"/>
      <c r="J729" s="1967"/>
      <c r="K729" s="612"/>
      <c r="L729" s="1967"/>
      <c r="M729" s="2281">
        <f t="shared" ref="M729" si="478">ROUND((H729-J729+L729),0)</f>
        <v>1080666000</v>
      </c>
      <c r="N729" s="1967" t="s">
        <v>1016</v>
      </c>
      <c r="O729" s="1057"/>
      <c r="P729" s="1486"/>
      <c r="Q729" s="1368"/>
      <c r="R729" s="1486"/>
      <c r="S729" s="1487"/>
      <c r="T729" s="1486"/>
      <c r="U729" s="1487"/>
      <c r="V729" s="1486"/>
      <c r="W729" s="1486"/>
      <c r="X729" s="1189"/>
      <c r="Y729" s="225"/>
      <c r="Z729" s="858"/>
      <c r="AA729" s="699"/>
      <c r="AB729" s="617"/>
      <c r="AC729" s="225"/>
      <c r="AD729" s="617"/>
      <c r="AE729" s="225"/>
      <c r="AF729" s="1142"/>
      <c r="AG729" s="1142"/>
      <c r="AH729" s="208"/>
      <c r="AI729" s="947"/>
      <c r="AJ729" s="1162"/>
      <c r="AK729" s="1162"/>
      <c r="AL729" s="671"/>
      <c r="AM729" s="14"/>
      <c r="AN729" s="14"/>
      <c r="AO729" s="14"/>
      <c r="AP729" s="437"/>
      <c r="AQ729" s="14"/>
      <c r="AR729" s="437"/>
      <c r="AS729" s="14"/>
      <c r="AT729" s="14"/>
      <c r="AU729" s="37"/>
      <c r="AV729" s="14"/>
      <c r="AW729" s="14"/>
      <c r="AX729" s="14"/>
      <c r="AY729" s="437"/>
      <c r="AZ729" s="14"/>
      <c r="BA729" s="437"/>
      <c r="BB729" s="14"/>
      <c r="BC729" s="14"/>
      <c r="BD729" s="14"/>
      <c r="BE729" s="128"/>
      <c r="BF729" s="220"/>
      <c r="BG729" s="37"/>
      <c r="BH729" s="220"/>
      <c r="BI729" s="37"/>
    </row>
    <row r="730" spans="2:64" s="1" customFormat="1">
      <c r="B730" s="19"/>
      <c r="C730" s="19" t="s">
        <v>1018</v>
      </c>
      <c r="D730" s="1369">
        <f>SUM(D724:D728)</f>
        <v>-2110498525.886528</v>
      </c>
      <c r="E730" s="1369">
        <f>SUM(E724:E729)</f>
        <v>273802416</v>
      </c>
      <c r="F730" s="1365">
        <f t="shared" si="471"/>
        <v>-1836696109.886528</v>
      </c>
      <c r="G730" s="1365">
        <f t="shared" si="470"/>
        <v>0.11347198486328125</v>
      </c>
      <c r="H730" s="1369">
        <f>SUM(H724:H729)</f>
        <v>-1836696110</v>
      </c>
      <c r="I730" s="1944"/>
      <c r="J730" s="1369"/>
      <c r="K730" s="1944"/>
      <c r="L730" s="1369"/>
      <c r="M730" s="2301">
        <f>SUM(M724:M729)</f>
        <v>-2242327343</v>
      </c>
      <c r="N730" s="226"/>
      <c r="O730" s="1469"/>
      <c r="P730" s="1488">
        <f>SUM(P724:P728)</f>
        <v>1647617872</v>
      </c>
      <c r="Q730" s="1369">
        <f>SUM(Q724:Q728)</f>
        <v>911362332</v>
      </c>
      <c r="R730" s="1488">
        <f>SUM(R724:R728)</f>
        <v>2558980204</v>
      </c>
      <c r="S730" s="1489"/>
      <c r="T730" s="1488"/>
      <c r="U730" s="1489"/>
      <c r="V730" s="1488"/>
      <c r="W730" s="1488">
        <f>SUM(W724:W728)</f>
        <v>2287331526</v>
      </c>
      <c r="X730" s="1190"/>
      <c r="Y730" s="428">
        <f>SUM(Y724:Y728)</f>
        <v>-4019030365</v>
      </c>
      <c r="Z730" s="707">
        <f>SUM(Z724:Z728)</f>
        <v>-283240386</v>
      </c>
      <c r="AA730" s="707">
        <f>SUM(AA724:AA728)</f>
        <v>-4302270751</v>
      </c>
      <c r="AB730" s="601"/>
      <c r="AC730" s="223"/>
      <c r="AD730" s="601"/>
      <c r="AE730" s="223"/>
      <c r="AF730" s="428">
        <f>SUM(AF724:AF728)</f>
        <v>-4496287541</v>
      </c>
      <c r="AG730" s="428"/>
      <c r="AH730" s="228">
        <f>AF730+AF733</f>
        <v>-4495626845</v>
      </c>
      <c r="AI730" s="2231">
        <f>SUM(AI724:AI728)</f>
        <v>-724272262</v>
      </c>
      <c r="AJ730" s="964"/>
      <c r="AK730" s="964"/>
      <c r="AL730" s="10">
        <f>AH732-AH735-AH741</f>
        <v>0</v>
      </c>
      <c r="AM730" s="428">
        <f>SUM(AM724:AM728)</f>
        <v>-693108623</v>
      </c>
      <c r="AN730" s="428">
        <f>SUM(AN724:AN728)</f>
        <v>294434894</v>
      </c>
      <c r="AO730" s="428">
        <f>SUM(AO724:AO728)</f>
        <v>-398673729</v>
      </c>
      <c r="AP730" s="762"/>
      <c r="AQ730" s="428"/>
      <c r="AR730" s="762"/>
      <c r="AS730" s="428"/>
      <c r="AT730" s="428">
        <f>SUM(AT724:AT728)</f>
        <v>-896638861</v>
      </c>
      <c r="AU730" s="29"/>
      <c r="AV730" s="428">
        <f>SUM(AV724:AV728)</f>
        <v>290896310</v>
      </c>
      <c r="AW730" s="428">
        <f>SUM(AW724:AW728)</f>
        <v>-1900376525</v>
      </c>
      <c r="AX730" s="428">
        <f>SUM(AX724:AX728)</f>
        <v>-1609480215</v>
      </c>
      <c r="AY730" s="762"/>
      <c r="AZ730" s="428"/>
      <c r="BA730" s="762"/>
      <c r="BB730" s="428"/>
      <c r="BC730" s="428">
        <f>SUM(BC724:BC728)</f>
        <v>-1920816195</v>
      </c>
      <c r="BD730" s="138"/>
      <c r="BE730" s="28"/>
      <c r="BF730" s="428">
        <f>SUM(BF724:BF728)</f>
        <v>-562372942</v>
      </c>
      <c r="BG730" s="29">
        <f>BG728</f>
        <v>356355675</v>
      </c>
      <c r="BH730" s="428">
        <f>SUM(BH724:BH728)</f>
        <v>865350019</v>
      </c>
      <c r="BI730" s="29">
        <f>BH730-BI726</f>
        <v>112244184</v>
      </c>
    </row>
    <row r="731" spans="2:64" s="1" customFormat="1">
      <c r="B731" s="2" t="s">
        <v>1019</v>
      </c>
      <c r="C731" s="2"/>
      <c r="D731" s="217"/>
      <c r="E731" s="217"/>
      <c r="F731" s="1365">
        <f t="shared" si="471"/>
        <v>0</v>
      </c>
      <c r="G731" s="1365">
        <f t="shared" si="470"/>
        <v>0</v>
      </c>
      <c r="H731" s="217"/>
      <c r="I731" s="1384"/>
      <c r="J731" s="217"/>
      <c r="K731" s="1384"/>
      <c r="L731" s="217"/>
      <c r="M731" s="217"/>
      <c r="N731" s="226"/>
      <c r="O731" s="1217"/>
      <c r="P731" s="1480"/>
      <c r="Q731" s="217"/>
      <c r="R731" s="1480"/>
      <c r="S731" s="1481"/>
      <c r="T731" s="1480"/>
      <c r="U731" s="1481"/>
      <c r="V731" s="1480"/>
      <c r="W731" s="1480"/>
      <c r="X731" s="1186"/>
      <c r="Y731" s="118"/>
      <c r="Z731" s="705"/>
      <c r="AA731" s="705"/>
      <c r="AB731" s="253"/>
      <c r="AC731" s="118"/>
      <c r="AD731" s="253"/>
      <c r="AE731" s="118"/>
      <c r="AF731" s="118"/>
      <c r="AG731" s="118"/>
      <c r="AH731" s="209"/>
      <c r="AI731" s="947"/>
      <c r="AJ731" s="947"/>
      <c r="AK731" s="947"/>
      <c r="AL731" s="667"/>
      <c r="AM731" s="14"/>
      <c r="AN731" s="14"/>
      <c r="AO731" s="14"/>
      <c r="AP731" s="437"/>
      <c r="AQ731" s="14"/>
      <c r="AR731" s="437"/>
      <c r="AS731" s="14"/>
      <c r="AT731" s="14"/>
      <c r="AU731" s="37"/>
      <c r="AV731" s="14"/>
      <c r="AW731" s="14"/>
      <c r="AX731" s="14"/>
      <c r="AY731" s="437"/>
      <c r="AZ731" s="14"/>
      <c r="BA731" s="437"/>
      <c r="BB731" s="14"/>
      <c r="BC731" s="14"/>
      <c r="BD731" s="14"/>
      <c r="BE731" s="128"/>
      <c r="BF731" s="220"/>
      <c r="BG731" s="37"/>
      <c r="BH731" s="220"/>
      <c r="BI731" s="11"/>
    </row>
    <row r="732" spans="2:64" s="1" customFormat="1">
      <c r="B732" s="30"/>
      <c r="C732" s="109" t="s">
        <v>1020</v>
      </c>
      <c r="D732" s="1399">
        <f>74572923+2.6629638671875</f>
        <v>74572925.662963867</v>
      </c>
      <c r="E732" s="2253">
        <f>200479184-1.67837524414062</f>
        <v>200479182.32162476</v>
      </c>
      <c r="F732" s="1365">
        <f t="shared" si="471"/>
        <v>275052107.98458862</v>
      </c>
      <c r="G732" s="1365">
        <f t="shared" si="470"/>
        <v>0.624603271484375</v>
      </c>
      <c r="H732" s="1399">
        <f>ROUND((D732+E732),0)-0.6400146484375</f>
        <v>275052107.35998535</v>
      </c>
      <c r="I732" s="1960"/>
      <c r="J732" s="1399"/>
      <c r="K732" s="1960"/>
      <c r="L732" s="1399"/>
      <c r="M732" s="2300">
        <f>ROUND((H732+J732-L732),0)+1</f>
        <v>275052108</v>
      </c>
      <c r="N732" s="2273"/>
      <c r="O732" s="2014"/>
      <c r="P732" s="1540">
        <v>49376357</v>
      </c>
      <c r="Q732" s="1399">
        <v>115734908</v>
      </c>
      <c r="R732" s="1540">
        <f t="shared" ref="R732:R742" si="479">ROUND((P732+Q732),0)</f>
        <v>165111265</v>
      </c>
      <c r="S732" s="1539"/>
      <c r="T732" s="1540"/>
      <c r="U732" s="1539"/>
      <c r="V732" s="1540"/>
      <c r="W732" s="1540">
        <f>ROUND((R732+T732-V732),0)</f>
        <v>165111265</v>
      </c>
      <c r="X732" s="1212"/>
      <c r="Y732" s="287">
        <v>25081051</v>
      </c>
      <c r="Z732" s="744">
        <v>61735431</v>
      </c>
      <c r="AA732" s="744">
        <f t="shared" ref="AA732:AA742" si="480">ROUND((Y732+Z732),0)</f>
        <v>86816482</v>
      </c>
      <c r="AB732" s="613"/>
      <c r="AC732" s="287"/>
      <c r="AD732" s="613"/>
      <c r="AE732" s="287"/>
      <c r="AF732" s="287">
        <f>ROUND((AA732+AC732-AE732),0)</f>
        <v>86816482</v>
      </c>
      <c r="AG732" s="287"/>
      <c r="AH732" s="288"/>
      <c r="AI732" s="947">
        <v>270862029</v>
      </c>
      <c r="AJ732" s="947"/>
      <c r="AK732" s="947"/>
      <c r="AL732" s="667"/>
      <c r="AM732" s="14">
        <v>114713721</v>
      </c>
      <c r="AN732" s="14">
        <v>60745133</v>
      </c>
      <c r="AO732" s="14">
        <f t="shared" ref="AO732:AO742" si="481">ROUND((AM732+AN732),0)</f>
        <v>175458854</v>
      </c>
      <c r="AP732" s="437"/>
      <c r="AQ732" s="14"/>
      <c r="AR732" s="437"/>
      <c r="AS732" s="14"/>
      <c r="AT732" s="14">
        <f>ROUND((AO732+AQ732-AS732),0)</f>
        <v>175458854</v>
      </c>
      <c r="AU732" s="37"/>
      <c r="AV732" s="14">
        <v>68971524</v>
      </c>
      <c r="AW732" s="14">
        <v>45048616</v>
      </c>
      <c r="AX732" s="14">
        <f t="shared" ref="AX732:AX742" si="482">ROUND((AV732+AW732),0)</f>
        <v>114020140</v>
      </c>
      <c r="AY732" s="437"/>
      <c r="AZ732" s="14"/>
      <c r="BA732" s="437"/>
      <c r="BB732" s="14"/>
      <c r="BC732" s="14">
        <f>ROUND((AX732+AZ732-BB732),0)</f>
        <v>114020140</v>
      </c>
      <c r="BD732" s="14"/>
      <c r="BE732" s="128"/>
      <c r="BF732" s="220">
        <v>280407989</v>
      </c>
      <c r="BG732" s="37"/>
      <c r="BH732" s="220">
        <v>219049984</v>
      </c>
      <c r="BI732" s="37"/>
    </row>
    <row r="733" spans="2:64" s="1" customFormat="1">
      <c r="B733" s="30"/>
      <c r="C733" s="109" t="s">
        <v>1021</v>
      </c>
      <c r="D733" s="1399">
        <v>14686912.57</v>
      </c>
      <c r="E733" s="2253">
        <f>ROUND(158499.77,0)</f>
        <v>158500</v>
      </c>
      <c r="F733" s="1365">
        <f t="shared" si="471"/>
        <v>14845412.57</v>
      </c>
      <c r="G733" s="1365">
        <f t="shared" si="470"/>
        <v>-0.42999999970197678</v>
      </c>
      <c r="H733" s="1399">
        <f t="shared" ref="H733:H743" si="483">ROUND((D733+E733),0)</f>
        <v>14845413</v>
      </c>
      <c r="I733" s="1960"/>
      <c r="J733" s="1399"/>
      <c r="K733" s="1960"/>
      <c r="L733" s="1399"/>
      <c r="M733" s="2302">
        <f t="shared" ref="M733:M743" si="484">ROUND((H733+J733-L733),0)</f>
        <v>14845413</v>
      </c>
      <c r="N733" s="2273"/>
      <c r="O733" s="2014"/>
      <c r="P733" s="1540">
        <f>ROUND(14108708.98,0)</f>
        <v>14108709</v>
      </c>
      <c r="Q733" s="1399">
        <f>ROUND(130162.15,0)</f>
        <v>130162</v>
      </c>
      <c r="R733" s="1540">
        <f t="shared" si="479"/>
        <v>14238871</v>
      </c>
      <c r="S733" s="1539"/>
      <c r="T733" s="1540"/>
      <c r="U733" s="1539"/>
      <c r="V733" s="1540"/>
      <c r="W733" s="1540">
        <f t="shared" ref="W733:W742" si="485">ROUND((R733+T733-V733),0)</f>
        <v>14238871</v>
      </c>
      <c r="X733" s="1212"/>
      <c r="Y733" s="287">
        <v>574504</v>
      </c>
      <c r="Z733" s="744">
        <v>86192</v>
      </c>
      <c r="AA733" s="744">
        <f t="shared" si="480"/>
        <v>660696</v>
      </c>
      <c r="AB733" s="613"/>
      <c r="AC733" s="287"/>
      <c r="AD733" s="613"/>
      <c r="AE733" s="287"/>
      <c r="AF733" s="287">
        <f t="shared" ref="AF733:AF742" si="486">ROUND((AA733+AC733-AE733),0)</f>
        <v>660696</v>
      </c>
      <c r="AG733" s="287"/>
      <c r="AH733" s="288"/>
      <c r="AI733" s="2232">
        <v>14045527</v>
      </c>
      <c r="AJ733" s="947"/>
      <c r="AK733" s="947"/>
      <c r="AL733" s="667"/>
      <c r="AM733" s="14">
        <v>9605268</v>
      </c>
      <c r="AN733" s="14">
        <v>488978</v>
      </c>
      <c r="AO733" s="14">
        <f t="shared" si="481"/>
        <v>10094246</v>
      </c>
      <c r="AP733" s="437"/>
      <c r="AQ733" s="14"/>
      <c r="AR733" s="437"/>
      <c r="AS733" s="14"/>
      <c r="AT733" s="14">
        <f t="shared" ref="AT733:AT742" si="487">ROUND((AO733+AQ733-AS733),0)</f>
        <v>10094246</v>
      </c>
      <c r="AU733" s="37"/>
      <c r="AV733" s="14">
        <v>6528519</v>
      </c>
      <c r="AW733" s="14">
        <v>405669</v>
      </c>
      <c r="AX733" s="14">
        <f t="shared" si="482"/>
        <v>6934188</v>
      </c>
      <c r="AY733" s="437"/>
      <c r="AZ733" s="14"/>
      <c r="BA733" s="437"/>
      <c r="BB733" s="14"/>
      <c r="BC733" s="14">
        <f t="shared" ref="BC733:BC742" si="488">ROUND((AX733+AZ733-BB733),0)</f>
        <v>6934188</v>
      </c>
      <c r="BD733" s="14"/>
      <c r="BE733" s="128"/>
      <c r="BF733" s="220">
        <v>13028241</v>
      </c>
      <c r="BG733" s="37" t="s">
        <v>6</v>
      </c>
      <c r="BH733" s="220">
        <v>118234</v>
      </c>
      <c r="BI733" s="37">
        <f>BH732+BH737+BH734</f>
        <v>9352093192</v>
      </c>
    </row>
    <row r="734" spans="2:64" s="1" customFormat="1">
      <c r="B734" s="30"/>
      <c r="C734" s="109" t="s">
        <v>1022</v>
      </c>
      <c r="D734" s="1399">
        <v>169215000</v>
      </c>
      <c r="E734" s="2253">
        <v>312600</v>
      </c>
      <c r="F734" s="1365">
        <f t="shared" si="471"/>
        <v>169527600</v>
      </c>
      <c r="G734" s="1365">
        <f t="shared" si="470"/>
        <v>0</v>
      </c>
      <c r="H734" s="1399">
        <f t="shared" si="483"/>
        <v>169527600</v>
      </c>
      <c r="I734" s="1960"/>
      <c r="J734" s="1399"/>
      <c r="K734" s="1960"/>
      <c r="L734" s="1399"/>
      <c r="M734" s="2300">
        <f t="shared" si="484"/>
        <v>169527600</v>
      </c>
      <c r="N734" s="2273">
        <v>-1562430934</v>
      </c>
      <c r="O734" s="2014"/>
      <c r="P734" s="1540"/>
      <c r="Q734" s="1399">
        <v>312600</v>
      </c>
      <c r="R734" s="1540">
        <f t="shared" si="479"/>
        <v>312600</v>
      </c>
      <c r="S734" s="1539"/>
      <c r="T734" s="1540"/>
      <c r="U734" s="1539"/>
      <c r="V734" s="1540"/>
      <c r="W734" s="1540">
        <f t="shared" si="485"/>
        <v>312600</v>
      </c>
      <c r="X734" s="1212"/>
      <c r="Y734" s="287">
        <v>0</v>
      </c>
      <c r="Z734" s="744">
        <v>312600</v>
      </c>
      <c r="AA734" s="744">
        <f t="shared" si="480"/>
        <v>312600</v>
      </c>
      <c r="AB734" s="613"/>
      <c r="AC734" s="287"/>
      <c r="AD734" s="613"/>
      <c r="AE734" s="287"/>
      <c r="AF734" s="287">
        <f t="shared" si="486"/>
        <v>312600</v>
      </c>
      <c r="AG734" s="287"/>
      <c r="AH734" s="288"/>
      <c r="AI734" s="947">
        <v>0</v>
      </c>
      <c r="AJ734" s="947"/>
      <c r="AK734" s="947"/>
      <c r="AL734" s="667"/>
      <c r="AM734" s="14"/>
      <c r="AN734" s="14"/>
      <c r="AO734" s="14">
        <f t="shared" si="481"/>
        <v>0</v>
      </c>
      <c r="AP734" s="437"/>
      <c r="AQ734" s="14"/>
      <c r="AR734" s="437"/>
      <c r="AS734" s="14"/>
      <c r="AT734" s="14">
        <f t="shared" si="487"/>
        <v>0</v>
      </c>
      <c r="AU734" s="37"/>
      <c r="AV734" s="14"/>
      <c r="AW734" s="14"/>
      <c r="AX734" s="14">
        <f t="shared" si="482"/>
        <v>0</v>
      </c>
      <c r="AY734" s="437"/>
      <c r="AZ734" s="14"/>
      <c r="BA734" s="437"/>
      <c r="BB734" s="14"/>
      <c r="BC734" s="14">
        <f t="shared" si="488"/>
        <v>0</v>
      </c>
      <c r="BD734" s="14"/>
      <c r="BE734" s="128"/>
      <c r="BF734" s="220">
        <v>639700208</v>
      </c>
      <c r="BG734" s="35">
        <f>BF732+BF734+BF737+BF741+BF738</f>
        <v>13403963086</v>
      </c>
      <c r="BH734" s="220">
        <v>52708030</v>
      </c>
      <c r="BI734" s="35">
        <f>BH732+BH734+BH737+BH741+BH738</f>
        <v>9389568357</v>
      </c>
    </row>
    <row r="735" spans="2:64" s="1" customFormat="1">
      <c r="B735" s="30"/>
      <c r="C735" s="109" t="s">
        <v>1023</v>
      </c>
      <c r="D735" s="1399">
        <v>0</v>
      </c>
      <c r="E735" s="1399"/>
      <c r="F735" s="1365">
        <f t="shared" si="471"/>
        <v>0</v>
      </c>
      <c r="G735" s="1365">
        <f t="shared" si="470"/>
        <v>0</v>
      </c>
      <c r="H735" s="1399">
        <f t="shared" si="483"/>
        <v>0</v>
      </c>
      <c r="I735" s="1960"/>
      <c r="J735" s="1399"/>
      <c r="K735" s="1960"/>
      <c r="L735" s="1399"/>
      <c r="M735" s="2127">
        <f t="shared" si="484"/>
        <v>0</v>
      </c>
      <c r="N735" s="2273">
        <f>N734+N736</f>
        <v>-2127573156</v>
      </c>
      <c r="O735" s="2014"/>
      <c r="P735" s="1540"/>
      <c r="Q735" s="1399"/>
      <c r="R735" s="1540">
        <f t="shared" si="479"/>
        <v>0</v>
      </c>
      <c r="S735" s="1539"/>
      <c r="T735" s="1540"/>
      <c r="U735" s="1539"/>
      <c r="V735" s="1540"/>
      <c r="W735" s="1540">
        <f t="shared" si="485"/>
        <v>0</v>
      </c>
      <c r="X735" s="1212"/>
      <c r="Y735" s="287">
        <v>0</v>
      </c>
      <c r="Z735" s="744">
        <v>0</v>
      </c>
      <c r="AA735" s="744">
        <f t="shared" si="480"/>
        <v>0</v>
      </c>
      <c r="AB735" s="613"/>
      <c r="AC735" s="287"/>
      <c r="AD735" s="613"/>
      <c r="AE735" s="287"/>
      <c r="AF735" s="287">
        <f t="shared" si="486"/>
        <v>0</v>
      </c>
      <c r="AG735" s="287"/>
      <c r="AH735" s="288"/>
      <c r="AI735" s="947">
        <v>0</v>
      </c>
      <c r="AJ735" s="947"/>
      <c r="AK735" s="947"/>
      <c r="AL735" s="667"/>
      <c r="AM735" s="14"/>
      <c r="AN735" s="14"/>
      <c r="AO735" s="14">
        <f t="shared" si="481"/>
        <v>0</v>
      </c>
      <c r="AP735" s="437"/>
      <c r="AQ735" s="14"/>
      <c r="AR735" s="437"/>
      <c r="AS735" s="14"/>
      <c r="AT735" s="14">
        <f t="shared" si="487"/>
        <v>0</v>
      </c>
      <c r="AU735" s="37"/>
      <c r="AV735" s="14"/>
      <c r="AW735" s="14"/>
      <c r="AX735" s="14">
        <f t="shared" si="482"/>
        <v>0</v>
      </c>
      <c r="AY735" s="437"/>
      <c r="AZ735" s="14"/>
      <c r="BA735" s="437"/>
      <c r="BB735" s="14"/>
      <c r="BC735" s="14">
        <f t="shared" si="488"/>
        <v>0</v>
      </c>
      <c r="BD735" s="14"/>
      <c r="BE735" s="128"/>
      <c r="BF735" s="220">
        <v>0</v>
      </c>
      <c r="BG735" s="37"/>
      <c r="BH735" s="220">
        <v>616393032</v>
      </c>
      <c r="BI735" s="37" t="s">
        <v>6</v>
      </c>
    </row>
    <row r="736" spans="2:64" s="1" customFormat="1">
      <c r="B736" s="30"/>
      <c r="C736" s="109" t="s">
        <v>1024</v>
      </c>
      <c r="D736" s="1399">
        <v>0</v>
      </c>
      <c r="E736" s="1399"/>
      <c r="F736" s="1365">
        <f t="shared" si="471"/>
        <v>0</v>
      </c>
      <c r="G736" s="1365">
        <f t="shared" si="470"/>
        <v>0</v>
      </c>
      <c r="H736" s="1399">
        <f t="shared" si="483"/>
        <v>0</v>
      </c>
      <c r="I736" s="1960"/>
      <c r="J736" s="1399"/>
      <c r="K736" s="1960"/>
      <c r="L736" s="1399"/>
      <c r="M736" s="2302">
        <f t="shared" si="484"/>
        <v>0</v>
      </c>
      <c r="N736" s="2273">
        <v>-565142222</v>
      </c>
      <c r="O736" s="2014"/>
      <c r="P736" s="1540"/>
      <c r="Q736" s="1399"/>
      <c r="R736" s="1540">
        <f t="shared" si="479"/>
        <v>0</v>
      </c>
      <c r="S736" s="1539"/>
      <c r="T736" s="1540"/>
      <c r="U736" s="1539"/>
      <c r="V736" s="1540"/>
      <c r="W736" s="1540">
        <f t="shared" si="485"/>
        <v>0</v>
      </c>
      <c r="X736" s="1212"/>
      <c r="Y736" s="287">
        <v>0</v>
      </c>
      <c r="Z736" s="744">
        <v>0</v>
      </c>
      <c r="AA736" s="744">
        <f t="shared" si="480"/>
        <v>0</v>
      </c>
      <c r="AB736" s="613"/>
      <c r="AC736" s="287"/>
      <c r="AD736" s="613"/>
      <c r="AE736" s="287"/>
      <c r="AF736" s="287">
        <f t="shared" si="486"/>
        <v>0</v>
      </c>
      <c r="AG736" s="287"/>
      <c r="AH736" s="288"/>
      <c r="AI736" s="2232">
        <v>0</v>
      </c>
      <c r="AJ736" s="947"/>
      <c r="AK736" s="947"/>
      <c r="AL736" s="667"/>
      <c r="AM736" s="14"/>
      <c r="AN736" s="14"/>
      <c r="AO736" s="14">
        <f t="shared" si="481"/>
        <v>0</v>
      </c>
      <c r="AP736" s="437"/>
      <c r="AQ736" s="14"/>
      <c r="AR736" s="437"/>
      <c r="AS736" s="14"/>
      <c r="AT736" s="14">
        <f t="shared" si="487"/>
        <v>0</v>
      </c>
      <c r="AU736" s="37"/>
      <c r="AV736" s="14"/>
      <c r="AW736" s="14"/>
      <c r="AX736" s="14">
        <f t="shared" si="482"/>
        <v>0</v>
      </c>
      <c r="AY736" s="437"/>
      <c r="AZ736" s="14"/>
      <c r="BA736" s="437"/>
      <c r="BB736" s="14"/>
      <c r="BC736" s="14">
        <f t="shared" si="488"/>
        <v>0</v>
      </c>
      <c r="BD736" s="14"/>
      <c r="BE736" s="128"/>
      <c r="BF736" s="220">
        <v>0</v>
      </c>
      <c r="BG736" s="133"/>
      <c r="BH736" s="220">
        <v>0</v>
      </c>
      <c r="BI736" s="37"/>
    </row>
    <row r="737" spans="2:62" s="1" customFormat="1">
      <c r="B737" s="30"/>
      <c r="C737" s="109" t="s">
        <v>1025</v>
      </c>
      <c r="D737" s="1399">
        <v>9984777061</v>
      </c>
      <c r="E737" s="2253">
        <v>7749975503</v>
      </c>
      <c r="F737" s="1365">
        <f t="shared" si="471"/>
        <v>17734752564</v>
      </c>
      <c r="G737" s="1365">
        <f t="shared" si="470"/>
        <v>0</v>
      </c>
      <c r="H737" s="1399">
        <f t="shared" si="483"/>
        <v>17734752564</v>
      </c>
      <c r="I737" s="1960"/>
      <c r="J737" s="1399"/>
      <c r="K737" s="1960"/>
      <c r="L737" s="1399"/>
      <c r="M737" s="2300">
        <f t="shared" si="484"/>
        <v>17734752564</v>
      </c>
      <c r="N737" s="2273"/>
      <c r="O737" s="1139">
        <f>M737+M738+M732+M734</f>
        <v>18184572249</v>
      </c>
      <c r="P737" s="1540">
        <v>6639200650</v>
      </c>
      <c r="Q737" s="1399">
        <v>5678189622</v>
      </c>
      <c r="R737" s="1540">
        <f t="shared" si="479"/>
        <v>12317390272</v>
      </c>
      <c r="S737" s="1539"/>
      <c r="T737" s="1540"/>
      <c r="U737" s="1539"/>
      <c r="V737" s="1540"/>
      <c r="W737" s="1540">
        <f t="shared" si="485"/>
        <v>12317390272</v>
      </c>
      <c r="X737" s="37">
        <f>W737+W738+W732+W734</f>
        <v>12487102791</v>
      </c>
      <c r="Y737" s="287">
        <v>5703146295</v>
      </c>
      <c r="Z737" s="744">
        <v>3514757649</v>
      </c>
      <c r="AA737" s="744">
        <f t="shared" si="480"/>
        <v>9217903944</v>
      </c>
      <c r="AB737" s="613"/>
      <c r="AC737" s="287"/>
      <c r="AD737" s="613"/>
      <c r="AE737" s="287"/>
      <c r="AF737" s="287">
        <f t="shared" si="486"/>
        <v>9217903944</v>
      </c>
      <c r="AG737" s="287"/>
      <c r="AH737" s="37">
        <f>AF737+AF738+AF732+AF734</f>
        <v>9308297571</v>
      </c>
      <c r="AI737" s="947">
        <v>15354347694</v>
      </c>
      <c r="AJ737" s="947"/>
      <c r="AK737" s="947"/>
      <c r="AL737" s="37">
        <f>AI737+AI738+AI732+AI734</f>
        <v>15639334429</v>
      </c>
      <c r="AM737" s="14">
        <v>6294987446</v>
      </c>
      <c r="AN737" s="14">
        <v>4984969387</v>
      </c>
      <c r="AO737" s="14">
        <f t="shared" si="481"/>
        <v>11279956833</v>
      </c>
      <c r="AP737" s="437"/>
      <c r="AQ737" s="14"/>
      <c r="AR737" s="437"/>
      <c r="AS737" s="14"/>
      <c r="AT737" s="14">
        <f t="shared" si="487"/>
        <v>11279956833</v>
      </c>
      <c r="AU737" s="37">
        <f>AT737+AT738+AT732+AT734</f>
        <v>11466799581</v>
      </c>
      <c r="AV737" s="14">
        <v>3841299591</v>
      </c>
      <c r="AW737" s="14">
        <v>3639883014</v>
      </c>
      <c r="AX737" s="14">
        <f t="shared" si="482"/>
        <v>7481182605</v>
      </c>
      <c r="AY737" s="437"/>
      <c r="AZ737" s="14"/>
      <c r="BA737" s="437"/>
      <c r="BB737" s="14"/>
      <c r="BC737" s="14">
        <f t="shared" si="488"/>
        <v>7481182605</v>
      </c>
      <c r="BD737" s="14"/>
      <c r="BE737" s="37">
        <f>BC737+BC738+BC732</f>
        <v>7603308083</v>
      </c>
      <c r="BF737" s="220">
        <v>12426168670</v>
      </c>
      <c r="BG737" s="37">
        <f>BF737+BF738+BF734+BF732</f>
        <v>13366144398</v>
      </c>
      <c r="BH737" s="220">
        <v>9080335178</v>
      </c>
      <c r="BI737" s="37">
        <f>BH737+BH738+BH734+BH732</f>
        <v>9352093192</v>
      </c>
    </row>
    <row r="738" spans="2:62" s="1" customFormat="1">
      <c r="B738" s="30"/>
      <c r="C738" s="109" t="s">
        <v>1026</v>
      </c>
      <c r="D738" s="1399">
        <v>5239977</v>
      </c>
      <c r="E738" s="1399"/>
      <c r="F738" s="1365">
        <f t="shared" si="471"/>
        <v>5239977</v>
      </c>
      <c r="G738" s="1365">
        <f t="shared" si="470"/>
        <v>0</v>
      </c>
      <c r="H738" s="1399">
        <f t="shared" si="483"/>
        <v>5239977</v>
      </c>
      <c r="I738" s="1960"/>
      <c r="J738" s="1399"/>
      <c r="K738" s="1960"/>
      <c r="L738" s="1399"/>
      <c r="M738" s="2300">
        <f t="shared" si="484"/>
        <v>5239977</v>
      </c>
      <c r="N738" s="2273"/>
      <c r="O738" s="2014"/>
      <c r="P738" s="1540">
        <v>4288654</v>
      </c>
      <c r="Q738" s="1399"/>
      <c r="R738" s="1540">
        <f t="shared" si="479"/>
        <v>4288654</v>
      </c>
      <c r="S738" s="1539"/>
      <c r="T738" s="1540"/>
      <c r="U738" s="1539"/>
      <c r="V738" s="1540"/>
      <c r="W738" s="1540">
        <f t="shared" si="485"/>
        <v>4288654</v>
      </c>
      <c r="X738" s="1212"/>
      <c r="Y738" s="287">
        <v>3264545</v>
      </c>
      <c r="Z738" s="744">
        <v>0</v>
      </c>
      <c r="AA738" s="744">
        <f t="shared" si="480"/>
        <v>3264545</v>
      </c>
      <c r="AB738" s="613"/>
      <c r="AC738" s="287"/>
      <c r="AD738" s="613"/>
      <c r="AE738" s="287"/>
      <c r="AF738" s="287">
        <f t="shared" si="486"/>
        <v>3264545</v>
      </c>
      <c r="AG738" s="287"/>
      <c r="AH738" s="288"/>
      <c r="AI738" s="947">
        <v>14124706</v>
      </c>
      <c r="AJ738" s="947"/>
      <c r="AK738" s="947"/>
      <c r="AL738" s="667"/>
      <c r="AM738" s="14">
        <v>11383894</v>
      </c>
      <c r="AN738" s="14"/>
      <c r="AO738" s="14">
        <f t="shared" si="481"/>
        <v>11383894</v>
      </c>
      <c r="AP738" s="437"/>
      <c r="AQ738" s="14"/>
      <c r="AR738" s="437"/>
      <c r="AS738" s="14"/>
      <c r="AT738" s="14">
        <f t="shared" si="487"/>
        <v>11383894</v>
      </c>
      <c r="AU738" s="37"/>
      <c r="AV738" s="14">
        <v>8105338</v>
      </c>
      <c r="AW738" s="14"/>
      <c r="AX738" s="14">
        <f t="shared" si="482"/>
        <v>8105338</v>
      </c>
      <c r="AY738" s="437"/>
      <c r="AZ738" s="14"/>
      <c r="BA738" s="437"/>
      <c r="BB738" s="14"/>
      <c r="BC738" s="14">
        <f t="shared" si="488"/>
        <v>8105338</v>
      </c>
      <c r="BD738" s="14"/>
      <c r="BE738" s="128"/>
      <c r="BF738" s="220">
        <v>19867531</v>
      </c>
      <c r="BG738" s="37"/>
      <c r="BH738" s="220">
        <v>0</v>
      </c>
      <c r="BI738" s="37"/>
    </row>
    <row r="739" spans="2:62" s="1" customFormat="1">
      <c r="B739" s="30"/>
      <c r="C739" s="110" t="s">
        <v>1027</v>
      </c>
      <c r="D739" s="1400"/>
      <c r="E739" s="2253">
        <v>35626967</v>
      </c>
      <c r="F739" s="1365">
        <f t="shared" si="471"/>
        <v>35626967</v>
      </c>
      <c r="G739" s="1365">
        <f t="shared" si="470"/>
        <v>0</v>
      </c>
      <c r="H739" s="1400">
        <f t="shared" si="483"/>
        <v>35626967</v>
      </c>
      <c r="I739" s="1961"/>
      <c r="J739" s="1400"/>
      <c r="K739" s="1961"/>
      <c r="L739" s="1400"/>
      <c r="M739" s="2302">
        <f t="shared" si="484"/>
        <v>35626967</v>
      </c>
      <c r="N739" s="2273">
        <f>M739-M727</f>
        <v>453394068</v>
      </c>
      <c r="O739" s="2014"/>
      <c r="P739" s="1541"/>
      <c r="Q739" s="1400"/>
      <c r="R739" s="1541">
        <f t="shared" si="479"/>
        <v>0</v>
      </c>
      <c r="S739" s="1542"/>
      <c r="T739" s="1541"/>
      <c r="U739" s="1542"/>
      <c r="V739" s="1541"/>
      <c r="W739" s="1541">
        <f t="shared" si="485"/>
        <v>0</v>
      </c>
      <c r="X739" s="1212"/>
      <c r="Y739" s="289">
        <v>0</v>
      </c>
      <c r="Z739" s="745"/>
      <c r="AA739" s="745">
        <f t="shared" si="480"/>
        <v>0</v>
      </c>
      <c r="AB739" s="624"/>
      <c r="AC739" s="289"/>
      <c r="AD739" s="624"/>
      <c r="AE739" s="289"/>
      <c r="AF739" s="289">
        <f t="shared" si="486"/>
        <v>0</v>
      </c>
      <c r="AG739" s="289"/>
      <c r="AH739" s="288"/>
      <c r="AI739" s="2232">
        <v>346216346</v>
      </c>
      <c r="AJ739" s="947"/>
      <c r="AK739" s="947"/>
      <c r="AL739" s="667"/>
      <c r="AM739" s="14"/>
      <c r="AN739" s="14"/>
      <c r="AO739" s="14">
        <f t="shared" si="481"/>
        <v>0</v>
      </c>
      <c r="AP739" s="437"/>
      <c r="AQ739" s="14"/>
      <c r="AR739" s="437"/>
      <c r="AS739" s="14"/>
      <c r="AT739" s="14">
        <f t="shared" si="487"/>
        <v>0</v>
      </c>
      <c r="AU739" s="37"/>
      <c r="AV739" s="14"/>
      <c r="AW739" s="14"/>
      <c r="AX739" s="14">
        <f t="shared" si="482"/>
        <v>0</v>
      </c>
      <c r="AY739" s="437"/>
      <c r="AZ739" s="14"/>
      <c r="BA739" s="437"/>
      <c r="BB739" s="14"/>
      <c r="BC739" s="14">
        <f t="shared" si="488"/>
        <v>0</v>
      </c>
      <c r="BD739" s="14"/>
      <c r="BE739" s="128"/>
      <c r="BF739" s="220">
        <v>27409393</v>
      </c>
      <c r="BG739" s="37"/>
      <c r="BH739" s="220">
        <v>99119404</v>
      </c>
      <c r="BI739" s="37"/>
      <c r="BJ739" s="2115"/>
    </row>
    <row r="740" spans="2:62" s="1" customFormat="1">
      <c r="B740" s="30" t="s">
        <v>407</v>
      </c>
      <c r="C740" s="109" t="s">
        <v>1028</v>
      </c>
      <c r="D740" s="1399"/>
      <c r="E740" s="1399"/>
      <c r="F740" s="1365">
        <f t="shared" si="471"/>
        <v>0</v>
      </c>
      <c r="G740" s="1365">
        <f t="shared" si="470"/>
        <v>0</v>
      </c>
      <c r="H740" s="1399">
        <f t="shared" si="483"/>
        <v>0</v>
      </c>
      <c r="I740" s="1960"/>
      <c r="J740" s="1399"/>
      <c r="K740" s="1960"/>
      <c r="L740" s="1399"/>
      <c r="M740" s="1399">
        <f t="shared" si="484"/>
        <v>0</v>
      </c>
      <c r="N740" s="2273"/>
      <c r="O740" s="2014"/>
      <c r="P740" s="1540"/>
      <c r="Q740" s="1399"/>
      <c r="R740" s="1540">
        <f t="shared" si="479"/>
        <v>0</v>
      </c>
      <c r="S740" s="1539"/>
      <c r="T740" s="1540"/>
      <c r="U740" s="1539"/>
      <c r="V740" s="1540"/>
      <c r="W740" s="1540">
        <f t="shared" si="485"/>
        <v>0</v>
      </c>
      <c r="X740" s="1212"/>
      <c r="Y740" s="287">
        <v>0</v>
      </c>
      <c r="Z740" s="744"/>
      <c r="AA740" s="744">
        <f t="shared" si="480"/>
        <v>0</v>
      </c>
      <c r="AB740" s="613"/>
      <c r="AC740" s="287"/>
      <c r="AD740" s="613"/>
      <c r="AE740" s="287"/>
      <c r="AF740" s="287">
        <f t="shared" si="486"/>
        <v>0</v>
      </c>
      <c r="AG740" s="287"/>
      <c r="AH740" s="288"/>
      <c r="AI740" s="947">
        <v>0</v>
      </c>
      <c r="AJ740" s="947"/>
      <c r="AK740" s="947"/>
      <c r="AL740" s="667"/>
      <c r="AM740" s="14"/>
      <c r="AN740" s="14"/>
      <c r="AO740" s="14">
        <f t="shared" si="481"/>
        <v>0</v>
      </c>
      <c r="AP740" s="437"/>
      <c r="AQ740" s="14"/>
      <c r="AR740" s="437"/>
      <c r="AS740" s="14"/>
      <c r="AT740" s="14">
        <f t="shared" si="487"/>
        <v>0</v>
      </c>
      <c r="AU740" s="37"/>
      <c r="AV740" s="14"/>
      <c r="AW740" s="14"/>
      <c r="AX740" s="14">
        <f t="shared" si="482"/>
        <v>0</v>
      </c>
      <c r="AY740" s="437"/>
      <c r="AZ740" s="14"/>
      <c r="BA740" s="437"/>
      <c r="BB740" s="14"/>
      <c r="BC740" s="14">
        <f t="shared" si="488"/>
        <v>0</v>
      </c>
      <c r="BD740" s="14"/>
      <c r="BE740" s="128"/>
      <c r="BF740" s="220">
        <v>0</v>
      </c>
      <c r="BG740" s="37">
        <f>BF727-BF739</f>
        <v>-406529584</v>
      </c>
      <c r="BH740" s="220">
        <v>0</v>
      </c>
      <c r="BI740" s="37"/>
    </row>
    <row r="741" spans="2:62" s="1" customFormat="1">
      <c r="B741" s="30" t="s">
        <v>407</v>
      </c>
      <c r="C741" s="110" t="s">
        <v>1029</v>
      </c>
      <c r="D741" s="1400"/>
      <c r="E741" s="1400"/>
      <c r="F741" s="1365">
        <f t="shared" si="471"/>
        <v>0</v>
      </c>
      <c r="G741" s="1365">
        <f t="shared" si="470"/>
        <v>0</v>
      </c>
      <c r="H741" s="1400">
        <f t="shared" si="483"/>
        <v>0</v>
      </c>
      <c r="I741" s="1961"/>
      <c r="J741" s="1400"/>
      <c r="K741" s="1961"/>
      <c r="L741" s="1400"/>
      <c r="M741" s="1400">
        <f t="shared" si="484"/>
        <v>0</v>
      </c>
      <c r="N741" s="2273"/>
      <c r="O741" s="2014"/>
      <c r="P741" s="1541"/>
      <c r="Q741" s="1400"/>
      <c r="R741" s="1541">
        <f t="shared" si="479"/>
        <v>0</v>
      </c>
      <c r="S741" s="1542"/>
      <c r="T741" s="1541"/>
      <c r="U741" s="1542"/>
      <c r="V741" s="1541"/>
      <c r="W741" s="1541">
        <f t="shared" si="485"/>
        <v>0</v>
      </c>
      <c r="X741" s="1212"/>
      <c r="Y741" s="289">
        <v>0</v>
      </c>
      <c r="Z741" s="745"/>
      <c r="AA741" s="745">
        <f t="shared" si="480"/>
        <v>0</v>
      </c>
      <c r="AB741" s="624"/>
      <c r="AC741" s="289"/>
      <c r="AD741" s="624"/>
      <c r="AE741" s="289"/>
      <c r="AF741" s="289">
        <f t="shared" si="486"/>
        <v>0</v>
      </c>
      <c r="AG741" s="289"/>
      <c r="AH741" s="288"/>
      <c r="AI741" s="947">
        <v>38165359</v>
      </c>
      <c r="AJ741" s="947"/>
      <c r="AK741" s="947"/>
      <c r="AL741" s="667"/>
      <c r="AM741" s="14"/>
      <c r="AN741" s="14"/>
      <c r="AO741" s="14">
        <f t="shared" si="481"/>
        <v>0</v>
      </c>
      <c r="AP741" s="437"/>
      <c r="AQ741" s="14"/>
      <c r="AR741" s="437"/>
      <c r="AS741" s="14"/>
      <c r="AT741" s="14">
        <f t="shared" si="487"/>
        <v>0</v>
      </c>
      <c r="AU741" s="37"/>
      <c r="AV741" s="14"/>
      <c r="AW741" s="14"/>
      <c r="AX741" s="14">
        <f t="shared" si="482"/>
        <v>0</v>
      </c>
      <c r="AY741" s="437"/>
      <c r="AZ741" s="14"/>
      <c r="BA741" s="437"/>
      <c r="BB741" s="14"/>
      <c r="BC741" s="14">
        <f t="shared" si="488"/>
        <v>0</v>
      </c>
      <c r="BD741" s="14"/>
      <c r="BE741" s="128"/>
      <c r="BF741" s="220">
        <v>37818688</v>
      </c>
      <c r="BG741" s="37"/>
      <c r="BH741" s="220">
        <v>37475165</v>
      </c>
      <c r="BI741" s="37"/>
    </row>
    <row r="742" spans="2:62" s="1" customFormat="1">
      <c r="B742" s="30"/>
      <c r="C742" s="109" t="s">
        <v>1030</v>
      </c>
      <c r="D742" s="1399">
        <v>0</v>
      </c>
      <c r="E742" s="1399"/>
      <c r="F742" s="1365">
        <f t="shared" si="471"/>
        <v>0</v>
      </c>
      <c r="G742" s="1365">
        <f t="shared" si="470"/>
        <v>0</v>
      </c>
      <c r="H742" s="1399">
        <f t="shared" si="483"/>
        <v>0</v>
      </c>
      <c r="I742" s="1960"/>
      <c r="J742" s="1399"/>
      <c r="K742" s="1960"/>
      <c r="L742" s="1399"/>
      <c r="M742" s="1399">
        <f t="shared" si="484"/>
        <v>0</v>
      </c>
      <c r="N742" s="2273"/>
      <c r="O742" s="2014"/>
      <c r="P742" s="1540"/>
      <c r="Q742" s="1399"/>
      <c r="R742" s="1540">
        <f t="shared" si="479"/>
        <v>0</v>
      </c>
      <c r="S742" s="1539"/>
      <c r="T742" s="1540"/>
      <c r="U742" s="1539"/>
      <c r="V742" s="1540"/>
      <c r="W742" s="1540">
        <f t="shared" si="485"/>
        <v>0</v>
      </c>
      <c r="X742" s="1212"/>
      <c r="Y742" s="287">
        <v>0</v>
      </c>
      <c r="Z742" s="744"/>
      <c r="AA742" s="744">
        <f t="shared" si="480"/>
        <v>0</v>
      </c>
      <c r="AB742" s="613"/>
      <c r="AC742" s="287"/>
      <c r="AD742" s="613"/>
      <c r="AE742" s="287"/>
      <c r="AF742" s="287">
        <f t="shared" si="486"/>
        <v>0</v>
      </c>
      <c r="AG742" s="287"/>
      <c r="AH742" s="288"/>
      <c r="AI742" s="947">
        <v>0</v>
      </c>
      <c r="AJ742" s="947"/>
      <c r="AK742" s="947"/>
      <c r="AL742" s="667"/>
      <c r="AM742" s="14"/>
      <c r="AN742" s="14"/>
      <c r="AO742" s="14">
        <f t="shared" si="481"/>
        <v>0</v>
      </c>
      <c r="AP742" s="437"/>
      <c r="AQ742" s="14"/>
      <c r="AR742" s="437"/>
      <c r="AS742" s="14"/>
      <c r="AT742" s="14">
        <f t="shared" si="487"/>
        <v>0</v>
      </c>
      <c r="AU742" s="37"/>
      <c r="AV742" s="14"/>
      <c r="AW742" s="14"/>
      <c r="AX742" s="14">
        <f t="shared" si="482"/>
        <v>0</v>
      </c>
      <c r="AY742" s="437"/>
      <c r="AZ742" s="14"/>
      <c r="BA742" s="437"/>
      <c r="BB742" s="14"/>
      <c r="BC742" s="14">
        <f t="shared" si="488"/>
        <v>0</v>
      </c>
      <c r="BD742" s="14"/>
      <c r="BE742" s="128"/>
      <c r="BF742" s="220">
        <v>0</v>
      </c>
      <c r="BG742" s="37"/>
      <c r="BH742" s="220">
        <v>0</v>
      </c>
      <c r="BI742" s="37"/>
    </row>
    <row r="743" spans="2:62" s="1" customFormat="1">
      <c r="B743" s="30" t="s">
        <v>407</v>
      </c>
      <c r="C743" s="109" t="s">
        <v>1031</v>
      </c>
      <c r="D743" s="2289"/>
      <c r="E743" s="2289">
        <v>318194931</v>
      </c>
      <c r="F743" s="1365"/>
      <c r="G743" s="1365"/>
      <c r="H743" s="1399">
        <f t="shared" si="483"/>
        <v>318194931</v>
      </c>
      <c r="I743" s="2290"/>
      <c r="J743" s="2289"/>
      <c r="K743" s="2290"/>
      <c r="L743" s="2289"/>
      <c r="M743" s="2128">
        <f t="shared" si="484"/>
        <v>318194931</v>
      </c>
      <c r="N743" s="2291"/>
      <c r="O743" s="2292"/>
      <c r="P743" s="2293"/>
      <c r="Q743" s="2289"/>
      <c r="R743" s="2293"/>
      <c r="S743" s="2294"/>
      <c r="T743" s="2293"/>
      <c r="U743" s="2294"/>
      <c r="V743" s="2293"/>
      <c r="W743" s="2293"/>
      <c r="X743" s="2295"/>
      <c r="Y743" s="2296"/>
      <c r="Z743" s="2297"/>
      <c r="AA743" s="2297"/>
      <c r="AB743" s="613"/>
      <c r="AC743" s="287"/>
      <c r="AD743" s="613"/>
      <c r="AE743" s="287"/>
      <c r="AF743" s="2296"/>
      <c r="AG743" s="2296"/>
      <c r="AH743" s="288"/>
      <c r="AI743" s="1162"/>
      <c r="AJ743" s="1162"/>
      <c r="AK743" s="1162"/>
      <c r="AL743" s="671"/>
      <c r="AM743" s="25"/>
      <c r="AN743" s="25"/>
      <c r="AO743" s="25"/>
      <c r="AP743" s="785"/>
      <c r="AQ743" s="25"/>
      <c r="AR743" s="785"/>
      <c r="AS743" s="25"/>
      <c r="AT743" s="25"/>
      <c r="AU743" s="11"/>
      <c r="AV743" s="25"/>
      <c r="AW743" s="25"/>
      <c r="AX743" s="25"/>
      <c r="AY743" s="785"/>
      <c r="AZ743" s="25"/>
      <c r="BA743" s="785"/>
      <c r="BB743" s="25"/>
      <c r="BC743" s="25"/>
      <c r="BD743" s="25"/>
      <c r="BE743" s="128"/>
      <c r="BF743" s="2298"/>
      <c r="BG743" s="37"/>
      <c r="BH743" s="2298"/>
      <c r="BI743" s="11"/>
    </row>
    <row r="744" spans="2:62" s="1" customFormat="1">
      <c r="B744" s="19"/>
      <c r="C744" s="19" t="s">
        <v>1032</v>
      </c>
      <c r="D744" s="1366">
        <f>SUM(D732:D742)</f>
        <v>10248491876.232964</v>
      </c>
      <c r="E744" s="1366">
        <f>SUM(E732:E743)</f>
        <v>8304747683.3216248</v>
      </c>
      <c r="F744" s="1365">
        <f t="shared" si="471"/>
        <v>18553239559.554588</v>
      </c>
      <c r="G744" s="1365">
        <f t="shared" si="470"/>
        <v>0.19460296630859375</v>
      </c>
      <c r="H744" s="1366">
        <f>SUM(H732:H743)</f>
        <v>18553239559.359985</v>
      </c>
      <c r="I744" s="1942"/>
      <c r="J744" s="1366"/>
      <c r="K744" s="1942"/>
      <c r="L744" s="1366"/>
      <c r="M744" s="1366">
        <f>SUM(M732:M743)</f>
        <v>18553239560</v>
      </c>
      <c r="N744" s="2260"/>
      <c r="O744" s="1989"/>
      <c r="P744" s="1483">
        <f>SUM(P732:P742)</f>
        <v>6706974370</v>
      </c>
      <c r="Q744" s="1366">
        <f>SUM(Q732:Q742)</f>
        <v>5794367292</v>
      </c>
      <c r="R744" s="1483">
        <f>SUM(R732:R742)</f>
        <v>12501341662</v>
      </c>
      <c r="S744" s="1484"/>
      <c r="T744" s="1483"/>
      <c r="U744" s="1484"/>
      <c r="V744" s="1483"/>
      <c r="W744" s="1483">
        <f>SUM(W732:W742)</f>
        <v>12501341662</v>
      </c>
      <c r="X744" s="1188"/>
      <c r="Y744" s="426">
        <f>SUM(Y732:Y742)</f>
        <v>5732066395</v>
      </c>
      <c r="Z744" s="706">
        <f>SUM(Z732:Z742)</f>
        <v>3576891872</v>
      </c>
      <c r="AA744" s="706">
        <f>SUM(AA732:AA742)</f>
        <v>9308958267</v>
      </c>
      <c r="AB744" s="601"/>
      <c r="AC744" s="223"/>
      <c r="AD744" s="601"/>
      <c r="AE744" s="223"/>
      <c r="AF744" s="426">
        <f>SUM(AF732:AF742)</f>
        <v>9308958267</v>
      </c>
      <c r="AG744" s="448"/>
      <c r="AH744" s="228"/>
      <c r="AI744" s="937">
        <f>SUM(AI732:AI742)</f>
        <v>16037761661</v>
      </c>
      <c r="AJ744" s="964"/>
      <c r="AK744" s="964"/>
      <c r="AL744" s="668"/>
      <c r="AM744" s="448">
        <f>SUM(AM732:AM742)</f>
        <v>6430690329</v>
      </c>
      <c r="AN744" s="448">
        <f>SUM(AN732:AN742)</f>
        <v>5046203498</v>
      </c>
      <c r="AO744" s="448">
        <f>SUM(AO732:AO742)</f>
        <v>11476893827</v>
      </c>
      <c r="AP744" s="759"/>
      <c r="AQ744" s="448"/>
      <c r="AR744" s="759"/>
      <c r="AS744" s="448"/>
      <c r="AT744" s="448">
        <f>SUM(AT732:AT742)</f>
        <v>11476893827</v>
      </c>
      <c r="AU744" s="20"/>
      <c r="AV744" s="448">
        <f>SUM(AV732:AV742)</f>
        <v>3924904972</v>
      </c>
      <c r="AW744" s="448">
        <f>SUM(AW732:AW742)</f>
        <v>3685337299</v>
      </c>
      <c r="AX744" s="448">
        <f>SUM(AX732:AX742)</f>
        <v>7610242271</v>
      </c>
      <c r="AY744" s="759"/>
      <c r="AZ744" s="448"/>
      <c r="BA744" s="759"/>
      <c r="BB744" s="448"/>
      <c r="BC744" s="448">
        <f>SUM(BC732:BC742)</f>
        <v>7610242271</v>
      </c>
      <c r="BD744" s="53"/>
      <c r="BE744" s="28"/>
      <c r="BF744" s="426">
        <f>SUM(BF732:BF742)</f>
        <v>13444400720</v>
      </c>
      <c r="BG744" s="29"/>
      <c r="BH744" s="426">
        <f>SUM(BH732:BH742)</f>
        <v>10105199027</v>
      </c>
      <c r="BI744" s="20"/>
    </row>
    <row r="745" spans="2:62" s="1" customFormat="1">
      <c r="B745" s="115"/>
      <c r="C745" s="77" t="s">
        <v>1033</v>
      </c>
      <c r="D745" s="1403">
        <f>D730-D744</f>
        <v>-12358990402.119492</v>
      </c>
      <c r="E745" s="1403">
        <f>E730-E744</f>
        <v>-8030945267.3216248</v>
      </c>
      <c r="F745" s="1365">
        <f t="shared" si="471"/>
        <v>-20389935669.441116</v>
      </c>
      <c r="G745" s="1365">
        <f t="shared" si="470"/>
        <v>-8.11309814453125E-2</v>
      </c>
      <c r="H745" s="1403">
        <f>H730-H744</f>
        <v>-20389935669.359985</v>
      </c>
      <c r="I745" s="2019"/>
      <c r="J745" s="1403"/>
      <c r="K745" s="2019"/>
      <c r="L745" s="1403"/>
      <c r="M745" s="1403">
        <f>M730-M744</f>
        <v>-20795566903</v>
      </c>
      <c r="N745" s="2260"/>
      <c r="O745" s="2020"/>
      <c r="P745" s="1548">
        <f>P730-P744</f>
        <v>-5059356498</v>
      </c>
      <c r="Q745" s="1403">
        <f>Q730-Q744</f>
        <v>-4883004960</v>
      </c>
      <c r="R745" s="1548">
        <f>R730-R744</f>
        <v>-9942361458</v>
      </c>
      <c r="S745" s="1549"/>
      <c r="T745" s="1548"/>
      <c r="U745" s="1549"/>
      <c r="V745" s="1548"/>
      <c r="W745" s="1548">
        <f>W730-W744</f>
        <v>-10214010136</v>
      </c>
      <c r="X745" s="1215"/>
      <c r="Y745" s="450">
        <f>Y730-Y744</f>
        <v>-9751096760</v>
      </c>
      <c r="Z745" s="750">
        <f>Z730-Z744</f>
        <v>-3860132258</v>
      </c>
      <c r="AA745" s="750">
        <f>AA730-AA744</f>
        <v>-13611229018</v>
      </c>
      <c r="AB745" s="608"/>
      <c r="AC745" s="264"/>
      <c r="AD745" s="608"/>
      <c r="AE745" s="264"/>
      <c r="AF745" s="450">
        <f>AF730-AF744</f>
        <v>-13805245808</v>
      </c>
      <c r="AG745" s="657"/>
      <c r="AH745" s="265"/>
      <c r="AI745" s="948">
        <f>AI730-AI744</f>
        <v>-16762033923</v>
      </c>
      <c r="AJ745" s="1163"/>
      <c r="AK745" s="1163"/>
      <c r="AL745" s="668"/>
      <c r="AM745" s="657">
        <f>AM730-AM744</f>
        <v>-7123798952</v>
      </c>
      <c r="AN745" s="657">
        <f>AN730-AN744</f>
        <v>-4751768604</v>
      </c>
      <c r="AO745" s="657">
        <f>AO730-AO744</f>
        <v>-11875567556</v>
      </c>
      <c r="AP745" s="777"/>
      <c r="AQ745" s="657"/>
      <c r="AR745" s="777"/>
      <c r="AS745" s="657"/>
      <c r="AT745" s="657">
        <f>AT730-AT744</f>
        <v>-12373532688</v>
      </c>
      <c r="AU745" s="116"/>
      <c r="AV745" s="657">
        <f>AV730-AV744</f>
        <v>-3634008662</v>
      </c>
      <c r="AW745" s="657">
        <f>AW730-AW744</f>
        <v>-5585713824</v>
      </c>
      <c r="AX745" s="657">
        <f>AX730-AX744</f>
        <v>-9219722486</v>
      </c>
      <c r="AY745" s="777"/>
      <c r="AZ745" s="657"/>
      <c r="BA745" s="777"/>
      <c r="BB745" s="657"/>
      <c r="BC745" s="657">
        <f>BC730-BC744</f>
        <v>-9531058466</v>
      </c>
      <c r="BD745" s="53"/>
      <c r="BE745" s="78"/>
      <c r="BF745" s="450">
        <f>BF730-BF744</f>
        <v>-14006773662</v>
      </c>
      <c r="BG745" s="79">
        <v>547497060</v>
      </c>
      <c r="BH745" s="450">
        <f>BH730-BH744</f>
        <v>-9239849008</v>
      </c>
      <c r="BI745" s="116"/>
    </row>
    <row r="746" spans="2:62" s="1" customFormat="1">
      <c r="B746" s="62"/>
      <c r="C746" s="62" t="s">
        <v>1034</v>
      </c>
      <c r="D746" s="1404">
        <f>D721+D745</f>
        <v>1126436125.8805084</v>
      </c>
      <c r="E746" s="1404">
        <f>E721+E745</f>
        <v>1197786927.3383789</v>
      </c>
      <c r="F746" s="1365">
        <f t="shared" si="471"/>
        <v>2324223053.2188873</v>
      </c>
      <c r="G746" s="1365">
        <f t="shared" si="470"/>
        <v>0.5788726806640625</v>
      </c>
      <c r="H746" s="1404">
        <f>H721+H745</f>
        <v>2324223052.6400146</v>
      </c>
      <c r="I746" s="1962"/>
      <c r="J746" s="1404"/>
      <c r="K746" s="1962"/>
      <c r="L746" s="1404"/>
      <c r="M746" s="1404">
        <f>M721+M745</f>
        <v>2324223050</v>
      </c>
      <c r="N746" s="2274"/>
      <c r="O746" s="2021"/>
      <c r="P746" s="1550">
        <f>P721+P745</f>
        <v>1978329584.5599976</v>
      </c>
      <c r="Q746" s="1404">
        <f>Q721+Q745</f>
        <v>1194342965</v>
      </c>
      <c r="R746" s="1550">
        <f>R721+R745</f>
        <v>3172672550</v>
      </c>
      <c r="S746" s="1551"/>
      <c r="T746" s="1550"/>
      <c r="U746" s="1551"/>
      <c r="V746" s="1550"/>
      <c r="W746" s="1550">
        <f>W721+W745</f>
        <v>3172672550</v>
      </c>
      <c r="X746" s="1216"/>
      <c r="Y746" s="451">
        <f>Y721+Y745</f>
        <v>672989014</v>
      </c>
      <c r="Z746" s="751">
        <f>Z721+Z745</f>
        <v>719482125</v>
      </c>
      <c r="AA746" s="751">
        <f>AA721+AA745</f>
        <v>1392471139</v>
      </c>
      <c r="AB746" s="607"/>
      <c r="AC746" s="249"/>
      <c r="AD746" s="607"/>
      <c r="AE746" s="249"/>
      <c r="AF746" s="451">
        <f>AF721+AF745</f>
        <v>1392471139</v>
      </c>
      <c r="AG746" s="658"/>
      <c r="AH746" s="250"/>
      <c r="AI746" s="949">
        <f>AI721+AI745</f>
        <v>2553953356</v>
      </c>
      <c r="AJ746" s="1164"/>
      <c r="AK746" s="1164"/>
      <c r="AL746" s="686"/>
      <c r="AM746" s="658">
        <f>AM721+AM745</f>
        <v>822650561</v>
      </c>
      <c r="AN746" s="658">
        <f>AN721+AN745</f>
        <v>509369150</v>
      </c>
      <c r="AO746" s="658">
        <f>AO721+AO745</f>
        <v>1332019711</v>
      </c>
      <c r="AP746" s="778"/>
      <c r="AQ746" s="658"/>
      <c r="AR746" s="778"/>
      <c r="AS746" s="658"/>
      <c r="AT746" s="658">
        <f>AT721+AT745</f>
        <v>1332019711</v>
      </c>
      <c r="AU746" s="117"/>
      <c r="AV746" s="658">
        <f>AV721+AV745</f>
        <v>672054755</v>
      </c>
      <c r="AW746" s="658">
        <f>AW721+AW745</f>
        <v>647661160</v>
      </c>
      <c r="AX746" s="658">
        <f>AX721+AX745</f>
        <v>1319715915</v>
      </c>
      <c r="AY746" s="778"/>
      <c r="AZ746" s="658"/>
      <c r="BA746" s="778"/>
      <c r="BB746" s="658"/>
      <c r="BC746" s="658">
        <f>BC721+BC745</f>
        <v>1319715915</v>
      </c>
      <c r="BD746" s="1158"/>
      <c r="BE746" s="63"/>
      <c r="BF746" s="451">
        <f>BF721+BF745</f>
        <v>8224872245</v>
      </c>
      <c r="BG746" s="64"/>
      <c r="BH746" s="451">
        <f>BH721+BH745</f>
        <v>5654381924</v>
      </c>
      <c r="BI746" s="117"/>
    </row>
    <row r="747" spans="2:62" s="1" customFormat="1">
      <c r="B747" s="2" t="s">
        <v>1035</v>
      </c>
      <c r="C747" s="118"/>
      <c r="D747" s="217"/>
      <c r="E747" s="217"/>
      <c r="F747" s="1365"/>
      <c r="G747" s="1365"/>
      <c r="H747" s="217"/>
      <c r="I747" s="1384"/>
      <c r="J747" s="217"/>
      <c r="K747" s="1384"/>
      <c r="L747" s="217"/>
      <c r="M747" s="217"/>
      <c r="N747" s="226"/>
      <c r="O747" s="1217"/>
      <c r="P747" s="1480"/>
      <c r="Q747" s="217"/>
      <c r="R747" s="1480"/>
      <c r="S747" s="1481"/>
      <c r="T747" s="1480"/>
      <c r="U747" s="1481"/>
      <c r="V747" s="1480"/>
      <c r="W747" s="1480"/>
      <c r="X747" s="1217"/>
      <c r="Y747" s="118"/>
      <c r="Z747" s="705"/>
      <c r="AA747" s="705"/>
      <c r="AB747" s="253"/>
      <c r="AC747" s="118"/>
      <c r="AD747" s="253"/>
      <c r="AE747" s="118"/>
      <c r="AF747" s="118"/>
      <c r="AG747" s="118"/>
      <c r="AH747" s="209"/>
      <c r="AI747" s="942"/>
      <c r="AJ747" s="942"/>
      <c r="AK747" s="942"/>
      <c r="AL747" s="667"/>
      <c r="AM747" s="9"/>
      <c r="AN747" s="9"/>
      <c r="AO747" s="9"/>
      <c r="AP747" s="769"/>
      <c r="AQ747" s="9"/>
      <c r="AR747" s="769"/>
      <c r="AS747" s="9"/>
      <c r="AT747" s="9"/>
      <c r="AU747" s="37"/>
      <c r="AV747" s="9"/>
      <c r="AW747" s="9"/>
      <c r="AX747" s="9"/>
      <c r="AY747" s="769"/>
      <c r="AZ747" s="9"/>
      <c r="BA747" s="769"/>
      <c r="BB747" s="9"/>
      <c r="BC747" s="9"/>
      <c r="BD747" s="14"/>
      <c r="BE747" s="128"/>
      <c r="BF747" s="219"/>
      <c r="BG747" s="37"/>
      <c r="BH747" s="219"/>
      <c r="BI747" s="11"/>
    </row>
    <row r="748" spans="2:62" s="1" customFormat="1">
      <c r="B748" s="30"/>
      <c r="C748" s="23" t="s">
        <v>1036</v>
      </c>
      <c r="D748" s="2313">
        <v>994263381</v>
      </c>
      <c r="E748" s="1368">
        <v>1057869560</v>
      </c>
      <c r="F748" s="1365">
        <f t="shared" si="471"/>
        <v>2052132941</v>
      </c>
      <c r="G748" s="1365">
        <f t="shared" si="470"/>
        <v>0</v>
      </c>
      <c r="H748" s="1368">
        <f>ROUND((D748+E748),0)</f>
        <v>2052132941</v>
      </c>
      <c r="I748" s="1943"/>
      <c r="J748" s="1368"/>
      <c r="K748" s="1943"/>
      <c r="L748" s="1368"/>
      <c r="M748" s="2318">
        <f>ROUND((H748+J748-L748),0)</f>
        <v>2052132941</v>
      </c>
      <c r="N748" s="1967"/>
      <c r="O748" s="1057"/>
      <c r="P748" s="1555">
        <v>1066942140</v>
      </c>
      <c r="Q748" s="1368">
        <v>420355320</v>
      </c>
      <c r="R748" s="1486">
        <f>ROUND((P748+Q748),0)</f>
        <v>1487297460</v>
      </c>
      <c r="S748" s="1487"/>
      <c r="T748" s="1486"/>
      <c r="U748" s="1487"/>
      <c r="V748" s="1486"/>
      <c r="W748" s="1486">
        <f>ROUND((R748+T748-V748),0)</f>
        <v>1487297460</v>
      </c>
      <c r="X748" s="1189"/>
      <c r="Y748" s="225">
        <v>301219820</v>
      </c>
      <c r="Z748" s="699">
        <v>219331860</v>
      </c>
      <c r="AA748" s="699">
        <f>ROUND((Y748+Z748),0)</f>
        <v>520551680</v>
      </c>
      <c r="AB748" s="617"/>
      <c r="AC748" s="225"/>
      <c r="AD748" s="617"/>
      <c r="AE748" s="225"/>
      <c r="AF748" s="225">
        <f>ROUND((AA748+AC748-AE748),0)</f>
        <v>520551680</v>
      </c>
      <c r="AG748" s="225"/>
      <c r="AH748" s="208"/>
      <c r="AI748" s="950">
        <v>1088072700</v>
      </c>
      <c r="AJ748" s="1162"/>
      <c r="AK748" s="1162"/>
      <c r="AL748" s="671"/>
      <c r="AM748" s="25">
        <v>317474080</v>
      </c>
      <c r="AN748" s="1140">
        <v>201253360</v>
      </c>
      <c r="AO748" s="25">
        <f t="shared" ref="AO748" si="489">ROUND((AM748+AN748),0)</f>
        <v>518727440</v>
      </c>
      <c r="AP748" s="785"/>
      <c r="AQ748" s="25"/>
      <c r="AR748" s="785"/>
      <c r="AS748" s="25"/>
      <c r="AT748" s="25">
        <f>ROUND((AO748+AQ748-AS748),0)</f>
        <v>518727440</v>
      </c>
      <c r="AU748" s="11"/>
      <c r="AV748" s="25">
        <v>301219820</v>
      </c>
      <c r="AW748" s="1140">
        <v>173621580</v>
      </c>
      <c r="AX748" s="25">
        <f t="shared" ref="AX748" si="490">ROUND((AV748+AW748),0)</f>
        <v>474841400</v>
      </c>
      <c r="AY748" s="785"/>
      <c r="AZ748" s="25"/>
      <c r="BA748" s="785"/>
      <c r="BB748" s="25"/>
      <c r="BC748" s="25">
        <f>ROUND((AX748+AZ748-BB748),0)</f>
        <v>474841400</v>
      </c>
      <c r="BD748" s="25"/>
      <c r="BE748" s="128"/>
      <c r="BF748" s="220">
        <v>2076985900</v>
      </c>
      <c r="BG748" s="37">
        <v>606059080</v>
      </c>
      <c r="BH748" s="220">
        <v>1421390520</v>
      </c>
      <c r="BI748" s="11"/>
    </row>
    <row r="749" spans="2:62" s="1" customFormat="1">
      <c r="B749" s="2" t="s">
        <v>1037</v>
      </c>
      <c r="C749" s="2"/>
      <c r="D749" s="217"/>
      <c r="E749" s="217"/>
      <c r="F749" s="1365">
        <f t="shared" si="471"/>
        <v>0</v>
      </c>
      <c r="G749" s="1365">
        <f t="shared" si="470"/>
        <v>0</v>
      </c>
      <c r="H749" s="217"/>
      <c r="I749" s="1384"/>
      <c r="J749" s="217"/>
      <c r="K749" s="1384"/>
      <c r="L749" s="217"/>
      <c r="M749" s="217"/>
      <c r="N749" s="226"/>
      <c r="O749" s="1217"/>
      <c r="P749" s="1480"/>
      <c r="Q749" s="217"/>
      <c r="R749" s="1480"/>
      <c r="S749" s="1481"/>
      <c r="T749" s="1480"/>
      <c r="U749" s="1481"/>
      <c r="V749" s="1480"/>
      <c r="W749" s="1480"/>
      <c r="X749" s="1186"/>
      <c r="Y749" s="118"/>
      <c r="Z749" s="705"/>
      <c r="AA749" s="705"/>
      <c r="AB749" s="253"/>
      <c r="AC749" s="118"/>
      <c r="AD749" s="253"/>
      <c r="AE749" s="118"/>
      <c r="AF749" s="118"/>
      <c r="AG749" s="118"/>
      <c r="AH749" s="209"/>
      <c r="AI749" s="942"/>
      <c r="AJ749" s="942"/>
      <c r="AK749" s="942"/>
      <c r="AL749" s="667"/>
      <c r="AM749" s="9"/>
      <c r="AN749" s="9"/>
      <c r="AO749" s="9"/>
      <c r="AP749" s="769"/>
      <c r="AQ749" s="9"/>
      <c r="AR749" s="769"/>
      <c r="AS749" s="9"/>
      <c r="AT749" s="9"/>
      <c r="AU749" s="37"/>
      <c r="AV749" s="9"/>
      <c r="AW749" s="9"/>
      <c r="AX749" s="9"/>
      <c r="AY749" s="769"/>
      <c r="AZ749" s="9"/>
      <c r="BA749" s="769"/>
      <c r="BB749" s="9"/>
      <c r="BC749" s="9"/>
      <c r="BD749" s="14"/>
      <c r="BE749" s="128"/>
      <c r="BF749" s="219"/>
      <c r="BG749" s="37"/>
      <c r="BH749" s="220">
        <v>0</v>
      </c>
      <c r="BI749" s="11"/>
    </row>
    <row r="750" spans="2:62" s="1" customFormat="1" hidden="1">
      <c r="B750" s="30"/>
      <c r="C750" s="13" t="s">
        <v>1038</v>
      </c>
      <c r="D750" s="1367"/>
      <c r="E750" s="1367"/>
      <c r="F750" s="1365">
        <f t="shared" si="471"/>
        <v>0</v>
      </c>
      <c r="G750" s="1365">
        <f t="shared" si="470"/>
        <v>0</v>
      </c>
      <c r="H750" s="1367"/>
      <c r="I750" s="1384"/>
      <c r="J750" s="1367"/>
      <c r="K750" s="1384"/>
      <c r="L750" s="1367"/>
      <c r="M750" s="1367"/>
      <c r="N750" s="1967"/>
      <c r="O750" s="1057"/>
      <c r="P750" s="1485"/>
      <c r="Q750" s="1367"/>
      <c r="R750" s="1485"/>
      <c r="S750" s="1481"/>
      <c r="T750" s="1485"/>
      <c r="U750" s="1481"/>
      <c r="V750" s="1485"/>
      <c r="W750" s="1485"/>
      <c r="X750" s="1189"/>
      <c r="Y750" s="106"/>
      <c r="Z750" s="698"/>
      <c r="AA750" s="698"/>
      <c r="AB750" s="253"/>
      <c r="AC750" s="106"/>
      <c r="AD750" s="253"/>
      <c r="AE750" s="106"/>
      <c r="AF750" s="106"/>
      <c r="AG750" s="106"/>
      <c r="AH750" s="208"/>
      <c r="AI750" s="951"/>
      <c r="AJ750" s="1165"/>
      <c r="AK750" s="1165"/>
      <c r="AL750" s="687"/>
      <c r="AM750" s="659"/>
      <c r="AN750" s="659"/>
      <c r="AO750" s="659"/>
      <c r="AP750" s="789"/>
      <c r="AQ750" s="659"/>
      <c r="AR750" s="789"/>
      <c r="AS750" s="659"/>
      <c r="AT750" s="659"/>
      <c r="AU750" s="15"/>
      <c r="AV750" s="659"/>
      <c r="AW750" s="659"/>
      <c r="AX750" s="659"/>
      <c r="AY750" s="789"/>
      <c r="AZ750" s="659"/>
      <c r="BA750" s="789"/>
      <c r="BB750" s="659"/>
      <c r="BC750" s="659"/>
      <c r="BD750" s="1159"/>
      <c r="BE750" s="128"/>
      <c r="BF750" s="219"/>
      <c r="BG750" s="37"/>
      <c r="BH750" s="220">
        <v>0</v>
      </c>
      <c r="BI750" s="11"/>
    </row>
    <row r="751" spans="2:62" s="1" customFormat="1">
      <c r="B751" s="30" t="s">
        <v>407</v>
      </c>
      <c r="C751" s="13" t="s">
        <v>1038</v>
      </c>
      <c r="D751" s="1367">
        <v>0</v>
      </c>
      <c r="E751" s="1367">
        <f>ROUND(-130595066.8,0)</f>
        <v>-130595067</v>
      </c>
      <c r="F751" s="1365">
        <f t="shared" si="471"/>
        <v>-130595067</v>
      </c>
      <c r="G751" s="1365">
        <f t="shared" si="470"/>
        <v>0</v>
      </c>
      <c r="H751" s="1367">
        <f>ROUND((D751+E751),0)</f>
        <v>-130595067</v>
      </c>
      <c r="I751" s="1384"/>
      <c r="J751" s="1367"/>
      <c r="K751" s="1384"/>
      <c r="L751" s="1367"/>
      <c r="M751" s="1367">
        <f t="shared" ref="M751:M753" si="491">ROUND((H751+J751-L751),0)</f>
        <v>-130595067</v>
      </c>
      <c r="N751" s="1967"/>
      <c r="O751" s="1057">
        <f>SUM(M751:M753)</f>
        <v>-76646095</v>
      </c>
      <c r="P751" s="1485"/>
      <c r="Q751" s="1367"/>
      <c r="R751" s="1485">
        <f>ROUND((P751+Q751),0)</f>
        <v>0</v>
      </c>
      <c r="S751" s="1481"/>
      <c r="T751" s="1485"/>
      <c r="U751" s="1481"/>
      <c r="V751" s="1485"/>
      <c r="W751" s="1485">
        <f t="shared" ref="W751:W753" si="492">ROUND((R751+T751-V751),0)</f>
        <v>0</v>
      </c>
      <c r="X751" s="1189"/>
      <c r="Y751" s="106"/>
      <c r="Z751" s="698"/>
      <c r="AA751" s="698">
        <f>ROUND((Y751+Z751),0)</f>
        <v>0</v>
      </c>
      <c r="AB751" s="253"/>
      <c r="AC751" s="106"/>
      <c r="AD751" s="253"/>
      <c r="AE751" s="106"/>
      <c r="AF751" s="106">
        <f t="shared" ref="AF751:AF753" si="493">ROUND((AA751+AC751-AE751),0)</f>
        <v>0</v>
      </c>
      <c r="AG751" s="106"/>
      <c r="AH751" s="208"/>
      <c r="AI751" s="950">
        <v>-217742064</v>
      </c>
      <c r="AJ751" s="1162"/>
      <c r="AK751" s="1162"/>
      <c r="AL751" s="671"/>
      <c r="AM751" s="25"/>
      <c r="AN751" s="25"/>
      <c r="AO751" s="25">
        <f t="shared" ref="AO751:AO753" si="494">ROUND((AM751+AN751),0)</f>
        <v>0</v>
      </c>
      <c r="AP751" s="785"/>
      <c r="AQ751" s="25"/>
      <c r="AR751" s="785"/>
      <c r="AS751" s="25"/>
      <c r="AT751" s="25">
        <f t="shared" ref="AT751:AT753" si="495">ROUND((AO751+AQ751-AS751),0)</f>
        <v>0</v>
      </c>
      <c r="AU751" s="11"/>
      <c r="AV751" s="25"/>
      <c r="AW751" s="25"/>
      <c r="AX751" s="25">
        <f t="shared" ref="AX751:AX753" si="496">ROUND((AV751+AW751),0)</f>
        <v>0</v>
      </c>
      <c r="AY751" s="785"/>
      <c r="AZ751" s="25"/>
      <c r="BA751" s="785"/>
      <c r="BB751" s="25"/>
      <c r="BC751" s="25">
        <f t="shared" ref="BC751:BC753" si="497">ROUND((AX751+AZ751-BB751),0)</f>
        <v>0</v>
      </c>
      <c r="BD751" s="25"/>
      <c r="BE751" s="128"/>
      <c r="BF751" s="220">
        <v>-8329376</v>
      </c>
      <c r="BG751" s="37"/>
      <c r="BH751" s="220">
        <v>1352999592</v>
      </c>
      <c r="BI751" s="11"/>
    </row>
    <row r="752" spans="2:62" s="1" customFormat="1">
      <c r="B752" s="30" t="s">
        <v>407</v>
      </c>
      <c r="C752" s="13" t="s">
        <v>1039</v>
      </c>
      <c r="D752" s="1367"/>
      <c r="E752" s="1367">
        <v>117789170</v>
      </c>
      <c r="F752" s="1365">
        <f t="shared" si="471"/>
        <v>117789170</v>
      </c>
      <c r="G752" s="1365">
        <f t="shared" si="470"/>
        <v>0</v>
      </c>
      <c r="H752" s="1367">
        <f>ROUND((D752+E752),0)</f>
        <v>117789170</v>
      </c>
      <c r="I752" s="1384"/>
      <c r="J752" s="1367"/>
      <c r="K752" s="1384"/>
      <c r="L752" s="1367"/>
      <c r="M752" s="1367">
        <f t="shared" si="491"/>
        <v>117789170</v>
      </c>
      <c r="N752" s="1967"/>
      <c r="O752" s="1057"/>
      <c r="P752" s="1485"/>
      <c r="Q752" s="1367"/>
      <c r="R752" s="1485">
        <f>ROUND((P752+Q752),0)</f>
        <v>0</v>
      </c>
      <c r="S752" s="1481"/>
      <c r="T752" s="1485"/>
      <c r="U752" s="1481"/>
      <c r="V752" s="1485"/>
      <c r="W752" s="1485">
        <f t="shared" si="492"/>
        <v>0</v>
      </c>
      <c r="X752" s="1189"/>
      <c r="Y752" s="106"/>
      <c r="Z752" s="698"/>
      <c r="AA752" s="698">
        <f>ROUND((Y752+Z752),0)</f>
        <v>0</v>
      </c>
      <c r="AB752" s="253"/>
      <c r="AC752" s="106"/>
      <c r="AD752" s="253"/>
      <c r="AE752" s="106"/>
      <c r="AF752" s="106">
        <f t="shared" si="493"/>
        <v>0</v>
      </c>
      <c r="AG752" s="106"/>
      <c r="AH752" s="208"/>
      <c r="AI752" s="950">
        <v>0</v>
      </c>
      <c r="AJ752" s="1162"/>
      <c r="AK752" s="1162"/>
      <c r="AL752" s="671"/>
      <c r="AM752" s="25"/>
      <c r="AN752" s="25"/>
      <c r="AO752" s="25">
        <f t="shared" si="494"/>
        <v>0</v>
      </c>
      <c r="AP752" s="785"/>
      <c r="AQ752" s="25"/>
      <c r="AR752" s="785"/>
      <c r="AS752" s="25"/>
      <c r="AT752" s="25">
        <f t="shared" si="495"/>
        <v>0</v>
      </c>
      <c r="AU752" s="11"/>
      <c r="AV752" s="25"/>
      <c r="AW752" s="25"/>
      <c r="AX752" s="25">
        <f t="shared" si="496"/>
        <v>0</v>
      </c>
      <c r="AY752" s="785"/>
      <c r="AZ752" s="25"/>
      <c r="BA752" s="785"/>
      <c r="BB752" s="25"/>
      <c r="BC752" s="25">
        <f t="shared" si="497"/>
        <v>0</v>
      </c>
      <c r="BD752" s="25"/>
      <c r="BE752" s="128"/>
      <c r="BF752" s="220">
        <v>0</v>
      </c>
      <c r="BG752" s="37"/>
      <c r="BH752" s="220">
        <v>0</v>
      </c>
      <c r="BI752" s="11"/>
    </row>
    <row r="753" spans="2:61" s="1" customFormat="1">
      <c r="B753" s="30"/>
      <c r="C753" s="13" t="s">
        <v>1040</v>
      </c>
      <c r="D753" s="1367">
        <v>-63840197.960000001</v>
      </c>
      <c r="E753" s="1367"/>
      <c r="F753" s="1365">
        <f t="shared" si="471"/>
        <v>-63840197.960000001</v>
      </c>
      <c r="G753" s="1365">
        <f t="shared" si="470"/>
        <v>3.9999999105930328E-2</v>
      </c>
      <c r="H753" s="1367">
        <f>ROUND((D753+E753),0)</f>
        <v>-63840198</v>
      </c>
      <c r="I753" s="1384"/>
      <c r="J753" s="1367"/>
      <c r="K753" s="1384"/>
      <c r="L753" s="1367"/>
      <c r="M753" s="1367">
        <f t="shared" si="491"/>
        <v>-63840198</v>
      </c>
      <c r="N753" s="1967"/>
      <c r="O753" s="1057"/>
      <c r="P753" s="1485"/>
      <c r="Q753" s="1367"/>
      <c r="R753" s="1485">
        <f>ROUND((P753+Q753),0)</f>
        <v>0</v>
      </c>
      <c r="S753" s="1481"/>
      <c r="T753" s="1485"/>
      <c r="U753" s="1481"/>
      <c r="V753" s="1485"/>
      <c r="W753" s="1485">
        <f t="shared" si="492"/>
        <v>0</v>
      </c>
      <c r="X753" s="1189"/>
      <c r="Y753" s="106"/>
      <c r="Z753" s="698"/>
      <c r="AA753" s="698">
        <f>ROUND((Y753+Z753),0)</f>
        <v>0</v>
      </c>
      <c r="AB753" s="253"/>
      <c r="AC753" s="106"/>
      <c r="AD753" s="253"/>
      <c r="AE753" s="106"/>
      <c r="AF753" s="106">
        <f t="shared" si="493"/>
        <v>0</v>
      </c>
      <c r="AG753" s="106"/>
      <c r="AH753" s="208"/>
      <c r="AI753" s="950">
        <v>-61828681</v>
      </c>
      <c r="AJ753" s="1162"/>
      <c r="AK753" s="1162"/>
      <c r="AL753" s="671"/>
      <c r="AM753" s="25"/>
      <c r="AN753" s="25"/>
      <c r="AO753" s="25">
        <f t="shared" si="494"/>
        <v>0</v>
      </c>
      <c r="AP753" s="785"/>
      <c r="AQ753" s="25"/>
      <c r="AR753" s="785"/>
      <c r="AS753" s="25"/>
      <c r="AT753" s="25">
        <f t="shared" si="495"/>
        <v>0</v>
      </c>
      <c r="AU753" s="11"/>
      <c r="AV753" s="25"/>
      <c r="AW753" s="25"/>
      <c r="AX753" s="25">
        <f t="shared" si="496"/>
        <v>0</v>
      </c>
      <c r="AY753" s="785"/>
      <c r="AZ753" s="25"/>
      <c r="BA753" s="785"/>
      <c r="BB753" s="25"/>
      <c r="BC753" s="25">
        <f t="shared" si="497"/>
        <v>0</v>
      </c>
      <c r="BD753" s="25"/>
      <c r="BE753" s="128"/>
      <c r="BF753" s="220">
        <v>-81839521</v>
      </c>
      <c r="BG753" s="35" t="s">
        <v>1041</v>
      </c>
      <c r="BH753" s="220">
        <v>93846379</v>
      </c>
      <c r="BI753" s="11">
        <f>BH753*2</f>
        <v>187692758</v>
      </c>
    </row>
    <row r="754" spans="2:61" s="1" customFormat="1">
      <c r="B754" s="19"/>
      <c r="C754" s="19" t="s">
        <v>1042</v>
      </c>
      <c r="D754" s="1369">
        <f>SUM(D748:D753)</f>
        <v>930423183.03999996</v>
      </c>
      <c r="E754" s="1369">
        <f>SUM(E748:E753)</f>
        <v>1045063663</v>
      </c>
      <c r="F754" s="1365">
        <f t="shared" si="471"/>
        <v>1975486846.04</v>
      </c>
      <c r="G754" s="1365">
        <f t="shared" si="470"/>
        <v>3.9999961853027344E-2</v>
      </c>
      <c r="H754" s="1369">
        <f>SUM(H748:H753)</f>
        <v>1975486846</v>
      </c>
      <c r="I754" s="1944"/>
      <c r="J754" s="1369"/>
      <c r="K754" s="1944"/>
      <c r="L754" s="1369"/>
      <c r="M754" s="1369">
        <f>SUM(M748:M753)</f>
        <v>1975486846</v>
      </c>
      <c r="N754" s="226"/>
      <c r="O754" s="1469"/>
      <c r="P754" s="1488">
        <f>SUM(P748:P753)</f>
        <v>1066942140</v>
      </c>
      <c r="Q754" s="1369">
        <f>SUM(Q748:Q753)</f>
        <v>420355320</v>
      </c>
      <c r="R754" s="1488">
        <f>SUM(R748:R753)</f>
        <v>1487297460</v>
      </c>
      <c r="S754" s="1489"/>
      <c r="T754" s="1488"/>
      <c r="U754" s="1489"/>
      <c r="V754" s="1488"/>
      <c r="W754" s="1488">
        <f>SUM(W748:W753)</f>
        <v>1487297460</v>
      </c>
      <c r="X754" s="1190"/>
      <c r="Y754" s="428">
        <f>SUM(Y748:Y753)</f>
        <v>301219820</v>
      </c>
      <c r="Z754" s="707">
        <f>SUM(Z748:Z753)</f>
        <v>219331860</v>
      </c>
      <c r="AA754" s="707">
        <f>SUM(AA748:AA753)</f>
        <v>520551680</v>
      </c>
      <c r="AB754" s="601"/>
      <c r="AC754" s="223"/>
      <c r="AD754" s="601"/>
      <c r="AE754" s="223"/>
      <c r="AF754" s="428">
        <f>SUM(AF748:AF753)</f>
        <v>520551680</v>
      </c>
      <c r="AG754" s="428"/>
      <c r="AH754" s="228"/>
      <c r="AI754" s="938">
        <f>SUM(AI748:AI753)</f>
        <v>808501955</v>
      </c>
      <c r="AJ754" s="938"/>
      <c r="AK754" s="938"/>
      <c r="AL754" s="670"/>
      <c r="AM754" s="428">
        <f>SUM(AM748:AM753)</f>
        <v>317474080</v>
      </c>
      <c r="AN754" s="428">
        <f>SUM(AN748:AN753)</f>
        <v>201253360</v>
      </c>
      <c r="AO754" s="428">
        <f>SUM(AO748:AO753)</f>
        <v>518727440</v>
      </c>
      <c r="AP754" s="762"/>
      <c r="AQ754" s="428"/>
      <c r="AR754" s="762"/>
      <c r="AS754" s="428"/>
      <c r="AT754" s="428">
        <f>SUM(AT748:AT753)</f>
        <v>518727440</v>
      </c>
      <c r="AU754" s="29"/>
      <c r="AV754" s="428">
        <f>SUM(AV748:AV753)</f>
        <v>301219820</v>
      </c>
      <c r="AW754" s="428">
        <f>SUM(AW748:AW753)</f>
        <v>173621580</v>
      </c>
      <c r="AX754" s="428">
        <f>SUM(AX748:AX753)</f>
        <v>474841400</v>
      </c>
      <c r="AY754" s="762"/>
      <c r="AZ754" s="428"/>
      <c r="BA754" s="762"/>
      <c r="BB754" s="428"/>
      <c r="BC754" s="428">
        <f>SUM(BC748:BC753)</f>
        <v>474841400</v>
      </c>
      <c r="BD754" s="138"/>
      <c r="BE754" s="28"/>
      <c r="BF754" s="428">
        <f>SUM(BF748:BF753)</f>
        <v>1986817003</v>
      </c>
      <c r="BG754" s="29"/>
      <c r="BH754" s="428">
        <f>BH748-BH751-BH753</f>
        <v>-25455451</v>
      </c>
      <c r="BI754" s="29"/>
    </row>
    <row r="755" spans="2:61" s="1" customFormat="1">
      <c r="B755" s="2"/>
      <c r="C755" s="2"/>
      <c r="D755" s="217"/>
      <c r="E755" s="217"/>
      <c r="F755" s="1365">
        <f t="shared" si="471"/>
        <v>0</v>
      </c>
      <c r="G755" s="1365">
        <f t="shared" si="470"/>
        <v>0</v>
      </c>
      <c r="H755" s="217"/>
      <c r="I755" s="1384"/>
      <c r="J755" s="217"/>
      <c r="K755" s="1384"/>
      <c r="L755" s="217"/>
      <c r="M755" s="217"/>
      <c r="N755" s="226"/>
      <c r="O755" s="1217"/>
      <c r="P755" s="1480"/>
      <c r="Q755" s="217"/>
      <c r="R755" s="1480"/>
      <c r="S755" s="1481"/>
      <c r="T755" s="1480"/>
      <c r="U755" s="1481"/>
      <c r="V755" s="1480"/>
      <c r="W755" s="1480"/>
      <c r="X755" s="1186"/>
      <c r="Y755" s="452"/>
      <c r="Z755" s="752"/>
      <c r="AA755" s="752"/>
      <c r="AB755" s="253"/>
      <c r="AC755" s="118"/>
      <c r="AD755" s="253"/>
      <c r="AE755" s="118"/>
      <c r="AF755" s="452"/>
      <c r="AG755" s="452"/>
      <c r="AH755" s="209"/>
      <c r="AI755" s="952"/>
      <c r="AJ755" s="952"/>
      <c r="AK755" s="952"/>
      <c r="AL755" s="670"/>
      <c r="AM755" s="452"/>
      <c r="AN755" s="452"/>
      <c r="AO755" s="452"/>
      <c r="AP755" s="769"/>
      <c r="AQ755" s="452"/>
      <c r="AR755" s="769"/>
      <c r="AS755" s="452"/>
      <c r="AT755" s="452"/>
      <c r="AU755" s="43"/>
      <c r="AV755" s="452"/>
      <c r="AW755" s="452"/>
      <c r="AX755" s="452"/>
      <c r="AY755" s="769"/>
      <c r="AZ755" s="452"/>
      <c r="BA755" s="769"/>
      <c r="BB755" s="452"/>
      <c r="BC755" s="452"/>
      <c r="BD755" s="138"/>
      <c r="BE755" s="42"/>
      <c r="BF755" s="452"/>
      <c r="BG755" s="43"/>
      <c r="BH755" s="452"/>
      <c r="BI755" s="36"/>
    </row>
    <row r="756" spans="2:61" s="1" customFormat="1">
      <c r="B756" s="119"/>
      <c r="C756" s="119" t="s">
        <v>1043</v>
      </c>
      <c r="D756" s="1405">
        <f>D746-D754</f>
        <v>196012942.84050846</v>
      </c>
      <c r="E756" s="1405">
        <f>E746-E754</f>
        <v>152723264.33837891</v>
      </c>
      <c r="F756" s="1365">
        <f t="shared" si="471"/>
        <v>348736207.17888737</v>
      </c>
      <c r="G756" s="1365">
        <f t="shared" si="470"/>
        <v>0.53887271881103516</v>
      </c>
      <c r="H756" s="1405">
        <f>H746-H754</f>
        <v>348736206.64001465</v>
      </c>
      <c r="I756" s="1963"/>
      <c r="J756" s="1405"/>
      <c r="K756" s="1963"/>
      <c r="L756" s="1405"/>
      <c r="M756" s="1405">
        <f>M746-M754</f>
        <v>348736204</v>
      </c>
      <c r="N756" s="2275"/>
      <c r="O756" s="2022"/>
      <c r="P756" s="1552">
        <f>P746-P754</f>
        <v>911387444.55999756</v>
      </c>
      <c r="Q756" s="1405">
        <f>Q746-Q754</f>
        <v>773987645</v>
      </c>
      <c r="R756" s="1552">
        <f>R746-R754</f>
        <v>1685375090</v>
      </c>
      <c r="S756" s="1553"/>
      <c r="T756" s="1552"/>
      <c r="U756" s="1553"/>
      <c r="V756" s="1552"/>
      <c r="W756" s="1552">
        <f>W746-W754</f>
        <v>1685375090</v>
      </c>
      <c r="X756" s="1218"/>
      <c r="Y756" s="453">
        <f>Y746-Y754</f>
        <v>371769194</v>
      </c>
      <c r="Z756" s="753">
        <f>Z746-Z754</f>
        <v>500150265</v>
      </c>
      <c r="AA756" s="753">
        <f>AA746-AA754</f>
        <v>871919459</v>
      </c>
      <c r="AB756" s="615"/>
      <c r="AC756" s="295"/>
      <c r="AD756" s="615"/>
      <c r="AE756" s="295"/>
      <c r="AF756" s="453">
        <f>AF746-AF754</f>
        <v>871919459</v>
      </c>
      <c r="AG756" s="660"/>
      <c r="AH756" s="296"/>
      <c r="AI756" s="953">
        <f>AI746-AI754</f>
        <v>1745451401</v>
      </c>
      <c r="AJ756" s="1166"/>
      <c r="AK756" s="1166"/>
      <c r="AL756" s="688"/>
      <c r="AM756" s="660">
        <f>AM746-AM754</f>
        <v>505176481</v>
      </c>
      <c r="AN756" s="660">
        <f>AN746-AN754</f>
        <v>308115790</v>
      </c>
      <c r="AO756" s="660">
        <f>AO746-AO754</f>
        <v>813292271</v>
      </c>
      <c r="AP756" s="779"/>
      <c r="AQ756" s="660"/>
      <c r="AR756" s="779"/>
      <c r="AS756" s="660"/>
      <c r="AT756" s="660">
        <f>AT746-AT754</f>
        <v>813292271</v>
      </c>
      <c r="AU756" s="1235"/>
      <c r="AV756" s="660">
        <f>AV746-AV754</f>
        <v>370834935</v>
      </c>
      <c r="AW756" s="660">
        <f>AW746-AW754</f>
        <v>474039580</v>
      </c>
      <c r="AX756" s="660">
        <f>AX746-AX754</f>
        <v>844874515</v>
      </c>
      <c r="AY756" s="779"/>
      <c r="AZ756" s="660"/>
      <c r="BA756" s="779"/>
      <c r="BB756" s="660"/>
      <c r="BC756" s="660">
        <f>BC746-BC754</f>
        <v>844874515</v>
      </c>
      <c r="BD756" s="1160"/>
      <c r="BE756" s="120"/>
      <c r="BF756" s="453">
        <f>BF746-BF754</f>
        <v>6238055242</v>
      </c>
      <c r="BG756" s="43"/>
      <c r="BH756" s="453">
        <f>BH746-BH754</f>
        <v>5679837375</v>
      </c>
      <c r="BI756" s="36"/>
    </row>
    <row r="757" spans="2:61" s="1" customFormat="1">
      <c r="B757" s="2" t="s">
        <v>1044</v>
      </c>
      <c r="C757" s="2"/>
      <c r="D757" s="217"/>
      <c r="E757" s="217"/>
      <c r="F757" s="1365">
        <f t="shared" si="471"/>
        <v>0</v>
      </c>
      <c r="G757" s="1365">
        <f t="shared" si="470"/>
        <v>0</v>
      </c>
      <c r="H757" s="217"/>
      <c r="I757" s="1384"/>
      <c r="J757" s="217"/>
      <c r="K757" s="1384"/>
      <c r="L757" s="217"/>
      <c r="M757" s="217"/>
      <c r="N757" s="226"/>
      <c r="O757" s="1217"/>
      <c r="P757" s="1480"/>
      <c r="Q757" s="217"/>
      <c r="R757" s="1480"/>
      <c r="S757" s="1481"/>
      <c r="T757" s="1480"/>
      <c r="U757" s="1481"/>
      <c r="V757" s="1480"/>
      <c r="W757" s="1480"/>
      <c r="X757" s="1186"/>
      <c r="Y757" s="118"/>
      <c r="Z757" s="705"/>
      <c r="AA757" s="705"/>
      <c r="AB757" s="253"/>
      <c r="AC757" s="118"/>
      <c r="AD757" s="253"/>
      <c r="AE757" s="118"/>
      <c r="AF757" s="118"/>
      <c r="AG757" s="118"/>
      <c r="AH757" s="209"/>
      <c r="AI757" s="942"/>
      <c r="AJ757" s="942"/>
      <c r="AK757" s="942"/>
      <c r="AL757" s="667"/>
      <c r="AM757" s="9"/>
      <c r="AN757" s="9"/>
      <c r="AO757" s="9"/>
      <c r="AP757" s="769"/>
      <c r="AQ757" s="9"/>
      <c r="AR757" s="769"/>
      <c r="AS757" s="9"/>
      <c r="AT757" s="9"/>
      <c r="AU757" s="37"/>
      <c r="AV757" s="9"/>
      <c r="AW757" s="9"/>
      <c r="AX757" s="9"/>
      <c r="AY757" s="769"/>
      <c r="AZ757" s="9"/>
      <c r="BA757" s="769"/>
      <c r="BB757" s="9"/>
      <c r="BC757" s="9"/>
      <c r="BD757" s="14"/>
      <c r="BE757" s="128"/>
      <c r="BF757" s="219"/>
      <c r="BG757" s="43"/>
      <c r="BH757" s="219"/>
      <c r="BI757" s="36"/>
    </row>
    <row r="758" spans="2:61" s="1" customFormat="1">
      <c r="B758" s="30"/>
      <c r="C758" s="13" t="s">
        <v>1044</v>
      </c>
      <c r="D758" s="1367">
        <v>51631304</v>
      </c>
      <c r="E758" s="1367">
        <f>ROUND(29507139,0)</f>
        <v>29507139</v>
      </c>
      <c r="F758" s="1365">
        <f t="shared" si="471"/>
        <v>81138443</v>
      </c>
      <c r="G758" s="1365">
        <f t="shared" si="470"/>
        <v>0</v>
      </c>
      <c r="H758" s="1367">
        <f>ROUND((D758+E758),0)</f>
        <v>81138443</v>
      </c>
      <c r="I758" s="1384"/>
      <c r="J758" s="1367"/>
      <c r="K758" s="1384"/>
      <c r="L758" s="1367"/>
      <c r="M758" s="1367">
        <f t="shared" ref="M758" si="498">ROUND((H758+J758-L758),0)</f>
        <v>81138443</v>
      </c>
      <c r="N758" s="1967"/>
      <c r="O758" s="1057"/>
      <c r="P758" s="1485"/>
      <c r="Q758" s="1367"/>
      <c r="R758" s="1485">
        <f>ROUND((P758+Q758),0)</f>
        <v>0</v>
      </c>
      <c r="S758" s="1481"/>
      <c r="T758" s="1485"/>
      <c r="U758" s="1481"/>
      <c r="V758" s="1485"/>
      <c r="W758" s="1485">
        <f>R758+T758-V758</f>
        <v>0</v>
      </c>
      <c r="X758" s="1189"/>
      <c r="Y758" s="106"/>
      <c r="Z758" s="698"/>
      <c r="AA758" s="698">
        <f>ROUND((Y758+Z758),0)</f>
        <v>0</v>
      </c>
      <c r="AB758" s="253"/>
      <c r="AC758" s="106"/>
      <c r="AD758" s="253"/>
      <c r="AE758" s="106"/>
      <c r="AF758" s="106">
        <f>AA758+AC758-AE758</f>
        <v>0</v>
      </c>
      <c r="AG758" s="106"/>
      <c r="AH758" s="208"/>
      <c r="AI758" s="14">
        <v>-10609502</v>
      </c>
      <c r="AJ758" s="947"/>
      <c r="AK758" s="947"/>
      <c r="AL758" s="667"/>
      <c r="AM758" s="14"/>
      <c r="AN758" s="14"/>
      <c r="AO758" s="14">
        <f>ROUND((AM758+AN758),0)</f>
        <v>0</v>
      </c>
      <c r="AP758" s="437"/>
      <c r="AQ758" s="14"/>
      <c r="AR758" s="437"/>
      <c r="AS758" s="14"/>
      <c r="AT758" s="14">
        <f>AO758+AQ758-AS758</f>
        <v>0</v>
      </c>
      <c r="AU758" s="37"/>
      <c r="AV758" s="14"/>
      <c r="AW758" s="14"/>
      <c r="AX758" s="14">
        <f>ROUND((AV758+AW758),0)</f>
        <v>0</v>
      </c>
      <c r="AY758" s="437"/>
      <c r="AZ758" s="14"/>
      <c r="BA758" s="437"/>
      <c r="BB758" s="14"/>
      <c r="BC758" s="14">
        <f>AX758+AZ758-BB758</f>
        <v>0</v>
      </c>
      <c r="BD758" s="14"/>
      <c r="BE758" s="128"/>
      <c r="BF758" s="220">
        <v>311151073</v>
      </c>
      <c r="BG758" s="37">
        <f>BF758*22%</f>
        <v>68453236.060000002</v>
      </c>
      <c r="BH758" s="220">
        <v>21039938</v>
      </c>
      <c r="BI758" s="36"/>
    </row>
    <row r="759" spans="2:61" s="1" customFormat="1">
      <c r="B759" s="19"/>
      <c r="C759" s="19" t="s">
        <v>1045</v>
      </c>
      <c r="D759" s="1366">
        <f>D758</f>
        <v>51631304</v>
      </c>
      <c r="E759" s="1366">
        <f>E758</f>
        <v>29507139</v>
      </c>
      <c r="F759" s="1365">
        <f t="shared" si="471"/>
        <v>81138443</v>
      </c>
      <c r="G759" s="1365">
        <f t="shared" si="470"/>
        <v>0</v>
      </c>
      <c r="H759" s="1366">
        <f>H758</f>
        <v>81138443</v>
      </c>
      <c r="I759" s="1942"/>
      <c r="J759" s="1366"/>
      <c r="K759" s="1942"/>
      <c r="L759" s="1366"/>
      <c r="M759" s="1366">
        <f>M758</f>
        <v>81138443</v>
      </c>
      <c r="N759" s="2260"/>
      <c r="O759" s="1989"/>
      <c r="P759" s="1483">
        <f>P758</f>
        <v>0</v>
      </c>
      <c r="Q759" s="1366">
        <f>Q758</f>
        <v>0</v>
      </c>
      <c r="R759" s="1483">
        <f>R758</f>
        <v>0</v>
      </c>
      <c r="S759" s="1484"/>
      <c r="T759" s="1483"/>
      <c r="U759" s="1484"/>
      <c r="V759" s="1483"/>
      <c r="W759" s="1483">
        <f>W758</f>
        <v>0</v>
      </c>
      <c r="X759" s="1188"/>
      <c r="Y759" s="426">
        <f>Y758</f>
        <v>0</v>
      </c>
      <c r="Z759" s="706">
        <f>Z758</f>
        <v>0</v>
      </c>
      <c r="AA759" s="706">
        <f>AA758</f>
        <v>0</v>
      </c>
      <c r="AB759" s="601"/>
      <c r="AC759" s="223"/>
      <c r="AD759" s="601"/>
      <c r="AE759" s="223"/>
      <c r="AF759" s="426">
        <f>AF758</f>
        <v>0</v>
      </c>
      <c r="AG759" s="448"/>
      <c r="AH759" s="228"/>
      <c r="AI759" s="426">
        <f>AI758</f>
        <v>-10609502</v>
      </c>
      <c r="AJ759" s="964"/>
      <c r="AK759" s="964"/>
      <c r="AL759" s="668"/>
      <c r="AM759" s="448">
        <f>AM758</f>
        <v>0</v>
      </c>
      <c r="AN759" s="448">
        <f>AN758</f>
        <v>0</v>
      </c>
      <c r="AO759" s="448">
        <f>AO758</f>
        <v>0</v>
      </c>
      <c r="AP759" s="759"/>
      <c r="AQ759" s="448"/>
      <c r="AR759" s="759"/>
      <c r="AS759" s="448"/>
      <c r="AT759" s="448">
        <f>AT758</f>
        <v>0</v>
      </c>
      <c r="AU759" s="20"/>
      <c r="AV759" s="448">
        <f>AV758</f>
        <v>0</v>
      </c>
      <c r="AW759" s="448">
        <f>AW758</f>
        <v>0</v>
      </c>
      <c r="AX759" s="448">
        <f>AX758</f>
        <v>0</v>
      </c>
      <c r="AY759" s="759"/>
      <c r="AZ759" s="448"/>
      <c r="BA759" s="759"/>
      <c r="BB759" s="448"/>
      <c r="BC759" s="448">
        <f>BC758</f>
        <v>0</v>
      </c>
      <c r="BD759" s="53"/>
      <c r="BE759" s="28"/>
      <c r="BF759" s="426">
        <f>BF758</f>
        <v>311151073</v>
      </c>
      <c r="BG759" s="29"/>
      <c r="BH759" s="426">
        <f>BH758</f>
        <v>21039938</v>
      </c>
      <c r="BI759" s="36"/>
    </row>
    <row r="760" spans="2:61" s="1" customFormat="1">
      <c r="B760" s="2" t="s">
        <v>1037</v>
      </c>
      <c r="C760" s="2"/>
      <c r="D760" s="217"/>
      <c r="E760" s="217"/>
      <c r="F760" s="1365">
        <f t="shared" si="471"/>
        <v>0</v>
      </c>
      <c r="G760" s="1365">
        <f t="shared" si="470"/>
        <v>0</v>
      </c>
      <c r="H760" s="217"/>
      <c r="I760" s="1384"/>
      <c r="J760" s="217"/>
      <c r="K760" s="1384"/>
      <c r="L760" s="217"/>
      <c r="M760" s="217"/>
      <c r="N760" s="226"/>
      <c r="O760" s="1217"/>
      <c r="P760" s="1480"/>
      <c r="Q760" s="217"/>
      <c r="R760" s="1480"/>
      <c r="S760" s="1481"/>
      <c r="T760" s="1480"/>
      <c r="U760" s="1481"/>
      <c r="V760" s="1480"/>
      <c r="W760" s="1480"/>
      <c r="X760" s="1186"/>
      <c r="Y760" s="118"/>
      <c r="Z760" s="705"/>
      <c r="AA760" s="705"/>
      <c r="AB760" s="253"/>
      <c r="AC760" s="118"/>
      <c r="AD760" s="253"/>
      <c r="AE760" s="118"/>
      <c r="AF760" s="118"/>
      <c r="AG760" s="118"/>
      <c r="AH760" s="209"/>
      <c r="AI760" s="942"/>
      <c r="AJ760" s="942"/>
      <c r="AK760" s="942"/>
      <c r="AL760" s="667"/>
      <c r="AM760" s="9"/>
      <c r="AN760" s="9"/>
      <c r="AO760" s="9"/>
      <c r="AP760" s="769"/>
      <c r="AQ760" s="9"/>
      <c r="AR760" s="769"/>
      <c r="AS760" s="9"/>
      <c r="AT760" s="9"/>
      <c r="AU760" s="37"/>
      <c r="AV760" s="9"/>
      <c r="AW760" s="9"/>
      <c r="AX760" s="9"/>
      <c r="AY760" s="769"/>
      <c r="AZ760" s="9"/>
      <c r="BA760" s="769"/>
      <c r="BB760" s="9"/>
      <c r="BC760" s="9"/>
      <c r="BD760" s="14"/>
      <c r="BE760" s="128"/>
      <c r="BF760" s="219"/>
      <c r="BG760" s="29"/>
      <c r="BH760" s="219"/>
      <c r="BI760" s="36"/>
    </row>
    <row r="761" spans="2:61" s="1" customFormat="1">
      <c r="B761" s="30"/>
      <c r="C761" s="13" t="s">
        <v>1046</v>
      </c>
      <c r="D761" s="1367">
        <f>-11358886.88</f>
        <v>-11358886.880000001</v>
      </c>
      <c r="E761" s="1367">
        <f>ROUND(-6491570.58,0)</f>
        <v>-6491571</v>
      </c>
      <c r="F761" s="1365">
        <f t="shared" si="471"/>
        <v>-17850457.880000003</v>
      </c>
      <c r="G761" s="1365">
        <f t="shared" si="470"/>
        <v>0.11999999731779099</v>
      </c>
      <c r="H761" s="1367">
        <f>ROUND((D761+E761),0)</f>
        <v>-17850458</v>
      </c>
      <c r="I761" s="1384"/>
      <c r="J761" s="1367"/>
      <c r="K761" s="1384"/>
      <c r="L761" s="1367"/>
      <c r="M761" s="1367">
        <f>H761+J761-L761</f>
        <v>-17850458</v>
      </c>
      <c r="N761" s="1967"/>
      <c r="O761" s="1057"/>
      <c r="P761" s="1485"/>
      <c r="Q761" s="1367"/>
      <c r="R761" s="1485">
        <f>ROUND((P761+Q761),0)</f>
        <v>0</v>
      </c>
      <c r="S761" s="1481"/>
      <c r="T761" s="1485"/>
      <c r="U761" s="1481"/>
      <c r="V761" s="1485"/>
      <c r="W761" s="1485">
        <f>R761+T761-V761</f>
        <v>0</v>
      </c>
      <c r="X761" s="1189"/>
      <c r="Y761" s="106"/>
      <c r="Z761" s="698"/>
      <c r="AA761" s="698">
        <f>ROUND((Y761+Z761),0)</f>
        <v>0</v>
      </c>
      <c r="AB761" s="253"/>
      <c r="AC761" s="106"/>
      <c r="AD761" s="253"/>
      <c r="AE761" s="106"/>
      <c r="AF761" s="106">
        <f>AA761+AC761-AE761</f>
        <v>0</v>
      </c>
      <c r="AG761" s="106"/>
      <c r="AH761" s="208"/>
      <c r="AI761" s="14">
        <v>-2334090</v>
      </c>
      <c r="AJ761" s="947"/>
      <c r="AK761" s="947"/>
      <c r="AL761" s="667"/>
      <c r="AM761" s="14"/>
      <c r="AN761" s="14"/>
      <c r="AO761" s="14">
        <f>ROUND((AM761+AN761),0)</f>
        <v>0</v>
      </c>
      <c r="AP761" s="437"/>
      <c r="AQ761" s="14"/>
      <c r="AR761" s="437"/>
      <c r="AS761" s="14"/>
      <c r="AT761" s="14">
        <f>AO761+AQ761-AS761</f>
        <v>0</v>
      </c>
      <c r="AU761" s="37"/>
      <c r="AV761" s="14"/>
      <c r="AW761" s="14"/>
      <c r="AX761" s="14">
        <f>ROUND((AV761+AW761),0)</f>
        <v>0</v>
      </c>
      <c r="AY761" s="437"/>
      <c r="AZ761" s="14"/>
      <c r="BA761" s="437"/>
      <c r="BB761" s="14"/>
      <c r="BC761" s="14">
        <f>AX761+AZ761-BB761</f>
        <v>0</v>
      </c>
      <c r="BD761" s="14"/>
      <c r="BE761" s="128"/>
      <c r="BF761" s="220">
        <v>68453236</v>
      </c>
      <c r="BG761" s="29"/>
      <c r="BH761" s="220">
        <v>4628786</v>
      </c>
      <c r="BI761" s="36"/>
    </row>
    <row r="762" spans="2:61" s="1" customFormat="1">
      <c r="B762" s="19"/>
      <c r="C762" s="19" t="s">
        <v>1042</v>
      </c>
      <c r="D762" s="1366">
        <f>D761</f>
        <v>-11358886.880000001</v>
      </c>
      <c r="E762" s="1366">
        <f>E761</f>
        <v>-6491571</v>
      </c>
      <c r="F762" s="1365">
        <f t="shared" si="471"/>
        <v>-17850457.880000003</v>
      </c>
      <c r="G762" s="1365">
        <f t="shared" si="470"/>
        <v>0.11999999731779099</v>
      </c>
      <c r="H762" s="1366">
        <f>H761</f>
        <v>-17850458</v>
      </c>
      <c r="I762" s="1942"/>
      <c r="J762" s="1366"/>
      <c r="K762" s="1942"/>
      <c r="L762" s="1366"/>
      <c r="M762" s="1366">
        <f>M761</f>
        <v>-17850458</v>
      </c>
      <c r="N762" s="2260"/>
      <c r="O762" s="1989"/>
      <c r="P762" s="1483">
        <f>P761</f>
        <v>0</v>
      </c>
      <c r="Q762" s="1366">
        <f>Q761</f>
        <v>0</v>
      </c>
      <c r="R762" s="1483">
        <f>R761</f>
        <v>0</v>
      </c>
      <c r="S762" s="1484"/>
      <c r="T762" s="1483"/>
      <c r="U762" s="1484"/>
      <c r="V762" s="1483"/>
      <c r="W762" s="1483">
        <f>W761</f>
        <v>0</v>
      </c>
      <c r="X762" s="1188"/>
      <c r="Y762" s="426">
        <f>Y761</f>
        <v>0</v>
      </c>
      <c r="Z762" s="706">
        <f>Z761</f>
        <v>0</v>
      </c>
      <c r="AA762" s="706">
        <f>AA761</f>
        <v>0</v>
      </c>
      <c r="AB762" s="601"/>
      <c r="AC762" s="223"/>
      <c r="AD762" s="601"/>
      <c r="AE762" s="223"/>
      <c r="AF762" s="426">
        <f>AF761</f>
        <v>0</v>
      </c>
      <c r="AG762" s="448"/>
      <c r="AH762" s="228"/>
      <c r="AI762" s="937">
        <f>AI761</f>
        <v>-2334090</v>
      </c>
      <c r="AJ762" s="964"/>
      <c r="AK762" s="964"/>
      <c r="AL762" s="668"/>
      <c r="AM762" s="448">
        <f>AM761</f>
        <v>0</v>
      </c>
      <c r="AN762" s="448">
        <f>AN761</f>
        <v>0</v>
      </c>
      <c r="AO762" s="448">
        <f>AO761</f>
        <v>0</v>
      </c>
      <c r="AP762" s="759"/>
      <c r="AQ762" s="448"/>
      <c r="AR762" s="759"/>
      <c r="AS762" s="448"/>
      <c r="AT762" s="448">
        <f>AT761</f>
        <v>0</v>
      </c>
      <c r="AU762" s="20"/>
      <c r="AV762" s="448">
        <f>AV761</f>
        <v>0</v>
      </c>
      <c r="AW762" s="448">
        <f>AW761</f>
        <v>0</v>
      </c>
      <c r="AX762" s="448">
        <f>AX761</f>
        <v>0</v>
      </c>
      <c r="AY762" s="759"/>
      <c r="AZ762" s="448"/>
      <c r="BA762" s="759"/>
      <c r="BB762" s="448"/>
      <c r="BC762" s="448">
        <f>BC761</f>
        <v>0</v>
      </c>
      <c r="BD762" s="53"/>
      <c r="BE762" s="28"/>
      <c r="BF762" s="426">
        <f>BF761</f>
        <v>68453236</v>
      </c>
      <c r="BG762" s="29"/>
      <c r="BH762" s="426">
        <f>BH761</f>
        <v>4628786</v>
      </c>
      <c r="BI762" s="36"/>
    </row>
    <row r="763" spans="2:61" s="1" customFormat="1">
      <c r="B763" s="30"/>
      <c r="C763" s="13"/>
      <c r="D763" s="1367"/>
      <c r="E763" s="1367"/>
      <c r="F763" s="1365">
        <f t="shared" si="471"/>
        <v>0</v>
      </c>
      <c r="G763" s="1365">
        <f t="shared" si="470"/>
        <v>0</v>
      </c>
      <c r="H763" s="1367"/>
      <c r="I763" s="1384"/>
      <c r="J763" s="1367"/>
      <c r="K763" s="1384"/>
      <c r="L763" s="1367"/>
      <c r="M763" s="1367"/>
      <c r="N763" s="1967"/>
      <c r="O763" s="1057"/>
      <c r="P763" s="1485"/>
      <c r="Q763" s="1367"/>
      <c r="R763" s="1485"/>
      <c r="S763" s="1481"/>
      <c r="T763" s="1485"/>
      <c r="U763" s="1481"/>
      <c r="V763" s="1485"/>
      <c r="W763" s="1485"/>
      <c r="X763" s="1189"/>
      <c r="Y763" s="9"/>
      <c r="Z763" s="754"/>
      <c r="AA763" s="754"/>
      <c r="AB763" s="253"/>
      <c r="AC763" s="106"/>
      <c r="AD763" s="253"/>
      <c r="AE763" s="106"/>
      <c r="AF763" s="9"/>
      <c r="AG763" s="9"/>
      <c r="AH763" s="208"/>
      <c r="AI763" s="942"/>
      <c r="AJ763" s="942"/>
      <c r="AK763" s="942"/>
      <c r="AL763" s="667"/>
      <c r="AM763" s="9"/>
      <c r="AN763" s="9"/>
      <c r="AO763" s="9"/>
      <c r="AP763" s="769"/>
      <c r="AQ763" s="9"/>
      <c r="AR763" s="769"/>
      <c r="AS763" s="9"/>
      <c r="AT763" s="9"/>
      <c r="AU763" s="37"/>
      <c r="AV763" s="9"/>
      <c r="AW763" s="9"/>
      <c r="AX763" s="9"/>
      <c r="AY763" s="769"/>
      <c r="AZ763" s="9"/>
      <c r="BA763" s="769"/>
      <c r="BB763" s="9"/>
      <c r="BC763" s="9"/>
      <c r="BD763" s="14"/>
      <c r="BE763" s="128"/>
      <c r="BF763" s="9"/>
      <c r="BG763" s="29"/>
      <c r="BH763" s="9"/>
      <c r="BI763" s="36"/>
    </row>
    <row r="764" spans="2:61" s="1" customFormat="1">
      <c r="B764" s="151"/>
      <c r="C764" s="151" t="s">
        <v>1047</v>
      </c>
      <c r="D764" s="1406">
        <f>D756+D759+D762</f>
        <v>236285359.96050847</v>
      </c>
      <c r="E764" s="1406">
        <f>E756+E759+E762</f>
        <v>175738832.33837891</v>
      </c>
      <c r="F764" s="1365">
        <f t="shared" si="471"/>
        <v>412024192.29888737</v>
      </c>
      <c r="G764" s="1365">
        <f t="shared" si="470"/>
        <v>0.65887272357940674</v>
      </c>
      <c r="H764" s="1406">
        <f>H756+H759+H762</f>
        <v>412024191.64001465</v>
      </c>
      <c r="I764" s="1951"/>
      <c r="J764" s="1406"/>
      <c r="K764" s="1951"/>
      <c r="L764" s="1406"/>
      <c r="M764" s="1406">
        <f>M756+M759+M762</f>
        <v>412024189</v>
      </c>
      <c r="N764" s="2276"/>
      <c r="O764" s="2023"/>
      <c r="P764" s="1554">
        <f>P756+P759+P762</f>
        <v>911387444.55999756</v>
      </c>
      <c r="Q764" s="1406">
        <f>Q756+Q759+Q762</f>
        <v>773987645</v>
      </c>
      <c r="R764" s="1554">
        <f>R756+R759+R762</f>
        <v>1685375090</v>
      </c>
      <c r="S764" s="1512"/>
      <c r="T764" s="1554"/>
      <c r="U764" s="1512"/>
      <c r="V764" s="1554"/>
      <c r="W764" s="1554">
        <f>W756+W759+W762</f>
        <v>1685375090</v>
      </c>
      <c r="X764" s="1219"/>
      <c r="Y764" s="454">
        <f>Y756+Y759+Y762</f>
        <v>371769194</v>
      </c>
      <c r="Z764" s="755">
        <f>Z756+Z759+Z762</f>
        <v>500150265</v>
      </c>
      <c r="AA764" s="755">
        <f>AA756+AA759+AA762</f>
        <v>871919459</v>
      </c>
      <c r="AB764" s="607"/>
      <c r="AC764" s="297"/>
      <c r="AD764" s="607"/>
      <c r="AE764" s="297"/>
      <c r="AF764" s="454">
        <f>AF756+AF759+AF762</f>
        <v>871919459</v>
      </c>
      <c r="AG764" s="435"/>
      <c r="AH764" s="298"/>
      <c r="AI764" s="954">
        <f>AI756+AI759+AI762</f>
        <v>1732507809</v>
      </c>
      <c r="AJ764" s="940"/>
      <c r="AK764" s="940"/>
      <c r="AL764" s="677"/>
      <c r="AM764" s="435">
        <f>AM756+AM759+AM762</f>
        <v>505176481</v>
      </c>
      <c r="AN764" s="435">
        <f>AN756+AN759+AN762</f>
        <v>308115790</v>
      </c>
      <c r="AO764" s="435">
        <f>AO756+AO759+AO762</f>
        <v>813292271</v>
      </c>
      <c r="AP764" s="768"/>
      <c r="AQ764" s="435"/>
      <c r="AR764" s="768"/>
      <c r="AS764" s="435"/>
      <c r="AT764" s="435">
        <f>AT756+AT759+AT762</f>
        <v>813292271</v>
      </c>
      <c r="AU764" s="64"/>
      <c r="AV764" s="435">
        <f>AV756+AV759+AV762</f>
        <v>370834935</v>
      </c>
      <c r="AW764" s="435">
        <f>AW756+AW759+AW762</f>
        <v>474039580</v>
      </c>
      <c r="AX764" s="435">
        <f>AX756+AX759+AX762</f>
        <v>844874515</v>
      </c>
      <c r="AY764" s="768"/>
      <c r="AZ764" s="435"/>
      <c r="BA764" s="768"/>
      <c r="BB764" s="435"/>
      <c r="BC764" s="435">
        <f>BC756+BC759+BC762</f>
        <v>844874515</v>
      </c>
      <c r="BD764" s="1154"/>
      <c r="BE764" s="63"/>
      <c r="BF764" s="454">
        <f>BF756+BF759+BF762</f>
        <v>6617659551</v>
      </c>
      <c r="BG764" s="29"/>
      <c r="BH764" s="454">
        <f>BH756+BH759+BH762</f>
        <v>5705506099</v>
      </c>
      <c r="BI764" s="36"/>
    </row>
    <row r="765" spans="2:61">
      <c r="G765" s="1365">
        <f t="shared" si="470"/>
        <v>0</v>
      </c>
      <c r="Q765" s="299">
        <v>911387442.45317078</v>
      </c>
      <c r="BI765" s="53"/>
    </row>
    <row r="766" spans="2:61">
      <c r="AL766" s="455"/>
      <c r="AN766" s="455"/>
      <c r="AO766" s="455"/>
      <c r="AP766" s="1938"/>
      <c r="AQ766" s="455"/>
      <c r="AR766" s="1938"/>
      <c r="AS766" s="455"/>
      <c r="AT766" s="455"/>
      <c r="AU766" s="455"/>
      <c r="AV766" s="455"/>
      <c r="AW766" s="455"/>
      <c r="AX766" s="455"/>
      <c r="AY766" s="1938"/>
      <c r="AZ766" s="455"/>
      <c r="BA766" s="1938"/>
      <c r="BB766" s="455"/>
      <c r="BC766" s="455"/>
      <c r="BD766" s="455"/>
      <c r="BI766" s="53"/>
    </row>
    <row r="767" spans="2:61">
      <c r="BI767" s="53"/>
    </row>
    <row r="768" spans="2:61">
      <c r="AL768" s="455"/>
      <c r="AN768" s="455"/>
      <c r="AO768" s="455"/>
      <c r="AP768" s="1938"/>
      <c r="AQ768" s="455"/>
      <c r="AR768" s="1938"/>
      <c r="AS768" s="455"/>
      <c r="AT768" s="455"/>
      <c r="AU768" s="455"/>
      <c r="AV768" s="455"/>
      <c r="AW768" s="455"/>
      <c r="AX768" s="455"/>
      <c r="AY768" s="1938"/>
      <c r="AZ768" s="455"/>
      <c r="BA768" s="1938"/>
      <c r="BB768" s="455"/>
      <c r="BC768" s="455"/>
      <c r="BD768" s="455"/>
      <c r="BI768" s="53"/>
    </row>
  </sheetData>
  <mergeCells count="7">
    <mergeCell ref="B8:B9"/>
    <mergeCell ref="C8:C9"/>
    <mergeCell ref="AB8:AE8"/>
    <mergeCell ref="AY8:BB8"/>
    <mergeCell ref="S8:V8"/>
    <mergeCell ref="AP8:AS8"/>
    <mergeCell ref="I8:L8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1B5-2277-4236-9B34-75A44C08A607}">
  <dimension ref="C5:N82"/>
  <sheetViews>
    <sheetView workbookViewId="0">
      <selection activeCell="D9" sqref="D9"/>
    </sheetView>
  </sheetViews>
  <sheetFormatPr defaultRowHeight="14.45"/>
  <cols>
    <col min="3" max="3" width="40.42578125" customWidth="1"/>
    <col min="4" max="4" width="16.42578125" bestFit="1" customWidth="1"/>
    <col min="5" max="5" width="2.42578125" customWidth="1"/>
    <col min="6" max="6" width="14.5703125" bestFit="1" customWidth="1"/>
    <col min="7" max="8" width="12.42578125" bestFit="1" customWidth="1"/>
    <col min="9" max="9" width="13.5703125" bestFit="1" customWidth="1"/>
    <col min="10" max="10" width="18.5703125" bestFit="1" customWidth="1"/>
    <col min="13" max="14" width="12.42578125" bestFit="1" customWidth="1"/>
  </cols>
  <sheetData>
    <row r="5" spans="3:14">
      <c r="D5" s="632">
        <v>2024</v>
      </c>
      <c r="E5" s="628"/>
      <c r="F5" s="632">
        <v>2023</v>
      </c>
    </row>
    <row r="7" spans="3:14">
      <c r="C7" t="s">
        <v>323</v>
      </c>
      <c r="D7" s="2120">
        <f>F16</f>
        <v>6654137321</v>
      </c>
      <c r="E7" s="2120"/>
      <c r="F7" s="2120">
        <v>6056351464</v>
      </c>
    </row>
    <row r="8" spans="3:14">
      <c r="C8" t="s">
        <v>324</v>
      </c>
      <c r="D8" s="2120"/>
      <c r="E8" s="2120"/>
      <c r="F8" s="2120"/>
    </row>
    <row r="9" spans="3:14">
      <c r="C9" t="s">
        <v>325</v>
      </c>
      <c r="D9" s="2120">
        <f>I13+I14</f>
        <v>593613940</v>
      </c>
      <c r="E9" s="2120"/>
      <c r="F9" s="2120">
        <v>592555438</v>
      </c>
    </row>
    <row r="10" spans="3:14">
      <c r="C10" t="s">
        <v>326</v>
      </c>
      <c r="D10" s="2120"/>
      <c r="E10" s="2120"/>
      <c r="F10" s="2120"/>
    </row>
    <row r="11" spans="3:14">
      <c r="C11" t="s">
        <v>327</v>
      </c>
      <c r="D11" s="2120"/>
      <c r="E11" s="2120"/>
      <c r="F11" s="2120"/>
    </row>
    <row r="12" spans="3:14">
      <c r="C12" t="s">
        <v>328</v>
      </c>
      <c r="D12" s="2120">
        <f>I16</f>
        <v>-29507139</v>
      </c>
      <c r="E12" s="2120"/>
      <c r="F12" s="2120">
        <v>5230419</v>
      </c>
      <c r="I12" s="593">
        <f>F16</f>
        <v>6654137321</v>
      </c>
      <c r="J12" t="s">
        <v>329</v>
      </c>
      <c r="K12" t="s">
        <v>330</v>
      </c>
    </row>
    <row r="13" spans="3:14">
      <c r="C13" t="s">
        <v>331</v>
      </c>
      <c r="D13" s="2120"/>
      <c r="E13" s="2120"/>
      <c r="F13" s="2120"/>
      <c r="I13" s="593">
        <v>147786739</v>
      </c>
      <c r="J13" t="s">
        <v>332</v>
      </c>
      <c r="K13" t="s">
        <v>333</v>
      </c>
      <c r="M13" s="593">
        <f>I13+I14</f>
        <v>593613940</v>
      </c>
      <c r="N13" s="593">
        <f>M13*22%</f>
        <v>130595066.8</v>
      </c>
    </row>
    <row r="14" spans="3:14">
      <c r="C14" t="s">
        <v>334</v>
      </c>
      <c r="D14" s="2211"/>
      <c r="E14" s="2120"/>
      <c r="F14" s="2211">
        <v>0</v>
      </c>
      <c r="I14" s="593">
        <v>445827201</v>
      </c>
      <c r="J14" t="s">
        <v>335</v>
      </c>
      <c r="K14" t="s">
        <v>333</v>
      </c>
      <c r="M14" s="1093">
        <f>I16</f>
        <v>-29507139</v>
      </c>
      <c r="N14" s="1093">
        <f>M14*22%</f>
        <v>-6491570.5800000001</v>
      </c>
    </row>
    <row r="15" spans="3:14" ht="9" customHeight="1">
      <c r="D15" s="2120"/>
      <c r="E15" s="2120"/>
      <c r="F15" s="2120"/>
    </row>
    <row r="16" spans="3:14">
      <c r="C16" s="342" t="s">
        <v>336</v>
      </c>
      <c r="D16" s="2213">
        <f>SUM(D7:D14)</f>
        <v>7218244122</v>
      </c>
      <c r="E16" s="2120"/>
      <c r="F16" s="2213">
        <f>SUM(F7:F14)</f>
        <v>6654137321</v>
      </c>
      <c r="I16" s="1092">
        <v>-29507139</v>
      </c>
      <c r="J16" t="s">
        <v>337</v>
      </c>
      <c r="K16" t="s">
        <v>338</v>
      </c>
    </row>
    <row r="18" spans="3:11">
      <c r="I18" s="593">
        <f>SUM(I12:I16)</f>
        <v>7218244122</v>
      </c>
      <c r="J18" t="s">
        <v>339</v>
      </c>
      <c r="K18" t="s">
        <v>330</v>
      </c>
    </row>
    <row r="19" spans="3:11">
      <c r="C19" s="342" t="s">
        <v>340</v>
      </c>
    </row>
    <row r="20" spans="3:11">
      <c r="I20" t="s">
        <v>341</v>
      </c>
    </row>
    <row r="21" spans="3:11">
      <c r="D21" s="632">
        <v>2024</v>
      </c>
      <c r="E21" s="628"/>
      <c r="F21" s="632">
        <v>2023</v>
      </c>
      <c r="I21" s="593">
        <f>I14+I13</f>
        <v>593613940</v>
      </c>
      <c r="J21" t="s">
        <v>342</v>
      </c>
    </row>
    <row r="22" spans="3:11">
      <c r="J22" s="1093">
        <f>I16</f>
        <v>-29507139</v>
      </c>
      <c r="K22" t="s">
        <v>343</v>
      </c>
    </row>
    <row r="23" spans="3:11">
      <c r="C23" t="s">
        <v>332</v>
      </c>
      <c r="D23" s="2120">
        <v>147786739</v>
      </c>
      <c r="E23" s="2120"/>
      <c r="F23" s="2120">
        <v>150441781</v>
      </c>
      <c r="G23" s="593">
        <v>255179128</v>
      </c>
      <c r="H23" s="593">
        <f>G23-F23</f>
        <v>104737347</v>
      </c>
      <c r="J23" s="593">
        <f>I21+J22</f>
        <v>564106801</v>
      </c>
    </row>
    <row r="24" spans="3:11">
      <c r="C24" t="s">
        <v>335</v>
      </c>
      <c r="D24" s="2120">
        <v>445827201</v>
      </c>
      <c r="E24" s="2120"/>
      <c r="F24" s="2120">
        <v>442113657</v>
      </c>
      <c r="G24" s="593">
        <v>616959638</v>
      </c>
      <c r="H24" s="593">
        <f>G24-F24</f>
        <v>174845981</v>
      </c>
    </row>
    <row r="25" spans="3:11">
      <c r="C25" t="s">
        <v>344</v>
      </c>
      <c r="D25" s="2120">
        <v>0</v>
      </c>
      <c r="E25" s="2120"/>
      <c r="F25" s="2120">
        <v>0</v>
      </c>
    </row>
    <row r="26" spans="3:11">
      <c r="C26" t="s">
        <v>345</v>
      </c>
      <c r="D26" s="2120">
        <v>0</v>
      </c>
      <c r="E26" s="2120"/>
      <c r="F26" s="2120">
        <v>0</v>
      </c>
    </row>
    <row r="27" spans="3:11">
      <c r="C27" t="s">
        <v>331</v>
      </c>
      <c r="D27" s="2120"/>
      <c r="E27" s="2120"/>
      <c r="F27" s="2120"/>
    </row>
    <row r="28" spans="3:11">
      <c r="C28" t="s">
        <v>334</v>
      </c>
      <c r="D28" s="2211">
        <v>0</v>
      </c>
      <c r="E28" s="2120"/>
      <c r="F28" s="2211">
        <v>0</v>
      </c>
    </row>
    <row r="29" spans="3:11" ht="3.6" customHeight="1">
      <c r="D29" s="2120"/>
      <c r="E29" s="2120"/>
      <c r="F29" s="2120"/>
    </row>
    <row r="30" spans="3:11">
      <c r="C30" t="s">
        <v>346</v>
      </c>
      <c r="D30" s="2213">
        <f>SUM(D23:D28)</f>
        <v>593613940</v>
      </c>
      <c r="E30" s="2120"/>
      <c r="F30" s="2213">
        <f>SUM(F23:F28)</f>
        <v>592555438</v>
      </c>
    </row>
    <row r="33" spans="3:6">
      <c r="C33" s="342" t="s">
        <v>347</v>
      </c>
    </row>
    <row r="35" spans="3:6">
      <c r="C35" s="2393">
        <v>2024</v>
      </c>
      <c r="D35" s="2393"/>
      <c r="E35" s="2393"/>
      <c r="F35" s="2393"/>
    </row>
    <row r="36" spans="3:6">
      <c r="C36" s="628"/>
      <c r="D36" s="628" t="s">
        <v>348</v>
      </c>
      <c r="E36" s="628"/>
      <c r="F36" s="628"/>
    </row>
    <row r="37" spans="3:6">
      <c r="C37" s="628"/>
      <c r="D37" s="628" t="s">
        <v>349</v>
      </c>
      <c r="E37" s="628"/>
      <c r="F37" s="628" t="s">
        <v>350</v>
      </c>
    </row>
    <row r="38" spans="3:6">
      <c r="C38" s="628"/>
      <c r="D38" s="628" t="s">
        <v>351</v>
      </c>
      <c r="E38" s="628"/>
      <c r="F38" s="628" t="s">
        <v>352</v>
      </c>
    </row>
    <row r="39" spans="3:6">
      <c r="C39" s="628"/>
      <c r="D39" s="628" t="s">
        <v>353</v>
      </c>
      <c r="E39" s="628"/>
      <c r="F39" s="628" t="s">
        <v>354</v>
      </c>
    </row>
    <row r="40" spans="3:6">
      <c r="C40" s="632" t="s">
        <v>355</v>
      </c>
      <c r="D40" s="632" t="s">
        <v>187</v>
      </c>
      <c r="E40" s="628"/>
      <c r="F40" s="632" t="s">
        <v>356</v>
      </c>
    </row>
    <row r="41" spans="3:6" ht="7.35" customHeight="1"/>
    <row r="42" spans="3:6">
      <c r="C42" t="s">
        <v>357</v>
      </c>
      <c r="D42" s="2120">
        <v>7218244122</v>
      </c>
      <c r="E42" s="2120"/>
      <c r="F42" s="2120">
        <v>147786739</v>
      </c>
    </row>
    <row r="43" spans="3:6">
      <c r="C43" t="s">
        <v>358</v>
      </c>
      <c r="D43" s="2120">
        <v>7293596629</v>
      </c>
      <c r="E43" s="2120"/>
      <c r="F43" s="2120">
        <v>164097344</v>
      </c>
    </row>
    <row r="44" spans="3:6">
      <c r="C44" t="s">
        <v>359</v>
      </c>
      <c r="D44" s="2120">
        <v>7153428883</v>
      </c>
      <c r="E44" s="2120"/>
      <c r="F44" s="2120">
        <v>133678787</v>
      </c>
    </row>
    <row r="47" spans="3:6">
      <c r="C47" s="2393">
        <v>2023</v>
      </c>
      <c r="D47" s="2393"/>
      <c r="E47" s="2393"/>
      <c r="F47" s="2393"/>
    </row>
    <row r="48" spans="3:6">
      <c r="C48" s="628"/>
      <c r="D48" s="628" t="s">
        <v>348</v>
      </c>
      <c r="E48" s="628"/>
      <c r="F48" s="628"/>
    </row>
    <row r="49" spans="3:8">
      <c r="C49" s="628"/>
      <c r="D49" s="628" t="s">
        <v>349</v>
      </c>
      <c r="E49" s="628"/>
      <c r="F49" s="628" t="s">
        <v>350</v>
      </c>
    </row>
    <row r="50" spans="3:8">
      <c r="C50" s="628"/>
      <c r="D50" s="628" t="s">
        <v>351</v>
      </c>
      <c r="E50" s="628"/>
      <c r="F50" s="628" t="s">
        <v>352</v>
      </c>
    </row>
    <row r="51" spans="3:8">
      <c r="C51" s="628"/>
      <c r="D51" s="628" t="s">
        <v>353</v>
      </c>
      <c r="E51" s="628"/>
      <c r="F51" s="628" t="s">
        <v>354</v>
      </c>
    </row>
    <row r="52" spans="3:8">
      <c r="C52" s="632" t="s">
        <v>355</v>
      </c>
      <c r="D52" s="632" t="s">
        <v>187</v>
      </c>
      <c r="E52" s="628"/>
      <c r="F52" s="632" t="s">
        <v>356</v>
      </c>
    </row>
    <row r="53" spans="3:8" ht="7.35" customHeight="1"/>
    <row r="54" spans="3:8">
      <c r="C54" t="s">
        <v>1048</v>
      </c>
      <c r="D54" s="2120">
        <v>6654137321</v>
      </c>
      <c r="E54" s="2120"/>
      <c r="F54" s="2120">
        <v>150441781</v>
      </c>
      <c r="G54" s="593"/>
      <c r="H54" s="593"/>
    </row>
    <row r="55" spans="3:8">
      <c r="C55" t="s">
        <v>358</v>
      </c>
      <c r="D55" s="2120">
        <v>6056351464</v>
      </c>
      <c r="E55" s="2120"/>
      <c r="F55" s="2120">
        <v>309479559</v>
      </c>
      <c r="G55" s="593"/>
      <c r="H55" s="593"/>
    </row>
    <row r="56" spans="3:8">
      <c r="C56" t="s">
        <v>359</v>
      </c>
      <c r="D56" s="2120">
        <v>5782998262</v>
      </c>
      <c r="E56" s="2120"/>
      <c r="F56" s="2120">
        <v>132634097</v>
      </c>
      <c r="G56" s="593"/>
      <c r="H56" s="593"/>
    </row>
    <row r="59" spans="3:8">
      <c r="C59" s="342" t="s">
        <v>360</v>
      </c>
    </row>
    <row r="61" spans="3:8">
      <c r="C61" s="2393">
        <v>2024</v>
      </c>
      <c r="D61" s="2393"/>
      <c r="E61" s="2393"/>
      <c r="F61" s="2393"/>
    </row>
    <row r="62" spans="3:8">
      <c r="C62" s="628"/>
      <c r="D62" s="628" t="s">
        <v>348</v>
      </c>
      <c r="E62" s="628"/>
      <c r="F62" s="628"/>
    </row>
    <row r="63" spans="3:8">
      <c r="C63" s="628"/>
      <c r="D63" s="628" t="s">
        <v>349</v>
      </c>
      <c r="E63" s="628"/>
      <c r="F63" s="628" t="s">
        <v>350</v>
      </c>
    </row>
    <row r="64" spans="3:8">
      <c r="C64" s="628"/>
      <c r="D64" s="628" t="s">
        <v>351</v>
      </c>
      <c r="E64" s="628"/>
      <c r="F64" s="628" t="s">
        <v>352</v>
      </c>
    </row>
    <row r="65" spans="3:6">
      <c r="C65" s="628"/>
      <c r="D65" s="628" t="s">
        <v>353</v>
      </c>
      <c r="E65" s="628"/>
      <c r="F65" s="628" t="s">
        <v>354</v>
      </c>
    </row>
    <row r="66" spans="3:6">
      <c r="C66" s="632" t="s">
        <v>355</v>
      </c>
      <c r="D66" s="632" t="s">
        <v>187</v>
      </c>
      <c r="E66" s="628"/>
      <c r="F66" s="632" t="s">
        <v>356</v>
      </c>
    </row>
    <row r="68" spans="3:6">
      <c r="C68" t="s">
        <v>357</v>
      </c>
      <c r="D68" s="2120">
        <v>7218244122</v>
      </c>
      <c r="E68" s="2120"/>
      <c r="F68" s="2120">
        <v>147786739</v>
      </c>
    </row>
    <row r="69" spans="3:6">
      <c r="C69" t="s">
        <v>361</v>
      </c>
      <c r="D69" s="2120">
        <v>7149083542</v>
      </c>
      <c r="E69" s="2120"/>
      <c r="F69" s="2120">
        <v>133542688</v>
      </c>
    </row>
    <row r="70" spans="3:6">
      <c r="C70" t="s">
        <v>362</v>
      </c>
      <c r="D70" s="2120">
        <v>7297770211</v>
      </c>
      <c r="E70" s="2120"/>
      <c r="F70" s="2120">
        <v>164951255</v>
      </c>
    </row>
    <row r="73" spans="3:6">
      <c r="C73" s="2393">
        <v>2023</v>
      </c>
      <c r="D73" s="2393"/>
      <c r="E73" s="2393"/>
      <c r="F73" s="2393"/>
    </row>
    <row r="74" spans="3:6">
      <c r="C74" s="628"/>
      <c r="D74" s="628" t="s">
        <v>348</v>
      </c>
      <c r="E74" s="628"/>
      <c r="F74" s="628"/>
    </row>
    <row r="75" spans="3:6">
      <c r="C75" s="628"/>
      <c r="D75" s="628" t="s">
        <v>349</v>
      </c>
      <c r="E75" s="628"/>
      <c r="F75" s="628" t="s">
        <v>350</v>
      </c>
    </row>
    <row r="76" spans="3:6">
      <c r="C76" s="628"/>
      <c r="D76" s="628" t="s">
        <v>351</v>
      </c>
      <c r="E76" s="628"/>
      <c r="F76" s="628" t="s">
        <v>352</v>
      </c>
    </row>
    <row r="77" spans="3:6">
      <c r="C77" s="628"/>
      <c r="D77" s="628" t="s">
        <v>353</v>
      </c>
      <c r="E77" s="628"/>
      <c r="F77" s="628" t="s">
        <v>354</v>
      </c>
    </row>
    <row r="78" spans="3:6">
      <c r="C78" s="632" t="s">
        <v>355</v>
      </c>
      <c r="D78" s="632" t="s">
        <v>187</v>
      </c>
      <c r="E78" s="628"/>
      <c r="F78" s="632" t="s">
        <v>356</v>
      </c>
    </row>
    <row r="80" spans="3:6">
      <c r="C80" t="s">
        <v>1049</v>
      </c>
      <c r="E80" s="2120"/>
      <c r="F80" s="2120"/>
    </row>
    <row r="81" spans="3:6">
      <c r="C81" t="s">
        <v>361</v>
      </c>
      <c r="D81" s="2120">
        <v>7254564686</v>
      </c>
      <c r="E81" s="2120"/>
      <c r="F81" s="2120">
        <v>168104932</v>
      </c>
    </row>
    <row r="82" spans="3:6">
      <c r="C82" t="s">
        <v>362</v>
      </c>
      <c r="D82" s="2120">
        <v>6128140154</v>
      </c>
      <c r="E82" s="2120"/>
      <c r="F82" s="2120">
        <v>135297010</v>
      </c>
    </row>
  </sheetData>
  <mergeCells count="4">
    <mergeCell ref="C35:F35"/>
    <mergeCell ref="C47:F47"/>
    <mergeCell ref="C61:F61"/>
    <mergeCell ref="C73:F7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B36F-4416-475D-9296-779298EC7E63}">
  <dimension ref="C5:K82"/>
  <sheetViews>
    <sheetView topLeftCell="A2" workbookViewId="0">
      <selection activeCell="G18" sqref="G18"/>
    </sheetView>
  </sheetViews>
  <sheetFormatPr defaultRowHeight="14.45"/>
  <cols>
    <col min="3" max="3" width="40.42578125" customWidth="1"/>
    <col min="4" max="4" width="17.42578125" bestFit="1" customWidth="1"/>
    <col min="5" max="5" width="2.42578125" customWidth="1"/>
    <col min="6" max="6" width="14.5703125" bestFit="1" customWidth="1"/>
    <col min="9" max="9" width="13.5703125" bestFit="1" customWidth="1"/>
    <col min="10" max="10" width="18.5703125" bestFit="1" customWidth="1"/>
  </cols>
  <sheetData>
    <row r="5" spans="3:11">
      <c r="D5" s="632">
        <v>2024</v>
      </c>
      <c r="E5" s="628"/>
      <c r="F5" s="632">
        <v>2023</v>
      </c>
    </row>
    <row r="7" spans="3:11">
      <c r="C7" t="s">
        <v>323</v>
      </c>
      <c r="D7" s="2120">
        <f>F16</f>
        <v>9301883257</v>
      </c>
      <c r="E7" s="2120"/>
      <c r="F7" s="2120">
        <v>8419134989</v>
      </c>
    </row>
    <row r="8" spans="3:11">
      <c r="C8" t="s">
        <v>324</v>
      </c>
      <c r="D8" s="2120"/>
      <c r="E8" s="2120"/>
      <c r="F8" s="2120"/>
    </row>
    <row r="9" spans="3:11">
      <c r="C9" t="s">
        <v>325</v>
      </c>
      <c r="D9" s="2120">
        <f>'IPK ISP'!D9+'IPK IAS'!D9</f>
        <v>883796658</v>
      </c>
      <c r="E9" s="2120"/>
      <c r="F9" s="2120">
        <v>872138766</v>
      </c>
      <c r="H9" s="210"/>
    </row>
    <row r="10" spans="3:11">
      <c r="C10" t="s">
        <v>326</v>
      </c>
      <c r="D10" s="2120"/>
      <c r="E10" s="2120"/>
      <c r="F10" s="2120"/>
    </row>
    <row r="11" spans="3:11">
      <c r="C11" t="s">
        <v>327</v>
      </c>
      <c r="D11" s="2120"/>
      <c r="E11" s="2120"/>
      <c r="F11" s="2120"/>
    </row>
    <row r="12" spans="3:11">
      <c r="C12" t="s">
        <v>328</v>
      </c>
      <c r="D12" s="2219">
        <f>'IPK ISP'!D12+'IPK IAS'!D12</f>
        <v>-81138443</v>
      </c>
      <c r="E12" s="2120"/>
      <c r="F12" s="2120">
        <v>0</v>
      </c>
      <c r="I12" s="593">
        <f>F16</f>
        <v>9301883257</v>
      </c>
      <c r="J12" t="s">
        <v>329</v>
      </c>
      <c r="K12" t="s">
        <v>330</v>
      </c>
    </row>
    <row r="13" spans="3:11">
      <c r="C13" t="s">
        <v>331</v>
      </c>
      <c r="D13" s="2120"/>
      <c r="E13" s="2120"/>
      <c r="F13" s="2120"/>
      <c r="I13" s="593">
        <v>147786739</v>
      </c>
      <c r="J13" t="s">
        <v>332</v>
      </c>
      <c r="K13" t="s">
        <v>333</v>
      </c>
    </row>
    <row r="14" spans="3:11">
      <c r="C14" t="s">
        <v>334</v>
      </c>
      <c r="D14" s="2211">
        <v>0</v>
      </c>
      <c r="E14" s="2120"/>
      <c r="F14" s="2211">
        <v>10609502</v>
      </c>
      <c r="I14" s="593">
        <v>445827201</v>
      </c>
      <c r="J14" t="s">
        <v>335</v>
      </c>
      <c r="K14" t="s">
        <v>333</v>
      </c>
    </row>
    <row r="15" spans="3:11" ht="9" customHeight="1">
      <c r="D15" s="2120"/>
      <c r="E15" s="2120"/>
      <c r="F15" s="2120"/>
    </row>
    <row r="16" spans="3:11">
      <c r="C16" s="342" t="s">
        <v>336</v>
      </c>
      <c r="D16" s="2213">
        <f>SUM(D7:D14)</f>
        <v>10104541472</v>
      </c>
      <c r="E16" s="2120"/>
      <c r="F16" s="2213">
        <f>SUM(F7:F14)</f>
        <v>9301883257</v>
      </c>
      <c r="I16" s="1092">
        <v>-29507139</v>
      </c>
      <c r="J16" t="s">
        <v>337</v>
      </c>
      <c r="K16" t="s">
        <v>338</v>
      </c>
    </row>
    <row r="17" spans="3:11">
      <c r="D17" s="2120">
        <f>'BS Konsol-Des 24'!G76</f>
        <v>10104541472</v>
      </c>
    </row>
    <row r="18" spans="3:11">
      <c r="D18" s="593">
        <f>D16-D17</f>
        <v>0</v>
      </c>
      <c r="I18" s="593">
        <f>SUM(I12:I16)</f>
        <v>9865990058</v>
      </c>
      <c r="J18" t="s">
        <v>339</v>
      </c>
      <c r="K18" t="s">
        <v>330</v>
      </c>
    </row>
    <row r="19" spans="3:11">
      <c r="C19" s="342" t="s">
        <v>340</v>
      </c>
    </row>
    <row r="20" spans="3:11">
      <c r="I20" t="s">
        <v>341</v>
      </c>
    </row>
    <row r="21" spans="3:11">
      <c r="D21" s="632">
        <v>2024</v>
      </c>
      <c r="E21" s="628"/>
      <c r="F21" s="632">
        <v>2023</v>
      </c>
      <c r="I21" s="593">
        <f>I14+I13</f>
        <v>593613940</v>
      </c>
      <c r="J21" t="s">
        <v>342</v>
      </c>
    </row>
    <row r="22" spans="3:11">
      <c r="J22" s="1093">
        <f>I16</f>
        <v>-29507139</v>
      </c>
      <c r="K22" t="s">
        <v>343</v>
      </c>
    </row>
    <row r="23" spans="3:11">
      <c r="C23" t="s">
        <v>332</v>
      </c>
      <c r="D23" s="2120">
        <f>'IPK IAS'!D23+'IPK ISP'!D23</f>
        <v>255274987</v>
      </c>
      <c r="E23" s="2120"/>
      <c r="F23" s="2120">
        <v>255179128</v>
      </c>
      <c r="J23" s="593">
        <f>I21+J22</f>
        <v>564106801</v>
      </c>
    </row>
    <row r="24" spans="3:11">
      <c r="C24" t="s">
        <v>335</v>
      </c>
      <c r="D24" s="2120">
        <f>'IPK IAS'!D24+'IPK ISP'!D24</f>
        <v>628521671</v>
      </c>
      <c r="E24" s="2120"/>
      <c r="F24" s="2120">
        <v>616959638</v>
      </c>
    </row>
    <row r="25" spans="3:11">
      <c r="C25" t="s">
        <v>344</v>
      </c>
      <c r="D25" s="2120">
        <v>0</v>
      </c>
      <c r="E25" s="2120"/>
      <c r="F25" s="2120">
        <v>0</v>
      </c>
    </row>
    <row r="26" spans="3:11">
      <c r="C26" t="s">
        <v>345</v>
      </c>
      <c r="D26" s="2120">
        <v>0</v>
      </c>
      <c r="E26" s="2120"/>
      <c r="F26" s="2120">
        <v>0</v>
      </c>
    </row>
    <row r="27" spans="3:11">
      <c r="C27" t="s">
        <v>331</v>
      </c>
      <c r="D27" s="2120"/>
      <c r="E27" s="2120"/>
      <c r="F27" s="2120"/>
    </row>
    <row r="28" spans="3:11">
      <c r="C28" t="s">
        <v>334</v>
      </c>
      <c r="D28" s="2211">
        <v>0</v>
      </c>
      <c r="E28" s="2120"/>
      <c r="F28" s="2211">
        <v>0</v>
      </c>
    </row>
    <row r="29" spans="3:11" ht="3.6" customHeight="1">
      <c r="D29" s="2120"/>
      <c r="E29" s="2120"/>
      <c r="F29" s="2120"/>
    </row>
    <row r="30" spans="3:11">
      <c r="C30" t="s">
        <v>346</v>
      </c>
      <c r="D30" s="2213">
        <f>SUM(D23:D28)</f>
        <v>883796658</v>
      </c>
      <c r="E30" s="2120"/>
      <c r="F30" s="2213">
        <f>SUM(F23:F28)</f>
        <v>872138766</v>
      </c>
    </row>
    <row r="33" spans="3:6">
      <c r="C33" s="342" t="s">
        <v>347</v>
      </c>
    </row>
    <row r="35" spans="3:6">
      <c r="C35" s="2393">
        <v>2024</v>
      </c>
      <c r="D35" s="2393"/>
      <c r="E35" s="2393"/>
      <c r="F35" s="2393"/>
    </row>
    <row r="36" spans="3:6">
      <c r="C36" s="628"/>
      <c r="D36" s="628" t="s">
        <v>348</v>
      </c>
      <c r="E36" s="628"/>
      <c r="F36" s="628"/>
    </row>
    <row r="37" spans="3:6">
      <c r="C37" s="628"/>
      <c r="D37" s="628" t="s">
        <v>349</v>
      </c>
      <c r="E37" s="628"/>
      <c r="F37" s="628" t="s">
        <v>350</v>
      </c>
    </row>
    <row r="38" spans="3:6">
      <c r="C38" s="628"/>
      <c r="D38" s="628" t="s">
        <v>351</v>
      </c>
      <c r="E38" s="628"/>
      <c r="F38" s="628" t="s">
        <v>352</v>
      </c>
    </row>
    <row r="39" spans="3:6">
      <c r="C39" s="628"/>
      <c r="D39" s="628" t="s">
        <v>353</v>
      </c>
      <c r="E39" s="628"/>
      <c r="F39" s="628" t="s">
        <v>354</v>
      </c>
    </row>
    <row r="40" spans="3:6">
      <c r="C40" s="632" t="s">
        <v>355</v>
      </c>
      <c r="D40" s="632" t="s">
        <v>187</v>
      </c>
      <c r="E40" s="628"/>
      <c r="F40" s="632" t="s">
        <v>356</v>
      </c>
    </row>
    <row r="41" spans="3:6" ht="7.35" customHeight="1"/>
    <row r="42" spans="3:6">
      <c r="C42" t="s">
        <v>357</v>
      </c>
      <c r="D42" s="2120">
        <f>'IPK IAS'!D42+'IPK ISP'!D42</f>
        <v>10104541472</v>
      </c>
      <c r="E42" s="2120"/>
      <c r="F42" s="2120">
        <f>'IPK IAS'!F42+'IPK ISP'!F42</f>
        <v>255274987</v>
      </c>
    </row>
    <row r="43" spans="3:6">
      <c r="C43" t="s">
        <v>358</v>
      </c>
      <c r="D43" s="2120">
        <f>'IPK IAS'!D43+'IPK ISP'!D43</f>
        <v>10518604249</v>
      </c>
      <c r="E43" s="2120"/>
      <c r="F43" s="2120">
        <f>'IPK IAS'!F43+'IPK ISP'!F43</f>
        <v>289761137</v>
      </c>
    </row>
    <row r="44" spans="3:6">
      <c r="C44" t="s">
        <v>359</v>
      </c>
      <c r="D44" s="2120">
        <f>'IPK IAS'!D44+'IPK ISP'!D44</f>
        <v>9749509778</v>
      </c>
      <c r="E44" s="2120"/>
      <c r="F44" s="2120">
        <f>'IPK IAS'!F44+'IPK ISP'!F44</f>
        <v>225938929</v>
      </c>
    </row>
    <row r="47" spans="3:6">
      <c r="C47" s="2393">
        <v>2023</v>
      </c>
      <c r="D47" s="2393"/>
      <c r="E47" s="2393"/>
      <c r="F47" s="2393"/>
    </row>
    <row r="48" spans="3:6">
      <c r="C48" s="628"/>
      <c r="D48" s="628" t="s">
        <v>348</v>
      </c>
      <c r="E48" s="628"/>
      <c r="F48" s="628"/>
    </row>
    <row r="49" spans="3:6">
      <c r="C49" s="628"/>
      <c r="D49" s="628" t="s">
        <v>349</v>
      </c>
      <c r="E49" s="628"/>
      <c r="F49" s="628" t="s">
        <v>350</v>
      </c>
    </row>
    <row r="50" spans="3:6">
      <c r="C50" s="628"/>
      <c r="D50" s="628" t="s">
        <v>351</v>
      </c>
      <c r="E50" s="628"/>
      <c r="F50" s="628" t="s">
        <v>352</v>
      </c>
    </row>
    <row r="51" spans="3:6">
      <c r="C51" s="628"/>
      <c r="D51" s="628" t="s">
        <v>353</v>
      </c>
      <c r="E51" s="628"/>
      <c r="F51" s="628" t="s">
        <v>354</v>
      </c>
    </row>
    <row r="52" spans="3:6">
      <c r="C52" s="632" t="s">
        <v>355</v>
      </c>
      <c r="D52" s="632" t="s">
        <v>187</v>
      </c>
      <c r="E52" s="628"/>
      <c r="F52" s="632" t="s">
        <v>356</v>
      </c>
    </row>
    <row r="53" spans="3:6" ht="7.35" customHeight="1"/>
    <row r="54" spans="3:6">
      <c r="C54" t="s">
        <v>1048</v>
      </c>
      <c r="D54" s="2120">
        <v>9301883257</v>
      </c>
      <c r="E54" s="2120"/>
      <c r="F54" s="2120">
        <v>255179128</v>
      </c>
    </row>
    <row r="55" spans="3:6">
      <c r="C55" t="s">
        <v>358</v>
      </c>
      <c r="D55" s="2120">
        <v>10300546683</v>
      </c>
      <c r="E55" s="2120"/>
      <c r="F55" s="2120">
        <v>291519996</v>
      </c>
    </row>
    <row r="56" spans="3:6">
      <c r="C56" t="s">
        <v>359</v>
      </c>
      <c r="D56" s="2120">
        <v>8437567711</v>
      </c>
      <c r="E56" s="2120"/>
      <c r="F56" s="2120">
        <v>224516602</v>
      </c>
    </row>
    <row r="59" spans="3:6">
      <c r="C59" s="342" t="s">
        <v>360</v>
      </c>
    </row>
    <row r="61" spans="3:6">
      <c r="C61" s="2393">
        <v>2024</v>
      </c>
      <c r="D61" s="2393"/>
      <c r="E61" s="2393"/>
      <c r="F61" s="2393"/>
    </row>
    <row r="62" spans="3:6">
      <c r="C62" s="628"/>
      <c r="D62" s="628" t="s">
        <v>348</v>
      </c>
      <c r="E62" s="628"/>
      <c r="F62" s="628"/>
    </row>
    <row r="63" spans="3:6">
      <c r="C63" s="628"/>
      <c r="D63" s="628" t="s">
        <v>349</v>
      </c>
      <c r="E63" s="628"/>
      <c r="F63" s="628" t="s">
        <v>350</v>
      </c>
    </row>
    <row r="64" spans="3:6">
      <c r="C64" s="628"/>
      <c r="D64" s="628" t="s">
        <v>351</v>
      </c>
      <c r="E64" s="628"/>
      <c r="F64" s="628" t="s">
        <v>352</v>
      </c>
    </row>
    <row r="65" spans="3:6">
      <c r="C65" s="628"/>
      <c r="D65" s="628" t="s">
        <v>353</v>
      </c>
      <c r="E65" s="628"/>
      <c r="F65" s="628" t="s">
        <v>354</v>
      </c>
    </row>
    <row r="66" spans="3:6">
      <c r="C66" s="632" t="s">
        <v>355</v>
      </c>
      <c r="D66" s="632" t="s">
        <v>187</v>
      </c>
      <c r="E66" s="628"/>
      <c r="F66" s="632" t="s">
        <v>356</v>
      </c>
    </row>
    <row r="68" spans="3:6">
      <c r="C68" t="s">
        <v>357</v>
      </c>
      <c r="D68" s="2120">
        <f>'IPK IAS'!D58+'IPK ISP'!D68</f>
        <v>10104541472</v>
      </c>
      <c r="E68" s="2120"/>
      <c r="F68" s="2120">
        <f>'IPK IAS'!F58+'IPK ISP'!F68</f>
        <v>255274987</v>
      </c>
    </row>
    <row r="69" spans="3:6">
      <c r="C69" t="s">
        <v>361</v>
      </c>
      <c r="D69" s="2120">
        <f>'IPK IAS'!D59+'IPK ISP'!D69</f>
        <v>9728830736</v>
      </c>
      <c r="E69" s="2120"/>
      <c r="F69" s="2120">
        <f>'IPK IAS'!F59+'IPK ISP'!F69</f>
        <v>225789806</v>
      </c>
    </row>
    <row r="70" spans="3:6">
      <c r="C70" t="s">
        <v>362</v>
      </c>
      <c r="D70" s="2120">
        <f>'IPK IAS'!D60+'IPK ISP'!D70</f>
        <v>10537372834</v>
      </c>
      <c r="E70" s="2120"/>
      <c r="F70" s="2120">
        <f>'IPK IAS'!F60+'IPK ISP'!F70</f>
        <v>290869567</v>
      </c>
    </row>
    <row r="73" spans="3:6">
      <c r="C73" s="2393">
        <v>2023</v>
      </c>
      <c r="D73" s="2393"/>
      <c r="E73" s="2393"/>
      <c r="F73" s="2393"/>
    </row>
    <row r="74" spans="3:6">
      <c r="C74" s="628"/>
      <c r="D74" s="628" t="s">
        <v>348</v>
      </c>
      <c r="E74" s="628"/>
      <c r="F74" s="628"/>
    </row>
    <row r="75" spans="3:6">
      <c r="C75" s="628"/>
      <c r="D75" s="628" t="s">
        <v>349</v>
      </c>
      <c r="E75" s="628"/>
      <c r="F75" s="628" t="s">
        <v>350</v>
      </c>
    </row>
    <row r="76" spans="3:6">
      <c r="C76" s="628"/>
      <c r="D76" s="628" t="s">
        <v>351</v>
      </c>
      <c r="E76" s="628"/>
      <c r="F76" s="628" t="s">
        <v>352</v>
      </c>
    </row>
    <row r="77" spans="3:6">
      <c r="C77" s="628"/>
      <c r="D77" s="628" t="s">
        <v>353</v>
      </c>
      <c r="E77" s="628"/>
      <c r="F77" s="628" t="s">
        <v>354</v>
      </c>
    </row>
    <row r="78" spans="3:6">
      <c r="C78" s="632" t="s">
        <v>355</v>
      </c>
      <c r="D78" s="632" t="s">
        <v>187</v>
      </c>
      <c r="E78" s="628"/>
      <c r="F78" s="632" t="s">
        <v>356</v>
      </c>
    </row>
    <row r="80" spans="3:6">
      <c r="C80" t="s">
        <v>1049</v>
      </c>
      <c r="D80" s="2120">
        <v>9301883257</v>
      </c>
      <c r="E80" s="2120"/>
      <c r="F80" s="2120">
        <v>255179128</v>
      </c>
    </row>
    <row r="81" spans="3:6">
      <c r="C81" t="s">
        <v>361</v>
      </c>
      <c r="D81" s="2120">
        <v>8357246610</v>
      </c>
      <c r="E81" s="2120"/>
      <c r="F81" s="2120">
        <v>223688470</v>
      </c>
    </row>
    <row r="82" spans="3:6">
      <c r="C82" t="s">
        <v>362</v>
      </c>
      <c r="D82" s="2120">
        <v>10502426918</v>
      </c>
      <c r="E82" s="2120"/>
      <c r="F82" s="2120">
        <v>295281766</v>
      </c>
    </row>
  </sheetData>
  <mergeCells count="4">
    <mergeCell ref="C35:F35"/>
    <mergeCell ref="C47:F47"/>
    <mergeCell ref="C61:F61"/>
    <mergeCell ref="C73:F7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9CF9-8872-44F8-9329-4C28117187F4}">
  <sheetPr>
    <tabColor rgb="FFC00000"/>
  </sheetPr>
  <dimension ref="A1:AG120"/>
  <sheetViews>
    <sheetView showGridLines="0" zoomScaleNormal="100" workbookViewId="0">
      <pane xSplit="6" ySplit="7" topLeftCell="G67" activePane="bottomRight" state="frozen"/>
      <selection pane="bottomRight" activeCell="G71" sqref="G71"/>
      <selection pane="bottomLeft" activeCell="A8" sqref="A8"/>
      <selection pane="topRight" activeCell="H1" sqref="H1"/>
    </sheetView>
  </sheetViews>
  <sheetFormatPr defaultRowHeight="14.45"/>
  <cols>
    <col min="1" max="2" width="1.5703125" style="157" customWidth="1"/>
    <col min="3" max="3" width="32.42578125" style="157" customWidth="1"/>
    <col min="4" max="4" width="0.5703125" style="158" customWidth="1"/>
    <col min="5" max="5" width="10.5703125" style="158" bestFit="1" customWidth="1"/>
    <col min="6" max="6" width="0.5703125" style="158" customWidth="1"/>
    <col min="7" max="7" width="15.5703125" style="2224" customWidth="1"/>
    <col min="8" max="8" width="0.5703125" style="158" customWidth="1"/>
    <col min="9" max="9" width="23.42578125" style="2224" hidden="1" customWidth="1"/>
    <col min="10" max="10" width="0.5703125" style="158" hidden="1" customWidth="1"/>
    <col min="11" max="11" width="14.42578125" style="158" hidden="1" customWidth="1"/>
    <col min="12" max="12" width="0.5703125" style="158" hidden="1" customWidth="1"/>
    <col min="13" max="13" width="15.42578125" style="158" hidden="1" customWidth="1"/>
    <col min="14" max="14" width="0.5703125" style="158" hidden="1" customWidth="1"/>
    <col min="15" max="15" width="14.42578125" style="158" hidden="1" customWidth="1"/>
    <col min="16" max="16" width="0.5703125" style="158" hidden="1" customWidth="1"/>
    <col min="17" max="17" width="15.5703125" style="158" customWidth="1"/>
    <col min="18" max="18" width="0.5703125" style="158" hidden="1" customWidth="1"/>
    <col min="19" max="19" width="15.5703125" style="158" hidden="1" customWidth="1"/>
    <col min="20" max="20" width="0.5703125" style="158" hidden="1" customWidth="1"/>
    <col min="21" max="21" width="15.5703125" style="159" hidden="1" customWidth="1"/>
    <col min="22" max="22" width="0.5703125" style="158" customWidth="1"/>
    <col min="23" max="23" width="2.42578125" style="163" customWidth="1"/>
    <col min="24" max="24" width="29.42578125" style="163" customWidth="1"/>
    <col min="25" max="25" width="9" hidden="1" customWidth="1"/>
    <col min="26" max="26" width="15.5703125" hidden="1" customWidth="1"/>
    <col min="27" max="27" width="2.42578125" hidden="1" customWidth="1"/>
    <col min="28" max="28" width="18.42578125" bestFit="1" customWidth="1"/>
    <col min="29" max="29" width="16.42578125" bestFit="1" customWidth="1"/>
    <col min="30" max="31" width="19.85546875" bestFit="1" customWidth="1"/>
    <col min="32" max="32" width="10.140625" bestFit="1" customWidth="1"/>
  </cols>
  <sheetData>
    <row r="1" spans="1:33">
      <c r="A1" s="2403" t="s">
        <v>1050</v>
      </c>
      <c r="B1" s="2403"/>
      <c r="C1" s="2403"/>
      <c r="D1" s="2403"/>
      <c r="E1" s="2403"/>
      <c r="F1" s="2403"/>
      <c r="G1" s="2403"/>
      <c r="H1" s="2403"/>
      <c r="I1" s="2403"/>
      <c r="J1" s="2403"/>
      <c r="K1" s="2403"/>
      <c r="L1" s="2403"/>
      <c r="M1" s="2403"/>
      <c r="N1" s="2403"/>
      <c r="O1" s="2403"/>
      <c r="P1" s="2403"/>
      <c r="Q1" s="2403"/>
      <c r="R1" s="2403"/>
      <c r="S1" s="2403"/>
      <c r="T1" s="2403"/>
      <c r="U1" s="2403"/>
      <c r="V1" s="2403"/>
      <c r="W1" s="154"/>
      <c r="X1" s="154"/>
    </row>
    <row r="2" spans="1:33">
      <c r="A2" s="2403" t="s">
        <v>1051</v>
      </c>
      <c r="B2" s="2403"/>
      <c r="C2" s="2403"/>
      <c r="D2" s="2403"/>
      <c r="E2" s="2403"/>
      <c r="F2" s="2403"/>
      <c r="G2" s="2403"/>
      <c r="H2" s="2403"/>
      <c r="I2" s="2403"/>
      <c r="J2" s="2403"/>
      <c r="K2" s="2403"/>
      <c r="L2" s="2403"/>
      <c r="M2" s="2403"/>
      <c r="N2" s="2403"/>
      <c r="O2" s="2403"/>
      <c r="P2" s="2403"/>
      <c r="Q2" s="2403"/>
      <c r="R2" s="2403"/>
      <c r="S2" s="2403"/>
      <c r="T2" s="2403"/>
      <c r="U2" s="2403"/>
      <c r="V2" s="2403"/>
      <c r="W2" s="154"/>
    </row>
    <row r="3" spans="1:33">
      <c r="A3" s="2403" t="s">
        <v>1052</v>
      </c>
      <c r="B3" s="2403"/>
      <c r="C3" s="2403"/>
      <c r="D3" s="2403"/>
      <c r="E3" s="2403"/>
      <c r="F3" s="2403"/>
      <c r="G3" s="2403"/>
      <c r="H3" s="2403"/>
      <c r="I3" s="2403"/>
      <c r="J3" s="2403"/>
      <c r="K3" s="2403"/>
      <c r="L3" s="2403"/>
      <c r="M3" s="2403"/>
      <c r="N3" s="2403"/>
      <c r="O3" s="2403"/>
      <c r="P3" s="2403"/>
      <c r="Q3" s="2403"/>
      <c r="R3" s="2403"/>
      <c r="S3" s="2403"/>
      <c r="T3" s="2403"/>
      <c r="U3" s="2403"/>
      <c r="V3" s="2403"/>
      <c r="W3" s="154"/>
      <c r="X3" s="1579"/>
      <c r="AB3" s="1561"/>
      <c r="AC3" s="121"/>
    </row>
    <row r="4" spans="1:33">
      <c r="A4" s="2403" t="s">
        <v>1053</v>
      </c>
      <c r="B4" s="2403"/>
      <c r="C4" s="2403"/>
      <c r="D4" s="2403"/>
      <c r="E4" s="2403"/>
      <c r="F4" s="2403"/>
      <c r="G4" s="2403"/>
      <c r="H4" s="2403"/>
      <c r="I4" s="2403"/>
      <c r="J4" s="2403"/>
      <c r="K4" s="2403"/>
      <c r="L4" s="2403"/>
      <c r="M4" s="2403"/>
      <c r="N4" s="2403"/>
      <c r="O4" s="2403"/>
      <c r="P4" s="2403"/>
      <c r="Q4" s="2403"/>
      <c r="R4" s="2403"/>
      <c r="S4" s="2403"/>
      <c r="T4" s="2403"/>
      <c r="U4" s="2403"/>
      <c r="V4" s="2403"/>
      <c r="W4" s="154"/>
      <c r="X4" s="1579"/>
    </row>
    <row r="5" spans="1:33">
      <c r="A5" s="152"/>
      <c r="B5" s="152"/>
      <c r="C5" s="2107"/>
      <c r="D5" s="152"/>
      <c r="E5" s="152"/>
      <c r="F5" s="152"/>
      <c r="G5" s="2107"/>
      <c r="H5" s="152"/>
      <c r="I5" s="2107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4"/>
      <c r="X5" s="1579"/>
    </row>
    <row r="6" spans="1:33" ht="12" customHeight="1">
      <c r="A6" s="156"/>
      <c r="C6" s="2108"/>
      <c r="E6" s="162" t="s">
        <v>1054</v>
      </c>
      <c r="F6" s="166"/>
      <c r="G6" s="2212"/>
      <c r="H6" s="166"/>
      <c r="I6" s="2220"/>
      <c r="J6" s="166"/>
      <c r="K6" s="166"/>
      <c r="L6" s="166"/>
      <c r="M6" s="2221"/>
      <c r="N6" s="166"/>
      <c r="O6" s="166"/>
      <c r="P6" s="166"/>
      <c r="Q6" s="2212"/>
      <c r="R6" s="166"/>
      <c r="S6" s="165"/>
      <c r="T6" s="165"/>
      <c r="U6" s="165"/>
      <c r="V6" s="152"/>
      <c r="W6" s="160"/>
    </row>
    <row r="7" spans="1:33" ht="12" customHeight="1">
      <c r="D7" s="162"/>
      <c r="E7" s="168" t="s">
        <v>1055</v>
      </c>
      <c r="F7" s="162"/>
      <c r="G7" s="167">
        <v>2024</v>
      </c>
      <c r="H7" s="162"/>
      <c r="I7" s="2222"/>
      <c r="J7" s="162"/>
      <c r="K7" s="2223"/>
      <c r="L7" s="162"/>
      <c r="M7" s="1226"/>
      <c r="N7" s="162"/>
      <c r="O7" s="307"/>
      <c r="P7" s="162"/>
      <c r="Q7" s="167">
        <v>2023</v>
      </c>
      <c r="R7" s="162"/>
      <c r="S7" s="170" t="s">
        <v>1056</v>
      </c>
      <c r="T7" s="169"/>
      <c r="U7" s="171">
        <v>2021</v>
      </c>
      <c r="V7" s="152"/>
    </row>
    <row r="8" spans="1:33" ht="10.35" customHeight="1">
      <c r="A8" s="156"/>
      <c r="F8" s="164"/>
      <c r="G8" s="1408"/>
      <c r="H8" s="164"/>
      <c r="I8" s="1408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52"/>
      <c r="W8" s="160"/>
    </row>
    <row r="9" spans="1:33" ht="12" customHeight="1">
      <c r="A9" s="156" t="s">
        <v>52</v>
      </c>
      <c r="F9" s="164"/>
      <c r="G9" s="1408"/>
      <c r="H9" s="164"/>
      <c r="I9" s="1408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0" t="s">
        <v>387</v>
      </c>
    </row>
    <row r="10" spans="1:33" ht="12" customHeight="1">
      <c r="A10" s="156" t="s">
        <v>1057</v>
      </c>
      <c r="F10" s="164"/>
      <c r="G10" s="1408"/>
      <c r="H10" s="164"/>
      <c r="I10" s="1408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0" t="s">
        <v>1058</v>
      </c>
    </row>
    <row r="11" spans="1:33" ht="12" customHeight="1">
      <c r="A11" s="157" t="s">
        <v>54</v>
      </c>
      <c r="E11" s="158">
        <v>4</v>
      </c>
      <c r="F11" s="164"/>
      <c r="G11" s="1408">
        <f>'WS Konsol'!M52</f>
        <v>918209485</v>
      </c>
      <c r="H11" s="164"/>
      <c r="I11" s="1408">
        <f>'WS Konsol'!W52</f>
        <v>13187388399</v>
      </c>
      <c r="J11" s="164"/>
      <c r="K11" s="172">
        <f>'WS Konsol'!AT52</f>
        <v>2814373246</v>
      </c>
      <c r="L11" s="164"/>
      <c r="M11" s="172">
        <f>'WS Konsol'!AF52</f>
        <v>565886797</v>
      </c>
      <c r="N11" s="164"/>
      <c r="O11" s="172">
        <f>'WS Konsol'!BC52</f>
        <v>5733063270</v>
      </c>
      <c r="P11" s="164"/>
      <c r="Q11" s="172">
        <f>'WS Konsol'!AI52</f>
        <v>2570121355</v>
      </c>
      <c r="R11" s="164"/>
      <c r="S11" s="172">
        <f>'WS Konsol'!BF52</f>
        <v>4920468963</v>
      </c>
      <c r="T11" s="164"/>
      <c r="U11" s="172">
        <f>'WS Konsol'!BH52</f>
        <v>4972845584</v>
      </c>
      <c r="V11" s="164"/>
      <c r="W11" s="163" t="s">
        <v>1059</v>
      </c>
    </row>
    <row r="12" spans="1:33" ht="12" customHeight="1">
      <c r="A12" s="157" t="s">
        <v>1060</v>
      </c>
      <c r="F12" s="173"/>
      <c r="G12" s="1409"/>
      <c r="H12" s="173"/>
      <c r="I12" s="1409"/>
      <c r="J12" s="173"/>
      <c r="K12" s="172"/>
      <c r="L12" s="173"/>
      <c r="M12" s="172"/>
      <c r="N12" s="173"/>
      <c r="O12" s="172"/>
      <c r="P12" s="173"/>
      <c r="Q12" s="172"/>
      <c r="R12" s="173"/>
      <c r="S12" s="172"/>
      <c r="T12" s="173"/>
      <c r="U12" s="172"/>
      <c r="V12" s="173"/>
      <c r="W12" s="163" t="s">
        <v>1061</v>
      </c>
    </row>
    <row r="13" spans="1:33" ht="12" customHeight="1">
      <c r="B13" s="157" t="s">
        <v>87</v>
      </c>
      <c r="E13" s="158">
        <v>5</v>
      </c>
      <c r="F13" s="173"/>
      <c r="G13" s="1409">
        <f>'WS Konsol'!M111</f>
        <v>393935430</v>
      </c>
      <c r="H13" s="173"/>
      <c r="I13" s="1409">
        <f>'WS Konsol'!W111</f>
        <v>339894481</v>
      </c>
      <c r="J13" s="173"/>
      <c r="K13" s="174">
        <f>'WS Konsol'!AT111</f>
        <v>482874409</v>
      </c>
      <c r="L13" s="173"/>
      <c r="M13" s="174">
        <f>'WS Konsol'!AF111</f>
        <v>422639675</v>
      </c>
      <c r="N13" s="173"/>
      <c r="O13" s="174">
        <f>'WS Konsol'!BC111</f>
        <v>1783377782</v>
      </c>
      <c r="P13" s="173"/>
      <c r="Q13" s="174">
        <f>'WS Konsol'!AI111</f>
        <v>211054410</v>
      </c>
      <c r="R13" s="173"/>
      <c r="S13" s="174">
        <f>'WS Konsol'!BF111</f>
        <v>1729176327</v>
      </c>
      <c r="T13" s="173"/>
      <c r="U13" s="174">
        <f>'WS Konsol'!BH111</f>
        <v>1565918952</v>
      </c>
      <c r="V13" s="173"/>
      <c r="X13" s="163" t="s">
        <v>1062</v>
      </c>
      <c r="AD13" s="2120"/>
      <c r="AE13" s="2120"/>
    </row>
    <row r="14" spans="1:33" ht="12" customHeight="1">
      <c r="B14" s="157" t="s">
        <v>1063</v>
      </c>
      <c r="E14" s="158">
        <v>5</v>
      </c>
      <c r="F14" s="173"/>
      <c r="G14" s="1409">
        <f>'WS Konsol'!M105+'WS Konsol'!M115+'WS Konsol'!M127</f>
        <v>94399254849</v>
      </c>
      <c r="H14" s="173"/>
      <c r="I14" s="1409">
        <f>'WS Konsol'!W105+'WS Konsol'!W115+'WS Konsol'!W127</f>
        <v>37856978018</v>
      </c>
      <c r="J14" s="173"/>
      <c r="K14" s="172">
        <f>'WS Konsol'!AT105+'WS Konsol'!AT115+'WS Konsol'!AT127</f>
        <v>5523361062</v>
      </c>
      <c r="L14" s="173"/>
      <c r="M14" s="172">
        <f>'WS Konsol'!AF105+'WS Konsol'!AF115+'WS Konsol'!AF127</f>
        <v>26199584563</v>
      </c>
      <c r="N14" s="173"/>
      <c r="O14" s="172">
        <f>'WS Konsol'!BC105+'WS Konsol'!BC115+'WS Konsol'!BC127</f>
        <v>25423470999</v>
      </c>
      <c r="P14" s="173"/>
      <c r="Q14" s="172">
        <f>'WS Konsol'!AI105+'WS Konsol'!AI115+'WS Konsol'!AI127</f>
        <v>19981020112</v>
      </c>
      <c r="R14" s="173"/>
      <c r="S14" s="172">
        <f>'WS Konsol'!BF105+'WS Konsol'!BF115+'WS Konsol'!BF127</f>
        <v>53102808880</v>
      </c>
      <c r="T14" s="173"/>
      <c r="U14" s="172">
        <f>'WS Konsol'!BH105+'WS Konsol'!BH115+'WS Konsol'!BH127</f>
        <v>38673285818</v>
      </c>
      <c r="V14" s="173"/>
      <c r="X14" s="163" t="s">
        <v>1064</v>
      </c>
      <c r="Y14" s="121"/>
      <c r="Z14" s="210"/>
      <c r="AB14" s="2330">
        <f>G14/Q14</f>
        <v>4.7244462154515645</v>
      </c>
      <c r="AD14" s="2120"/>
      <c r="AE14" s="2120"/>
      <c r="AF14" s="2330"/>
      <c r="AG14" s="2330"/>
    </row>
    <row r="15" spans="1:33" ht="12" customHeight="1">
      <c r="A15" s="157" t="s">
        <v>1065</v>
      </c>
      <c r="E15" s="158">
        <v>6</v>
      </c>
      <c r="F15" s="173"/>
      <c r="G15" s="1409">
        <f>'WS Konsol'!M132+'WS Konsol'!M137+('WS Konsol'!M129+'WS Konsol'!M130+'WS Konsol'!M133)</f>
        <v>697232257</v>
      </c>
      <c r="H15" s="173"/>
      <c r="I15" s="1409">
        <f>'WS Konsol'!W132+'WS Konsol'!W137</f>
        <v>510634104</v>
      </c>
      <c r="J15" s="173"/>
      <c r="K15" s="174">
        <f>'WS Konsol'!AT132+'WS Konsol'!AT137+'WS Konsol'!AT131+'WS Konsol'!AT135</f>
        <v>638756399</v>
      </c>
      <c r="L15" s="173"/>
      <c r="M15" s="174">
        <f>'WS Konsol'!AF132+'WS Konsol'!AF137</f>
        <v>510634104</v>
      </c>
      <c r="N15" s="173"/>
      <c r="O15" s="174">
        <f>'WS Konsol'!BC132+'WS Konsol'!BC137</f>
        <v>549732399</v>
      </c>
      <c r="P15" s="173"/>
      <c r="Q15" s="174">
        <f>'WS Konsol'!AI132+'WS Konsol'!AI137</f>
        <v>510634104</v>
      </c>
      <c r="R15" s="173"/>
      <c r="S15" s="174">
        <f>'WS Konsol'!BF132+'WS Konsol'!BF137</f>
        <v>549732399</v>
      </c>
      <c r="T15" s="173"/>
      <c r="U15" s="174">
        <f>'WS Konsol'!BH132+'WS Konsol'!BH120</f>
        <v>466154019</v>
      </c>
      <c r="V15" s="173"/>
      <c r="W15" s="163" t="s">
        <v>1066</v>
      </c>
      <c r="AB15" s="593"/>
      <c r="AD15" s="2120"/>
      <c r="AE15" s="2120"/>
      <c r="AF15" s="2330"/>
      <c r="AG15" s="2330"/>
    </row>
    <row r="16" spans="1:33" ht="12" customHeight="1">
      <c r="A16" s="157" t="s">
        <v>59</v>
      </c>
      <c r="E16" s="158">
        <v>7</v>
      </c>
      <c r="F16" s="173"/>
      <c r="G16" s="1409">
        <f>'WS Konsol'!M147</f>
        <v>217742151701</v>
      </c>
      <c r="H16" s="173"/>
      <c r="I16" s="1409">
        <f>'WS Konsol'!W147</f>
        <v>262102659717</v>
      </c>
      <c r="J16" s="173"/>
      <c r="K16" s="1036">
        <f>'WS Konsol'!AT147</f>
        <v>215160428159</v>
      </c>
      <c r="L16" s="173"/>
      <c r="M16" s="172">
        <f>'WS Konsol'!AF147</f>
        <v>224990831176</v>
      </c>
      <c r="N16" s="173"/>
      <c r="O16" s="172">
        <f>'WS Konsol'!BC147</f>
        <v>215178073837</v>
      </c>
      <c r="P16" s="173"/>
      <c r="Q16" s="172">
        <f>'WS Konsol'!AI147</f>
        <v>218071396362</v>
      </c>
      <c r="R16" s="173"/>
      <c r="S16" s="172">
        <f>'WS Konsol'!BF147</f>
        <v>137179893500</v>
      </c>
      <c r="T16" s="173"/>
      <c r="U16" s="172">
        <f>'WS Konsol'!BH147</f>
        <v>95865646086</v>
      </c>
      <c r="V16" s="173"/>
      <c r="W16" s="163" t="s">
        <v>1067</v>
      </c>
      <c r="Y16" s="593"/>
      <c r="AA16" s="593"/>
    </row>
    <row r="17" spans="1:29" ht="12" customHeight="1">
      <c r="A17" s="175" t="s">
        <v>60</v>
      </c>
      <c r="B17" s="156"/>
      <c r="E17" s="158">
        <v>8</v>
      </c>
      <c r="F17" s="164"/>
      <c r="G17" s="1408">
        <f>'WS Konsol'!M182</f>
        <v>913803984</v>
      </c>
      <c r="H17" s="164"/>
      <c r="I17" s="1408">
        <f>'WS Konsol'!W182</f>
        <v>3489807904</v>
      </c>
      <c r="J17" s="173"/>
      <c r="K17" s="1036">
        <f>'WS Konsol'!AT182</f>
        <v>2917522322</v>
      </c>
      <c r="L17" s="173"/>
      <c r="M17" s="164">
        <f>'WS Konsol'!AF182</f>
        <v>2649404556</v>
      </c>
      <c r="N17" s="173"/>
      <c r="O17" s="164">
        <f>'WS Konsol'!BC182</f>
        <v>1792056297</v>
      </c>
      <c r="P17" s="173"/>
      <c r="Q17" s="164">
        <f>'WS Konsol'!AI182</f>
        <v>2415719386</v>
      </c>
      <c r="R17" s="173"/>
      <c r="S17" s="164">
        <f>'WS Konsol'!BF182</f>
        <v>651253829</v>
      </c>
      <c r="T17" s="164"/>
      <c r="U17" s="164">
        <f>'WS Konsol'!BH182</f>
        <v>871760289</v>
      </c>
      <c r="V17" s="173"/>
      <c r="W17" s="176" t="s">
        <v>1068</v>
      </c>
      <c r="X17" s="160"/>
      <c r="AB17" s="2330">
        <f>G17/Q17</f>
        <v>0.37827406167116795</v>
      </c>
      <c r="AC17" s="2330">
        <f>Q17/G17</f>
        <v>2.6435859640550659</v>
      </c>
    </row>
    <row r="18" spans="1:29" ht="12" customHeight="1">
      <c r="A18" s="157" t="s">
        <v>200</v>
      </c>
      <c r="E18" s="158" t="s">
        <v>1069</v>
      </c>
      <c r="F18" s="173"/>
      <c r="G18" s="1409">
        <f>SUM('WS Konsol'!M149:M157)</f>
        <v>9035601705</v>
      </c>
      <c r="H18" s="173"/>
      <c r="I18" s="1409">
        <f>SUM('WS Konsol'!W149:W156)</f>
        <v>11345112342</v>
      </c>
      <c r="J18" s="173"/>
      <c r="K18" s="1409">
        <f>SUM('WS Konsol'!AT149:AT156)</f>
        <v>9387594367</v>
      </c>
      <c r="L18" s="173"/>
      <c r="M18" s="172">
        <f>SUM('WS Konsol'!AF149:AF156)</f>
        <v>10425187749</v>
      </c>
      <c r="N18" s="173"/>
      <c r="O18" s="172">
        <f>SUM('WS Konsol'!BC149:BC156)</f>
        <v>9041536321</v>
      </c>
      <c r="P18" s="173"/>
      <c r="Q18" s="172">
        <f>SUM('WS Konsol'!AI149:AI156)</f>
        <v>9663458887</v>
      </c>
      <c r="R18" s="173"/>
      <c r="S18" s="172">
        <f>SUM('WS Konsol'!BF149:BF156)</f>
        <v>8035438770</v>
      </c>
      <c r="T18" s="173"/>
      <c r="U18" s="172">
        <f>SUM('WS Konsol'!BH149:BH156)</f>
        <v>8635897222</v>
      </c>
      <c r="V18" s="173"/>
      <c r="W18" s="163" t="s">
        <v>1070</v>
      </c>
    </row>
    <row r="19" spans="1:29" ht="12" customHeight="1">
      <c r="A19" s="157" t="s">
        <v>1071</v>
      </c>
      <c r="F19" s="173"/>
      <c r="G19" s="1409"/>
      <c r="H19" s="173"/>
      <c r="I19" s="1409"/>
      <c r="J19" s="173"/>
      <c r="K19" s="1409"/>
      <c r="L19" s="173"/>
      <c r="M19" s="172"/>
      <c r="N19" s="173"/>
      <c r="O19" s="172"/>
      <c r="P19" s="173"/>
      <c r="Q19" s="172"/>
      <c r="R19" s="173"/>
      <c r="S19" s="172"/>
      <c r="T19" s="173"/>
      <c r="U19" s="172"/>
      <c r="V19" s="173"/>
      <c r="W19" s="163" t="s">
        <v>1072</v>
      </c>
    </row>
    <row r="20" spans="1:29" ht="11.1" customHeight="1">
      <c r="A20" s="157" t="s">
        <v>1073</v>
      </c>
      <c r="E20" s="158">
        <v>9</v>
      </c>
      <c r="F20" s="173"/>
      <c r="G20" s="1409">
        <f>'WS Konsol'!M159+'WS Konsol'!M174+'WS Konsol'!M164+'WS Konsol'!M175+'WS Konsol'!M161</f>
        <v>33893674735</v>
      </c>
      <c r="H20" s="173"/>
      <c r="I20" s="1409">
        <f>'WS Konsol'!W159+'WS Konsol'!W174+'WS Konsol'!W164+'WS Konsol'!W175</f>
        <v>1488682854</v>
      </c>
      <c r="J20" s="173"/>
      <c r="K20" s="1409">
        <f>'WS Konsol'!AT159+'WS Konsol'!AT174+'WS Konsol'!AT164+'WS Konsol'!AT175</f>
        <v>924473645</v>
      </c>
      <c r="L20" s="173"/>
      <c r="M20" s="177">
        <f>'WS Konsol'!AF159+'WS Konsol'!AF174+'WS Konsol'!AF164</f>
        <v>2074112410</v>
      </c>
      <c r="N20" s="173"/>
      <c r="O20" s="177">
        <f>'WS Konsol'!BC159+'WS Konsol'!BC174</f>
        <v>903603741</v>
      </c>
      <c r="P20" s="173"/>
      <c r="Q20" s="177">
        <f>'WS Konsol'!AI159+'WS Konsol'!AI174</f>
        <v>1104447053</v>
      </c>
      <c r="R20" s="173"/>
      <c r="S20" s="178">
        <f>'WS Konsol'!BF164+'WS Konsol'!BF159</f>
        <v>349309986</v>
      </c>
      <c r="T20" s="173"/>
      <c r="U20" s="178">
        <f>SUM('WS Konsol'!BH164:BH173)+'WS Konsol'!BH159+'WS Konsol'!BH247</f>
        <v>227462120</v>
      </c>
      <c r="V20" s="173"/>
      <c r="W20" s="163" t="s">
        <v>1074</v>
      </c>
      <c r="AB20" s="2330">
        <f>Q20/G20</f>
        <v>3.2585639109220063E-2</v>
      </c>
    </row>
    <row r="21" spans="1:29" ht="12" customHeight="1">
      <c r="A21" s="2248" t="s">
        <v>585</v>
      </c>
      <c r="E21" s="158">
        <v>12</v>
      </c>
      <c r="F21" s="173"/>
      <c r="G21" s="1409">
        <f>'WS Konsol'!M229</f>
        <v>3232400000</v>
      </c>
      <c r="H21" s="173"/>
      <c r="I21" s="1409"/>
      <c r="J21" s="173"/>
      <c r="K21" s="177"/>
      <c r="L21" s="173"/>
      <c r="M21" s="177"/>
      <c r="N21" s="173"/>
      <c r="O21" s="177"/>
      <c r="P21" s="173"/>
      <c r="Q21" s="177">
        <v>0</v>
      </c>
      <c r="R21" s="173"/>
      <c r="S21" s="177"/>
      <c r="T21" s="173"/>
      <c r="U21" s="177"/>
      <c r="V21" s="173"/>
      <c r="W21" s="163" t="s">
        <v>1075</v>
      </c>
    </row>
    <row r="22" spans="1:29" ht="3.95" customHeight="1">
      <c r="A22" s="2248"/>
      <c r="F22" s="173"/>
      <c r="G22" s="2325"/>
      <c r="H22" s="173"/>
      <c r="I22" s="1409"/>
      <c r="J22" s="173"/>
      <c r="K22" s="177"/>
      <c r="L22" s="173"/>
      <c r="M22" s="177"/>
      <c r="N22" s="173"/>
      <c r="O22" s="177"/>
      <c r="P22" s="173"/>
      <c r="Q22" s="2326"/>
      <c r="R22" s="173"/>
      <c r="S22" s="177"/>
      <c r="T22" s="173"/>
      <c r="U22" s="177"/>
      <c r="V22" s="173"/>
    </row>
    <row r="23" spans="1:29">
      <c r="A23" s="156" t="s">
        <v>64</v>
      </c>
      <c r="B23" s="156"/>
      <c r="C23" s="156"/>
      <c r="D23" s="162"/>
      <c r="E23" s="162"/>
      <c r="F23" s="180"/>
      <c r="G23" s="1411">
        <f>SUM(G11:G21)</f>
        <v>361226264146</v>
      </c>
      <c r="H23" s="180"/>
      <c r="I23" s="1411">
        <f>SUM(I11:I20)</f>
        <v>330321157819</v>
      </c>
      <c r="J23" s="180"/>
      <c r="K23" s="179">
        <f>SUM(K11:K20)</f>
        <v>237849383609</v>
      </c>
      <c r="L23" s="180"/>
      <c r="M23" s="179">
        <f>SUM(M11:M20)</f>
        <v>267838281030</v>
      </c>
      <c r="N23" s="180"/>
      <c r="O23" s="179">
        <f>SUM(O11:O20)</f>
        <v>260404914646</v>
      </c>
      <c r="P23" s="180"/>
      <c r="Q23" s="1411">
        <f>SUM(Q11:Q21)</f>
        <v>254527851669</v>
      </c>
      <c r="R23" s="180"/>
      <c r="S23" s="179">
        <f>SUM(S11:S20)</f>
        <v>206518082654</v>
      </c>
      <c r="T23" s="180"/>
      <c r="U23" s="179">
        <f>SUM(U11:U20)</f>
        <v>151278970090</v>
      </c>
      <c r="V23" s="173"/>
      <c r="W23" s="160" t="s">
        <v>1076</v>
      </c>
      <c r="X23" s="160"/>
      <c r="AB23" s="2120">
        <v>354387649562</v>
      </c>
      <c r="AC23" s="210">
        <f>G23-AB23</f>
        <v>6838614584</v>
      </c>
    </row>
    <row r="24" spans="1:29" ht="9" customHeight="1">
      <c r="F24" s="164"/>
      <c r="G24" s="1408"/>
      <c r="H24" s="164"/>
      <c r="I24" s="1408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73"/>
    </row>
    <row r="25" spans="1:29">
      <c r="A25" s="156" t="s">
        <v>540</v>
      </c>
      <c r="B25" s="156"/>
      <c r="F25" s="164"/>
      <c r="G25" s="1408"/>
      <c r="H25" s="164"/>
      <c r="I25" s="1408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0" t="s">
        <v>1077</v>
      </c>
      <c r="X25" s="160"/>
    </row>
    <row r="26" spans="1:29" ht="4.3499999999999996" customHeight="1">
      <c r="A26" s="156"/>
      <c r="B26" s="156"/>
      <c r="F26" s="164"/>
      <c r="G26" s="1408"/>
      <c r="H26" s="164"/>
      <c r="I26" s="1408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0"/>
      <c r="X26" s="160"/>
    </row>
    <row r="27" spans="1:29" ht="12.95" customHeight="1">
      <c r="A27" s="157" t="s">
        <v>1078</v>
      </c>
      <c r="B27" s="156"/>
      <c r="F27" s="164"/>
      <c r="G27" s="1408"/>
      <c r="H27" s="164"/>
      <c r="I27" s="1408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76" t="s">
        <v>1079</v>
      </c>
      <c r="X27" s="160"/>
    </row>
    <row r="28" spans="1:29" ht="12" customHeight="1">
      <c r="A28" s="157" t="s">
        <v>87</v>
      </c>
      <c r="B28" s="156"/>
      <c r="E28" s="158">
        <v>6</v>
      </c>
      <c r="F28" s="173"/>
      <c r="G28" s="1409">
        <f>'WS Konsol'!M133+'WS Konsol'!M187</f>
        <v>0</v>
      </c>
      <c r="H28" s="173"/>
      <c r="I28" s="1409">
        <f>'WS Konsol'!W133+'WS Konsol'!W187</f>
        <v>0</v>
      </c>
      <c r="J28" s="173"/>
      <c r="K28" s="1035">
        <f>'WS Konsol'!AT133+'WS Konsol'!AT187</f>
        <v>7148897634</v>
      </c>
      <c r="L28" s="173"/>
      <c r="M28" s="172">
        <f>'WS Konsol'!AF133+'WS Konsol'!AF187</f>
        <v>0</v>
      </c>
      <c r="N28" s="173"/>
      <c r="O28" s="172">
        <f>'WS Konsol'!BC133+'WS Konsol'!BC187+'WS Konsol'!BC130</f>
        <v>7348897634</v>
      </c>
      <c r="P28" s="173"/>
      <c r="Q28" s="172">
        <f>'WS Konsol'!AI133+'WS Konsol'!AI187</f>
        <v>7022707423</v>
      </c>
      <c r="R28" s="173"/>
      <c r="S28" s="172">
        <f>'WS Konsol'!BF133+'WS Konsol'!BF187+'WS Konsol'!BF130</f>
        <v>7197443207</v>
      </c>
      <c r="T28" s="173"/>
      <c r="U28" s="172">
        <f>'WS Konsol'!BH133+'WS Konsol'!BH187+'WS Konsol'!BH130</f>
        <v>6836690211</v>
      </c>
      <c r="V28" s="164"/>
      <c r="W28" s="176" t="s">
        <v>1080</v>
      </c>
      <c r="X28" s="160"/>
    </row>
    <row r="29" spans="1:29" ht="12" customHeight="1">
      <c r="A29" s="175" t="s">
        <v>1081</v>
      </c>
      <c r="B29" s="184"/>
      <c r="C29" s="175"/>
      <c r="D29" s="181"/>
      <c r="E29" s="181">
        <v>10</v>
      </c>
      <c r="F29" s="182"/>
      <c r="G29" s="1412">
        <f>'WS Konsol'!M219</f>
        <v>66637513685</v>
      </c>
      <c r="H29" s="182"/>
      <c r="I29" s="1412">
        <f>'WS Konsol'!W201-'WS Konsol'!W214+'WS Konsol'!W218</f>
        <v>68366993855</v>
      </c>
      <c r="J29" s="182"/>
      <c r="K29" s="164">
        <f>'WS Konsol'!AT201-'WS Konsol'!AT214+'WS Konsol'!AT218</f>
        <v>76686886952</v>
      </c>
      <c r="L29" s="182"/>
      <c r="M29" s="164">
        <f>'WS Konsol'!AF201-'WS Konsol'!AF214+'WS Konsol'!AF218</f>
        <v>70317926651</v>
      </c>
      <c r="N29" s="182"/>
      <c r="O29" s="164">
        <f>'WS Konsol'!BC201-'WS Konsol'!BC214+'WS Konsol'!BC218</f>
        <v>79240630124</v>
      </c>
      <c r="P29" s="182"/>
      <c r="Q29" s="164">
        <f>'WS Konsol'!AI201-'WS Konsol'!AI214+'WS Konsol'!AI218</f>
        <v>74113104582</v>
      </c>
      <c r="R29" s="182"/>
      <c r="S29" s="164">
        <f>'WS Konsol'!BF201-'WS Konsol'!BF214+'WS Konsol'!BF218</f>
        <v>84248284795</v>
      </c>
      <c r="T29" s="182"/>
      <c r="U29" s="164">
        <f>'WS Konsol'!BH201-'WS Konsol'!BH214+'WS Konsol'!BH218</f>
        <v>94612283276</v>
      </c>
      <c r="V29" s="182"/>
      <c r="W29" s="163" t="s">
        <v>1082</v>
      </c>
      <c r="X29" s="184"/>
    </row>
    <row r="30" spans="1:29" hidden="1">
      <c r="A30" s="175"/>
      <c r="B30" s="184"/>
      <c r="C30" s="175"/>
      <c r="D30" s="181"/>
      <c r="R30" s="182"/>
      <c r="S30" s="164"/>
      <c r="T30" s="182"/>
      <c r="U30" s="164"/>
      <c r="V30" s="182"/>
    </row>
    <row r="31" spans="1:29" hidden="1">
      <c r="A31" s="175"/>
      <c r="B31" s="184"/>
      <c r="C31" s="175"/>
      <c r="D31" s="181"/>
      <c r="R31" s="182"/>
      <c r="V31" s="182"/>
    </row>
    <row r="32" spans="1:29" hidden="1">
      <c r="A32" s="175"/>
      <c r="B32" s="176"/>
      <c r="C32" s="175"/>
      <c r="D32" s="181"/>
      <c r="E32" s="153"/>
      <c r="F32" s="153"/>
      <c r="G32" s="2225"/>
      <c r="H32" s="153"/>
      <c r="I32" s="2225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82"/>
      <c r="X32" s="153"/>
    </row>
    <row r="33" spans="1:29" ht="12" customHeight="1">
      <c r="A33" s="175" t="s">
        <v>1083</v>
      </c>
      <c r="B33" s="176"/>
      <c r="C33" s="175"/>
      <c r="D33" s="181"/>
      <c r="E33" s="158">
        <v>11</v>
      </c>
      <c r="F33" s="182"/>
      <c r="G33" s="1412">
        <f>'WS Konsol'!M236</f>
        <v>7556618094</v>
      </c>
      <c r="H33" s="182"/>
      <c r="I33" s="1412">
        <f>'WS Konsol'!W236</f>
        <v>7635332866</v>
      </c>
      <c r="J33" s="182"/>
      <c r="K33" s="164">
        <f>'WS Konsol'!AT236</f>
        <v>7950191953</v>
      </c>
      <c r="L33" s="182"/>
      <c r="M33" s="164">
        <f>'WS Konsol'!AF236</f>
        <v>7714047638</v>
      </c>
      <c r="N33" s="182"/>
      <c r="O33" s="164">
        <f>'WS Konsol'!BC236</f>
        <v>8028906725</v>
      </c>
      <c r="P33" s="182"/>
      <c r="Q33" s="164">
        <f>'WS Konsol'!AI236</f>
        <v>7871477182</v>
      </c>
      <c r="R33" s="182"/>
      <c r="S33" s="164">
        <f>'WS Konsol'!BF236</f>
        <v>8186336269</v>
      </c>
      <c r="T33" s="182"/>
      <c r="U33" s="164">
        <f>'WS Konsol'!BH236</f>
        <v>8501195356</v>
      </c>
      <c r="V33" s="182"/>
      <c r="W33" s="163" t="s">
        <v>1084</v>
      </c>
      <c r="X33" s="184"/>
    </row>
    <row r="34" spans="1:29" hidden="1">
      <c r="A34" s="175"/>
      <c r="C34" s="175"/>
      <c r="D34" s="181"/>
      <c r="E34" s="181"/>
      <c r="F34" s="182"/>
      <c r="G34" s="1412"/>
      <c r="H34" s="182"/>
      <c r="I34" s="1412"/>
      <c r="J34" s="182"/>
      <c r="K34" s="182"/>
      <c r="L34" s="182"/>
      <c r="M34" s="182"/>
      <c r="N34" s="182"/>
      <c r="O34" s="182"/>
      <c r="P34" s="182"/>
      <c r="Q34" s="164"/>
      <c r="R34" s="182"/>
      <c r="S34" s="164"/>
      <c r="T34" s="182"/>
      <c r="U34" s="164"/>
      <c r="V34" s="182"/>
    </row>
    <row r="35" spans="1:29" hidden="1">
      <c r="A35" s="175"/>
      <c r="B35" s="184"/>
      <c r="C35" s="175"/>
      <c r="D35" s="181"/>
      <c r="R35" s="182"/>
      <c r="V35" s="182"/>
    </row>
    <row r="36" spans="1:29" ht="12" hidden="1" customHeight="1">
      <c r="A36" s="175" t="s">
        <v>1085</v>
      </c>
      <c r="B36" s="175"/>
      <c r="C36" s="175"/>
      <c r="D36" s="181"/>
      <c r="E36" s="181"/>
      <c r="F36" s="182"/>
      <c r="G36" s="1412"/>
      <c r="H36" s="182"/>
      <c r="I36" s="1412"/>
      <c r="J36" s="182"/>
      <c r="K36" s="164"/>
      <c r="L36" s="182"/>
      <c r="M36" s="164"/>
      <c r="N36" s="182"/>
      <c r="O36" s="164"/>
      <c r="P36" s="182"/>
      <c r="Q36" s="164"/>
      <c r="R36" s="182"/>
      <c r="S36" s="164"/>
      <c r="T36" s="182"/>
      <c r="U36" s="164"/>
      <c r="V36" s="182"/>
      <c r="W36" s="163" t="s">
        <v>1086</v>
      </c>
    </row>
    <row r="37" spans="1:29" ht="12" customHeight="1">
      <c r="A37" s="175" t="s">
        <v>68</v>
      </c>
      <c r="B37" s="175"/>
      <c r="C37" s="175"/>
      <c r="D37" s="181"/>
      <c r="E37" s="181" t="s">
        <v>1087</v>
      </c>
      <c r="F37" s="182"/>
      <c r="G37" s="1413">
        <f>'WS Konsol'!M245</f>
        <v>1848977778</v>
      </c>
      <c r="H37" s="182"/>
      <c r="I37" s="1413">
        <f>'WS Konsol'!W245</f>
        <v>1790182139</v>
      </c>
      <c r="J37" s="182"/>
      <c r="K37" s="187">
        <f>'WS Konsol'!AT245</f>
        <v>1508277305</v>
      </c>
      <c r="L37" s="182"/>
      <c r="M37" s="187">
        <f>'WS Konsol'!AF245</f>
        <v>1790182139</v>
      </c>
      <c r="N37" s="182"/>
      <c r="O37" s="187">
        <f>'WS Konsol'!BC245</f>
        <v>1508277305</v>
      </c>
      <c r="P37" s="182"/>
      <c r="Q37" s="187">
        <f>'WS Konsol'!AI245+1</f>
        <v>1790182140</v>
      </c>
      <c r="R37" s="182"/>
      <c r="S37" s="187">
        <f>'WS Konsol'!BF245</f>
        <v>1508277305</v>
      </c>
      <c r="T37" s="182"/>
      <c r="U37" s="187">
        <f>'WS Konsol'!BH245</f>
        <v>1486561645</v>
      </c>
      <c r="V37" s="182"/>
      <c r="W37" s="163" t="s">
        <v>589</v>
      </c>
    </row>
    <row r="38" spans="1:29" ht="6" customHeight="1">
      <c r="A38" s="175"/>
      <c r="B38" s="175"/>
      <c r="C38" s="175"/>
      <c r="D38" s="181"/>
      <c r="E38" s="181"/>
      <c r="F38" s="182"/>
      <c r="G38" s="2235"/>
      <c r="H38" s="182"/>
      <c r="I38" s="1413"/>
      <c r="J38" s="182"/>
      <c r="K38" s="187"/>
      <c r="L38" s="182"/>
      <c r="M38" s="187"/>
      <c r="N38" s="182"/>
      <c r="O38" s="187"/>
      <c r="P38" s="182"/>
      <c r="Q38" s="173"/>
      <c r="R38" s="182"/>
      <c r="S38" s="187"/>
      <c r="T38" s="182"/>
      <c r="U38" s="187"/>
      <c r="V38" s="182"/>
    </row>
    <row r="39" spans="1:29" ht="12" customHeight="1">
      <c r="A39" s="156" t="s">
        <v>69</v>
      </c>
      <c r="B39" s="156"/>
      <c r="C39" s="156"/>
      <c r="D39" s="162"/>
      <c r="E39" s="162"/>
      <c r="F39" s="180"/>
      <c r="G39" s="1411">
        <f>SUM(G28:G37)</f>
        <v>76043109557</v>
      </c>
      <c r="H39" s="180"/>
      <c r="I39" s="1414">
        <f>SUM(I28:I37)</f>
        <v>77792508860</v>
      </c>
      <c r="J39" s="180"/>
      <c r="K39" s="179">
        <f>SUM(K28:K37)</f>
        <v>93294253844</v>
      </c>
      <c r="L39" s="180"/>
      <c r="M39" s="179">
        <f>SUM(M28:M37)</f>
        <v>79822156428</v>
      </c>
      <c r="N39" s="180"/>
      <c r="O39" s="179">
        <f>SUM(O28:O37)</f>
        <v>96126711788</v>
      </c>
      <c r="P39" s="180"/>
      <c r="Q39" s="179">
        <f>SUM(Q28:Q37)</f>
        <v>90797471327</v>
      </c>
      <c r="R39" s="180"/>
      <c r="S39" s="179">
        <f>SUM(S28:S37)</f>
        <v>101140341576</v>
      </c>
      <c r="T39" s="180"/>
      <c r="U39" s="179">
        <f>SUM(U28:U37)</f>
        <v>111436730488</v>
      </c>
      <c r="V39" s="180"/>
      <c r="W39" s="160" t="s">
        <v>1088</v>
      </c>
      <c r="X39" s="160"/>
      <c r="AB39" s="210"/>
      <c r="AC39" s="210"/>
    </row>
    <row r="40" spans="1:29" hidden="1">
      <c r="F40" s="164"/>
      <c r="G40" s="1408"/>
      <c r="H40" s="164"/>
      <c r="I40" s="1408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</row>
    <row r="41" spans="1:29" ht="6" customHeight="1">
      <c r="F41" s="164"/>
      <c r="G41" s="164"/>
      <c r="H41" s="164"/>
      <c r="I41" s="1408"/>
      <c r="J41" s="164"/>
      <c r="K41" s="164"/>
      <c r="L41" s="164"/>
      <c r="M41" s="164"/>
      <c r="N41" s="164"/>
      <c r="O41" s="164"/>
      <c r="P41" s="164"/>
      <c r="R41" s="164"/>
      <c r="S41" s="164"/>
      <c r="T41" s="164"/>
      <c r="U41" s="164"/>
      <c r="V41" s="164"/>
    </row>
    <row r="42" spans="1:29" ht="13.35" customHeight="1" thickBot="1">
      <c r="A42" s="156" t="s">
        <v>70</v>
      </c>
      <c r="B42" s="156"/>
      <c r="C42" s="156"/>
      <c r="D42" s="162"/>
      <c r="E42" s="162"/>
      <c r="F42" s="180"/>
      <c r="G42" s="1417">
        <f>G23+G39</f>
        <v>437269373703</v>
      </c>
      <c r="H42" s="180"/>
      <c r="I42" s="1415">
        <f>I23+I39</f>
        <v>408113666679</v>
      </c>
      <c r="J42" s="180"/>
      <c r="K42" s="188">
        <f>K23+K39</f>
        <v>331143637453</v>
      </c>
      <c r="L42" s="180"/>
      <c r="M42" s="188">
        <f>M23+M39</f>
        <v>347660437458</v>
      </c>
      <c r="N42" s="180"/>
      <c r="O42" s="188">
        <f>O23+O39</f>
        <v>356531626434</v>
      </c>
      <c r="P42" s="180"/>
      <c r="Q42" s="188">
        <f>Q23+Q39</f>
        <v>345325322996</v>
      </c>
      <c r="R42" s="180"/>
      <c r="S42" s="188">
        <f>S23+S39</f>
        <v>307658424230</v>
      </c>
      <c r="T42" s="180"/>
      <c r="U42" s="188">
        <f>ROUNDUP(U23+U39,0)</f>
        <v>262715700578</v>
      </c>
      <c r="V42" s="180"/>
      <c r="W42" s="160" t="s">
        <v>599</v>
      </c>
      <c r="X42" s="160"/>
    </row>
    <row r="43" spans="1:29" ht="5.25" customHeight="1" thickTop="1">
      <c r="F43" s="164"/>
      <c r="G43" s="1408"/>
      <c r="H43" s="164"/>
      <c r="I43" s="1408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</row>
    <row r="44" spans="1:29">
      <c r="F44" s="164"/>
      <c r="G44" s="1408"/>
      <c r="H44" s="164"/>
      <c r="I44" s="1408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</row>
    <row r="45" spans="1:29">
      <c r="F45" s="164"/>
      <c r="G45" s="1408"/>
      <c r="H45" s="164"/>
      <c r="I45" s="1408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</row>
    <row r="46" spans="1:29" ht="12" customHeight="1">
      <c r="A46" s="156"/>
      <c r="E46" s="162" t="s">
        <v>1054</v>
      </c>
      <c r="F46" s="166"/>
      <c r="G46" s="2220"/>
      <c r="H46" s="166"/>
      <c r="I46" s="2220">
        <f>I6</f>
        <v>0</v>
      </c>
      <c r="J46" s="166"/>
      <c r="K46" s="2221"/>
      <c r="L46" s="166"/>
      <c r="M46" s="2221" t="s">
        <v>1089</v>
      </c>
      <c r="N46" s="166"/>
      <c r="O46" s="166"/>
      <c r="P46" s="166"/>
      <c r="Q46" s="2212"/>
      <c r="R46" s="166"/>
      <c r="S46" s="165"/>
      <c r="T46" s="165"/>
      <c r="U46" s="165"/>
      <c r="V46" s="166"/>
      <c r="W46" s="160"/>
    </row>
    <row r="47" spans="1:29" ht="12" customHeight="1">
      <c r="D47" s="162"/>
      <c r="E47" s="168" t="s">
        <v>1055</v>
      </c>
      <c r="F47" s="162"/>
      <c r="G47" s="167">
        <v>2024</v>
      </c>
      <c r="H47" s="162"/>
      <c r="I47" s="2222"/>
      <c r="J47" s="162"/>
      <c r="K47" s="2223"/>
      <c r="L47" s="162"/>
      <c r="M47" s="1226"/>
      <c r="N47" s="162"/>
      <c r="O47" s="307"/>
      <c r="P47" s="162"/>
      <c r="Q47" s="167">
        <v>2023</v>
      </c>
      <c r="R47" s="162"/>
      <c r="S47" s="170" t="s">
        <v>1056</v>
      </c>
      <c r="T47" s="162"/>
      <c r="U47" s="189">
        <v>2021</v>
      </c>
      <c r="V47" s="162"/>
    </row>
    <row r="48" spans="1:29" ht="12" customHeight="1">
      <c r="A48" s="156" t="s">
        <v>71</v>
      </c>
      <c r="F48" s="164"/>
      <c r="G48" s="1408"/>
      <c r="H48" s="164"/>
      <c r="I48" s="1408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0" t="s">
        <v>1090</v>
      </c>
    </row>
    <row r="49" spans="1:31" ht="12" customHeight="1">
      <c r="A49" s="156" t="s">
        <v>1091</v>
      </c>
      <c r="F49" s="164"/>
      <c r="G49" s="1408"/>
      <c r="H49" s="164"/>
      <c r="I49" s="1408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0" t="s">
        <v>1092</v>
      </c>
    </row>
    <row r="50" spans="1:31" ht="12" customHeight="1">
      <c r="A50" s="156" t="s">
        <v>1093</v>
      </c>
      <c r="F50" s="164"/>
      <c r="G50" s="1408"/>
      <c r="H50" s="164"/>
      <c r="I50" s="1408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0" t="s">
        <v>1094</v>
      </c>
    </row>
    <row r="51" spans="1:31">
      <c r="F51" s="164"/>
      <c r="G51" s="1408"/>
      <c r="H51" s="164"/>
      <c r="I51" s="1408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76" t="s">
        <v>1095</v>
      </c>
    </row>
    <row r="52" spans="1:31" ht="12" customHeight="1">
      <c r="A52" s="157" t="s">
        <v>73</v>
      </c>
      <c r="E52" s="158">
        <v>13</v>
      </c>
      <c r="F52" s="164"/>
      <c r="G52" s="1408">
        <f>'WS Konsol'!M417+'WS Konsol'!M422+'WS Konsol'!M425</f>
        <v>10364486466</v>
      </c>
      <c r="H52" s="164"/>
      <c r="I52" s="1408">
        <f>'WS Konsol'!W417+'WS Konsol'!W422+'WS Konsol'!W425</f>
        <v>10645094570</v>
      </c>
      <c r="J52" s="164"/>
      <c r="K52" s="180">
        <f>'WS Konsol'!AT417+'WS Konsol'!AT422+'WS Konsol'!AT425</f>
        <v>20367712664</v>
      </c>
      <c r="L52" s="164"/>
      <c r="M52" s="164">
        <f>'WS Konsol'!AF417+'WS Konsol'!AF422+'WS Konsol'!AF425</f>
        <v>14186291754</v>
      </c>
      <c r="N52" s="164"/>
      <c r="O52" s="164">
        <f>'WS Konsol'!BC417+'WS Konsol'!BC422+'WS Konsol'!BC425</f>
        <v>47195337849</v>
      </c>
      <c r="P52" s="164"/>
      <c r="Q52" s="164">
        <f>'WS Konsol'!AI417+'WS Konsol'!AI422+'WS Konsol'!AI425</f>
        <v>20407901137</v>
      </c>
      <c r="R52" s="164"/>
      <c r="S52" s="164">
        <f>'WS Konsol'!BF417+'WS Konsol'!BF422+'WS Konsol'!BF425</f>
        <v>12347357380</v>
      </c>
      <c r="T52" s="164"/>
      <c r="U52" s="164">
        <f>'WS Konsol'!BH417+'WS Konsol'!BH422+'WS Konsol'!BH425</f>
        <v>14116621585</v>
      </c>
      <c r="V52" s="164"/>
      <c r="W52" s="163" t="s">
        <v>1096</v>
      </c>
      <c r="AA52" s="1179"/>
      <c r="AC52" s="2288">
        <v>6968061921</v>
      </c>
      <c r="AD52" s="593">
        <f>AC52-G52</f>
        <v>-3396424545</v>
      </c>
    </row>
    <row r="53" spans="1:31" hidden="1">
      <c r="A53" s="157" t="s">
        <v>825</v>
      </c>
      <c r="E53" s="153"/>
      <c r="F53" s="164"/>
      <c r="G53" s="1408"/>
      <c r="H53" s="164"/>
      <c r="I53" s="1408"/>
      <c r="J53" s="164"/>
      <c r="K53" s="180"/>
      <c r="L53" s="164"/>
      <c r="M53" s="190"/>
      <c r="N53" s="164"/>
      <c r="O53" s="190"/>
      <c r="P53" s="164"/>
      <c r="Q53" s="190"/>
      <c r="R53" s="164"/>
      <c r="S53" s="190"/>
      <c r="T53" s="173"/>
      <c r="U53" s="190"/>
      <c r="V53" s="164"/>
      <c r="W53" s="163" t="s">
        <v>824</v>
      </c>
    </row>
    <row r="54" spans="1:31" hidden="1">
      <c r="B54" s="157" t="s">
        <v>1063</v>
      </c>
      <c r="F54" s="173"/>
      <c r="G54" s="1409"/>
      <c r="H54" s="173"/>
      <c r="I54" s="1409"/>
      <c r="J54" s="164"/>
      <c r="K54" s="180"/>
      <c r="L54" s="164"/>
      <c r="M54" s="172"/>
      <c r="N54" s="173"/>
      <c r="O54" s="172"/>
      <c r="P54" s="173"/>
      <c r="Q54" s="172"/>
      <c r="R54" s="173"/>
      <c r="S54" s="172"/>
      <c r="T54" s="173"/>
      <c r="U54" s="172"/>
      <c r="V54" s="173"/>
      <c r="X54" s="163" t="s">
        <v>1064</v>
      </c>
    </row>
    <row r="55" spans="1:31" ht="12" customHeight="1">
      <c r="A55" s="157" t="s">
        <v>76</v>
      </c>
      <c r="E55" s="158" t="s">
        <v>1097</v>
      </c>
      <c r="F55" s="164"/>
      <c r="G55" s="1408">
        <f>'WS Konsol'!M288-G64</f>
        <v>231271837921</v>
      </c>
      <c r="H55" s="164"/>
      <c r="I55" s="1408">
        <f>'WS Konsol'!W288-I64</f>
        <v>196870184183</v>
      </c>
      <c r="J55" s="164"/>
      <c r="K55" s="1408">
        <f>'WS Konsol'!AT288</f>
        <v>175110562667</v>
      </c>
      <c r="L55" s="164"/>
      <c r="M55" s="164">
        <f>'WS Konsol'!AF288-M64</f>
        <v>207371015601</v>
      </c>
      <c r="N55" s="164"/>
      <c r="O55" s="164">
        <f>'WS Konsol'!BC288</f>
        <v>166123612313</v>
      </c>
      <c r="P55" s="164"/>
      <c r="Q55" s="164">
        <f>'WS Konsol'!AI288-Q64</f>
        <v>195441714689</v>
      </c>
      <c r="R55" s="164"/>
      <c r="S55" s="164">
        <f>'WS Konsol'!BF288</f>
        <v>155339616431</v>
      </c>
      <c r="T55" s="164"/>
      <c r="U55" s="164">
        <f>'WS Konsol'!BH288</f>
        <v>110815447741</v>
      </c>
      <c r="V55" s="164"/>
      <c r="W55" s="163" t="s">
        <v>1098</v>
      </c>
      <c r="Z55" s="1178"/>
      <c r="AA55" s="593"/>
      <c r="AB55" s="210">
        <f>G55/16162</f>
        <v>14309605.118240317</v>
      </c>
      <c r="AC55" s="121"/>
    </row>
    <row r="56" spans="1:31" ht="12" customHeight="1">
      <c r="A56" s="157" t="s">
        <v>77</v>
      </c>
      <c r="E56" s="158">
        <v>15</v>
      </c>
      <c r="F56" s="164"/>
      <c r="G56" s="1408">
        <f>'WS Konsol'!M467-G61</f>
        <v>4970839301</v>
      </c>
      <c r="H56" s="164"/>
      <c r="I56" s="1408">
        <f>'WS Konsol'!W467-I61</f>
        <v>4949487657</v>
      </c>
      <c r="J56" s="164"/>
      <c r="K56" s="1408">
        <f>'WS Konsol'!AT467-K61</f>
        <v>6409271318</v>
      </c>
      <c r="L56" s="164"/>
      <c r="M56" s="164">
        <f>'WS Konsol'!AF467-M61</f>
        <v>4322494743</v>
      </c>
      <c r="N56" s="164"/>
      <c r="O56" s="164">
        <f>'WS Konsol'!BC467-O61</f>
        <v>8217143369</v>
      </c>
      <c r="P56" s="164"/>
      <c r="Q56" s="164">
        <f>'WS Konsol'!AI467-Q61+1</f>
        <v>2870843989</v>
      </c>
      <c r="R56" s="164"/>
      <c r="S56" s="164">
        <f>'WS Konsol'!BF467-S61+1</f>
        <v>5031429971</v>
      </c>
      <c r="T56" s="164"/>
      <c r="U56" s="164">
        <f>'WS Konsol'!BH467-U61-2</f>
        <v>5655591014</v>
      </c>
      <c r="V56" s="164"/>
      <c r="W56" s="163" t="s">
        <v>790</v>
      </c>
      <c r="Z56" s="1178"/>
      <c r="AA56" s="593"/>
      <c r="AB56" s="593">
        <f>Q55/15416</f>
        <v>12677848.643552154</v>
      </c>
      <c r="AC56" s="593"/>
    </row>
    <row r="57" spans="1:31" ht="12" customHeight="1">
      <c r="A57" s="157" t="s">
        <v>217</v>
      </c>
      <c r="E57" s="158" t="s">
        <v>1099</v>
      </c>
      <c r="F57" s="164"/>
      <c r="G57" s="1408">
        <f>'WS Konsol'!M453</f>
        <v>1467515499</v>
      </c>
      <c r="H57" s="164"/>
      <c r="I57" s="1408">
        <f>'WS Konsol'!W453</f>
        <v>4409068751</v>
      </c>
      <c r="J57" s="164"/>
      <c r="K57" s="1408">
        <f>'WS Konsol'!AT453</f>
        <v>2337914037</v>
      </c>
      <c r="L57" s="164"/>
      <c r="M57" s="164">
        <f>'WS Konsol'!AF453</f>
        <v>404042742</v>
      </c>
      <c r="N57" s="164"/>
      <c r="O57" s="164">
        <f>'WS Konsol'!BC453</f>
        <v>2317673499</v>
      </c>
      <c r="P57" s="164"/>
      <c r="Q57" s="164">
        <f>'WS Konsol'!AI453</f>
        <v>2863697915</v>
      </c>
      <c r="R57" s="164"/>
      <c r="S57" s="164">
        <f>'WS Konsol'!BF453</f>
        <v>2152621331</v>
      </c>
      <c r="T57" s="164"/>
      <c r="U57" s="164">
        <f>'WS Konsol'!BH453</f>
        <v>712242589</v>
      </c>
      <c r="V57" s="164"/>
      <c r="W57" s="163" t="s">
        <v>1100</v>
      </c>
      <c r="AB57">
        <v>1467515279</v>
      </c>
      <c r="AC57" s="210"/>
      <c r="AD57" s="210"/>
    </row>
    <row r="58" spans="1:31" ht="12" customHeight="1">
      <c r="A58" s="157" t="s">
        <v>1101</v>
      </c>
      <c r="B58" s="153"/>
      <c r="F58" s="164"/>
      <c r="G58" s="1408"/>
      <c r="H58" s="164"/>
      <c r="I58" s="1408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3" t="s">
        <v>1102</v>
      </c>
    </row>
    <row r="59" spans="1:31" ht="12" customHeight="1">
      <c r="A59" s="157" t="s">
        <v>1103</v>
      </c>
      <c r="B59" s="153"/>
      <c r="F59" s="164"/>
      <c r="G59" s="1408"/>
      <c r="H59" s="164"/>
      <c r="I59" s="1408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3" t="s">
        <v>1104</v>
      </c>
    </row>
    <row r="60" spans="1:31" ht="12.95" customHeight="1">
      <c r="B60" s="153"/>
      <c r="F60" s="164"/>
      <c r="G60" s="1408"/>
      <c r="H60" s="164"/>
      <c r="I60" s="1408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X60" s="163" t="s">
        <v>1105</v>
      </c>
    </row>
    <row r="61" spans="1:31" ht="12.95" customHeight="1">
      <c r="B61" s="157" t="s">
        <v>82</v>
      </c>
      <c r="E61" s="158">
        <v>16</v>
      </c>
      <c r="F61" s="164"/>
      <c r="G61" s="1408">
        <f>'WS Konsol'!M463</f>
        <v>0</v>
      </c>
      <c r="H61" s="164"/>
      <c r="I61" s="1408">
        <f>'WS Konsol'!W463</f>
        <v>19446177</v>
      </c>
      <c r="J61" s="164"/>
      <c r="K61" s="174">
        <f>'WS Konsol'!AT463</f>
        <v>17659190</v>
      </c>
      <c r="L61" s="164"/>
      <c r="M61" s="174">
        <f>'WS Konsol'!AF463</f>
        <v>38822068</v>
      </c>
      <c r="N61" s="164"/>
      <c r="O61" s="174">
        <f>'WS Konsol'!BC463</f>
        <v>34780634</v>
      </c>
      <c r="P61" s="164"/>
      <c r="Q61" s="174">
        <f>'WS Konsol'!AI463</f>
        <v>76360023</v>
      </c>
      <c r="R61" s="164"/>
      <c r="S61" s="174">
        <f>'WS Konsol'!BF463</f>
        <v>67475296</v>
      </c>
      <c r="T61" s="164"/>
      <c r="U61" s="174">
        <f>'WS Konsol'!BH463</f>
        <v>0</v>
      </c>
      <c r="V61" s="174"/>
      <c r="X61" s="163" t="s">
        <v>187</v>
      </c>
      <c r="Y61" s="912"/>
    </row>
    <row r="62" spans="1:31" ht="12" customHeight="1">
      <c r="B62" s="157" t="s">
        <v>1106</v>
      </c>
      <c r="F62" s="164"/>
      <c r="G62" s="1408"/>
      <c r="H62" s="164"/>
      <c r="I62" s="1408"/>
      <c r="J62" s="164"/>
      <c r="K62" s="174"/>
      <c r="L62" s="164"/>
      <c r="M62" s="174"/>
      <c r="N62" s="164"/>
      <c r="O62" s="174"/>
      <c r="P62" s="164"/>
      <c r="Q62" s="174"/>
      <c r="R62" s="164"/>
      <c r="S62" s="174"/>
      <c r="T62" s="164"/>
      <c r="U62" s="174"/>
      <c r="V62" s="174"/>
      <c r="X62" s="163" t="s">
        <v>1107</v>
      </c>
      <c r="Y62" s="912"/>
      <c r="AD62" s="912"/>
    </row>
    <row r="63" spans="1:31" ht="12" customHeight="1">
      <c r="B63" s="157" t="s">
        <v>771</v>
      </c>
      <c r="E63" s="158">
        <v>17</v>
      </c>
      <c r="F63" s="164"/>
      <c r="G63" s="1408">
        <f>'WS Konsol'!M470</f>
        <v>0</v>
      </c>
      <c r="H63" s="164"/>
      <c r="I63" s="1408">
        <f>'WS Konsol'!W470</f>
        <v>0</v>
      </c>
      <c r="J63" s="164"/>
      <c r="K63" s="174">
        <f>'WS Konsol'!AT470</f>
        <v>3533493723</v>
      </c>
      <c r="L63" s="164"/>
      <c r="M63" s="174">
        <f>'WS Konsol'!AF470</f>
        <v>0</v>
      </c>
      <c r="N63" s="164"/>
      <c r="O63" s="174">
        <f>'WS Konsol'!BC470</f>
        <v>3533493723</v>
      </c>
      <c r="P63" s="164"/>
      <c r="Q63" s="174">
        <f>'WS Konsol'!AI470</f>
        <v>624277457</v>
      </c>
      <c r="R63" s="164"/>
      <c r="S63" s="174">
        <f>'WS Konsol'!BF470</f>
        <v>3539216266</v>
      </c>
      <c r="T63" s="164"/>
      <c r="U63" s="174">
        <f>'WS Konsol'!BH470</f>
        <v>0</v>
      </c>
      <c r="V63" s="174"/>
      <c r="X63" s="163" t="s">
        <v>1108</v>
      </c>
      <c r="AD63" s="210"/>
      <c r="AE63" s="210">
        <f>AD63-AD62</f>
        <v>0</v>
      </c>
    </row>
    <row r="64" spans="1:31" ht="12" customHeight="1">
      <c r="A64" s="153"/>
      <c r="B64" s="157" t="s">
        <v>76</v>
      </c>
      <c r="E64" s="158" t="s">
        <v>1069</v>
      </c>
      <c r="F64" s="164"/>
      <c r="G64" s="1410">
        <f>'WS Konsol'!M278</f>
        <v>0</v>
      </c>
      <c r="H64" s="164"/>
      <c r="I64" s="1410">
        <f>'WS Konsol'!W278</f>
        <v>900894064</v>
      </c>
      <c r="J64" s="164"/>
      <c r="K64" s="1606">
        <f>'WS Konsol'!AT472</f>
        <v>850908333</v>
      </c>
      <c r="L64" s="164"/>
      <c r="M64" s="174">
        <f>'WS Konsol'!AF278</f>
        <v>1869894064</v>
      </c>
      <c r="N64" s="164"/>
      <c r="O64" s="191">
        <f>'WS Konsol'!BC472</f>
        <v>6824412708</v>
      </c>
      <c r="P64" s="164"/>
      <c r="Q64" s="174">
        <f>'WS Konsol'!AI278</f>
        <v>3807894064</v>
      </c>
      <c r="R64" s="164"/>
      <c r="S64" s="191">
        <f>'WS Konsol'!BF472</f>
        <v>3403633332</v>
      </c>
      <c r="T64" s="164"/>
      <c r="U64" s="191">
        <f>'WS Konsol'!BH472</f>
        <v>3403633332</v>
      </c>
      <c r="V64" s="164"/>
      <c r="W64" s="154"/>
      <c r="X64" s="163" t="s">
        <v>1098</v>
      </c>
      <c r="AD64" s="853"/>
    </row>
    <row r="65" spans="1:24" ht="3" customHeight="1">
      <c r="F65" s="164"/>
      <c r="G65" s="1408"/>
      <c r="H65" s="164"/>
      <c r="I65" s="1408"/>
      <c r="J65" s="164"/>
      <c r="K65" s="192"/>
      <c r="L65" s="164"/>
      <c r="M65" s="192"/>
      <c r="N65" s="164"/>
      <c r="O65" s="192"/>
      <c r="P65" s="164"/>
      <c r="Q65" s="192"/>
      <c r="R65" s="164"/>
      <c r="S65" s="190"/>
      <c r="T65" s="164"/>
      <c r="U65" s="190"/>
      <c r="V65" s="164"/>
    </row>
    <row r="66" spans="1:24">
      <c r="A66" s="156" t="s">
        <v>84</v>
      </c>
      <c r="B66" s="156"/>
      <c r="C66" s="156"/>
      <c r="D66" s="162"/>
      <c r="E66" s="162"/>
      <c r="F66" s="180"/>
      <c r="G66" s="1411">
        <f>SUM(G52:G64)</f>
        <v>248074679187</v>
      </c>
      <c r="H66" s="180"/>
      <c r="I66" s="1411">
        <f>SUM(I52:I64)</f>
        <v>217794175402</v>
      </c>
      <c r="J66" s="180"/>
      <c r="K66" s="1411">
        <f>SUM(K52:K64)</f>
        <v>208627521932</v>
      </c>
      <c r="L66" s="180"/>
      <c r="M66" s="179">
        <f>SUM(M52:M64)</f>
        <v>228192560972</v>
      </c>
      <c r="N66" s="180"/>
      <c r="O66" s="179">
        <f>SUM(O52:O64)</f>
        <v>234246454095</v>
      </c>
      <c r="P66" s="180"/>
      <c r="Q66" s="179">
        <f>SUM(Q52:Q64)</f>
        <v>226092689274</v>
      </c>
      <c r="R66" s="180"/>
      <c r="S66" s="179">
        <f>SUM(S52:S64)</f>
        <v>181881350007</v>
      </c>
      <c r="T66" s="180"/>
      <c r="U66" s="179">
        <f>SUM(U52:U64)</f>
        <v>134703536261</v>
      </c>
      <c r="V66" s="180"/>
      <c r="W66" s="160" t="s">
        <v>1109</v>
      </c>
      <c r="X66" s="160"/>
    </row>
    <row r="67" spans="1:24" ht="10.35" customHeight="1">
      <c r="F67" s="164"/>
      <c r="G67" s="1408"/>
      <c r="H67" s="164"/>
      <c r="I67" s="1408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</row>
    <row r="68" spans="1:24" ht="12" customHeight="1">
      <c r="A68" s="156" t="s">
        <v>1110</v>
      </c>
      <c r="F68" s="164"/>
      <c r="G68" s="1408"/>
      <c r="H68" s="164"/>
      <c r="I68" s="1408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0" t="s">
        <v>1111</v>
      </c>
    </row>
    <row r="69" spans="1:24" ht="12" customHeight="1">
      <c r="A69" s="157" t="s">
        <v>1112</v>
      </c>
      <c r="F69" s="164"/>
      <c r="G69" s="1408"/>
      <c r="H69" s="164"/>
      <c r="I69" s="1408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76" t="s">
        <v>1113</v>
      </c>
    </row>
    <row r="70" spans="1:24" ht="12" customHeight="1">
      <c r="A70" s="157" t="s">
        <v>1114</v>
      </c>
      <c r="F70" s="164"/>
      <c r="G70" s="1408"/>
      <c r="H70" s="164"/>
      <c r="I70" s="1408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76" t="s">
        <v>1115</v>
      </c>
    </row>
    <row r="71" spans="1:24" ht="12" customHeight="1">
      <c r="B71" s="157" t="s">
        <v>74</v>
      </c>
      <c r="E71" s="158">
        <v>14</v>
      </c>
      <c r="F71" s="173"/>
      <c r="G71" s="1409">
        <f>SUM('WS Konsol'!M427:M432)+'WS Konsol'!M504</f>
        <v>0</v>
      </c>
      <c r="H71" s="173"/>
      <c r="I71" s="1409">
        <f>SUM('WS Konsol'!W427:W432)+'WS Konsol'!W504</f>
        <v>0</v>
      </c>
      <c r="J71" s="173"/>
      <c r="K71" s="172">
        <f>SUM('WS Konsol'!AT427:AT432)+'WS Konsol'!AT504</f>
        <v>1288271695</v>
      </c>
      <c r="L71" s="173"/>
      <c r="M71" s="172">
        <f>SUM('WS Konsol'!AF427:AF432)+'WS Konsol'!AF504</f>
        <v>0</v>
      </c>
      <c r="N71" s="173"/>
      <c r="O71" s="172">
        <f>SUM('WS Konsol'!BC427:BC432)+'WS Konsol'!BC504</f>
        <v>1313271695</v>
      </c>
      <c r="P71" s="173"/>
      <c r="Q71" s="172">
        <f>SUM('WS Konsol'!AI427:AI432)+'WS Konsol'!AI504</f>
        <v>595676695</v>
      </c>
      <c r="R71" s="173"/>
      <c r="S71" s="172">
        <f>SUM('WS Konsol'!BF427:BF432)+'WS Konsol'!BF504</f>
        <v>533174595</v>
      </c>
      <c r="T71" s="173"/>
      <c r="U71" s="172">
        <f>SUM('WS Konsol'!BH427:BH432)+'WS Konsol'!BH504</f>
        <v>137349400</v>
      </c>
      <c r="V71" s="173"/>
      <c r="X71" s="163" t="s">
        <v>1116</v>
      </c>
    </row>
    <row r="72" spans="1:24" ht="12" customHeight="1">
      <c r="B72" s="157" t="s">
        <v>75</v>
      </c>
      <c r="E72" s="158">
        <v>14</v>
      </c>
      <c r="F72" s="164"/>
      <c r="G72" s="1408">
        <f>'WS Konsol'!M424</f>
        <v>0</v>
      </c>
      <c r="H72" s="164"/>
      <c r="I72" s="1408">
        <f>'WS Konsol'!W424</f>
        <v>0</v>
      </c>
      <c r="J72" s="164"/>
      <c r="K72" s="164">
        <f>'WS Konsol'!AT424</f>
        <v>41000000</v>
      </c>
      <c r="L72" s="164"/>
      <c r="M72" s="164">
        <f>'WS Konsol'!AF424</f>
        <v>0</v>
      </c>
      <c r="N72" s="164"/>
      <c r="O72" s="164">
        <f>'WS Konsol'!BC424</f>
        <v>41000000</v>
      </c>
      <c r="P72" s="164"/>
      <c r="Q72" s="164">
        <f>'WS Konsol'!AI424</f>
        <v>41000000</v>
      </c>
      <c r="R72" s="164"/>
      <c r="S72" s="164">
        <f>'WS Konsol'!BF424</f>
        <v>41000000</v>
      </c>
      <c r="T72" s="164"/>
      <c r="U72" s="164">
        <f>'WS Konsol'!BH424</f>
        <v>41000000</v>
      </c>
      <c r="V72" s="164"/>
      <c r="W72" s="176"/>
      <c r="X72" s="163" t="s">
        <v>1117</v>
      </c>
    </row>
    <row r="73" spans="1:24" ht="12" hidden="1" customHeight="1">
      <c r="B73" s="175" t="s">
        <v>76</v>
      </c>
      <c r="C73" s="175"/>
      <c r="D73" s="181"/>
      <c r="E73" s="158" t="s">
        <v>1118</v>
      </c>
      <c r="F73" s="182"/>
      <c r="G73" s="1412">
        <f>'WS Konsol'!AB494-G74</f>
        <v>0</v>
      </c>
      <c r="H73" s="182"/>
      <c r="I73" s="1412">
        <f>'WS Konsol'!AD494-I74</f>
        <v>0</v>
      </c>
      <c r="J73" s="182"/>
      <c r="K73" s="174">
        <f>'WS Konsol'!AT494-K74</f>
        <v>3403633336</v>
      </c>
      <c r="L73" s="182"/>
      <c r="M73" s="174">
        <f>'WS Konsol'!AF494-M74</f>
        <v>0</v>
      </c>
      <c r="N73" s="182"/>
      <c r="O73" s="174">
        <f>'WS Konsol'!BC494-O74</f>
        <v>3403633336</v>
      </c>
      <c r="P73" s="182"/>
      <c r="Q73" s="174">
        <f>'WS Konsol'!AI494-Q74</f>
        <v>0</v>
      </c>
      <c r="R73" s="182"/>
      <c r="S73" s="174">
        <f>'WS Konsol'!BF494-S74</f>
        <v>8526229378</v>
      </c>
      <c r="T73" s="182"/>
      <c r="U73" s="174">
        <f>'WS Konsol'!BH494-U74</f>
        <v>14285076353</v>
      </c>
      <c r="V73" s="182"/>
      <c r="X73" s="163" t="s">
        <v>1119</v>
      </c>
    </row>
    <row r="74" spans="1:24" hidden="1">
      <c r="B74" s="157" t="s">
        <v>82</v>
      </c>
      <c r="C74" s="175"/>
      <c r="D74" s="181"/>
      <c r="E74" s="181"/>
      <c r="F74" s="182"/>
      <c r="G74" s="1412">
        <f>'WS Konsol'!AB484</f>
        <v>0</v>
      </c>
      <c r="H74" s="182"/>
      <c r="I74" s="1412">
        <f>'WS Konsol'!AD484</f>
        <v>0</v>
      </c>
      <c r="J74" s="182"/>
      <c r="K74" s="174">
        <f>'WS Konsol'!AT484</f>
        <v>76360023</v>
      </c>
      <c r="L74" s="182"/>
      <c r="M74" s="174">
        <f>'WS Konsol'!AF484</f>
        <v>0</v>
      </c>
      <c r="N74" s="182"/>
      <c r="O74" s="174">
        <f>'WS Konsol'!BC484</f>
        <v>76360023</v>
      </c>
      <c r="P74" s="182"/>
      <c r="Q74" s="174">
        <f>'WS Konsol'!AI484</f>
        <v>0</v>
      </c>
      <c r="R74" s="182"/>
      <c r="S74" s="174">
        <f>'WS Konsol'!BF484</f>
        <v>76360023</v>
      </c>
      <c r="T74" s="182"/>
      <c r="U74" s="174">
        <f>'WS Konsol'!BH484</f>
        <v>0</v>
      </c>
      <c r="V74" s="186"/>
      <c r="X74" s="163" t="s">
        <v>1120</v>
      </c>
    </row>
    <row r="75" spans="1:24" hidden="1">
      <c r="B75" s="157" t="s">
        <v>1121</v>
      </c>
      <c r="C75" s="175"/>
      <c r="D75" s="181"/>
      <c r="E75" s="181"/>
      <c r="F75" s="182"/>
      <c r="G75" s="1412">
        <v>0</v>
      </c>
      <c r="H75" s="182"/>
      <c r="I75" s="1412">
        <v>0</v>
      </c>
      <c r="J75" s="182"/>
      <c r="K75" s="174">
        <f>'WS Konsol'!AT497</f>
        <v>630000000</v>
      </c>
      <c r="L75" s="182"/>
      <c r="M75" s="174">
        <v>0</v>
      </c>
      <c r="N75" s="182"/>
      <c r="O75" s="174">
        <f>'WS Konsol'!BC497</f>
        <v>630000000</v>
      </c>
      <c r="P75" s="182"/>
      <c r="Q75" s="174">
        <v>0</v>
      </c>
      <c r="R75" s="182"/>
      <c r="S75" s="174">
        <f>'WS Konsol'!BF497</f>
        <v>624277457</v>
      </c>
      <c r="T75" s="182"/>
      <c r="U75" s="174">
        <f>'WS Konsol'!BH497</f>
        <v>4125675035</v>
      </c>
      <c r="V75" s="186"/>
      <c r="X75" s="163" t="s">
        <v>1122</v>
      </c>
    </row>
    <row r="76" spans="1:24">
      <c r="A76" s="175" t="s">
        <v>1123</v>
      </c>
      <c r="B76" s="175"/>
      <c r="C76" s="175"/>
      <c r="D76" s="181"/>
      <c r="E76" s="181">
        <v>20</v>
      </c>
      <c r="F76" s="182"/>
      <c r="G76" s="1413">
        <f>'WS Konsol'!M481</f>
        <v>10104541472</v>
      </c>
      <c r="H76" s="182"/>
      <c r="I76" s="1413">
        <f>'WS Konsol'!W481</f>
        <v>9955987332</v>
      </c>
      <c r="J76" s="182"/>
      <c r="K76" s="187">
        <f>'WS Konsol'!AT481</f>
        <v>8706660415</v>
      </c>
      <c r="L76" s="182"/>
      <c r="M76" s="187">
        <f>'WS Konsol'!AF481</f>
        <v>9301883257</v>
      </c>
      <c r="N76" s="182"/>
      <c r="O76" s="187">
        <f>'WS Konsol'!BC481</f>
        <v>8419134989</v>
      </c>
      <c r="P76" s="182"/>
      <c r="Q76" s="187">
        <f>'WS Konsol'!AI481</f>
        <v>9301883257</v>
      </c>
      <c r="R76" s="182"/>
      <c r="S76" s="187">
        <f>'WS Konsol'!BF481</f>
        <v>8419134989</v>
      </c>
      <c r="T76" s="182"/>
      <c r="U76" s="187">
        <f>'WS Konsol'!BH481</f>
        <v>8346918827</v>
      </c>
      <c r="V76" s="182"/>
      <c r="W76" s="163" t="s">
        <v>1124</v>
      </c>
    </row>
    <row r="77" spans="1:24" hidden="1"/>
    <row r="78" spans="1:24" hidden="1">
      <c r="F78" s="164"/>
      <c r="G78" s="1408"/>
      <c r="H78" s="164"/>
      <c r="I78" s="1408"/>
      <c r="J78" s="164"/>
      <c r="K78" s="172"/>
      <c r="L78" s="164"/>
      <c r="M78" s="172"/>
      <c r="N78" s="164"/>
      <c r="O78" s="172"/>
      <c r="P78" s="164"/>
      <c r="Q78" s="172"/>
      <c r="R78" s="164"/>
      <c r="S78" s="172"/>
      <c r="T78" s="164"/>
      <c r="U78" s="172"/>
      <c r="V78" s="164"/>
    </row>
    <row r="79" spans="1:24" hidden="1">
      <c r="F79" s="173"/>
      <c r="G79" s="1409"/>
      <c r="H79" s="173"/>
      <c r="I79" s="1409"/>
      <c r="J79" s="173"/>
      <c r="K79" s="172"/>
      <c r="L79" s="173"/>
      <c r="M79" s="172"/>
      <c r="N79" s="173"/>
      <c r="O79" s="172"/>
      <c r="P79" s="173"/>
      <c r="Q79" s="172"/>
      <c r="R79" s="173"/>
      <c r="S79" s="172"/>
      <c r="T79" s="173"/>
      <c r="U79" s="172"/>
      <c r="V79" s="173"/>
    </row>
    <row r="80" spans="1:24">
      <c r="A80" s="156" t="s">
        <v>91</v>
      </c>
      <c r="F80" s="164"/>
      <c r="G80" s="1411">
        <f>SUM(G71:G77)</f>
        <v>10104541472</v>
      </c>
      <c r="H80" s="164"/>
      <c r="I80" s="1411">
        <f>SUM(I71:I77)</f>
        <v>9955987332</v>
      </c>
      <c r="J80" s="164"/>
      <c r="K80" s="179">
        <f>SUM(K71:K77)</f>
        <v>14145925469</v>
      </c>
      <c r="L80" s="164"/>
      <c r="M80" s="179">
        <f>SUM(M71:M77)</f>
        <v>9301883257</v>
      </c>
      <c r="N80" s="164"/>
      <c r="O80" s="179">
        <f>SUM(O71:O77)</f>
        <v>13883400043</v>
      </c>
      <c r="P80" s="164"/>
      <c r="Q80" s="179">
        <f>SUM(Q71:Q77)</f>
        <v>9938559952</v>
      </c>
      <c r="R80" s="164"/>
      <c r="S80" s="179">
        <f>SUM(S71:S77)</f>
        <v>18220176442</v>
      </c>
      <c r="T80" s="164"/>
      <c r="U80" s="179">
        <f>SUM(U71:U77)</f>
        <v>26936019615</v>
      </c>
      <c r="V80" s="164"/>
      <c r="W80" s="160" t="s">
        <v>1125</v>
      </c>
    </row>
    <row r="81" spans="1:26" ht="5.0999999999999996" customHeight="1">
      <c r="A81" s="156"/>
      <c r="F81" s="164"/>
      <c r="G81" s="1408"/>
      <c r="H81" s="164"/>
      <c r="I81" s="1408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0"/>
    </row>
    <row r="82" spans="1:26">
      <c r="A82" s="156" t="s">
        <v>92</v>
      </c>
      <c r="B82" s="156"/>
      <c r="C82" s="156"/>
      <c r="D82" s="162"/>
      <c r="E82" s="162"/>
      <c r="F82" s="180"/>
      <c r="G82" s="1411">
        <f>G66+G80</f>
        <v>258179220659</v>
      </c>
      <c r="H82" s="180"/>
      <c r="I82" s="1411">
        <f>I66+I80</f>
        <v>227750162734</v>
      </c>
      <c r="J82" s="180"/>
      <c r="K82" s="179">
        <f>K66+K80</f>
        <v>222773447401</v>
      </c>
      <c r="L82" s="180"/>
      <c r="M82" s="179">
        <f>M66+M80</f>
        <v>237494444229</v>
      </c>
      <c r="N82" s="180"/>
      <c r="O82" s="179">
        <f>O66+O80</f>
        <v>248129854138</v>
      </c>
      <c r="P82" s="180"/>
      <c r="Q82" s="179">
        <f>Q66+Q80</f>
        <v>236031249226</v>
      </c>
      <c r="R82" s="180"/>
      <c r="S82" s="179">
        <f>S66+S80</f>
        <v>200101526449</v>
      </c>
      <c r="T82" s="180"/>
      <c r="U82" s="179">
        <f>U66+U80</f>
        <v>161639555876</v>
      </c>
      <c r="V82" s="180"/>
      <c r="W82" s="160" t="s">
        <v>1126</v>
      </c>
      <c r="X82" s="160"/>
    </row>
    <row r="83" spans="1:26" hidden="1">
      <c r="A83" s="156"/>
      <c r="F83" s="164"/>
      <c r="G83" s="1408"/>
      <c r="H83" s="164"/>
      <c r="I83" s="1408"/>
      <c r="J83" s="164"/>
      <c r="K83" s="164"/>
      <c r="L83" s="164"/>
      <c r="M83" s="164"/>
      <c r="N83" s="164"/>
      <c r="O83" s="164">
        <f>O82-'WS Konsol'!BC506</f>
        <v>0</v>
      </c>
      <c r="P83" s="164"/>
      <c r="Q83" s="164"/>
      <c r="R83" s="164"/>
      <c r="S83" s="164"/>
      <c r="T83" s="164"/>
      <c r="U83" s="164"/>
      <c r="V83" s="164"/>
      <c r="W83" s="160"/>
    </row>
    <row r="84" spans="1:26" hidden="1">
      <c r="A84" s="156"/>
      <c r="F84" s="164"/>
      <c r="G84" s="1408"/>
      <c r="H84" s="164"/>
      <c r="I84" s="1408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0"/>
    </row>
    <row r="85" spans="1:26" hidden="1">
      <c r="A85" s="156"/>
      <c r="E85" s="162" t="s">
        <v>1054</v>
      </c>
      <c r="F85" s="166"/>
      <c r="G85" s="2226" t="s">
        <v>1127</v>
      </c>
      <c r="H85" s="166"/>
      <c r="I85" s="2226" t="s">
        <v>1127</v>
      </c>
      <c r="J85" s="166"/>
      <c r="K85" s="2223" t="s">
        <v>1127</v>
      </c>
      <c r="L85" s="166"/>
      <c r="M85" s="2223" t="s">
        <v>1127</v>
      </c>
      <c r="N85" s="166"/>
      <c r="O85" s="166"/>
      <c r="P85" s="166"/>
      <c r="Q85" s="2212" t="s">
        <v>1128</v>
      </c>
      <c r="R85" s="164"/>
      <c r="S85" s="2402"/>
      <c r="T85" s="2402"/>
      <c r="U85" s="2402"/>
      <c r="V85" s="2402"/>
      <c r="W85" s="160"/>
    </row>
    <row r="86" spans="1:26" hidden="1">
      <c r="A86" s="156"/>
      <c r="E86" s="168" t="s">
        <v>1055</v>
      </c>
      <c r="F86" s="162"/>
      <c r="G86" s="2227" t="s">
        <v>1129</v>
      </c>
      <c r="H86" s="162"/>
      <c r="I86" s="2227" t="s">
        <v>1129</v>
      </c>
      <c r="J86" s="162"/>
      <c r="K86" s="2228" t="s">
        <v>1129</v>
      </c>
      <c r="L86" s="162"/>
      <c r="M86" s="2228" t="s">
        <v>1129</v>
      </c>
      <c r="N86" s="162"/>
      <c r="O86" s="307">
        <f>O7</f>
        <v>0</v>
      </c>
      <c r="P86" s="162"/>
      <c r="Q86" s="2229" t="s">
        <v>1130</v>
      </c>
      <c r="R86" s="162"/>
      <c r="S86" s="167" t="s">
        <v>1056</v>
      </c>
      <c r="T86" s="162"/>
      <c r="U86" s="171" t="s">
        <v>135</v>
      </c>
      <c r="V86" s="162"/>
      <c r="W86" s="160"/>
    </row>
    <row r="87" spans="1:26" ht="10.35" customHeight="1">
      <c r="A87" s="156"/>
      <c r="F87" s="164"/>
      <c r="G87" s="1408"/>
      <c r="H87" s="164"/>
      <c r="I87" s="1408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V87" s="164"/>
      <c r="W87" s="160"/>
    </row>
    <row r="88" spans="1:26" ht="12" customHeight="1">
      <c r="A88" s="156" t="s">
        <v>1131</v>
      </c>
      <c r="F88" s="164"/>
      <c r="G88" s="1408"/>
      <c r="H88" s="164"/>
      <c r="I88" s="1408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0" t="s">
        <v>828</v>
      </c>
    </row>
    <row r="89" spans="1:26" ht="12" customHeight="1">
      <c r="A89" s="157" t="s">
        <v>1132</v>
      </c>
      <c r="F89" s="164"/>
      <c r="G89" s="1408"/>
      <c r="H89" s="164"/>
      <c r="I89" s="1408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76" t="s">
        <v>1133</v>
      </c>
      <c r="X89" s="176"/>
    </row>
    <row r="90" spans="1:26" ht="12" customHeight="1">
      <c r="A90" s="157" t="s">
        <v>1134</v>
      </c>
      <c r="E90" s="153"/>
      <c r="F90" s="153"/>
      <c r="G90" s="2225"/>
      <c r="H90" s="153"/>
      <c r="I90" s="2225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64"/>
      <c r="W90" s="176" t="s">
        <v>1135</v>
      </c>
      <c r="X90" s="176"/>
    </row>
    <row r="91" spans="1:26" ht="12" customHeight="1">
      <c r="A91" s="153"/>
      <c r="B91" s="157" t="s">
        <v>1136</v>
      </c>
      <c r="E91" s="153"/>
      <c r="F91" s="153"/>
      <c r="G91" s="2225"/>
      <c r="H91" s="153"/>
      <c r="I91" s="2225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64"/>
      <c r="W91" s="153"/>
      <c r="X91" s="193" t="s">
        <v>1137</v>
      </c>
    </row>
    <row r="92" spans="1:26" ht="12" customHeight="1">
      <c r="A92" s="153"/>
      <c r="B92" s="157" t="s">
        <v>1138</v>
      </c>
      <c r="E92" s="153"/>
      <c r="F92" s="153"/>
      <c r="G92" s="2225"/>
      <c r="H92" s="153"/>
      <c r="I92" s="2225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64"/>
      <c r="W92" s="153"/>
      <c r="X92" s="193" t="s">
        <v>1139</v>
      </c>
    </row>
    <row r="93" spans="1:26" ht="12" customHeight="1">
      <c r="A93" s="153"/>
      <c r="B93" s="157" t="s">
        <v>1140</v>
      </c>
      <c r="E93" s="153"/>
      <c r="F93" s="153"/>
      <c r="G93" s="2225"/>
      <c r="H93" s="153"/>
      <c r="I93" s="2225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64"/>
      <c r="W93" s="153"/>
      <c r="X93" s="193" t="s">
        <v>1141</v>
      </c>
    </row>
    <row r="94" spans="1:26" ht="12" customHeight="1">
      <c r="A94" s="153"/>
      <c r="B94" s="157" t="s">
        <v>1142</v>
      </c>
      <c r="E94" s="153"/>
      <c r="F94" s="153"/>
      <c r="G94" s="2225"/>
      <c r="H94" s="153"/>
      <c r="I94" s="2225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64"/>
      <c r="W94" s="153"/>
      <c r="X94" s="193" t="s">
        <v>1143</v>
      </c>
    </row>
    <row r="95" spans="1:26" ht="12" customHeight="1">
      <c r="A95" s="153"/>
      <c r="B95" s="157" t="s">
        <v>1144</v>
      </c>
      <c r="R95" s="164"/>
      <c r="S95" s="164">
        <f>'WS Konsol'!BF508-1000000000</f>
        <v>40000000000</v>
      </c>
      <c r="T95" s="164"/>
      <c r="U95" s="164">
        <v>40000000000</v>
      </c>
      <c r="V95" s="164"/>
      <c r="W95" s="153"/>
      <c r="X95" s="193" t="s">
        <v>1145</v>
      </c>
      <c r="Z95" s="593"/>
    </row>
    <row r="96" spans="1:26" ht="12" customHeight="1">
      <c r="A96" s="153"/>
      <c r="B96" s="2312" t="s">
        <v>1146</v>
      </c>
      <c r="R96" s="164"/>
      <c r="S96" s="164"/>
      <c r="T96" s="164"/>
      <c r="U96" s="164"/>
      <c r="V96" s="164"/>
      <c r="W96" s="153"/>
      <c r="X96" s="194" t="s">
        <v>1147</v>
      </c>
      <c r="Z96" s="593"/>
    </row>
    <row r="97" spans="1:28" ht="12" customHeight="1">
      <c r="A97" s="153"/>
      <c r="B97" s="2109" t="s">
        <v>1148</v>
      </c>
      <c r="R97" s="164"/>
      <c r="S97" s="164"/>
      <c r="T97" s="164"/>
      <c r="U97" s="164"/>
      <c r="V97" s="164"/>
      <c r="W97" s="153"/>
      <c r="X97" s="194" t="s">
        <v>1149</v>
      </c>
      <c r="Z97" s="593"/>
    </row>
    <row r="98" spans="1:28" ht="12" customHeight="1">
      <c r="B98" s="157" t="s">
        <v>1150</v>
      </c>
      <c r="E98" s="158" t="s">
        <v>1151</v>
      </c>
      <c r="F98" s="164"/>
      <c r="G98" s="1408">
        <f>'WS Konsol'!M508+'WS Konsol'!M509</f>
        <v>69500000000</v>
      </c>
      <c r="H98" s="164"/>
      <c r="I98" s="1408">
        <f>'WS Konsol'!W508-1000000000+'WS Konsol'!W509</f>
        <v>69500000000</v>
      </c>
      <c r="J98" s="164"/>
      <c r="K98" s="164">
        <f>'WS Konsol'!AT508-1000000000</f>
        <v>40000000000</v>
      </c>
      <c r="L98" s="164"/>
      <c r="M98" s="164">
        <f>'WS Konsol'!AF508-1000000000</f>
        <v>55000000000</v>
      </c>
      <c r="N98" s="164"/>
      <c r="O98" s="164">
        <f>'WS Konsol'!BC508-1000000000</f>
        <v>40000000000</v>
      </c>
      <c r="P98" s="164"/>
      <c r="Q98" s="164">
        <f>'WS Konsol'!AI508-1000000000</f>
        <v>40000000000</v>
      </c>
      <c r="R98" s="164"/>
      <c r="S98" s="164"/>
      <c r="T98" s="164"/>
      <c r="U98" s="164"/>
      <c r="V98" s="164"/>
      <c r="X98" s="163" t="s">
        <v>1152</v>
      </c>
    </row>
    <row r="99" spans="1:28" ht="12" customHeight="1">
      <c r="A99" s="157" t="s">
        <v>95</v>
      </c>
      <c r="E99" s="158">
        <v>22</v>
      </c>
      <c r="F99" s="164"/>
      <c r="G99" s="1408">
        <f>SUM('WS Konsol'!M510:M512)</f>
        <v>104623471870</v>
      </c>
      <c r="H99" s="164"/>
      <c r="I99" s="1408">
        <f>SUM('WS Konsol'!W510:W512)</f>
        <v>104623471870</v>
      </c>
      <c r="J99" s="164"/>
      <c r="K99" s="164">
        <f>'WS Konsol'!AT512</f>
        <v>49739416785</v>
      </c>
      <c r="L99" s="164"/>
      <c r="M99" s="164">
        <f>'WS Konsol'!AF512</f>
        <v>49739416785</v>
      </c>
      <c r="N99" s="164"/>
      <c r="O99" s="164">
        <f>'WS Konsol'!BC512</f>
        <v>49739416785</v>
      </c>
      <c r="P99" s="164"/>
      <c r="Q99" s="164">
        <f>'WS Konsol'!AI512</f>
        <v>49739416785</v>
      </c>
      <c r="R99" s="164"/>
      <c r="S99" s="164">
        <f>'WS Konsol'!BF512</f>
        <v>25871690669</v>
      </c>
      <c r="T99" s="164"/>
      <c r="U99" s="164">
        <v>25871690669</v>
      </c>
      <c r="V99" s="164"/>
      <c r="W99" s="163" t="s">
        <v>1153</v>
      </c>
      <c r="Y99" t="s">
        <v>1154</v>
      </c>
      <c r="AA99" t="s">
        <v>1155</v>
      </c>
    </row>
    <row r="100" spans="1:28" hidden="1">
      <c r="A100" s="157" t="s">
        <v>96</v>
      </c>
      <c r="F100" s="164"/>
      <c r="G100" s="1408">
        <v>0</v>
      </c>
      <c r="H100" s="164"/>
      <c r="I100" s="1408">
        <v>0</v>
      </c>
      <c r="J100" s="164"/>
      <c r="K100" s="186">
        <v>0</v>
      </c>
      <c r="L100" s="164"/>
      <c r="M100" s="186">
        <v>0</v>
      </c>
      <c r="N100" s="164"/>
      <c r="O100" s="186">
        <v>0</v>
      </c>
      <c r="P100" s="164"/>
      <c r="Q100" s="186">
        <v>0</v>
      </c>
      <c r="R100" s="164"/>
      <c r="S100" s="186">
        <v>23406501672.86277</v>
      </c>
      <c r="T100" s="164"/>
      <c r="U100" s="164">
        <v>22389615460.398544</v>
      </c>
      <c r="V100" s="164"/>
      <c r="W100" s="163" t="s">
        <v>1156</v>
      </c>
    </row>
    <row r="101" spans="1:28" hidden="1">
      <c r="A101" s="157" t="s">
        <v>1157</v>
      </c>
      <c r="F101" s="164"/>
      <c r="G101" s="1408"/>
      <c r="H101" s="164"/>
      <c r="I101" s="1408"/>
      <c r="J101" s="164"/>
      <c r="K101" s="174">
        <v>0</v>
      </c>
      <c r="L101" s="164"/>
      <c r="M101" s="174">
        <f>'[192]WS Des Konsol Update'!Q494</f>
        <v>0</v>
      </c>
      <c r="N101" s="164"/>
      <c r="O101" s="174">
        <v>0</v>
      </c>
      <c r="P101" s="164"/>
      <c r="Q101" s="174">
        <v>0</v>
      </c>
      <c r="R101" s="164"/>
      <c r="S101" s="195">
        <v>0</v>
      </c>
      <c r="T101" s="174"/>
      <c r="U101" s="174">
        <v>0</v>
      </c>
      <c r="V101" s="174"/>
      <c r="W101" s="163" t="s">
        <v>1158</v>
      </c>
    </row>
    <row r="102" spans="1:28" ht="12" customHeight="1">
      <c r="A102" s="157" t="s">
        <v>97</v>
      </c>
      <c r="E102" s="158">
        <v>29</v>
      </c>
      <c r="F102" s="164"/>
      <c r="G102" s="1408">
        <f>'WS Konsol'!M536</f>
        <v>-313784867</v>
      </c>
      <c r="H102" s="164"/>
      <c r="I102" s="1408">
        <f>'WS Konsol'!W536</f>
        <v>-377072852</v>
      </c>
      <c r="J102" s="164"/>
      <c r="K102" s="195">
        <f>'WS Konsol'!AT536</f>
        <v>-368797440</v>
      </c>
      <c r="L102" s="164"/>
      <c r="M102" s="195">
        <f>'WS Konsol'!AF536</f>
        <v>-377072852</v>
      </c>
      <c r="N102" s="164"/>
      <c r="O102" s="195">
        <f>'WS Konsol'!BC536</f>
        <v>-368797440</v>
      </c>
      <c r="P102" s="164"/>
      <c r="Q102" s="195">
        <f>'WS Konsol'!AI536</f>
        <v>-377072852</v>
      </c>
      <c r="R102" s="164"/>
      <c r="S102" s="195">
        <f>'WS Konsol'!BF536</f>
        <v>-368797440</v>
      </c>
      <c r="T102" s="164"/>
      <c r="U102" s="195">
        <v>-611495277</v>
      </c>
      <c r="V102" s="164"/>
      <c r="W102" s="163" t="s">
        <v>231</v>
      </c>
    </row>
    <row r="103" spans="1:28" ht="12" customHeight="1">
      <c r="A103" s="157" t="s">
        <v>98</v>
      </c>
      <c r="F103" s="164"/>
      <c r="G103" s="1408"/>
      <c r="H103" s="164"/>
      <c r="I103" s="1408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3" t="s">
        <v>1159</v>
      </c>
    </row>
    <row r="104" spans="1:28" ht="12" customHeight="1">
      <c r="B104" s="157" t="s">
        <v>223</v>
      </c>
      <c r="E104" s="158" t="s">
        <v>1160</v>
      </c>
      <c r="F104" s="164"/>
      <c r="G104" s="1408">
        <f>Q104</f>
        <v>410000000</v>
      </c>
      <c r="H104" s="164"/>
      <c r="I104" s="1408">
        <f>O104</f>
        <v>410000000</v>
      </c>
      <c r="J104" s="164"/>
      <c r="K104" s="164">
        <f>Q104</f>
        <v>410000000</v>
      </c>
      <c r="L104" s="164"/>
      <c r="M104" s="164">
        <f>Q104</f>
        <v>410000000</v>
      </c>
      <c r="N104" s="164"/>
      <c r="O104" s="164">
        <f>400000000+10000000</f>
        <v>410000000</v>
      </c>
      <c r="P104" s="164"/>
      <c r="Q104" s="164">
        <f>S104</f>
        <v>410000000</v>
      </c>
      <c r="R104" s="164"/>
      <c r="S104" s="164">
        <f>400000000+10000000</f>
        <v>410000000</v>
      </c>
      <c r="T104" s="164"/>
      <c r="U104" s="186">
        <v>0</v>
      </c>
      <c r="V104" s="174"/>
      <c r="X104" s="176" t="s">
        <v>1161</v>
      </c>
      <c r="AB104" s="121"/>
    </row>
    <row r="105" spans="1:28" ht="12" customHeight="1">
      <c r="B105" s="157" t="s">
        <v>1162</v>
      </c>
      <c r="E105" s="158" t="s">
        <v>1160</v>
      </c>
      <c r="F105" s="164"/>
      <c r="G105" s="1410">
        <f>'WS Konsol'!M525-G104</f>
        <v>4870466041</v>
      </c>
      <c r="H105" s="164"/>
      <c r="I105" s="1410">
        <f>'WS Konsol'!W525-'WS Konsol'!Q525+'WS Konsol'!Q525+'WS Konsol'!Q508-I104</f>
        <v>6207104927</v>
      </c>
      <c r="J105" s="164"/>
      <c r="K105" s="187">
        <f>'WS Konsol'!AT525-'WS Konsol'!AN525+'WS Konsol'!AN525+'WS Konsol'!AN508-K104</f>
        <v>18589570707</v>
      </c>
      <c r="L105" s="164"/>
      <c r="M105" s="187">
        <f>'WS Konsol'!AF525-'WS Konsol'!Z525+'WS Konsol'!Z525+'WS Konsol'!Z508-M104</f>
        <v>5393649296</v>
      </c>
      <c r="N105" s="164"/>
      <c r="O105" s="187">
        <f>'WS Konsol'!BC525-'WS Konsol'!AW525+'WS Konsol'!AW525+'WS Konsol'!AW508-O104</f>
        <v>18621152951</v>
      </c>
      <c r="P105" s="164"/>
      <c r="Q105" s="1085">
        <v>19521729837</v>
      </c>
      <c r="R105" s="164"/>
      <c r="S105" s="1086">
        <v>18237502879</v>
      </c>
      <c r="T105" s="164"/>
      <c r="U105" s="1086">
        <f>ROUNDDOWN(13426333849.6015,0)</f>
        <v>13426333849</v>
      </c>
      <c r="V105" s="164"/>
      <c r="X105" s="176" t="s">
        <v>1163</v>
      </c>
    </row>
    <row r="106" spans="1:28" ht="5.0999999999999996" customHeight="1">
      <c r="F106" s="164"/>
      <c r="G106" s="1408"/>
      <c r="H106" s="164"/>
      <c r="I106" s="1408"/>
      <c r="J106" s="164"/>
      <c r="K106" s="164"/>
      <c r="L106" s="164"/>
      <c r="M106" s="164"/>
      <c r="N106" s="164"/>
      <c r="O106" s="164"/>
      <c r="P106" s="164"/>
      <c r="Q106" s="196"/>
      <c r="R106" s="164"/>
      <c r="S106" s="196"/>
      <c r="T106" s="164"/>
      <c r="U106" s="196"/>
      <c r="V106" s="164"/>
      <c r="W106" s="176"/>
    </row>
    <row r="107" spans="1:28">
      <c r="A107" s="156" t="s">
        <v>101</v>
      </c>
      <c r="B107" s="156"/>
      <c r="C107" s="156"/>
      <c r="D107" s="162"/>
      <c r="E107" s="162"/>
      <c r="F107" s="180"/>
      <c r="G107" s="1416">
        <f>SUM(G91:G105)</f>
        <v>179090153044</v>
      </c>
      <c r="H107" s="180"/>
      <c r="I107" s="1416">
        <f>SUM(I91:I105)</f>
        <v>180363503945</v>
      </c>
      <c r="J107" s="180"/>
      <c r="K107" s="179">
        <f>SUM(K91:K105)</f>
        <v>108370190052</v>
      </c>
      <c r="L107" s="180"/>
      <c r="M107" s="179">
        <f>SUM(M91:M105)</f>
        <v>110165993229</v>
      </c>
      <c r="N107" s="180"/>
      <c r="O107" s="179">
        <f>SUM(O91:O105)</f>
        <v>108401772296</v>
      </c>
      <c r="P107" s="180"/>
      <c r="Q107" s="179">
        <f>SUM(Q91:Q105)</f>
        <v>109294073770</v>
      </c>
      <c r="R107" s="180"/>
      <c r="S107" s="179">
        <f>SUM(S91:S105)</f>
        <v>107556897780.86276</v>
      </c>
      <c r="T107" s="180"/>
      <c r="U107" s="179">
        <f>SUM(U91:U105)</f>
        <v>101076144701.39854</v>
      </c>
      <c r="V107" s="180"/>
      <c r="W107" s="160" t="s">
        <v>1164</v>
      </c>
      <c r="X107" s="160"/>
    </row>
    <row r="108" spans="1:28" hidden="1">
      <c r="F108" s="164"/>
      <c r="G108" s="1408"/>
      <c r="H108" s="164"/>
      <c r="I108" s="1408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</row>
    <row r="109" spans="1:28" ht="5.0999999999999996" customHeight="1">
      <c r="A109" s="156"/>
      <c r="F109" s="164"/>
      <c r="G109" s="1408"/>
      <c r="H109" s="164"/>
      <c r="I109" s="1408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97"/>
    </row>
    <row r="110" spans="1:28" ht="15" thickBot="1">
      <c r="A110" s="156" t="s">
        <v>102</v>
      </c>
      <c r="B110" s="156"/>
      <c r="C110" s="156"/>
      <c r="D110" s="162"/>
      <c r="E110" s="162"/>
      <c r="F110" s="180"/>
      <c r="G110" s="1417">
        <f>G82+G107</f>
        <v>437269373703</v>
      </c>
      <c r="H110" s="180"/>
      <c r="I110" s="1417">
        <f>I82+I107</f>
        <v>408113666679</v>
      </c>
      <c r="J110" s="180"/>
      <c r="K110" s="188">
        <f>K82+K107</f>
        <v>331143637453</v>
      </c>
      <c r="L110" s="180"/>
      <c r="M110" s="188">
        <f>M82+M107</f>
        <v>347660437458</v>
      </c>
      <c r="N110" s="180"/>
      <c r="O110" s="188">
        <f>O82+O107</f>
        <v>356531626434</v>
      </c>
      <c r="P110" s="180"/>
      <c r="Q110" s="188">
        <f>Q82+Q107</f>
        <v>345325322996</v>
      </c>
      <c r="R110" s="180"/>
      <c r="S110" s="188">
        <f>S82+S107</f>
        <v>307658424229.86279</v>
      </c>
      <c r="T110" s="180"/>
      <c r="U110" s="188">
        <f>ROUNDUP(U82+U107,0)</f>
        <v>262715700578</v>
      </c>
      <c r="V110" s="180"/>
      <c r="W110" s="160" t="s">
        <v>1165</v>
      </c>
      <c r="X110" s="160"/>
    </row>
    <row r="111" spans="1:28" ht="4.5" customHeight="1" thickTop="1">
      <c r="F111" s="164"/>
      <c r="G111" s="1408"/>
      <c r="H111" s="164"/>
      <c r="I111" s="1408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</row>
    <row r="112" spans="1:28" hidden="1">
      <c r="A112" s="157" t="s">
        <v>1166</v>
      </c>
      <c r="F112" s="164"/>
      <c r="G112" s="1408"/>
      <c r="H112" s="164"/>
      <c r="I112" s="1408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</row>
    <row r="113" spans="3:24">
      <c r="C113" s="199" t="s">
        <v>1167</v>
      </c>
      <c r="D113" s="200"/>
      <c r="E113" s="200"/>
      <c r="F113" s="202"/>
      <c r="G113" s="1418">
        <f>G110-G42</f>
        <v>0</v>
      </c>
      <c r="H113" s="202"/>
      <c r="I113" s="1418">
        <f>'WS Konsol'!W539</f>
        <v>408113666679</v>
      </c>
      <c r="J113" s="202"/>
      <c r="K113" s="201">
        <f>'WS Konsol'!AT539</f>
        <v>331143637453</v>
      </c>
      <c r="L113" s="202"/>
      <c r="M113" s="201">
        <f>'WS Konsol'!AF539</f>
        <v>347660437458</v>
      </c>
      <c r="N113" s="202"/>
      <c r="O113" s="201">
        <f>'WS Konsol'!BC539</f>
        <v>356531626434</v>
      </c>
      <c r="P113" s="202"/>
      <c r="Q113" s="1418">
        <f>Q110-Q42</f>
        <v>0</v>
      </c>
      <c r="R113" s="202"/>
      <c r="S113" s="201">
        <f>'WS Konsol'!BF539</f>
        <v>307658424229</v>
      </c>
      <c r="T113" s="202"/>
      <c r="U113" s="201">
        <f>'WS Konsol'!BH539</f>
        <v>262715700580</v>
      </c>
      <c r="V113" s="202"/>
      <c r="X113" s="161"/>
    </row>
    <row r="114" spans="3:24">
      <c r="C114" s="203"/>
      <c r="F114" s="164"/>
      <c r="G114" s="1408"/>
      <c r="H114" s="164"/>
      <c r="I114" s="1408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</row>
    <row r="115" spans="3:24">
      <c r="Q115" s="204"/>
      <c r="S115" s="204"/>
    </row>
    <row r="117" spans="3:24">
      <c r="E117" s="2110" t="s">
        <v>1168</v>
      </c>
      <c r="G117" s="206">
        <f>G23/G66</f>
        <v>1.4561190417733272</v>
      </c>
      <c r="H117" s="2230"/>
      <c r="I117" s="206">
        <f>I23/I66</f>
        <v>1.5166666289826163</v>
      </c>
      <c r="J117" s="2230"/>
      <c r="K117" s="2230"/>
      <c r="L117" s="2230"/>
      <c r="M117" s="206">
        <f>M23/M66</f>
        <v>1.1737380039433654</v>
      </c>
      <c r="N117" s="2230"/>
      <c r="O117" s="2230"/>
      <c r="P117" s="2230"/>
      <c r="Q117" s="206">
        <f>Q23/Q66</f>
        <v>1.1257677215760817</v>
      </c>
      <c r="S117" s="205">
        <f>S23/S66</f>
        <v>1.1354549691106417</v>
      </c>
      <c r="U117" s="205">
        <f>U23/U66</f>
        <v>1.1230512152025738</v>
      </c>
    </row>
    <row r="118" spans="3:24">
      <c r="E118" s="2110" t="s">
        <v>1169</v>
      </c>
      <c r="G118" s="206">
        <f>'PL Konsol'!E50/'BS Konsol-Des 24'!G42</f>
        <v>0</v>
      </c>
      <c r="H118" s="2230"/>
      <c r="I118" s="206" t="e">
        <f>'PL Konsol'!F50/I42</f>
        <v>#REF!</v>
      </c>
      <c r="J118" s="2230"/>
      <c r="K118" s="2230"/>
      <c r="L118" s="2230"/>
      <c r="M118" s="206" t="e">
        <f>'PL Konsol'!J50/M42</f>
        <v>#REF!</v>
      </c>
      <c r="N118" s="2230"/>
      <c r="O118" s="2230"/>
      <c r="P118" s="2230"/>
      <c r="Q118" s="206">
        <f>'PL Konsol'!O50/'BS Konsol-Des 24'!Q42</f>
        <v>5.0305490889821659E-3</v>
      </c>
      <c r="R118" s="206"/>
      <c r="S118" s="206">
        <f>'[192]PL Konsol'!L36/'[192]BS Konsol'!K55</f>
        <v>1.6938164597891839E-2</v>
      </c>
      <c r="T118" s="206"/>
      <c r="U118" s="206">
        <f>'[192]PL Konsol'!N36/'[192]BS Konsol'!M55</f>
        <v>1.2695289867577677E-2</v>
      </c>
    </row>
    <row r="119" spans="3:24">
      <c r="E119" s="2110" t="s">
        <v>1170</v>
      </c>
      <c r="G119" s="206">
        <f>'PL Konsol'!E50/G107</f>
        <v>0</v>
      </c>
      <c r="H119" s="2230"/>
      <c r="I119" s="206" t="e">
        <f>'PL Konsol'!F50/I107</f>
        <v>#REF!</v>
      </c>
      <c r="J119" s="2230"/>
      <c r="K119" s="2230"/>
      <c r="L119" s="2230"/>
      <c r="M119" s="206" t="e">
        <f>'PL Konsol'!J50/M107</f>
        <v>#REF!</v>
      </c>
      <c r="N119" s="2230"/>
      <c r="O119" s="2230"/>
      <c r="P119" s="2230"/>
      <c r="Q119" s="206">
        <f>'PL Konsol'!O50/Q107</f>
        <v>1.5894512200686543E-2</v>
      </c>
      <c r="R119" s="206"/>
      <c r="S119" s="206">
        <f>'[192]PL Konsol'!L36/'[192]BS Konsol'!K122</f>
        <v>4.8450347091140544E-2</v>
      </c>
      <c r="T119" s="206"/>
      <c r="U119" s="206">
        <f>'[192]PL Konsol'!N36/'[192]BS Konsol'!M122</f>
        <v>3.299741973177435E-2</v>
      </c>
    </row>
    <row r="120" spans="3:24">
      <c r="E120" s="2110" t="s">
        <v>1171</v>
      </c>
      <c r="G120" s="206">
        <f>'RASIO KEUANGAN'!C12</f>
        <v>8.8497868623575185E-2</v>
      </c>
      <c r="H120" s="2230"/>
      <c r="I120" s="2230"/>
      <c r="J120" s="2230"/>
      <c r="K120" s="2230"/>
      <c r="L120" s="2230"/>
      <c r="M120" s="2230"/>
      <c r="N120" s="2230"/>
      <c r="O120" s="2230"/>
      <c r="P120" s="2230"/>
      <c r="Q120" s="206">
        <f>'RASIO KEUANGAN'!D12</f>
        <v>0.14611871249052788</v>
      </c>
      <c r="R120" s="205"/>
      <c r="S120" s="206">
        <f>'[192]Rasio DSCR'!D15/'[192]PL Konsol'!L11</f>
        <v>6.1853422356167226E-2</v>
      </c>
      <c r="T120" s="205"/>
      <c r="U120" s="205">
        <f>'[192]Rasio DSCR'!F15/'[192]PL Konsol'!N11</f>
        <v>0</v>
      </c>
    </row>
  </sheetData>
  <mergeCells count="5">
    <mergeCell ref="S85:V85"/>
    <mergeCell ref="A1:V1"/>
    <mergeCell ref="A2:V2"/>
    <mergeCell ref="A3:V3"/>
    <mergeCell ref="A4:V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3D2E-F2B5-42C0-A014-F96B12CDEEDE}">
  <sheetPr>
    <tabColor rgb="FFC00000"/>
  </sheetPr>
  <dimension ref="A1:AP60"/>
  <sheetViews>
    <sheetView showGridLines="0" topLeftCell="A17" zoomScaleNormal="100" workbookViewId="0">
      <selection activeCell="Z26" sqref="Z26"/>
    </sheetView>
  </sheetViews>
  <sheetFormatPr defaultRowHeight="14.45"/>
  <cols>
    <col min="1" max="1" width="1.5703125" customWidth="1"/>
    <col min="3" max="3" width="23.42578125" customWidth="1"/>
    <col min="4" max="4" width="7.5703125" customWidth="1"/>
    <col min="5" max="5" width="0.5703125" customWidth="1"/>
    <col min="6" max="6" width="16.5703125" hidden="1" customWidth="1"/>
    <col min="7" max="7" width="2.42578125" hidden="1" customWidth="1"/>
    <col min="8" max="8" width="15.42578125" hidden="1" customWidth="1"/>
    <col min="9" max="9" width="1.42578125" hidden="1" customWidth="1"/>
    <col min="10" max="10" width="16.5703125" hidden="1" customWidth="1"/>
    <col min="11" max="11" width="2.42578125" hidden="1" customWidth="1"/>
    <col min="12" max="12" width="14.42578125" hidden="1" customWidth="1"/>
    <col min="13" max="13" width="16.140625" customWidth="1"/>
    <col min="14" max="14" width="0.5703125" customWidth="1"/>
    <col min="15" max="15" width="16.140625" customWidth="1"/>
    <col min="16" max="16" width="0.5703125" customWidth="1"/>
    <col min="17" max="17" width="14.5703125" hidden="1" customWidth="1"/>
    <col min="18" max="18" width="2" hidden="1" customWidth="1"/>
    <col min="19" max="19" width="14.5703125" hidden="1" customWidth="1"/>
    <col min="20" max="20" width="3.5703125" hidden="1" customWidth="1"/>
    <col min="21" max="21" width="1.5703125" customWidth="1"/>
    <col min="22" max="24" width="8.5703125" customWidth="1"/>
    <col min="25" max="25" width="7.42578125" customWidth="1"/>
    <col min="26" max="26" width="17.42578125" bestFit="1" customWidth="1"/>
    <col min="27" max="27" width="6.42578125" hidden="1" customWidth="1"/>
    <col min="28" max="28" width="3.42578125" hidden="1" customWidth="1"/>
    <col min="29" max="29" width="6.42578125" hidden="1" customWidth="1"/>
    <col min="30" max="30" width="13.42578125" bestFit="1" customWidth="1"/>
    <col min="31" max="31" width="3.5703125" customWidth="1"/>
    <col min="32" max="32" width="8.5703125" hidden="1" customWidth="1"/>
    <col min="33" max="33" width="1.42578125" hidden="1" customWidth="1"/>
    <col min="34" max="34" width="7.42578125" hidden="1" customWidth="1"/>
    <col min="35" max="35" width="2.42578125" hidden="1" customWidth="1"/>
    <col min="36" max="36" width="4.5703125" bestFit="1" customWidth="1"/>
    <col min="37" max="37" width="1.5703125" customWidth="1"/>
    <col min="38" max="38" width="5.42578125" bestFit="1" customWidth="1"/>
    <col min="39" max="39" width="1.5703125" customWidth="1"/>
    <col min="40" max="40" width="13.42578125" bestFit="1" customWidth="1"/>
  </cols>
  <sheetData>
    <row r="1" spans="1:42">
      <c r="A1" s="2404" t="s">
        <v>1050</v>
      </c>
      <c r="B1" s="2404"/>
      <c r="C1" s="2404"/>
      <c r="D1" s="2404"/>
      <c r="E1" s="2404"/>
      <c r="F1" s="2404"/>
      <c r="G1" s="2404"/>
      <c r="H1" s="2404"/>
      <c r="I1" s="2404"/>
      <c r="J1" s="2404"/>
      <c r="K1" s="2404"/>
      <c r="L1" s="2404"/>
      <c r="M1" s="2404"/>
      <c r="N1" s="2404"/>
      <c r="O1" s="2404"/>
      <c r="P1" s="2404"/>
      <c r="Q1" s="2404"/>
      <c r="R1" s="2404"/>
      <c r="S1" s="2404"/>
      <c r="T1" s="308"/>
      <c r="U1" s="309"/>
      <c r="V1" s="308"/>
      <c r="W1" s="308"/>
      <c r="Y1" s="640" t="s">
        <v>1172</v>
      </c>
      <c r="Z1" s="641"/>
    </row>
    <row r="2" spans="1:42">
      <c r="A2" s="2404" t="s">
        <v>1173</v>
      </c>
      <c r="B2" s="2404"/>
      <c r="C2" s="2404"/>
      <c r="D2" s="2404"/>
      <c r="E2" s="2404"/>
      <c r="F2" s="2404"/>
      <c r="G2" s="2404"/>
      <c r="H2" s="2404"/>
      <c r="I2" s="2404"/>
      <c r="J2" s="2404"/>
      <c r="K2" s="2404"/>
      <c r="L2" s="2404"/>
      <c r="M2" s="2404"/>
      <c r="N2" s="2404"/>
      <c r="O2" s="2404"/>
      <c r="P2" s="2404"/>
      <c r="Q2" s="2404"/>
      <c r="R2" s="2404"/>
      <c r="S2" s="2404"/>
      <c r="T2" s="308"/>
      <c r="U2" s="309"/>
      <c r="V2" s="308"/>
      <c r="W2" s="308"/>
      <c r="AA2" s="646">
        <v>45536</v>
      </c>
      <c r="AB2" s="647"/>
      <c r="AC2" s="646">
        <v>45170</v>
      </c>
      <c r="AD2" s="648">
        <v>2024</v>
      </c>
      <c r="AE2" s="647"/>
      <c r="AF2" s="646">
        <v>45444</v>
      </c>
      <c r="AG2" s="647"/>
      <c r="AH2" s="646">
        <v>45078</v>
      </c>
      <c r="AI2" s="647"/>
      <c r="AJ2" s="648">
        <v>2023</v>
      </c>
      <c r="AK2" s="648"/>
      <c r="AL2" s="648">
        <v>2022</v>
      </c>
      <c r="AM2" s="648"/>
      <c r="AN2" s="648">
        <v>2021</v>
      </c>
    </row>
    <row r="3" spans="1:42">
      <c r="A3" s="2404" t="s">
        <v>1174</v>
      </c>
      <c r="B3" s="2404"/>
      <c r="C3" s="2404"/>
      <c r="D3" s="2404"/>
      <c r="E3" s="2404"/>
      <c r="F3" s="2404"/>
      <c r="G3" s="2404"/>
      <c r="H3" s="2404"/>
      <c r="I3" s="2404"/>
      <c r="J3" s="2404"/>
      <c r="K3" s="2404"/>
      <c r="L3" s="2404"/>
      <c r="M3" s="2404"/>
      <c r="N3" s="2404"/>
      <c r="O3" s="2404"/>
      <c r="P3" s="2404"/>
      <c r="Q3" s="2404"/>
      <c r="R3" s="2404"/>
      <c r="S3" s="2404"/>
      <c r="T3" s="308"/>
      <c r="U3" s="309"/>
      <c r="V3" s="308"/>
      <c r="W3" s="308"/>
      <c r="AA3" s="643">
        <f>F14/F11</f>
        <v>0.3301635837923817</v>
      </c>
      <c r="AB3" s="642"/>
      <c r="AC3" s="643">
        <f>H14/H11</f>
        <v>0.35141395463002562</v>
      </c>
      <c r="AD3" s="644">
        <f>M14/M11</f>
        <v>0.23445382073349785</v>
      </c>
      <c r="AE3" s="642"/>
      <c r="AF3" s="643">
        <f>J14/J11</f>
        <v>0.35123800415802336</v>
      </c>
      <c r="AG3" s="642"/>
      <c r="AH3" s="643">
        <f>L14/L11</f>
        <v>0.32999103311961425</v>
      </c>
      <c r="AI3" s="642"/>
      <c r="AJ3" s="644">
        <f>O14/O11</f>
        <v>0.32631034341435039</v>
      </c>
      <c r="AK3" s="644"/>
      <c r="AL3" s="644">
        <f>Q14/Q11</f>
        <v>0.22051538495738268</v>
      </c>
      <c r="AM3" s="645"/>
      <c r="AN3" s="644">
        <f>S14/S11</f>
        <v>0.22495715723725057</v>
      </c>
    </row>
    <row r="4" spans="1:42">
      <c r="A4" s="2404" t="s">
        <v>1175</v>
      </c>
      <c r="B4" s="2404"/>
      <c r="C4" s="2404"/>
      <c r="D4" s="2404"/>
      <c r="E4" s="2404"/>
      <c r="F4" s="2404"/>
      <c r="G4" s="2404"/>
      <c r="H4" s="2404"/>
      <c r="I4" s="2404"/>
      <c r="J4" s="2404"/>
      <c r="K4" s="2404"/>
      <c r="L4" s="2404"/>
      <c r="M4" s="2404"/>
      <c r="N4" s="2404"/>
      <c r="O4" s="2404"/>
      <c r="P4" s="2404"/>
      <c r="Q4" s="2404"/>
      <c r="R4" s="2404"/>
      <c r="S4" s="2404"/>
      <c r="T4" s="308"/>
      <c r="U4" s="309"/>
      <c r="V4" s="308"/>
      <c r="W4" s="308"/>
    </row>
    <row r="5" spans="1:42">
      <c r="A5" s="2404" t="s">
        <v>1053</v>
      </c>
      <c r="B5" s="2404"/>
      <c r="C5" s="2404"/>
      <c r="D5" s="2404"/>
      <c r="E5" s="2404"/>
      <c r="F5" s="2404"/>
      <c r="G5" s="2404"/>
      <c r="H5" s="2404"/>
      <c r="I5" s="2404"/>
      <c r="J5" s="2404"/>
      <c r="K5" s="2404"/>
      <c r="L5" s="2404"/>
      <c r="M5" s="2404"/>
      <c r="N5" s="2404"/>
      <c r="O5" s="2404"/>
      <c r="P5" s="2404"/>
      <c r="Q5" s="2404"/>
      <c r="R5" s="2404"/>
      <c r="S5" s="2404"/>
      <c r="T5" s="308"/>
      <c r="U5" s="309"/>
      <c r="V5" s="308"/>
      <c r="W5" s="308"/>
      <c r="Y5" s="342"/>
    </row>
    <row r="6" spans="1:42">
      <c r="A6" s="1143"/>
      <c r="B6" s="1087"/>
      <c r="C6" s="1143"/>
      <c r="D6" s="1143"/>
      <c r="E6" s="1143"/>
      <c r="F6" s="1143"/>
      <c r="G6" s="1143"/>
      <c r="H6" s="1143"/>
      <c r="I6" s="1143"/>
      <c r="J6" s="1143"/>
      <c r="K6" s="1143"/>
      <c r="L6" s="1143"/>
      <c r="M6" s="1143"/>
      <c r="N6" s="1143"/>
      <c r="O6" s="1143"/>
      <c r="P6" s="1143"/>
      <c r="Q6" s="1143"/>
      <c r="R6" s="1143"/>
      <c r="S6" s="1143"/>
      <c r="U6" s="1088"/>
    </row>
    <row r="7" spans="1:42">
      <c r="A7" s="310"/>
      <c r="C7" s="311"/>
      <c r="D7" s="308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3"/>
      <c r="P7" s="313"/>
      <c r="Q7" s="313"/>
      <c r="R7" s="313"/>
      <c r="S7" s="313"/>
      <c r="T7" s="308"/>
      <c r="U7" s="309"/>
      <c r="V7" s="308"/>
      <c r="W7" s="308"/>
      <c r="AF7" s="1145"/>
      <c r="AG7" s="1145"/>
      <c r="AH7" s="1145"/>
      <c r="AI7" s="1145"/>
      <c r="AJ7" s="1145"/>
      <c r="AK7" s="314"/>
      <c r="AL7" s="1145"/>
    </row>
    <row r="8" spans="1:42" ht="13.35" customHeight="1">
      <c r="A8" s="1087"/>
      <c r="B8" s="1087"/>
      <c r="C8" s="1087"/>
      <c r="D8" s="162" t="s">
        <v>1054</v>
      </c>
      <c r="E8" s="158"/>
      <c r="F8" s="162"/>
      <c r="G8" s="158"/>
      <c r="H8" s="162"/>
      <c r="I8" s="158"/>
      <c r="J8" s="162"/>
      <c r="K8" s="158"/>
      <c r="L8" s="162"/>
      <c r="M8" s="2402"/>
      <c r="N8" s="2402"/>
      <c r="O8" s="2402"/>
      <c r="P8" s="166"/>
      <c r="Q8" s="166"/>
      <c r="R8" s="166"/>
      <c r="S8" s="166"/>
      <c r="U8" s="1088"/>
      <c r="Y8" s="158"/>
      <c r="AA8" s="162"/>
      <c r="AB8" s="162"/>
      <c r="AC8" s="162"/>
      <c r="AD8" s="162"/>
      <c r="AE8" s="162"/>
      <c r="AF8" s="158"/>
      <c r="AH8" s="1088"/>
      <c r="AP8" s="162"/>
    </row>
    <row r="9" spans="1:42" ht="13.35" customHeight="1" thickBot="1">
      <c r="A9" s="1087"/>
      <c r="B9" s="1087"/>
      <c r="C9" s="1087"/>
      <c r="D9" s="168" t="s">
        <v>1055</v>
      </c>
      <c r="E9" s="162"/>
      <c r="F9" s="1226">
        <v>45536</v>
      </c>
      <c r="G9" s="162"/>
      <c r="H9" s="1226">
        <v>45170</v>
      </c>
      <c r="I9" s="162"/>
      <c r="J9" s="1226">
        <v>45444</v>
      </c>
      <c r="K9" s="162"/>
      <c r="L9" s="1226">
        <v>45078</v>
      </c>
      <c r="M9" s="167">
        <v>2024</v>
      </c>
      <c r="N9" s="162"/>
      <c r="O9" s="167">
        <v>2023</v>
      </c>
      <c r="P9" s="162"/>
      <c r="Q9" s="1089" t="s">
        <v>1056</v>
      </c>
      <c r="R9" s="162"/>
      <c r="S9" s="1090">
        <v>2021</v>
      </c>
      <c r="U9" s="1088"/>
      <c r="Y9" s="162"/>
      <c r="AA9" s="1146"/>
      <c r="AB9" s="1146"/>
      <c r="AC9" s="1146"/>
      <c r="AD9" s="1146"/>
      <c r="AE9" s="1146"/>
      <c r="AF9" s="162"/>
      <c r="AH9" s="1088"/>
      <c r="AP9" s="1146"/>
    </row>
    <row r="10" spans="1:42" ht="8.85" customHeight="1">
      <c r="A10" s="314"/>
      <c r="B10" s="314"/>
      <c r="C10" s="314"/>
      <c r="D10" s="314"/>
      <c r="E10" s="1091"/>
      <c r="F10" s="1091"/>
      <c r="G10" s="1091"/>
      <c r="H10" s="1091"/>
      <c r="I10" s="1091"/>
      <c r="J10" s="1091"/>
      <c r="K10" s="1091"/>
      <c r="L10" s="1091"/>
      <c r="M10" s="1091"/>
      <c r="N10" s="1091"/>
      <c r="O10" s="1092"/>
      <c r="Q10" s="1092"/>
      <c r="R10" s="314"/>
      <c r="S10" s="1092"/>
      <c r="U10" s="1088"/>
      <c r="Y10" s="1091"/>
      <c r="AA10" s="1091"/>
      <c r="AB10" s="1091"/>
      <c r="AC10" s="1091"/>
      <c r="AD10" s="1091"/>
      <c r="AE10" s="1091"/>
      <c r="AF10" s="1091"/>
      <c r="AH10" s="1088"/>
      <c r="AP10" s="1091"/>
    </row>
    <row r="11" spans="1:42">
      <c r="A11" s="1087" t="s">
        <v>853</v>
      </c>
      <c r="B11" s="1087"/>
      <c r="C11" s="314"/>
      <c r="D11" s="1091">
        <v>23</v>
      </c>
      <c r="E11" s="1091"/>
      <c r="F11" s="315">
        <f>'WS Konsol'!W554</f>
        <v>160540499628</v>
      </c>
      <c r="G11" s="1091"/>
      <c r="H11" s="315">
        <f>'WS Konsol'!AT554</f>
        <v>149774869471</v>
      </c>
      <c r="I11" s="1091"/>
      <c r="J11" s="315">
        <f>'WS Konsol'!AF554</f>
        <v>106697349798</v>
      </c>
      <c r="K11" s="1091"/>
      <c r="L11" s="315">
        <f>'WS Konsol'!BC554</f>
        <v>120318473492</v>
      </c>
      <c r="M11" s="315">
        <f>'WS Konsol'!M554</f>
        <v>322560213288.07001</v>
      </c>
      <c r="N11" s="2132"/>
      <c r="O11" s="315">
        <f>'WS Konsol'!AI554</f>
        <v>199222794205</v>
      </c>
      <c r="P11" s="1093"/>
      <c r="Q11" s="315">
        <f>'WS Konsol'!BF554</f>
        <v>382316276945</v>
      </c>
      <c r="R11" s="1092"/>
      <c r="S11" s="315">
        <f>'WS Konsol'!BH554</f>
        <v>303872116071</v>
      </c>
      <c r="T11" s="1093"/>
      <c r="U11" s="1094" t="s">
        <v>1176</v>
      </c>
      <c r="Y11" s="2282"/>
      <c r="Z11" s="121"/>
      <c r="AA11" s="1560"/>
      <c r="AB11" s="315"/>
      <c r="AC11" s="1560"/>
      <c r="AD11" s="1560"/>
      <c r="AE11" s="315"/>
      <c r="AF11" s="1091"/>
      <c r="AG11" s="1093"/>
      <c r="AH11" s="1094"/>
      <c r="AJ11" s="1093"/>
      <c r="AP11" s="1560"/>
    </row>
    <row r="12" spans="1:42">
      <c r="A12" s="1087" t="s">
        <v>1177</v>
      </c>
      <c r="B12" s="1087"/>
      <c r="C12" s="314"/>
      <c r="D12" s="1091">
        <v>24</v>
      </c>
      <c r="E12" s="1091"/>
      <c r="F12" s="316">
        <f>-'WS Konsol'!W640</f>
        <v>-107535872927</v>
      </c>
      <c r="G12" s="1091"/>
      <c r="H12" s="316">
        <f>-'WS Konsol'!AT640</f>
        <v>-97141890286</v>
      </c>
      <c r="I12" s="1091"/>
      <c r="J12" s="316">
        <f>-'WS Konsol'!AF640</f>
        <v>-69221185606</v>
      </c>
      <c r="K12" s="1091"/>
      <c r="L12" s="316">
        <f>-'WS Konsol'!BC640</f>
        <v>-80614456121</v>
      </c>
      <c r="M12" s="316">
        <f>-'WS Konsol'!M640</f>
        <v>-246934738866.31</v>
      </c>
      <c r="N12" s="2132"/>
      <c r="O12" s="316">
        <f>-'WS Konsol'!AI640</f>
        <v>-134214335812</v>
      </c>
      <c r="P12" s="1093"/>
      <c r="Q12" s="316">
        <f>-'WS Konsol'!BF640</f>
        <v>-298009655959</v>
      </c>
      <c r="R12" s="1092"/>
      <c r="S12" s="316">
        <f>-'WS Konsol'!BH640</f>
        <v>-235513908676</v>
      </c>
      <c r="T12" s="1093"/>
      <c r="U12" s="1094" t="s">
        <v>1178</v>
      </c>
      <c r="Y12" s="1091"/>
      <c r="Z12" s="121"/>
      <c r="AA12" s="1560"/>
      <c r="AB12" s="315"/>
      <c r="AC12" s="1560"/>
      <c r="AD12" s="1560"/>
      <c r="AE12" s="315"/>
      <c r="AF12" s="1091"/>
      <c r="AG12" s="1093"/>
      <c r="AH12" s="1094"/>
      <c r="AJ12" s="1093"/>
      <c r="AM12" s="1093"/>
      <c r="AP12" s="1560"/>
    </row>
    <row r="13" spans="1:42" ht="4.3499999999999996" customHeight="1">
      <c r="A13" s="314"/>
      <c r="B13" s="1087"/>
      <c r="C13" s="314"/>
      <c r="D13" s="314"/>
      <c r="E13" s="1091"/>
      <c r="F13" s="1092"/>
      <c r="G13" s="1091"/>
      <c r="H13" s="1092"/>
      <c r="I13" s="1091"/>
      <c r="J13" s="1092"/>
      <c r="K13" s="1091"/>
      <c r="L13" s="1092"/>
      <c r="M13" s="1092"/>
      <c r="N13" s="2132"/>
      <c r="O13" s="1092"/>
      <c r="P13" s="1093"/>
      <c r="Q13" s="1092"/>
      <c r="R13" s="1092"/>
      <c r="S13" s="1092"/>
      <c r="U13" s="1096"/>
      <c r="Y13" s="1091"/>
      <c r="Z13" s="121"/>
      <c r="AA13" s="1590"/>
      <c r="AB13" s="1092"/>
      <c r="AC13" s="1590"/>
      <c r="AD13" s="1590"/>
      <c r="AE13" s="1092"/>
      <c r="AF13" s="1091"/>
      <c r="AH13" s="1096"/>
      <c r="AJ13" s="1093"/>
      <c r="AP13" s="1590"/>
    </row>
    <row r="14" spans="1:42" ht="12" customHeight="1">
      <c r="A14" s="1087" t="s">
        <v>1179</v>
      </c>
      <c r="B14" s="1087"/>
      <c r="C14" s="314"/>
      <c r="D14" s="314"/>
      <c r="E14" s="1091"/>
      <c r="F14" s="317">
        <f>ROUND(F11+F12,0)</f>
        <v>53004626701</v>
      </c>
      <c r="G14" s="1091"/>
      <c r="H14" s="317">
        <f>ROUND(H11+H12,0)</f>
        <v>52632979185</v>
      </c>
      <c r="I14" s="1091"/>
      <c r="J14" s="317">
        <f>ROUND(J11+J12,0)</f>
        <v>37476164192</v>
      </c>
      <c r="K14" s="1091"/>
      <c r="L14" s="317">
        <f>ROUND(L11+L12,0)</f>
        <v>39704017371</v>
      </c>
      <c r="M14" s="317">
        <f>ROUND(M11+M12,0)</f>
        <v>75625474422</v>
      </c>
      <c r="N14" s="2132"/>
      <c r="O14" s="317">
        <f>ROUND(O11+O12,0)</f>
        <v>65008458393</v>
      </c>
      <c r="P14" s="1093"/>
      <c r="Q14" s="317">
        <f>ROUND(Q11+Q12,0)</f>
        <v>84306620986</v>
      </c>
      <c r="R14" s="1092"/>
      <c r="S14" s="317">
        <f>ROUND(S11+S12,0)</f>
        <v>68358207395</v>
      </c>
      <c r="U14" s="1094" t="s">
        <v>1180</v>
      </c>
      <c r="Y14" s="1091"/>
      <c r="Z14" s="121"/>
      <c r="AA14" s="1591"/>
      <c r="AB14" s="1132"/>
      <c r="AC14" s="1591"/>
      <c r="AD14" s="1591"/>
      <c r="AE14" s="1132"/>
      <c r="AF14" s="1091"/>
      <c r="AH14" s="1094"/>
      <c r="AJ14" s="1093"/>
      <c r="AM14" s="1093"/>
      <c r="AP14" s="1591"/>
    </row>
    <row r="15" spans="1:42" ht="10.35" customHeight="1">
      <c r="A15" s="1087"/>
      <c r="B15" s="1087"/>
      <c r="C15" s="314"/>
      <c r="D15" s="314"/>
      <c r="E15" s="1091"/>
      <c r="F15" s="1144"/>
      <c r="G15" s="1091"/>
      <c r="H15" s="1144"/>
      <c r="I15" s="1091"/>
      <c r="J15" s="1144"/>
      <c r="K15" s="1091"/>
      <c r="L15" s="1144"/>
      <c r="M15" s="1093"/>
      <c r="N15" s="2132"/>
      <c r="O15" s="1093"/>
      <c r="P15" s="1093"/>
      <c r="Q15" s="1093"/>
      <c r="R15" s="1093"/>
      <c r="S15" s="1093"/>
      <c r="U15" s="1094"/>
      <c r="Y15" s="1091"/>
      <c r="Z15" s="121"/>
      <c r="AA15" s="1592"/>
      <c r="AB15" s="1147"/>
      <c r="AC15" s="1592"/>
      <c r="AD15" s="1592"/>
      <c r="AE15" s="1147"/>
      <c r="AF15" s="1091"/>
      <c r="AH15" s="1094"/>
      <c r="AJ15" s="1093"/>
      <c r="AP15" s="1592"/>
    </row>
    <row r="16" spans="1:42" ht="12" customHeight="1">
      <c r="A16" s="1097" t="s">
        <v>115</v>
      </c>
      <c r="B16" s="1097"/>
      <c r="C16" s="1097"/>
      <c r="D16" s="1098">
        <v>25</v>
      </c>
      <c r="E16" s="1098"/>
      <c r="F16" s="1092">
        <f>-'WS Konsol'!W662</f>
        <v>-13450215380</v>
      </c>
      <c r="G16" s="1098"/>
      <c r="H16" s="1092">
        <f>-'WS Konsol'!AT662</f>
        <v>-18108262146</v>
      </c>
      <c r="I16" s="1098"/>
      <c r="J16" s="1092">
        <f>-'WS Konsol'!AF662</f>
        <v>-8866046154</v>
      </c>
      <c r="K16" s="1098"/>
      <c r="L16" s="1092">
        <f>-'WS Konsol'!BC662</f>
        <v>-13411387825</v>
      </c>
      <c r="M16" s="1092">
        <f>-'WS Konsol'!M662</f>
        <v>-16258997299</v>
      </c>
      <c r="N16" s="2133"/>
      <c r="O16" s="1092">
        <f>-'WS Konsol'!AI662</f>
        <v>-17958725423</v>
      </c>
      <c r="P16" s="1093"/>
      <c r="Q16" s="1092">
        <f>-'WS Konsol'!BF662</f>
        <v>-33826918356</v>
      </c>
      <c r="R16" s="2134"/>
      <c r="S16" s="1092">
        <f>-'WS Konsol'!BH662</f>
        <v>-26521142401</v>
      </c>
      <c r="U16" s="1096" t="s">
        <v>1181</v>
      </c>
      <c r="Y16" s="1098"/>
      <c r="Z16" s="121"/>
      <c r="AA16" s="1590"/>
      <c r="AB16" s="1092"/>
      <c r="AC16" s="1590"/>
      <c r="AD16" s="1590"/>
      <c r="AE16" s="1092"/>
      <c r="AF16" s="1098"/>
      <c r="AH16" s="1096"/>
      <c r="AJ16" s="1093"/>
      <c r="AN16" s="912"/>
      <c r="AP16" s="1590"/>
    </row>
    <row r="17" spans="1:42" ht="12" customHeight="1">
      <c r="A17" s="314" t="s">
        <v>116</v>
      </c>
      <c r="B17" s="314"/>
      <c r="C17" s="314"/>
      <c r="D17" s="1091">
        <v>26</v>
      </c>
      <c r="E17" s="1091"/>
      <c r="F17" s="319">
        <f>-'WS Konsol'!W719</f>
        <v>-26167728635</v>
      </c>
      <c r="G17" s="1091"/>
      <c r="H17" s="319">
        <f>-'WS Konsol'!AT719</f>
        <v>-20819164640</v>
      </c>
      <c r="I17" s="1091"/>
      <c r="J17" s="319">
        <f>-'WS Konsol'!AF719</f>
        <v>-13412401091</v>
      </c>
      <c r="K17" s="1091"/>
      <c r="L17" s="319">
        <f>-'WS Konsol'!BC719</f>
        <v>-15441855165</v>
      </c>
      <c r="M17" s="319">
        <f>-'WS Konsol'!M719</f>
        <v>-36246687170</v>
      </c>
      <c r="N17" s="2132"/>
      <c r="O17" s="319">
        <f>-'WS Konsol'!AI719</f>
        <v>-27733745691</v>
      </c>
      <c r="P17" s="1093"/>
      <c r="Q17" s="319">
        <f>-'WS Konsol'!BF719</f>
        <v>-28248056723</v>
      </c>
      <c r="R17" s="1092"/>
      <c r="S17" s="319">
        <f>-'WS Konsol'!BH719</f>
        <v>-26942834062</v>
      </c>
      <c r="U17" s="1096" t="s">
        <v>1182</v>
      </c>
      <c r="Y17" s="1091"/>
      <c r="Z17" s="121"/>
      <c r="AA17" s="1593"/>
      <c r="AB17" s="1148"/>
      <c r="AC17" s="1593"/>
      <c r="AD17" s="1593"/>
      <c r="AE17" s="1148"/>
      <c r="AF17" s="1091"/>
      <c r="AH17" s="1096"/>
      <c r="AJ17" s="1093"/>
      <c r="AP17" s="1593"/>
    </row>
    <row r="18" spans="1:42" ht="12" customHeight="1">
      <c r="A18" s="314" t="s">
        <v>1183</v>
      </c>
      <c r="B18" s="314"/>
      <c r="C18" s="314"/>
      <c r="D18" s="1091">
        <v>27</v>
      </c>
      <c r="E18" s="1091"/>
      <c r="F18" s="320">
        <f>'WS Konsol'!X727</f>
        <v>2273092655</v>
      </c>
      <c r="G18" s="1091"/>
      <c r="H18" s="320">
        <f>'WS Konsol'!AU727</f>
        <v>-906733107</v>
      </c>
      <c r="I18" s="1091"/>
      <c r="J18" s="320">
        <f>'WS Konsol'!AH727</f>
        <v>-4496948237</v>
      </c>
      <c r="K18" s="1091"/>
      <c r="L18" s="320">
        <f>'WS Konsol'!BE727</f>
        <v>-1927750383</v>
      </c>
      <c r="M18" s="320">
        <f>'WS Konsol'!O727</f>
        <v>-2610994654</v>
      </c>
      <c r="N18" s="2132"/>
      <c r="O18" s="320">
        <f>'WS Konsol'!AL727</f>
        <v>-1084534135</v>
      </c>
      <c r="P18" s="1093"/>
      <c r="Q18" s="320">
        <f>'WS Konsol'!BG727</f>
        <v>-602810576</v>
      </c>
      <c r="R18" s="1092"/>
      <c r="S18" s="320">
        <f>'WS Konsol'!BI730</f>
        <v>112244184</v>
      </c>
      <c r="U18" s="1096" t="s">
        <v>1184</v>
      </c>
      <c r="Y18" s="1091"/>
      <c r="Z18" s="121"/>
      <c r="AA18" s="1593"/>
      <c r="AB18" s="320"/>
      <c r="AC18" s="1593"/>
      <c r="AD18" s="1593"/>
      <c r="AE18" s="320"/>
      <c r="AF18" s="1091"/>
      <c r="AH18" s="1096"/>
      <c r="AJ18" s="1093"/>
      <c r="AN18" s="912"/>
      <c r="AP18" s="1593"/>
    </row>
    <row r="19" spans="1:42" ht="12" customHeight="1">
      <c r="A19" s="314" t="s">
        <v>228</v>
      </c>
      <c r="B19" s="314"/>
      <c r="C19" s="314"/>
      <c r="D19" s="1091">
        <v>28</v>
      </c>
      <c r="E19" s="1091"/>
      <c r="F19" s="1092">
        <f>-'WS Konsol'!X737</f>
        <v>-12487102791</v>
      </c>
      <c r="G19" s="1091"/>
      <c r="H19" s="1092">
        <f>-'WS Konsol'!AU737-'WS Konsol'!AT741</f>
        <v>-11466799581</v>
      </c>
      <c r="I19" s="1091"/>
      <c r="J19" s="1092">
        <f>-'WS Konsol'!AH737-'WS Konsol'!AF741</f>
        <v>-9308297571</v>
      </c>
      <c r="K19" s="1091"/>
      <c r="L19" s="1092">
        <f>-'WS Konsol'!BE737-'WS Konsol'!BC741</f>
        <v>-7603308083</v>
      </c>
      <c r="M19" s="1092">
        <f>-'WS Konsol'!O737</f>
        <v>-18184572249</v>
      </c>
      <c r="N19" s="2132"/>
      <c r="O19" s="1092">
        <f>-'WS Konsol'!AL737-'WS Konsol'!AI741</f>
        <v>-15677499788</v>
      </c>
      <c r="P19" s="1093"/>
      <c r="Q19" s="1099">
        <f>-'WS Konsol'!BG737-'WS Konsol'!BF741</f>
        <v>-13403963086</v>
      </c>
      <c r="R19" s="1092"/>
      <c r="S19" s="320">
        <f>-'WS Konsol'!BI737</f>
        <v>-9352093192</v>
      </c>
      <c r="U19" s="1096" t="s">
        <v>1185</v>
      </c>
      <c r="Y19" s="1091"/>
      <c r="Z19" s="2120"/>
      <c r="AA19" s="2304"/>
      <c r="AB19" s="2304"/>
      <c r="AC19" s="2304"/>
      <c r="AD19" s="2305"/>
      <c r="AE19" s="1092"/>
      <c r="AF19" s="1091"/>
      <c r="AH19" s="1096"/>
      <c r="AJ19" s="1093"/>
      <c r="AN19" s="912"/>
      <c r="AP19" s="1590"/>
    </row>
    <row r="20" spans="1:42" ht="4.5" customHeight="1">
      <c r="A20" s="314"/>
      <c r="B20" s="314"/>
      <c r="C20" s="314"/>
      <c r="D20" s="314"/>
      <c r="E20" s="1091"/>
      <c r="F20" s="321"/>
      <c r="G20" s="1091"/>
      <c r="H20" s="321"/>
      <c r="I20" s="1091"/>
      <c r="J20" s="321"/>
      <c r="K20" s="1091"/>
      <c r="L20" s="321"/>
      <c r="M20" s="321"/>
      <c r="N20" s="2132"/>
      <c r="O20" s="321"/>
      <c r="P20" s="1093"/>
      <c r="Q20" s="321"/>
      <c r="R20" s="1092"/>
      <c r="S20" s="321"/>
      <c r="U20" s="1096"/>
      <c r="Y20" s="1091"/>
      <c r="Z20" s="121"/>
      <c r="AA20" s="1593"/>
      <c r="AB20" s="320"/>
      <c r="AC20" s="1593"/>
      <c r="AD20" s="1593"/>
      <c r="AE20" s="320"/>
      <c r="AF20" s="1091"/>
      <c r="AH20" s="1096"/>
      <c r="AJ20" s="1093"/>
      <c r="AN20" s="912"/>
      <c r="AP20" s="1593"/>
    </row>
    <row r="21" spans="1:42" hidden="1">
      <c r="A21" s="1087" t="s">
        <v>1186</v>
      </c>
      <c r="B21" s="1087"/>
      <c r="C21" s="314"/>
      <c r="D21" s="314"/>
      <c r="E21" s="1091"/>
      <c r="F21" s="322">
        <f>SUM(F16:F19)</f>
        <v>-49831954151</v>
      </c>
      <c r="G21" s="1091"/>
      <c r="H21" s="322">
        <f>SUM(H16:H19)</f>
        <v>-51300959474</v>
      </c>
      <c r="I21" s="1091"/>
      <c r="J21" s="322">
        <f>SUM(J16:J19)</f>
        <v>-36083693053</v>
      </c>
      <c r="K21" s="1091"/>
      <c r="L21" s="322">
        <f>SUM(L16:L19)</f>
        <v>-38384301456</v>
      </c>
      <c r="M21" s="322">
        <f>SUM(M16:M19)</f>
        <v>-73301251372</v>
      </c>
      <c r="N21" s="2132"/>
      <c r="O21" s="322">
        <f>SUM(O16:O19)</f>
        <v>-62454505037</v>
      </c>
      <c r="P21" s="1093"/>
      <c r="Q21" s="322">
        <f>SUM(Q16:Q19)</f>
        <v>-76081748741</v>
      </c>
      <c r="R21" s="1092"/>
      <c r="S21" s="322">
        <f>SUM(S16:S19)</f>
        <v>-62703825471</v>
      </c>
      <c r="U21" s="1094" t="s">
        <v>1187</v>
      </c>
      <c r="Y21" s="1091"/>
      <c r="Z21" s="121"/>
      <c r="AA21" s="1594"/>
      <c r="AB21" s="1133"/>
      <c r="AC21" s="1594"/>
      <c r="AD21" s="1594"/>
      <c r="AE21" s="1133"/>
      <c r="AF21" s="1091"/>
      <c r="AH21" s="1094"/>
      <c r="AJ21" s="1093"/>
      <c r="AP21" s="1594"/>
    </row>
    <row r="22" spans="1:42" ht="4.3499999999999996" hidden="1" customHeight="1">
      <c r="A22" s="1087"/>
      <c r="B22" s="1087"/>
      <c r="C22" s="1087"/>
      <c r="D22" s="1087"/>
      <c r="E22" s="1100"/>
      <c r="F22" s="323"/>
      <c r="G22" s="1100"/>
      <c r="H22" s="323"/>
      <c r="I22" s="1100"/>
      <c r="J22" s="323"/>
      <c r="K22" s="1100"/>
      <c r="L22" s="323"/>
      <c r="M22" s="323"/>
      <c r="N22" s="2135"/>
      <c r="O22" s="323"/>
      <c r="P22" s="1093"/>
      <c r="Q22" s="323"/>
      <c r="R22" s="1110"/>
      <c r="S22" s="323"/>
      <c r="U22" s="1094"/>
      <c r="Y22" s="1100"/>
      <c r="Z22" s="121"/>
      <c r="AA22" s="1595"/>
      <c r="AB22" s="323"/>
      <c r="AC22" s="1595"/>
      <c r="AD22" s="1595"/>
      <c r="AE22" s="323"/>
      <c r="AF22" s="1100"/>
      <c r="AH22" s="1094"/>
      <c r="AJ22" s="1093"/>
      <c r="AP22" s="1595"/>
    </row>
    <row r="23" spans="1:42" ht="12" customHeight="1">
      <c r="A23" s="1087" t="s">
        <v>1188</v>
      </c>
      <c r="B23" s="314"/>
      <c r="C23" s="314"/>
      <c r="D23" s="314"/>
      <c r="E23" s="1091"/>
      <c r="F23" s="324">
        <f>F14+F21</f>
        <v>3172672550</v>
      </c>
      <c r="G23" s="1091"/>
      <c r="H23" s="324">
        <f>H14+H21</f>
        <v>1332019711</v>
      </c>
      <c r="I23" s="1091"/>
      <c r="J23" s="324">
        <f>J14+J21</f>
        <v>1392471139</v>
      </c>
      <c r="K23" s="1091"/>
      <c r="L23" s="324">
        <f>L14+L21</f>
        <v>1319715915</v>
      </c>
      <c r="M23" s="324">
        <f>SUM(M14:M19)</f>
        <v>2324223050</v>
      </c>
      <c r="N23" s="2132"/>
      <c r="O23" s="324">
        <f>SUM(O14:O19)</f>
        <v>2553953356</v>
      </c>
      <c r="P23" s="1093"/>
      <c r="Q23" s="324">
        <f>Q14+Q21</f>
        <v>8224872245</v>
      </c>
      <c r="R23" s="1109"/>
      <c r="S23" s="324">
        <f>S14+S21</f>
        <v>5654381924</v>
      </c>
      <c r="U23" s="1094" t="s">
        <v>1189</v>
      </c>
      <c r="Y23" s="1091"/>
      <c r="Z23" s="121"/>
      <c r="AA23" s="1596"/>
      <c r="AB23" s="1134"/>
      <c r="AC23" s="1596"/>
      <c r="AD23" s="1596"/>
      <c r="AE23" s="1134"/>
      <c r="AF23" s="1091"/>
      <c r="AH23" s="1094"/>
      <c r="AJ23" s="1093"/>
      <c r="AP23" s="1596"/>
    </row>
    <row r="24" spans="1:42" ht="12" customHeight="1">
      <c r="A24" s="314" t="s">
        <v>1190</v>
      </c>
      <c r="B24" s="314"/>
      <c r="C24" s="314"/>
      <c r="D24" s="314"/>
      <c r="E24" s="1091"/>
      <c r="F24" s="1092"/>
      <c r="G24" s="1091"/>
      <c r="H24" s="1092"/>
      <c r="I24" s="1091"/>
      <c r="J24" s="1092"/>
      <c r="K24" s="1091"/>
      <c r="L24" s="1092"/>
      <c r="M24" s="1092"/>
      <c r="N24" s="2132"/>
      <c r="O24" s="1092"/>
      <c r="P24" s="1093"/>
      <c r="Q24" s="1092"/>
      <c r="R24" s="1092"/>
      <c r="S24" s="1092"/>
      <c r="U24" s="1096" t="s">
        <v>1191</v>
      </c>
      <c r="Y24" s="1091"/>
      <c r="Z24" s="121"/>
      <c r="AA24" s="1590"/>
      <c r="AB24" s="1092"/>
      <c r="AC24" s="1590"/>
      <c r="AD24" s="1590"/>
      <c r="AE24" s="1092"/>
      <c r="AF24" s="1091"/>
      <c r="AH24" s="1096"/>
      <c r="AJ24" s="1093"/>
      <c r="AP24" s="1590"/>
    </row>
    <row r="25" spans="1:42" ht="12" customHeight="1">
      <c r="A25" s="314"/>
      <c r="B25" s="314" t="s">
        <v>1192</v>
      </c>
      <c r="C25" s="314"/>
      <c r="D25" s="1091" t="s">
        <v>1193</v>
      </c>
      <c r="E25" s="1091"/>
      <c r="F25" s="1092">
        <f>-'WS Konsol'!W748</f>
        <v>-1487297460</v>
      </c>
      <c r="G25" s="1091"/>
      <c r="H25" s="1092">
        <f>-'WS Konsol'!AT748</f>
        <v>-518727440</v>
      </c>
      <c r="I25" s="1091"/>
      <c r="J25" s="1092">
        <f>-'WS Konsol'!AF748</f>
        <v>-520551680</v>
      </c>
      <c r="K25" s="1091"/>
      <c r="L25" s="1092">
        <f>-'WS Konsol'!BC748</f>
        <v>-474841400</v>
      </c>
      <c r="M25" s="1092">
        <f>-'WS Konsol'!M748</f>
        <v>-2052132941</v>
      </c>
      <c r="N25" s="2132"/>
      <c r="O25" s="1092">
        <f>-'WS Konsol'!AI748</f>
        <v>-1088072700</v>
      </c>
      <c r="P25" s="1093"/>
      <c r="Q25" s="1092">
        <f>-'WS Konsol'!BF748</f>
        <v>-2076985900</v>
      </c>
      <c r="R25" s="1092"/>
      <c r="S25" s="1092">
        <f>-'WS Konsol'!BH748</f>
        <v>-1421390520</v>
      </c>
      <c r="U25" s="1088"/>
      <c r="V25" s="1096" t="s">
        <v>1194</v>
      </c>
      <c r="Y25" s="1091"/>
      <c r="Z25" s="121"/>
      <c r="AA25" s="1590"/>
      <c r="AB25" s="1092"/>
      <c r="AC25" s="1590"/>
      <c r="AD25" s="1590"/>
      <c r="AE25" s="1092"/>
      <c r="AF25" s="1091"/>
      <c r="AH25" s="1088"/>
      <c r="AI25" s="1096"/>
      <c r="AJ25" s="1093"/>
      <c r="AP25" s="1590"/>
    </row>
    <row r="26" spans="1:42" ht="12" customHeight="1">
      <c r="A26" s="314"/>
      <c r="B26" s="1102" t="s">
        <v>1195</v>
      </c>
      <c r="C26" s="314"/>
      <c r="D26" s="1091" t="s">
        <v>1087</v>
      </c>
      <c r="E26" s="1091"/>
      <c r="F26" s="944">
        <f>-('WS Konsol'!AA753+'WS Konsol'!AA751)</f>
        <v>0</v>
      </c>
      <c r="G26" s="1091"/>
      <c r="H26" s="316">
        <f>-('WS Konsol'!AX753+'WS Konsol'!AX751)</f>
        <v>0</v>
      </c>
      <c r="I26" s="1091"/>
      <c r="J26" s="944">
        <f>-('WS Konsol'!AF753+'WS Konsol'!AF751)</f>
        <v>0</v>
      </c>
      <c r="K26" s="1091"/>
      <c r="L26" s="316">
        <f>-('WS Konsol'!BC753+'WS Konsol'!BC751)</f>
        <v>0</v>
      </c>
      <c r="M26" s="316">
        <f>-('WS Konsol'!M753+'WS Konsol'!M751+'WS Konsol'!M752)</f>
        <v>76646095</v>
      </c>
      <c r="N26" s="2132"/>
      <c r="O26" s="316">
        <f>-('WS Konsol'!AI753+'WS Konsol'!AI751)</f>
        <v>279570745</v>
      </c>
      <c r="P26" s="1093"/>
      <c r="Q26" s="316">
        <f>-('WS Konsol'!BF753+'WS Konsol'!BF751)</f>
        <v>90168897</v>
      </c>
      <c r="R26" s="2136"/>
      <c r="S26" s="316">
        <f>('WS Konsol'!BH753+'WS Konsol'!BH751)</f>
        <v>1446845971</v>
      </c>
      <c r="U26" s="1088"/>
      <c r="V26" s="1103" t="s">
        <v>1038</v>
      </c>
      <c r="Y26" s="1091"/>
      <c r="Z26" s="121"/>
      <c r="AA26" s="1560"/>
      <c r="AB26" s="315"/>
      <c r="AC26" s="1560"/>
      <c r="AD26" s="1560"/>
      <c r="AE26" s="315"/>
      <c r="AF26" s="1091"/>
      <c r="AH26" s="1088"/>
      <c r="AI26" s="1103"/>
      <c r="AJ26" s="1093"/>
      <c r="AP26" s="1560"/>
    </row>
    <row r="27" spans="1:42" ht="6" customHeight="1">
      <c r="A27" s="314"/>
      <c r="B27" s="314"/>
      <c r="C27" s="314"/>
      <c r="D27" s="314"/>
      <c r="E27" s="1091"/>
      <c r="F27" s="1104"/>
      <c r="G27" s="1091"/>
      <c r="H27" s="1105"/>
      <c r="I27" s="1091"/>
      <c r="J27" s="1104"/>
      <c r="K27" s="1091"/>
      <c r="L27" s="1105"/>
      <c r="M27" s="1105"/>
      <c r="N27" s="2132"/>
      <c r="O27" s="1105"/>
      <c r="P27" s="1093"/>
      <c r="Q27" s="1105"/>
      <c r="R27" s="1092"/>
      <c r="S27" s="1105"/>
      <c r="U27" s="1096"/>
      <c r="Y27" s="1091"/>
      <c r="Z27" s="121"/>
      <c r="AA27" s="1590"/>
      <c r="AB27" s="1092"/>
      <c r="AC27" s="1590"/>
      <c r="AD27" s="1590"/>
      <c r="AE27" s="1092"/>
      <c r="AF27" s="1091"/>
      <c r="AH27" s="1096"/>
      <c r="AJ27" s="1093"/>
      <c r="AP27" s="1590"/>
    </row>
    <row r="28" spans="1:42" ht="14.85" hidden="1" customHeight="1">
      <c r="A28" s="1087" t="s">
        <v>1196</v>
      </c>
      <c r="B28" s="314"/>
      <c r="C28" s="314"/>
      <c r="D28" s="314"/>
      <c r="E28" s="1091"/>
      <c r="F28" s="1095"/>
      <c r="G28" s="1091"/>
      <c r="H28" s="1092"/>
      <c r="I28" s="1091"/>
      <c r="J28" s="1095"/>
      <c r="K28" s="1091"/>
      <c r="L28" s="1092"/>
      <c r="M28" s="1092"/>
      <c r="N28" s="2132"/>
      <c r="O28" s="1092"/>
      <c r="P28" s="1093"/>
      <c r="Q28" s="1092"/>
      <c r="R28" s="1092"/>
      <c r="S28" s="1092"/>
      <c r="U28" s="1094" t="s">
        <v>1197</v>
      </c>
      <c r="Y28" s="1091"/>
      <c r="Z28" s="121"/>
      <c r="AA28" s="1590"/>
      <c r="AB28" s="1092"/>
      <c r="AC28" s="1590"/>
      <c r="AD28" s="1590"/>
      <c r="AE28" s="1092"/>
      <c r="AF28" s="1091"/>
      <c r="AH28" s="1094"/>
      <c r="AJ28" s="1093"/>
      <c r="AP28" s="1590"/>
    </row>
    <row r="29" spans="1:42" ht="14.85" hidden="1" customHeight="1">
      <c r="A29" s="1087" t="s">
        <v>125</v>
      </c>
      <c r="B29" s="314"/>
      <c r="C29" s="314"/>
      <c r="D29" s="314"/>
      <c r="E29" s="1091"/>
      <c r="F29" s="1106">
        <f>F23+F26+F25</f>
        <v>1685375090</v>
      </c>
      <c r="G29" s="1091"/>
      <c r="H29" s="1107">
        <f>H23+H26+H25</f>
        <v>813292271</v>
      </c>
      <c r="I29" s="1091"/>
      <c r="J29" s="1106">
        <f>J23+J26+J25</f>
        <v>871919459</v>
      </c>
      <c r="K29" s="1091"/>
      <c r="L29" s="1107">
        <f>L23+L26+L25</f>
        <v>844874515</v>
      </c>
      <c r="M29" s="1107">
        <f>M23+M26+M25</f>
        <v>348736204</v>
      </c>
      <c r="N29" s="2132"/>
      <c r="O29" s="1107">
        <f>O23+O26+O25</f>
        <v>1745451401</v>
      </c>
      <c r="P29" s="1093"/>
      <c r="Q29" s="1107">
        <f>Q23+Q26+Q25</f>
        <v>6238055242</v>
      </c>
      <c r="R29" s="1109"/>
      <c r="S29" s="1107">
        <f>S23+S26+S25</f>
        <v>5679837375</v>
      </c>
      <c r="U29" s="1094" t="s">
        <v>1198</v>
      </c>
      <c r="Y29" s="1091"/>
      <c r="Z29" s="121"/>
      <c r="AA29" s="1597"/>
      <c r="AB29" s="1109"/>
      <c r="AC29" s="1597"/>
      <c r="AD29" s="1597"/>
      <c r="AE29" s="1109"/>
      <c r="AF29" s="1091"/>
      <c r="AH29" s="1094"/>
      <c r="AJ29" s="1093"/>
      <c r="AP29" s="1597"/>
    </row>
    <row r="30" spans="1:42" ht="14.85" hidden="1" customHeight="1">
      <c r="A30" s="314"/>
      <c r="B30" s="314"/>
      <c r="C30" s="314"/>
      <c r="D30" s="314"/>
      <c r="E30" s="1091"/>
      <c r="F30" s="945">
        <f>F29/F11</f>
        <v>1.0498130340352151E-2</v>
      </c>
      <c r="G30" s="1091"/>
      <c r="H30" s="318">
        <f>H29/H11</f>
        <v>5.4300983460878454E-3</v>
      </c>
      <c r="I30" s="1091"/>
      <c r="J30" s="945">
        <f>J29/J11</f>
        <v>8.1718942471459936E-3</v>
      </c>
      <c r="K30" s="1091"/>
      <c r="L30" s="318">
        <f>L29/L11</f>
        <v>7.0219849909928913E-3</v>
      </c>
      <c r="M30" s="1667">
        <f>M29/M11</f>
        <v>1.081150711196216E-3</v>
      </c>
      <c r="N30" s="2132"/>
      <c r="O30" s="1667">
        <f>O29/O11</f>
        <v>8.7613036849786014E-3</v>
      </c>
      <c r="P30" s="1093"/>
      <c r="Q30" s="1667">
        <f>Q29/Q11</f>
        <v>1.6316478314360144E-2</v>
      </c>
      <c r="R30" s="1092"/>
      <c r="S30" s="1667">
        <f>S29/S11</f>
        <v>1.8691538560493985E-2</v>
      </c>
      <c r="U30" s="1096"/>
      <c r="Y30" s="1091"/>
      <c r="Z30" s="121"/>
      <c r="AA30" s="1598"/>
      <c r="AB30" s="1145"/>
      <c r="AC30" s="1598"/>
      <c r="AD30" s="1598"/>
      <c r="AE30" s="1145"/>
      <c r="AF30" s="1091"/>
      <c r="AH30" s="1096"/>
      <c r="AJ30" s="1093"/>
      <c r="AP30" s="1598"/>
    </row>
    <row r="31" spans="1:42" ht="14.85" hidden="1" customHeight="1">
      <c r="A31" s="314"/>
      <c r="B31" s="314"/>
      <c r="C31" s="314"/>
      <c r="D31" s="314"/>
      <c r="E31" s="1091"/>
      <c r="F31" s="945"/>
      <c r="G31" s="1091"/>
      <c r="H31" s="318"/>
      <c r="I31" s="1091"/>
      <c r="J31" s="945"/>
      <c r="K31" s="1091"/>
      <c r="L31" s="318"/>
      <c r="M31" s="1667"/>
      <c r="N31" s="2132"/>
      <c r="O31" s="1667"/>
      <c r="P31" s="1093"/>
      <c r="Q31" s="1667"/>
      <c r="R31" s="1092"/>
      <c r="S31" s="1667"/>
      <c r="U31" s="1096"/>
      <c r="Y31" s="1091"/>
      <c r="Z31" s="121"/>
      <c r="AA31" s="1145"/>
      <c r="AB31" s="1145"/>
      <c r="AC31" s="1598"/>
      <c r="AD31" s="1598"/>
      <c r="AE31" s="1145"/>
      <c r="AF31" s="1091"/>
      <c r="AH31" s="1096"/>
      <c r="AJ31" s="1093"/>
      <c r="AP31" s="1598"/>
    </row>
    <row r="32" spans="1:42" ht="7.35" hidden="1" customHeight="1">
      <c r="A32" s="314"/>
      <c r="B32" s="314"/>
      <c r="C32" s="314"/>
      <c r="D32" s="1091"/>
      <c r="E32" s="1091"/>
      <c r="F32" s="945"/>
      <c r="G32" s="1091"/>
      <c r="H32" s="318"/>
      <c r="I32" s="1091"/>
      <c r="J32" s="945"/>
      <c r="K32" s="1091"/>
      <c r="L32" s="318"/>
      <c r="M32" s="1667"/>
      <c r="N32" s="2132"/>
      <c r="O32" s="1667"/>
      <c r="P32" s="1093"/>
      <c r="Q32" s="1667"/>
      <c r="R32" s="1092"/>
      <c r="S32" s="1667"/>
      <c r="U32" s="1096"/>
      <c r="Y32" s="1091"/>
      <c r="AA32" s="1145"/>
      <c r="AB32" s="1145"/>
      <c r="AC32" s="1598"/>
      <c r="AD32" s="1598"/>
      <c r="AE32" s="1145"/>
      <c r="AF32" s="1091"/>
      <c r="AH32" s="1096"/>
      <c r="AJ32" s="1093"/>
      <c r="AP32" s="1598"/>
    </row>
    <row r="33" spans="1:42" ht="14.85" hidden="1" customHeight="1">
      <c r="A33" s="1087" t="s">
        <v>125</v>
      </c>
      <c r="B33" s="314"/>
      <c r="C33" s="314"/>
      <c r="D33" s="314"/>
      <c r="E33" s="1091"/>
      <c r="F33" s="946">
        <v>0</v>
      </c>
      <c r="G33" s="1091"/>
      <c r="H33" s="325">
        <v>0</v>
      </c>
      <c r="I33" s="1091"/>
      <c r="J33" s="946">
        <v>0</v>
      </c>
      <c r="K33" s="1091"/>
      <c r="L33" s="325">
        <v>0</v>
      </c>
      <c r="M33" s="1668">
        <v>0</v>
      </c>
      <c r="N33" s="2132"/>
      <c r="O33" s="1668">
        <v>0</v>
      </c>
      <c r="P33" s="1093"/>
      <c r="Q33" s="1107">
        <v>-1026886212.4642254</v>
      </c>
      <c r="R33" s="1109"/>
      <c r="S33" s="1107">
        <f>-'[192]WS Des Konsol Update'!Y486</f>
        <v>-2344585403.3985457</v>
      </c>
      <c r="U33" s="1094" t="s">
        <v>1199</v>
      </c>
      <c r="Y33" s="1091"/>
      <c r="AA33" s="1135"/>
      <c r="AB33" s="1135"/>
      <c r="AC33" s="1596"/>
      <c r="AD33" s="1596"/>
      <c r="AE33" s="1135"/>
      <c r="AF33" s="1091"/>
      <c r="AH33" s="1094"/>
      <c r="AJ33" s="1093"/>
      <c r="AP33" s="1596"/>
    </row>
    <row r="34" spans="1:42" ht="4.5" hidden="1" customHeight="1">
      <c r="A34" s="314"/>
      <c r="B34" s="314"/>
      <c r="C34" s="314"/>
      <c r="D34" s="314"/>
      <c r="E34" s="1091"/>
      <c r="F34" s="945"/>
      <c r="G34" s="1091"/>
      <c r="H34" s="318"/>
      <c r="I34" s="1091"/>
      <c r="J34" s="945"/>
      <c r="K34" s="1091"/>
      <c r="L34" s="318"/>
      <c r="M34" s="1667"/>
      <c r="N34" s="2132"/>
      <c r="O34" s="1667"/>
      <c r="P34" s="1093"/>
      <c r="Q34" s="1667"/>
      <c r="R34" s="1092"/>
      <c r="S34" s="1667"/>
      <c r="U34" s="1096"/>
      <c r="Y34" s="1091"/>
      <c r="Z34" s="1598"/>
      <c r="AA34" s="1145"/>
      <c r="AB34" s="1145"/>
      <c r="AC34" s="1598"/>
      <c r="AD34" s="1598"/>
      <c r="AE34" s="1145"/>
      <c r="AF34" s="1091"/>
      <c r="AH34" s="1096"/>
      <c r="AJ34" s="1093"/>
    </row>
    <row r="35" spans="1:42" ht="14.85" customHeight="1">
      <c r="A35" s="1087" t="s">
        <v>840</v>
      </c>
      <c r="B35" s="314"/>
      <c r="C35" s="314"/>
      <c r="D35" s="314"/>
      <c r="E35" s="1091"/>
      <c r="F35" s="1108">
        <f>F29+F33</f>
        <v>1685375090</v>
      </c>
      <c r="G35" s="1091"/>
      <c r="H35" s="1106">
        <f>H29+H33</f>
        <v>813292271</v>
      </c>
      <c r="I35" s="1091"/>
      <c r="J35" s="1108">
        <f>J29+J33</f>
        <v>871919459</v>
      </c>
      <c r="K35" s="1091"/>
      <c r="L35" s="1106">
        <f>L29+L33</f>
        <v>844874515</v>
      </c>
      <c r="M35" s="1107">
        <f>SUM(M23:M26)</f>
        <v>348736204</v>
      </c>
      <c r="N35" s="2132"/>
      <c r="O35" s="1107">
        <f>SUM(O23:O26)</f>
        <v>1745451401</v>
      </c>
      <c r="P35" s="1093"/>
      <c r="Q35" s="1107">
        <f>Q29+Q33</f>
        <v>5211169029.5357742</v>
      </c>
      <c r="R35" s="1109"/>
      <c r="S35" s="1107">
        <f>S29+S33</f>
        <v>3335251971.6014543</v>
      </c>
      <c r="U35" s="1094" t="s">
        <v>1200</v>
      </c>
      <c r="Y35" s="1091"/>
      <c r="Z35" s="1597"/>
      <c r="AA35" s="1112"/>
      <c r="AB35" s="1112"/>
      <c r="AC35" s="1597"/>
      <c r="AD35" s="1597"/>
      <c r="AE35" s="1112"/>
      <c r="AF35" s="1091"/>
      <c r="AH35" s="1094"/>
      <c r="AJ35" s="1093"/>
    </row>
    <row r="36" spans="1:42" ht="8.1" customHeight="1">
      <c r="A36" s="314"/>
      <c r="B36" s="314"/>
      <c r="C36" s="314"/>
      <c r="D36" s="314"/>
      <c r="E36" s="1091"/>
      <c r="F36" s="945"/>
      <c r="G36" s="1091"/>
      <c r="H36" s="318"/>
      <c r="I36" s="1091"/>
      <c r="J36" s="945"/>
      <c r="K36" s="1091"/>
      <c r="L36" s="318"/>
      <c r="M36" s="1667"/>
      <c r="N36" s="2132"/>
      <c r="O36" s="1667"/>
      <c r="P36" s="1093"/>
      <c r="Q36" s="1667"/>
      <c r="R36" s="1092"/>
      <c r="S36" s="1667"/>
      <c r="U36" s="1096"/>
      <c r="Y36" s="1091"/>
      <c r="Z36" s="1598"/>
      <c r="AA36" s="1145"/>
      <c r="AB36" s="1145"/>
      <c r="AC36" s="1598"/>
      <c r="AD36" s="1598"/>
      <c r="AE36" s="1145"/>
      <c r="AF36" s="1091"/>
      <c r="AH36" s="1096"/>
      <c r="AJ36" s="1093"/>
    </row>
    <row r="37" spans="1:42" ht="14.85" customHeight="1">
      <c r="A37" s="1087" t="s">
        <v>1201</v>
      </c>
      <c r="B37" s="314"/>
      <c r="C37" s="314"/>
      <c r="D37" s="314"/>
      <c r="E37" s="1091"/>
      <c r="F37" s="1092"/>
      <c r="G37" s="1091"/>
      <c r="H37" s="1092"/>
      <c r="I37" s="1091"/>
      <c r="J37" s="1092"/>
      <c r="K37" s="1091"/>
      <c r="L37" s="1092"/>
      <c r="M37" s="1092"/>
      <c r="N37" s="2132"/>
      <c r="O37" s="1092"/>
      <c r="P37" s="1093"/>
      <c r="Q37" s="1092"/>
      <c r="R37" s="1092"/>
      <c r="S37" s="1092"/>
      <c r="U37" s="2234" t="s">
        <v>1202</v>
      </c>
      <c r="Y37" s="1091"/>
      <c r="Z37" s="1590"/>
      <c r="AA37" s="1092"/>
      <c r="AB37" s="1092"/>
      <c r="AC37" s="1590"/>
      <c r="AD37" s="1590"/>
      <c r="AE37" s="1092"/>
      <c r="AF37" s="1091"/>
      <c r="AH37" s="1096"/>
      <c r="AJ37" s="1093"/>
    </row>
    <row r="38" spans="1:42" ht="6" customHeight="1">
      <c r="A38" s="1087"/>
      <c r="B38" s="314"/>
      <c r="C38" s="314"/>
      <c r="D38" s="314"/>
      <c r="E38" s="1091"/>
      <c r="F38" s="1092"/>
      <c r="G38" s="1091"/>
      <c r="H38" s="1092"/>
      <c r="I38" s="1091"/>
      <c r="J38" s="1092"/>
      <c r="K38" s="1091"/>
      <c r="L38" s="1092"/>
      <c r="M38" s="1092"/>
      <c r="N38" s="2132"/>
      <c r="O38" s="1092"/>
      <c r="P38" s="1093"/>
      <c r="Q38" s="1092"/>
      <c r="R38" s="1092"/>
      <c r="S38" s="1092"/>
      <c r="U38" s="1096"/>
      <c r="Y38" s="1091"/>
      <c r="Z38" s="1590"/>
      <c r="AA38" s="1092"/>
      <c r="AB38" s="1092"/>
      <c r="AC38" s="1590"/>
      <c r="AD38" s="1590"/>
      <c r="AE38" s="1092"/>
      <c r="AF38" s="1091"/>
      <c r="AH38" s="1096"/>
      <c r="AJ38" s="1093"/>
    </row>
    <row r="39" spans="1:42" ht="13.35" customHeight="1">
      <c r="A39" s="314" t="s">
        <v>1203</v>
      </c>
      <c r="B39" s="314"/>
      <c r="C39" s="314"/>
      <c r="D39" s="314"/>
      <c r="E39" s="1091"/>
      <c r="F39" s="1092"/>
      <c r="G39" s="1091"/>
      <c r="H39" s="1092"/>
      <c r="I39" s="1091"/>
      <c r="J39" s="1092"/>
      <c r="K39" s="1091"/>
      <c r="L39" s="1092"/>
      <c r="M39" s="1092"/>
      <c r="N39" s="2132"/>
      <c r="O39" s="1092"/>
      <c r="P39" s="1093"/>
      <c r="Q39" s="1092"/>
      <c r="R39" s="1092"/>
      <c r="S39" s="1092"/>
      <c r="U39" s="2311" t="s">
        <v>1204</v>
      </c>
      <c r="Y39" s="1091"/>
      <c r="Z39" s="1590"/>
      <c r="AA39" s="1092"/>
      <c r="AB39" s="1092"/>
      <c r="AC39" s="1590"/>
      <c r="AD39" s="1590"/>
      <c r="AE39" s="1092"/>
      <c r="AF39" s="1091"/>
      <c r="AH39" s="1096"/>
      <c r="AJ39" s="1093"/>
    </row>
    <row r="40" spans="1:42" ht="12.6" customHeight="1">
      <c r="A40" s="314" t="s">
        <v>1205</v>
      </c>
      <c r="B40" s="314"/>
      <c r="C40" s="314"/>
      <c r="D40" s="314"/>
      <c r="E40" s="1091"/>
      <c r="F40" s="1092"/>
      <c r="G40" s="1091"/>
      <c r="H40" s="1092"/>
      <c r="I40" s="1091"/>
      <c r="J40" s="1092"/>
      <c r="K40" s="1091"/>
      <c r="L40" s="1092"/>
      <c r="M40" s="1092"/>
      <c r="N40" s="2132"/>
      <c r="O40" s="1092"/>
      <c r="P40" s="1093"/>
      <c r="Q40" s="1092"/>
      <c r="R40" s="1092"/>
      <c r="S40" s="1092"/>
      <c r="U40" s="2311" t="s">
        <v>1206</v>
      </c>
      <c r="Y40" s="1091"/>
      <c r="Z40" s="1590"/>
      <c r="AA40" s="1092"/>
      <c r="AB40" s="1092"/>
      <c r="AC40" s="1590"/>
      <c r="AD40" s="1590"/>
      <c r="AE40" s="1092"/>
      <c r="AF40" s="1091"/>
      <c r="AH40" s="1096"/>
      <c r="AJ40" s="1093"/>
    </row>
    <row r="41" spans="1:42" ht="12" customHeight="1">
      <c r="B41" s="314" t="s">
        <v>127</v>
      </c>
      <c r="C41" s="314"/>
      <c r="D41" s="1098" t="s">
        <v>1087</v>
      </c>
      <c r="E41" s="1098"/>
      <c r="F41" s="315">
        <f>('WS Konsol'!AA759)</f>
        <v>0</v>
      </c>
      <c r="G41" s="1098"/>
      <c r="H41" s="315">
        <f>('WS Konsol'!AX759)</f>
        <v>0</v>
      </c>
      <c r="I41" s="1098"/>
      <c r="J41" s="315">
        <f>('WS Konsol'!AF759)</f>
        <v>0</v>
      </c>
      <c r="K41" s="1098"/>
      <c r="L41" s="315">
        <f>('WS Konsol'!BC759)</f>
        <v>0</v>
      </c>
      <c r="M41" s="315">
        <f>('WS Konsol'!M759)+1</f>
        <v>81138444</v>
      </c>
      <c r="N41" s="2133"/>
      <c r="O41" s="315">
        <f>('WS Konsol'!AI759)</f>
        <v>-10609502</v>
      </c>
      <c r="P41" s="1093"/>
      <c r="Q41" s="315">
        <f>('WS Konsol'!BF759)</f>
        <v>311151073</v>
      </c>
      <c r="R41" s="2134"/>
      <c r="S41" s="315">
        <f>('WS Konsol'!BH759)</f>
        <v>21039938</v>
      </c>
      <c r="V41" s="1096" t="s">
        <v>1207</v>
      </c>
      <c r="Y41" s="1098"/>
      <c r="Z41" s="1560"/>
      <c r="AA41" s="315"/>
      <c r="AB41" s="315"/>
      <c r="AC41" s="1560"/>
      <c r="AD41" s="1560"/>
      <c r="AE41" s="315"/>
      <c r="AF41" s="1098"/>
      <c r="AH41" s="1096"/>
      <c r="AJ41" s="1093"/>
    </row>
    <row r="42" spans="1:42" ht="12" customHeight="1">
      <c r="B42" s="314" t="s">
        <v>128</v>
      </c>
      <c r="C42" s="314"/>
      <c r="D42" s="1098">
        <v>18</v>
      </c>
      <c r="E42" s="1091"/>
      <c r="F42" s="316">
        <f>-('WS Konsol'!AA761)</f>
        <v>0</v>
      </c>
      <c r="G42" s="1091"/>
      <c r="H42" s="316">
        <f>-('WS Konsol'!AX761)</f>
        <v>0</v>
      </c>
      <c r="I42" s="1091"/>
      <c r="J42" s="316">
        <f>-('WS Konsol'!AF761)</f>
        <v>0</v>
      </c>
      <c r="K42" s="1091"/>
      <c r="L42" s="316">
        <f>-('WS Konsol'!BC761)</f>
        <v>0</v>
      </c>
      <c r="M42" s="316">
        <f>('WS Konsol'!M761)</f>
        <v>-17850458</v>
      </c>
      <c r="N42" s="2132"/>
      <c r="O42" s="316">
        <f>-('WS Konsol'!AI761)</f>
        <v>2334090</v>
      </c>
      <c r="P42" s="1093"/>
      <c r="Q42" s="316">
        <f>-('WS Konsol'!BF761)</f>
        <v>-68453236</v>
      </c>
      <c r="R42" s="1092"/>
      <c r="S42" s="316">
        <f>-('WS Konsol'!BH761)</f>
        <v>-4628786</v>
      </c>
      <c r="V42" s="1096" t="s">
        <v>1208</v>
      </c>
      <c r="Y42" s="1091"/>
      <c r="Z42" s="1560"/>
      <c r="AA42" s="315"/>
      <c r="AB42" s="315"/>
      <c r="AC42" s="1560"/>
      <c r="AD42" s="1560"/>
      <c r="AE42" s="315"/>
      <c r="AF42" s="1091"/>
      <c r="AH42" s="1096"/>
      <c r="AJ42" s="1093"/>
    </row>
    <row r="43" spans="1:42" ht="14.85" hidden="1" customHeight="1">
      <c r="A43" s="314"/>
      <c r="B43" s="314"/>
      <c r="C43" s="314"/>
      <c r="D43" s="314"/>
      <c r="E43" s="1091"/>
      <c r="F43" s="1105"/>
      <c r="G43" s="1091"/>
      <c r="H43" s="1105"/>
      <c r="I43" s="1091"/>
      <c r="J43" s="1105"/>
      <c r="K43" s="1091"/>
      <c r="L43" s="1105"/>
      <c r="M43" s="1105"/>
      <c r="N43" s="2132"/>
      <c r="O43" s="1105"/>
      <c r="P43" s="1093"/>
      <c r="Q43" s="1105"/>
      <c r="R43" s="1092"/>
      <c r="S43" s="1105"/>
      <c r="U43" s="1096"/>
      <c r="Y43" s="1091"/>
      <c r="Z43" s="1590"/>
      <c r="AA43" s="1092"/>
      <c r="AB43" s="1092"/>
      <c r="AC43" s="1590"/>
      <c r="AD43" s="1590"/>
      <c r="AE43" s="1092"/>
      <c r="AF43" s="1091"/>
      <c r="AH43" s="1096"/>
      <c r="AJ43" s="1093"/>
    </row>
    <row r="44" spans="1:42" ht="14.85" hidden="1" customHeight="1">
      <c r="A44" s="1087"/>
      <c r="B44" s="314"/>
      <c r="C44" s="314"/>
      <c r="D44" s="314"/>
      <c r="E44" s="1091"/>
      <c r="F44" s="1092"/>
      <c r="G44" s="1091"/>
      <c r="H44" s="1092"/>
      <c r="I44" s="1091"/>
      <c r="J44" s="1092"/>
      <c r="K44" s="1091"/>
      <c r="L44" s="1092"/>
      <c r="M44" s="1092"/>
      <c r="N44" s="2132"/>
      <c r="O44" s="1092"/>
      <c r="P44" s="1093"/>
      <c r="Q44" s="1092"/>
      <c r="R44" s="1092"/>
      <c r="S44" s="1092"/>
      <c r="U44" s="1096"/>
      <c r="Y44" s="1091"/>
      <c r="Z44" s="1590"/>
      <c r="AA44" s="1092"/>
      <c r="AB44" s="1092"/>
      <c r="AC44" s="1590"/>
      <c r="AD44" s="1590"/>
      <c r="AE44" s="1092"/>
      <c r="AF44" s="1091"/>
      <c r="AH44" s="1096"/>
      <c r="AJ44" s="1093"/>
    </row>
    <row r="45" spans="1:42" ht="6" customHeight="1">
      <c r="A45" s="1087"/>
      <c r="B45" s="314"/>
      <c r="C45" s="314"/>
      <c r="D45" s="314"/>
      <c r="E45" s="1091"/>
      <c r="F45" s="1092"/>
      <c r="G45" s="1091"/>
      <c r="H45" s="1092"/>
      <c r="I45" s="1091"/>
      <c r="J45" s="1092"/>
      <c r="K45" s="1091"/>
      <c r="L45" s="1092"/>
      <c r="M45" s="1092"/>
      <c r="N45" s="2132"/>
      <c r="O45" s="1092"/>
      <c r="P45" s="1093"/>
      <c r="Q45" s="1092"/>
      <c r="R45" s="1092"/>
      <c r="S45" s="1092"/>
      <c r="U45" s="1096"/>
      <c r="Y45" s="1091"/>
      <c r="Z45" s="1590"/>
      <c r="AA45" s="1092"/>
      <c r="AB45" s="1092"/>
      <c r="AC45" s="1590"/>
      <c r="AD45" s="1590"/>
      <c r="AE45" s="1092"/>
      <c r="AF45" s="1091"/>
      <c r="AH45" s="1096"/>
      <c r="AJ45" s="1093"/>
    </row>
    <row r="46" spans="1:42" ht="4.3499999999999996" customHeight="1">
      <c r="A46" s="1087"/>
      <c r="B46" s="1087"/>
      <c r="C46" s="1087"/>
      <c r="D46" s="1087"/>
      <c r="E46" s="1100"/>
      <c r="F46" s="1110"/>
      <c r="G46" s="1100"/>
      <c r="H46" s="1110"/>
      <c r="I46" s="1100"/>
      <c r="J46" s="1110"/>
      <c r="K46" s="1100"/>
      <c r="L46" s="1110"/>
      <c r="M46" s="1110"/>
      <c r="N46" s="2135"/>
      <c r="O46" s="1110"/>
      <c r="P46" s="1093"/>
      <c r="Q46" s="1110"/>
      <c r="R46" s="1109"/>
      <c r="S46" s="1110"/>
      <c r="U46" s="1094"/>
      <c r="Y46" s="1100"/>
      <c r="Z46" s="1599"/>
      <c r="AA46" s="1110"/>
      <c r="AB46" s="1110"/>
      <c r="AC46" s="1599"/>
      <c r="AD46" s="1599"/>
      <c r="AE46" s="1110"/>
      <c r="AF46" s="1100"/>
      <c r="AH46" s="1094"/>
      <c r="AJ46" s="1093"/>
    </row>
    <row r="47" spans="1:42" ht="13.5" hidden="1" customHeight="1">
      <c r="A47" s="1087" t="s">
        <v>125</v>
      </c>
      <c r="B47" s="314"/>
      <c r="C47" s="314"/>
      <c r="D47" s="314"/>
      <c r="E47" s="1091"/>
      <c r="F47" s="329">
        <v>0</v>
      </c>
      <c r="G47" s="1091"/>
      <c r="H47" s="326">
        <v>0</v>
      </c>
      <c r="I47" s="1091"/>
      <c r="J47" s="326">
        <v>0</v>
      </c>
      <c r="K47" s="1091"/>
      <c r="L47" s="326">
        <v>0</v>
      </c>
      <c r="M47" s="1669">
        <v>0</v>
      </c>
      <c r="N47" s="2132"/>
      <c r="O47" s="1669">
        <v>0</v>
      </c>
      <c r="P47" s="1093"/>
      <c r="Q47" s="1669">
        <f>('[192]WS Des Konsol Update'!O716+'[192]WS Des Konsol Update'!O719)</f>
        <v>188427221.04416263</v>
      </c>
      <c r="R47" s="2137"/>
      <c r="S47" s="1669">
        <f>'[192]WS Des Konsol Update'!Y716+'[192]WS Des Konsol Update'!Y719</f>
        <v>-7593457.1053832993</v>
      </c>
      <c r="U47" s="1094" t="s">
        <v>1199</v>
      </c>
      <c r="Y47" s="1091"/>
      <c r="Z47" s="1596"/>
      <c r="AA47" s="329"/>
      <c r="AB47" s="329"/>
      <c r="AC47" s="1596"/>
      <c r="AD47" s="1596"/>
      <c r="AE47" s="329"/>
      <c r="AF47" s="1091"/>
      <c r="AH47" s="1094"/>
      <c r="AJ47" s="1093"/>
    </row>
    <row r="48" spans="1:42" ht="13.5" hidden="1" customHeight="1">
      <c r="A48" s="1087"/>
      <c r="B48" s="314"/>
      <c r="C48" s="314"/>
      <c r="D48" s="314"/>
      <c r="E48" s="1091"/>
      <c r="F48" s="327"/>
      <c r="G48" s="1091"/>
      <c r="H48" s="327"/>
      <c r="I48" s="1091"/>
      <c r="J48" s="327"/>
      <c r="K48" s="1091"/>
      <c r="L48" s="327"/>
      <c r="M48" s="1670"/>
      <c r="N48" s="2132"/>
      <c r="O48" s="1670"/>
      <c r="P48" s="1093"/>
      <c r="Q48" s="1670"/>
      <c r="R48" s="2137"/>
      <c r="S48" s="1670"/>
      <c r="U48" s="1094"/>
      <c r="Y48" s="1091"/>
      <c r="Z48" s="1596"/>
      <c r="AA48" s="328"/>
      <c r="AB48" s="328"/>
      <c r="AC48" s="1596"/>
      <c r="AD48" s="1596"/>
      <c r="AE48" s="328"/>
      <c r="AF48" s="1091"/>
      <c r="AH48" s="1094"/>
      <c r="AJ48" s="1093"/>
    </row>
    <row r="49" spans="1:36" ht="13.5" customHeight="1">
      <c r="A49" s="1087" t="s">
        <v>1209</v>
      </c>
      <c r="B49" s="314"/>
      <c r="C49" s="314"/>
      <c r="D49" s="314"/>
      <c r="E49" s="1091"/>
      <c r="F49" s="328"/>
      <c r="G49" s="1091"/>
      <c r="H49" s="328"/>
      <c r="I49" s="1091"/>
      <c r="J49" s="328"/>
      <c r="K49" s="1091"/>
      <c r="L49" s="328"/>
      <c r="M49" s="1670"/>
      <c r="N49" s="2132"/>
      <c r="O49" s="1670"/>
      <c r="P49" s="1093"/>
      <c r="Q49" s="1670"/>
      <c r="R49" s="2137"/>
      <c r="S49" s="1670"/>
      <c r="U49" s="2234" t="s">
        <v>1210</v>
      </c>
      <c r="Y49" s="1091"/>
      <c r="Z49" s="1596"/>
      <c r="AA49" s="328"/>
      <c r="AB49" s="328"/>
      <c r="AC49" s="1596"/>
      <c r="AD49" s="1596"/>
      <c r="AE49" s="328"/>
      <c r="AF49" s="1091"/>
      <c r="AH49" s="1094"/>
      <c r="AJ49" s="1093"/>
    </row>
    <row r="50" spans="1:36" ht="15" thickBot="1">
      <c r="A50" s="1087" t="s">
        <v>1211</v>
      </c>
      <c r="B50" s="314"/>
      <c r="C50" s="314"/>
      <c r="D50" s="314"/>
      <c r="E50" s="1091"/>
      <c r="F50" s="1109" t="e">
        <f>F35+#REF!</f>
        <v>#REF!</v>
      </c>
      <c r="G50" s="1091"/>
      <c r="H50" s="1109" t="e">
        <f>H35+#REF!</f>
        <v>#REF!</v>
      </c>
      <c r="I50" s="1091"/>
      <c r="J50" s="1109" t="e">
        <f>J35+#REF!</f>
        <v>#REF!</v>
      </c>
      <c r="K50" s="1091"/>
      <c r="L50" s="1109" t="e">
        <f>L35+#REF!</f>
        <v>#REF!</v>
      </c>
      <c r="M50" s="1107">
        <f>SUM(M35:M42)</f>
        <v>412024190</v>
      </c>
      <c r="N50" s="2132"/>
      <c r="O50" s="1107">
        <f>SUM(O35:O42)</f>
        <v>1737175989</v>
      </c>
      <c r="P50" s="1093"/>
      <c r="Q50" s="1107" t="e">
        <f>Q35+#REF!</f>
        <v>#REF!</v>
      </c>
      <c r="R50" s="1109"/>
      <c r="S50" s="1107" t="e">
        <f>S35+#REF!</f>
        <v>#REF!</v>
      </c>
      <c r="U50" s="1094" t="s">
        <v>1212</v>
      </c>
      <c r="V50" s="1111"/>
      <c r="W50" s="1111"/>
      <c r="Y50" s="1091"/>
      <c r="Z50" s="1597"/>
      <c r="AA50" s="1109"/>
      <c r="AB50" s="1109"/>
      <c r="AC50" s="1597"/>
      <c r="AD50" s="1597"/>
      <c r="AE50" s="1109"/>
      <c r="AF50" s="1091"/>
      <c r="AH50" s="1094"/>
      <c r="AI50" s="1111"/>
      <c r="AJ50" s="1093"/>
    </row>
    <row r="51" spans="1:36" ht="4.3499999999999996" customHeight="1" thickTop="1">
      <c r="A51" s="1087"/>
      <c r="B51" s="314"/>
      <c r="C51" s="314"/>
      <c r="D51" s="314"/>
      <c r="E51" s="1091"/>
      <c r="F51" s="1120"/>
      <c r="G51" s="1091"/>
      <c r="H51" s="1120"/>
      <c r="I51" s="1091"/>
      <c r="J51" s="1120"/>
      <c r="K51" s="1091"/>
      <c r="L51" s="1120"/>
      <c r="M51" s="1112"/>
      <c r="N51" s="1091"/>
      <c r="O51" s="1112"/>
      <c r="Q51" s="1109"/>
      <c r="R51" s="1101"/>
      <c r="S51" s="1109"/>
      <c r="U51" s="1094"/>
      <c r="Y51" s="1091"/>
      <c r="Z51" s="1600"/>
      <c r="AA51" s="1091"/>
      <c r="AB51" s="1091"/>
      <c r="AC51" s="1091"/>
      <c r="AD51" s="1091"/>
      <c r="AE51" s="1091"/>
      <c r="AF51" s="1091"/>
      <c r="AH51" s="1094"/>
    </row>
    <row r="52" spans="1:36">
      <c r="A52" s="1113" t="s">
        <v>1213</v>
      </c>
      <c r="B52" s="314"/>
      <c r="C52" s="314"/>
      <c r="D52" s="1091">
        <v>30</v>
      </c>
      <c r="E52" s="1091"/>
      <c r="F52" s="1114"/>
      <c r="G52" s="1114"/>
      <c r="H52" s="1114">
        <f>LPS!B30</f>
        <v>0</v>
      </c>
      <c r="I52" s="1091"/>
      <c r="J52" s="1114">
        <f>LPS!K30</f>
        <v>0.79265405363636365</v>
      </c>
      <c r="K52" s="1114"/>
      <c r="L52" s="1114">
        <f>LPS!M30</f>
        <v>1.0560931437500001</v>
      </c>
      <c r="M52" s="2315">
        <f>LPS!E30</f>
        <v>0.25088935539568347</v>
      </c>
      <c r="N52" s="2316"/>
      <c r="O52" s="2315">
        <f>LPS!O30</f>
        <v>2.1818142512500001</v>
      </c>
      <c r="P52" s="1115"/>
      <c r="Q52" s="1114">
        <f>LPS!Q30</f>
        <v>6.5139612869197174</v>
      </c>
      <c r="R52" s="1116"/>
      <c r="S52" s="1114">
        <f>LPS!S30</f>
        <v>4.1690649645018176</v>
      </c>
      <c r="U52" s="1117" t="s">
        <v>1214</v>
      </c>
      <c r="Y52" s="1114"/>
      <c r="AB52" s="1114"/>
      <c r="AC52" s="1114"/>
      <c r="AD52" s="1114"/>
      <c r="AE52" s="1114"/>
      <c r="AF52" s="1114"/>
      <c r="AH52" s="1117"/>
    </row>
    <row r="53" spans="1:36">
      <c r="A53" s="1113"/>
      <c r="B53" s="314"/>
      <c r="C53" s="314"/>
      <c r="D53" s="314"/>
      <c r="E53" s="1091"/>
      <c r="F53" s="1091"/>
      <c r="G53" s="1091"/>
      <c r="H53" s="1091"/>
      <c r="I53" s="1091"/>
      <c r="J53" s="1091"/>
      <c r="K53" s="1091"/>
      <c r="L53" s="1091"/>
      <c r="M53" s="1093"/>
      <c r="N53" s="1091"/>
      <c r="O53" s="1093"/>
      <c r="Q53" s="1093"/>
      <c r="S53" s="1093"/>
      <c r="U53" s="1117"/>
      <c r="Z53" s="853"/>
    </row>
    <row r="54" spans="1:36">
      <c r="A54" s="331"/>
      <c r="B54" s="311"/>
      <c r="C54" s="311"/>
      <c r="D54" s="311"/>
      <c r="E54" s="330"/>
      <c r="F54" s="330"/>
      <c r="G54" s="330"/>
      <c r="H54" s="330"/>
      <c r="I54" s="330"/>
      <c r="J54" s="330"/>
      <c r="K54" s="330"/>
      <c r="L54" s="330"/>
      <c r="M54" s="332"/>
      <c r="N54" s="330"/>
      <c r="O54" s="332"/>
      <c r="P54" s="308"/>
      <c r="Q54" s="332"/>
      <c r="R54" s="333"/>
      <c r="S54" s="332"/>
      <c r="T54" s="308"/>
      <c r="U54" s="309"/>
      <c r="V54" s="308"/>
      <c r="W54" s="308"/>
    </row>
    <row r="55" spans="1:36">
      <c r="A55" s="311"/>
      <c r="B55" s="311"/>
      <c r="C55" s="334"/>
      <c r="D55" s="334"/>
      <c r="E55" s="330"/>
      <c r="F55" s="330"/>
      <c r="G55" s="330"/>
      <c r="H55" s="330"/>
      <c r="I55" s="330"/>
      <c r="J55" s="330"/>
      <c r="K55" s="330"/>
      <c r="L55" s="330"/>
      <c r="M55" s="335">
        <f>M41*22%</f>
        <v>17850457.68</v>
      </c>
      <c r="N55" s="330"/>
      <c r="O55" s="335">
        <f>O41*22%</f>
        <v>-2334090.44</v>
      </c>
      <c r="P55" s="337"/>
      <c r="Q55" s="335">
        <f>Q41*22%</f>
        <v>68453236.060000002</v>
      </c>
      <c r="R55" s="336"/>
      <c r="S55" s="335">
        <f>S41*22%</f>
        <v>4628786.3600000003</v>
      </c>
      <c r="T55" s="308"/>
      <c r="U55" s="309"/>
      <c r="V55" s="308"/>
      <c r="W55" s="308"/>
      <c r="AJ55" s="1114"/>
    </row>
    <row r="56" spans="1:36">
      <c r="A56" s="311"/>
      <c r="B56" s="311"/>
      <c r="C56" s="311"/>
      <c r="D56" s="311"/>
      <c r="E56" s="330"/>
      <c r="F56" s="330"/>
      <c r="G56" s="330"/>
      <c r="H56" s="330"/>
      <c r="I56" s="330"/>
      <c r="J56" s="330"/>
      <c r="K56" s="330"/>
      <c r="L56" s="330"/>
      <c r="M56" s="308"/>
      <c r="N56" s="330"/>
      <c r="O56" s="308"/>
      <c r="P56" s="308"/>
      <c r="Q56" s="338"/>
      <c r="R56" s="333"/>
      <c r="S56" s="338"/>
      <c r="T56" s="308"/>
      <c r="U56" s="309"/>
      <c r="V56" s="308"/>
      <c r="W56" s="308"/>
    </row>
    <row r="57" spans="1:36">
      <c r="A57" s="311"/>
      <c r="B57" s="311"/>
      <c r="C57" s="311"/>
      <c r="D57" s="339" t="s">
        <v>1215</v>
      </c>
      <c r="E57" s="330"/>
      <c r="F57" s="340" t="e">
        <f>F50-'WS Konsol'!W764</f>
        <v>#REF!</v>
      </c>
      <c r="G57" s="330"/>
      <c r="H57" s="340" t="e">
        <f>H50-'WS Konsol'!AT764</f>
        <v>#REF!</v>
      </c>
      <c r="I57" s="330"/>
      <c r="J57" s="340" t="e">
        <f>J50-'WS Konsol'!AF764</f>
        <v>#REF!</v>
      </c>
      <c r="K57" s="330"/>
      <c r="L57" s="340" t="e">
        <f>L50-'WS Konsol'!BC764</f>
        <v>#REF!</v>
      </c>
      <c r="M57" s="340">
        <f>'WS Konsol'!M756-M35</f>
        <v>0</v>
      </c>
      <c r="N57" s="330"/>
      <c r="O57" s="340">
        <f>O23-'WS Konsol'!AI746</f>
        <v>0</v>
      </c>
      <c r="P57" s="308"/>
      <c r="Q57" s="340">
        <f>Q23-'WS Konsol'!BF746</f>
        <v>0</v>
      </c>
      <c r="R57" s="341"/>
      <c r="S57" s="340">
        <f>S23-'WS Konsol'!BH746</f>
        <v>0</v>
      </c>
      <c r="T57" s="308"/>
      <c r="U57" s="309"/>
      <c r="V57" s="308"/>
      <c r="W57" s="308"/>
    </row>
    <row r="60" spans="1:36">
      <c r="M60" s="1093"/>
    </row>
  </sheetData>
  <mergeCells count="6">
    <mergeCell ref="M8:O8"/>
    <mergeCell ref="A1:S1"/>
    <mergeCell ref="A2:S2"/>
    <mergeCell ref="A3:S3"/>
    <mergeCell ref="A4:S4"/>
    <mergeCell ref="A5:S5"/>
  </mergeCells>
  <pageMargins left="0.7" right="0.7" top="0.75" bottom="0.75" header="0.3" footer="0.3"/>
  <pageSetup paperSize="9"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2E8C-EBAC-40EB-8B18-3E9830BC4A8F}">
  <sheetPr>
    <tabColor rgb="FFC00000"/>
  </sheetPr>
  <dimension ref="A1:W110"/>
  <sheetViews>
    <sheetView showGridLines="0" workbookViewId="0">
      <pane xSplit="7" ySplit="13" topLeftCell="H14" activePane="bottomRight" state="frozen"/>
      <selection pane="bottomRight" activeCell="U52" sqref="U52"/>
      <selection pane="bottomLeft" activeCell="A14" sqref="A14"/>
      <selection pane="topRight" activeCell="G1" sqref="G1"/>
    </sheetView>
  </sheetViews>
  <sheetFormatPr defaultRowHeight="14.45"/>
  <cols>
    <col min="2" max="2" width="5.42578125" customWidth="1"/>
    <col min="3" max="3" width="0.5703125" customWidth="1"/>
    <col min="4" max="4" width="13.5703125" customWidth="1"/>
    <col min="5" max="5" width="0" hidden="1" customWidth="1"/>
    <col min="6" max="6" width="2.42578125" customWidth="1"/>
    <col min="7" max="7" width="8.42578125" customWidth="1"/>
    <col min="8" max="8" width="0.5703125" customWidth="1"/>
    <col min="9" max="9" width="12.5703125" bestFit="1" customWidth="1"/>
    <col min="10" max="10" width="0.5703125" customWidth="1"/>
    <col min="11" max="11" width="17.42578125" bestFit="1" customWidth="1"/>
    <col min="12" max="12" width="0.5703125" customWidth="1"/>
    <col min="13" max="13" width="16.42578125" customWidth="1"/>
    <col min="14" max="14" width="0.5703125" customWidth="1"/>
    <col min="15" max="15" width="13.5703125" customWidth="1"/>
    <col min="16" max="16" width="0.5703125" customWidth="1"/>
    <col min="17" max="17" width="14.42578125" bestFit="1" customWidth="1"/>
    <col min="18" max="18" width="0.5703125" customWidth="1"/>
    <col min="19" max="19" width="21.42578125" customWidth="1"/>
    <col min="20" max="20" width="0.5703125" customWidth="1"/>
    <col min="21" max="21" width="14.5703125" bestFit="1" customWidth="1"/>
    <col min="22" max="22" width="0.5703125" customWidth="1"/>
    <col min="23" max="23" width="26.42578125" bestFit="1" customWidth="1"/>
    <col min="24" max="24" width="3.42578125" customWidth="1"/>
  </cols>
  <sheetData>
    <row r="1" spans="1:23" hidden="1">
      <c r="A1" s="351" t="s">
        <v>1216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402"/>
      <c r="P1" s="351"/>
      <c r="Q1" s="351"/>
      <c r="R1" s="351"/>
      <c r="S1" s="351"/>
      <c r="T1" s="351"/>
      <c r="U1" s="351"/>
      <c r="V1" s="354"/>
      <c r="W1" s="359"/>
    </row>
    <row r="2" spans="1:23" hidden="1">
      <c r="A2" s="403" t="s">
        <v>1174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4">
        <f>'[193]BS Konsol'!O119</f>
        <v>0</v>
      </c>
      <c r="R2" s="403"/>
      <c r="S2" s="403"/>
      <c r="T2" s="403"/>
      <c r="U2" s="403"/>
      <c r="V2" s="354"/>
      <c r="W2" s="359"/>
    </row>
    <row r="3" spans="1:23" hidden="1">
      <c r="A3" s="403" t="s">
        <v>1217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354"/>
      <c r="W3" s="359"/>
    </row>
    <row r="4" spans="1:23" hidden="1">
      <c r="A4" s="351" t="s">
        <v>1053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4"/>
      <c r="W4" s="359"/>
    </row>
    <row r="5" spans="1:23" ht="13.35" customHeight="1">
      <c r="A5" s="351"/>
      <c r="B5" s="351"/>
      <c r="C5" s="351"/>
      <c r="D5" s="352"/>
      <c r="E5" s="351"/>
      <c r="F5" s="351"/>
      <c r="G5" s="351"/>
      <c r="H5" s="351"/>
      <c r="I5" s="351"/>
      <c r="J5" s="351"/>
      <c r="K5" s="353"/>
      <c r="L5" s="351"/>
      <c r="M5" s="354"/>
      <c r="N5" s="351"/>
      <c r="O5" s="2405" t="s">
        <v>1218</v>
      </c>
      <c r="P5" s="2405"/>
      <c r="Q5" s="2405"/>
      <c r="R5" s="2405"/>
      <c r="S5" s="2405"/>
      <c r="T5" s="351"/>
      <c r="U5" s="355"/>
      <c r="V5" s="354"/>
      <c r="W5" s="356"/>
    </row>
    <row r="6" spans="1:23" ht="13.35" customHeight="1">
      <c r="A6" s="351"/>
      <c r="B6" s="351"/>
      <c r="C6" s="351"/>
      <c r="D6" s="352"/>
      <c r="E6" s="351"/>
      <c r="F6" s="351"/>
      <c r="G6" s="351"/>
      <c r="H6" s="351"/>
      <c r="I6" s="351"/>
      <c r="J6" s="351"/>
      <c r="K6" s="354"/>
      <c r="L6" s="351"/>
      <c r="M6" s="354"/>
      <c r="N6" s="351"/>
      <c r="O6" s="2406" t="s">
        <v>1219</v>
      </c>
      <c r="P6" s="2406"/>
      <c r="Q6" s="2406"/>
      <c r="R6" s="2406"/>
      <c r="S6" s="2406"/>
      <c r="T6" s="351"/>
      <c r="U6" s="357"/>
      <c r="V6" s="354"/>
      <c r="W6" s="356"/>
    </row>
    <row r="7" spans="1:23" ht="11.85" customHeight="1">
      <c r="A7" s="351"/>
      <c r="B7" s="351"/>
      <c r="C7" s="351"/>
      <c r="D7" s="351"/>
      <c r="E7" s="351"/>
      <c r="F7" s="351"/>
      <c r="G7" s="351"/>
      <c r="H7" s="351"/>
      <c r="I7" s="351"/>
      <c r="J7" s="351"/>
      <c r="K7" s="354"/>
      <c r="L7" s="351"/>
      <c r="M7" s="354"/>
      <c r="N7" s="351"/>
      <c r="O7" s="354"/>
      <c r="P7" s="358"/>
      <c r="Q7" s="354"/>
      <c r="R7" s="358"/>
      <c r="S7" s="358" t="s">
        <v>96</v>
      </c>
      <c r="T7" s="351"/>
      <c r="U7" s="353"/>
      <c r="V7" s="354"/>
      <c r="W7" s="359"/>
    </row>
    <row r="8" spans="1:23" ht="11.85" customHeight="1">
      <c r="A8" s="351"/>
      <c r="B8" s="351"/>
      <c r="C8" s="351"/>
      <c r="D8" s="351"/>
      <c r="E8" s="354"/>
      <c r="F8" s="354"/>
      <c r="G8" s="354"/>
      <c r="H8" s="354"/>
      <c r="I8" s="354"/>
      <c r="J8" s="354"/>
      <c r="K8" s="354"/>
      <c r="L8" s="354"/>
      <c r="M8" s="353"/>
      <c r="N8" s="354"/>
      <c r="O8" s="354"/>
      <c r="P8" s="358"/>
      <c r="Q8" s="354"/>
      <c r="R8" s="358"/>
      <c r="S8" s="358" t="s">
        <v>1220</v>
      </c>
      <c r="T8" s="351"/>
      <c r="U8" s="360"/>
      <c r="V8" s="354"/>
      <c r="W8" s="359"/>
    </row>
    <row r="9" spans="1:23" ht="11.85" customHeight="1">
      <c r="A9" s="351"/>
      <c r="B9" s="351"/>
      <c r="C9" s="351"/>
      <c r="D9" s="351"/>
      <c r="E9" s="354"/>
      <c r="F9" s="354"/>
      <c r="G9" s="353"/>
      <c r="H9" s="353"/>
      <c r="I9" s="354"/>
      <c r="J9" s="351"/>
      <c r="K9" s="354"/>
      <c r="L9" s="351"/>
      <c r="M9" s="353"/>
      <c r="N9" s="351"/>
      <c r="O9" s="354"/>
      <c r="P9" s="358"/>
      <c r="Q9" s="358"/>
      <c r="R9" s="358"/>
      <c r="S9" s="358" t="s">
        <v>1221</v>
      </c>
      <c r="T9" s="351"/>
      <c r="U9" s="361"/>
      <c r="V9" s="354"/>
      <c r="W9" s="359" t="s">
        <v>468</v>
      </c>
    </row>
    <row r="10" spans="1:23" ht="11.85" customHeight="1">
      <c r="A10" s="351"/>
      <c r="B10" s="351"/>
      <c r="C10" s="351"/>
      <c r="D10" s="351"/>
      <c r="E10" s="354"/>
      <c r="F10" s="354"/>
      <c r="G10" s="353"/>
      <c r="H10" s="353"/>
      <c r="I10" s="354"/>
      <c r="J10" s="362"/>
      <c r="K10" s="353" t="s">
        <v>1222</v>
      </c>
      <c r="L10" s="363"/>
      <c r="M10" s="353" t="s">
        <v>292</v>
      </c>
      <c r="N10" s="363"/>
      <c r="O10" s="354"/>
      <c r="P10" s="364"/>
      <c r="Q10" s="354"/>
      <c r="R10" s="358"/>
      <c r="S10" s="365" t="s">
        <v>1223</v>
      </c>
      <c r="T10" s="351"/>
      <c r="U10" s="366"/>
      <c r="V10" s="354"/>
      <c r="W10" s="359"/>
    </row>
    <row r="11" spans="1:23" ht="11.85" customHeight="1">
      <c r="A11" s="351"/>
      <c r="B11" s="351"/>
      <c r="C11" s="351"/>
      <c r="D11" s="351"/>
      <c r="E11" s="353"/>
      <c r="F11" s="353"/>
      <c r="G11" s="353"/>
      <c r="H11" s="353"/>
      <c r="I11" s="353"/>
      <c r="J11" s="351"/>
      <c r="K11" s="363" t="s">
        <v>1224</v>
      </c>
      <c r="L11" s="351"/>
      <c r="M11" s="353" t="s">
        <v>1225</v>
      </c>
      <c r="N11" s="351"/>
      <c r="O11" s="358" t="s">
        <v>1226</v>
      </c>
      <c r="P11" s="358"/>
      <c r="Q11" s="358" t="s">
        <v>1227</v>
      </c>
      <c r="R11" s="358"/>
      <c r="S11" s="367" t="s">
        <v>1228</v>
      </c>
      <c r="T11" s="351"/>
      <c r="U11" s="368"/>
      <c r="V11" s="354"/>
      <c r="W11" s="369"/>
    </row>
    <row r="12" spans="1:23" ht="11.85" customHeight="1">
      <c r="A12" s="351"/>
      <c r="B12" s="351"/>
      <c r="C12" s="351"/>
      <c r="D12" s="351"/>
      <c r="E12" s="353" t="s">
        <v>1054</v>
      </c>
      <c r="F12" s="353"/>
      <c r="G12" s="162" t="s">
        <v>1054</v>
      </c>
      <c r="H12" s="162"/>
      <c r="I12" s="353" t="s">
        <v>1229</v>
      </c>
      <c r="J12" s="351"/>
      <c r="K12" s="413" t="s">
        <v>1230</v>
      </c>
      <c r="L12" s="351"/>
      <c r="M12" s="370" t="s">
        <v>1231</v>
      </c>
      <c r="N12" s="351"/>
      <c r="O12" s="414" t="s">
        <v>1232</v>
      </c>
      <c r="P12" s="414"/>
      <c r="Q12" s="414" t="s">
        <v>1232</v>
      </c>
      <c r="R12" s="414"/>
      <c r="S12" s="367" t="s">
        <v>1233</v>
      </c>
      <c r="T12" s="351"/>
      <c r="U12" s="362" t="s">
        <v>1234</v>
      </c>
      <c r="V12" s="354"/>
      <c r="W12" s="359"/>
    </row>
    <row r="13" spans="1:23" ht="11.85" customHeight="1">
      <c r="A13" s="351"/>
      <c r="B13" s="351"/>
      <c r="C13" s="351"/>
      <c r="D13" s="351"/>
      <c r="E13" s="371" t="s">
        <v>1055</v>
      </c>
      <c r="F13" s="370"/>
      <c r="G13" s="373" t="s">
        <v>1055</v>
      </c>
      <c r="H13" s="2238"/>
      <c r="I13" s="373" t="s">
        <v>1235</v>
      </c>
      <c r="J13" s="362"/>
      <c r="K13" s="373" t="s">
        <v>1236</v>
      </c>
      <c r="L13" s="362"/>
      <c r="M13" s="371" t="s">
        <v>1237</v>
      </c>
      <c r="N13" s="362"/>
      <c r="O13" s="415" t="s">
        <v>1161</v>
      </c>
      <c r="P13" s="416"/>
      <c r="Q13" s="415" t="s">
        <v>1163</v>
      </c>
      <c r="R13" s="416"/>
      <c r="S13" s="372" t="s">
        <v>1238</v>
      </c>
      <c r="T13" s="417"/>
      <c r="U13" s="373" t="s">
        <v>851</v>
      </c>
      <c r="V13" s="354"/>
      <c r="W13" s="359"/>
    </row>
    <row r="14" spans="1:23">
      <c r="A14" s="351"/>
      <c r="B14" s="351"/>
      <c r="C14" s="351"/>
      <c r="D14" s="351"/>
      <c r="E14" s="351"/>
      <c r="F14" s="351"/>
      <c r="G14" s="351"/>
      <c r="H14" s="351"/>
      <c r="I14" s="351"/>
      <c r="J14" s="351"/>
      <c r="K14" s="353"/>
      <c r="L14" s="353"/>
      <c r="M14" s="354"/>
      <c r="N14" s="353"/>
      <c r="O14" s="351"/>
      <c r="P14" s="351"/>
      <c r="Q14" s="351"/>
      <c r="R14" s="351"/>
      <c r="S14" s="351"/>
      <c r="T14" s="351"/>
      <c r="U14" s="353"/>
      <c r="V14" s="354"/>
      <c r="W14" s="359"/>
    </row>
    <row r="15" spans="1:23">
      <c r="A15" s="351"/>
      <c r="B15" s="351"/>
      <c r="C15" s="351"/>
      <c r="D15" s="351"/>
      <c r="E15" s="351"/>
      <c r="F15" s="351"/>
      <c r="G15" s="351"/>
      <c r="H15" s="351"/>
      <c r="I15" s="351"/>
      <c r="J15" s="351"/>
      <c r="K15" s="353"/>
      <c r="L15" s="353"/>
      <c r="M15" s="353"/>
      <c r="N15" s="353"/>
      <c r="O15" s="351"/>
      <c r="P15" s="351"/>
      <c r="Q15" s="351"/>
      <c r="R15" s="351"/>
      <c r="S15" s="351"/>
      <c r="T15" s="351"/>
      <c r="U15" s="353"/>
      <c r="V15" s="354"/>
      <c r="W15" s="359"/>
    </row>
    <row r="16" spans="1:23" hidden="1">
      <c r="A16" s="351" t="s">
        <v>1239</v>
      </c>
      <c r="B16" s="374"/>
      <c r="C16" s="374"/>
      <c r="D16" s="375"/>
      <c r="E16" s="375"/>
      <c r="F16" s="375"/>
      <c r="G16" s="375"/>
      <c r="H16" s="375"/>
      <c r="I16" s="418">
        <v>40000000000</v>
      </c>
      <c r="J16" s="419"/>
      <c r="K16" s="420">
        <v>25871690669</v>
      </c>
      <c r="L16" s="353"/>
      <c r="M16" s="377">
        <v>-627906429</v>
      </c>
      <c r="N16" s="353"/>
      <c r="O16" s="376">
        <v>0</v>
      </c>
      <c r="P16" s="378"/>
      <c r="Q16" s="1060">
        <f>ROUNDDOWN(10091081877.7902,0)</f>
        <v>10091081877</v>
      </c>
      <c r="R16" s="1061"/>
      <c r="S16" s="1060">
        <f>ROUND(20045030056.9821,0)</f>
        <v>20045030057</v>
      </c>
      <c r="T16" s="402"/>
      <c r="U16" s="1062">
        <f>SUM(I16:S16)</f>
        <v>95379896174</v>
      </c>
      <c r="V16" s="354"/>
      <c r="W16" s="380" t="s">
        <v>1240</v>
      </c>
    </row>
    <row r="17" spans="1:23" ht="10.35" hidden="1" customHeight="1">
      <c r="A17" s="382" t="s">
        <v>1241</v>
      </c>
      <c r="B17" s="354"/>
      <c r="C17" s="354"/>
      <c r="D17" s="375"/>
      <c r="E17" s="375"/>
      <c r="F17" s="375"/>
      <c r="G17" s="375"/>
      <c r="H17" s="375"/>
      <c r="I17" s="383"/>
      <c r="J17" s="383"/>
      <c r="K17" s="381"/>
      <c r="L17" s="381"/>
      <c r="M17" s="381"/>
      <c r="N17" s="381"/>
      <c r="O17" s="385"/>
      <c r="P17" s="385"/>
      <c r="Q17" s="1063"/>
      <c r="R17" s="1063"/>
      <c r="S17" s="1063"/>
      <c r="T17" s="402"/>
      <c r="U17" s="1064"/>
      <c r="V17" s="354"/>
      <c r="W17" s="386" t="s">
        <v>1242</v>
      </c>
    </row>
    <row r="18" spans="1:23" ht="10.35" hidden="1" customHeight="1">
      <c r="A18" s="382" t="s">
        <v>1243</v>
      </c>
      <c r="B18" s="354"/>
      <c r="C18" s="354"/>
      <c r="D18" s="375"/>
      <c r="E18" s="393">
        <v>29</v>
      </c>
      <c r="F18" s="393"/>
      <c r="G18" s="375"/>
      <c r="H18" s="375"/>
      <c r="I18" s="383">
        <v>0</v>
      </c>
      <c r="J18" s="383"/>
      <c r="K18" s="381">
        <v>0</v>
      </c>
      <c r="L18" s="381"/>
      <c r="M18" s="381">
        <f>'PL Konsol'!S42+'PL Konsol'!S41</f>
        <v>16411152</v>
      </c>
      <c r="N18" s="381"/>
      <c r="O18" s="385">
        <v>0</v>
      </c>
      <c r="P18" s="385"/>
      <c r="Q18" s="1063">
        <v>0</v>
      </c>
      <c r="R18" s="1063"/>
      <c r="S18" s="1063"/>
      <c r="T18" s="402"/>
      <c r="U18" s="1064">
        <f>SUM(I18:T18)</f>
        <v>16411152</v>
      </c>
      <c r="V18" s="354"/>
      <c r="W18" s="386" t="s">
        <v>1244</v>
      </c>
    </row>
    <row r="19" spans="1:23" ht="10.35" hidden="1" customHeight="1">
      <c r="A19" s="382" t="s">
        <v>1245</v>
      </c>
      <c r="B19" s="354"/>
      <c r="C19" s="354"/>
      <c r="D19" s="375"/>
      <c r="E19" s="375"/>
      <c r="F19" s="375"/>
      <c r="G19" s="375"/>
      <c r="H19" s="375"/>
      <c r="I19" s="387">
        <v>0</v>
      </c>
      <c r="J19" s="383"/>
      <c r="K19" s="388">
        <v>0</v>
      </c>
      <c r="L19" s="381"/>
      <c r="M19" s="388">
        <v>0</v>
      </c>
      <c r="N19" s="381"/>
      <c r="O19" s="389"/>
      <c r="P19" s="385"/>
      <c r="Q19" s="1065">
        <f>ROUNDUP('PL Konsol'!S35,0)</f>
        <v>3335251972</v>
      </c>
      <c r="R19" s="1063"/>
      <c r="S19" s="1066">
        <f>ROUND((-'PL Konsol'!S33),0)</f>
        <v>2344585403</v>
      </c>
      <c r="T19" s="402"/>
      <c r="U19" s="1066">
        <f>SUM(I19:T19)</f>
        <v>5679837375</v>
      </c>
      <c r="V19" s="354"/>
      <c r="W19" s="386" t="s">
        <v>1246</v>
      </c>
    </row>
    <row r="20" spans="1:23" ht="3.6" hidden="1" customHeight="1">
      <c r="A20" s="374"/>
      <c r="B20" s="374"/>
      <c r="C20" s="374"/>
      <c r="D20" s="375"/>
      <c r="E20" s="375"/>
      <c r="F20" s="375"/>
      <c r="G20" s="375"/>
      <c r="H20" s="375"/>
      <c r="I20" s="384"/>
      <c r="J20" s="384"/>
      <c r="K20" s="390"/>
      <c r="L20" s="390"/>
      <c r="M20" s="390"/>
      <c r="N20" s="390"/>
      <c r="O20" s="390"/>
      <c r="P20" s="390"/>
      <c r="Q20" s="1067"/>
      <c r="R20" s="1067"/>
      <c r="S20" s="1067"/>
      <c r="T20" s="1067"/>
      <c r="U20" s="1064"/>
      <c r="V20" s="354"/>
      <c r="W20" s="359"/>
    </row>
    <row r="21" spans="1:23" ht="15" hidden="1" thickBot="1">
      <c r="A21" s="351" t="s">
        <v>1247</v>
      </c>
      <c r="B21" s="374"/>
      <c r="C21" s="374"/>
      <c r="D21" s="375"/>
      <c r="E21" s="375"/>
      <c r="F21" s="375"/>
      <c r="G21" s="375"/>
      <c r="H21" s="375"/>
      <c r="I21" s="396">
        <f>SUM(I16:I19)</f>
        <v>40000000000</v>
      </c>
      <c r="J21" s="391"/>
      <c r="K21" s="396">
        <f>SUM(K16:K19)</f>
        <v>25871690669</v>
      </c>
      <c r="L21" s="379"/>
      <c r="M21" s="396">
        <f>SUM(M16:M19)</f>
        <v>-611495277</v>
      </c>
      <c r="N21" s="379"/>
      <c r="O21" s="396">
        <f>SUM(O16:O19)</f>
        <v>0</v>
      </c>
      <c r="P21" s="379"/>
      <c r="Q21" s="1068">
        <f>ROUNDUP(SUM(Q16:Q19),0)</f>
        <v>13426333849</v>
      </c>
      <c r="R21" s="1062"/>
      <c r="S21" s="1068">
        <f>SUM(S16:S19)</f>
        <v>22389615460</v>
      </c>
      <c r="T21" s="1069"/>
      <c r="U21" s="1068">
        <f>SUM(U16:U19)</f>
        <v>101076144701</v>
      </c>
      <c r="V21" s="354"/>
      <c r="W21" s="380" t="s">
        <v>1248</v>
      </c>
    </row>
    <row r="22" spans="1:23" ht="5.0999999999999996" hidden="1" customHeight="1" thickTop="1">
      <c r="A22" s="374"/>
      <c r="B22" s="374"/>
      <c r="C22" s="374"/>
      <c r="D22" s="375"/>
      <c r="E22" s="375"/>
      <c r="F22" s="375"/>
      <c r="G22" s="375"/>
      <c r="H22" s="375"/>
      <c r="I22" s="384"/>
      <c r="J22" s="384"/>
      <c r="K22" s="390"/>
      <c r="L22" s="390"/>
      <c r="M22" s="390"/>
      <c r="N22" s="390"/>
      <c r="O22" s="390"/>
      <c r="P22" s="390"/>
      <c r="Q22" s="1067"/>
      <c r="R22" s="1067"/>
      <c r="S22" s="1067"/>
      <c r="T22" s="1067"/>
      <c r="U22" s="1064"/>
      <c r="V22" s="354"/>
      <c r="W22" s="359"/>
    </row>
    <row r="23" spans="1:23" ht="9.6" hidden="1" customHeight="1">
      <c r="A23" s="382" t="s">
        <v>1241</v>
      </c>
      <c r="B23" s="354"/>
      <c r="C23" s="354"/>
      <c r="D23" s="375"/>
      <c r="E23" s="375"/>
      <c r="F23" s="375"/>
      <c r="G23" s="375"/>
      <c r="H23" s="375"/>
      <c r="I23" s="383"/>
      <c r="J23" s="383"/>
      <c r="K23" s="381"/>
      <c r="L23" s="381"/>
      <c r="M23" s="381"/>
      <c r="N23" s="381"/>
      <c r="O23" s="385"/>
      <c r="P23" s="385"/>
      <c r="Q23" s="1063"/>
      <c r="R23" s="1063"/>
      <c r="S23" s="1063"/>
      <c r="T23" s="402"/>
      <c r="U23" s="1064"/>
      <c r="V23" s="354"/>
      <c r="W23" s="386" t="s">
        <v>1242</v>
      </c>
    </row>
    <row r="24" spans="1:23" ht="9.6" hidden="1" customHeight="1">
      <c r="A24" s="382" t="s">
        <v>1243</v>
      </c>
      <c r="B24" s="354"/>
      <c r="C24" s="354"/>
      <c r="D24" s="375"/>
      <c r="E24" s="393">
        <v>29</v>
      </c>
      <c r="F24" s="393"/>
      <c r="G24" s="375"/>
      <c r="H24" s="375"/>
      <c r="I24" s="383">
        <v>0</v>
      </c>
      <c r="J24" s="383"/>
      <c r="K24" s="381">
        <v>0</v>
      </c>
      <c r="L24" s="381"/>
      <c r="M24" s="381">
        <f>'PL Konsol'!Q41+'PL Konsol'!Q42</f>
        <v>242697837</v>
      </c>
      <c r="N24" s="381"/>
      <c r="O24" s="385">
        <v>0</v>
      </c>
      <c r="P24" s="385"/>
      <c r="Q24" s="1070">
        <v>0</v>
      </c>
      <c r="R24" s="1063"/>
      <c r="S24" s="1064">
        <v>0</v>
      </c>
      <c r="T24" s="402"/>
      <c r="U24" s="1064">
        <f>SUM(I24:S24)</f>
        <v>242697837</v>
      </c>
      <c r="V24" s="354"/>
      <c r="W24" s="386" t="s">
        <v>1244</v>
      </c>
    </row>
    <row r="25" spans="1:23" ht="9.6" hidden="1" customHeight="1">
      <c r="A25" s="382" t="s">
        <v>1245</v>
      </c>
      <c r="B25" s="354"/>
      <c r="C25" s="354"/>
      <c r="D25" s="375"/>
      <c r="E25" s="393"/>
      <c r="F25" s="393"/>
      <c r="G25" s="375"/>
      <c r="H25" s="375"/>
      <c r="I25" s="383">
        <v>0</v>
      </c>
      <c r="J25" s="383"/>
      <c r="K25" s="381">
        <v>0</v>
      </c>
      <c r="L25" s="381"/>
      <c r="M25" s="381">
        <v>0</v>
      </c>
      <c r="N25" s="381"/>
      <c r="O25" s="390">
        <v>0</v>
      </c>
      <c r="P25" s="390"/>
      <c r="Q25" s="1067">
        <f>ROUNDUP('PL Konsol'!Q35,0)</f>
        <v>5211169030</v>
      </c>
      <c r="R25" s="1067"/>
      <c r="S25" s="1067">
        <f>ROUNDUP((-'PL Konsol'!Q33),0)</f>
        <v>1026886213</v>
      </c>
      <c r="T25" s="1067"/>
      <c r="U25" s="1064">
        <f>SUM(I25:S25)</f>
        <v>6238055243</v>
      </c>
      <c r="V25" s="354"/>
      <c r="W25" s="386" t="s">
        <v>1246</v>
      </c>
    </row>
    <row r="26" spans="1:23" ht="9.6" hidden="1" customHeight="1">
      <c r="A26" s="375" t="s">
        <v>1249</v>
      </c>
      <c r="B26" s="374"/>
      <c r="C26" s="374"/>
      <c r="D26" s="375"/>
      <c r="E26" s="393" t="s">
        <v>1160</v>
      </c>
      <c r="F26" s="393"/>
      <c r="G26" s="375"/>
      <c r="H26" s="375"/>
      <c r="I26" s="384"/>
      <c r="J26" s="384"/>
      <c r="K26" s="390"/>
      <c r="L26" s="390"/>
      <c r="M26" s="390"/>
      <c r="N26" s="390"/>
      <c r="O26" s="390">
        <f>'BS Konsol'!N104</f>
        <v>410000000</v>
      </c>
      <c r="P26" s="390"/>
      <c r="Q26" s="1067">
        <f>-('BS Konsol'!N104-10000000)</f>
        <v>-400000000</v>
      </c>
      <c r="R26" s="1067"/>
      <c r="S26" s="1067">
        <f>-10000000</f>
        <v>-10000000</v>
      </c>
      <c r="T26" s="1067"/>
      <c r="U26" s="2327">
        <v>0</v>
      </c>
      <c r="V26" s="354"/>
      <c r="W26" s="359"/>
    </row>
    <row r="27" spans="1:23" ht="15" thickBot="1">
      <c r="A27" s="351" t="s">
        <v>1250</v>
      </c>
      <c r="B27" s="351"/>
      <c r="C27" s="351"/>
      <c r="D27" s="375"/>
      <c r="E27" s="393"/>
      <c r="F27" s="393"/>
      <c r="G27" s="375"/>
      <c r="H27" s="375"/>
      <c r="I27" s="396">
        <f>SUM(I21:I26)</f>
        <v>40000000000</v>
      </c>
      <c r="J27" s="379"/>
      <c r="K27" s="396">
        <f>SUM(K21:K26)</f>
        <v>25871690669</v>
      </c>
      <c r="L27" s="379"/>
      <c r="M27" s="396">
        <f>SUM(M21:M26)</f>
        <v>-368797440</v>
      </c>
      <c r="N27" s="379"/>
      <c r="O27" s="396">
        <f>SUM(O21:O26)</f>
        <v>410000000</v>
      </c>
      <c r="P27" s="379"/>
      <c r="Q27" s="1068">
        <f>ROUNDUP(SUM(Q21:Q26),0)</f>
        <v>18237502879</v>
      </c>
      <c r="R27" s="1062"/>
      <c r="S27" s="1068">
        <f>ROUND(SUM(S21:S26),0)</f>
        <v>23406501673</v>
      </c>
      <c r="T27" s="1067"/>
      <c r="U27" s="1068">
        <f>SUM(U21:U26)</f>
        <v>107556897781</v>
      </c>
      <c r="V27" s="354"/>
      <c r="W27" s="380" t="s">
        <v>1251</v>
      </c>
    </row>
    <row r="28" spans="1:23" ht="15" hidden="1" thickTop="1">
      <c r="A28" s="354"/>
      <c r="B28" s="354"/>
      <c r="C28" s="354"/>
      <c r="D28" s="375"/>
      <c r="E28" s="393"/>
      <c r="F28" s="393"/>
      <c r="G28" s="375"/>
      <c r="H28" s="375"/>
      <c r="I28" s="383"/>
      <c r="J28" s="383"/>
      <c r="K28" s="390"/>
      <c r="L28" s="390"/>
      <c r="M28" s="390"/>
      <c r="N28" s="390"/>
      <c r="O28" s="390"/>
      <c r="P28" s="390"/>
      <c r="Q28" s="1067"/>
      <c r="R28" s="1067"/>
      <c r="S28" s="1067"/>
      <c r="T28" s="1067"/>
      <c r="U28" s="1064"/>
      <c r="V28" s="354"/>
      <c r="W28" s="356"/>
    </row>
    <row r="29" spans="1:23" hidden="1">
      <c r="A29" s="354"/>
      <c r="B29" s="354"/>
      <c r="C29" s="354"/>
      <c r="D29" s="375"/>
      <c r="E29" s="393"/>
      <c r="F29" s="393"/>
      <c r="G29" s="375"/>
      <c r="H29" s="375"/>
      <c r="I29" s="383"/>
      <c r="J29" s="383"/>
      <c r="K29" s="390"/>
      <c r="L29" s="390"/>
      <c r="M29" s="390"/>
      <c r="N29" s="390"/>
      <c r="O29" s="390"/>
      <c r="P29" s="390"/>
      <c r="Q29" s="1067"/>
      <c r="R29" s="1067"/>
      <c r="S29" s="1067"/>
      <c r="T29" s="1067"/>
      <c r="U29" s="1064"/>
      <c r="V29" s="354"/>
      <c r="W29" s="356"/>
    </row>
    <row r="30" spans="1:23" ht="11.1" hidden="1" customHeight="1">
      <c r="A30" s="382" t="s">
        <v>1241</v>
      </c>
      <c r="B30" s="354"/>
      <c r="C30" s="354"/>
      <c r="D30" s="375"/>
      <c r="E30" s="393"/>
      <c r="F30" s="393"/>
      <c r="G30" s="375"/>
      <c r="H30" s="375"/>
      <c r="I30" s="383"/>
      <c r="J30" s="383"/>
      <c r="K30" s="381"/>
      <c r="L30" s="381"/>
      <c r="M30" s="381"/>
      <c r="N30" s="381"/>
      <c r="O30" s="379"/>
      <c r="P30" s="379"/>
      <c r="Q30" s="1062"/>
      <c r="R30" s="1062"/>
      <c r="S30" s="1063"/>
      <c r="T30" s="402"/>
      <c r="U30" s="1064"/>
      <c r="V30" s="354"/>
      <c r="W30" s="397" t="s">
        <v>1242</v>
      </c>
    </row>
    <row r="31" spans="1:23" hidden="1">
      <c r="A31" s="382" t="s">
        <v>1243</v>
      </c>
      <c r="B31" s="354"/>
      <c r="C31" s="354"/>
      <c r="D31" s="375"/>
      <c r="E31" s="393">
        <v>29</v>
      </c>
      <c r="F31" s="393"/>
      <c r="G31" s="375"/>
      <c r="H31" s="375"/>
      <c r="I31" s="383"/>
      <c r="J31" s="383"/>
      <c r="K31" s="381"/>
      <c r="L31" s="381"/>
      <c r="M31" s="381">
        <f>'PL Konsol'!L41+'PL Konsol'!L42</f>
        <v>0</v>
      </c>
      <c r="N31" s="381"/>
      <c r="O31" s="381">
        <v>0</v>
      </c>
      <c r="P31" s="379"/>
      <c r="Q31" s="1062"/>
      <c r="R31" s="1062"/>
      <c r="S31" s="1063"/>
      <c r="T31" s="402"/>
      <c r="U31" s="1064">
        <f>SUM(I31:S31)</f>
        <v>0</v>
      </c>
      <c r="V31" s="354"/>
      <c r="W31" s="386" t="s">
        <v>1244</v>
      </c>
    </row>
    <row r="32" spans="1:23" ht="19.350000000000001" hidden="1" customHeight="1">
      <c r="A32" s="382" t="s">
        <v>1245</v>
      </c>
      <c r="B32" s="354"/>
      <c r="C32" s="354"/>
      <c r="D32" s="375"/>
      <c r="E32" s="393"/>
      <c r="F32" s="393"/>
      <c r="G32" s="375"/>
      <c r="H32" s="375"/>
      <c r="I32" s="383">
        <v>0</v>
      </c>
      <c r="J32" s="383"/>
      <c r="K32" s="390">
        <v>0</v>
      </c>
      <c r="L32" s="390"/>
      <c r="M32" s="390">
        <v>0</v>
      </c>
      <c r="N32" s="390"/>
      <c r="O32" s="390">
        <v>0</v>
      </c>
      <c r="P32" s="390"/>
      <c r="Q32" s="1118">
        <f>ROUND('PL Konsol'!L35,0)</f>
        <v>844874515</v>
      </c>
      <c r="R32" s="1067"/>
      <c r="S32" s="1067">
        <v>0</v>
      </c>
      <c r="T32" s="1067"/>
      <c r="U32" s="1064">
        <f>SUM(I32:S32)</f>
        <v>844874515</v>
      </c>
      <c r="V32" s="354"/>
      <c r="W32" s="386" t="s">
        <v>1246</v>
      </c>
    </row>
    <row r="33" spans="1:23" ht="11.1" hidden="1" customHeight="1">
      <c r="A33" s="382" t="s">
        <v>1252</v>
      </c>
      <c r="B33" s="354"/>
      <c r="C33" s="354"/>
      <c r="D33" s="375"/>
      <c r="E33" s="393"/>
      <c r="F33" s="393"/>
      <c r="G33" s="375"/>
      <c r="H33" s="375"/>
      <c r="I33" s="383"/>
      <c r="J33" s="383"/>
      <c r="K33" s="390"/>
      <c r="L33" s="390"/>
      <c r="M33" s="390"/>
      <c r="N33" s="390"/>
      <c r="O33" s="390"/>
      <c r="P33" s="390"/>
      <c r="Q33" s="1067"/>
      <c r="R33" s="1067"/>
      <c r="S33" s="1067" t="s">
        <v>468</v>
      </c>
      <c r="T33" s="1067"/>
      <c r="U33" s="1064"/>
      <c r="V33" s="354"/>
      <c r="W33" s="398" t="s">
        <v>1253</v>
      </c>
    </row>
    <row r="34" spans="1:23" ht="11.1" hidden="1" customHeight="1">
      <c r="A34" s="382" t="s">
        <v>1254</v>
      </c>
      <c r="B34" s="354"/>
      <c r="C34" s="354"/>
      <c r="D34" s="375"/>
      <c r="E34" s="393"/>
      <c r="F34" s="393"/>
      <c r="G34" s="375"/>
      <c r="H34" s="375"/>
      <c r="I34" s="383"/>
      <c r="J34" s="383"/>
      <c r="K34" s="390"/>
      <c r="L34" s="390"/>
      <c r="M34" s="390"/>
      <c r="N34" s="390"/>
      <c r="O34" s="390"/>
      <c r="P34" s="390"/>
      <c r="Q34" s="1067"/>
      <c r="R34" s="1067"/>
      <c r="S34" s="1067"/>
      <c r="T34" s="1067"/>
      <c r="U34" s="1064"/>
      <c r="V34" s="354"/>
      <c r="W34" s="398" t="s">
        <v>1255</v>
      </c>
    </row>
    <row r="35" spans="1:23" ht="11.1" hidden="1" customHeight="1">
      <c r="A35" s="382" t="s">
        <v>1256</v>
      </c>
      <c r="B35" s="354"/>
      <c r="C35" s="354"/>
      <c r="D35" s="375"/>
      <c r="E35" s="393" t="s">
        <v>1257</v>
      </c>
      <c r="F35" s="393"/>
      <c r="G35" s="354"/>
      <c r="H35" s="354"/>
      <c r="I35" s="387">
        <v>0</v>
      </c>
      <c r="J35" s="354"/>
      <c r="K35" s="395">
        <v>23867726116</v>
      </c>
      <c r="L35" s="354"/>
      <c r="M35" s="395">
        <v>0</v>
      </c>
      <c r="N35" s="354"/>
      <c r="O35" s="395">
        <v>0</v>
      </c>
      <c r="P35" s="354"/>
      <c r="Q35" s="1071">
        <f>-806735547+345511104</f>
        <v>-461224443</v>
      </c>
      <c r="R35" s="1072"/>
      <c r="S35" s="1066">
        <f>ROUND((-22356501672.8449-1050000000),0)</f>
        <v>-23406501673</v>
      </c>
      <c r="T35" s="1072"/>
      <c r="U35" s="1066">
        <v>0</v>
      </c>
      <c r="V35" s="354"/>
      <c r="W35" s="399" t="s">
        <v>1258</v>
      </c>
    </row>
    <row r="36" spans="1:23" hidden="1">
      <c r="A36" s="374"/>
      <c r="B36" s="374"/>
      <c r="C36" s="374"/>
      <c r="D36" s="375"/>
      <c r="E36" s="393"/>
      <c r="F36" s="393"/>
      <c r="G36" s="375"/>
      <c r="H36" s="375"/>
      <c r="I36" s="384"/>
      <c r="J36" s="384"/>
      <c r="K36" s="390"/>
      <c r="L36" s="390"/>
      <c r="M36" s="390"/>
      <c r="N36" s="390"/>
      <c r="O36" s="390"/>
      <c r="P36" s="390"/>
      <c r="Q36" s="1067"/>
      <c r="R36" s="1067"/>
      <c r="S36" s="1067"/>
      <c r="T36" s="1067"/>
      <c r="U36" s="1064"/>
      <c r="V36" s="354"/>
      <c r="W36" s="359"/>
    </row>
    <row r="37" spans="1:23" ht="15" hidden="1" thickBot="1">
      <c r="A37" s="351" t="s">
        <v>1259</v>
      </c>
      <c r="B37" s="351"/>
      <c r="C37" s="351"/>
      <c r="D37" s="375"/>
      <c r="E37" s="393"/>
      <c r="F37" s="393"/>
      <c r="G37" s="375"/>
      <c r="H37" s="375"/>
      <c r="I37" s="396">
        <f>SUM(I27:I35)</f>
        <v>40000000000</v>
      </c>
      <c r="J37" s="379"/>
      <c r="K37" s="396">
        <f>SUM(K27:K35)</f>
        <v>49739416785</v>
      </c>
      <c r="L37" s="379"/>
      <c r="M37" s="396">
        <f>SUM(M27:M35)</f>
        <v>-368797440</v>
      </c>
      <c r="N37" s="379"/>
      <c r="O37" s="396">
        <f>SUM(O27:O35)</f>
        <v>410000000</v>
      </c>
      <c r="P37" s="379"/>
      <c r="Q37" s="1073">
        <f>SUM(Q27:Q35)</f>
        <v>18621152951</v>
      </c>
      <c r="R37" s="1062"/>
      <c r="S37" s="1068">
        <f>SUM(S27:S35)</f>
        <v>0</v>
      </c>
      <c r="T37" s="1067"/>
      <c r="U37" s="1068">
        <f>SUM(U27:U35)</f>
        <v>108401772296</v>
      </c>
      <c r="V37" s="354"/>
      <c r="W37" s="380" t="s">
        <v>1260</v>
      </c>
    </row>
    <row r="38" spans="1:23" ht="5.0999999999999996" hidden="1" customHeight="1" thickTop="1">
      <c r="A38" s="374"/>
      <c r="B38" s="374"/>
      <c r="C38" s="374"/>
      <c r="D38" s="375"/>
      <c r="E38" s="375"/>
      <c r="F38" s="375"/>
      <c r="G38" s="375"/>
      <c r="H38" s="375"/>
      <c r="I38" s="400"/>
      <c r="J38" s="400"/>
      <c r="K38" s="401"/>
      <c r="L38" s="401"/>
      <c r="M38" s="401"/>
      <c r="N38" s="401"/>
      <c r="O38" s="401"/>
      <c r="P38" s="401"/>
      <c r="Q38" s="1074"/>
      <c r="R38" s="1074"/>
      <c r="S38" s="1074"/>
      <c r="T38" s="1074"/>
      <c r="U38" s="1072"/>
      <c r="V38" s="354"/>
      <c r="W38" s="359"/>
    </row>
    <row r="39" spans="1:23" ht="13.35" customHeight="1" thickTop="1">
      <c r="A39" s="382" t="s">
        <v>1241</v>
      </c>
      <c r="B39" s="354"/>
      <c r="C39" s="354"/>
      <c r="D39" s="375"/>
      <c r="E39" s="393"/>
      <c r="F39" s="393"/>
      <c r="G39" s="375"/>
      <c r="H39" s="375"/>
      <c r="I39" s="383"/>
      <c r="J39" s="383"/>
      <c r="K39" s="381"/>
      <c r="L39" s="381"/>
      <c r="M39" s="381"/>
      <c r="N39" s="381"/>
      <c r="O39" s="379"/>
      <c r="P39" s="379"/>
      <c r="Q39" s="1062"/>
      <c r="R39" s="1062"/>
      <c r="S39" s="1063"/>
      <c r="T39" s="402"/>
      <c r="U39" s="1064"/>
      <c r="V39" s="354"/>
      <c r="W39" s="397" t="s">
        <v>1242</v>
      </c>
    </row>
    <row r="40" spans="1:23" ht="13.35" customHeight="1">
      <c r="A40" s="382" t="s">
        <v>1243</v>
      </c>
      <c r="B40" s="354"/>
      <c r="C40" s="354"/>
      <c r="D40" s="375"/>
      <c r="E40" s="393">
        <v>29</v>
      </c>
      <c r="F40" s="393"/>
      <c r="G40" s="393">
        <v>20</v>
      </c>
      <c r="H40" s="375"/>
      <c r="I40" s="383"/>
      <c r="J40" s="383"/>
      <c r="K40" s="381"/>
      <c r="L40" s="381"/>
      <c r="M40" s="381">
        <f>'PL Konsol'!O42+'PL Konsol'!O41</f>
        <v>-8275412</v>
      </c>
      <c r="N40" s="381"/>
      <c r="O40" s="381">
        <v>0</v>
      </c>
      <c r="P40" s="379"/>
      <c r="Q40" s="1062"/>
      <c r="R40" s="1062"/>
      <c r="S40" s="1063"/>
      <c r="T40" s="402"/>
      <c r="U40" s="1064">
        <f>SUM(I40:S40)</f>
        <v>-8275412</v>
      </c>
      <c r="V40" s="354"/>
      <c r="W40" s="386" t="s">
        <v>1244</v>
      </c>
    </row>
    <row r="41" spans="1:23" ht="13.35" customHeight="1">
      <c r="A41" s="382" t="s">
        <v>1245</v>
      </c>
      <c r="B41" s="354"/>
      <c r="C41" s="354"/>
      <c r="D41" s="375"/>
      <c r="E41" s="393"/>
      <c r="F41" s="393"/>
      <c r="G41" s="393" t="s">
        <v>1261</v>
      </c>
      <c r="H41" s="375"/>
      <c r="I41" s="383">
        <v>0</v>
      </c>
      <c r="J41" s="383"/>
      <c r="K41" s="390">
        <v>0</v>
      </c>
      <c r="L41" s="390"/>
      <c r="M41" s="390">
        <v>0</v>
      </c>
      <c r="N41" s="390"/>
      <c r="O41" s="390">
        <v>0</v>
      </c>
      <c r="P41" s="390"/>
      <c r="Q41" s="1075">
        <f>ROUNDDOWN('PL Konsol'!O35,0)</f>
        <v>1745451401</v>
      </c>
      <c r="R41" s="1067"/>
      <c r="S41" s="1067">
        <v>0</v>
      </c>
      <c r="T41" s="1067"/>
      <c r="U41" s="1064">
        <f>SUM(I41:S41)</f>
        <v>1745451401</v>
      </c>
      <c r="V41" s="354"/>
      <c r="W41" s="386" t="s">
        <v>1246</v>
      </c>
    </row>
    <row r="42" spans="1:23" ht="13.35" customHeight="1">
      <c r="A42" s="382" t="s">
        <v>1252</v>
      </c>
      <c r="B42" s="354"/>
      <c r="C42" s="354"/>
      <c r="D42" s="375"/>
      <c r="E42" s="393"/>
      <c r="F42" s="393"/>
      <c r="G42" s="393"/>
      <c r="H42" s="375"/>
      <c r="I42" s="383"/>
      <c r="J42" s="383"/>
      <c r="K42" s="390"/>
      <c r="L42" s="390"/>
      <c r="M42" s="390"/>
      <c r="N42" s="390"/>
      <c r="O42" s="390"/>
      <c r="P42" s="390"/>
      <c r="Q42" s="1067"/>
      <c r="R42" s="1067"/>
      <c r="S42" s="1067" t="s">
        <v>468</v>
      </c>
      <c r="T42" s="1067"/>
      <c r="U42" s="1064"/>
      <c r="V42" s="354"/>
      <c r="W42" s="398" t="s">
        <v>1253</v>
      </c>
    </row>
    <row r="43" spans="1:23" ht="13.35" customHeight="1">
      <c r="A43" s="382" t="s">
        <v>1254</v>
      </c>
      <c r="B43" s="354"/>
      <c r="C43" s="354"/>
      <c r="D43" s="375"/>
      <c r="E43" s="393"/>
      <c r="F43" s="393"/>
      <c r="G43" s="393"/>
      <c r="H43" s="375"/>
      <c r="I43" s="383"/>
      <c r="J43" s="383"/>
      <c r="K43" s="390"/>
      <c r="L43" s="390"/>
      <c r="M43" s="390"/>
      <c r="N43" s="390"/>
      <c r="O43" s="390"/>
      <c r="P43" s="390"/>
      <c r="Q43" s="1067"/>
      <c r="R43" s="1067"/>
      <c r="S43" s="1067"/>
      <c r="T43" s="1067"/>
      <c r="U43" s="1064"/>
      <c r="V43" s="354"/>
      <c r="W43" s="398" t="s">
        <v>1255</v>
      </c>
    </row>
    <row r="44" spans="1:23" ht="13.35" customHeight="1">
      <c r="A44" s="382" t="s">
        <v>1262</v>
      </c>
      <c r="B44" s="354"/>
      <c r="C44" s="354"/>
      <c r="D44" s="375"/>
      <c r="E44" s="393" t="s">
        <v>1257</v>
      </c>
      <c r="F44" s="393"/>
      <c r="G44" s="1642"/>
      <c r="H44" s="354"/>
      <c r="I44" s="387">
        <v>0</v>
      </c>
      <c r="J44" s="354"/>
      <c r="K44" s="395">
        <f>ROUND(23867726116,0)</f>
        <v>23867726116</v>
      </c>
      <c r="L44" s="354"/>
      <c r="M44" s="395">
        <v>0</v>
      </c>
      <c r="N44" s="354"/>
      <c r="O44" s="395">
        <v>0</v>
      </c>
      <c r="P44" s="354"/>
      <c r="Q44" s="1071">
        <f>ROUND((-806735547+345511104),0)</f>
        <v>-461224443</v>
      </c>
      <c r="R44" s="1072"/>
      <c r="S44" s="1066">
        <f>ROUND((-22356501672.8449-1050000000),0)</f>
        <v>-23406501673</v>
      </c>
      <c r="T44" s="1072"/>
      <c r="U44" s="1066">
        <v>0</v>
      </c>
      <c r="V44" s="354"/>
      <c r="W44" s="399" t="s">
        <v>1258</v>
      </c>
    </row>
    <row r="45" spans="1:23" hidden="1">
      <c r="A45" s="374"/>
      <c r="B45" s="374"/>
      <c r="C45" s="374"/>
      <c r="D45" s="375"/>
      <c r="E45" s="393"/>
      <c r="F45" s="393"/>
      <c r="G45" s="393"/>
      <c r="H45" s="375"/>
      <c r="I45" s="384"/>
      <c r="J45" s="384"/>
      <c r="K45" s="390"/>
      <c r="L45" s="390"/>
      <c r="M45" s="390"/>
      <c r="N45" s="390"/>
      <c r="O45" s="390"/>
      <c r="P45" s="390"/>
      <c r="Q45" s="1067"/>
      <c r="R45" s="1067"/>
      <c r="S45" s="1067"/>
      <c r="T45" s="1067"/>
      <c r="U45" s="1064"/>
      <c r="V45" s="354"/>
      <c r="W45" s="359"/>
    </row>
    <row r="46" spans="1:23" ht="19.350000000000001" hidden="1" customHeight="1">
      <c r="A46" s="1608" t="s">
        <v>1263</v>
      </c>
      <c r="B46" s="1609"/>
      <c r="C46" s="1609"/>
      <c r="D46" s="1610"/>
      <c r="E46" s="1611"/>
      <c r="F46" s="1611"/>
      <c r="G46" s="1611"/>
      <c r="H46" s="1610"/>
      <c r="I46" s="1612">
        <v>0</v>
      </c>
      <c r="J46" s="1612"/>
      <c r="K46" s="1613">
        <v>0</v>
      </c>
      <c r="L46" s="1613"/>
      <c r="M46" s="1613">
        <v>0</v>
      </c>
      <c r="N46" s="1613"/>
      <c r="O46" s="1613">
        <v>0</v>
      </c>
      <c r="P46" s="1613"/>
      <c r="Q46" s="1614" t="e">
        <f>'PL Konsol'!H50</f>
        <v>#REF!</v>
      </c>
      <c r="R46" s="1615"/>
      <c r="S46" s="1615">
        <v>0</v>
      </c>
      <c r="T46" s="1615"/>
      <c r="U46" s="1616" t="e">
        <f>SUM(I46:S46)</f>
        <v>#REF!</v>
      </c>
      <c r="V46" s="1609"/>
      <c r="W46" s="1617" t="s">
        <v>1264</v>
      </c>
    </row>
    <row r="47" spans="1:23" ht="11.1" hidden="1" customHeight="1">
      <c r="A47" s="1608" t="s">
        <v>1252</v>
      </c>
      <c r="B47" s="1609"/>
      <c r="C47" s="1609"/>
      <c r="D47" s="1610"/>
      <c r="E47" s="1611"/>
      <c r="F47" s="1611"/>
      <c r="G47" s="1611"/>
      <c r="H47" s="1610"/>
      <c r="I47" s="1612"/>
      <c r="J47" s="1612"/>
      <c r="K47" s="1613"/>
      <c r="L47" s="1613"/>
      <c r="M47" s="1613"/>
      <c r="N47" s="1613"/>
      <c r="O47" s="1613"/>
      <c r="P47" s="1613"/>
      <c r="Q47" s="1615"/>
      <c r="R47" s="1615"/>
      <c r="S47" s="1615" t="s">
        <v>468</v>
      </c>
      <c r="T47" s="1615"/>
      <c r="U47" s="1616"/>
      <c r="V47" s="1609"/>
      <c r="W47" s="1617" t="s">
        <v>1253</v>
      </c>
    </row>
    <row r="48" spans="1:23" ht="14.45" hidden="1" customHeight="1">
      <c r="A48" s="1608" t="s">
        <v>1254</v>
      </c>
      <c r="B48" s="1609"/>
      <c r="C48" s="1609"/>
      <c r="D48" s="1610"/>
      <c r="E48" s="1611"/>
      <c r="F48" s="1611"/>
      <c r="G48" s="1611"/>
      <c r="H48" s="1610"/>
      <c r="I48" s="1612"/>
      <c r="J48" s="1612"/>
      <c r="K48" s="1613"/>
      <c r="L48" s="1613"/>
      <c r="M48" s="1613"/>
      <c r="N48" s="1613"/>
      <c r="O48" s="1613"/>
      <c r="P48" s="1613"/>
      <c r="Q48" s="1615"/>
      <c r="R48" s="1615"/>
      <c r="S48" s="1615"/>
      <c r="T48" s="1615"/>
      <c r="U48" s="1616"/>
      <c r="V48" s="1609"/>
      <c r="W48" s="1617" t="s">
        <v>1255</v>
      </c>
    </row>
    <row r="49" spans="1:23" ht="14.45" hidden="1" customHeight="1">
      <c r="A49" s="1608" t="s">
        <v>1262</v>
      </c>
      <c r="B49" s="1609"/>
      <c r="C49" s="1609"/>
      <c r="D49" s="1610"/>
      <c r="E49" s="1611" t="s">
        <v>1257</v>
      </c>
      <c r="F49" s="1611"/>
      <c r="G49" s="2150"/>
      <c r="H49" s="1609"/>
      <c r="I49" s="1618">
        <v>0</v>
      </c>
      <c r="J49" s="1609"/>
      <c r="K49" s="1619">
        <v>23867726116</v>
      </c>
      <c r="L49" s="1609"/>
      <c r="M49" s="1619">
        <v>0</v>
      </c>
      <c r="N49" s="1609"/>
      <c r="O49" s="1619">
        <v>0</v>
      </c>
      <c r="P49" s="1609"/>
      <c r="Q49" s="1620">
        <f>-806735547+345511104</f>
        <v>-461224443</v>
      </c>
      <c r="R49" s="1621"/>
      <c r="S49" s="1622">
        <f>ROUND((-22356501672.8449-1050000000),0)</f>
        <v>-23406501673</v>
      </c>
      <c r="T49" s="1621"/>
      <c r="U49" s="1622">
        <v>0</v>
      </c>
      <c r="V49" s="1609"/>
      <c r="W49" s="1623" t="s">
        <v>1258</v>
      </c>
    </row>
    <row r="50" spans="1:23" hidden="1">
      <c r="A50" s="1624"/>
      <c r="B50" s="1624"/>
      <c r="C50" s="1624"/>
      <c r="D50" s="1610"/>
      <c r="E50" s="1611"/>
      <c r="F50" s="1611"/>
      <c r="G50" s="1611"/>
      <c r="H50" s="1610"/>
      <c r="I50" s="1625"/>
      <c r="J50" s="1625"/>
      <c r="K50" s="1613"/>
      <c r="L50" s="1613"/>
      <c r="M50" s="1613"/>
      <c r="N50" s="1613"/>
      <c r="O50" s="1613"/>
      <c r="P50" s="1613"/>
      <c r="Q50" s="1615"/>
      <c r="R50" s="1615"/>
      <c r="S50" s="1615"/>
      <c r="T50" s="1615"/>
      <c r="U50" s="1616"/>
      <c r="V50" s="1609"/>
      <c r="W50" s="1626"/>
    </row>
    <row r="51" spans="1:23" hidden="1">
      <c r="A51" s="1627" t="s">
        <v>1265</v>
      </c>
      <c r="B51" s="1627"/>
      <c r="C51" s="1627"/>
      <c r="D51" s="1610"/>
      <c r="E51" s="1611"/>
      <c r="F51" s="1611"/>
      <c r="G51" s="1611"/>
      <c r="H51" s="1610"/>
      <c r="I51" s="1629">
        <f>I27+SUM(I46:I49)</f>
        <v>40000000000</v>
      </c>
      <c r="J51" s="1629"/>
      <c r="K51" s="1629">
        <f>K27+SUM(K46:K49)</f>
        <v>49739416785</v>
      </c>
      <c r="L51" s="1629"/>
      <c r="M51" s="1629">
        <f>M27+SUM(M46:M49)</f>
        <v>-368797440</v>
      </c>
      <c r="N51" s="1629"/>
      <c r="O51" s="1629">
        <f>O27+SUM(O46:O49)</f>
        <v>410000000</v>
      </c>
      <c r="P51" s="1629"/>
      <c r="Q51" s="1629" t="e">
        <f>Q27+SUM(Q46:Q49)</f>
        <v>#REF!</v>
      </c>
      <c r="R51" s="1630"/>
      <c r="S51" s="1629">
        <f>S27+SUM(S46:S49)</f>
        <v>0</v>
      </c>
      <c r="T51" s="1615"/>
      <c r="U51" s="1629" t="e">
        <f>U27+SUM(U46:U49)</f>
        <v>#REF!</v>
      </c>
      <c r="V51" s="1609"/>
      <c r="W51" s="1631" t="s">
        <v>1266</v>
      </c>
    </row>
    <row r="52" spans="1:23" ht="3.95" customHeight="1">
      <c r="A52" s="351"/>
      <c r="B52" s="351"/>
      <c r="C52" s="351"/>
      <c r="D52" s="375"/>
      <c r="E52" s="393"/>
      <c r="F52" s="393"/>
      <c r="G52" s="393"/>
      <c r="H52" s="375"/>
      <c r="I52" s="2329"/>
      <c r="J52" s="379"/>
      <c r="K52" s="2329"/>
      <c r="L52" s="379"/>
      <c r="M52" s="2329"/>
      <c r="N52" s="379"/>
      <c r="O52" s="2329"/>
      <c r="P52" s="379"/>
      <c r="Q52" s="2329"/>
      <c r="R52" s="1062"/>
      <c r="S52" s="2329"/>
      <c r="T52" s="1067"/>
      <c r="U52" s="2329"/>
      <c r="V52" s="354"/>
      <c r="W52" s="380"/>
    </row>
    <row r="53" spans="1:23" ht="13.5" customHeight="1" thickBot="1">
      <c r="A53" s="351" t="s">
        <v>1267</v>
      </c>
      <c r="B53" s="351"/>
      <c r="C53" s="351"/>
      <c r="D53" s="375"/>
      <c r="E53" s="393"/>
      <c r="F53" s="393"/>
      <c r="G53" s="393"/>
      <c r="H53" s="375"/>
      <c r="I53" s="396">
        <f>SUM(I39:I44)+I27</f>
        <v>40000000000</v>
      </c>
      <c r="J53" s="379"/>
      <c r="K53" s="396">
        <f>SUM(K39:K44)+K27</f>
        <v>49739416785</v>
      </c>
      <c r="L53" s="379"/>
      <c r="M53" s="396">
        <f>SUM(M39:M44)+M27</f>
        <v>-377072852</v>
      </c>
      <c r="N53" s="379"/>
      <c r="O53" s="396">
        <f>SUM(O39:O44)+O27</f>
        <v>410000000</v>
      </c>
      <c r="P53" s="379"/>
      <c r="Q53" s="396">
        <f>ROUNDUP(SUM(Q39:Q44)+Q27,0)</f>
        <v>19521729837</v>
      </c>
      <c r="R53" s="1062"/>
      <c r="S53" s="396">
        <f>SUM(S39:S44)+S27</f>
        <v>0</v>
      </c>
      <c r="T53" s="1067"/>
      <c r="U53" s="396">
        <f>SUM(U39:U44)+U27</f>
        <v>109294073770</v>
      </c>
      <c r="V53" s="354"/>
      <c r="W53" s="380" t="s">
        <v>1268</v>
      </c>
    </row>
    <row r="54" spans="1:23" ht="8.1" customHeight="1" thickTop="1">
      <c r="A54" s="374"/>
      <c r="B54" s="374"/>
      <c r="C54" s="374"/>
      <c r="D54" s="375"/>
      <c r="E54" s="375"/>
      <c r="F54" s="375"/>
      <c r="G54" s="393"/>
      <c r="H54" s="375"/>
      <c r="I54" s="400"/>
      <c r="J54" s="400"/>
      <c r="K54" s="401"/>
      <c r="L54" s="401"/>
      <c r="M54" s="401"/>
      <c r="N54" s="401"/>
      <c r="O54" s="401"/>
      <c r="P54" s="401"/>
      <c r="Q54" s="1074"/>
      <c r="R54" s="1074"/>
      <c r="S54" s="1074"/>
      <c r="T54" s="1074"/>
      <c r="U54" s="1072"/>
      <c r="V54" s="354"/>
      <c r="W54" s="359"/>
    </row>
    <row r="55" spans="1:23" ht="11.1" hidden="1" customHeight="1">
      <c r="A55" s="375" t="s">
        <v>271</v>
      </c>
      <c r="B55" s="374"/>
      <c r="C55" s="374"/>
      <c r="D55" s="375"/>
      <c r="E55" s="375"/>
      <c r="F55" s="375"/>
      <c r="G55" s="393"/>
      <c r="H55" s="375"/>
      <c r="I55" s="401">
        <v>15000000000</v>
      </c>
      <c r="J55" s="400"/>
      <c r="K55" s="401"/>
      <c r="L55" s="401"/>
      <c r="M55" s="401"/>
      <c r="N55" s="401"/>
      <c r="O55" s="401"/>
      <c r="P55" s="401"/>
      <c r="Q55" s="1074">
        <v>-15000000000</v>
      </c>
      <c r="R55" s="1074"/>
      <c r="S55" s="1074"/>
      <c r="T55" s="1074"/>
      <c r="U55" s="1064">
        <f>SUM(I55:S55)</f>
        <v>0</v>
      </c>
      <c r="V55" s="354"/>
      <c r="W55" s="397" t="s">
        <v>1269</v>
      </c>
    </row>
    <row r="56" spans="1:23" ht="11.1" hidden="1" customHeight="1">
      <c r="A56" s="382" t="s">
        <v>1241</v>
      </c>
      <c r="B56" s="354"/>
      <c r="C56" s="354"/>
      <c r="D56" s="375"/>
      <c r="E56" s="393"/>
      <c r="F56" s="393"/>
      <c r="G56" s="393"/>
      <c r="H56" s="375"/>
      <c r="I56" s="383"/>
      <c r="J56" s="383"/>
      <c r="K56" s="381"/>
      <c r="L56" s="381"/>
      <c r="M56" s="381"/>
      <c r="N56" s="381"/>
      <c r="O56" s="379"/>
      <c r="P56" s="379"/>
      <c r="Q56" s="1062"/>
      <c r="R56" s="1062"/>
      <c r="S56" s="1063"/>
      <c r="T56" s="402"/>
      <c r="U56" s="1064"/>
      <c r="V56" s="354"/>
      <c r="W56" s="397" t="s">
        <v>1242</v>
      </c>
    </row>
    <row r="57" spans="1:23" ht="11.1" hidden="1" customHeight="1">
      <c r="A57" s="382" t="s">
        <v>1243</v>
      </c>
      <c r="B57" s="354"/>
      <c r="C57" s="354"/>
      <c r="D57" s="375"/>
      <c r="E57" s="393">
        <v>29</v>
      </c>
      <c r="F57" s="393"/>
      <c r="G57" s="393"/>
      <c r="H57" s="375"/>
      <c r="I57" s="383"/>
      <c r="J57" s="383"/>
      <c r="K57" s="381"/>
      <c r="L57" s="381"/>
      <c r="M57" s="381">
        <f>'PL Konsol'!J41+'PL Konsol'!J42</f>
        <v>0</v>
      </c>
      <c r="N57" s="381"/>
      <c r="O57" s="381">
        <v>0</v>
      </c>
      <c r="P57" s="379"/>
      <c r="Q57" s="1062"/>
      <c r="R57" s="1062"/>
      <c r="S57" s="1063"/>
      <c r="T57" s="402"/>
      <c r="U57" s="1064">
        <f>SUM(I57:S57)</f>
        <v>0</v>
      </c>
      <c r="V57" s="354"/>
      <c r="W57" s="386" t="s">
        <v>1244</v>
      </c>
    </row>
    <row r="58" spans="1:23" ht="11.1" hidden="1" customHeight="1">
      <c r="A58" s="382" t="s">
        <v>1245</v>
      </c>
      <c r="B58" s="354"/>
      <c r="C58" s="354"/>
      <c r="D58" s="375"/>
      <c r="E58" s="393"/>
      <c r="F58" s="393"/>
      <c r="G58" s="393"/>
      <c r="H58" s="375"/>
      <c r="I58" s="387">
        <v>0</v>
      </c>
      <c r="J58" s="383"/>
      <c r="K58" s="395">
        <v>0</v>
      </c>
      <c r="L58" s="390"/>
      <c r="M58" s="395">
        <v>0</v>
      </c>
      <c r="N58" s="390"/>
      <c r="O58" s="395">
        <v>0</v>
      </c>
      <c r="P58" s="390"/>
      <c r="Q58" s="1071">
        <f>'PL Konsol'!J35</f>
        <v>871919459</v>
      </c>
      <c r="R58" s="1067"/>
      <c r="S58" s="1071">
        <v>0</v>
      </c>
      <c r="T58" s="1067"/>
      <c r="U58" s="1066">
        <f>SUM(I58:S58)</f>
        <v>871919459</v>
      </c>
      <c r="V58" s="354"/>
      <c r="W58" s="386" t="s">
        <v>1246</v>
      </c>
    </row>
    <row r="59" spans="1:23" ht="11.1" hidden="1" customHeight="1">
      <c r="A59" s="382" t="s">
        <v>1252</v>
      </c>
      <c r="B59" s="354"/>
      <c r="C59" s="354"/>
      <c r="D59" s="375"/>
      <c r="E59" s="393"/>
      <c r="F59" s="393"/>
      <c r="G59" s="393"/>
      <c r="H59" s="375"/>
      <c r="I59" s="383"/>
      <c r="J59" s="383"/>
      <c r="K59" s="390"/>
      <c r="L59" s="390"/>
      <c r="M59" s="390"/>
      <c r="N59" s="390"/>
      <c r="O59" s="390"/>
      <c r="P59" s="390"/>
      <c r="Q59" s="1067"/>
      <c r="R59" s="1067"/>
      <c r="S59" s="1067" t="s">
        <v>468</v>
      </c>
      <c r="T59" s="1067"/>
      <c r="U59" s="1064"/>
      <c r="V59" s="354"/>
      <c r="W59" s="398" t="s">
        <v>1253</v>
      </c>
    </row>
    <row r="60" spans="1:23" ht="11.1" hidden="1" customHeight="1">
      <c r="A60" s="382" t="s">
        <v>1254</v>
      </c>
      <c r="B60" s="354"/>
      <c r="C60" s="354"/>
      <c r="D60" s="375"/>
      <c r="E60" s="393"/>
      <c r="F60" s="393"/>
      <c r="G60" s="393"/>
      <c r="H60" s="375"/>
      <c r="I60" s="383"/>
      <c r="J60" s="383"/>
      <c r="K60" s="390"/>
      <c r="L60" s="390"/>
      <c r="M60" s="390"/>
      <c r="N60" s="390"/>
      <c r="O60" s="390"/>
      <c r="P60" s="390"/>
      <c r="Q60" s="1067"/>
      <c r="R60" s="1067"/>
      <c r="S60" s="1067"/>
      <c r="T60" s="1067"/>
      <c r="U60" s="1064"/>
      <c r="V60" s="354"/>
      <c r="W60" s="398" t="s">
        <v>1255</v>
      </c>
    </row>
    <row r="61" spans="1:23" ht="11.1" hidden="1" customHeight="1">
      <c r="A61" s="382" t="s">
        <v>1256</v>
      </c>
      <c r="B61" s="354"/>
      <c r="C61" s="354"/>
      <c r="D61" s="375"/>
      <c r="E61" s="393" t="s">
        <v>1257</v>
      </c>
      <c r="F61" s="393"/>
      <c r="G61" s="1642"/>
      <c r="H61" s="354"/>
      <c r="I61" s="387">
        <v>0</v>
      </c>
      <c r="J61" s="354"/>
      <c r="K61" s="588">
        <v>0</v>
      </c>
      <c r="L61" s="354"/>
      <c r="M61" s="395">
        <v>0</v>
      </c>
      <c r="N61" s="354"/>
      <c r="O61" s="395">
        <v>0</v>
      </c>
      <c r="P61" s="354"/>
      <c r="Q61" s="1076">
        <v>0</v>
      </c>
      <c r="R61" s="1072"/>
      <c r="S61" s="1066">
        <v>0</v>
      </c>
      <c r="T61" s="1072"/>
      <c r="U61" s="1066">
        <f>SUM(I61:S61)</f>
        <v>0</v>
      </c>
      <c r="V61" s="354"/>
      <c r="W61" s="399" t="s">
        <v>1258</v>
      </c>
    </row>
    <row r="62" spans="1:23" hidden="1">
      <c r="A62" s="374"/>
      <c r="B62" s="374"/>
      <c r="C62" s="374"/>
      <c r="D62" s="375"/>
      <c r="E62" s="393"/>
      <c r="F62" s="393"/>
      <c r="G62" s="393"/>
      <c r="H62" s="375"/>
      <c r="I62" s="384"/>
      <c r="J62" s="384"/>
      <c r="K62" s="390"/>
      <c r="L62" s="390"/>
      <c r="M62" s="390"/>
      <c r="N62" s="390"/>
      <c r="O62" s="390"/>
      <c r="P62" s="390"/>
      <c r="Q62" s="1067"/>
      <c r="R62" s="1067"/>
      <c r="S62" s="1067"/>
      <c r="T62" s="1067"/>
      <c r="U62" s="1064"/>
      <c r="V62" s="354"/>
      <c r="W62" s="359"/>
    </row>
    <row r="63" spans="1:23" ht="15" hidden="1" thickBot="1">
      <c r="A63" s="351" t="s">
        <v>1270</v>
      </c>
      <c r="B63" s="351"/>
      <c r="C63" s="351"/>
      <c r="D63" s="375"/>
      <c r="E63" s="393"/>
      <c r="F63" s="393"/>
      <c r="G63" s="393"/>
      <c r="H63" s="375"/>
      <c r="I63" s="396" t="e">
        <f>SUM(I55:I61)+#REF!</f>
        <v>#REF!</v>
      </c>
      <c r="J63" s="379"/>
      <c r="K63" s="396" t="e">
        <f>SUM(K57:K61)+#REF!</f>
        <v>#REF!</v>
      </c>
      <c r="L63" s="379"/>
      <c r="M63" s="396" t="e">
        <f>SUM(M57:M61)+#REF!</f>
        <v>#REF!</v>
      </c>
      <c r="N63" s="379"/>
      <c r="O63" s="396" t="e">
        <f>SUM(O57:O61)+#REF!</f>
        <v>#REF!</v>
      </c>
      <c r="P63" s="379"/>
      <c r="Q63" s="1073" t="e">
        <f>SUM(Q55:Q61)+#REF!</f>
        <v>#REF!</v>
      </c>
      <c r="R63" s="1062"/>
      <c r="S63" s="1068" t="e">
        <f>SUM(S57:S61)+#REF!</f>
        <v>#REF!</v>
      </c>
      <c r="T63" s="1067"/>
      <c r="U63" s="1068" t="e">
        <f>SUM(U57:U61)+#REF!</f>
        <v>#REF!</v>
      </c>
      <c r="V63" s="354"/>
      <c r="W63" s="380" t="s">
        <v>1271</v>
      </c>
    </row>
    <row r="64" spans="1:23" ht="15" hidden="1" thickTop="1">
      <c r="A64" s="351"/>
      <c r="B64" s="351"/>
      <c r="C64" s="351"/>
      <c r="D64" s="375"/>
      <c r="E64" s="393"/>
      <c r="F64" s="393"/>
      <c r="G64" s="393"/>
      <c r="H64" s="375"/>
      <c r="I64" s="379"/>
      <c r="J64" s="379"/>
      <c r="K64" s="379"/>
      <c r="L64" s="379"/>
      <c r="M64" s="379"/>
      <c r="N64" s="379"/>
      <c r="O64" s="379"/>
      <c r="P64" s="379"/>
      <c r="Q64" s="1236"/>
      <c r="R64" s="1062"/>
      <c r="S64" s="1062"/>
      <c r="T64" s="1067"/>
      <c r="U64" s="1062"/>
      <c r="V64" s="354"/>
      <c r="W64" s="380"/>
    </row>
    <row r="65" spans="1:23" ht="11.1" hidden="1" customHeight="1">
      <c r="A65" s="1610" t="s">
        <v>1272</v>
      </c>
      <c r="B65" s="1624"/>
      <c r="C65" s="1624"/>
      <c r="D65" s="1610"/>
      <c r="E65" s="1610"/>
      <c r="F65" s="1610"/>
      <c r="G65" s="1611"/>
      <c r="H65" s="1610"/>
      <c r="I65" s="1632"/>
      <c r="J65" s="1633"/>
      <c r="K65" s="1632">
        <f>SUM('WS Konsol'!W510:W511)</f>
        <v>54884055085</v>
      </c>
      <c r="L65" s="1632"/>
      <c r="M65" s="1632">
        <v>0</v>
      </c>
      <c r="N65" s="1632"/>
      <c r="O65" s="1632">
        <v>0</v>
      </c>
      <c r="P65" s="1632"/>
      <c r="Q65" s="1634">
        <v>0</v>
      </c>
      <c r="R65" s="1634"/>
      <c r="S65" s="1635">
        <v>0</v>
      </c>
      <c r="T65" s="1634"/>
      <c r="U65" s="1616">
        <f>SUM(I65:S65)</f>
        <v>54884055085</v>
      </c>
      <c r="V65" s="1609"/>
      <c r="W65" s="1636" t="s">
        <v>1153</v>
      </c>
    </row>
    <row r="66" spans="1:23" ht="11.1" hidden="1" customHeight="1">
      <c r="A66" s="1610" t="s">
        <v>271</v>
      </c>
      <c r="B66" s="1624"/>
      <c r="C66" s="1624"/>
      <c r="D66" s="1610"/>
      <c r="E66" s="1610"/>
      <c r="F66" s="1610"/>
      <c r="G66" s="1611"/>
      <c r="H66" s="1610"/>
      <c r="I66" s="1632">
        <f>15000000000</f>
        <v>15000000000</v>
      </c>
      <c r="J66" s="1633"/>
      <c r="K66" s="1632">
        <v>0</v>
      </c>
      <c r="L66" s="1632"/>
      <c r="M66" s="1632">
        <v>0</v>
      </c>
      <c r="N66" s="1632"/>
      <c r="O66" s="1632">
        <v>0</v>
      </c>
      <c r="P66" s="1632"/>
      <c r="Q66" s="1634">
        <v>-15000000000</v>
      </c>
      <c r="R66" s="1634"/>
      <c r="S66" s="1637">
        <v>0</v>
      </c>
      <c r="T66" s="1634"/>
      <c r="U66" s="1616">
        <f>SUM(I66:S66)</f>
        <v>0</v>
      </c>
      <c r="V66" s="1609"/>
      <c r="W66" s="1636" t="s">
        <v>1269</v>
      </c>
    </row>
    <row r="67" spans="1:23" hidden="1">
      <c r="A67" s="1608" t="s">
        <v>1241</v>
      </c>
      <c r="B67" s="1609"/>
      <c r="C67" s="1609"/>
      <c r="D67" s="1610"/>
      <c r="E67" s="1611"/>
      <c r="F67" s="1611"/>
      <c r="G67" s="1611"/>
      <c r="H67" s="1610"/>
      <c r="I67" s="1612"/>
      <c r="J67" s="1612"/>
      <c r="K67" s="1638"/>
      <c r="L67" s="1638"/>
      <c r="M67" s="1638"/>
      <c r="N67" s="1638"/>
      <c r="O67" s="1629"/>
      <c r="P67" s="1629"/>
      <c r="Q67" s="1630"/>
      <c r="R67" s="1630"/>
      <c r="S67" s="1639"/>
      <c r="T67" s="1640"/>
      <c r="U67" s="1616"/>
      <c r="V67" s="1609"/>
      <c r="W67" s="1636" t="s">
        <v>1242</v>
      </c>
    </row>
    <row r="68" spans="1:23" hidden="1">
      <c r="A68" s="1608" t="s">
        <v>1243</v>
      </c>
      <c r="B68" s="1609"/>
      <c r="C68" s="1609"/>
      <c r="D68" s="1610"/>
      <c r="E68" s="1611">
        <v>29</v>
      </c>
      <c r="F68" s="1611"/>
      <c r="G68" s="1611"/>
      <c r="H68" s="1610"/>
      <c r="I68" s="1612"/>
      <c r="J68" s="1612"/>
      <c r="K68" s="1638"/>
      <c r="L68" s="1638"/>
      <c r="M68" s="1638">
        <v>0</v>
      </c>
      <c r="N68" s="1638"/>
      <c r="O68" s="1638">
        <v>0</v>
      </c>
      <c r="P68" s="1629"/>
      <c r="Q68" s="1630"/>
      <c r="R68" s="1630"/>
      <c r="S68" s="1639"/>
      <c r="T68" s="1640"/>
      <c r="U68" s="1616">
        <f>SUM(I68:S68)</f>
        <v>0</v>
      </c>
      <c r="V68" s="1609"/>
      <c r="W68" s="1617" t="s">
        <v>1244</v>
      </c>
    </row>
    <row r="69" spans="1:23" hidden="1">
      <c r="A69" s="1608" t="s">
        <v>1273</v>
      </c>
      <c r="B69" s="1609"/>
      <c r="C69" s="1609"/>
      <c r="D69" s="1610"/>
      <c r="E69" s="1611"/>
      <c r="F69" s="1611"/>
      <c r="G69" s="1611"/>
      <c r="H69" s="1610"/>
      <c r="I69" s="1612">
        <f>'WS Konsol'!W509</f>
        <v>14500000000</v>
      </c>
      <c r="J69" s="1612"/>
      <c r="K69" s="1638">
        <v>0</v>
      </c>
      <c r="L69" s="1638"/>
      <c r="M69" s="1638">
        <v>0</v>
      </c>
      <c r="N69" s="1638"/>
      <c r="O69" s="1638">
        <v>0</v>
      </c>
      <c r="P69" s="1629"/>
      <c r="Q69" s="1630">
        <v>0</v>
      </c>
      <c r="R69" s="1630"/>
      <c r="S69" s="1639">
        <v>0</v>
      </c>
      <c r="T69" s="1640"/>
      <c r="U69" s="1616">
        <f>SUM(I69:S69)</f>
        <v>14500000000</v>
      </c>
      <c r="V69" s="1609"/>
      <c r="W69" s="1617" t="s">
        <v>1274</v>
      </c>
    </row>
    <row r="70" spans="1:23" ht="11.1" hidden="1" customHeight="1">
      <c r="A70" s="1608" t="s">
        <v>1263</v>
      </c>
      <c r="B70" s="1609"/>
      <c r="C70" s="1609"/>
      <c r="D70" s="1610"/>
      <c r="E70" s="1611"/>
      <c r="F70" s="1611"/>
      <c r="G70" s="1611"/>
      <c r="H70" s="1610"/>
      <c r="I70" s="1618">
        <v>0</v>
      </c>
      <c r="J70" s="1612"/>
      <c r="K70" s="1619">
        <v>0</v>
      </c>
      <c r="L70" s="1613"/>
      <c r="M70" s="1619">
        <v>0</v>
      </c>
      <c r="N70" s="1613"/>
      <c r="O70" s="1619">
        <v>0</v>
      </c>
      <c r="P70" s="1613"/>
      <c r="Q70" s="1620" t="e">
        <f>'PL Konsol'!F50</f>
        <v>#REF!</v>
      </c>
      <c r="R70" s="1615"/>
      <c r="S70" s="1641">
        <v>0</v>
      </c>
      <c r="T70" s="1615"/>
      <c r="U70" s="1622" t="e">
        <f>SUM(I70:S70)</f>
        <v>#REF!</v>
      </c>
      <c r="V70" s="1609"/>
      <c r="W70" s="1617" t="s">
        <v>1264</v>
      </c>
    </row>
    <row r="71" spans="1:23" hidden="1">
      <c r="A71" s="1608" t="s">
        <v>1252</v>
      </c>
      <c r="B71" s="1609"/>
      <c r="C71" s="1609"/>
      <c r="D71" s="1610"/>
      <c r="E71" s="1611"/>
      <c r="F71" s="1611"/>
      <c r="G71" s="1611"/>
      <c r="H71" s="1610"/>
      <c r="I71" s="1612"/>
      <c r="J71" s="1612"/>
      <c r="K71" s="1613"/>
      <c r="L71" s="1613"/>
      <c r="M71" s="1613"/>
      <c r="N71" s="1613"/>
      <c r="O71" s="1613"/>
      <c r="P71" s="1613"/>
      <c r="Q71" s="1615"/>
      <c r="R71" s="1615"/>
      <c r="S71" s="1615" t="s">
        <v>468</v>
      </c>
      <c r="T71" s="1615"/>
      <c r="U71" s="1616"/>
      <c r="V71" s="1609"/>
      <c r="W71" s="1617" t="s">
        <v>1253</v>
      </c>
    </row>
    <row r="72" spans="1:23" hidden="1">
      <c r="A72" s="1608" t="s">
        <v>1254</v>
      </c>
      <c r="B72" s="1609"/>
      <c r="C72" s="1609"/>
      <c r="D72" s="1610"/>
      <c r="E72" s="1611"/>
      <c r="F72" s="1611"/>
      <c r="G72" s="1611"/>
      <c r="H72" s="1610"/>
      <c r="I72" s="1612"/>
      <c r="J72" s="1612"/>
      <c r="K72" s="1613"/>
      <c r="L72" s="1613"/>
      <c r="M72" s="1613"/>
      <c r="N72" s="1613"/>
      <c r="O72" s="1613"/>
      <c r="P72" s="1613"/>
      <c r="Q72" s="1615"/>
      <c r="R72" s="1615"/>
      <c r="S72" s="1615"/>
      <c r="T72" s="1615"/>
      <c r="U72" s="1616"/>
      <c r="V72" s="1609"/>
      <c r="W72" s="1617" t="s">
        <v>1255</v>
      </c>
    </row>
    <row r="73" spans="1:23" hidden="1">
      <c r="A73" s="1608" t="s">
        <v>1256</v>
      </c>
      <c r="B73" s="1609"/>
      <c r="C73" s="1609"/>
      <c r="D73" s="1610"/>
      <c r="E73" s="1611" t="s">
        <v>1257</v>
      </c>
      <c r="F73" s="1611"/>
      <c r="G73" s="2150"/>
      <c r="H73" s="1609"/>
      <c r="I73" s="1618">
        <v>0</v>
      </c>
      <c r="J73" s="1609"/>
      <c r="K73" s="1619">
        <v>0</v>
      </c>
      <c r="L73" s="1609"/>
      <c r="M73" s="1619">
        <v>0</v>
      </c>
      <c r="N73" s="1609"/>
      <c r="O73" s="1619">
        <v>0</v>
      </c>
      <c r="P73" s="1609"/>
      <c r="Q73" s="1620">
        <v>0</v>
      </c>
      <c r="R73" s="1621"/>
      <c r="S73" s="1622">
        <v>0</v>
      </c>
      <c r="T73" s="1621"/>
      <c r="U73" s="1622">
        <f>SUM(I73:S73)</f>
        <v>0</v>
      </c>
      <c r="V73" s="1609"/>
      <c r="W73" s="1623" t="s">
        <v>1258</v>
      </c>
    </row>
    <row r="74" spans="1:23" hidden="1">
      <c r="A74" s="1624"/>
      <c r="B74" s="1624"/>
      <c r="C74" s="1624"/>
      <c r="D74" s="1610"/>
      <c r="E74" s="1611"/>
      <c r="F74" s="1611"/>
      <c r="G74" s="1611"/>
      <c r="H74" s="1610"/>
      <c r="I74" s="1625"/>
      <c r="J74" s="1625"/>
      <c r="K74" s="1613"/>
      <c r="L74" s="1613"/>
      <c r="M74" s="1613"/>
      <c r="N74" s="1613"/>
      <c r="O74" s="1613"/>
      <c r="P74" s="1613"/>
      <c r="Q74" s="1615"/>
      <c r="R74" s="1615"/>
      <c r="S74" s="1615"/>
      <c r="T74" s="1615"/>
      <c r="U74" s="1616"/>
      <c r="V74" s="1609"/>
      <c r="W74" s="1626"/>
    </row>
    <row r="75" spans="1:23" ht="15" hidden="1" thickBot="1">
      <c r="A75" s="1627" t="s">
        <v>1275</v>
      </c>
      <c r="B75" s="1627"/>
      <c r="C75" s="1627"/>
      <c r="D75" s="1610"/>
      <c r="E75" s="1611"/>
      <c r="F75" s="1611"/>
      <c r="G75" s="1611"/>
      <c r="H75" s="1610"/>
      <c r="I75" s="1628" t="e">
        <f>SUM(I65:I73)+#REF!</f>
        <v>#REF!</v>
      </c>
      <c r="J75" s="1629"/>
      <c r="K75" s="1628" t="e">
        <f>SUM(K65:K73)+#REF!</f>
        <v>#REF!</v>
      </c>
      <c r="L75" s="1629"/>
      <c r="M75" s="1628" t="e">
        <f>SUM(M65:M73)+#REF!</f>
        <v>#REF!</v>
      </c>
      <c r="N75" s="1629"/>
      <c r="O75" s="1628" t="e">
        <f>SUM(O65:O73)+#REF!</f>
        <v>#REF!</v>
      </c>
      <c r="P75" s="1629"/>
      <c r="Q75" s="1628" t="e">
        <f>SUM(Q65:Q73)+#REF!</f>
        <v>#REF!</v>
      </c>
      <c r="R75" s="1630"/>
      <c r="S75" s="1628" t="e">
        <f>SUM(S65:S73)+#REF!</f>
        <v>#REF!</v>
      </c>
      <c r="T75" s="1615"/>
      <c r="U75" s="1628" t="e">
        <f>SUM(U65:U73)+#REF!</f>
        <v>#REF!</v>
      </c>
      <c r="V75" s="1609"/>
      <c r="W75" s="1631" t="s">
        <v>1276</v>
      </c>
    </row>
    <row r="76" spans="1:23" ht="13.35" customHeight="1">
      <c r="A76" s="382" t="s">
        <v>1277</v>
      </c>
      <c r="B76" s="354"/>
      <c r="C76" s="354"/>
      <c r="D76" s="375"/>
      <c r="E76" s="393"/>
      <c r="F76" s="393"/>
      <c r="G76" s="393"/>
      <c r="H76" s="375"/>
      <c r="I76" s="383"/>
      <c r="J76" s="383"/>
      <c r="K76" s="381"/>
      <c r="L76" s="381"/>
      <c r="M76" s="381"/>
      <c r="N76" s="381"/>
      <c r="O76" s="381"/>
      <c r="P76" s="379"/>
      <c r="Q76" s="1062"/>
      <c r="R76" s="1062"/>
      <c r="S76" s="1607"/>
      <c r="T76" s="402"/>
      <c r="U76" s="1064"/>
      <c r="V76" s="354"/>
      <c r="W76" s="386" t="s">
        <v>1278</v>
      </c>
    </row>
    <row r="77" spans="1:23" ht="13.35" customHeight="1">
      <c r="A77" s="382" t="s">
        <v>1279</v>
      </c>
      <c r="B77" s="354"/>
      <c r="C77" s="354"/>
      <c r="D77" s="375"/>
      <c r="E77" s="393"/>
      <c r="F77" s="393"/>
      <c r="G77" s="393" t="s">
        <v>1280</v>
      </c>
      <c r="H77" s="375"/>
      <c r="I77" s="383">
        <f>'WS Konsol'!M509</f>
        <v>14500000000</v>
      </c>
      <c r="J77" s="383"/>
      <c r="K77" s="381">
        <v>0</v>
      </c>
      <c r="L77" s="381"/>
      <c r="M77" s="2156">
        <v>0</v>
      </c>
      <c r="N77" s="2156"/>
      <c r="O77" s="2156">
        <v>0</v>
      </c>
      <c r="P77" s="2162"/>
      <c r="Q77" s="2162">
        <v>0</v>
      </c>
      <c r="R77" s="2162"/>
      <c r="S77" s="2162">
        <v>0</v>
      </c>
      <c r="T77" s="2155"/>
      <c r="U77" s="2156">
        <f>SUM(I77:S77)</f>
        <v>14500000000</v>
      </c>
      <c r="V77" s="354"/>
      <c r="W77" s="386" t="s">
        <v>1281</v>
      </c>
    </row>
    <row r="78" spans="1:23" ht="13.35" customHeight="1">
      <c r="A78" s="382" t="s">
        <v>1282</v>
      </c>
      <c r="B78" s="354"/>
      <c r="C78" s="354"/>
      <c r="D78" s="375"/>
      <c r="E78" s="393"/>
      <c r="F78" s="393"/>
      <c r="G78" s="393"/>
      <c r="H78" s="375"/>
      <c r="I78" s="383"/>
      <c r="J78" s="383"/>
      <c r="K78" s="381"/>
      <c r="L78" s="381"/>
      <c r="M78" s="2156"/>
      <c r="N78" s="2156"/>
      <c r="O78" s="2156"/>
      <c r="P78" s="2162"/>
      <c r="Q78" s="2162"/>
      <c r="R78" s="2162"/>
      <c r="S78" s="2162"/>
      <c r="T78" s="2155"/>
      <c r="U78" s="2156"/>
      <c r="V78" s="354"/>
      <c r="W78" s="386" t="s">
        <v>1283</v>
      </c>
    </row>
    <row r="79" spans="1:23" ht="13.35" customHeight="1">
      <c r="A79" s="2152" t="s">
        <v>1284</v>
      </c>
      <c r="B79" s="351"/>
      <c r="C79" s="351"/>
      <c r="D79" s="375"/>
      <c r="E79" s="393"/>
      <c r="F79" s="393"/>
      <c r="G79" s="393"/>
      <c r="H79" s="375"/>
      <c r="I79" s="379"/>
      <c r="J79" s="379"/>
      <c r="K79" s="379"/>
      <c r="L79" s="379"/>
      <c r="M79" s="2157"/>
      <c r="N79" s="2162"/>
      <c r="O79" s="2157"/>
      <c r="P79" s="2162"/>
      <c r="Q79" s="2162"/>
      <c r="R79" s="2162"/>
      <c r="S79" s="2162"/>
      <c r="T79" s="2156"/>
      <c r="U79" s="2157"/>
      <c r="V79" s="354"/>
      <c r="W79" s="2236" t="s">
        <v>1285</v>
      </c>
    </row>
    <row r="80" spans="1:23" ht="13.35" customHeight="1">
      <c r="A80" s="375" t="s">
        <v>1286</v>
      </c>
      <c r="B80" s="374"/>
      <c r="C80" s="374"/>
      <c r="D80" s="375"/>
      <c r="E80" s="375"/>
      <c r="F80" s="375"/>
      <c r="G80" s="393">
        <v>22</v>
      </c>
      <c r="H80" s="375"/>
      <c r="I80" s="383">
        <v>0</v>
      </c>
      <c r="J80" s="400"/>
      <c r="K80" s="401">
        <f>'WS Konsol'!M510</f>
        <v>58000000000</v>
      </c>
      <c r="L80" s="401"/>
      <c r="M80" s="2156">
        <v>0</v>
      </c>
      <c r="N80" s="412"/>
      <c r="O80" s="2156">
        <v>0</v>
      </c>
      <c r="P80" s="412"/>
      <c r="Q80" s="2162">
        <v>0</v>
      </c>
      <c r="R80" s="412"/>
      <c r="S80" s="2162">
        <v>0</v>
      </c>
      <c r="T80" s="412"/>
      <c r="U80" s="2156">
        <f>SUM(I80:S80)</f>
        <v>58000000000</v>
      </c>
      <c r="V80" s="354"/>
      <c r="W80" s="397" t="s">
        <v>1281</v>
      </c>
    </row>
    <row r="81" spans="1:23" ht="13.35" customHeight="1">
      <c r="A81" s="375" t="s">
        <v>1287</v>
      </c>
      <c r="B81" s="374"/>
      <c r="C81" s="374"/>
      <c r="D81" s="375"/>
      <c r="E81" s="375"/>
      <c r="F81" s="375"/>
      <c r="G81" s="393">
        <v>22</v>
      </c>
      <c r="H81" s="375"/>
      <c r="I81" s="383">
        <v>0</v>
      </c>
      <c r="J81" s="400"/>
      <c r="K81" s="401">
        <f>'WS Konsol'!M511</f>
        <v>-3115944915</v>
      </c>
      <c r="L81" s="401"/>
      <c r="M81" s="2156">
        <v>0</v>
      </c>
      <c r="N81" s="412"/>
      <c r="O81" s="2156">
        <v>0</v>
      </c>
      <c r="P81" s="412"/>
      <c r="Q81" s="2162">
        <v>0</v>
      </c>
      <c r="R81" s="412"/>
      <c r="S81" s="2162">
        <v>0</v>
      </c>
      <c r="T81" s="412"/>
      <c r="U81" s="2165">
        <f>SUM(I81:S81)</f>
        <v>-3115944915</v>
      </c>
      <c r="V81" s="354"/>
      <c r="W81" s="397" t="s">
        <v>1288</v>
      </c>
    </row>
    <row r="82" spans="1:23" ht="13.35" customHeight="1">
      <c r="A82" s="375" t="s">
        <v>1289</v>
      </c>
      <c r="B82" s="374"/>
      <c r="C82" s="374"/>
      <c r="D82" s="375"/>
      <c r="E82" s="375"/>
      <c r="F82" s="375"/>
      <c r="G82" s="393" t="s">
        <v>1151</v>
      </c>
      <c r="H82" s="375"/>
      <c r="I82" s="401">
        <f>15000000000</f>
        <v>15000000000</v>
      </c>
      <c r="J82" s="400"/>
      <c r="K82" s="390">
        <v>0</v>
      </c>
      <c r="L82" s="401"/>
      <c r="M82" s="2156">
        <v>0</v>
      </c>
      <c r="N82" s="412"/>
      <c r="O82" s="2156">
        <v>0</v>
      </c>
      <c r="P82" s="412"/>
      <c r="Q82" s="2164">
        <v>-15000000000</v>
      </c>
      <c r="R82" s="412"/>
      <c r="S82" s="2162">
        <v>0</v>
      </c>
      <c r="T82" s="412"/>
      <c r="U82" s="2156">
        <f>SUM(I82:S82)</f>
        <v>0</v>
      </c>
      <c r="V82" s="354"/>
      <c r="W82" s="397" t="s">
        <v>1290</v>
      </c>
    </row>
    <row r="83" spans="1:23" ht="13.35" customHeight="1">
      <c r="A83" s="382" t="s">
        <v>127</v>
      </c>
      <c r="B83" s="354"/>
      <c r="C83" s="354"/>
      <c r="D83" s="375"/>
      <c r="E83" s="393">
        <v>29</v>
      </c>
      <c r="F83" s="393"/>
      <c r="G83" s="393">
        <v>20</v>
      </c>
      <c r="H83" s="375"/>
      <c r="I83" s="383" t="s">
        <v>315</v>
      </c>
      <c r="J83" s="383"/>
      <c r="K83" s="390" t="s">
        <v>315</v>
      </c>
      <c r="L83" s="381"/>
      <c r="M83" s="401">
        <f>'PL Konsol'!M41+'PL Konsol'!M42</f>
        <v>63287986</v>
      </c>
      <c r="N83" s="2156"/>
      <c r="O83" s="2156">
        <v>0</v>
      </c>
      <c r="P83" s="2162"/>
      <c r="Q83" s="2162" t="s">
        <v>315</v>
      </c>
      <c r="R83" s="2162"/>
      <c r="S83" s="2162" t="s">
        <v>315</v>
      </c>
      <c r="T83" s="2155"/>
      <c r="U83" s="2156">
        <f>SUM(I83:S83)</f>
        <v>63287986</v>
      </c>
      <c r="V83" s="354"/>
      <c r="W83" s="386" t="s">
        <v>1207</v>
      </c>
    </row>
    <row r="84" spans="1:23" ht="13.35" customHeight="1">
      <c r="A84" s="382" t="s">
        <v>1245</v>
      </c>
      <c r="B84" s="354"/>
      <c r="C84" s="354"/>
      <c r="D84" s="375"/>
      <c r="E84" s="393"/>
      <c r="F84" s="393"/>
      <c r="G84" s="393" t="s">
        <v>1261</v>
      </c>
      <c r="H84" s="375"/>
      <c r="I84" s="387">
        <v>0</v>
      </c>
      <c r="J84" s="383"/>
      <c r="K84" s="395">
        <v>0</v>
      </c>
      <c r="L84" s="390"/>
      <c r="M84" s="2158">
        <v>0</v>
      </c>
      <c r="N84" s="2156"/>
      <c r="O84" s="2158">
        <v>0</v>
      </c>
      <c r="P84" s="2156"/>
      <c r="Q84" s="2158">
        <f>'PL Konsol'!M35</f>
        <v>348736204</v>
      </c>
      <c r="R84" s="2156"/>
      <c r="S84" s="2237">
        <v>0</v>
      </c>
      <c r="T84" s="2156"/>
      <c r="U84" s="2158">
        <f>SUM(I84:S84)</f>
        <v>348736204</v>
      </c>
      <c r="V84" s="354"/>
      <c r="W84" s="386" t="s">
        <v>1246</v>
      </c>
    </row>
    <row r="85" spans="1:23" ht="13.35" hidden="1" customHeight="1">
      <c r="A85" s="382" t="s">
        <v>1252</v>
      </c>
      <c r="B85" s="354"/>
      <c r="C85" s="354"/>
      <c r="D85" s="375"/>
      <c r="E85" s="393"/>
      <c r="F85" s="393"/>
      <c r="G85" s="393"/>
      <c r="H85" s="375"/>
      <c r="I85" s="383"/>
      <c r="J85" s="383"/>
      <c r="K85" s="390"/>
      <c r="L85" s="390"/>
      <c r="M85" s="2159"/>
      <c r="N85" s="2159"/>
      <c r="O85" s="2159"/>
      <c r="P85" s="2159"/>
      <c r="Q85" s="2159"/>
      <c r="R85" s="2159"/>
      <c r="S85" s="2159" t="s">
        <v>468</v>
      </c>
      <c r="T85" s="2159"/>
      <c r="U85" s="2159"/>
      <c r="V85" s="354"/>
      <c r="W85" s="386" t="s">
        <v>1253</v>
      </c>
    </row>
    <row r="86" spans="1:23" ht="13.35" hidden="1" customHeight="1">
      <c r="A86" s="382" t="s">
        <v>1254</v>
      </c>
      <c r="B86" s="354"/>
      <c r="C86" s="354"/>
      <c r="D86" s="375"/>
      <c r="E86" s="393"/>
      <c r="F86" s="393"/>
      <c r="G86" s="393"/>
      <c r="H86" s="375"/>
      <c r="I86" s="383"/>
      <c r="J86" s="383"/>
      <c r="K86" s="390"/>
      <c r="L86" s="390"/>
      <c r="M86" s="2159"/>
      <c r="N86" s="2159"/>
      <c r="O86" s="2159"/>
      <c r="P86" s="2159"/>
      <c r="Q86" s="2159"/>
      <c r="R86" s="2159"/>
      <c r="S86" s="2159"/>
      <c r="T86" s="2159"/>
      <c r="U86" s="2159"/>
      <c r="V86" s="354"/>
      <c r="W86" s="386" t="s">
        <v>1255</v>
      </c>
    </row>
    <row r="87" spans="1:23" ht="13.35" hidden="1" customHeight="1">
      <c r="A87" s="382" t="s">
        <v>1256</v>
      </c>
      <c r="B87" s="354"/>
      <c r="C87" s="354"/>
      <c r="D87" s="375"/>
      <c r="E87" s="393" t="s">
        <v>1257</v>
      </c>
      <c r="F87" s="393"/>
      <c r="G87" s="1642"/>
      <c r="H87" s="354"/>
      <c r="I87" s="387">
        <v>0</v>
      </c>
      <c r="J87" s="354"/>
      <c r="K87" s="395">
        <v>0</v>
      </c>
      <c r="L87" s="354"/>
      <c r="M87" s="2160">
        <v>0</v>
      </c>
      <c r="N87" s="360"/>
      <c r="O87" s="2160">
        <v>0</v>
      </c>
      <c r="P87" s="360"/>
      <c r="Q87" s="2160">
        <v>0</v>
      </c>
      <c r="R87" s="360"/>
      <c r="S87" s="2160">
        <v>0</v>
      </c>
      <c r="T87" s="360"/>
      <c r="U87" s="2160">
        <f>SUM(I87:S87)</f>
        <v>0</v>
      </c>
      <c r="V87" s="354"/>
      <c r="W87" s="399" t="s">
        <v>1258</v>
      </c>
    </row>
    <row r="88" spans="1:23" ht="3.95" customHeight="1">
      <c r="A88" s="351"/>
      <c r="B88" s="351"/>
      <c r="C88" s="351"/>
      <c r="D88" s="375"/>
      <c r="E88" s="393"/>
      <c r="F88" s="393"/>
      <c r="G88" s="393"/>
      <c r="H88" s="375"/>
      <c r="I88" s="379"/>
      <c r="J88" s="379"/>
      <c r="K88" s="379"/>
      <c r="L88" s="379"/>
      <c r="M88" s="2161"/>
      <c r="N88" s="2161"/>
      <c r="O88" s="2161"/>
      <c r="P88" s="2161"/>
      <c r="Q88" s="2157"/>
      <c r="R88" s="2161"/>
      <c r="S88" s="2161"/>
      <c r="T88" s="2159"/>
      <c r="U88" s="2161"/>
      <c r="V88" s="354"/>
      <c r="W88" s="380"/>
    </row>
    <row r="89" spans="1:23" ht="13.35" customHeight="1" thickBot="1">
      <c r="A89" s="351" t="s">
        <v>1291</v>
      </c>
      <c r="B89" s="351"/>
      <c r="C89" s="351"/>
      <c r="D89" s="375"/>
      <c r="E89" s="393"/>
      <c r="F89" s="393"/>
      <c r="G89" s="393"/>
      <c r="H89" s="375"/>
      <c r="I89" s="396">
        <f>SUM(I77:I87)+I53</f>
        <v>69500000000</v>
      </c>
      <c r="J89" s="379"/>
      <c r="K89" s="396">
        <f>SUM(K77:K87)+K53</f>
        <v>104623471870</v>
      </c>
      <c r="L89" s="379"/>
      <c r="M89" s="396">
        <f>SUM(M77:M87)+M53</f>
        <v>-313784866</v>
      </c>
      <c r="N89" s="2161"/>
      <c r="O89" s="396">
        <f>SUM(O77:O87)+O53</f>
        <v>410000000</v>
      </c>
      <c r="P89" s="2161"/>
      <c r="Q89" s="396">
        <f>SUM(Q77:Q87)+Q53</f>
        <v>4870466041</v>
      </c>
      <c r="R89" s="2161"/>
      <c r="S89" s="396">
        <f>SUM(S77:S87)+S53</f>
        <v>0</v>
      </c>
      <c r="T89" s="2159"/>
      <c r="U89" s="396">
        <f>SUM(U77:U87)+U53</f>
        <v>179090153045</v>
      </c>
      <c r="V89" s="354"/>
      <c r="W89" s="380" t="s">
        <v>1292</v>
      </c>
    </row>
    <row r="90" spans="1:23" ht="7.5" customHeight="1" thickTop="1">
      <c r="A90" s="351"/>
      <c r="B90" s="351"/>
      <c r="C90" s="351"/>
      <c r="D90" s="375"/>
      <c r="E90" s="393"/>
      <c r="F90" s="393"/>
      <c r="G90" s="393"/>
      <c r="H90" s="375"/>
      <c r="I90" s="379"/>
      <c r="J90" s="379"/>
      <c r="K90" s="379"/>
      <c r="L90" s="379"/>
      <c r="M90" s="2161"/>
      <c r="N90" s="2161"/>
      <c r="O90" s="2161"/>
      <c r="P90" s="2161"/>
      <c r="Q90" s="2163"/>
      <c r="R90" s="2161"/>
      <c r="S90" s="2161"/>
      <c r="T90" s="2159"/>
      <c r="U90" s="2161"/>
      <c r="V90" s="354"/>
      <c r="W90" s="380"/>
    </row>
    <row r="91" spans="1:23">
      <c r="A91" s="351"/>
      <c r="B91" s="351"/>
      <c r="C91" s="351"/>
      <c r="D91" s="375"/>
      <c r="E91" s="393"/>
      <c r="F91" s="393"/>
      <c r="G91" s="393"/>
      <c r="H91" s="375"/>
      <c r="I91" s="379"/>
      <c r="J91" s="379"/>
      <c r="K91" s="379"/>
      <c r="L91" s="379"/>
      <c r="M91" s="2161"/>
      <c r="N91" s="2161"/>
      <c r="O91" s="2161"/>
      <c r="P91" s="2161"/>
      <c r="Q91" s="2163"/>
      <c r="R91" s="2161"/>
      <c r="S91" s="2161"/>
      <c r="T91" s="2159"/>
      <c r="U91" s="2161"/>
      <c r="V91" s="354"/>
      <c r="W91" s="380"/>
    </row>
    <row r="92" spans="1:23">
      <c r="A92" s="351"/>
      <c r="B92" s="351"/>
      <c r="C92" s="351"/>
      <c r="D92" s="375"/>
      <c r="E92" s="393"/>
      <c r="F92" s="393"/>
      <c r="G92" s="393"/>
      <c r="H92" s="375"/>
      <c r="I92" s="379"/>
      <c r="J92" s="379"/>
      <c r="K92" s="379"/>
      <c r="L92" s="379"/>
      <c r="M92" s="379"/>
      <c r="N92" s="379"/>
      <c r="O92" s="379"/>
      <c r="P92" s="379"/>
      <c r="Q92" s="1236"/>
      <c r="R92" s="1062"/>
      <c r="S92" s="1062"/>
      <c r="T92" s="1067"/>
      <c r="U92" s="1062"/>
      <c r="V92" s="354"/>
      <c r="W92" s="380"/>
    </row>
    <row r="93" spans="1:23">
      <c r="A93" s="351"/>
      <c r="B93" s="351"/>
      <c r="C93" s="351"/>
      <c r="D93" s="375"/>
      <c r="E93" s="393"/>
      <c r="F93" s="393"/>
      <c r="G93" s="393"/>
      <c r="H93" s="375"/>
      <c r="I93" s="379"/>
      <c r="J93" s="379"/>
      <c r="K93" s="379"/>
      <c r="L93" s="379"/>
      <c r="M93" s="379"/>
      <c r="N93" s="379"/>
      <c r="O93" s="379"/>
      <c r="P93" s="379"/>
      <c r="Q93" s="1236"/>
      <c r="R93" s="1062"/>
      <c r="S93" s="1062"/>
      <c r="T93" s="1067"/>
      <c r="U93" s="1062"/>
      <c r="V93" s="354"/>
      <c r="W93" s="380"/>
    </row>
    <row r="94" spans="1:23">
      <c r="A94" s="351"/>
      <c r="B94" s="351"/>
      <c r="C94" s="351"/>
      <c r="D94" s="375"/>
      <c r="E94" s="393"/>
      <c r="F94" s="393"/>
      <c r="G94" s="393"/>
      <c r="H94" s="375"/>
      <c r="I94" s="379"/>
      <c r="J94" s="379"/>
      <c r="K94" s="379"/>
      <c r="L94" s="379"/>
      <c r="M94" s="379"/>
      <c r="N94" s="379"/>
      <c r="O94" s="379"/>
      <c r="P94" s="379"/>
      <c r="Q94" s="1236"/>
      <c r="R94" s="1062"/>
      <c r="S94" s="1062"/>
      <c r="T94" s="1067"/>
      <c r="U94" s="1062"/>
      <c r="V94" s="354"/>
      <c r="W94" s="380"/>
    </row>
    <row r="95" spans="1:23">
      <c r="A95" s="374"/>
      <c r="B95" s="374"/>
      <c r="C95" s="374"/>
      <c r="D95" s="375"/>
      <c r="E95" s="375"/>
      <c r="F95" s="375"/>
      <c r="G95" s="393"/>
      <c r="H95" s="375"/>
      <c r="I95" s="400"/>
      <c r="J95" s="400"/>
      <c r="K95" s="401"/>
      <c r="L95" s="401"/>
      <c r="M95" s="401"/>
      <c r="N95" s="401"/>
      <c r="O95" s="401"/>
      <c r="P95" s="401"/>
      <c r="Q95" s="401"/>
      <c r="R95" s="401"/>
      <c r="S95" s="401"/>
      <c r="T95" s="401"/>
      <c r="U95" s="354"/>
      <c r="V95" s="354"/>
      <c r="W95" s="359"/>
    </row>
    <row r="96" spans="1:23">
      <c r="A96" s="374"/>
      <c r="B96" s="374"/>
      <c r="C96" s="374"/>
      <c r="D96" s="589">
        <v>45657</v>
      </c>
      <c r="E96" s="374"/>
      <c r="F96" s="374"/>
      <c r="G96" s="2151"/>
      <c r="H96" s="374"/>
      <c r="I96" s="405">
        <f>I89-'BS Konsol-Des 24'!G98</f>
        <v>0</v>
      </c>
      <c r="J96" s="406"/>
      <c r="K96" s="407">
        <f>K89-'BS Konsol-Des 24'!G99</f>
        <v>0</v>
      </c>
      <c r="L96" s="407"/>
      <c r="M96" s="407">
        <f>'BS Konsol-Des 24'!G102</f>
        <v>-313784867</v>
      </c>
      <c r="N96" s="407"/>
      <c r="O96" s="407">
        <f>O89-'BS Konsol-Des 24'!G104</f>
        <v>0</v>
      </c>
      <c r="P96" s="407"/>
      <c r="Q96" s="210">
        <f>Q89-'BS Konsol-Des 24'!G105</f>
        <v>0</v>
      </c>
      <c r="R96" s="407"/>
      <c r="S96" s="407">
        <v>0</v>
      </c>
      <c r="T96" s="407"/>
      <c r="U96" s="408">
        <f>U89-'BS Konsol-Des 24'!G107</f>
        <v>1</v>
      </c>
      <c r="V96" s="351"/>
      <c r="W96" s="2024">
        <v>45657</v>
      </c>
    </row>
    <row r="97" spans="1:23" hidden="1">
      <c r="A97" s="374"/>
      <c r="B97" s="374"/>
      <c r="C97" s="374"/>
      <c r="D97" s="589">
        <v>45536</v>
      </c>
      <c r="E97" s="374"/>
      <c r="F97" s="374"/>
      <c r="G97" s="374"/>
      <c r="H97" s="374"/>
      <c r="I97" s="405" t="e">
        <f>(I75-'BS Konsol-Des 24'!I98)</f>
        <v>#REF!</v>
      </c>
      <c r="J97" s="406"/>
      <c r="K97" s="407" t="e">
        <f>K75-SUM('BS Konsol-Des 24'!I99)</f>
        <v>#REF!</v>
      </c>
      <c r="L97" s="407"/>
      <c r="M97" s="407" t="e">
        <f>M75-'BS Konsol-Des 24'!I102</f>
        <v>#REF!</v>
      </c>
      <c r="N97" s="407"/>
      <c r="O97" s="407" t="e">
        <f>O75-'BS Konsol-Des 24'!I104</f>
        <v>#REF!</v>
      </c>
      <c r="P97" s="407"/>
      <c r="Q97" s="210" t="e">
        <f>Q75-'BS Konsol-Des 24'!I105</f>
        <v>#REF!</v>
      </c>
      <c r="R97" s="407"/>
      <c r="S97" s="407">
        <v>0</v>
      </c>
      <c r="T97" s="407"/>
      <c r="U97" s="408" t="e">
        <f>U75-'BS Konsol-Des 24'!I107</f>
        <v>#REF!</v>
      </c>
      <c r="V97" s="351"/>
      <c r="W97" s="2024">
        <v>45536</v>
      </c>
    </row>
    <row r="98" spans="1:23" hidden="1">
      <c r="A98" s="374"/>
      <c r="B98" s="374"/>
      <c r="C98" s="374"/>
      <c r="D98" s="589">
        <v>45170</v>
      </c>
      <c r="E98" s="374"/>
      <c r="F98" s="374"/>
      <c r="G98" s="374"/>
      <c r="H98" s="374"/>
      <c r="I98" s="405">
        <f>I51-'BS Konsol-Des 24'!K98</f>
        <v>0</v>
      </c>
      <c r="J98" s="406"/>
      <c r="K98" s="407">
        <f>K51-'BS Konsol-Des 24'!K99</f>
        <v>0</v>
      </c>
      <c r="L98" s="407"/>
      <c r="M98" s="407">
        <f>M51-'BS Konsol-Des 24'!K102</f>
        <v>0</v>
      </c>
      <c r="N98" s="407"/>
      <c r="O98" s="407">
        <f>O51-'BS Konsol-Des 24'!K104</f>
        <v>0</v>
      </c>
      <c r="P98" s="407"/>
      <c r="Q98" s="407" t="e">
        <f>Q51-'BS Konsol-Des 24'!K105</f>
        <v>#REF!</v>
      </c>
      <c r="R98" s="407"/>
      <c r="S98" s="407">
        <v>0</v>
      </c>
      <c r="T98" s="407"/>
      <c r="U98" s="408" t="e">
        <f>U51-'BS Konsol-Des 24'!K107</f>
        <v>#REF!</v>
      </c>
      <c r="V98" s="351"/>
      <c r="W98" s="2024">
        <v>45170</v>
      </c>
    </row>
    <row r="99" spans="1:23" s="342" customFormat="1" hidden="1">
      <c r="A99" s="374"/>
      <c r="B99" s="374"/>
      <c r="C99" s="374"/>
      <c r="D99" s="589">
        <v>45444</v>
      </c>
      <c r="E99" s="374"/>
      <c r="F99" s="374"/>
      <c r="G99" s="374"/>
      <c r="H99" s="374"/>
      <c r="I99" s="592" t="e">
        <f>I63-'BS Konsol'!H97</f>
        <v>#REF!</v>
      </c>
      <c r="J99" s="590"/>
      <c r="K99" s="591" t="e">
        <f>K63-'BS Konsol'!H99</f>
        <v>#REF!</v>
      </c>
      <c r="L99" s="591"/>
      <c r="M99" s="591" t="e">
        <f>M63-'BS Konsol'!H102</f>
        <v>#REF!</v>
      </c>
      <c r="N99" s="591"/>
      <c r="O99" s="591" t="e">
        <f>O63-'BS Konsol'!H104</f>
        <v>#REF!</v>
      </c>
      <c r="P99" s="591"/>
      <c r="Q99" s="591" t="e">
        <f>Q63-'BS Konsol'!H105</f>
        <v>#REF!</v>
      </c>
      <c r="R99" s="591"/>
      <c r="S99" s="1054" t="e">
        <f>S63-'BS Konsol'!H100</f>
        <v>#REF!</v>
      </c>
      <c r="T99" s="1054"/>
      <c r="U99" s="1055" t="e">
        <f>U63-'BS Konsol'!H107</f>
        <v>#REF!</v>
      </c>
      <c r="V99" s="1055"/>
      <c r="W99" s="2024">
        <v>45444</v>
      </c>
    </row>
    <row r="100" spans="1:23" s="342" customFormat="1">
      <c r="A100" s="374"/>
      <c r="B100" s="374"/>
      <c r="C100" s="374"/>
      <c r="D100" s="589"/>
      <c r="E100" s="374"/>
      <c r="F100" s="374"/>
      <c r="G100" s="374"/>
      <c r="H100" s="374"/>
      <c r="I100" s="592"/>
      <c r="J100" s="590"/>
      <c r="K100" s="591"/>
      <c r="L100" s="591"/>
      <c r="M100" s="591">
        <f>M89-M96</f>
        <v>1</v>
      </c>
      <c r="N100" s="591"/>
      <c r="O100" s="591"/>
      <c r="P100" s="591"/>
      <c r="Q100" s="591"/>
      <c r="R100" s="591"/>
      <c r="S100" s="1054"/>
      <c r="T100" s="1054"/>
      <c r="U100" s="1055"/>
      <c r="V100" s="1055"/>
      <c r="W100" s="2024"/>
    </row>
    <row r="101" spans="1:23" s="342" customFormat="1">
      <c r="A101" s="374"/>
      <c r="B101" s="374"/>
      <c r="C101" s="374"/>
      <c r="D101" s="589">
        <v>45291</v>
      </c>
      <c r="E101" s="374"/>
      <c r="F101" s="374"/>
      <c r="G101" s="374"/>
      <c r="H101" s="374"/>
      <c r="I101" s="405">
        <f>I36-'BS Konsol'!L96</f>
        <v>0</v>
      </c>
      <c r="J101" s="406"/>
      <c r="K101" s="407">
        <f>K36-'BS Konsol'!L98</f>
        <v>0</v>
      </c>
      <c r="L101" s="407"/>
      <c r="M101" s="407" t="e">
        <f>M63-'BS Konsol'!L102</f>
        <v>#REF!</v>
      </c>
      <c r="N101" s="407"/>
      <c r="O101" s="407">
        <f>O36-'BS Konsol'!L103</f>
        <v>0</v>
      </c>
      <c r="P101" s="407"/>
      <c r="Q101" s="407" t="e">
        <f>#REF!-'BS Konsol'!L105</f>
        <v>#REF!</v>
      </c>
      <c r="R101" s="407"/>
      <c r="S101" s="407">
        <f>S36-'BS Konsol'!L100</f>
        <v>0</v>
      </c>
      <c r="T101" s="407"/>
      <c r="U101" s="408">
        <f>U36-'BS Konsol'!L106</f>
        <v>0</v>
      </c>
      <c r="V101" s="351"/>
      <c r="W101" s="2024">
        <v>45291</v>
      </c>
    </row>
    <row r="102" spans="1:23" hidden="1">
      <c r="A102" s="374"/>
      <c r="B102" s="374"/>
      <c r="C102" s="374"/>
      <c r="D102" s="589">
        <v>45078</v>
      </c>
      <c r="E102" s="375"/>
      <c r="F102" s="375"/>
      <c r="G102" s="375"/>
      <c r="H102" s="375"/>
      <c r="I102" s="405">
        <f>I37-'BS Konsol'!J97</f>
        <v>0</v>
      </c>
      <c r="J102" s="406"/>
      <c r="K102" s="407">
        <f>K37-'BS Konsol'!J99</f>
        <v>0</v>
      </c>
      <c r="L102" s="407"/>
      <c r="M102" s="407">
        <f>M37-'BS Konsol'!J102</f>
        <v>0</v>
      </c>
      <c r="N102" s="407"/>
      <c r="O102" s="407">
        <f>O37-'BS Konsol'!J104</f>
        <v>0</v>
      </c>
      <c r="P102" s="407"/>
      <c r="Q102" s="407">
        <f>Q37-'BS Konsol'!J105</f>
        <v>0</v>
      </c>
      <c r="R102" s="407"/>
      <c r="S102" s="1052">
        <f>S37-'BS Konsol'!J100</f>
        <v>0</v>
      </c>
      <c r="T102" s="1052"/>
      <c r="U102" s="1053">
        <f>U37-'BS Konsol'!J107</f>
        <v>0</v>
      </c>
      <c r="V102" s="354"/>
      <c r="W102" s="1077">
        <v>45078</v>
      </c>
    </row>
    <row r="103" spans="1:23" hidden="1">
      <c r="A103" s="374"/>
      <c r="B103" s="374"/>
      <c r="C103" s="374"/>
      <c r="D103" s="374">
        <v>2022</v>
      </c>
      <c r="E103" s="375"/>
      <c r="F103" s="375"/>
      <c r="G103" s="375"/>
      <c r="H103" s="375"/>
      <c r="I103" s="405">
        <f>I27-'BS Konsol'!N97</f>
        <v>0</v>
      </c>
      <c r="J103" s="406"/>
      <c r="K103" s="407">
        <f>K27-'BS Konsol'!N99</f>
        <v>0</v>
      </c>
      <c r="L103" s="407"/>
      <c r="M103" s="407">
        <f>M27-'BS Konsol'!N102</f>
        <v>0</v>
      </c>
      <c r="N103" s="407"/>
      <c r="O103" s="407">
        <f>'LPE Konsol'!M27-'BS Konsol'!N104</f>
        <v>0</v>
      </c>
      <c r="P103" s="407"/>
      <c r="Q103" s="407">
        <f>Q27-'BS Konsol'!N105</f>
        <v>0</v>
      </c>
      <c r="R103" s="407"/>
      <c r="S103" s="407">
        <f>S27-'BS Konsol'!N100</f>
        <v>0.13722991943359375</v>
      </c>
      <c r="T103" s="407"/>
      <c r="U103" s="408">
        <f>U27-'BS Konsol'!N107</f>
        <v>0.137237548828125</v>
      </c>
      <c r="V103" s="354"/>
      <c r="W103" s="410" t="s">
        <v>1293</v>
      </c>
    </row>
    <row r="104" spans="1:23" hidden="1">
      <c r="A104" s="374"/>
      <c r="B104" s="374"/>
      <c r="C104" s="374"/>
      <c r="D104" s="374">
        <v>2021</v>
      </c>
      <c r="E104" s="375"/>
      <c r="F104" s="375"/>
      <c r="G104" s="375"/>
      <c r="H104" s="375"/>
      <c r="I104" s="411">
        <f>I21-'BS Konsol'!P97</f>
        <v>0</v>
      </c>
      <c r="J104" s="400"/>
      <c r="K104" s="401">
        <f>K21-'BS Konsol'!P99</f>
        <v>0</v>
      </c>
      <c r="L104" s="401"/>
      <c r="M104" s="401">
        <f>M21-'BS Konsol'!P102</f>
        <v>0</v>
      </c>
      <c r="N104" s="401"/>
      <c r="O104" s="401">
        <f>O21-'BS Konsol'!P104</f>
        <v>0</v>
      </c>
      <c r="P104" s="401"/>
      <c r="Q104" s="401">
        <f>Q21-'BS Konsol'!P105</f>
        <v>0</v>
      </c>
      <c r="R104" s="401"/>
      <c r="S104" s="401">
        <f>S21-'BS Konsol'!P100</f>
        <v>-0.3985443115234375</v>
      </c>
      <c r="T104" s="401"/>
      <c r="U104" s="412">
        <f>U21-'BS Konsol'!P107</f>
        <v>-0.3985443115234375</v>
      </c>
      <c r="V104" s="354"/>
      <c r="W104" s="359"/>
    </row>
    <row r="108" spans="1:23">
      <c r="K108" s="2153"/>
    </row>
    <row r="109" spans="1:23">
      <c r="K109" s="2153"/>
    </row>
    <row r="110" spans="1:23">
      <c r="K110" s="2153"/>
    </row>
  </sheetData>
  <mergeCells count="2">
    <mergeCell ref="O5:S5"/>
    <mergeCell ref="O6:S6"/>
  </mergeCells>
  <pageMargins left="0.7" right="0.7" top="0.75" bottom="0.75" header="0.3" footer="0.3"/>
  <pageSetup paperSize="9"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2DC1-50B9-42D4-A661-5C2EDC99434A}">
  <sheetPr>
    <tabColor rgb="FFC00000"/>
  </sheetPr>
  <dimension ref="F4:H8"/>
  <sheetViews>
    <sheetView workbookViewId="0">
      <selection activeCell="G8" sqref="G8"/>
    </sheetView>
  </sheetViews>
  <sheetFormatPr defaultRowHeight="14.45"/>
  <cols>
    <col min="6" max="6" width="24.5703125" bestFit="1" customWidth="1"/>
    <col min="7" max="7" width="12.42578125" bestFit="1" customWidth="1"/>
    <col min="8" max="8" width="14.5703125" bestFit="1" customWidth="1"/>
  </cols>
  <sheetData>
    <row r="4" spans="6:8">
      <c r="F4" t="s">
        <v>1294</v>
      </c>
      <c r="G4" s="2154">
        <v>50</v>
      </c>
      <c r="H4" s="2154">
        <f>G4*G8</f>
        <v>14500000000</v>
      </c>
    </row>
    <row r="5" spans="6:8">
      <c r="F5" t="s">
        <v>1295</v>
      </c>
      <c r="G5" s="2154">
        <f>G6-G4</f>
        <v>200</v>
      </c>
      <c r="H5" s="2154">
        <f>G5*G8</f>
        <v>58000000000</v>
      </c>
    </row>
    <row r="6" spans="6:8">
      <c r="F6" t="s">
        <v>1296</v>
      </c>
      <c r="G6" s="2154">
        <v>250</v>
      </c>
    </row>
    <row r="7" spans="6:8">
      <c r="G7" s="2154"/>
    </row>
    <row r="8" spans="6:8">
      <c r="F8" t="s">
        <v>1297</v>
      </c>
      <c r="G8" s="2154">
        <v>290000000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026F-19B2-43BF-B730-5A4049F40522}">
  <sheetPr>
    <tabColor rgb="FFC00000"/>
  </sheetPr>
  <dimension ref="A1:U122"/>
  <sheetViews>
    <sheetView showGridLines="0" zoomScale="84" zoomScaleNormal="120" workbookViewId="0">
      <pane xSplit="7" ySplit="7" topLeftCell="H8" activePane="bottomRight" state="frozen"/>
      <selection pane="bottomRight" activeCell="H11" sqref="H11"/>
      <selection pane="bottomLeft" activeCell="A8" sqref="A8"/>
      <selection pane="topRight" activeCell="H1" sqref="H1"/>
    </sheetView>
  </sheetViews>
  <sheetFormatPr defaultRowHeight="14.45"/>
  <cols>
    <col min="1" max="2" width="1.5703125" style="157" customWidth="1"/>
    <col min="3" max="3" width="27.42578125" style="157" customWidth="1"/>
    <col min="4" max="4" width="2.42578125" style="158" customWidth="1"/>
    <col min="5" max="5" width="0.5703125" style="158" customWidth="1"/>
    <col min="6" max="6" width="8.42578125" style="158" bestFit="1" customWidth="1"/>
    <col min="7" max="7" width="0.5703125" style="158" customWidth="1"/>
    <col min="8" max="8" width="14.42578125" style="158" customWidth="1"/>
    <col min="9" max="9" width="0.5703125" style="158" customWidth="1"/>
    <col min="10" max="10" width="14.42578125" style="158" customWidth="1"/>
    <col min="11" max="11" width="0.5703125" style="158" customWidth="1"/>
    <col min="12" max="12" width="15.5703125" style="158" customWidth="1"/>
    <col min="13" max="13" width="0.5703125" style="158" customWidth="1"/>
    <col min="14" max="14" width="15.5703125" style="158" customWidth="1"/>
    <col min="15" max="15" width="0.5703125" style="158" customWidth="1"/>
    <col min="16" max="16" width="15.5703125" style="159" customWidth="1"/>
    <col min="17" max="17" width="0.5703125" style="158" customWidth="1"/>
    <col min="18" max="18" width="2.42578125" style="163" customWidth="1"/>
    <col min="19" max="19" width="29.5703125" style="163" customWidth="1"/>
    <col min="20" max="20" width="21.42578125" bestFit="1" customWidth="1"/>
    <col min="21" max="21" width="15.42578125" bestFit="1" customWidth="1"/>
  </cols>
  <sheetData>
    <row r="1" spans="1:20">
      <c r="A1" s="2403" t="s">
        <v>1050</v>
      </c>
      <c r="B1" s="2403"/>
      <c r="C1" s="2403"/>
      <c r="D1" s="2403"/>
      <c r="E1" s="2403"/>
      <c r="F1" s="2403"/>
      <c r="G1" s="2403"/>
      <c r="H1" s="2403"/>
      <c r="I1" s="2403"/>
      <c r="J1" s="2403"/>
      <c r="K1" s="2403"/>
      <c r="L1" s="2403"/>
      <c r="M1" s="2403"/>
      <c r="N1" s="2403"/>
      <c r="O1" s="2403"/>
      <c r="P1" s="2403"/>
      <c r="Q1" s="2403"/>
      <c r="R1" s="154"/>
      <c r="S1" s="154"/>
    </row>
    <row r="2" spans="1:20">
      <c r="A2" s="2403" t="s">
        <v>1051</v>
      </c>
      <c r="B2" s="2403"/>
      <c r="C2" s="2403"/>
      <c r="D2" s="2403"/>
      <c r="E2" s="2403"/>
      <c r="F2" s="2403"/>
      <c r="G2" s="2403"/>
      <c r="H2" s="2403"/>
      <c r="I2" s="2403"/>
      <c r="J2" s="2403"/>
      <c r="K2" s="2403"/>
      <c r="L2" s="2403"/>
      <c r="M2" s="2403"/>
      <c r="N2" s="2403"/>
      <c r="O2" s="2403"/>
      <c r="P2" s="2403"/>
      <c r="Q2" s="2403"/>
      <c r="R2" s="154"/>
      <c r="S2" s="154"/>
    </row>
    <row r="3" spans="1:20">
      <c r="A3" s="2403" t="s">
        <v>1298</v>
      </c>
      <c r="B3" s="2403"/>
      <c r="C3" s="2403"/>
      <c r="D3" s="2403"/>
      <c r="E3" s="2403"/>
      <c r="F3" s="2403"/>
      <c r="G3" s="2403"/>
      <c r="H3" s="2403"/>
      <c r="I3" s="2403"/>
      <c r="J3" s="2403"/>
      <c r="K3" s="2403"/>
      <c r="L3" s="2403"/>
      <c r="M3" s="2403"/>
      <c r="N3" s="2403"/>
      <c r="O3" s="2403"/>
      <c r="P3" s="2403"/>
      <c r="Q3" s="2403"/>
      <c r="R3" s="154"/>
      <c r="S3" s="154"/>
      <c r="T3" s="912">
        <v>21754505456</v>
      </c>
    </row>
    <row r="4" spans="1:20">
      <c r="A4" s="2403" t="s">
        <v>1053</v>
      </c>
      <c r="B4" s="2403"/>
      <c r="C4" s="2403"/>
      <c r="D4" s="2403"/>
      <c r="E4" s="2403"/>
      <c r="F4" s="2403"/>
      <c r="G4" s="2403"/>
      <c r="H4" s="2403"/>
      <c r="I4" s="2403"/>
      <c r="J4" s="2403"/>
      <c r="K4" s="2403"/>
      <c r="L4" s="2403"/>
      <c r="M4" s="2403"/>
      <c r="N4" s="2403"/>
      <c r="O4" s="2403"/>
      <c r="P4" s="2403"/>
      <c r="Q4" s="2403"/>
      <c r="R4" s="154"/>
      <c r="S4" s="155"/>
      <c r="T4" s="912">
        <v>-1562430934</v>
      </c>
    </row>
    <row r="5" spans="1:20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4"/>
      <c r="S5" s="155"/>
      <c r="T5" s="912"/>
    </row>
    <row r="6" spans="1:20">
      <c r="A6" s="156"/>
      <c r="F6" s="162" t="s">
        <v>1054</v>
      </c>
      <c r="G6" s="166"/>
      <c r="H6" s="166"/>
      <c r="I6" s="166"/>
      <c r="J6" s="166"/>
      <c r="K6" s="166"/>
      <c r="L6" s="2408" t="s">
        <v>1299</v>
      </c>
      <c r="M6" s="2408"/>
      <c r="N6" s="2408"/>
      <c r="O6" s="2408"/>
      <c r="P6" s="2408"/>
      <c r="Q6" s="165"/>
      <c r="R6" s="160"/>
      <c r="T6" s="912"/>
    </row>
    <row r="7" spans="1:20">
      <c r="D7" s="162"/>
      <c r="E7" s="162"/>
      <c r="F7" s="168" t="s">
        <v>1055</v>
      </c>
      <c r="G7" s="162"/>
      <c r="H7" s="307">
        <v>45444</v>
      </c>
      <c r="I7" s="162"/>
      <c r="J7" s="307">
        <v>45078</v>
      </c>
      <c r="K7" s="162"/>
      <c r="L7" s="167" t="s">
        <v>1300</v>
      </c>
      <c r="M7" s="169"/>
      <c r="N7" s="170" t="s">
        <v>1056</v>
      </c>
      <c r="O7" s="169"/>
      <c r="P7" s="171">
        <v>2021</v>
      </c>
      <c r="Q7" s="162"/>
    </row>
    <row r="8" spans="1:20">
      <c r="A8" s="156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0"/>
    </row>
    <row r="9" spans="1:20">
      <c r="A9" s="156" t="s">
        <v>52</v>
      </c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0" t="s">
        <v>387</v>
      </c>
    </row>
    <row r="10" spans="1:20">
      <c r="A10" s="156" t="s">
        <v>1057</v>
      </c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0" t="s">
        <v>1058</v>
      </c>
    </row>
    <row r="11" spans="1:20">
      <c r="A11" s="157" t="s">
        <v>54</v>
      </c>
      <c r="F11" s="158">
        <v>5</v>
      </c>
      <c r="G11" s="164"/>
      <c r="H11" s="1035">
        <f>'WS Konsol'!AF52</f>
        <v>565886797</v>
      </c>
      <c r="I11" s="164"/>
      <c r="J11" s="172">
        <f>'WS Konsol'!BC52</f>
        <v>5733063270</v>
      </c>
      <c r="K11" s="164"/>
      <c r="L11" s="172">
        <f>'WS Konsol'!AI52</f>
        <v>2570121355</v>
      </c>
      <c r="M11" s="164"/>
      <c r="N11" s="172">
        <f>'WS Konsol'!BF52</f>
        <v>4920468963</v>
      </c>
      <c r="O11" s="164"/>
      <c r="P11" s="172">
        <f>'WS Konsol'!BH52</f>
        <v>4972845584</v>
      </c>
      <c r="Q11" s="164"/>
      <c r="R11" s="163" t="s">
        <v>1059</v>
      </c>
    </row>
    <row r="12" spans="1:20">
      <c r="A12" s="157" t="s">
        <v>1060</v>
      </c>
      <c r="G12" s="173"/>
      <c r="H12" s="1035"/>
      <c r="I12" s="173"/>
      <c r="J12" s="172"/>
      <c r="K12" s="173"/>
      <c r="L12" s="172"/>
      <c r="M12" s="173"/>
      <c r="N12" s="172"/>
      <c r="O12" s="173"/>
      <c r="P12" s="172"/>
      <c r="Q12" s="173"/>
      <c r="R12" s="163" t="s">
        <v>1061</v>
      </c>
    </row>
    <row r="13" spans="1:20">
      <c r="B13" s="157" t="s">
        <v>87</v>
      </c>
      <c r="F13" s="158">
        <v>6</v>
      </c>
      <c r="G13" s="173"/>
      <c r="H13" s="1036">
        <f>'WS Konsol'!AF111</f>
        <v>422639675</v>
      </c>
      <c r="I13" s="173"/>
      <c r="J13" s="174">
        <f>'WS Konsol'!BC111</f>
        <v>1783377782</v>
      </c>
      <c r="K13" s="173"/>
      <c r="L13" s="174">
        <f>'WS Konsol'!AI111</f>
        <v>211054410</v>
      </c>
      <c r="M13" s="173"/>
      <c r="N13" s="174">
        <f>'WS Konsol'!BF111</f>
        <v>1729176327</v>
      </c>
      <c r="O13" s="173"/>
      <c r="P13" s="174">
        <f>'WS Konsol'!BH111</f>
        <v>1565918952</v>
      </c>
      <c r="Q13" s="173"/>
      <c r="S13" s="163" t="s">
        <v>1080</v>
      </c>
    </row>
    <row r="14" spans="1:20">
      <c r="B14" s="157" t="s">
        <v>1063</v>
      </c>
      <c r="F14" s="158">
        <v>6</v>
      </c>
      <c r="G14" s="173"/>
      <c r="H14" s="1037">
        <f>'WS Konsol'!AF105+'WS Konsol'!AF115+'WS Konsol'!AF127</f>
        <v>26199584563</v>
      </c>
      <c r="I14" s="793"/>
      <c r="J14" s="792">
        <f>'WS Konsol'!BC105+'WS Konsol'!BC115+'WS Konsol'!BC127</f>
        <v>25423470999</v>
      </c>
      <c r="K14" s="793"/>
      <c r="L14" s="792">
        <f>'WS Konsol'!AI105+'WS Konsol'!AI115+'WS Konsol'!AI127</f>
        <v>19981020112</v>
      </c>
      <c r="M14" s="793"/>
      <c r="N14" s="792">
        <f>'WS Konsol'!BF105+'WS Konsol'!BF115+'WS Konsol'!BF127</f>
        <v>53102808880</v>
      </c>
      <c r="O14" s="793"/>
      <c r="P14" s="792">
        <f>'WS Konsol'!BH105+'WS Konsol'!BH115+'WS Konsol'!BH127</f>
        <v>38673285818</v>
      </c>
      <c r="Q14" s="173"/>
      <c r="S14" s="163" t="s">
        <v>1064</v>
      </c>
    </row>
    <row r="15" spans="1:20">
      <c r="A15" s="157" t="s">
        <v>1301</v>
      </c>
      <c r="G15" s="173"/>
      <c r="H15" s="153"/>
      <c r="I15" s="173"/>
      <c r="J15" s="153"/>
      <c r="K15" s="173"/>
      <c r="L15" s="153"/>
      <c r="M15" s="173"/>
      <c r="N15" s="153"/>
      <c r="O15" s="173"/>
      <c r="P15" s="153"/>
      <c r="Q15" s="173"/>
      <c r="R15" s="163" t="s">
        <v>1302</v>
      </c>
    </row>
    <row r="16" spans="1:20">
      <c r="B16" s="157" t="s">
        <v>1063</v>
      </c>
      <c r="F16" s="158">
        <v>7</v>
      </c>
      <c r="G16" s="173"/>
      <c r="H16" s="1036">
        <f>'WS Konsol'!AF132+'WS Konsol'!AF137</f>
        <v>510634104</v>
      </c>
      <c r="I16" s="173"/>
      <c r="J16" s="174">
        <f>'WS Konsol'!BC132+'WS Konsol'!BC137</f>
        <v>549732399</v>
      </c>
      <c r="K16" s="173"/>
      <c r="L16" s="174">
        <f>'WS Konsol'!AI132+'WS Konsol'!AI137</f>
        <v>510634104</v>
      </c>
      <c r="M16" s="173"/>
      <c r="N16" s="174">
        <f>'WS Konsol'!BF132+'WS Konsol'!BF137</f>
        <v>549732399</v>
      </c>
      <c r="O16" s="173"/>
      <c r="P16" s="174">
        <f>'WS Konsol'!BH132+'WS Konsol'!BH120</f>
        <v>466154019</v>
      </c>
      <c r="Q16" s="173"/>
      <c r="S16" s="163" t="s">
        <v>1064</v>
      </c>
    </row>
    <row r="17" spans="1:19">
      <c r="A17" s="157" t="s">
        <v>59</v>
      </c>
      <c r="F17" s="158">
        <v>8</v>
      </c>
      <c r="G17" s="173"/>
      <c r="H17" s="1035">
        <f>'WS Konsol'!AF147</f>
        <v>224990831176</v>
      </c>
      <c r="I17" s="173"/>
      <c r="J17" s="172">
        <f>'WS Konsol'!BC147</f>
        <v>215178073837</v>
      </c>
      <c r="K17" s="173"/>
      <c r="L17" s="172">
        <f>'WS Konsol'!AI147</f>
        <v>218071396362</v>
      </c>
      <c r="M17" s="173"/>
      <c r="N17" s="172">
        <f>'WS Konsol'!BF147</f>
        <v>137179893500</v>
      </c>
      <c r="O17" s="173"/>
      <c r="P17" s="172">
        <f>'WS Konsol'!BH147</f>
        <v>95865646086</v>
      </c>
      <c r="Q17" s="173"/>
      <c r="R17" s="163" t="s">
        <v>1067</v>
      </c>
    </row>
    <row r="18" spans="1:19">
      <c r="A18" s="175" t="s">
        <v>60</v>
      </c>
      <c r="B18" s="156"/>
      <c r="F18" s="158">
        <v>9</v>
      </c>
      <c r="G18" s="164"/>
      <c r="H18" s="164">
        <f>'WS Konsol'!AF182</f>
        <v>2649404556</v>
      </c>
      <c r="I18" s="164"/>
      <c r="J18" s="164">
        <f>'WS Konsol'!BC182</f>
        <v>1792056297</v>
      </c>
      <c r="K18" s="164"/>
      <c r="L18" s="164">
        <f>'WS Konsol'!AI182</f>
        <v>2415719386</v>
      </c>
      <c r="M18" s="164"/>
      <c r="N18" s="164">
        <f>'WS Konsol'!BF182</f>
        <v>651253829</v>
      </c>
      <c r="O18" s="164"/>
      <c r="P18" s="164">
        <f>'WS Konsol'!BH182</f>
        <v>871760289</v>
      </c>
      <c r="Q18" s="164"/>
      <c r="R18" s="176" t="s">
        <v>1068</v>
      </c>
      <c r="S18" s="160"/>
    </row>
    <row r="19" spans="1:19">
      <c r="A19" s="157" t="s">
        <v>200</v>
      </c>
      <c r="F19" s="158" t="s">
        <v>1069</v>
      </c>
      <c r="G19" s="173"/>
      <c r="H19" s="172">
        <f>SUM('WS Konsol'!AF149:AF156)</f>
        <v>10425187749</v>
      </c>
      <c r="I19" s="173"/>
      <c r="J19" s="172">
        <f>SUM('WS Konsol'!BC149:BC156)</f>
        <v>9041536321</v>
      </c>
      <c r="K19" s="173"/>
      <c r="L19" s="172">
        <f>SUM('WS Konsol'!AI149:AI156)</f>
        <v>9663458887</v>
      </c>
      <c r="M19" s="173"/>
      <c r="N19" s="172">
        <f>SUM('WS Konsol'!BF149:BF156)</f>
        <v>8035438770</v>
      </c>
      <c r="O19" s="173"/>
      <c r="P19" s="172">
        <f>SUM('WS Konsol'!BH149:BH156)</f>
        <v>8635897222</v>
      </c>
      <c r="Q19" s="173"/>
      <c r="R19" s="163" t="s">
        <v>196</v>
      </c>
    </row>
    <row r="20" spans="1:19">
      <c r="A20" s="157" t="s">
        <v>1303</v>
      </c>
      <c r="F20" s="158">
        <v>10</v>
      </c>
      <c r="G20" s="173"/>
      <c r="H20" s="178">
        <f>'WS Konsol'!AF159+'WS Konsol'!AF174+'WS Konsol'!AF164</f>
        <v>2074112410</v>
      </c>
      <c r="I20" s="173"/>
      <c r="J20" s="178">
        <f>'WS Konsol'!BC159+'WS Konsol'!BC174</f>
        <v>903603741</v>
      </c>
      <c r="K20" s="173"/>
      <c r="L20" s="178">
        <f>'WS Konsol'!AI159+'WS Konsol'!AI174</f>
        <v>1104447053</v>
      </c>
      <c r="M20" s="173"/>
      <c r="N20" s="178">
        <f>'WS Konsol'!BF164+'WS Konsol'!BF159</f>
        <v>349309986</v>
      </c>
      <c r="O20" s="173"/>
      <c r="P20" s="178">
        <f>SUM('WS Konsol'!BH164:BH173)+'WS Konsol'!BH159+'WS Konsol'!BH247</f>
        <v>227462120</v>
      </c>
      <c r="Q20" s="173"/>
      <c r="R20" s="163" t="s">
        <v>1304</v>
      </c>
    </row>
    <row r="21" spans="1:19" hidden="1">
      <c r="G21" s="173"/>
      <c r="H21" s="177"/>
      <c r="I21" s="173"/>
      <c r="J21" s="177"/>
      <c r="K21" s="173"/>
      <c r="L21" s="177"/>
      <c r="M21" s="173"/>
      <c r="N21" s="177"/>
      <c r="O21" s="173"/>
      <c r="P21" s="177"/>
      <c r="Q21" s="173"/>
    </row>
    <row r="22" spans="1:19">
      <c r="A22" s="156" t="s">
        <v>64</v>
      </c>
      <c r="B22" s="156"/>
      <c r="C22" s="156"/>
      <c r="D22" s="162"/>
      <c r="E22" s="162"/>
      <c r="F22" s="162"/>
      <c r="G22" s="180"/>
      <c r="H22" s="179">
        <f>SUM(H11:H20)</f>
        <v>267838281030</v>
      </c>
      <c r="I22" s="180"/>
      <c r="J22" s="179">
        <f>SUM(J11:J20)</f>
        <v>260404914646</v>
      </c>
      <c r="K22" s="180"/>
      <c r="L22" s="179">
        <f>SUM(L11:L20)</f>
        <v>254527851669</v>
      </c>
      <c r="M22" s="180"/>
      <c r="N22" s="179">
        <f>SUM(N11:N20)</f>
        <v>206518082654</v>
      </c>
      <c r="O22" s="180"/>
      <c r="P22" s="179">
        <f>SUM(P11:P20)</f>
        <v>151278970090</v>
      </c>
      <c r="Q22" s="180"/>
      <c r="R22" s="160" t="s">
        <v>1076</v>
      </c>
      <c r="S22" s="160"/>
    </row>
    <row r="23" spans="1:19" ht="9" customHeight="1"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</row>
    <row r="24" spans="1:19">
      <c r="A24" s="156" t="s">
        <v>540</v>
      </c>
      <c r="B24" s="156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0" t="s">
        <v>1077</v>
      </c>
      <c r="S24" s="160"/>
    </row>
    <row r="25" spans="1:19" ht="4.3499999999999996" customHeight="1">
      <c r="A25" s="156"/>
      <c r="B25" s="156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0"/>
      <c r="S25" s="160"/>
    </row>
    <row r="26" spans="1:19">
      <c r="A26" s="157" t="s">
        <v>1305</v>
      </c>
      <c r="B26" s="156"/>
      <c r="F26" s="158">
        <v>7</v>
      </c>
      <c r="G26" s="173"/>
      <c r="H26" s="172">
        <f>'WS Konsol'!AF133+'WS Konsol'!AF187</f>
        <v>0</v>
      </c>
      <c r="I26" s="173"/>
      <c r="J26" s="172">
        <f>'WS Konsol'!BC133+'WS Konsol'!BC187+'WS Konsol'!BC130</f>
        <v>7348897634</v>
      </c>
      <c r="K26" s="173"/>
      <c r="L26" s="172">
        <f>'WS Konsol'!AI133+'WS Konsol'!AI187</f>
        <v>7022707423</v>
      </c>
      <c r="M26" s="173"/>
      <c r="N26" s="172">
        <f>'WS Konsol'!BF133+'WS Konsol'!BF187+'WS Konsol'!BF130</f>
        <v>7197443207</v>
      </c>
      <c r="O26" s="173"/>
      <c r="P26" s="172">
        <f>'WS Konsol'!BH133+'WS Konsol'!BH187+'WS Konsol'!BH130</f>
        <v>6836690211</v>
      </c>
      <c r="Q26" s="164"/>
      <c r="R26" s="176" t="s">
        <v>1306</v>
      </c>
      <c r="S26" s="160"/>
    </row>
    <row r="27" spans="1:19">
      <c r="A27" s="175" t="s">
        <v>201</v>
      </c>
      <c r="B27" s="175"/>
      <c r="C27" s="175"/>
      <c r="D27" s="181"/>
      <c r="E27" s="181"/>
      <c r="G27" s="182"/>
      <c r="H27" s="182"/>
      <c r="I27" s="182"/>
      <c r="J27" s="182"/>
      <c r="K27" s="182"/>
      <c r="L27" s="153"/>
      <c r="M27" s="153"/>
      <c r="N27" s="153"/>
      <c r="O27" s="153"/>
      <c r="P27" s="153"/>
      <c r="Q27" s="182"/>
      <c r="R27" s="163" t="s">
        <v>1082</v>
      </c>
      <c r="S27" s="153"/>
    </row>
    <row r="28" spans="1:19">
      <c r="A28" s="175"/>
      <c r="B28" s="176" t="s">
        <v>1307</v>
      </c>
      <c r="C28" s="175"/>
      <c r="D28" s="181"/>
      <c r="E28" s="181"/>
      <c r="F28" s="181"/>
      <c r="G28" s="182"/>
      <c r="H28" s="182"/>
      <c r="I28" s="182"/>
      <c r="J28" s="182"/>
      <c r="K28" s="182"/>
      <c r="L28" s="164"/>
      <c r="M28" s="182"/>
      <c r="N28" s="164"/>
      <c r="O28" s="182"/>
      <c r="P28" s="164"/>
      <c r="Q28" s="182"/>
      <c r="R28" s="153"/>
      <c r="S28" s="163" t="s">
        <v>1308</v>
      </c>
    </row>
    <row r="29" spans="1:19">
      <c r="A29" s="175"/>
      <c r="B29" s="176" t="s">
        <v>1309</v>
      </c>
      <c r="C29" s="175"/>
      <c r="D29" s="181"/>
      <c r="E29" s="181"/>
      <c r="F29" s="181"/>
      <c r="G29" s="182"/>
      <c r="H29" s="182"/>
      <c r="I29" s="182"/>
      <c r="J29" s="182"/>
      <c r="K29" s="182"/>
      <c r="L29" s="164"/>
      <c r="M29" s="182"/>
      <c r="N29" s="164"/>
      <c r="O29" s="182"/>
      <c r="P29" s="164"/>
      <c r="Q29" s="182"/>
      <c r="S29" s="163" t="s">
        <v>1310</v>
      </c>
    </row>
    <row r="30" spans="1:19">
      <c r="A30" s="175"/>
      <c r="B30" s="176" t="s">
        <v>1311</v>
      </c>
      <c r="C30" s="175"/>
      <c r="D30" s="181"/>
      <c r="E30" s="181"/>
      <c r="F30" s="181"/>
      <c r="G30" s="182"/>
      <c r="H30" s="182"/>
      <c r="I30" s="182"/>
      <c r="J30" s="182"/>
      <c r="K30" s="182"/>
      <c r="L30" s="164"/>
      <c r="M30" s="182"/>
      <c r="N30" s="164"/>
      <c r="O30" s="182"/>
      <c r="P30" s="164"/>
      <c r="Q30" s="182"/>
      <c r="S30" s="183" t="s">
        <v>1312</v>
      </c>
    </row>
    <row r="31" spans="1:19">
      <c r="A31" s="175"/>
      <c r="B31" s="176" t="s">
        <v>1313</v>
      </c>
      <c r="C31" s="175"/>
      <c r="D31" s="181"/>
      <c r="E31" s="181"/>
      <c r="F31" s="181"/>
      <c r="G31" s="182"/>
      <c r="H31" s="182"/>
      <c r="I31" s="182"/>
      <c r="J31" s="182"/>
      <c r="K31" s="182"/>
      <c r="L31" s="164"/>
      <c r="M31" s="182"/>
      <c r="N31" s="164"/>
      <c r="O31" s="182"/>
      <c r="P31" s="164"/>
      <c r="Q31" s="182"/>
      <c r="S31" s="183" t="s">
        <v>1314</v>
      </c>
    </row>
    <row r="32" spans="1:19">
      <c r="A32" s="175"/>
      <c r="B32" s="184" t="s">
        <v>1315</v>
      </c>
      <c r="C32" s="175"/>
      <c r="D32" s="181"/>
      <c r="E32" s="181"/>
      <c r="F32" s="181"/>
      <c r="G32" s="182"/>
      <c r="H32" s="182"/>
      <c r="I32" s="182"/>
      <c r="J32" s="182"/>
      <c r="K32" s="182"/>
      <c r="L32" s="164"/>
      <c r="M32" s="182"/>
      <c r="N32" s="164"/>
      <c r="O32" s="182"/>
      <c r="P32" s="164"/>
      <c r="Q32" s="182"/>
      <c r="S32" s="184" t="s">
        <v>1316</v>
      </c>
    </row>
    <row r="33" spans="1:19">
      <c r="A33" s="175"/>
      <c r="B33" s="184" t="s">
        <v>1317</v>
      </c>
      <c r="C33" s="175"/>
      <c r="D33" s="181"/>
      <c r="E33" s="181"/>
      <c r="F33" s="181"/>
      <c r="G33" s="182"/>
      <c r="H33" s="182"/>
      <c r="I33" s="182"/>
      <c r="J33" s="182"/>
      <c r="K33" s="182"/>
      <c r="L33" s="164"/>
      <c r="M33" s="182"/>
      <c r="N33" s="164"/>
      <c r="O33" s="182"/>
      <c r="P33" s="164"/>
      <c r="Q33" s="182"/>
      <c r="S33" s="163" t="s">
        <v>1318</v>
      </c>
    </row>
    <row r="34" spans="1:19">
      <c r="A34" s="175"/>
      <c r="B34" s="184" t="s">
        <v>1319</v>
      </c>
      <c r="C34" s="175"/>
      <c r="D34" s="181"/>
      <c r="E34" s="181"/>
      <c r="F34" s="181">
        <v>11</v>
      </c>
      <c r="G34" s="182"/>
      <c r="H34" s="164">
        <f>'WS Konsol'!AF201-'WS Konsol'!AF214+'WS Konsol'!AF218</f>
        <v>70317926651</v>
      </c>
      <c r="I34" s="182"/>
      <c r="J34" s="164">
        <f>'WS Konsol'!BC201-'WS Konsol'!BC214+'WS Konsol'!BC218</f>
        <v>79240630124</v>
      </c>
      <c r="K34" s="182"/>
      <c r="L34" s="164">
        <f>'WS Konsol'!AI201-'WS Konsol'!AI214+'WS Konsol'!AI218</f>
        <v>74113104582</v>
      </c>
      <c r="M34" s="182"/>
      <c r="N34" s="164">
        <f>'WS Konsol'!BF201-'WS Konsol'!BF214+'WS Konsol'!BF218</f>
        <v>84248284795</v>
      </c>
      <c r="O34" s="182"/>
      <c r="P34" s="164">
        <f>'WS Konsol'!BH201-'WS Konsol'!BH214+'WS Konsol'!BH218</f>
        <v>94612283276</v>
      </c>
      <c r="Q34" s="182"/>
      <c r="S34" s="163" t="s">
        <v>1320</v>
      </c>
    </row>
    <row r="35" spans="1:19" hidden="1">
      <c r="A35" s="175"/>
      <c r="B35" s="176"/>
      <c r="C35" s="175"/>
      <c r="D35" s="181"/>
      <c r="E35" s="181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82"/>
      <c r="S35" s="153"/>
    </row>
    <row r="36" spans="1:19">
      <c r="A36" s="175" t="s">
        <v>204</v>
      </c>
      <c r="B36" s="175"/>
      <c r="C36" s="175"/>
      <c r="D36" s="181"/>
      <c r="E36" s="181"/>
      <c r="G36" s="182"/>
      <c r="H36" s="182"/>
      <c r="I36" s="182"/>
      <c r="J36" s="182"/>
      <c r="K36" s="182"/>
      <c r="L36" s="153"/>
      <c r="M36" s="153"/>
      <c r="N36" s="153"/>
      <c r="O36" s="153"/>
      <c r="P36" s="153"/>
      <c r="Q36" s="182"/>
      <c r="R36" s="163" t="s">
        <v>1321</v>
      </c>
      <c r="S36" s="153"/>
    </row>
    <row r="37" spans="1:19">
      <c r="A37" s="175"/>
      <c r="B37" s="176" t="s">
        <v>1307</v>
      </c>
      <c r="C37" s="175"/>
      <c r="D37" s="181"/>
      <c r="E37" s="181"/>
      <c r="F37" s="181"/>
      <c r="G37" s="182"/>
      <c r="H37" s="182"/>
      <c r="I37" s="182"/>
      <c r="J37" s="182"/>
      <c r="K37" s="182"/>
      <c r="L37" s="164"/>
      <c r="M37" s="182"/>
      <c r="N37" s="164"/>
      <c r="O37" s="182"/>
      <c r="P37" s="164"/>
      <c r="Q37" s="182"/>
      <c r="R37" s="153"/>
      <c r="S37" s="163" t="s">
        <v>1322</v>
      </c>
    </row>
    <row r="38" spans="1:19">
      <c r="A38" s="175"/>
      <c r="B38" s="176" t="s">
        <v>1323</v>
      </c>
      <c r="C38" s="175"/>
      <c r="D38" s="181"/>
      <c r="E38" s="181"/>
      <c r="F38" s="181"/>
      <c r="G38" s="182"/>
      <c r="H38" s="182"/>
      <c r="I38" s="182"/>
      <c r="J38" s="182"/>
      <c r="K38" s="182"/>
      <c r="L38" s="164"/>
      <c r="M38" s="182"/>
      <c r="N38" s="164"/>
      <c r="O38" s="182"/>
      <c r="P38" s="164"/>
      <c r="Q38" s="182"/>
      <c r="S38" s="163" t="s">
        <v>1324</v>
      </c>
    </row>
    <row r="39" spans="1:19">
      <c r="A39" s="175"/>
      <c r="B39" s="176" t="s">
        <v>1325</v>
      </c>
      <c r="C39" s="176"/>
      <c r="D39" s="181"/>
      <c r="E39" s="181"/>
      <c r="F39" s="181"/>
      <c r="G39" s="182"/>
      <c r="H39" s="182"/>
      <c r="I39" s="182"/>
      <c r="J39" s="182"/>
      <c r="K39" s="182"/>
      <c r="L39" s="164"/>
      <c r="M39" s="182"/>
      <c r="N39" s="164"/>
      <c r="O39" s="182"/>
      <c r="P39" s="164"/>
      <c r="Q39" s="182"/>
      <c r="S39" s="163" t="s">
        <v>1326</v>
      </c>
    </row>
    <row r="40" spans="1:19">
      <c r="A40" s="175"/>
      <c r="B40" s="176" t="s">
        <v>1313</v>
      </c>
      <c r="C40" s="175"/>
      <c r="D40" s="181"/>
      <c r="E40" s="181"/>
      <c r="F40" s="181"/>
      <c r="G40" s="182"/>
      <c r="H40" s="182"/>
      <c r="I40" s="182"/>
      <c r="J40" s="182"/>
      <c r="K40" s="182"/>
      <c r="L40" s="164"/>
      <c r="M40" s="182"/>
      <c r="N40" s="164"/>
      <c r="O40" s="182"/>
      <c r="P40" s="164"/>
      <c r="Q40" s="182"/>
      <c r="S40" s="176" t="s">
        <v>1327</v>
      </c>
    </row>
    <row r="41" spans="1:19">
      <c r="A41" s="175"/>
      <c r="B41" s="184" t="s">
        <v>1328</v>
      </c>
      <c r="C41" s="175"/>
      <c r="D41" s="181"/>
      <c r="E41" s="181"/>
      <c r="F41" s="181"/>
      <c r="G41" s="182"/>
      <c r="H41" s="182"/>
      <c r="I41" s="182"/>
      <c r="J41" s="182"/>
      <c r="K41" s="182"/>
      <c r="L41" s="164"/>
      <c r="M41" s="182"/>
      <c r="N41" s="164"/>
      <c r="O41" s="182"/>
      <c r="P41" s="164"/>
      <c r="Q41" s="182"/>
      <c r="S41" s="184" t="s">
        <v>1329</v>
      </c>
    </row>
    <row r="42" spans="1:19">
      <c r="A42" s="175"/>
      <c r="B42" s="176" t="s">
        <v>1330</v>
      </c>
      <c r="C42" s="175"/>
      <c r="D42" s="181"/>
      <c r="E42" s="181"/>
      <c r="F42" s="181"/>
      <c r="G42" s="182"/>
      <c r="H42" s="182"/>
      <c r="I42" s="182"/>
      <c r="J42" s="182"/>
      <c r="K42" s="182"/>
      <c r="L42" s="164"/>
      <c r="M42" s="182"/>
      <c r="N42" s="164"/>
      <c r="O42" s="182"/>
      <c r="P42" s="164"/>
      <c r="Q42" s="182"/>
      <c r="S42" s="185" t="s">
        <v>1331</v>
      </c>
    </row>
    <row r="43" spans="1:19">
      <c r="A43" s="175"/>
      <c r="B43" s="184" t="s">
        <v>1332</v>
      </c>
      <c r="C43" s="175"/>
      <c r="D43" s="181"/>
      <c r="E43" s="181"/>
      <c r="F43" s="158">
        <v>12</v>
      </c>
      <c r="G43" s="182"/>
      <c r="H43" s="164">
        <f>'WS Konsol'!AF236</f>
        <v>7714047638</v>
      </c>
      <c r="I43" s="182"/>
      <c r="J43" s="164">
        <f>'WS Konsol'!BC236</f>
        <v>8028906725</v>
      </c>
      <c r="K43" s="182"/>
      <c r="L43" s="164">
        <f>'WS Konsol'!AI236</f>
        <v>7871477182</v>
      </c>
      <c r="M43" s="182"/>
      <c r="N43" s="164">
        <f>'WS Konsol'!BF236</f>
        <v>8186336269</v>
      </c>
      <c r="O43" s="182"/>
      <c r="P43" s="164">
        <f>'WS Konsol'!BH236</f>
        <v>8501195356</v>
      </c>
      <c r="Q43" s="182"/>
      <c r="S43" s="163" t="s">
        <v>1333</v>
      </c>
    </row>
    <row r="44" spans="1:19" hidden="1">
      <c r="A44" s="175" t="s">
        <v>1085</v>
      </c>
      <c r="B44" s="175"/>
      <c r="C44" s="175"/>
      <c r="D44" s="181"/>
      <c r="E44" s="181"/>
      <c r="F44" s="181">
        <v>12</v>
      </c>
      <c r="G44" s="182"/>
      <c r="H44" s="164"/>
      <c r="I44" s="182"/>
      <c r="J44" s="164"/>
      <c r="K44" s="182"/>
      <c r="L44" s="164"/>
      <c r="M44" s="182"/>
      <c r="N44" s="164"/>
      <c r="O44" s="182"/>
      <c r="P44" s="164"/>
      <c r="Q44" s="182"/>
      <c r="R44" s="163" t="s">
        <v>1086</v>
      </c>
    </row>
    <row r="45" spans="1:19">
      <c r="A45" s="175" t="s">
        <v>68</v>
      </c>
      <c r="B45" s="175"/>
      <c r="C45" s="175"/>
      <c r="D45" s="181"/>
      <c r="E45" s="181"/>
      <c r="F45" s="181" t="s">
        <v>1087</v>
      </c>
      <c r="G45" s="182"/>
      <c r="H45" s="187">
        <f>'WS Konsol'!AF245</f>
        <v>1790182139</v>
      </c>
      <c r="I45" s="182"/>
      <c r="J45" s="187">
        <f>'WS Konsol'!BC245</f>
        <v>1508277305</v>
      </c>
      <c r="K45" s="182"/>
      <c r="L45" s="187">
        <f>'WS Konsol'!AI245</f>
        <v>1790182139</v>
      </c>
      <c r="M45" s="182"/>
      <c r="N45" s="187">
        <f>'WS Konsol'!BF245</f>
        <v>1508277305</v>
      </c>
      <c r="O45" s="182"/>
      <c r="P45" s="187">
        <f>'WS Konsol'!BH245</f>
        <v>1486561645</v>
      </c>
      <c r="Q45" s="182"/>
      <c r="R45" s="163" t="s">
        <v>589</v>
      </c>
    </row>
    <row r="46" spans="1:19">
      <c r="A46" s="156" t="s">
        <v>69</v>
      </c>
      <c r="B46" s="156"/>
      <c r="C46" s="156"/>
      <c r="D46" s="162"/>
      <c r="E46" s="162"/>
      <c r="F46" s="162"/>
      <c r="G46" s="180"/>
      <c r="H46" s="179">
        <f>SUM(H26:H45)</f>
        <v>79822156428</v>
      </c>
      <c r="I46" s="180"/>
      <c r="J46" s="179">
        <f>SUM(J26:J45)</f>
        <v>96126711788</v>
      </c>
      <c r="K46" s="180"/>
      <c r="L46" s="179">
        <f>SUM(L26:L45)</f>
        <v>90797471326</v>
      </c>
      <c r="M46" s="180"/>
      <c r="N46" s="179">
        <f>SUM(N26:N45)</f>
        <v>101140341576</v>
      </c>
      <c r="O46" s="180"/>
      <c r="P46" s="179">
        <f>SUM(P26:P45)</f>
        <v>111436730488</v>
      </c>
      <c r="Q46" s="180"/>
      <c r="R46" s="160" t="s">
        <v>1088</v>
      </c>
      <c r="S46" s="160"/>
    </row>
    <row r="47" spans="1:19" hidden="1"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</row>
    <row r="48" spans="1:19" ht="15" thickBot="1">
      <c r="A48" s="156" t="s">
        <v>70</v>
      </c>
      <c r="B48" s="156"/>
      <c r="C48" s="156"/>
      <c r="D48" s="162"/>
      <c r="E48" s="162"/>
      <c r="F48" s="162"/>
      <c r="G48" s="180"/>
      <c r="H48" s="188">
        <f>H22+H46</f>
        <v>347660437458</v>
      </c>
      <c r="I48" s="180"/>
      <c r="J48" s="188">
        <f>J22+J46</f>
        <v>356531626434</v>
      </c>
      <c r="K48" s="180"/>
      <c r="L48" s="188">
        <f>L22+L46</f>
        <v>345325322995</v>
      </c>
      <c r="M48" s="180"/>
      <c r="N48" s="188">
        <f>N22+N46</f>
        <v>307658424230</v>
      </c>
      <c r="O48" s="180"/>
      <c r="P48" s="188">
        <f>ROUNDUP(P22+P46,0)</f>
        <v>262715700578</v>
      </c>
      <c r="Q48" s="180"/>
      <c r="R48" s="160" t="s">
        <v>599</v>
      </c>
      <c r="S48" s="160"/>
    </row>
    <row r="49" spans="1:20" ht="15" thickTop="1"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</row>
    <row r="50" spans="1:20"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</row>
    <row r="51" spans="1:20"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</row>
    <row r="52" spans="1:20">
      <c r="A52" s="156"/>
      <c r="F52" s="162" t="s">
        <v>1054</v>
      </c>
      <c r="G52" s="166"/>
      <c r="H52" s="166"/>
      <c r="I52" s="166"/>
      <c r="J52" s="166"/>
      <c r="K52" s="166"/>
      <c r="L52" s="2408" t="s">
        <v>1299</v>
      </c>
      <c r="M52" s="2408"/>
      <c r="N52" s="2408"/>
      <c r="O52" s="2408"/>
      <c r="P52" s="2408"/>
      <c r="Q52" s="166"/>
      <c r="R52" s="160"/>
    </row>
    <row r="53" spans="1:20">
      <c r="D53" s="162"/>
      <c r="E53" s="162"/>
      <c r="F53" s="168" t="s">
        <v>1055</v>
      </c>
      <c r="G53" s="162"/>
      <c r="H53" s="307">
        <f>H7</f>
        <v>45444</v>
      </c>
      <c r="I53" s="162"/>
      <c r="J53" s="307">
        <f>J7</f>
        <v>45078</v>
      </c>
      <c r="K53" s="162"/>
      <c r="L53" s="170">
        <v>2023</v>
      </c>
      <c r="M53" s="162"/>
      <c r="N53" s="170" t="s">
        <v>1056</v>
      </c>
      <c r="O53" s="162"/>
      <c r="P53" s="189">
        <v>2021</v>
      </c>
      <c r="Q53" s="162"/>
    </row>
    <row r="54" spans="1:20">
      <c r="A54" s="156" t="s">
        <v>71</v>
      </c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0" t="s">
        <v>1090</v>
      </c>
    </row>
    <row r="55" spans="1:20">
      <c r="A55" s="156" t="s">
        <v>1091</v>
      </c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0" t="s">
        <v>1092</v>
      </c>
    </row>
    <row r="56" spans="1:20">
      <c r="A56" s="156" t="s">
        <v>1093</v>
      </c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0" t="s">
        <v>1094</v>
      </c>
    </row>
    <row r="57" spans="1:20">
      <c r="A57" s="157" t="s">
        <v>744</v>
      </c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76" t="s">
        <v>1334</v>
      </c>
    </row>
    <row r="58" spans="1:20">
      <c r="A58" s="157" t="s">
        <v>1335</v>
      </c>
      <c r="F58" s="158">
        <v>13</v>
      </c>
      <c r="G58" s="164"/>
      <c r="H58" s="794">
        <f>'WS Konsol'!AF417+'WS Konsol'!AF422+'WS Konsol'!AF425</f>
        <v>14186291754</v>
      </c>
      <c r="I58" s="794"/>
      <c r="J58" s="794">
        <f>'WS Konsol'!BC417+'WS Konsol'!BC422+'WS Konsol'!BC425</f>
        <v>47195337849</v>
      </c>
      <c r="K58" s="794"/>
      <c r="L58" s="794">
        <f>'WS Konsol'!AI417+'WS Konsol'!AI422+'WS Konsol'!AI425</f>
        <v>20407901137</v>
      </c>
      <c r="M58" s="794"/>
      <c r="N58" s="794">
        <f>'WS Konsol'!BF417+'WS Konsol'!BF422+'WS Konsol'!BF425</f>
        <v>12347357380</v>
      </c>
      <c r="O58" s="794"/>
      <c r="P58" s="794">
        <f>'WS Konsol'!BH417+'WS Konsol'!BH422+'WS Konsol'!BH425</f>
        <v>14116621585</v>
      </c>
      <c r="Q58" s="164"/>
      <c r="R58" s="163" t="s">
        <v>1080</v>
      </c>
    </row>
    <row r="59" spans="1:20">
      <c r="A59" s="157" t="s">
        <v>825</v>
      </c>
      <c r="F59" s="153"/>
      <c r="G59" s="164"/>
      <c r="H59" s="190"/>
      <c r="I59" s="164"/>
      <c r="J59" s="190"/>
      <c r="K59" s="164"/>
      <c r="L59" s="190"/>
      <c r="M59" s="164"/>
      <c r="N59" s="190"/>
      <c r="O59" s="173"/>
      <c r="P59" s="190"/>
      <c r="Q59" s="164"/>
      <c r="R59" s="163" t="s">
        <v>824</v>
      </c>
    </row>
    <row r="60" spans="1:20" hidden="1">
      <c r="B60" s="157" t="s">
        <v>1063</v>
      </c>
      <c r="F60" s="158">
        <v>14</v>
      </c>
      <c r="G60" s="173"/>
      <c r="H60" s="172"/>
      <c r="I60" s="173"/>
      <c r="J60" s="172"/>
      <c r="K60" s="173"/>
      <c r="L60" s="172"/>
      <c r="M60" s="173"/>
      <c r="N60" s="172"/>
      <c r="O60" s="173"/>
      <c r="P60" s="172"/>
      <c r="Q60" s="173"/>
      <c r="S60" s="163" t="s">
        <v>1064</v>
      </c>
    </row>
    <row r="61" spans="1:20">
      <c r="A61" s="157" t="s">
        <v>76</v>
      </c>
      <c r="F61" s="158">
        <v>19</v>
      </c>
      <c r="G61" s="164"/>
      <c r="H61" s="794">
        <f>'WS Konsol'!AF288-H69</f>
        <v>207371015601</v>
      </c>
      <c r="I61" s="794"/>
      <c r="J61" s="794">
        <f>'WS Konsol'!BC288</f>
        <v>166123612313</v>
      </c>
      <c r="K61" s="794"/>
      <c r="L61" s="794">
        <f>'WS Konsol'!AI288-L69</f>
        <v>195441714689</v>
      </c>
      <c r="M61" s="794"/>
      <c r="N61" s="794">
        <f>'WS Konsol'!BF288</f>
        <v>155339616431</v>
      </c>
      <c r="O61" s="794"/>
      <c r="P61" s="794">
        <f>'WS Konsol'!BH288</f>
        <v>110815447741</v>
      </c>
      <c r="Q61" s="164"/>
      <c r="R61" s="163" t="s">
        <v>1098</v>
      </c>
      <c r="T61" s="593">
        <f>L61-H61</f>
        <v>-11929300912</v>
      </c>
    </row>
    <row r="62" spans="1:20">
      <c r="A62" s="157" t="s">
        <v>77</v>
      </c>
      <c r="F62" s="158">
        <v>15</v>
      </c>
      <c r="G62" s="164"/>
      <c r="H62" s="164">
        <f>'WS Konsol'!AF467-H66</f>
        <v>4322494743</v>
      </c>
      <c r="I62" s="164"/>
      <c r="J62" s="164">
        <f>'WS Konsol'!BC467-J66</f>
        <v>8217143369</v>
      </c>
      <c r="K62" s="164"/>
      <c r="L62" s="164">
        <f>'WS Konsol'!AI467-L66</f>
        <v>2870843988</v>
      </c>
      <c r="M62" s="164"/>
      <c r="N62" s="164">
        <f>'WS Konsol'!BF467-N66+1</f>
        <v>5031429971</v>
      </c>
      <c r="O62" s="164"/>
      <c r="P62" s="164">
        <f>'WS Konsol'!BH467-P66-2</f>
        <v>5655591014</v>
      </c>
      <c r="Q62" s="164"/>
      <c r="R62" s="163" t="s">
        <v>790</v>
      </c>
    </row>
    <row r="63" spans="1:20">
      <c r="A63" s="157" t="s">
        <v>217</v>
      </c>
      <c r="F63" s="158" t="s">
        <v>1099</v>
      </c>
      <c r="G63" s="164"/>
      <c r="H63" s="164">
        <f>'WS Konsol'!AF453</f>
        <v>404042742</v>
      </c>
      <c r="I63" s="164"/>
      <c r="J63" s="164">
        <f>'WS Konsol'!BC453</f>
        <v>2317673499</v>
      </c>
      <c r="K63" s="164"/>
      <c r="L63" s="164">
        <f>'WS Konsol'!AI453</f>
        <v>2863697915</v>
      </c>
      <c r="M63" s="164"/>
      <c r="N63" s="164">
        <f>'WS Konsol'!BF453</f>
        <v>2152621331</v>
      </c>
      <c r="O63" s="164"/>
      <c r="P63" s="164">
        <f>'WS Konsol'!BH453</f>
        <v>712242589</v>
      </c>
      <c r="Q63" s="164"/>
      <c r="R63" s="163" t="s">
        <v>1100</v>
      </c>
    </row>
    <row r="64" spans="1:20">
      <c r="A64" s="157" t="s">
        <v>1101</v>
      </c>
      <c r="B64" s="153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</row>
    <row r="65" spans="1:20">
      <c r="A65" s="157" t="s">
        <v>1103</v>
      </c>
      <c r="B65" s="153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3" t="s">
        <v>1336</v>
      </c>
    </row>
    <row r="66" spans="1:20">
      <c r="B66" s="157" t="s">
        <v>82</v>
      </c>
      <c r="F66" s="158">
        <v>16</v>
      </c>
      <c r="G66" s="164"/>
      <c r="H66" s="174">
        <f>'WS Konsol'!AF463</f>
        <v>38822068</v>
      </c>
      <c r="I66" s="164"/>
      <c r="J66" s="174">
        <f>'WS Konsol'!BC463</f>
        <v>34780634</v>
      </c>
      <c r="K66" s="164"/>
      <c r="L66" s="174">
        <f>'WS Konsol'!AI463</f>
        <v>76360023</v>
      </c>
      <c r="M66" s="164"/>
      <c r="N66" s="174">
        <f>'WS Konsol'!BF463</f>
        <v>67475296</v>
      </c>
      <c r="O66" s="164"/>
      <c r="P66" s="174">
        <f>'WS Konsol'!BH463</f>
        <v>0</v>
      </c>
      <c r="Q66" s="174"/>
      <c r="S66" s="163" t="s">
        <v>1120</v>
      </c>
      <c r="T66" s="853"/>
    </row>
    <row r="67" spans="1:20">
      <c r="B67" s="157" t="s">
        <v>1106</v>
      </c>
      <c r="G67" s="164"/>
      <c r="H67" s="174"/>
      <c r="I67" s="164"/>
      <c r="J67" s="174"/>
      <c r="K67" s="164"/>
      <c r="L67" s="174"/>
      <c r="M67" s="164"/>
      <c r="N67" s="174"/>
      <c r="O67" s="164"/>
      <c r="P67" s="174"/>
      <c r="Q67" s="174"/>
      <c r="S67" s="163" t="s">
        <v>1107</v>
      </c>
    </row>
    <row r="68" spans="1:20">
      <c r="B68" s="157" t="s">
        <v>771</v>
      </c>
      <c r="F68" s="158">
        <v>17</v>
      </c>
      <c r="G68" s="164"/>
      <c r="H68" s="174">
        <f>'WS Konsol'!AF470</f>
        <v>0</v>
      </c>
      <c r="I68" s="164"/>
      <c r="J68" s="174">
        <f>'WS Konsol'!BC470</f>
        <v>3533493723</v>
      </c>
      <c r="K68" s="164"/>
      <c r="L68" s="174">
        <f>'WS Konsol'!AI470</f>
        <v>624277457</v>
      </c>
      <c r="M68" s="164"/>
      <c r="N68" s="174">
        <f>'WS Konsol'!BF470</f>
        <v>3539216266</v>
      </c>
      <c r="O68" s="164"/>
      <c r="P68" s="174">
        <f>'WS Konsol'!BH470</f>
        <v>0</v>
      </c>
      <c r="Q68" s="174"/>
      <c r="S68" s="163" t="s">
        <v>1108</v>
      </c>
    </row>
    <row r="69" spans="1:20">
      <c r="A69" s="153"/>
      <c r="B69" s="157" t="s">
        <v>76</v>
      </c>
      <c r="F69" s="158">
        <v>19</v>
      </c>
      <c r="G69" s="164"/>
      <c r="H69" s="174">
        <f>'WS Konsol'!AF278</f>
        <v>1869894064</v>
      </c>
      <c r="I69" s="164"/>
      <c r="J69" s="191">
        <f>'WS Konsol'!BC472</f>
        <v>6824412708</v>
      </c>
      <c r="K69" s="164"/>
      <c r="L69" s="174">
        <f>'WS Konsol'!AI278</f>
        <v>3807894064</v>
      </c>
      <c r="M69" s="164"/>
      <c r="N69" s="191">
        <f>'WS Konsol'!BF472</f>
        <v>3403633332</v>
      </c>
      <c r="O69" s="164"/>
      <c r="P69" s="191">
        <f>'WS Konsol'!BH472</f>
        <v>3403633332</v>
      </c>
      <c r="Q69" s="164"/>
      <c r="R69" s="154"/>
      <c r="S69" s="163" t="s">
        <v>1098</v>
      </c>
    </row>
    <row r="70" spans="1:20">
      <c r="G70" s="164"/>
      <c r="H70" s="192"/>
      <c r="I70" s="164"/>
      <c r="J70" s="192"/>
      <c r="K70" s="164"/>
      <c r="L70" s="192"/>
      <c r="M70" s="164"/>
      <c r="N70" s="190"/>
      <c r="O70" s="164"/>
      <c r="P70" s="190"/>
      <c r="Q70" s="164"/>
    </row>
    <row r="71" spans="1:20">
      <c r="A71" s="156" t="s">
        <v>84</v>
      </c>
      <c r="B71" s="156"/>
      <c r="C71" s="156"/>
      <c r="D71" s="162"/>
      <c r="E71" s="162"/>
      <c r="F71" s="162"/>
      <c r="G71" s="180"/>
      <c r="H71" s="179">
        <f>SUM(H58:H69)</f>
        <v>228192560972</v>
      </c>
      <c r="I71" s="180"/>
      <c r="J71" s="179">
        <f>SUM(J58:J69)</f>
        <v>234246454095</v>
      </c>
      <c r="K71" s="180"/>
      <c r="L71" s="179">
        <f>SUM(L58:L69)</f>
        <v>226092689273</v>
      </c>
      <c r="M71" s="180"/>
      <c r="N71" s="179">
        <f>SUM(N58:N69)</f>
        <v>181881350007</v>
      </c>
      <c r="O71" s="180"/>
      <c r="P71" s="179">
        <f>SUM(P58:P69)</f>
        <v>134703536261</v>
      </c>
      <c r="Q71" s="180"/>
      <c r="R71" s="160" t="s">
        <v>1109</v>
      </c>
      <c r="S71" s="160"/>
    </row>
    <row r="72" spans="1:20"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</row>
    <row r="73" spans="1:20">
      <c r="A73" s="156" t="s">
        <v>1110</v>
      </c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0" t="s">
        <v>1111</v>
      </c>
    </row>
    <row r="74" spans="1:20">
      <c r="A74" s="157" t="s">
        <v>1337</v>
      </c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76" t="s">
        <v>1338</v>
      </c>
    </row>
    <row r="75" spans="1:20">
      <c r="A75" s="157" t="s">
        <v>1339</v>
      </c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76" t="s">
        <v>1115</v>
      </c>
    </row>
    <row r="76" spans="1:20">
      <c r="B76" s="157" t="s">
        <v>87</v>
      </c>
      <c r="F76" s="158">
        <v>14</v>
      </c>
      <c r="G76" s="173"/>
      <c r="H76" s="172">
        <f>SUM('WS Konsol'!AF427:AF432)+'WS Konsol'!AF504</f>
        <v>0</v>
      </c>
      <c r="I76" s="173"/>
      <c r="J76" s="172">
        <f>SUM('WS Konsol'!BC427:BC432)+'WS Konsol'!BC504</f>
        <v>1313271695</v>
      </c>
      <c r="K76" s="173"/>
      <c r="L76" s="172">
        <f>SUM('WS Konsol'!AI427:AI432)+'WS Konsol'!AI504</f>
        <v>595676695</v>
      </c>
      <c r="M76" s="173"/>
      <c r="N76" s="172">
        <f>SUM('WS Konsol'!BF427:BF432)+'WS Konsol'!BF504</f>
        <v>533174595</v>
      </c>
      <c r="O76" s="173"/>
      <c r="P76" s="172">
        <f>SUM('WS Konsol'!BH427:BH432)+'WS Konsol'!BH504</f>
        <v>137349400</v>
      </c>
      <c r="Q76" s="173"/>
      <c r="S76" s="163" t="s">
        <v>1080</v>
      </c>
    </row>
    <row r="77" spans="1:20">
      <c r="B77" s="157" t="s">
        <v>88</v>
      </c>
      <c r="F77" s="158">
        <v>14</v>
      </c>
      <c r="G77" s="164"/>
      <c r="H77" s="164">
        <f>'WS Konsol'!AF424</f>
        <v>0</v>
      </c>
      <c r="I77" s="164"/>
      <c r="J77" s="164">
        <f>'WS Konsol'!BC424</f>
        <v>41000000</v>
      </c>
      <c r="K77" s="164"/>
      <c r="L77" s="164">
        <f>'WS Konsol'!AI424</f>
        <v>41000000</v>
      </c>
      <c r="M77" s="164"/>
      <c r="N77" s="164">
        <f>'WS Konsol'!BF424</f>
        <v>41000000</v>
      </c>
      <c r="O77" s="164"/>
      <c r="P77" s="164">
        <f>'WS Konsol'!BH424</f>
        <v>41000000</v>
      </c>
      <c r="Q77" s="164"/>
      <c r="R77" s="176"/>
      <c r="S77" s="163" t="s">
        <v>1340</v>
      </c>
    </row>
    <row r="78" spans="1:20">
      <c r="B78" s="175" t="s">
        <v>76</v>
      </c>
      <c r="C78" s="175"/>
      <c r="D78" s="181"/>
      <c r="E78" s="181"/>
      <c r="F78" s="158">
        <v>19</v>
      </c>
      <c r="G78" s="182"/>
      <c r="H78" s="174">
        <f>'WS Konsol'!AF494-H79</f>
        <v>0</v>
      </c>
      <c r="I78" s="182"/>
      <c r="J78" s="174">
        <f>'WS Konsol'!BC494-J79</f>
        <v>3403633336</v>
      </c>
      <c r="K78" s="182"/>
      <c r="L78" s="174">
        <f>'WS Konsol'!AI494-L79</f>
        <v>0</v>
      </c>
      <c r="M78" s="182"/>
      <c r="N78" s="174">
        <f>'WS Konsol'!BF494-N79</f>
        <v>8526229378</v>
      </c>
      <c r="O78" s="182"/>
      <c r="P78" s="174">
        <f>'WS Konsol'!BH494-P79</f>
        <v>14285076353</v>
      </c>
      <c r="Q78" s="182"/>
      <c r="S78" s="163" t="s">
        <v>1119</v>
      </c>
    </row>
    <row r="79" spans="1:20">
      <c r="B79" s="157" t="s">
        <v>82</v>
      </c>
      <c r="C79" s="175"/>
      <c r="D79" s="181"/>
      <c r="E79" s="181"/>
      <c r="F79" s="181">
        <v>16</v>
      </c>
      <c r="G79" s="182"/>
      <c r="H79" s="174">
        <f>'WS Konsol'!AF484</f>
        <v>0</v>
      </c>
      <c r="I79" s="182"/>
      <c r="J79" s="174">
        <f>'WS Konsol'!BC484</f>
        <v>76360023</v>
      </c>
      <c r="K79" s="182"/>
      <c r="L79" s="174">
        <f>'WS Konsol'!AI484</f>
        <v>0</v>
      </c>
      <c r="M79" s="182"/>
      <c r="N79" s="174">
        <f>'WS Konsol'!BF484</f>
        <v>76360023</v>
      </c>
      <c r="O79" s="182"/>
      <c r="P79" s="174">
        <f>'WS Konsol'!BH484</f>
        <v>0</v>
      </c>
      <c r="Q79" s="186"/>
      <c r="S79" s="163" t="s">
        <v>1120</v>
      </c>
    </row>
    <row r="80" spans="1:20">
      <c r="B80" s="157" t="s">
        <v>1121</v>
      </c>
      <c r="C80" s="175"/>
      <c r="D80" s="181"/>
      <c r="E80" s="181"/>
      <c r="F80" s="181">
        <v>17</v>
      </c>
      <c r="G80" s="182"/>
      <c r="H80" s="174">
        <v>0</v>
      </c>
      <c r="I80" s="182"/>
      <c r="J80" s="174">
        <f>'WS Konsol'!BC497</f>
        <v>630000000</v>
      </c>
      <c r="K80" s="182"/>
      <c r="L80" s="174">
        <v>0</v>
      </c>
      <c r="M80" s="182"/>
      <c r="N80" s="174">
        <f>'WS Konsol'!BF497</f>
        <v>624277457</v>
      </c>
      <c r="O80" s="182"/>
      <c r="P80" s="174">
        <f>'WS Konsol'!BH497</f>
        <v>4125675035</v>
      </c>
      <c r="Q80" s="186"/>
      <c r="S80" s="163" t="s">
        <v>1122</v>
      </c>
    </row>
    <row r="81" spans="1:19">
      <c r="A81" s="175" t="s">
        <v>1341</v>
      </c>
      <c r="B81" s="175"/>
      <c r="C81" s="175"/>
      <c r="D81" s="181"/>
      <c r="E81" s="181"/>
      <c r="F81" s="181">
        <v>20</v>
      </c>
      <c r="G81" s="182"/>
      <c r="H81" s="187">
        <f>'WS Konsol'!AF481</f>
        <v>9301883257</v>
      </c>
      <c r="I81" s="182"/>
      <c r="J81" s="187">
        <f>'WS Konsol'!BC481</f>
        <v>8419134989</v>
      </c>
      <c r="K81" s="182"/>
      <c r="L81" s="187">
        <f>'WS Konsol'!AI481</f>
        <v>9301883257</v>
      </c>
      <c r="M81" s="182"/>
      <c r="N81" s="187">
        <f>'WS Konsol'!BF481</f>
        <v>8419134989</v>
      </c>
      <c r="O81" s="182"/>
      <c r="P81" s="187">
        <f>'WS Konsol'!BH481</f>
        <v>8346918827</v>
      </c>
      <c r="Q81" s="182"/>
      <c r="R81" s="163" t="s">
        <v>1342</v>
      </c>
    </row>
    <row r="82" spans="1:19" hidden="1"/>
    <row r="83" spans="1:19" hidden="1">
      <c r="G83" s="164"/>
      <c r="H83" s="172"/>
      <c r="I83" s="164"/>
      <c r="J83" s="172"/>
      <c r="K83" s="164"/>
      <c r="L83" s="172"/>
      <c r="M83" s="164"/>
      <c r="N83" s="172"/>
      <c r="O83" s="164"/>
      <c r="P83" s="172"/>
      <c r="Q83" s="164"/>
    </row>
    <row r="84" spans="1:19" hidden="1">
      <c r="G84" s="173"/>
      <c r="H84" s="172"/>
      <c r="I84" s="173"/>
      <c r="J84" s="172"/>
      <c r="K84" s="173"/>
      <c r="L84" s="172"/>
      <c r="M84" s="173"/>
      <c r="N84" s="172"/>
      <c r="O84" s="173"/>
      <c r="P84" s="172"/>
      <c r="Q84" s="173"/>
    </row>
    <row r="85" spans="1:19">
      <c r="A85" s="156" t="s">
        <v>91</v>
      </c>
      <c r="G85" s="164"/>
      <c r="H85" s="179">
        <f>SUM(H76:H82)</f>
        <v>9301883257</v>
      </c>
      <c r="I85" s="164"/>
      <c r="J85" s="179">
        <f>SUM(J76:J82)</f>
        <v>13883400043</v>
      </c>
      <c r="K85" s="164"/>
      <c r="L85" s="179">
        <f>SUM(L76:L82)</f>
        <v>9938559952</v>
      </c>
      <c r="M85" s="164"/>
      <c r="N85" s="179">
        <f>SUM(N76:N82)</f>
        <v>18220176442</v>
      </c>
      <c r="O85" s="164"/>
      <c r="P85" s="179">
        <f>SUM(P76:P82)</f>
        <v>26936019615</v>
      </c>
      <c r="Q85" s="164"/>
      <c r="R85" s="160" t="s">
        <v>1125</v>
      </c>
    </row>
    <row r="86" spans="1:19">
      <c r="A86" s="156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0"/>
    </row>
    <row r="87" spans="1:19">
      <c r="A87" s="156" t="s">
        <v>92</v>
      </c>
      <c r="B87" s="156"/>
      <c r="C87" s="156"/>
      <c r="D87" s="162"/>
      <c r="E87" s="162"/>
      <c r="F87" s="162"/>
      <c r="G87" s="180"/>
      <c r="H87" s="179">
        <f>H71+H85</f>
        <v>237494444229</v>
      </c>
      <c r="I87" s="180"/>
      <c r="J87" s="179">
        <f>J71+J85</f>
        <v>248129854138</v>
      </c>
      <c r="K87" s="180"/>
      <c r="L87" s="179">
        <f>L71+L85</f>
        <v>236031249225</v>
      </c>
      <c r="M87" s="180"/>
      <c r="N87" s="179">
        <f>N71+N85</f>
        <v>200101526449</v>
      </c>
      <c r="O87" s="180"/>
      <c r="P87" s="179">
        <f>P71+P85</f>
        <v>161639555876</v>
      </c>
      <c r="Q87" s="180"/>
      <c r="R87" s="160" t="s">
        <v>1126</v>
      </c>
      <c r="S87" s="160"/>
    </row>
    <row r="88" spans="1:19">
      <c r="A88" s="156"/>
      <c r="G88" s="164"/>
      <c r="H88" s="164"/>
      <c r="I88" s="164"/>
      <c r="J88" s="164">
        <f>J87-'WS Konsol'!BC506</f>
        <v>0</v>
      </c>
      <c r="K88" s="164"/>
      <c r="L88" s="164"/>
      <c r="M88" s="164"/>
      <c r="N88" s="164"/>
      <c r="O88" s="164"/>
      <c r="P88" s="164"/>
      <c r="Q88" s="164"/>
      <c r="R88" s="160"/>
    </row>
    <row r="89" spans="1:19">
      <c r="A89" s="156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0"/>
    </row>
    <row r="90" spans="1:19">
      <c r="A90" s="156"/>
      <c r="F90" s="162" t="s">
        <v>1054</v>
      </c>
      <c r="G90" s="2402"/>
      <c r="H90" s="2402"/>
      <c r="I90" s="2402"/>
      <c r="J90" s="2402"/>
      <c r="K90" s="2402"/>
      <c r="L90" s="2407"/>
      <c r="M90" s="164"/>
      <c r="N90" s="2408" t="s">
        <v>49</v>
      </c>
      <c r="O90" s="2408"/>
      <c r="P90" s="2408"/>
      <c r="Q90" s="2408"/>
      <c r="R90" s="160"/>
    </row>
    <row r="91" spans="1:19">
      <c r="A91" s="156"/>
      <c r="F91" s="168" t="s">
        <v>1055</v>
      </c>
      <c r="G91" s="162"/>
      <c r="H91" s="307">
        <f>H7</f>
        <v>45444</v>
      </c>
      <c r="I91" s="162"/>
      <c r="J91" s="307">
        <f>J7</f>
        <v>45078</v>
      </c>
      <c r="K91" s="162"/>
      <c r="L91" s="170" t="str">
        <f>L7</f>
        <v>2023</v>
      </c>
      <c r="M91" s="162"/>
      <c r="N91" s="167" t="s">
        <v>1056</v>
      </c>
      <c r="O91" s="162"/>
      <c r="P91" s="171" t="s">
        <v>135</v>
      </c>
      <c r="Q91" s="162"/>
      <c r="R91" s="160"/>
    </row>
    <row r="92" spans="1:19">
      <c r="A92" s="156"/>
      <c r="G92" s="164"/>
      <c r="H92" s="164"/>
      <c r="I92" s="164"/>
      <c r="J92" s="164"/>
      <c r="K92" s="164"/>
      <c r="L92" s="164"/>
      <c r="M92" s="164"/>
      <c r="N92" s="164"/>
      <c r="O92" s="164"/>
      <c r="Q92" s="164"/>
      <c r="R92" s="160"/>
    </row>
    <row r="93" spans="1:19">
      <c r="A93" s="156" t="s">
        <v>1131</v>
      </c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0" t="s">
        <v>828</v>
      </c>
    </row>
    <row r="94" spans="1:19">
      <c r="A94" s="157" t="s">
        <v>1132</v>
      </c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76" t="s">
        <v>1343</v>
      </c>
      <c r="S94" s="176"/>
    </row>
    <row r="95" spans="1:19">
      <c r="A95" s="157" t="s">
        <v>1134</v>
      </c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64"/>
      <c r="R95" s="176" t="s">
        <v>1135</v>
      </c>
      <c r="S95" s="176"/>
    </row>
    <row r="96" spans="1:19">
      <c r="A96" s="153"/>
      <c r="B96" s="157" t="s">
        <v>1344</v>
      </c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64"/>
      <c r="R96" s="153"/>
      <c r="S96" s="193" t="s">
        <v>1345</v>
      </c>
    </row>
    <row r="97" spans="1:21">
      <c r="A97" s="153"/>
      <c r="B97" s="157" t="s">
        <v>1346</v>
      </c>
      <c r="F97" s="158">
        <v>21</v>
      </c>
      <c r="G97" s="164"/>
      <c r="H97" s="164">
        <f>'WS Konsol'!AF508-1000000000</f>
        <v>55000000000</v>
      </c>
      <c r="I97" s="164"/>
      <c r="J97" s="164">
        <f>'WS Konsol'!BC508-1000000000</f>
        <v>40000000000</v>
      </c>
      <c r="K97" s="164"/>
      <c r="L97" s="164">
        <f>'WS Konsol'!AI508-1000000000</f>
        <v>40000000000</v>
      </c>
      <c r="M97" s="164"/>
      <c r="N97" s="164">
        <f>'WS Konsol'!BF508-1000000000</f>
        <v>40000000000</v>
      </c>
      <c r="O97" s="164"/>
      <c r="P97" s="164">
        <v>40000000000</v>
      </c>
      <c r="Q97" s="164"/>
      <c r="R97" s="153"/>
      <c r="S97" s="194" t="s">
        <v>1347</v>
      </c>
      <c r="U97" s="593"/>
    </row>
    <row r="98" spans="1:21" hidden="1"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</row>
    <row r="99" spans="1:21">
      <c r="A99" s="157" t="s">
        <v>95</v>
      </c>
      <c r="F99" s="158">
        <v>22</v>
      </c>
      <c r="G99" s="164"/>
      <c r="H99" s="164">
        <f>'WS Konsol'!AF512</f>
        <v>49739416785</v>
      </c>
      <c r="I99" s="164"/>
      <c r="J99" s="164">
        <f>'WS Konsol'!BC512</f>
        <v>49739416785</v>
      </c>
      <c r="K99" s="164"/>
      <c r="L99" s="164">
        <f>'WS Konsol'!AI512</f>
        <v>49739416785</v>
      </c>
      <c r="M99" s="164"/>
      <c r="N99" s="164">
        <f>'WS Konsol'!BF512</f>
        <v>25871690669</v>
      </c>
      <c r="O99" s="164"/>
      <c r="P99" s="164">
        <v>25871690669</v>
      </c>
      <c r="Q99" s="164"/>
      <c r="R99" s="163" t="s">
        <v>1348</v>
      </c>
    </row>
    <row r="100" spans="1:21">
      <c r="A100" s="157" t="s">
        <v>96</v>
      </c>
      <c r="G100" s="164"/>
      <c r="H100" s="186">
        <v>0</v>
      </c>
      <c r="I100" s="164"/>
      <c r="J100" s="186">
        <v>0</v>
      </c>
      <c r="K100" s="164"/>
      <c r="L100" s="186">
        <v>0</v>
      </c>
      <c r="M100" s="164"/>
      <c r="N100" s="186">
        <v>23406501672.86277</v>
      </c>
      <c r="O100" s="164"/>
      <c r="P100" s="164">
        <v>22389615460.398544</v>
      </c>
      <c r="Q100" s="164"/>
      <c r="R100" s="163" t="s">
        <v>1156</v>
      </c>
    </row>
    <row r="101" spans="1:21" hidden="1">
      <c r="A101" s="157" t="s">
        <v>1157</v>
      </c>
      <c r="G101" s="164"/>
      <c r="H101" s="174">
        <f>'[192]WS Des Konsol Update'!Q494</f>
        <v>0</v>
      </c>
      <c r="I101" s="164"/>
      <c r="J101" s="174">
        <v>0</v>
      </c>
      <c r="K101" s="164"/>
      <c r="L101" s="174">
        <v>0</v>
      </c>
      <c r="M101" s="164"/>
      <c r="N101" s="195">
        <v>0</v>
      </c>
      <c r="O101" s="174"/>
      <c r="P101" s="174">
        <v>0</v>
      </c>
      <c r="Q101" s="174"/>
      <c r="R101" s="163" t="s">
        <v>1158</v>
      </c>
    </row>
    <row r="102" spans="1:21">
      <c r="A102" s="157" t="s">
        <v>1349</v>
      </c>
      <c r="F102" s="158">
        <v>29</v>
      </c>
      <c r="G102" s="164"/>
      <c r="H102" s="195">
        <f>'WS Konsol'!AF536</f>
        <v>-377072852</v>
      </c>
      <c r="I102" s="164"/>
      <c r="J102" s="195">
        <f>'WS Konsol'!BC536</f>
        <v>-368797440</v>
      </c>
      <c r="K102" s="164"/>
      <c r="L102" s="195">
        <f>'WS Konsol'!AI536</f>
        <v>-377072852</v>
      </c>
      <c r="M102" s="164"/>
      <c r="N102" s="195">
        <f>'WS Konsol'!BF536</f>
        <v>-368797440</v>
      </c>
      <c r="O102" s="164"/>
      <c r="P102" s="195">
        <v>-611495277</v>
      </c>
      <c r="Q102" s="164"/>
      <c r="R102" s="163" t="s">
        <v>1047</v>
      </c>
    </row>
    <row r="103" spans="1:21">
      <c r="A103" s="157" t="s">
        <v>98</v>
      </c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3" t="s">
        <v>1350</v>
      </c>
    </row>
    <row r="104" spans="1:21">
      <c r="B104" s="157" t="s">
        <v>223</v>
      </c>
      <c r="F104" s="158" t="s">
        <v>1160</v>
      </c>
      <c r="G104" s="164"/>
      <c r="H104" s="164">
        <f>L104</f>
        <v>410000000</v>
      </c>
      <c r="I104" s="164"/>
      <c r="J104" s="164">
        <f>400000000+10000000</f>
        <v>410000000</v>
      </c>
      <c r="K104" s="164"/>
      <c r="L104" s="164">
        <f>N104</f>
        <v>410000000</v>
      </c>
      <c r="M104" s="164"/>
      <c r="N104" s="164">
        <f>400000000+10000000</f>
        <v>410000000</v>
      </c>
      <c r="O104" s="164"/>
      <c r="P104" s="186">
        <v>0</v>
      </c>
      <c r="Q104" s="174"/>
      <c r="S104" s="176" t="s">
        <v>1161</v>
      </c>
    </row>
    <row r="105" spans="1:21">
      <c r="A105" s="300"/>
      <c r="B105" s="300" t="s">
        <v>1162</v>
      </c>
      <c r="C105" s="300"/>
      <c r="D105" s="301"/>
      <c r="E105" s="301"/>
      <c r="F105" s="301" t="s">
        <v>1160</v>
      </c>
      <c r="G105" s="302"/>
      <c r="H105" s="306">
        <f>'WS Konsol'!AF525-'WS Konsol'!Z525+'WS Konsol'!Z525+'WS Konsol'!Z508-H104</f>
        <v>5393649296</v>
      </c>
      <c r="I105" s="302"/>
      <c r="J105" s="306">
        <f>'WS Konsol'!BC525-'WS Konsol'!AW525+'WS Konsol'!AW525+'WS Konsol'!AW508-J104</f>
        <v>18621152951</v>
      </c>
      <c r="K105" s="302"/>
      <c r="L105" s="966">
        <v>19521729837</v>
      </c>
      <c r="M105" s="302"/>
      <c r="N105" s="303">
        <v>18237502879</v>
      </c>
      <c r="O105" s="302"/>
      <c r="P105" s="303">
        <f>ROUNDDOWN(13426333849.6015,0)</f>
        <v>13426333849</v>
      </c>
      <c r="Q105" s="302"/>
      <c r="R105" s="304"/>
      <c r="S105" s="305" t="s">
        <v>1163</v>
      </c>
      <c r="T105" s="458" t="s">
        <v>1351</v>
      </c>
    </row>
    <row r="106" spans="1:21">
      <c r="G106" s="164"/>
      <c r="H106" s="164"/>
      <c r="I106" s="164"/>
      <c r="J106" s="164"/>
      <c r="K106" s="164"/>
      <c r="L106" s="196"/>
      <c r="M106" s="164"/>
      <c r="N106" s="196"/>
      <c r="O106" s="164"/>
      <c r="P106" s="196"/>
      <c r="Q106" s="164"/>
      <c r="R106" s="176"/>
      <c r="T106" s="121">
        <f>'PL Konsol'!L29</f>
        <v>844874515</v>
      </c>
    </row>
    <row r="107" spans="1:21">
      <c r="A107" s="156" t="s">
        <v>101</v>
      </c>
      <c r="B107" s="156"/>
      <c r="C107" s="156"/>
      <c r="D107" s="162"/>
      <c r="E107" s="162"/>
      <c r="F107" s="162"/>
      <c r="G107" s="180"/>
      <c r="H107" s="179">
        <f>SUM(H96:H105)</f>
        <v>110165993229</v>
      </c>
      <c r="I107" s="180"/>
      <c r="J107" s="179">
        <f>SUM(J96:J105)</f>
        <v>108401772296</v>
      </c>
      <c r="K107" s="180"/>
      <c r="L107" s="179">
        <f>SUM(L96:L105)</f>
        <v>109294073770</v>
      </c>
      <c r="M107" s="180"/>
      <c r="N107" s="179">
        <f>SUM(N96:N105)</f>
        <v>107556897780.86276</v>
      </c>
      <c r="O107" s="180"/>
      <c r="P107" s="179">
        <f>SUM(P96:P105)</f>
        <v>101076144701.39854</v>
      </c>
      <c r="Q107" s="180"/>
      <c r="R107" s="160" t="s">
        <v>1164</v>
      </c>
      <c r="S107" s="160"/>
      <c r="T107" s="121">
        <f>SUM(J97:J106)</f>
        <v>108401772296</v>
      </c>
    </row>
    <row r="108" spans="1:21"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T108" s="853">
        <f>T107-T106</f>
        <v>107556897781</v>
      </c>
    </row>
    <row r="109" spans="1:21">
      <c r="A109" s="156" t="s">
        <v>1352</v>
      </c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97" t="s">
        <v>1353</v>
      </c>
      <c r="T109" s="121">
        <v>108018122224</v>
      </c>
    </row>
    <row r="110" spans="1:21" ht="15" thickBot="1">
      <c r="A110" s="156" t="s">
        <v>1131</v>
      </c>
      <c r="B110" s="156"/>
      <c r="C110" s="156"/>
      <c r="D110" s="162"/>
      <c r="E110" s="162"/>
      <c r="F110" s="162"/>
      <c r="G110" s="180"/>
      <c r="H110" s="188">
        <f>H87+H107</f>
        <v>347660437458</v>
      </c>
      <c r="I110" s="180"/>
      <c r="J110" s="188">
        <f>J87+J107</f>
        <v>356531626434</v>
      </c>
      <c r="K110" s="180"/>
      <c r="L110" s="188">
        <f>L87+L107</f>
        <v>345325322995</v>
      </c>
      <c r="M110" s="180"/>
      <c r="N110" s="188">
        <f>N87+N107</f>
        <v>307658424229.86279</v>
      </c>
      <c r="O110" s="180"/>
      <c r="P110" s="188">
        <f>ROUNDUP(P87+P107,0)</f>
        <v>262715700578</v>
      </c>
      <c r="Q110" s="180"/>
      <c r="R110" s="160" t="s">
        <v>1354</v>
      </c>
      <c r="S110" s="160"/>
      <c r="T110" s="853">
        <f>T108-T109</f>
        <v>-461224443</v>
      </c>
    </row>
    <row r="111" spans="1:21" ht="15" thickTop="1"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</row>
    <row r="112" spans="1:21" hidden="1">
      <c r="A112" s="157" t="s">
        <v>1166</v>
      </c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</row>
    <row r="113" spans="3:19">
      <c r="C113" s="198">
        <f>'[192]WS Des Konsol Update'!K245</f>
        <v>345325322995</v>
      </c>
      <c r="G113" s="164"/>
      <c r="H113" s="164">
        <f>H48</f>
        <v>347660437458</v>
      </c>
      <c r="I113" s="164"/>
      <c r="J113" s="164">
        <f>J48</f>
        <v>356531626434</v>
      </c>
      <c r="K113" s="164"/>
      <c r="L113" s="164">
        <f>L48</f>
        <v>345325322995</v>
      </c>
      <c r="M113" s="164"/>
      <c r="N113" s="164">
        <f>N48</f>
        <v>307658424230</v>
      </c>
      <c r="O113" s="164"/>
      <c r="P113" s="164">
        <f>P48</f>
        <v>262715700578</v>
      </c>
      <c r="Q113" s="164"/>
    </row>
    <row r="114" spans="3:19">
      <c r="C114" s="199" t="s">
        <v>1167</v>
      </c>
      <c r="D114" s="200"/>
      <c r="E114" s="200"/>
      <c r="F114" s="200"/>
      <c r="G114" s="202"/>
      <c r="H114" s="201">
        <f>'WS Konsol'!AF539</f>
        <v>347660437458</v>
      </c>
      <c r="I114" s="202"/>
      <c r="J114" s="201">
        <f>'WS Konsol'!BC539</f>
        <v>356531626434</v>
      </c>
      <c r="K114" s="202"/>
      <c r="L114" s="201">
        <f>'WS Konsol'!AI539</f>
        <v>345325322995</v>
      </c>
      <c r="M114" s="202"/>
      <c r="N114" s="201">
        <f>'WS Konsol'!BF539</f>
        <v>307658424229</v>
      </c>
      <c r="O114" s="202"/>
      <c r="P114" s="201">
        <f>'WS Konsol'!BH539</f>
        <v>262715700580</v>
      </c>
      <c r="Q114" s="202"/>
      <c r="S114" s="161"/>
    </row>
    <row r="115" spans="3:19">
      <c r="C115" s="203">
        <f>C113-L110</f>
        <v>0</v>
      </c>
      <c r="G115" s="164"/>
      <c r="H115" s="164">
        <f>H110-H48</f>
        <v>0</v>
      </c>
      <c r="I115" s="164"/>
      <c r="J115" s="164">
        <f>J110-J48</f>
        <v>0</v>
      </c>
      <c r="K115" s="164"/>
      <c r="L115" s="164">
        <f>L110-L48</f>
        <v>0</v>
      </c>
      <c r="M115" s="164"/>
      <c r="N115" s="164">
        <f>N110-N48</f>
        <v>-0.13720703125</v>
      </c>
      <c r="O115" s="164"/>
      <c r="P115" s="164">
        <f>P110-P48</f>
        <v>0</v>
      </c>
      <c r="Q115" s="164"/>
    </row>
    <row r="116" spans="3:19">
      <c r="C116" s="203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</row>
    <row r="117" spans="3:19">
      <c r="L117" s="204"/>
      <c r="N117" s="204"/>
    </row>
    <row r="119" spans="3:19">
      <c r="F119" s="162" t="s">
        <v>1168</v>
      </c>
      <c r="L119" s="205">
        <f>L22/L71</f>
        <v>1.1257677215810611</v>
      </c>
      <c r="N119" s="205">
        <f>N22/N71</f>
        <v>1.1354549691106417</v>
      </c>
      <c r="P119" s="205">
        <f>P22/P71</f>
        <v>1.1230512152025738</v>
      </c>
    </row>
    <row r="120" spans="3:19">
      <c r="F120" s="162" t="s">
        <v>1169</v>
      </c>
      <c r="L120" s="206">
        <f>'[192]PL Konsol'!J36/'[192]BS Konsol'!I55</f>
        <v>6.0550511814925325E-3</v>
      </c>
      <c r="M120" s="206"/>
      <c r="N120" s="206">
        <f>'[192]PL Konsol'!L36/'[192]BS Konsol'!K55</f>
        <v>1.6938164597891839E-2</v>
      </c>
      <c r="O120" s="206"/>
      <c r="P120" s="206">
        <f>'[192]PL Konsol'!N36/'[192]BS Konsol'!M55</f>
        <v>1.2695289867577677E-2</v>
      </c>
    </row>
    <row r="121" spans="3:19">
      <c r="F121" s="162" t="s">
        <v>1170</v>
      </c>
      <c r="L121" s="206">
        <f>'[192]PL Konsol'!J36/'[192]BS Konsol'!I122</f>
        <v>1.9131526832918518E-2</v>
      </c>
      <c r="M121" s="206"/>
      <c r="N121" s="206">
        <f>'[192]PL Konsol'!L36/'[192]BS Konsol'!K122</f>
        <v>4.8450347091140544E-2</v>
      </c>
      <c r="O121" s="206"/>
      <c r="P121" s="206">
        <f>'[192]PL Konsol'!N36/'[192]BS Konsol'!M122</f>
        <v>3.299741973177435E-2</v>
      </c>
    </row>
    <row r="122" spans="3:19">
      <c r="F122" s="162" t="s">
        <v>1171</v>
      </c>
      <c r="L122" s="206">
        <f>'[192]Rasio DSCR'!B15/'[192]PL Konsol'!J11</f>
        <v>0.14662670397085645</v>
      </c>
      <c r="M122" s="205"/>
      <c r="N122" s="206">
        <f>'[192]Rasio DSCR'!D15/'[192]PL Konsol'!L11</f>
        <v>6.1853422356167226E-2</v>
      </c>
      <c r="O122" s="205"/>
      <c r="P122" s="205">
        <f>'[192]Rasio DSCR'!F15/'[192]PL Konsol'!N11</f>
        <v>0</v>
      </c>
    </row>
  </sheetData>
  <mergeCells count="8">
    <mergeCell ref="G90:L90"/>
    <mergeCell ref="N90:Q90"/>
    <mergeCell ref="A1:Q1"/>
    <mergeCell ref="A2:Q2"/>
    <mergeCell ref="A3:Q3"/>
    <mergeCell ref="A4:Q4"/>
    <mergeCell ref="L6:P6"/>
    <mergeCell ref="L52:P5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DE9A-5932-4026-A590-FA29E60CAE56}">
  <sheetPr>
    <tabColor rgb="FFC00000"/>
  </sheetPr>
  <dimension ref="A1:AG1008"/>
  <sheetViews>
    <sheetView showGridLines="0" workbookViewId="0">
      <selection activeCell="AB12" sqref="AB12"/>
    </sheetView>
  </sheetViews>
  <sheetFormatPr defaultRowHeight="14.45" outlineLevelCol="2"/>
  <cols>
    <col min="1" max="2" width="1.5703125" style="483" customWidth="1"/>
    <col min="3" max="3" width="32.42578125" style="483" customWidth="1"/>
    <col min="4" max="4" width="16.42578125" style="476" customWidth="1"/>
    <col min="5" max="5" width="0.5703125" style="483" customWidth="1"/>
    <col min="6" max="6" width="16.140625" style="483" customWidth="1"/>
    <col min="7" max="7" width="0.5703125" style="483" customWidth="1"/>
    <col min="8" max="8" width="16.5703125" style="483" hidden="1" customWidth="1"/>
    <col min="9" max="9" width="2.5703125" style="483" hidden="1" customWidth="1"/>
    <col min="10" max="10" width="16" style="483" hidden="1" customWidth="1"/>
    <col min="11" max="11" width="2.5703125" style="483" hidden="1" customWidth="1"/>
    <col min="12" max="12" width="33.5703125" style="483" hidden="1" customWidth="1" outlineLevel="1"/>
    <col min="13" max="13" width="0.5703125" style="483" hidden="1" customWidth="1" outlineLevel="1"/>
    <col min="14" max="14" width="14.5703125" style="483" hidden="1" customWidth="1" outlineLevel="1"/>
    <col min="15" max="15" width="0.5703125" style="483" hidden="1" customWidth="1" outlineLevel="1"/>
    <col min="16" max="16" width="16.140625" style="483" customWidth="1" outlineLevel="2"/>
    <col min="17" max="17" width="0.5703125" style="483" hidden="1" customWidth="1" outlineLevel="2"/>
    <col min="18" max="20" width="3.42578125" style="483" hidden="1" customWidth="1" outlineLevel="2"/>
    <col min="21" max="21" width="0.5703125" style="483" hidden="1" customWidth="1"/>
    <col min="22" max="22" width="16.5703125" style="483" hidden="1" customWidth="1"/>
    <col min="23" max="23" width="1.5703125" style="483" customWidth="1"/>
    <col min="24" max="27" width="1.5703125" style="464" customWidth="1"/>
    <col min="28" max="28" width="16.5703125" style="464" customWidth="1"/>
    <col min="29" max="29" width="12.5703125" style="483" customWidth="1"/>
    <col min="32" max="32" width="11" bestFit="1" customWidth="1"/>
    <col min="33" max="33" width="11.42578125" bestFit="1" customWidth="1"/>
  </cols>
  <sheetData>
    <row r="1" spans="1:29">
      <c r="A1" s="460" t="s">
        <v>17</v>
      </c>
      <c r="B1" s="461"/>
      <c r="C1" s="461"/>
      <c r="D1" s="462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3"/>
      <c r="S1" s="461"/>
      <c r="T1" s="463"/>
      <c r="U1" s="461"/>
      <c r="V1" s="463"/>
      <c r="W1" s="461"/>
      <c r="AC1" s="461"/>
    </row>
    <row r="2" spans="1:29">
      <c r="A2" s="461" t="s">
        <v>1355</v>
      </c>
      <c r="B2" s="461"/>
      <c r="C2" s="461"/>
      <c r="D2" s="462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3"/>
      <c r="S2" s="461"/>
      <c r="T2" s="463"/>
      <c r="U2" s="461"/>
      <c r="V2" s="463"/>
      <c r="W2" s="461"/>
      <c r="AC2" s="461"/>
    </row>
    <row r="3" spans="1:29">
      <c r="A3" s="461" t="s">
        <v>1356</v>
      </c>
      <c r="B3" s="461"/>
      <c r="C3" s="461"/>
      <c r="D3" s="462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3"/>
      <c r="S3" s="461"/>
      <c r="T3" s="463"/>
      <c r="U3" s="461"/>
      <c r="V3" s="463"/>
      <c r="W3" s="461"/>
      <c r="AC3" s="461"/>
    </row>
    <row r="4" spans="1:29">
      <c r="A4" s="461" t="s">
        <v>1357</v>
      </c>
      <c r="B4" s="461"/>
      <c r="C4" s="461"/>
      <c r="D4" s="462"/>
      <c r="E4" s="461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3"/>
      <c r="S4" s="461"/>
      <c r="T4" s="463"/>
      <c r="U4" s="461"/>
      <c r="V4" s="463"/>
      <c r="W4" s="461"/>
      <c r="AC4" s="461"/>
    </row>
    <row r="5" spans="1:29">
      <c r="A5" s="461"/>
      <c r="B5" s="461"/>
      <c r="C5" s="461"/>
      <c r="D5" s="462"/>
      <c r="E5" s="461"/>
      <c r="F5" s="461"/>
      <c r="G5" s="461"/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3"/>
      <c r="S5" s="461"/>
      <c r="T5" s="463"/>
      <c r="U5" s="461"/>
      <c r="V5" s="463"/>
      <c r="W5" s="461"/>
      <c r="AC5" s="461"/>
    </row>
    <row r="6" spans="1:29" ht="12" customHeight="1">
      <c r="A6" s="461"/>
      <c r="B6" s="461"/>
      <c r="C6" s="461"/>
      <c r="D6" s="465" t="s">
        <v>1054</v>
      </c>
      <c r="E6" s="461"/>
      <c r="F6" s="2409"/>
      <c r="G6" s="2410"/>
      <c r="H6" s="2410"/>
      <c r="I6" s="2410"/>
      <c r="J6" s="2410"/>
      <c r="K6" s="2410"/>
      <c r="L6" s="2410"/>
      <c r="M6" s="2410"/>
      <c r="N6" s="2410"/>
      <c r="O6" s="2410"/>
      <c r="P6" s="2410"/>
      <c r="Q6" s="2410"/>
      <c r="R6" s="2410"/>
      <c r="S6" s="2410"/>
      <c r="T6" s="2410"/>
      <c r="U6" s="166"/>
      <c r="V6" s="165"/>
      <c r="W6" s="461"/>
      <c r="AC6" s="461"/>
    </row>
    <row r="7" spans="1:29" ht="12" customHeight="1">
      <c r="A7" s="461"/>
      <c r="B7" s="461"/>
      <c r="C7" s="461"/>
      <c r="D7" s="466" t="s">
        <v>1055</v>
      </c>
      <c r="E7" s="461"/>
      <c r="F7" s="1238">
        <v>2024</v>
      </c>
      <c r="G7" s="461"/>
      <c r="H7" s="1237">
        <v>45536</v>
      </c>
      <c r="I7" s="1183"/>
      <c r="J7" s="1237">
        <v>45170</v>
      </c>
      <c r="K7" s="461"/>
      <c r="L7" s="1237">
        <v>45444</v>
      </c>
      <c r="M7" s="1183"/>
      <c r="N7" s="1237">
        <v>45078</v>
      </c>
      <c r="O7" s="461"/>
      <c r="P7" s="466">
        <v>2023</v>
      </c>
      <c r="Q7" s="461"/>
      <c r="R7" s="972">
        <v>2022</v>
      </c>
      <c r="S7" s="461"/>
      <c r="T7" s="972" t="s">
        <v>1358</v>
      </c>
      <c r="U7" s="461"/>
      <c r="V7" s="972" t="s">
        <v>1359</v>
      </c>
      <c r="W7" s="461"/>
      <c r="AC7" s="461"/>
    </row>
    <row r="8" spans="1:29" ht="8.1" customHeight="1">
      <c r="A8" s="461"/>
      <c r="B8" s="461"/>
      <c r="C8" s="461"/>
      <c r="D8" s="462"/>
      <c r="E8" s="461"/>
      <c r="F8" s="461"/>
      <c r="G8" s="461"/>
      <c r="H8" s="461"/>
      <c r="I8" s="461"/>
      <c r="J8" s="461"/>
      <c r="K8" s="461"/>
      <c r="L8" s="461"/>
      <c r="M8" s="461"/>
      <c r="N8" s="461"/>
      <c r="O8" s="461"/>
      <c r="P8" s="461"/>
      <c r="Q8" s="461"/>
      <c r="R8" s="467"/>
      <c r="S8" s="465"/>
      <c r="T8" s="467"/>
      <c r="U8" s="465"/>
      <c r="V8" s="467"/>
      <c r="W8" s="461"/>
      <c r="AC8" s="461"/>
    </row>
    <row r="9" spans="1:29">
      <c r="A9" s="468" t="s">
        <v>1360</v>
      </c>
      <c r="B9" s="461"/>
      <c r="C9" s="461"/>
      <c r="D9" s="462"/>
      <c r="E9" s="461"/>
      <c r="F9" s="461"/>
      <c r="G9" s="461"/>
      <c r="H9" s="461"/>
      <c r="I9" s="461"/>
      <c r="J9" s="461"/>
      <c r="K9" s="461"/>
      <c r="L9" s="461"/>
      <c r="M9" s="461"/>
      <c r="N9" s="461"/>
      <c r="O9" s="461"/>
      <c r="P9" s="461"/>
      <c r="Q9" s="461"/>
      <c r="R9" s="467"/>
      <c r="S9" s="465"/>
      <c r="T9" s="467"/>
      <c r="U9" s="465"/>
      <c r="V9" s="467"/>
      <c r="W9" s="461"/>
      <c r="X9" s="469" t="s">
        <v>1361</v>
      </c>
      <c r="AC9" s="461"/>
    </row>
    <row r="10" spans="1:29">
      <c r="A10" s="468" t="s">
        <v>1362</v>
      </c>
      <c r="B10" s="461"/>
      <c r="C10" s="461"/>
      <c r="D10" s="462"/>
      <c r="E10" s="461"/>
      <c r="F10" s="461"/>
      <c r="G10" s="461"/>
      <c r="H10" s="461"/>
      <c r="I10" s="461"/>
      <c r="J10" s="461"/>
      <c r="K10" s="461"/>
      <c r="L10" s="461"/>
      <c r="M10" s="461"/>
      <c r="N10" s="461"/>
      <c r="O10" s="461"/>
      <c r="P10" s="461"/>
      <c r="Q10" s="461"/>
      <c r="R10" s="463"/>
      <c r="S10" s="461"/>
      <c r="T10" s="463"/>
      <c r="U10" s="461"/>
      <c r="V10" s="463"/>
      <c r="W10" s="461"/>
      <c r="X10" s="469" t="s">
        <v>1363</v>
      </c>
      <c r="AC10" s="461"/>
    </row>
    <row r="11" spans="1:29" ht="13.35" customHeight="1">
      <c r="A11" s="461" t="s">
        <v>236</v>
      </c>
      <c r="B11" s="461"/>
      <c r="C11" s="461"/>
      <c r="D11" s="462">
        <v>6.23</v>
      </c>
      <c r="E11" s="461"/>
      <c r="F11" s="470">
        <f>'KK CF Des 24'!B12</f>
        <v>247959097531.07001</v>
      </c>
      <c r="G11" s="461"/>
      <c r="H11" s="470">
        <f>'KK CF Konsol Sept 24'!B12</f>
        <v>142535701651</v>
      </c>
      <c r="I11" s="461"/>
      <c r="J11" s="470">
        <f>'KK CF Konsol Sept 23'!B12</f>
        <v>198600619207</v>
      </c>
      <c r="K11" s="461"/>
      <c r="L11" s="470">
        <f>ROUND('KK CF Konsol Juni 24'!B12,0)</f>
        <v>100267200082</v>
      </c>
      <c r="M11" s="461"/>
      <c r="N11" s="470">
        <f>ROUND('KK CF Konsol Juni 23'!B12,0)</f>
        <v>147943609918</v>
      </c>
      <c r="O11" s="461"/>
      <c r="P11" s="486">
        <v>233862704890</v>
      </c>
      <c r="Q11" s="486"/>
      <c r="R11" s="486">
        <v>367723496508</v>
      </c>
      <c r="S11" s="486"/>
      <c r="T11" s="486">
        <v>295637097279</v>
      </c>
      <c r="U11" s="461"/>
      <c r="V11" s="471">
        <f>'[188]CF Des 2020'!B12</f>
        <v>231199635068.4707</v>
      </c>
      <c r="W11" s="461"/>
      <c r="X11" s="472" t="s">
        <v>1364</v>
      </c>
      <c r="AA11" s="473"/>
      <c r="AC11" s="474"/>
    </row>
    <row r="12" spans="1:29" ht="13.35" customHeight="1">
      <c r="A12" s="461" t="s">
        <v>1365</v>
      </c>
      <c r="B12" s="461"/>
      <c r="C12" s="461"/>
      <c r="D12" s="462" t="s">
        <v>1366</v>
      </c>
      <c r="E12" s="461"/>
      <c r="F12" s="470">
        <f>'KK CF Des 24'!B13</f>
        <v>-284377319057.31</v>
      </c>
      <c r="G12" s="461"/>
      <c r="H12" s="470">
        <f>'KK CF Konsol Sept 24'!B13</f>
        <v>-153211436065</v>
      </c>
      <c r="I12" s="461"/>
      <c r="J12" s="470">
        <f>'KK CF Konsol Sept 23'!B13</f>
        <v>-153671439280</v>
      </c>
      <c r="K12" s="461"/>
      <c r="L12" s="470">
        <f>ROUND('KK CF Konsol Juni 24'!B13,0)</f>
        <v>-73323475715</v>
      </c>
      <c r="M12" s="461"/>
      <c r="N12" s="470">
        <f>ROUND('KK CF Konsol Juni 23'!B13,0)</f>
        <v>-113398734628</v>
      </c>
      <c r="O12" s="461"/>
      <c r="P12" s="486">
        <v>-215894192453.36859</v>
      </c>
      <c r="Q12" s="486"/>
      <c r="R12" s="486">
        <v>-338209234805</v>
      </c>
      <c r="S12" s="486"/>
      <c r="T12" s="486">
        <v>-245486908047.95999</v>
      </c>
      <c r="U12" s="461"/>
      <c r="V12" s="475">
        <f>'[188]CF Des 2020'!B13+'[188]CF Des 2020'!B18</f>
        <v>-213310665764.46292</v>
      </c>
      <c r="W12" s="461"/>
      <c r="X12" s="472" t="s">
        <v>1367</v>
      </c>
      <c r="AC12" s="474"/>
    </row>
    <row r="13" spans="1:29" ht="13.35" customHeight="1">
      <c r="A13" s="461"/>
      <c r="B13" s="461"/>
      <c r="C13" s="461"/>
      <c r="D13" s="462" t="s">
        <v>1368</v>
      </c>
      <c r="E13" s="461"/>
      <c r="F13" s="470"/>
      <c r="G13" s="461"/>
      <c r="H13" s="470"/>
      <c r="I13" s="461"/>
      <c r="J13" s="470"/>
      <c r="K13" s="461"/>
      <c r="L13" s="470"/>
      <c r="M13" s="461"/>
      <c r="N13" s="470"/>
      <c r="O13" s="461"/>
      <c r="P13" s="486"/>
      <c r="Q13" s="486"/>
      <c r="R13" s="486"/>
      <c r="S13" s="486"/>
      <c r="T13" s="486"/>
      <c r="U13" s="461"/>
      <c r="V13" s="475"/>
      <c r="W13" s="461"/>
      <c r="X13" s="472"/>
      <c r="AC13" s="474"/>
    </row>
    <row r="14" spans="1:29" ht="13.35" customHeight="1">
      <c r="A14" s="461" t="s">
        <v>1369</v>
      </c>
      <c r="B14" s="461"/>
      <c r="C14" s="461"/>
      <c r="D14" s="476" t="s">
        <v>1370</v>
      </c>
      <c r="E14" s="461"/>
      <c r="F14" s="470">
        <f>'KK CF Des 24'!B14</f>
        <v>-34022364196</v>
      </c>
      <c r="G14" s="461"/>
      <c r="H14" s="470">
        <f>'KK CF Konsol Sept 24'!B14</f>
        <v>-24434393698</v>
      </c>
      <c r="I14" s="461"/>
      <c r="J14" s="470">
        <f>'KK CF Konsol Sept 23'!B14</f>
        <v>-25590754706</v>
      </c>
      <c r="K14" s="461"/>
      <c r="L14" s="470">
        <f>ROUND('KK CF Konsol Juni 24'!B14,0)</f>
        <v>-15569341077</v>
      </c>
      <c r="M14" s="461"/>
      <c r="N14" s="470">
        <f>ROUND('KK CF Konsol Juni 23'!B14,0)</f>
        <v>-18032431758</v>
      </c>
      <c r="O14" s="461"/>
      <c r="P14" s="486">
        <v>-16773999583.730713</v>
      </c>
      <c r="Q14" s="1662"/>
      <c r="R14" s="486">
        <v>-17641958141</v>
      </c>
      <c r="S14" s="1662"/>
      <c r="T14" s="1662">
        <v>-19169374181</v>
      </c>
      <c r="U14" s="477"/>
      <c r="V14" s="477">
        <f>'[188]CF Des 2020'!AU14</f>
        <v>-5470819837</v>
      </c>
      <c r="W14" s="461"/>
      <c r="X14" s="472" t="s">
        <v>1371</v>
      </c>
      <c r="AC14" s="474"/>
    </row>
    <row r="15" spans="1:29">
      <c r="A15" s="461" t="s">
        <v>239</v>
      </c>
      <c r="B15" s="461"/>
      <c r="C15" s="478"/>
      <c r="D15" s="479" t="s">
        <v>1372</v>
      </c>
      <c r="E15" s="461"/>
      <c r="F15" s="480">
        <f>'KK CF Des 24'!B15</f>
        <v>-16505528793</v>
      </c>
      <c r="G15" s="461"/>
      <c r="H15" s="480">
        <f>'KK CF Konsol Sept 24'!B15</f>
        <v>-9593676650</v>
      </c>
      <c r="I15" s="461"/>
      <c r="J15" s="480">
        <f>'KK CF Konsol Sept 23'!B15</f>
        <v>-12898952618.86277</v>
      </c>
      <c r="K15" s="461"/>
      <c r="L15" s="480">
        <f>ROUND('KK CF Konsol Juni 24'!B15,0)</f>
        <v>-7910563784</v>
      </c>
      <c r="M15" s="461"/>
      <c r="N15" s="480">
        <f>ROUND('KK CF Konsol Juni 23'!B15,0)</f>
        <v>-13990581180</v>
      </c>
      <c r="O15" s="461"/>
      <c r="P15" s="487">
        <v>-15514922507</v>
      </c>
      <c r="Q15" s="1663"/>
      <c r="R15" s="487">
        <v>-36504076478</v>
      </c>
      <c r="S15" s="1663"/>
      <c r="T15" s="1664">
        <v>-23422128040.87999</v>
      </c>
      <c r="U15" s="481"/>
      <c r="V15" s="482">
        <f>'[188]CF Des 2020'!B15-AJ16</f>
        <v>-21446181850.551315</v>
      </c>
      <c r="X15" s="484" t="s">
        <v>1373</v>
      </c>
      <c r="Y15" s="484"/>
      <c r="Z15" s="484"/>
      <c r="AC15" s="474"/>
    </row>
    <row r="16" spans="1:29" ht="17.100000000000001" customHeight="1">
      <c r="A16" s="461" t="s">
        <v>1374</v>
      </c>
      <c r="B16" s="461"/>
      <c r="C16" s="461"/>
      <c r="D16" s="479"/>
      <c r="E16" s="461"/>
      <c r="F16" s="470">
        <f>SUM(F11:F15)</f>
        <v>-86946114515.23999</v>
      </c>
      <c r="G16" s="461"/>
      <c r="H16" s="470">
        <f>SUM(H11:H15)</f>
        <v>-44703804762</v>
      </c>
      <c r="I16" s="461"/>
      <c r="J16" s="475">
        <f>SUM(J11:J15)</f>
        <v>6439472602.1372299</v>
      </c>
      <c r="K16" s="461"/>
      <c r="L16" s="470">
        <f>SUM(L11:L15)</f>
        <v>3463819506</v>
      </c>
      <c r="M16" s="461"/>
      <c r="N16" s="475">
        <f>SUM(N11:N15)</f>
        <v>2521862352</v>
      </c>
      <c r="O16" s="461"/>
      <c r="P16" s="486">
        <f>SUM(P11:P15)</f>
        <v>-14320409654.099304</v>
      </c>
      <c r="Q16" s="486"/>
      <c r="R16" s="486">
        <f>SUM(R11:R15)</f>
        <v>-24631772916</v>
      </c>
      <c r="S16" s="486"/>
      <c r="T16" s="486">
        <f>SUM(T11:T15)</f>
        <v>7558687009.1600189</v>
      </c>
      <c r="U16" s="475"/>
      <c r="V16" s="475">
        <f>SUM(V11:V15)-1</f>
        <v>-9028032384.5435333</v>
      </c>
      <c r="W16" s="461"/>
      <c r="X16" s="472" t="s">
        <v>1375</v>
      </c>
      <c r="Y16" s="472"/>
      <c r="AB16" s="485"/>
      <c r="AC16" s="461"/>
    </row>
    <row r="17" spans="1:33" ht="13.35" hidden="1" customHeight="1">
      <c r="A17" s="461" t="s">
        <v>1376</v>
      </c>
      <c r="B17" s="461"/>
      <c r="C17" s="461"/>
      <c r="D17" s="462"/>
      <c r="E17" s="461"/>
      <c r="F17" s="470"/>
      <c r="G17" s="461"/>
      <c r="H17" s="470"/>
      <c r="I17" s="461"/>
      <c r="J17" s="475"/>
      <c r="K17" s="461"/>
      <c r="L17" s="470"/>
      <c r="M17" s="461"/>
      <c r="N17" s="475"/>
      <c r="O17" s="461"/>
      <c r="P17" s="486"/>
      <c r="Q17" s="486"/>
      <c r="R17" s="486"/>
      <c r="S17" s="486"/>
      <c r="T17" s="486"/>
      <c r="U17" s="475"/>
      <c r="V17" s="475"/>
      <c r="W17" s="461"/>
      <c r="X17" s="472" t="s">
        <v>1377</v>
      </c>
      <c r="Y17" s="472"/>
      <c r="AB17" s="485"/>
      <c r="AC17" s="461"/>
    </row>
    <row r="18" spans="1:33" ht="13.35" customHeight="1">
      <c r="A18" s="461" t="s">
        <v>246</v>
      </c>
      <c r="B18" s="461"/>
      <c r="C18" s="461"/>
      <c r="D18" s="462">
        <v>18</v>
      </c>
      <c r="E18" s="461"/>
      <c r="F18" s="470">
        <f>'KK CF Des 24'!B21</f>
        <v>-3483902607</v>
      </c>
      <c r="G18" s="461"/>
      <c r="H18" s="470">
        <f>'KK CF Konsol Sept 24'!B21</f>
        <v>-2993103253</v>
      </c>
      <c r="I18" s="461"/>
      <c r="J18" s="470">
        <f>'KK CF Konsol Sept 23'!B21</f>
        <v>-2280513846</v>
      </c>
      <c r="K18" s="461"/>
      <c r="L18" s="470">
        <f>ROUND('KK CF Konsol Juni 24'!B21,0)</f>
        <v>-2993103253</v>
      </c>
      <c r="M18" s="461"/>
      <c r="N18" s="470">
        <f>ROUND('KK CF Konsol Juni 23'!B21,0)</f>
        <v>-2231324752</v>
      </c>
      <c r="O18" s="461"/>
      <c r="P18" s="486">
        <v>-701013069</v>
      </c>
      <c r="Q18" s="486"/>
      <c r="R18" s="486">
        <v>-696135092</v>
      </c>
      <c r="S18" s="486"/>
      <c r="T18" s="486">
        <v>-411274129</v>
      </c>
      <c r="U18" s="461"/>
      <c r="V18" s="486">
        <f>'[188]CF Des 2020'!B21+'[188]CF Des 2020'!B17</f>
        <v>-1901899520.4564457</v>
      </c>
      <c r="W18" s="461"/>
      <c r="X18" s="484" t="s">
        <v>1378</v>
      </c>
      <c r="AC18" s="461"/>
      <c r="AG18" s="210"/>
    </row>
    <row r="19" spans="1:33" ht="13.35" customHeight="1">
      <c r="A19" s="461" t="s">
        <v>1379</v>
      </c>
      <c r="B19" s="461"/>
      <c r="C19" s="461"/>
      <c r="D19" s="462">
        <v>28</v>
      </c>
      <c r="E19" s="461"/>
      <c r="F19" s="480">
        <f>'KK CF Des 24'!B20</f>
        <v>-18184572249</v>
      </c>
      <c r="G19" s="461"/>
      <c r="H19" s="480">
        <f>'KK CF Konsol Sept 24'!B20</f>
        <v>-12487102791</v>
      </c>
      <c r="I19" s="461"/>
      <c r="J19" s="480">
        <f>'KK CF Konsol Sept 23'!B20</f>
        <v>-11291340727</v>
      </c>
      <c r="K19" s="461"/>
      <c r="L19" s="480">
        <f>ROUND('KK CF Konsol Juni 24'!B20,0)</f>
        <v>-9308297571</v>
      </c>
      <c r="M19" s="461"/>
      <c r="N19" s="480">
        <f>ROUND('KK CF Konsol Juni 23'!B20,0)</f>
        <v>-7489287943</v>
      </c>
      <c r="O19" s="461"/>
      <c r="P19" s="487">
        <v>-15677499788</v>
      </c>
      <c r="Q19" s="486"/>
      <c r="R19" s="487">
        <v>-13403963086</v>
      </c>
      <c r="S19" s="486"/>
      <c r="T19" s="487">
        <v>-9352093192</v>
      </c>
      <c r="U19" s="461"/>
      <c r="V19" s="487">
        <f>'[188]CF Des 2020'!B16+'[188]CF Des 2020'!B20</f>
        <v>-3024695925</v>
      </c>
      <c r="W19" s="461"/>
      <c r="X19" s="488" t="s">
        <v>1380</v>
      </c>
      <c r="AB19" s="489"/>
      <c r="AC19" s="461"/>
    </row>
    <row r="20" spans="1:33" ht="5.0999999999999996" customHeight="1">
      <c r="A20" s="461"/>
      <c r="B20" s="461"/>
      <c r="C20" s="461"/>
      <c r="E20" s="461"/>
      <c r="F20" s="470"/>
      <c r="G20" s="461"/>
      <c r="H20" s="470"/>
      <c r="I20" s="461"/>
      <c r="J20" s="470"/>
      <c r="K20" s="461"/>
      <c r="L20" s="470"/>
      <c r="M20" s="461"/>
      <c r="N20" s="470"/>
      <c r="O20" s="461"/>
      <c r="P20" s="486"/>
      <c r="Q20" s="486"/>
      <c r="R20" s="486"/>
      <c r="S20" s="486"/>
      <c r="T20" s="486"/>
      <c r="U20" s="461"/>
      <c r="V20" s="486"/>
      <c r="W20" s="461"/>
      <c r="X20" s="488"/>
      <c r="AB20" s="489"/>
      <c r="AC20" s="461"/>
    </row>
    <row r="21" spans="1:33" ht="12" customHeight="1">
      <c r="A21" s="468" t="s">
        <v>1381</v>
      </c>
      <c r="B21" s="461"/>
      <c r="C21" s="461"/>
      <c r="D21" s="462"/>
      <c r="E21" s="461"/>
      <c r="F21" s="470"/>
      <c r="G21" s="461"/>
      <c r="H21" s="470"/>
      <c r="I21" s="461"/>
      <c r="J21" s="470"/>
      <c r="K21" s="461"/>
      <c r="L21" s="470"/>
      <c r="M21" s="461"/>
      <c r="N21" s="470"/>
      <c r="O21" s="461"/>
      <c r="P21" s="486"/>
      <c r="Q21" s="486"/>
      <c r="R21" s="486"/>
      <c r="S21" s="486"/>
      <c r="T21" s="486"/>
      <c r="U21" s="461"/>
      <c r="V21" s="486"/>
      <c r="W21" s="461"/>
      <c r="X21" s="469" t="s">
        <v>1382</v>
      </c>
      <c r="AC21" s="461"/>
    </row>
    <row r="22" spans="1:33" ht="12" customHeight="1" thickBot="1">
      <c r="A22" s="2286" t="s">
        <v>1383</v>
      </c>
      <c r="B22" s="468"/>
      <c r="C22" s="468"/>
      <c r="D22" s="462"/>
      <c r="E22" s="468"/>
      <c r="F22" s="491">
        <f>SUM(F16:F19)</f>
        <v>-108614589371.23999</v>
      </c>
      <c r="G22" s="468"/>
      <c r="H22" s="491">
        <f>SUM(H16:H19)</f>
        <v>-60184010806</v>
      </c>
      <c r="I22" s="468"/>
      <c r="J22" s="491">
        <f>SUM(J16:J19)</f>
        <v>-7132381970.8627701</v>
      </c>
      <c r="K22" s="468"/>
      <c r="L22" s="491">
        <f>SUM(L16:L19)</f>
        <v>-8837581318</v>
      </c>
      <c r="M22" s="468"/>
      <c r="N22" s="491">
        <f>SUM(N16:N19)</f>
        <v>-7198750343</v>
      </c>
      <c r="O22" s="468"/>
      <c r="P22" s="492">
        <f>SUM(P16:P19)</f>
        <v>-30698922511.099304</v>
      </c>
      <c r="Q22" s="495"/>
      <c r="R22" s="492">
        <f>SUM(R16:R19)</f>
        <v>-38731871094</v>
      </c>
      <c r="S22" s="495"/>
      <c r="T22" s="492">
        <f>SUM(T16:T19)</f>
        <v>-2204680311.8399811</v>
      </c>
      <c r="U22" s="468"/>
      <c r="V22" s="492">
        <f>SUM(V16:V19)</f>
        <v>-13954627829.999979</v>
      </c>
      <c r="W22" s="468"/>
      <c r="X22" s="493" t="s">
        <v>1384</v>
      </c>
      <c r="Y22" s="484"/>
      <c r="Z22" s="484"/>
      <c r="AC22" s="468"/>
    </row>
    <row r="23" spans="1:33" ht="5.0999999999999996" customHeight="1">
      <c r="A23" s="461"/>
      <c r="B23" s="461"/>
      <c r="C23" s="461"/>
      <c r="D23" s="490"/>
      <c r="E23" s="461"/>
      <c r="F23" s="470"/>
      <c r="G23" s="461"/>
      <c r="H23" s="470"/>
      <c r="I23" s="461"/>
      <c r="J23" s="470"/>
      <c r="K23" s="461"/>
      <c r="L23" s="470"/>
      <c r="M23" s="461"/>
      <c r="N23" s="470"/>
      <c r="O23" s="461"/>
      <c r="P23" s="486"/>
      <c r="Q23" s="486"/>
      <c r="R23" s="486"/>
      <c r="S23" s="486"/>
      <c r="T23" s="486"/>
      <c r="U23" s="461"/>
      <c r="V23" s="486"/>
      <c r="W23" s="461"/>
      <c r="X23" s="493"/>
      <c r="AC23" s="461"/>
    </row>
    <row r="24" spans="1:33" hidden="1">
      <c r="A24" s="461"/>
      <c r="B24" s="461"/>
      <c r="C24" s="461"/>
      <c r="D24" s="462"/>
      <c r="E24" s="461"/>
      <c r="F24" s="470"/>
      <c r="G24" s="461"/>
      <c r="H24" s="470"/>
      <c r="I24" s="461"/>
      <c r="J24" s="470"/>
      <c r="K24" s="461"/>
      <c r="L24" s="470"/>
      <c r="M24" s="461"/>
      <c r="N24" s="470"/>
      <c r="O24" s="461"/>
      <c r="P24" s="486"/>
      <c r="Q24" s="486"/>
      <c r="R24" s="486"/>
      <c r="S24" s="486"/>
      <c r="T24" s="486"/>
      <c r="U24" s="461"/>
      <c r="V24" s="486"/>
      <c r="W24" s="461"/>
      <c r="X24" s="469"/>
      <c r="Y24" s="484"/>
      <c r="Z24" s="484"/>
      <c r="AC24" s="461"/>
    </row>
    <row r="25" spans="1:33" ht="12" customHeight="1">
      <c r="A25" s="460" t="s">
        <v>1360</v>
      </c>
      <c r="B25" s="468"/>
      <c r="C25" s="468"/>
      <c r="D25" s="462"/>
      <c r="E25" s="468"/>
      <c r="F25" s="494"/>
      <c r="G25" s="468"/>
      <c r="H25" s="494"/>
      <c r="I25" s="468"/>
      <c r="J25" s="494"/>
      <c r="K25" s="468"/>
      <c r="L25" s="494"/>
      <c r="M25" s="468"/>
      <c r="N25" s="494"/>
      <c r="O25" s="468"/>
      <c r="P25" s="495"/>
      <c r="Q25" s="495"/>
      <c r="R25" s="495"/>
      <c r="S25" s="495"/>
      <c r="T25" s="495"/>
      <c r="U25" s="468"/>
      <c r="V25" s="495"/>
      <c r="W25" s="468"/>
      <c r="X25" s="469" t="s">
        <v>1385</v>
      </c>
      <c r="Y25" s="484"/>
      <c r="Z25" s="496"/>
      <c r="AA25" s="496"/>
      <c r="AB25" s="496"/>
      <c r="AC25" s="468"/>
    </row>
    <row r="26" spans="1:33" hidden="1">
      <c r="A26" s="461" t="s">
        <v>1386</v>
      </c>
      <c r="B26" s="461"/>
      <c r="C26" s="461"/>
      <c r="D26" s="490"/>
      <c r="E26" s="461"/>
      <c r="F26" s="470"/>
      <c r="G26" s="461"/>
      <c r="H26" s="470"/>
      <c r="I26" s="461"/>
      <c r="J26" s="470"/>
      <c r="K26" s="461"/>
      <c r="L26" s="470"/>
      <c r="M26" s="461"/>
      <c r="N26" s="470"/>
      <c r="O26" s="461"/>
      <c r="P26" s="486"/>
      <c r="Q26" s="486"/>
      <c r="R26" s="486" t="s">
        <v>1387</v>
      </c>
      <c r="S26" s="486"/>
      <c r="T26" s="486"/>
      <c r="U26" s="461"/>
      <c r="V26" s="486" t="s">
        <v>1387</v>
      </c>
      <c r="W26" s="461"/>
      <c r="X26" s="469"/>
      <c r="AC26" s="461"/>
    </row>
    <row r="27" spans="1:33" hidden="1">
      <c r="A27" s="497" t="s">
        <v>1388</v>
      </c>
      <c r="B27" s="461"/>
      <c r="C27" s="461"/>
      <c r="D27" s="462"/>
      <c r="E27" s="461"/>
      <c r="F27" s="470"/>
      <c r="G27" s="461"/>
      <c r="H27" s="470"/>
      <c r="I27" s="461"/>
      <c r="J27" s="470"/>
      <c r="K27" s="461"/>
      <c r="L27" s="470"/>
      <c r="M27" s="461"/>
      <c r="N27" s="470"/>
      <c r="O27" s="461"/>
      <c r="P27" s="486"/>
      <c r="Q27" s="486"/>
      <c r="R27" s="486"/>
      <c r="S27" s="486"/>
      <c r="T27" s="486"/>
      <c r="U27" s="461"/>
      <c r="V27" s="486"/>
      <c r="W27" s="461"/>
      <c r="X27" s="498" t="s">
        <v>1389</v>
      </c>
      <c r="Y27" s="499"/>
      <c r="AC27" s="461"/>
    </row>
    <row r="28" spans="1:33" hidden="1">
      <c r="A28" s="497" t="s">
        <v>201</v>
      </c>
      <c r="B28" s="461"/>
      <c r="C28" s="461"/>
      <c r="D28" s="462"/>
      <c r="E28" s="461"/>
      <c r="F28" s="470"/>
      <c r="G28" s="461"/>
      <c r="H28" s="470"/>
      <c r="I28" s="461"/>
      <c r="J28" s="470"/>
      <c r="K28" s="461"/>
      <c r="L28" s="470"/>
      <c r="M28" s="461"/>
      <c r="N28" s="470"/>
      <c r="O28" s="461"/>
      <c r="P28" s="486">
        <v>0</v>
      </c>
      <c r="Q28" s="486"/>
      <c r="R28" s="486">
        <v>0</v>
      </c>
      <c r="S28" s="486"/>
      <c r="T28" s="486">
        <v>0</v>
      </c>
      <c r="U28" s="461"/>
      <c r="V28" s="486">
        <f>'[188]CF Des 2020'!B28</f>
        <v>-862722001</v>
      </c>
      <c r="W28" s="461"/>
      <c r="X28" s="498" t="s">
        <v>1390</v>
      </c>
      <c r="Y28" s="499"/>
      <c r="AC28" s="461"/>
    </row>
    <row r="29" spans="1:33">
      <c r="A29" s="460" t="s">
        <v>1391</v>
      </c>
      <c r="B29" s="461"/>
      <c r="C29" s="461"/>
      <c r="D29" s="462"/>
      <c r="E29" s="461"/>
      <c r="F29" s="470"/>
      <c r="G29" s="461"/>
      <c r="H29" s="470"/>
      <c r="I29" s="461"/>
      <c r="J29" s="470"/>
      <c r="K29" s="461"/>
      <c r="L29" s="470"/>
      <c r="M29" s="461"/>
      <c r="N29" s="470"/>
      <c r="O29" s="461"/>
      <c r="P29" s="486"/>
      <c r="Q29" s="486"/>
      <c r="R29" s="486"/>
      <c r="S29" s="486"/>
      <c r="T29" s="486"/>
      <c r="U29" s="461"/>
      <c r="V29" s="486"/>
      <c r="W29" s="461"/>
      <c r="X29" s="2328" t="s">
        <v>1363</v>
      </c>
      <c r="Y29" s="499"/>
      <c r="AC29" s="461"/>
    </row>
    <row r="30" spans="1:33" ht="12" customHeight="1">
      <c r="A30" s="497" t="s">
        <v>1392</v>
      </c>
      <c r="B30" s="461"/>
      <c r="C30" s="461"/>
      <c r="D30" s="462">
        <v>11</v>
      </c>
      <c r="E30" s="461"/>
      <c r="F30" s="470">
        <f>'KK CF Des 24'!B28</f>
        <v>-170000000</v>
      </c>
      <c r="G30" s="461"/>
      <c r="H30" s="470">
        <f>'KK CF Konsol Sept 24'!B28</f>
        <v>0</v>
      </c>
      <c r="I30" s="461"/>
      <c r="J30" s="470">
        <f>'KK CF Konsol Sept 23'!B28</f>
        <v>-149115000</v>
      </c>
      <c r="K30" s="461"/>
      <c r="L30" s="470">
        <f>'KK CF Konsol Juni 24'!B28</f>
        <v>0</v>
      </c>
      <c r="M30" s="461"/>
      <c r="N30" s="470">
        <f>ROUND('KK CF Konsol Juni 23'!B28,0)</f>
        <v>-149115000</v>
      </c>
      <c r="O30" s="461"/>
      <c r="P30" s="486">
        <v>-149115000</v>
      </c>
      <c r="Q30" s="486"/>
      <c r="R30" s="486">
        <v>-337817118</v>
      </c>
      <c r="S30" s="486"/>
      <c r="T30" s="486">
        <v>-17752124084.160019</v>
      </c>
      <c r="U30" s="461"/>
      <c r="V30" s="500">
        <f>'[188]CF Des 2020'!B29</f>
        <v>-4598783202</v>
      </c>
      <c r="W30" s="461"/>
      <c r="X30" s="484" t="s">
        <v>1393</v>
      </c>
      <c r="AC30" s="461"/>
    </row>
    <row r="31" spans="1:33" ht="12" hidden="1" customHeight="1">
      <c r="A31" s="497" t="s">
        <v>1394</v>
      </c>
      <c r="B31" s="461"/>
      <c r="C31" s="461"/>
      <c r="D31" s="462"/>
      <c r="E31" s="461"/>
      <c r="F31" s="470">
        <f>'KK CF Des 24'!B32</f>
        <v>0</v>
      </c>
      <c r="G31" s="461"/>
      <c r="H31" s="470">
        <f>'KK CF Konsol Sept 24'!B32</f>
        <v>0</v>
      </c>
      <c r="I31" s="461"/>
      <c r="J31" s="470">
        <v>0</v>
      </c>
      <c r="K31" s="461"/>
      <c r="L31" s="470"/>
      <c r="M31" s="461"/>
      <c r="N31" s="470"/>
      <c r="O31" s="461"/>
      <c r="P31" s="486">
        <v>0</v>
      </c>
      <c r="Q31" s="486"/>
      <c r="R31" s="486"/>
      <c r="S31" s="486"/>
      <c r="T31" s="486"/>
      <c r="U31" s="461"/>
      <c r="V31" s="500"/>
      <c r="W31" s="461"/>
      <c r="X31" s="484" t="s">
        <v>1395</v>
      </c>
      <c r="AC31" s="461"/>
    </row>
    <row r="32" spans="1:33" ht="12" customHeight="1">
      <c r="A32" s="497" t="s">
        <v>1396</v>
      </c>
      <c r="B32" s="461"/>
      <c r="C32" s="461"/>
      <c r="D32" s="462"/>
      <c r="E32" s="461"/>
      <c r="F32" s="470"/>
      <c r="G32" s="461"/>
      <c r="H32" s="470"/>
      <c r="I32" s="461"/>
      <c r="J32" s="470"/>
      <c r="K32" s="461"/>
      <c r="L32" s="470"/>
      <c r="M32" s="461"/>
      <c r="N32" s="470"/>
      <c r="O32" s="461"/>
      <c r="P32" s="486"/>
      <c r="Q32" s="486"/>
      <c r="R32" s="486"/>
      <c r="S32" s="486"/>
      <c r="T32" s="486"/>
      <c r="U32" s="461"/>
      <c r="V32" s="500"/>
      <c r="W32" s="461"/>
      <c r="X32" s="1126" t="s">
        <v>1397</v>
      </c>
      <c r="AC32" s="461"/>
    </row>
    <row r="33" spans="1:29" ht="12" customHeight="1">
      <c r="A33" s="497" t="s">
        <v>1398</v>
      </c>
      <c r="B33" s="461"/>
      <c r="C33" s="461"/>
      <c r="D33" s="462">
        <v>7</v>
      </c>
      <c r="E33" s="461"/>
      <c r="F33" s="480">
        <f>'KK CF Des 24'!B33</f>
        <v>7022707423</v>
      </c>
      <c r="G33" s="461"/>
      <c r="H33" s="470">
        <f>'KK CF Konsol Sept 24'!B33</f>
        <v>7022707423</v>
      </c>
      <c r="I33" s="461"/>
      <c r="J33" s="470">
        <v>0</v>
      </c>
      <c r="K33" s="461"/>
      <c r="L33" s="470"/>
      <c r="M33" s="461"/>
      <c r="N33" s="470"/>
      <c r="O33" s="461"/>
      <c r="P33" s="487">
        <v>0</v>
      </c>
      <c r="Q33" s="486"/>
      <c r="R33" s="487"/>
      <c r="S33" s="486"/>
      <c r="T33" s="487"/>
      <c r="U33" s="461"/>
      <c r="V33" s="500"/>
      <c r="W33" s="461"/>
      <c r="X33" s="484" t="s">
        <v>1399</v>
      </c>
      <c r="Y33" s="1126"/>
      <c r="AC33" s="461"/>
    </row>
    <row r="34" spans="1:29" hidden="1">
      <c r="A34" s="461" t="s">
        <v>1400</v>
      </c>
      <c r="B34" s="461"/>
      <c r="C34" s="461"/>
      <c r="D34" s="462">
        <v>7</v>
      </c>
      <c r="E34" s="461"/>
      <c r="F34" s="470"/>
      <c r="G34" s="461"/>
      <c r="H34" s="470"/>
      <c r="I34" s="461"/>
      <c r="J34" s="470"/>
      <c r="K34" s="461"/>
      <c r="L34" s="470"/>
      <c r="M34" s="461"/>
      <c r="N34" s="470"/>
      <c r="O34" s="461"/>
      <c r="P34" s="486"/>
      <c r="Q34" s="486"/>
      <c r="R34" s="500"/>
      <c r="S34" s="486"/>
      <c r="T34" s="500"/>
      <c r="U34" s="461"/>
      <c r="V34" s="500"/>
      <c r="W34" s="461"/>
      <c r="X34" s="469"/>
      <c r="Y34" s="501"/>
      <c r="Z34" s="484"/>
      <c r="AC34" s="461"/>
    </row>
    <row r="35" spans="1:29" hidden="1">
      <c r="A35" s="461"/>
      <c r="B35" s="461"/>
      <c r="C35" s="461"/>
      <c r="D35" s="462"/>
      <c r="E35" s="461"/>
      <c r="F35" s="470"/>
      <c r="G35" s="461"/>
      <c r="H35" s="470"/>
      <c r="I35" s="461"/>
      <c r="J35" s="470"/>
      <c r="K35" s="461"/>
      <c r="L35" s="470"/>
      <c r="M35" s="461"/>
      <c r="N35" s="470"/>
      <c r="O35" s="461"/>
      <c r="P35" s="486"/>
      <c r="Q35" s="486"/>
      <c r="R35" s="486"/>
      <c r="S35" s="486"/>
      <c r="T35" s="486"/>
      <c r="U35" s="461"/>
      <c r="V35" s="486"/>
      <c r="W35" s="461"/>
      <c r="X35" s="484"/>
      <c r="Y35" s="484"/>
      <c r="Z35" s="496"/>
      <c r="AA35" s="496"/>
      <c r="AB35" s="496"/>
      <c r="AC35" s="461"/>
    </row>
    <row r="36" spans="1:29" ht="12" customHeight="1">
      <c r="A36" s="468" t="s">
        <v>1401</v>
      </c>
      <c r="B36" s="461"/>
      <c r="C36" s="461"/>
      <c r="D36" s="462"/>
      <c r="E36" s="461"/>
      <c r="F36" s="470"/>
      <c r="G36" s="461"/>
      <c r="H36" s="470"/>
      <c r="I36" s="461"/>
      <c r="J36" s="470"/>
      <c r="K36" s="461"/>
      <c r="L36" s="470"/>
      <c r="M36" s="461"/>
      <c r="N36" s="470"/>
      <c r="O36" s="461"/>
      <c r="P36" s="486"/>
      <c r="Q36" s="486"/>
      <c r="R36" s="486"/>
      <c r="S36" s="486"/>
      <c r="T36" s="486"/>
      <c r="U36" s="461"/>
      <c r="V36" s="486"/>
      <c r="W36" s="461"/>
      <c r="X36" s="469" t="s">
        <v>1402</v>
      </c>
      <c r="Y36" s="484"/>
      <c r="Z36" s="469"/>
      <c r="AA36" s="496"/>
      <c r="AB36" s="496"/>
      <c r="AC36" s="461"/>
    </row>
    <row r="37" spans="1:29" ht="12" customHeight="1" thickBot="1">
      <c r="A37" s="468" t="s">
        <v>1403</v>
      </c>
      <c r="B37" s="468"/>
      <c r="C37" s="468"/>
      <c r="D37" s="462"/>
      <c r="E37" s="468"/>
      <c r="F37" s="491">
        <f>SUM(F26:F34)</f>
        <v>6852707423</v>
      </c>
      <c r="G37" s="468"/>
      <c r="H37" s="491">
        <f>SUM(H26:H34)</f>
        <v>7022707423</v>
      </c>
      <c r="I37" s="468"/>
      <c r="J37" s="491">
        <f>SUM(J26:J34)</f>
        <v>-149115000</v>
      </c>
      <c r="K37" s="468"/>
      <c r="L37" s="491">
        <f>SUM(L26:L34)</f>
        <v>0</v>
      </c>
      <c r="M37" s="468"/>
      <c r="N37" s="491">
        <f>SUM(N26:N34)</f>
        <v>-149115000</v>
      </c>
      <c r="O37" s="468"/>
      <c r="P37" s="492">
        <f>SUM(P26:P34)</f>
        <v>-149115000</v>
      </c>
      <c r="Q37" s="495"/>
      <c r="R37" s="492">
        <f>SUM(R26:R34)</f>
        <v>-337817118</v>
      </c>
      <c r="S37" s="495"/>
      <c r="T37" s="492">
        <f>SUM(T26:T34)</f>
        <v>-17752124084.160019</v>
      </c>
      <c r="U37" s="468"/>
      <c r="V37" s="492">
        <f>SUM(V26:V34)</f>
        <v>-5461505203</v>
      </c>
      <c r="W37" s="468"/>
      <c r="X37" s="502" t="s">
        <v>1404</v>
      </c>
      <c r="Z37" s="484"/>
      <c r="AC37" s="468"/>
    </row>
    <row r="38" spans="1:29" ht="8.1" customHeight="1">
      <c r="A38" s="461"/>
      <c r="B38" s="461"/>
      <c r="C38" s="461"/>
      <c r="D38" s="490"/>
      <c r="E38" s="461"/>
      <c r="F38" s="470"/>
      <c r="G38" s="461"/>
      <c r="H38" s="470"/>
      <c r="I38" s="461"/>
      <c r="J38" s="470"/>
      <c r="K38" s="461"/>
      <c r="L38" s="470"/>
      <c r="M38" s="461"/>
      <c r="N38" s="470"/>
      <c r="O38" s="461"/>
      <c r="P38" s="486"/>
      <c r="Q38" s="486"/>
      <c r="R38" s="486"/>
      <c r="S38" s="486"/>
      <c r="T38" s="486"/>
      <c r="U38" s="461"/>
      <c r="V38" s="486"/>
      <c r="W38" s="461"/>
      <c r="X38" s="502"/>
      <c r="AC38" s="461"/>
    </row>
    <row r="39" spans="1:29" ht="12" customHeight="1">
      <c r="A39" s="460" t="s">
        <v>1360</v>
      </c>
      <c r="B39" s="461"/>
      <c r="C39" s="461"/>
      <c r="D39" s="462"/>
      <c r="E39" s="461"/>
      <c r="F39" s="470"/>
      <c r="G39" s="461"/>
      <c r="H39" s="470"/>
      <c r="I39" s="461"/>
      <c r="J39" s="470"/>
      <c r="K39" s="461"/>
      <c r="L39" s="470"/>
      <c r="M39" s="461"/>
      <c r="N39" s="470"/>
      <c r="O39" s="461"/>
      <c r="P39" s="486"/>
      <c r="Q39" s="486"/>
      <c r="R39" s="486"/>
      <c r="S39" s="486"/>
      <c r="T39" s="486"/>
      <c r="U39" s="461"/>
      <c r="V39" s="486"/>
      <c r="W39" s="461"/>
      <c r="X39" s="469" t="s">
        <v>1405</v>
      </c>
      <c r="Y39" s="488"/>
      <c r="Z39" s="488"/>
      <c r="AC39" s="461"/>
    </row>
    <row r="40" spans="1:29" ht="12" customHeight="1">
      <c r="A40" s="460" t="s">
        <v>1406</v>
      </c>
      <c r="B40" s="461"/>
      <c r="C40" s="461"/>
      <c r="D40" s="462"/>
      <c r="E40" s="461"/>
      <c r="F40" s="470"/>
      <c r="G40" s="461"/>
      <c r="H40" s="470"/>
      <c r="I40" s="461"/>
      <c r="J40" s="470"/>
      <c r="K40" s="461"/>
      <c r="L40" s="470"/>
      <c r="M40" s="461"/>
      <c r="N40" s="470"/>
      <c r="O40" s="461"/>
      <c r="P40" s="486"/>
      <c r="Q40" s="486"/>
      <c r="R40" s="486"/>
      <c r="S40" s="486"/>
      <c r="T40" s="486"/>
      <c r="U40" s="461"/>
      <c r="V40" s="486"/>
      <c r="W40" s="461"/>
      <c r="X40" s="469" t="s">
        <v>1363</v>
      </c>
      <c r="Y40" s="488"/>
      <c r="Z40" s="488"/>
      <c r="AC40" s="461"/>
    </row>
    <row r="41" spans="1:29" ht="12" customHeight="1">
      <c r="A41" s="461" t="s">
        <v>808</v>
      </c>
      <c r="B41" s="461"/>
      <c r="C41" s="461"/>
      <c r="D41" s="462"/>
      <c r="E41" s="461"/>
      <c r="F41" s="474"/>
      <c r="G41" s="461"/>
      <c r="H41" s="474"/>
      <c r="I41" s="461"/>
      <c r="K41" s="461"/>
      <c r="L41" s="474"/>
      <c r="M41" s="461"/>
      <c r="O41" s="461"/>
      <c r="P41" s="1665"/>
      <c r="Q41" s="486"/>
      <c r="R41" s="1665"/>
      <c r="S41" s="1665"/>
      <c r="T41" s="1665"/>
      <c r="W41" s="461"/>
      <c r="X41" s="484" t="s">
        <v>1407</v>
      </c>
      <c r="Y41" s="484"/>
      <c r="Z41" s="484"/>
      <c r="AC41" s="461"/>
    </row>
    <row r="42" spans="1:29" ht="12" customHeight="1">
      <c r="A42" s="461" t="s">
        <v>1408</v>
      </c>
      <c r="B42" s="461"/>
      <c r="C42" s="461"/>
      <c r="D42" s="462">
        <v>18.190000000000001</v>
      </c>
      <c r="E42" s="461"/>
      <c r="F42" s="470">
        <f>'KK CF Des 24'!B38</f>
        <v>826004939945</v>
      </c>
      <c r="G42" s="461"/>
      <c r="H42" s="470">
        <f>'KK CF Konsol Sept 24'!B38</f>
        <v>649398050028</v>
      </c>
      <c r="I42" s="461"/>
      <c r="J42" s="470">
        <f>'KK CF Konsol Sept 23'!B37</f>
        <v>320718850062</v>
      </c>
      <c r="K42" s="461"/>
      <c r="L42" s="470">
        <f>ROUND('KK CF Konsol Juni 24'!B37,0)</f>
        <v>369706236685</v>
      </c>
      <c r="M42" s="461"/>
      <c r="N42" s="470">
        <f>ROUND('KK CF Konsol Juni 23'!B37,0)</f>
        <v>223626289709</v>
      </c>
      <c r="O42" s="461"/>
      <c r="P42" s="486">
        <v>527352848743</v>
      </c>
      <c r="Q42" s="486"/>
      <c r="R42" s="486">
        <v>417886251544</v>
      </c>
      <c r="S42" s="486"/>
      <c r="T42" s="486">
        <v>355278938231</v>
      </c>
      <c r="U42" s="461"/>
      <c r="V42" s="486">
        <f>'[188]CF Des 2020'!B38</f>
        <v>6138558333</v>
      </c>
      <c r="W42" s="461"/>
      <c r="X42" s="484" t="s">
        <v>1409</v>
      </c>
      <c r="Y42" s="484"/>
      <c r="Z42" s="484"/>
      <c r="AC42" s="461"/>
    </row>
    <row r="43" spans="1:29" ht="12" customHeight="1">
      <c r="A43" s="461" t="s">
        <v>1410</v>
      </c>
      <c r="B43" s="461"/>
      <c r="C43" s="461"/>
      <c r="D43" s="462">
        <v>18.190000000000001</v>
      </c>
      <c r="E43" s="461"/>
      <c r="F43" s="470">
        <f>'KK CF Des 24'!B39</f>
        <v>-793982710777</v>
      </c>
      <c r="G43" s="461"/>
      <c r="H43" s="470">
        <f>'KK CF Konsol Sept 24'!B39</f>
        <v>-653783580534</v>
      </c>
      <c r="I43" s="461"/>
      <c r="J43" s="470">
        <f>'KK CF Konsol Sept 23'!B38</f>
        <v>-316298545908</v>
      </c>
      <c r="K43" s="461"/>
      <c r="L43" s="470">
        <f>ROUND('KK CF Konsol Juni 24'!B38,0)</f>
        <v>-361652935773</v>
      </c>
      <c r="M43" s="461"/>
      <c r="N43" s="470">
        <f>ROUND('KK CF Konsol Juni 23'!B38,0)</f>
        <v>-216245927159</v>
      </c>
      <c r="O43" s="461"/>
      <c r="P43" s="486">
        <v>-495372719131</v>
      </c>
      <c r="Q43" s="486"/>
      <c r="R43" s="486">
        <v>-379120929829</v>
      </c>
      <c r="S43" s="486"/>
      <c r="T43" s="486">
        <v>-338461235558</v>
      </c>
      <c r="U43" s="461"/>
      <c r="V43" s="486">
        <f>'[188]CF Des 2020'!B39</f>
        <v>-3075000000</v>
      </c>
      <c r="W43" s="461"/>
      <c r="X43" s="484" t="s">
        <v>1411</v>
      </c>
      <c r="Y43" s="484"/>
      <c r="AC43" s="461"/>
    </row>
    <row r="44" spans="1:29" ht="12" customHeight="1">
      <c r="A44" s="461" t="s">
        <v>1412</v>
      </c>
      <c r="B44" s="461"/>
      <c r="C44" s="461"/>
      <c r="D44" s="462">
        <v>17</v>
      </c>
      <c r="E44" s="461"/>
      <c r="F44" s="470">
        <f>'KK CF Des 24'!B41</f>
        <v>-624277457</v>
      </c>
      <c r="G44" s="461"/>
      <c r="H44" s="470">
        <f>'KK CF Konsol Sept 24'!B41</f>
        <v>-624277457</v>
      </c>
      <c r="I44" s="461"/>
      <c r="J44" s="470">
        <v>0</v>
      </c>
      <c r="K44" s="461"/>
      <c r="L44" s="470">
        <f>'KK CF Konsol Juni 24'!B40</f>
        <v>-624277457</v>
      </c>
      <c r="M44" s="461"/>
      <c r="N44" s="470">
        <f>'KK CF Konsol Juni 23'!B39</f>
        <v>0</v>
      </c>
      <c r="O44" s="461"/>
      <c r="P44" s="486">
        <v>-3544941809</v>
      </c>
      <c r="Q44" s="486"/>
      <c r="R44" s="486">
        <v>0</v>
      </c>
      <c r="S44" s="486"/>
      <c r="T44" s="486">
        <v>0</v>
      </c>
      <c r="U44" s="461"/>
      <c r="V44" s="486"/>
      <c r="W44" s="461"/>
      <c r="X44" s="484" t="s">
        <v>1413</v>
      </c>
      <c r="Y44" s="484"/>
      <c r="AC44" s="461"/>
    </row>
    <row r="45" spans="1:29" ht="12" hidden="1" customHeight="1">
      <c r="A45" s="461" t="s">
        <v>82</v>
      </c>
      <c r="B45" s="461"/>
      <c r="C45" s="461"/>
      <c r="D45" s="462">
        <v>17</v>
      </c>
      <c r="E45" s="461"/>
      <c r="F45" s="470"/>
      <c r="G45" s="461"/>
      <c r="H45" s="470"/>
      <c r="I45" s="461"/>
      <c r="J45" s="470"/>
      <c r="K45" s="461"/>
      <c r="L45" s="470"/>
      <c r="M45" s="461"/>
      <c r="N45" s="470"/>
      <c r="O45" s="461"/>
      <c r="P45" s="486"/>
      <c r="Q45" s="486"/>
      <c r="R45" s="486"/>
      <c r="S45" s="486"/>
      <c r="T45" s="486"/>
      <c r="U45" s="461"/>
      <c r="V45" s="486"/>
      <c r="W45" s="461"/>
      <c r="X45" s="484" t="s">
        <v>1414</v>
      </c>
      <c r="Y45" s="484"/>
      <c r="AC45" s="461"/>
    </row>
    <row r="46" spans="1:29" ht="12" hidden="1" customHeight="1">
      <c r="A46" s="461"/>
      <c r="B46" s="461" t="s">
        <v>1415</v>
      </c>
      <c r="C46" s="461"/>
      <c r="D46" s="462"/>
      <c r="E46" s="461"/>
      <c r="F46" s="470"/>
      <c r="G46" s="461"/>
      <c r="H46" s="470"/>
      <c r="I46" s="461"/>
      <c r="J46" s="470"/>
      <c r="K46" s="461"/>
      <c r="L46" s="470"/>
      <c r="M46" s="461"/>
      <c r="N46" s="470"/>
      <c r="O46" s="461"/>
      <c r="P46" s="486"/>
      <c r="Q46" s="486"/>
      <c r="R46" s="486">
        <v>-143835319</v>
      </c>
      <c r="S46" s="486"/>
      <c r="T46" s="486"/>
      <c r="U46" s="461"/>
      <c r="V46" s="486"/>
      <c r="W46" s="461"/>
      <c r="X46" s="484" t="s">
        <v>1411</v>
      </c>
      <c r="Y46" s="484"/>
      <c r="AC46" s="461"/>
    </row>
    <row r="47" spans="1:29" ht="12" customHeight="1">
      <c r="A47" s="461" t="s">
        <v>1416</v>
      </c>
      <c r="B47" s="461"/>
      <c r="C47" s="461"/>
      <c r="D47" s="462"/>
      <c r="E47" s="461"/>
      <c r="F47" s="470"/>
      <c r="G47" s="461"/>
      <c r="H47" s="470"/>
      <c r="I47" s="461"/>
      <c r="J47" s="470"/>
      <c r="K47" s="461"/>
      <c r="L47" s="470"/>
      <c r="M47" s="461"/>
      <c r="N47" s="470"/>
      <c r="O47" s="461"/>
      <c r="P47" s="486"/>
      <c r="Q47" s="486"/>
      <c r="R47" s="486"/>
      <c r="S47" s="486"/>
      <c r="T47" s="486"/>
      <c r="U47" s="461"/>
      <c r="V47" s="486"/>
      <c r="W47" s="461"/>
      <c r="X47" s="484" t="s">
        <v>1417</v>
      </c>
      <c r="Y47" s="484"/>
      <c r="AC47" s="461"/>
    </row>
    <row r="48" spans="1:29" ht="12" customHeight="1">
      <c r="A48" s="461" t="s">
        <v>1081</v>
      </c>
      <c r="B48" s="461"/>
      <c r="C48" s="461"/>
      <c r="D48" s="462">
        <v>16</v>
      </c>
      <c r="E48" s="461"/>
      <c r="F48" s="470">
        <f>'KK CF Des 24'!B43</f>
        <v>-76360023</v>
      </c>
      <c r="G48" s="461"/>
      <c r="H48" s="470"/>
      <c r="I48" s="461"/>
      <c r="J48" s="470"/>
      <c r="K48" s="461"/>
      <c r="L48" s="470"/>
      <c r="M48" s="461"/>
      <c r="N48" s="470"/>
      <c r="O48" s="461"/>
      <c r="P48" s="486">
        <v>0</v>
      </c>
      <c r="Q48" s="486"/>
      <c r="R48" s="486"/>
      <c r="S48" s="486"/>
      <c r="T48" s="486"/>
      <c r="U48" s="461"/>
      <c r="V48" s="486"/>
      <c r="W48" s="461"/>
      <c r="X48" s="484" t="s">
        <v>1418</v>
      </c>
      <c r="Y48" s="484"/>
      <c r="AC48" s="461"/>
    </row>
    <row r="49" spans="1:29" ht="12" customHeight="1">
      <c r="A49" s="461" t="s">
        <v>1419</v>
      </c>
      <c r="B49" s="461"/>
      <c r="C49" s="461"/>
      <c r="D49" s="462"/>
      <c r="E49" s="461"/>
      <c r="F49" s="470"/>
      <c r="G49" s="461"/>
      <c r="H49" s="470"/>
      <c r="I49" s="461"/>
      <c r="J49" s="470"/>
      <c r="K49" s="461"/>
      <c r="L49" s="470"/>
      <c r="M49" s="461"/>
      <c r="N49" s="470"/>
      <c r="O49" s="461"/>
      <c r="P49" s="486"/>
      <c r="Q49" s="486"/>
      <c r="R49" s="486"/>
      <c r="S49" s="486"/>
      <c r="T49" s="486"/>
      <c r="U49" s="461"/>
      <c r="V49" s="486"/>
      <c r="W49" s="461"/>
      <c r="X49" s="488" t="s">
        <v>1420</v>
      </c>
      <c r="Y49" s="484"/>
      <c r="Z49" s="496"/>
      <c r="AA49" s="496"/>
      <c r="AB49" s="496"/>
      <c r="AC49" s="461"/>
    </row>
    <row r="50" spans="1:29" ht="12" customHeight="1">
      <c r="A50" s="461" t="s">
        <v>1279</v>
      </c>
      <c r="B50" s="461"/>
      <c r="C50" s="461"/>
      <c r="D50" s="462">
        <v>21</v>
      </c>
      <c r="E50" s="461"/>
      <c r="F50" s="470">
        <f>'KK CF Des 24'!B44</f>
        <v>14500000000</v>
      </c>
      <c r="G50" s="461"/>
      <c r="H50" s="470">
        <f>'KK CF Konsol Sept 24'!B44</f>
        <v>14500000000</v>
      </c>
      <c r="I50" s="461"/>
      <c r="J50" s="470">
        <v>0</v>
      </c>
      <c r="K50" s="461"/>
      <c r="L50" s="470"/>
      <c r="M50" s="461"/>
      <c r="N50" s="470"/>
      <c r="O50" s="461"/>
      <c r="P50" s="486">
        <v>0</v>
      </c>
      <c r="Q50" s="486"/>
      <c r="R50" s="486"/>
      <c r="S50" s="486"/>
      <c r="T50" s="486"/>
      <c r="U50" s="461"/>
      <c r="V50" s="486"/>
      <c r="W50" s="461"/>
      <c r="X50" s="484" t="s">
        <v>1421</v>
      </c>
      <c r="AC50" s="461"/>
    </row>
    <row r="51" spans="1:29" ht="12" customHeight="1">
      <c r="A51" s="461" t="s">
        <v>1422</v>
      </c>
      <c r="B51" s="461"/>
      <c r="C51" s="461"/>
      <c r="D51" s="462"/>
      <c r="E51" s="461"/>
      <c r="F51" s="470"/>
      <c r="G51" s="461"/>
      <c r="H51" s="470"/>
      <c r="I51" s="461"/>
      <c r="J51" s="470"/>
      <c r="K51" s="461"/>
      <c r="L51" s="470"/>
      <c r="M51" s="461"/>
      <c r="N51" s="470"/>
      <c r="O51" s="461"/>
      <c r="P51" s="486"/>
      <c r="Q51" s="486"/>
      <c r="R51" s="486"/>
      <c r="S51" s="486"/>
      <c r="T51" s="486"/>
      <c r="U51" s="461"/>
      <c r="V51" s="486"/>
      <c r="W51" s="461"/>
      <c r="X51" s="484" t="s">
        <v>1423</v>
      </c>
      <c r="AC51" s="461"/>
    </row>
    <row r="52" spans="1:29" ht="12" customHeight="1">
      <c r="A52" s="461" t="s">
        <v>1424</v>
      </c>
      <c r="B52" s="461"/>
      <c r="C52" s="461"/>
      <c r="D52" s="462">
        <v>22</v>
      </c>
      <c r="E52" s="461"/>
      <c r="F52" s="470">
        <f>'KK CF Des 24'!B45</f>
        <v>58000000000</v>
      </c>
      <c r="G52" s="461"/>
      <c r="H52" s="470">
        <f>'KK CF Konsol Sept 24'!B45</f>
        <v>58000000000</v>
      </c>
      <c r="I52" s="461"/>
      <c r="J52" s="470">
        <v>0</v>
      </c>
      <c r="K52" s="461"/>
      <c r="L52" s="470"/>
      <c r="M52" s="461"/>
      <c r="N52" s="470"/>
      <c r="O52" s="461"/>
      <c r="P52" s="486">
        <v>0</v>
      </c>
      <c r="Q52" s="486"/>
      <c r="R52" s="486"/>
      <c r="S52" s="486"/>
      <c r="T52" s="486"/>
      <c r="U52" s="461"/>
      <c r="V52" s="486"/>
      <c r="W52" s="461"/>
      <c r="X52" s="484" t="s">
        <v>1425</v>
      </c>
      <c r="AC52" s="461"/>
    </row>
    <row r="53" spans="1:29" ht="12" hidden="1" customHeight="1">
      <c r="A53" s="461"/>
      <c r="B53" s="461"/>
      <c r="C53" s="461"/>
      <c r="D53" s="462"/>
      <c r="E53" s="461"/>
      <c r="F53" s="470"/>
      <c r="G53" s="461"/>
      <c r="H53" s="470"/>
      <c r="I53" s="461"/>
      <c r="J53" s="470"/>
      <c r="K53" s="461"/>
      <c r="L53" s="470"/>
      <c r="M53" s="461"/>
      <c r="N53" s="470"/>
      <c r="O53" s="461"/>
      <c r="P53" s="486"/>
      <c r="Q53" s="486"/>
      <c r="R53" s="486"/>
      <c r="S53" s="486"/>
      <c r="T53" s="486"/>
      <c r="U53" s="461"/>
      <c r="V53" s="486"/>
      <c r="W53" s="461"/>
      <c r="X53" s="484" t="s">
        <v>1426</v>
      </c>
      <c r="AC53" s="461"/>
    </row>
    <row r="54" spans="1:29" ht="12" customHeight="1">
      <c r="A54" s="1125" t="s">
        <v>1427</v>
      </c>
      <c r="C54" s="461"/>
      <c r="D54" s="462">
        <v>22</v>
      </c>
      <c r="E54" s="461"/>
      <c r="F54" s="470">
        <f>'KK CF Des 24'!B46</f>
        <v>-3115944915</v>
      </c>
      <c r="G54" s="461"/>
      <c r="H54" s="470">
        <f>'KK CF Konsol Sept 24'!B46</f>
        <v>-3115944915</v>
      </c>
      <c r="I54" s="461"/>
      <c r="J54" s="470">
        <v>0</v>
      </c>
      <c r="K54" s="461"/>
      <c r="L54" s="470"/>
      <c r="M54" s="461"/>
      <c r="N54" s="470"/>
      <c r="O54" s="461"/>
      <c r="P54" s="486">
        <v>0</v>
      </c>
      <c r="Q54" s="486"/>
      <c r="R54" s="486"/>
      <c r="S54" s="486"/>
      <c r="T54" s="486"/>
      <c r="U54" s="461"/>
      <c r="V54" s="486"/>
      <c r="W54" s="461"/>
      <c r="X54" s="1126" t="s">
        <v>1288</v>
      </c>
      <c r="Y54" s="484"/>
      <c r="Z54" s="484"/>
      <c r="AC54" s="461"/>
    </row>
    <row r="55" spans="1:29" ht="12" customHeight="1">
      <c r="A55" s="1125" t="s">
        <v>1428</v>
      </c>
      <c r="C55" s="461"/>
      <c r="D55" s="462"/>
      <c r="E55" s="461"/>
      <c r="F55" s="470"/>
      <c r="G55" s="461"/>
      <c r="H55" s="470"/>
      <c r="I55" s="461"/>
      <c r="J55" s="470"/>
      <c r="K55" s="461"/>
      <c r="L55" s="470"/>
      <c r="M55" s="461"/>
      <c r="N55" s="470"/>
      <c r="O55" s="461"/>
      <c r="P55" s="486"/>
      <c r="Q55" s="486"/>
      <c r="R55" s="486"/>
      <c r="S55" s="486"/>
      <c r="T55" s="486"/>
      <c r="U55" s="461"/>
      <c r="V55" s="486"/>
      <c r="W55" s="461"/>
      <c r="X55" s="1126" t="s">
        <v>1429</v>
      </c>
      <c r="Y55" s="484"/>
      <c r="Z55" s="484"/>
      <c r="AC55" s="461"/>
    </row>
    <row r="56" spans="1:29" ht="12" customHeight="1">
      <c r="A56" s="1125"/>
      <c r="B56" s="483" t="s">
        <v>1430</v>
      </c>
      <c r="C56" s="461"/>
      <c r="D56" s="462"/>
      <c r="E56" s="461"/>
      <c r="F56" s="470">
        <v>0</v>
      </c>
      <c r="G56" s="461"/>
      <c r="H56" s="470">
        <v>0</v>
      </c>
      <c r="I56" s="461"/>
      <c r="J56" s="470">
        <f>'KK CF Konsol Sept 23'!B43</f>
        <v>755097100</v>
      </c>
      <c r="K56" s="461"/>
      <c r="L56" s="470">
        <v>0</v>
      </c>
      <c r="M56" s="461"/>
      <c r="N56" s="470">
        <f>'KK CF Konsol Juni 23'!B43</f>
        <v>780097100</v>
      </c>
      <c r="O56" s="461"/>
      <c r="P56" s="486">
        <v>62502100</v>
      </c>
      <c r="Q56" s="486"/>
      <c r="R56" s="486">
        <v>395825195</v>
      </c>
      <c r="S56" s="486"/>
      <c r="T56" s="486"/>
      <c r="U56" s="461"/>
      <c r="V56" s="486"/>
      <c r="W56" s="461"/>
      <c r="X56" s="1126"/>
      <c r="Y56" s="1126" t="s">
        <v>1431</v>
      </c>
      <c r="Z56" s="484"/>
      <c r="AC56" s="461"/>
    </row>
    <row r="57" spans="1:29" ht="12" customHeight="1" thickBot="1">
      <c r="A57" s="1125"/>
      <c r="B57" s="483" t="s">
        <v>1432</v>
      </c>
      <c r="C57" s="468"/>
      <c r="D57" s="462">
        <v>14</v>
      </c>
      <c r="E57" s="468"/>
      <c r="F57" s="474">
        <f>'KK CF Des 24'!B47</f>
        <v>-595676695</v>
      </c>
      <c r="G57" s="468"/>
      <c r="H57" s="474">
        <f>'KK CF Konsol Sept 24'!B47</f>
        <v>-595676695</v>
      </c>
      <c r="I57" s="468"/>
      <c r="J57" s="474">
        <v>0</v>
      </c>
      <c r="K57" s="468"/>
      <c r="L57" s="474">
        <f>'KK CF Konsol Juni 24'!B43</f>
        <v>-595676695</v>
      </c>
      <c r="M57" s="468"/>
      <c r="N57" s="474">
        <v>0</v>
      </c>
      <c r="O57" s="468"/>
      <c r="P57" s="1665">
        <v>0</v>
      </c>
      <c r="Q57" s="507"/>
      <c r="R57" s="487"/>
      <c r="S57" s="507"/>
      <c r="T57" s="1127">
        <v>-247604400</v>
      </c>
      <c r="U57" s="460"/>
      <c r="V57" s="486">
        <v>0</v>
      </c>
      <c r="W57" s="460"/>
      <c r="Y57" s="1126" t="s">
        <v>1433</v>
      </c>
      <c r="AC57" s="468"/>
    </row>
    <row r="58" spans="1:29" ht="15" hidden="1" thickBot="1">
      <c r="A58" s="461"/>
      <c r="B58" s="461" t="s">
        <v>1415</v>
      </c>
      <c r="C58" s="461"/>
      <c r="D58" s="476">
        <v>14</v>
      </c>
      <c r="E58" s="461"/>
      <c r="F58" s="1128"/>
      <c r="G58" s="461"/>
      <c r="H58" s="1128"/>
      <c r="I58" s="461"/>
      <c r="J58" s="1128"/>
      <c r="K58" s="461"/>
      <c r="L58" s="1128"/>
      <c r="M58" s="461"/>
      <c r="N58" s="1128"/>
      <c r="O58" s="461"/>
      <c r="P58" s="1127" t="s">
        <v>315</v>
      </c>
      <c r="Q58" s="1127"/>
      <c r="R58" s="1127"/>
      <c r="S58" s="1127"/>
      <c r="T58" s="486">
        <v>-247604400</v>
      </c>
      <c r="U58" s="461"/>
      <c r="V58" s="486"/>
      <c r="W58" s="461"/>
      <c r="Y58" s="488" t="s">
        <v>1434</v>
      </c>
      <c r="Z58" s="484"/>
      <c r="AC58" s="461"/>
    </row>
    <row r="59" spans="1:29" ht="5.0999999999999996" customHeight="1">
      <c r="A59" s="461"/>
      <c r="B59" s="461"/>
      <c r="C59" s="461"/>
      <c r="D59" s="462"/>
      <c r="E59" s="461"/>
      <c r="F59" s="1129"/>
      <c r="G59" s="461"/>
      <c r="H59" s="1129"/>
      <c r="I59" s="461"/>
      <c r="J59" s="1129"/>
      <c r="K59" s="461"/>
      <c r="L59" s="1129"/>
      <c r="M59" s="461"/>
      <c r="N59" s="1129"/>
      <c r="O59" s="461"/>
      <c r="P59" s="1130"/>
      <c r="Q59" s="486"/>
      <c r="R59" s="486"/>
      <c r="S59" s="486"/>
      <c r="T59" s="1130"/>
      <c r="U59" s="461"/>
      <c r="V59" s="1131"/>
      <c r="W59" s="461"/>
      <c r="X59" s="488"/>
      <c r="Z59" s="484"/>
      <c r="AC59" s="461"/>
    </row>
    <row r="60" spans="1:29" ht="12" customHeight="1">
      <c r="A60" s="468" t="s">
        <v>1435</v>
      </c>
      <c r="B60" s="461"/>
      <c r="C60" s="461"/>
      <c r="D60" s="462"/>
      <c r="E60" s="461"/>
      <c r="F60" s="470"/>
      <c r="G60" s="461"/>
      <c r="H60" s="470"/>
      <c r="I60" s="461"/>
      <c r="J60" s="470"/>
      <c r="K60" s="461"/>
      <c r="L60" s="470"/>
      <c r="M60" s="461"/>
      <c r="N60" s="470"/>
      <c r="O60" s="461"/>
      <c r="P60" s="486"/>
      <c r="Q60" s="486"/>
      <c r="R60" s="486"/>
      <c r="S60" s="486"/>
      <c r="T60" s="486"/>
      <c r="U60" s="461"/>
      <c r="V60" s="486"/>
      <c r="W60" s="461"/>
      <c r="X60" s="502" t="s">
        <v>1436</v>
      </c>
      <c r="Z60" s="484"/>
      <c r="AC60" s="461"/>
    </row>
    <row r="61" spans="1:29" ht="12" customHeight="1" thickBot="1">
      <c r="A61" s="468" t="s">
        <v>1437</v>
      </c>
      <c r="B61" s="468"/>
      <c r="C61" s="468"/>
      <c r="D61" s="462"/>
      <c r="E61" s="468"/>
      <c r="F61" s="491">
        <f>SUBTOTAL(9,F42:F57)</f>
        <v>100109970078</v>
      </c>
      <c r="G61" s="468"/>
      <c r="H61" s="491">
        <f>SUBTOTAL(9,H42:H57)</f>
        <v>63778570427</v>
      </c>
      <c r="I61" s="468"/>
      <c r="J61" s="492">
        <f>SUBTOTAL(9,J42:J57)</f>
        <v>5175401254</v>
      </c>
      <c r="K61" s="468"/>
      <c r="L61" s="491">
        <f>SUBTOTAL(9,L42:L57)</f>
        <v>6833346760</v>
      </c>
      <c r="M61" s="468"/>
      <c r="N61" s="492">
        <f>SUBTOTAL(9,N42:N57)</f>
        <v>8160459650</v>
      </c>
      <c r="O61" s="468"/>
      <c r="P61" s="492">
        <f>SUBTOTAL(9,P42:P58)</f>
        <v>28497689903</v>
      </c>
      <c r="Q61" s="495"/>
      <c r="R61" s="492">
        <f>SUM(R42:R57)</f>
        <v>39017311591</v>
      </c>
      <c r="S61" s="495"/>
      <c r="T61" s="492">
        <v>19415033454</v>
      </c>
      <c r="U61" s="468"/>
      <c r="V61" s="492">
        <f>SUM(V42:V57)</f>
        <v>3063558333</v>
      </c>
      <c r="W61" s="468"/>
      <c r="X61" s="469" t="s">
        <v>1438</v>
      </c>
      <c r="Y61" s="484"/>
      <c r="Z61" s="484"/>
      <c r="AA61" s="496"/>
      <c r="AB61" s="496"/>
      <c r="AC61" s="468"/>
    </row>
    <row r="62" spans="1:29" hidden="1">
      <c r="A62" s="461"/>
      <c r="B62" s="461"/>
      <c r="C62" s="461"/>
      <c r="D62" s="490"/>
      <c r="E62" s="461"/>
      <c r="F62" s="470"/>
      <c r="G62" s="461"/>
      <c r="H62" s="470"/>
      <c r="I62" s="461"/>
      <c r="J62" s="461"/>
      <c r="K62" s="461"/>
      <c r="L62" s="470"/>
      <c r="M62" s="461"/>
      <c r="N62" s="461"/>
      <c r="O62" s="461"/>
      <c r="P62" s="486"/>
      <c r="Q62" s="486"/>
      <c r="R62" s="486"/>
      <c r="S62" s="486"/>
      <c r="T62" s="486"/>
      <c r="U62" s="461"/>
      <c r="V62" s="486"/>
      <c r="W62" s="461"/>
      <c r="X62" s="496"/>
      <c r="Y62" s="484"/>
      <c r="Z62" s="484"/>
      <c r="AA62" s="496"/>
      <c r="AB62" s="496"/>
      <c r="AC62" s="461"/>
    </row>
    <row r="63" spans="1:29" ht="5.0999999999999996" customHeight="1">
      <c r="A63" s="503"/>
      <c r="B63" s="468"/>
      <c r="C63" s="461"/>
      <c r="D63" s="462"/>
      <c r="E63" s="461"/>
      <c r="F63" s="470"/>
      <c r="G63" s="461"/>
      <c r="H63" s="470"/>
      <c r="I63" s="461"/>
      <c r="J63" s="461"/>
      <c r="K63" s="461"/>
      <c r="L63" s="470"/>
      <c r="M63" s="461"/>
      <c r="N63" s="461"/>
      <c r="O63" s="461"/>
      <c r="P63" s="486"/>
      <c r="Q63" s="486"/>
      <c r="R63" s="486"/>
      <c r="S63" s="486"/>
      <c r="T63" s="486"/>
      <c r="U63" s="461"/>
      <c r="V63" s="486"/>
      <c r="W63" s="461"/>
      <c r="X63" s="502"/>
      <c r="AC63" s="461"/>
    </row>
    <row r="64" spans="1:29" ht="12" customHeight="1">
      <c r="A64" s="504" t="s">
        <v>1439</v>
      </c>
      <c r="B64" s="468"/>
      <c r="C64" s="461"/>
      <c r="D64" s="462"/>
      <c r="E64" s="461"/>
      <c r="F64" s="470"/>
      <c r="G64" s="461"/>
      <c r="H64" s="470"/>
      <c r="I64" s="461"/>
      <c r="J64" s="461"/>
      <c r="K64" s="461"/>
      <c r="L64" s="470"/>
      <c r="M64" s="461"/>
      <c r="N64" s="461"/>
      <c r="O64" s="461"/>
      <c r="P64" s="486"/>
      <c r="Q64" s="486"/>
      <c r="R64" s="486"/>
      <c r="S64" s="486"/>
      <c r="T64" s="486"/>
      <c r="U64" s="461"/>
      <c r="V64" s="486"/>
      <c r="W64" s="461"/>
      <c r="X64" s="505" t="s">
        <v>1440</v>
      </c>
      <c r="AC64" s="461"/>
    </row>
    <row r="65" spans="1:29" ht="12" customHeight="1">
      <c r="A65" s="460" t="s">
        <v>1441</v>
      </c>
      <c r="B65" s="468"/>
      <c r="C65" s="468"/>
      <c r="D65" s="462"/>
      <c r="E65" s="468"/>
      <c r="F65" s="506">
        <f>F61+F37+F22</f>
        <v>-1651911870.2399902</v>
      </c>
      <c r="G65" s="468"/>
      <c r="H65" s="506">
        <f>H61+H37+H22</f>
        <v>10617267044</v>
      </c>
      <c r="I65" s="468"/>
      <c r="J65" s="506">
        <f>J61+J37+J22</f>
        <v>-2106095716.8627701</v>
      </c>
      <c r="K65" s="468"/>
      <c r="L65" s="506">
        <f>L61+L37+L22</f>
        <v>-2004234558</v>
      </c>
      <c r="M65" s="468"/>
      <c r="N65" s="506">
        <f>N61+N37+N22</f>
        <v>812594307</v>
      </c>
      <c r="O65" s="468"/>
      <c r="P65" s="507">
        <f>P61+P37+P22</f>
        <v>-2350347608.0993042</v>
      </c>
      <c r="Q65" s="495"/>
      <c r="R65" s="507">
        <f>R61+R37+R22</f>
        <v>-52376621</v>
      </c>
      <c r="S65" s="495"/>
      <c r="T65" s="507">
        <f>T61+T37+T22</f>
        <v>-541770942</v>
      </c>
      <c r="U65" s="468"/>
      <c r="V65" s="507">
        <f>V61+V37+V22</f>
        <v>-16352574699.999979</v>
      </c>
      <c r="W65" s="468"/>
      <c r="X65" s="502" t="s">
        <v>1442</v>
      </c>
      <c r="AC65" s="468"/>
    </row>
    <row r="66" spans="1:29" ht="10.35" customHeight="1">
      <c r="A66" s="503"/>
      <c r="B66" s="468"/>
      <c r="C66" s="468"/>
      <c r="D66" s="490"/>
      <c r="E66" s="468"/>
      <c r="F66" s="494"/>
      <c r="G66" s="468"/>
      <c r="H66" s="494"/>
      <c r="I66" s="468"/>
      <c r="J66" s="468"/>
      <c r="K66" s="468"/>
      <c r="L66" s="494"/>
      <c r="M66" s="468"/>
      <c r="N66" s="468"/>
      <c r="O66" s="468"/>
      <c r="P66" s="495"/>
      <c r="Q66" s="495"/>
      <c r="R66" s="507"/>
      <c r="S66" s="495"/>
      <c r="T66" s="507"/>
      <c r="U66" s="468"/>
      <c r="V66" s="507"/>
      <c r="W66" s="468"/>
      <c r="X66" s="488"/>
      <c r="AC66" s="468"/>
    </row>
    <row r="67" spans="1:29" ht="12" customHeight="1">
      <c r="A67" s="468" t="s">
        <v>1443</v>
      </c>
      <c r="B67" s="461"/>
      <c r="C67" s="461"/>
      <c r="D67" s="490"/>
      <c r="E67" s="461"/>
      <c r="F67" s="470"/>
      <c r="G67" s="461"/>
      <c r="H67" s="470"/>
      <c r="I67" s="461"/>
      <c r="J67" s="461"/>
      <c r="K67" s="461"/>
      <c r="L67" s="470"/>
      <c r="M67" s="461"/>
      <c r="N67" s="461"/>
      <c r="O67" s="461"/>
      <c r="P67" s="486"/>
      <c r="Q67" s="486"/>
      <c r="R67" s="486"/>
      <c r="S67" s="486"/>
      <c r="T67" s="486"/>
      <c r="U67" s="461"/>
      <c r="V67" s="486"/>
      <c r="W67" s="461"/>
      <c r="X67" s="469" t="s">
        <v>1444</v>
      </c>
      <c r="Z67" s="484"/>
      <c r="AC67" s="461"/>
    </row>
    <row r="68" spans="1:29" hidden="1">
      <c r="A68" s="460"/>
      <c r="B68" s="461"/>
      <c r="C68" s="461"/>
      <c r="D68" s="462"/>
      <c r="E68" s="461"/>
      <c r="F68" s="470"/>
      <c r="G68" s="461"/>
      <c r="H68" s="470"/>
      <c r="I68" s="461"/>
      <c r="J68" s="461"/>
      <c r="K68" s="461"/>
      <c r="L68" s="470"/>
      <c r="M68" s="461"/>
      <c r="N68" s="461"/>
      <c r="O68" s="461"/>
      <c r="P68" s="486"/>
      <c r="Q68" s="486"/>
      <c r="R68" s="486"/>
      <c r="S68" s="486"/>
      <c r="T68" s="486"/>
      <c r="U68" s="461"/>
      <c r="V68" s="486"/>
      <c r="W68" s="461"/>
      <c r="X68" s="469"/>
      <c r="Y68" s="496"/>
      <c r="Z68" s="496"/>
      <c r="AA68" s="496"/>
      <c r="AB68" s="496"/>
      <c r="AC68" s="461"/>
    </row>
    <row r="69" spans="1:29" ht="12" customHeight="1">
      <c r="A69" s="468" t="s">
        <v>1445</v>
      </c>
      <c r="B69" s="468"/>
      <c r="C69" s="468"/>
      <c r="D69" s="462"/>
      <c r="E69" s="468"/>
      <c r="F69" s="508">
        <f>'WS Konsol'!AI52</f>
        <v>2570121355</v>
      </c>
      <c r="G69" s="468"/>
      <c r="H69" s="508">
        <f>'BS Konsol-Des 24'!Q11</f>
        <v>2570121355</v>
      </c>
      <c r="I69" s="468"/>
      <c r="J69" s="508">
        <f>'BS Konsol-Des 24'!S11</f>
        <v>4920468963</v>
      </c>
      <c r="K69" s="468"/>
      <c r="L69" s="508">
        <f>P73</f>
        <v>2570121354.9006939</v>
      </c>
      <c r="M69" s="468"/>
      <c r="N69" s="508">
        <f>'WS Konsol'!BF52</f>
        <v>4920468963</v>
      </c>
      <c r="O69" s="468"/>
      <c r="P69" s="509">
        <f>R73</f>
        <v>4920468962.9999981</v>
      </c>
      <c r="Q69" s="495"/>
      <c r="R69" s="509">
        <f>T73</f>
        <v>4972845583.9999981</v>
      </c>
      <c r="S69" s="495"/>
      <c r="T69" s="509">
        <v>5514616525.9999981</v>
      </c>
      <c r="U69" s="468"/>
      <c r="V69" s="509">
        <f>'[188]WS Des Konsol Update'!AR57</f>
        <v>22532809247</v>
      </c>
      <c r="W69" s="468"/>
      <c r="X69" s="502" t="s">
        <v>1446</v>
      </c>
      <c r="AC69" s="468"/>
    </row>
    <row r="70" spans="1:29" ht="10.35" customHeight="1">
      <c r="A70" s="468"/>
      <c r="B70" s="468"/>
      <c r="C70" s="468"/>
      <c r="D70" s="490"/>
      <c r="E70" s="468"/>
      <c r="F70" s="494"/>
      <c r="G70" s="468"/>
      <c r="H70" s="494"/>
      <c r="I70" s="468"/>
      <c r="J70" s="468"/>
      <c r="K70" s="468"/>
      <c r="L70" s="494"/>
      <c r="M70" s="468"/>
      <c r="N70" s="468"/>
      <c r="O70" s="468"/>
      <c r="P70" s="495"/>
      <c r="Q70" s="495"/>
      <c r="R70" s="507"/>
      <c r="S70" s="495"/>
      <c r="T70" s="507"/>
      <c r="U70" s="468"/>
      <c r="V70" s="507"/>
      <c r="W70" s="468"/>
      <c r="X70" s="502"/>
      <c r="AC70" s="468"/>
    </row>
    <row r="71" spans="1:29" ht="12" customHeight="1">
      <c r="A71" s="468" t="s">
        <v>1443</v>
      </c>
      <c r="B71" s="461"/>
      <c r="C71" s="461"/>
      <c r="D71" s="490"/>
      <c r="E71" s="461"/>
      <c r="F71" s="470"/>
      <c r="G71" s="461"/>
      <c r="H71" s="470"/>
      <c r="I71" s="461"/>
      <c r="J71" s="461"/>
      <c r="K71" s="461"/>
      <c r="L71" s="470"/>
      <c r="M71" s="461"/>
      <c r="N71" s="461"/>
      <c r="O71" s="461"/>
      <c r="P71" s="486"/>
      <c r="Q71" s="486"/>
      <c r="R71" s="486"/>
      <c r="S71" s="486"/>
      <c r="T71" s="486"/>
      <c r="U71" s="461"/>
      <c r="V71" s="486"/>
      <c r="W71" s="461"/>
      <c r="X71" s="502" t="s">
        <v>1444</v>
      </c>
      <c r="Y71" s="501"/>
      <c r="Z71" s="469"/>
      <c r="AC71" s="461"/>
    </row>
    <row r="72" spans="1:29" hidden="1">
      <c r="A72" s="460"/>
      <c r="B72" s="461"/>
      <c r="C72" s="461"/>
      <c r="D72" s="462"/>
      <c r="E72" s="461"/>
      <c r="F72" s="470"/>
      <c r="G72" s="461"/>
      <c r="H72" s="470"/>
      <c r="I72" s="461"/>
      <c r="J72" s="461"/>
      <c r="K72" s="461"/>
      <c r="L72" s="470"/>
      <c r="M72" s="461"/>
      <c r="N72" s="461"/>
      <c r="O72" s="461"/>
      <c r="P72" s="486"/>
      <c r="Q72" s="486"/>
      <c r="R72" s="486"/>
      <c r="S72" s="486"/>
      <c r="T72" s="486"/>
      <c r="U72" s="461"/>
      <c r="V72" s="486"/>
      <c r="W72" s="461"/>
      <c r="X72" s="501"/>
      <c r="Y72" s="469"/>
      <c r="Z72" s="496"/>
      <c r="AA72" s="496"/>
      <c r="AB72" s="496"/>
      <c r="AC72" s="461"/>
    </row>
    <row r="73" spans="1:29" ht="12" customHeight="1" thickBot="1">
      <c r="A73" s="468" t="s">
        <v>1447</v>
      </c>
      <c r="B73" s="468"/>
      <c r="C73" s="468"/>
      <c r="D73" s="462"/>
      <c r="E73" s="468"/>
      <c r="F73" s="510">
        <f>ROUND((F65+F69),0)</f>
        <v>918209485</v>
      </c>
      <c r="G73" s="468"/>
      <c r="H73" s="510">
        <f>ROUND((H65+H69),0)</f>
        <v>13187388399</v>
      </c>
      <c r="I73" s="468"/>
      <c r="J73" s="510">
        <f>J65+J69</f>
        <v>2814373246.1372299</v>
      </c>
      <c r="K73" s="468"/>
      <c r="L73" s="510">
        <f>ROUND((L65+L69),0)</f>
        <v>565886797</v>
      </c>
      <c r="M73" s="468"/>
      <c r="N73" s="510">
        <f>N65+N69</f>
        <v>5733063270</v>
      </c>
      <c r="O73" s="468"/>
      <c r="P73" s="511">
        <f>P65+P69</f>
        <v>2570121354.9006939</v>
      </c>
      <c r="Q73" s="495"/>
      <c r="R73" s="511">
        <f>R65+R69</f>
        <v>4920468962.9999981</v>
      </c>
      <c r="S73" s="495"/>
      <c r="T73" s="511">
        <f>SUM(T65:T69)</f>
        <v>4972845583.9999981</v>
      </c>
      <c r="U73" s="461"/>
      <c r="V73" s="511">
        <f>V65+V69</f>
        <v>6180234547.000021</v>
      </c>
      <c r="W73" s="468"/>
      <c r="X73" s="493" t="s">
        <v>1448</v>
      </c>
      <c r="AC73" s="468"/>
    </row>
    <row r="74" spans="1:29" ht="3.75" customHeight="1" thickTop="1">
      <c r="A74" s="460"/>
      <c r="B74" s="461"/>
      <c r="C74" s="461"/>
      <c r="D74" s="490"/>
      <c r="E74" s="461"/>
      <c r="F74" s="1038"/>
      <c r="G74" s="461"/>
      <c r="H74" s="1038"/>
      <c r="I74" s="461"/>
      <c r="J74" s="461"/>
      <c r="K74" s="461"/>
      <c r="L74" s="1038"/>
      <c r="M74" s="461"/>
      <c r="N74" s="461"/>
      <c r="O74" s="461"/>
      <c r="P74" s="486"/>
      <c r="Q74" s="486"/>
      <c r="R74" s="486"/>
      <c r="S74" s="486"/>
      <c r="T74" s="486"/>
      <c r="U74" s="461"/>
      <c r="V74" s="486"/>
      <c r="W74" s="461"/>
      <c r="X74" s="502"/>
      <c r="Y74" s="496"/>
      <c r="Z74" s="496"/>
      <c r="AC74" s="461"/>
    </row>
    <row r="75" spans="1:29">
      <c r="A75" s="497"/>
      <c r="B75" s="461"/>
      <c r="C75" s="461"/>
      <c r="D75" s="462"/>
      <c r="E75" s="461"/>
      <c r="F75" s="1038"/>
      <c r="G75" s="461"/>
      <c r="H75" s="1038"/>
      <c r="I75" s="461"/>
      <c r="J75" s="461"/>
      <c r="K75" s="461"/>
      <c r="L75" s="1038"/>
      <c r="M75" s="461"/>
      <c r="N75" s="461"/>
      <c r="O75" s="461"/>
      <c r="P75" s="486"/>
      <c r="Q75" s="486"/>
      <c r="R75" s="486"/>
      <c r="S75" s="486"/>
      <c r="T75" s="486"/>
      <c r="U75" s="461"/>
      <c r="V75" s="486"/>
      <c r="W75" s="461"/>
      <c r="X75" s="512"/>
      <c r="AC75" s="461"/>
    </row>
    <row r="76" spans="1:29">
      <c r="A76" s="513"/>
      <c r="B76" s="461"/>
      <c r="C76" s="461"/>
      <c r="D76" s="462"/>
      <c r="E76" s="461"/>
      <c r="F76" s="2144">
        <f>'BS Konsol-Des 24'!G11</f>
        <v>918209485</v>
      </c>
      <c r="G76" s="461"/>
      <c r="H76" s="1041">
        <f>'BS Konsol-Des 24'!I11</f>
        <v>13187388399</v>
      </c>
      <c r="I76" s="461"/>
      <c r="J76" s="1040">
        <f>'BS Konsol-Des 24'!K11</f>
        <v>2814373246</v>
      </c>
      <c r="K76" s="461"/>
      <c r="L76" s="1041">
        <f>'BS Konsol'!H11</f>
        <v>565886797</v>
      </c>
      <c r="M76" s="461"/>
      <c r="N76" s="1040">
        <f>'BS Konsol'!J11</f>
        <v>5733063270</v>
      </c>
      <c r="O76" s="461"/>
      <c r="P76" s="1666">
        <f>'BS Konsol-Des 24'!Q11</f>
        <v>2570121355</v>
      </c>
      <c r="Q76" s="486"/>
      <c r="R76" s="486">
        <v>4920468963</v>
      </c>
      <c r="S76" s="486"/>
      <c r="T76" s="486">
        <f>'[188]BS Konsol'!M14</f>
        <v>4972845584</v>
      </c>
      <c r="U76" s="461"/>
      <c r="V76" s="486">
        <v>5514616525.9999981</v>
      </c>
      <c r="W76" s="461"/>
      <c r="X76" s="514"/>
      <c r="AC76" s="461"/>
    </row>
    <row r="77" spans="1:29">
      <c r="A77" s="461"/>
      <c r="B77" s="461"/>
      <c r="C77" s="461"/>
      <c r="D77" s="462"/>
      <c r="E77" s="461"/>
      <c r="F77" s="470">
        <f>F73-F76</f>
        <v>0</v>
      </c>
      <c r="G77" s="461"/>
      <c r="H77" s="1038">
        <f>H73-H76</f>
        <v>0</v>
      </c>
      <c r="I77" s="461"/>
      <c r="J77" s="1239">
        <f>J76-J73</f>
        <v>-0.13722991943359375</v>
      </c>
      <c r="K77" s="461"/>
      <c r="L77" s="470">
        <f>L73-L76</f>
        <v>0</v>
      </c>
      <c r="M77" s="461"/>
      <c r="N77" s="1580">
        <f>N76-N73</f>
        <v>0</v>
      </c>
      <c r="O77" s="461"/>
      <c r="P77" s="971">
        <f>P76-P73</f>
        <v>9.9306106567382813E-2</v>
      </c>
      <c r="Q77" s="486"/>
      <c r="R77" s="486">
        <f>R76-R73</f>
        <v>0</v>
      </c>
      <c r="S77" s="486"/>
      <c r="T77" s="486">
        <f>T73-T76</f>
        <v>0</v>
      </c>
      <c r="U77" s="461"/>
      <c r="V77" s="470">
        <f>V73-V76</f>
        <v>665618021.00002289</v>
      </c>
      <c r="W77" s="461"/>
      <c r="AC77" s="461"/>
    </row>
    <row r="78" spans="1:29">
      <c r="A78" s="461"/>
      <c r="B78" s="461"/>
      <c r="C78" s="461"/>
      <c r="D78" s="462"/>
      <c r="E78" s="461"/>
      <c r="F78" s="461"/>
      <c r="G78" s="461"/>
      <c r="H78" s="461"/>
      <c r="I78" s="461"/>
      <c r="J78" s="461"/>
      <c r="K78" s="461"/>
      <c r="L78" s="1039"/>
      <c r="M78" s="461"/>
      <c r="N78" s="461"/>
      <c r="O78" s="461"/>
      <c r="P78" s="486"/>
      <c r="Q78" s="486"/>
      <c r="R78" s="486"/>
      <c r="S78" s="486"/>
      <c r="T78" s="486"/>
      <c r="U78" s="461"/>
      <c r="V78" s="486"/>
      <c r="W78" s="461"/>
      <c r="AC78" s="461"/>
    </row>
    <row r="79" spans="1:29">
      <c r="A79" s="461"/>
      <c r="B79" s="461"/>
      <c r="C79" s="461"/>
      <c r="D79" s="462"/>
      <c r="E79" s="461"/>
      <c r="F79" s="461"/>
      <c r="G79" s="461"/>
      <c r="H79" s="461"/>
      <c r="I79" s="461"/>
      <c r="J79" s="461"/>
      <c r="K79" s="461"/>
      <c r="L79" s="1039"/>
      <c r="M79" s="461"/>
      <c r="N79" s="461"/>
      <c r="O79" s="461"/>
      <c r="P79" s="971"/>
      <c r="Q79" s="461"/>
      <c r="R79" s="486"/>
      <c r="S79" s="461"/>
      <c r="T79" s="486"/>
      <c r="U79" s="461"/>
      <c r="V79" s="486"/>
      <c r="W79" s="461"/>
      <c r="AC79" s="461"/>
    </row>
    <row r="80" spans="1:29">
      <c r="A80" s="461"/>
      <c r="B80" s="461"/>
      <c r="C80" s="461"/>
      <c r="D80" s="462"/>
      <c r="E80" s="461"/>
      <c r="F80" s="461"/>
      <c r="G80" s="461"/>
      <c r="H80" s="461"/>
      <c r="I80" s="461"/>
      <c r="J80" s="461"/>
      <c r="K80" s="461"/>
      <c r="L80" s="1039"/>
      <c r="M80" s="461"/>
      <c r="N80" s="461"/>
      <c r="O80" s="461"/>
      <c r="P80" s="470"/>
      <c r="Q80" s="461"/>
      <c r="R80" s="486"/>
      <c r="S80" s="461"/>
      <c r="T80" s="486"/>
      <c r="U80" s="461"/>
      <c r="V80" s="486"/>
      <c r="W80" s="461"/>
      <c r="AC80" s="461"/>
    </row>
    <row r="81" spans="1:29">
      <c r="A81" s="461"/>
      <c r="B81" s="461"/>
      <c r="C81" s="461"/>
      <c r="D81" s="462"/>
      <c r="E81" s="461"/>
      <c r="F81" s="461"/>
      <c r="G81" s="461"/>
      <c r="H81" s="461"/>
      <c r="I81" s="461"/>
      <c r="J81" s="461"/>
      <c r="K81" s="461"/>
      <c r="L81" s="1039"/>
      <c r="M81" s="461"/>
      <c r="N81" s="461"/>
      <c r="O81" s="461"/>
      <c r="P81" s="461"/>
      <c r="Q81" s="461"/>
      <c r="R81" s="486"/>
      <c r="S81" s="461"/>
      <c r="T81" s="486"/>
      <c r="U81" s="461"/>
      <c r="V81" s="486"/>
      <c r="W81" s="461"/>
      <c r="AC81" s="461"/>
    </row>
    <row r="82" spans="1:29">
      <c r="A82" s="461"/>
      <c r="B82" s="461"/>
      <c r="C82" s="461"/>
      <c r="D82" s="462"/>
      <c r="E82" s="461"/>
      <c r="F82" s="461"/>
      <c r="G82" s="461"/>
      <c r="H82" s="461"/>
      <c r="I82" s="461"/>
      <c r="J82" s="461"/>
      <c r="K82" s="461"/>
      <c r="L82" s="1039"/>
      <c r="M82" s="461"/>
      <c r="N82" s="461"/>
      <c r="O82" s="461"/>
      <c r="P82" s="461"/>
      <c r="Q82" s="461"/>
      <c r="R82" s="486"/>
      <c r="S82" s="461"/>
      <c r="T82" s="486"/>
      <c r="U82" s="461"/>
      <c r="V82" s="486"/>
      <c r="W82" s="461"/>
      <c r="AC82" s="461"/>
    </row>
    <row r="83" spans="1:29">
      <c r="A83" s="461"/>
      <c r="B83" s="461"/>
      <c r="C83" s="461"/>
      <c r="D83" s="462"/>
      <c r="E83" s="461"/>
      <c r="F83" s="461"/>
      <c r="G83" s="461"/>
      <c r="H83" s="461"/>
      <c r="I83" s="461"/>
      <c r="J83" s="461"/>
      <c r="K83" s="461"/>
      <c r="L83" s="1039"/>
      <c r="M83" s="461"/>
      <c r="N83" s="461"/>
      <c r="O83" s="461"/>
      <c r="P83" s="461"/>
      <c r="Q83" s="461"/>
      <c r="R83" s="486"/>
      <c r="S83" s="461"/>
      <c r="T83" s="486"/>
      <c r="U83" s="461"/>
      <c r="V83" s="486"/>
      <c r="W83" s="461"/>
      <c r="AC83" s="461"/>
    </row>
    <row r="84" spans="1:29">
      <c r="A84" s="461"/>
      <c r="B84" s="461"/>
      <c r="C84" s="461"/>
      <c r="D84" s="462"/>
      <c r="E84" s="461"/>
      <c r="F84" s="461"/>
      <c r="G84" s="461"/>
      <c r="H84" s="461"/>
      <c r="I84" s="461"/>
      <c r="J84" s="461"/>
      <c r="K84" s="461"/>
      <c r="L84" s="1039"/>
      <c r="M84" s="461"/>
      <c r="N84" s="461"/>
      <c r="O84" s="461"/>
      <c r="P84" s="461"/>
      <c r="Q84" s="461"/>
      <c r="R84" s="463"/>
      <c r="S84" s="461"/>
      <c r="T84" s="463"/>
      <c r="U84" s="461"/>
      <c r="V84" s="463"/>
      <c r="W84" s="461"/>
      <c r="AC84" s="461"/>
    </row>
    <row r="85" spans="1:29">
      <c r="A85" s="461"/>
      <c r="B85" s="461"/>
      <c r="C85" s="461"/>
      <c r="D85" s="462"/>
      <c r="E85" s="461"/>
      <c r="F85" s="461"/>
      <c r="G85" s="461"/>
      <c r="H85" s="461"/>
      <c r="I85" s="461"/>
      <c r="J85" s="461"/>
      <c r="K85" s="461"/>
      <c r="L85" s="1039"/>
      <c r="M85" s="461"/>
      <c r="N85" s="461"/>
      <c r="O85" s="461"/>
      <c r="P85" s="461"/>
      <c r="Q85" s="461"/>
      <c r="R85" s="463"/>
      <c r="S85" s="461"/>
      <c r="T85" s="463"/>
      <c r="U85" s="461"/>
      <c r="V85" s="463"/>
      <c r="W85" s="461"/>
      <c r="AC85" s="461"/>
    </row>
    <row r="86" spans="1:29">
      <c r="A86" s="461"/>
      <c r="B86" s="461"/>
      <c r="C86" s="461"/>
      <c r="D86" s="462"/>
      <c r="E86" s="461"/>
      <c r="F86" s="461"/>
      <c r="G86" s="461"/>
      <c r="H86" s="461"/>
      <c r="I86" s="461"/>
      <c r="J86" s="461"/>
      <c r="K86" s="461"/>
      <c r="L86" s="1039"/>
      <c r="M86" s="461"/>
      <c r="N86" s="461"/>
      <c r="O86" s="461"/>
      <c r="P86" s="461"/>
      <c r="Q86" s="461"/>
      <c r="R86" s="463"/>
      <c r="S86" s="461"/>
      <c r="T86" s="463"/>
      <c r="U86" s="461"/>
      <c r="V86" s="463"/>
      <c r="W86" s="461"/>
      <c r="AC86" s="461"/>
    </row>
    <row r="87" spans="1:29">
      <c r="A87" s="461"/>
      <c r="B87" s="461"/>
      <c r="C87" s="461"/>
      <c r="D87" s="462"/>
      <c r="E87" s="461"/>
      <c r="F87" s="461"/>
      <c r="G87" s="461"/>
      <c r="H87" s="461"/>
      <c r="I87" s="461"/>
      <c r="J87" s="461"/>
      <c r="K87" s="461"/>
      <c r="L87" s="1039"/>
      <c r="M87" s="461"/>
      <c r="N87" s="461"/>
      <c r="O87" s="461"/>
      <c r="P87" s="461"/>
      <c r="Q87" s="461"/>
      <c r="R87" s="463"/>
      <c r="S87" s="461"/>
      <c r="T87" s="463"/>
      <c r="U87" s="461"/>
      <c r="V87" s="463"/>
      <c r="W87" s="461"/>
      <c r="AC87" s="461"/>
    </row>
    <row r="88" spans="1:29">
      <c r="A88" s="461"/>
      <c r="B88" s="461"/>
      <c r="C88" s="461"/>
      <c r="D88" s="462"/>
      <c r="E88" s="461"/>
      <c r="F88" s="461"/>
      <c r="G88" s="461"/>
      <c r="H88" s="461"/>
      <c r="I88" s="461"/>
      <c r="J88" s="461"/>
      <c r="K88" s="461"/>
      <c r="L88" s="1039"/>
      <c r="M88" s="461"/>
      <c r="N88" s="461"/>
      <c r="O88" s="461"/>
      <c r="P88" s="461"/>
      <c r="Q88" s="461"/>
      <c r="R88" s="463"/>
      <c r="S88" s="461"/>
      <c r="T88" s="463"/>
      <c r="U88" s="461"/>
      <c r="V88" s="463"/>
      <c r="W88" s="461"/>
      <c r="AC88" s="461"/>
    </row>
    <row r="89" spans="1:29">
      <c r="A89" s="461"/>
      <c r="B89" s="461"/>
      <c r="C89" s="461"/>
      <c r="D89" s="462"/>
      <c r="E89" s="461"/>
      <c r="F89" s="461"/>
      <c r="G89" s="461"/>
      <c r="H89" s="461"/>
      <c r="I89" s="461"/>
      <c r="J89" s="461"/>
      <c r="K89" s="461"/>
      <c r="L89" s="1039"/>
      <c r="M89" s="461"/>
      <c r="N89" s="461"/>
      <c r="O89" s="461"/>
      <c r="P89" s="461"/>
      <c r="Q89" s="461"/>
      <c r="R89" s="463"/>
      <c r="S89" s="461"/>
      <c r="T89" s="463"/>
      <c r="U89" s="461"/>
      <c r="V89" s="463"/>
      <c r="W89" s="461"/>
      <c r="AC89" s="461"/>
    </row>
    <row r="90" spans="1:29">
      <c r="A90" s="461"/>
      <c r="B90" s="461"/>
      <c r="C90" s="461"/>
      <c r="D90" s="462"/>
      <c r="E90" s="461"/>
      <c r="F90" s="461"/>
      <c r="G90" s="461"/>
      <c r="H90" s="461"/>
      <c r="I90" s="461"/>
      <c r="J90" s="461"/>
      <c r="K90" s="461"/>
      <c r="L90" s="1039"/>
      <c r="M90" s="461"/>
      <c r="N90" s="461"/>
      <c r="O90" s="461"/>
      <c r="P90" s="461"/>
      <c r="Q90" s="461"/>
      <c r="R90" s="463"/>
      <c r="S90" s="461"/>
      <c r="T90" s="463"/>
      <c r="U90" s="461"/>
      <c r="V90" s="463"/>
      <c r="W90" s="461"/>
      <c r="AC90" s="461"/>
    </row>
    <row r="91" spans="1:29">
      <c r="A91" s="461"/>
      <c r="B91" s="461"/>
      <c r="C91" s="461"/>
      <c r="D91" s="462"/>
      <c r="E91" s="461"/>
      <c r="F91" s="461"/>
      <c r="G91" s="461"/>
      <c r="H91" s="461"/>
      <c r="I91" s="461"/>
      <c r="J91" s="461"/>
      <c r="K91" s="461"/>
      <c r="L91" s="1039"/>
      <c r="M91" s="461"/>
      <c r="N91" s="461"/>
      <c r="O91" s="461"/>
      <c r="P91" s="461"/>
      <c r="Q91" s="461"/>
      <c r="R91" s="463"/>
      <c r="S91" s="461"/>
      <c r="T91" s="463"/>
      <c r="U91" s="461"/>
      <c r="V91" s="463"/>
      <c r="W91" s="461"/>
      <c r="AC91" s="461"/>
    </row>
    <row r="92" spans="1:29">
      <c r="A92" s="461"/>
      <c r="B92" s="461"/>
      <c r="C92" s="461"/>
      <c r="D92" s="462"/>
      <c r="E92" s="461"/>
      <c r="F92" s="461"/>
      <c r="G92" s="461"/>
      <c r="H92" s="461"/>
      <c r="I92" s="461"/>
      <c r="J92" s="461"/>
      <c r="K92" s="461"/>
      <c r="L92" s="1039"/>
      <c r="M92" s="461"/>
      <c r="N92" s="461"/>
      <c r="O92" s="461"/>
      <c r="P92" s="461"/>
      <c r="Q92" s="461"/>
      <c r="R92" s="463"/>
      <c r="S92" s="461"/>
      <c r="T92" s="463"/>
      <c r="U92" s="461"/>
      <c r="V92" s="463"/>
      <c r="W92" s="461"/>
      <c r="AC92" s="461"/>
    </row>
    <row r="93" spans="1:29">
      <c r="A93" s="461"/>
      <c r="B93" s="461"/>
      <c r="C93" s="461"/>
      <c r="D93" s="462"/>
      <c r="E93" s="461"/>
      <c r="F93" s="461"/>
      <c r="G93" s="461"/>
      <c r="H93" s="461"/>
      <c r="I93" s="461"/>
      <c r="J93" s="461"/>
      <c r="K93" s="461"/>
      <c r="L93" s="1039"/>
      <c r="M93" s="461"/>
      <c r="N93" s="461"/>
      <c r="O93" s="461"/>
      <c r="P93" s="461"/>
      <c r="Q93" s="461"/>
      <c r="R93" s="463"/>
      <c r="S93" s="461"/>
      <c r="T93" s="463"/>
      <c r="U93" s="461"/>
      <c r="V93" s="463"/>
      <c r="W93" s="461"/>
      <c r="AC93" s="461"/>
    </row>
    <row r="94" spans="1:29">
      <c r="A94" s="461"/>
      <c r="B94" s="461"/>
      <c r="C94" s="461"/>
      <c r="D94" s="462"/>
      <c r="E94" s="461"/>
      <c r="F94" s="461"/>
      <c r="G94" s="461"/>
      <c r="H94" s="461"/>
      <c r="I94" s="461"/>
      <c r="J94" s="461"/>
      <c r="K94" s="461"/>
      <c r="L94" s="1039"/>
      <c r="M94" s="461"/>
      <c r="N94" s="461"/>
      <c r="O94" s="461"/>
      <c r="P94" s="461"/>
      <c r="Q94" s="461"/>
      <c r="R94" s="463"/>
      <c r="S94" s="461"/>
      <c r="T94" s="463"/>
      <c r="U94" s="461"/>
      <c r="V94" s="463"/>
      <c r="W94" s="461"/>
      <c r="AC94" s="461"/>
    </row>
    <row r="95" spans="1:29">
      <c r="A95" s="461"/>
      <c r="B95" s="461"/>
      <c r="C95" s="461"/>
      <c r="D95" s="462"/>
      <c r="E95" s="461"/>
      <c r="F95" s="461"/>
      <c r="G95" s="461"/>
      <c r="H95" s="461"/>
      <c r="I95" s="461"/>
      <c r="J95" s="461"/>
      <c r="K95" s="461"/>
      <c r="L95" s="1039"/>
      <c r="M95" s="461"/>
      <c r="N95" s="461"/>
      <c r="O95" s="461"/>
      <c r="P95" s="461"/>
      <c r="Q95" s="461"/>
      <c r="R95" s="463"/>
      <c r="S95" s="461"/>
      <c r="T95" s="463"/>
      <c r="U95" s="461"/>
      <c r="V95" s="463"/>
      <c r="W95" s="461"/>
      <c r="AC95" s="461"/>
    </row>
    <row r="96" spans="1:29">
      <c r="A96" s="461"/>
      <c r="B96" s="461"/>
      <c r="C96" s="461"/>
      <c r="D96" s="462"/>
      <c r="E96" s="461"/>
      <c r="F96" s="461"/>
      <c r="G96" s="461"/>
      <c r="H96" s="461"/>
      <c r="I96" s="461"/>
      <c r="J96" s="461"/>
      <c r="K96" s="461"/>
      <c r="L96" s="1039"/>
      <c r="M96" s="461"/>
      <c r="N96" s="461"/>
      <c r="O96" s="461"/>
      <c r="P96" s="461"/>
      <c r="Q96" s="461"/>
      <c r="R96" s="463"/>
      <c r="S96" s="461"/>
      <c r="T96" s="463"/>
      <c r="U96" s="461"/>
      <c r="V96" s="463"/>
      <c r="W96" s="461"/>
      <c r="AC96" s="461"/>
    </row>
    <row r="97" spans="1:29">
      <c r="A97" s="461"/>
      <c r="B97" s="461"/>
      <c r="C97" s="461"/>
      <c r="D97" s="462"/>
      <c r="E97" s="461"/>
      <c r="F97" s="461"/>
      <c r="G97" s="461"/>
      <c r="H97" s="461"/>
      <c r="I97" s="461"/>
      <c r="J97" s="461"/>
      <c r="K97" s="461"/>
      <c r="L97" s="1039"/>
      <c r="M97" s="461"/>
      <c r="N97" s="461"/>
      <c r="O97" s="461"/>
      <c r="P97" s="461"/>
      <c r="Q97" s="461"/>
      <c r="R97" s="463"/>
      <c r="S97" s="461"/>
      <c r="T97" s="463"/>
      <c r="U97" s="461"/>
      <c r="V97" s="463"/>
      <c r="W97" s="461"/>
      <c r="AC97" s="461"/>
    </row>
    <row r="98" spans="1:29">
      <c r="A98" s="461"/>
      <c r="B98" s="461"/>
      <c r="C98" s="461"/>
      <c r="D98" s="462"/>
      <c r="E98" s="461"/>
      <c r="F98" s="461"/>
      <c r="G98" s="461"/>
      <c r="H98" s="461"/>
      <c r="I98" s="461"/>
      <c r="J98" s="461"/>
      <c r="K98" s="461"/>
      <c r="L98" s="1039"/>
      <c r="M98" s="461"/>
      <c r="N98" s="461"/>
      <c r="O98" s="461"/>
      <c r="P98" s="461"/>
      <c r="Q98" s="461"/>
      <c r="R98" s="463"/>
      <c r="S98" s="461"/>
      <c r="T98" s="463"/>
      <c r="U98" s="461"/>
      <c r="V98" s="463"/>
      <c r="W98" s="461"/>
      <c r="AC98" s="461"/>
    </row>
    <row r="99" spans="1:29">
      <c r="A99" s="461"/>
      <c r="B99" s="461"/>
      <c r="C99" s="461"/>
      <c r="D99" s="462"/>
      <c r="E99" s="461"/>
      <c r="F99" s="461"/>
      <c r="G99" s="461"/>
      <c r="H99" s="461"/>
      <c r="I99" s="461"/>
      <c r="J99" s="461"/>
      <c r="K99" s="461"/>
      <c r="L99" s="1039"/>
      <c r="M99" s="461"/>
      <c r="N99" s="461"/>
      <c r="O99" s="461"/>
      <c r="P99" s="461"/>
      <c r="Q99" s="461"/>
      <c r="R99" s="463"/>
      <c r="S99" s="461"/>
      <c r="T99" s="463"/>
      <c r="U99" s="461"/>
      <c r="V99" s="463"/>
      <c r="W99" s="461"/>
      <c r="AC99" s="461"/>
    </row>
    <row r="100" spans="1:29">
      <c r="A100" s="461"/>
      <c r="B100" s="461"/>
      <c r="C100" s="461"/>
      <c r="D100" s="462"/>
      <c r="E100" s="461"/>
      <c r="F100" s="461"/>
      <c r="G100" s="461"/>
      <c r="H100" s="461"/>
      <c r="I100" s="461"/>
      <c r="J100" s="461"/>
      <c r="K100" s="461"/>
      <c r="L100" s="1039"/>
      <c r="M100" s="461"/>
      <c r="N100" s="461"/>
      <c r="O100" s="461"/>
      <c r="P100" s="461"/>
      <c r="Q100" s="461"/>
      <c r="R100" s="463"/>
      <c r="S100" s="461"/>
      <c r="T100" s="463"/>
      <c r="U100" s="461"/>
      <c r="V100" s="463"/>
      <c r="W100" s="461"/>
      <c r="AC100" s="461"/>
    </row>
    <row r="101" spans="1:29">
      <c r="A101" s="461"/>
      <c r="B101" s="461"/>
      <c r="C101" s="461"/>
      <c r="D101" s="462"/>
      <c r="E101" s="461"/>
      <c r="F101" s="461"/>
      <c r="G101" s="461"/>
      <c r="H101" s="461"/>
      <c r="I101" s="461"/>
      <c r="J101" s="461"/>
      <c r="K101" s="461"/>
      <c r="L101" s="1039"/>
      <c r="M101" s="461"/>
      <c r="N101" s="461"/>
      <c r="O101" s="461"/>
      <c r="P101" s="461"/>
      <c r="Q101" s="461"/>
      <c r="R101" s="463"/>
      <c r="S101" s="461"/>
      <c r="T101" s="463"/>
      <c r="U101" s="461"/>
      <c r="V101" s="463"/>
      <c r="W101" s="461"/>
      <c r="AC101" s="461"/>
    </row>
    <row r="102" spans="1:29">
      <c r="A102" s="461"/>
      <c r="B102" s="461"/>
      <c r="C102" s="461"/>
      <c r="D102" s="462"/>
      <c r="E102" s="461"/>
      <c r="F102" s="461"/>
      <c r="G102" s="461"/>
      <c r="H102" s="461"/>
      <c r="I102" s="461"/>
      <c r="J102" s="461"/>
      <c r="K102" s="461"/>
      <c r="L102" s="461"/>
      <c r="M102" s="461"/>
      <c r="N102" s="461"/>
      <c r="O102" s="461"/>
      <c r="P102" s="461"/>
      <c r="Q102" s="461"/>
      <c r="R102" s="463"/>
      <c r="S102" s="461"/>
      <c r="T102" s="463"/>
      <c r="U102" s="461"/>
      <c r="V102" s="463"/>
      <c r="W102" s="461"/>
      <c r="AC102" s="461"/>
    </row>
    <row r="103" spans="1:29">
      <c r="A103" s="461"/>
      <c r="B103" s="461"/>
      <c r="C103" s="461"/>
      <c r="D103" s="462"/>
      <c r="E103" s="461"/>
      <c r="F103" s="461"/>
      <c r="G103" s="461"/>
      <c r="H103" s="461"/>
      <c r="I103" s="461"/>
      <c r="J103" s="461"/>
      <c r="K103" s="461"/>
      <c r="L103" s="461"/>
      <c r="M103" s="461"/>
      <c r="N103" s="461"/>
      <c r="O103" s="461"/>
      <c r="P103" s="461"/>
      <c r="Q103" s="461"/>
      <c r="R103" s="463"/>
      <c r="S103" s="461"/>
      <c r="T103" s="463"/>
      <c r="U103" s="461"/>
      <c r="V103" s="463"/>
      <c r="W103" s="461"/>
      <c r="AC103" s="461"/>
    </row>
    <row r="104" spans="1:29">
      <c r="A104" s="461"/>
      <c r="B104" s="461"/>
      <c r="C104" s="461"/>
      <c r="D104" s="462"/>
      <c r="E104" s="461"/>
      <c r="F104" s="461"/>
      <c r="G104" s="461"/>
      <c r="H104" s="461"/>
      <c r="I104" s="461"/>
      <c r="J104" s="461"/>
      <c r="K104" s="461"/>
      <c r="L104" s="461"/>
      <c r="M104" s="461"/>
      <c r="N104" s="461"/>
      <c r="O104" s="461"/>
      <c r="P104" s="461"/>
      <c r="Q104" s="461"/>
      <c r="R104" s="463"/>
      <c r="S104" s="461"/>
      <c r="T104" s="463"/>
      <c r="U104" s="461"/>
      <c r="V104" s="463"/>
      <c r="W104" s="461"/>
      <c r="AC104" s="461"/>
    </row>
    <row r="105" spans="1:29">
      <c r="A105" s="461"/>
      <c r="B105" s="461"/>
      <c r="C105" s="461"/>
      <c r="D105" s="462"/>
      <c r="E105" s="461"/>
      <c r="F105" s="461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3"/>
      <c r="S105" s="461"/>
      <c r="T105" s="463"/>
      <c r="U105" s="461"/>
      <c r="V105" s="463"/>
      <c r="W105" s="461"/>
      <c r="AC105" s="461"/>
    </row>
    <row r="106" spans="1:29">
      <c r="A106" s="461"/>
      <c r="B106" s="461"/>
      <c r="C106" s="461"/>
      <c r="D106" s="462"/>
      <c r="E106" s="461"/>
      <c r="F106" s="461"/>
      <c r="G106" s="461"/>
      <c r="H106" s="461"/>
      <c r="I106" s="461"/>
      <c r="J106" s="461"/>
      <c r="K106" s="461"/>
      <c r="L106" s="461"/>
      <c r="M106" s="461"/>
      <c r="N106" s="461"/>
      <c r="O106" s="461"/>
      <c r="P106" s="461"/>
      <c r="Q106" s="461"/>
      <c r="R106" s="463"/>
      <c r="S106" s="461"/>
      <c r="T106" s="463"/>
      <c r="U106" s="461"/>
      <c r="V106" s="463"/>
      <c r="W106" s="461"/>
      <c r="AC106" s="461"/>
    </row>
    <row r="107" spans="1:29">
      <c r="A107" s="461"/>
      <c r="B107" s="461"/>
      <c r="C107" s="461"/>
      <c r="D107" s="462"/>
      <c r="E107" s="461"/>
      <c r="F107" s="461"/>
      <c r="G107" s="461"/>
      <c r="H107" s="461"/>
      <c r="I107" s="461"/>
      <c r="J107" s="461"/>
      <c r="K107" s="461"/>
      <c r="L107" s="461"/>
      <c r="M107" s="461"/>
      <c r="N107" s="461"/>
      <c r="O107" s="461"/>
      <c r="P107" s="461"/>
      <c r="Q107" s="461"/>
      <c r="R107" s="463"/>
      <c r="S107" s="461"/>
      <c r="T107" s="463"/>
      <c r="U107" s="461"/>
      <c r="V107" s="463"/>
      <c r="W107" s="461"/>
      <c r="AC107" s="461"/>
    </row>
    <row r="108" spans="1:29">
      <c r="A108" s="461"/>
      <c r="B108" s="461"/>
      <c r="C108" s="461"/>
      <c r="D108" s="462"/>
      <c r="E108" s="461"/>
      <c r="F108" s="461"/>
      <c r="G108" s="461"/>
      <c r="H108" s="461"/>
      <c r="I108" s="461"/>
      <c r="J108" s="461"/>
      <c r="K108" s="461"/>
      <c r="L108" s="461"/>
      <c r="M108" s="461"/>
      <c r="N108" s="461"/>
      <c r="O108" s="461"/>
      <c r="P108" s="461"/>
      <c r="Q108" s="461"/>
      <c r="R108" s="463"/>
      <c r="S108" s="461"/>
      <c r="T108" s="463"/>
      <c r="U108" s="461"/>
      <c r="V108" s="463"/>
      <c r="W108" s="461"/>
      <c r="AC108" s="461"/>
    </row>
    <row r="109" spans="1:29">
      <c r="A109" s="461"/>
      <c r="B109" s="461"/>
      <c r="C109" s="461"/>
      <c r="D109" s="462"/>
      <c r="E109" s="461"/>
      <c r="F109" s="461"/>
      <c r="G109" s="461"/>
      <c r="H109" s="461"/>
      <c r="I109" s="461"/>
      <c r="J109" s="461"/>
      <c r="K109" s="461"/>
      <c r="L109" s="461"/>
      <c r="M109" s="461"/>
      <c r="N109" s="461"/>
      <c r="O109" s="461"/>
      <c r="P109" s="461"/>
      <c r="Q109" s="461"/>
      <c r="R109" s="463"/>
      <c r="S109" s="461"/>
      <c r="T109" s="463"/>
      <c r="U109" s="461"/>
      <c r="V109" s="463"/>
      <c r="W109" s="461"/>
      <c r="AC109" s="461"/>
    </row>
    <row r="110" spans="1:29">
      <c r="A110" s="461"/>
      <c r="B110" s="461"/>
      <c r="C110" s="461"/>
      <c r="D110" s="462"/>
      <c r="E110" s="461"/>
      <c r="F110" s="461"/>
      <c r="G110" s="461"/>
      <c r="H110" s="461"/>
      <c r="I110" s="461"/>
      <c r="J110" s="461"/>
      <c r="K110" s="461"/>
      <c r="L110" s="461"/>
      <c r="M110" s="461"/>
      <c r="N110" s="461"/>
      <c r="O110" s="461"/>
      <c r="P110" s="461"/>
      <c r="Q110" s="461"/>
      <c r="R110" s="463"/>
      <c r="S110" s="461"/>
      <c r="T110" s="463"/>
      <c r="U110" s="461"/>
      <c r="V110" s="463"/>
      <c r="W110" s="461"/>
      <c r="AC110" s="461"/>
    </row>
    <row r="111" spans="1:29">
      <c r="A111" s="461"/>
      <c r="B111" s="461"/>
      <c r="C111" s="461"/>
      <c r="D111" s="462"/>
      <c r="E111" s="461"/>
      <c r="F111" s="461"/>
      <c r="G111" s="461"/>
      <c r="H111" s="461"/>
      <c r="I111" s="461"/>
      <c r="J111" s="461"/>
      <c r="K111" s="461"/>
      <c r="L111" s="461"/>
      <c r="M111" s="461"/>
      <c r="N111" s="461"/>
      <c r="O111" s="461"/>
      <c r="P111" s="461"/>
      <c r="Q111" s="461"/>
      <c r="R111" s="463"/>
      <c r="S111" s="461"/>
      <c r="T111" s="463"/>
      <c r="U111" s="461"/>
      <c r="V111" s="463"/>
      <c r="W111" s="461"/>
      <c r="AC111" s="461"/>
    </row>
    <row r="112" spans="1:29">
      <c r="A112" s="461"/>
      <c r="B112" s="461"/>
      <c r="C112" s="461"/>
      <c r="D112" s="462"/>
      <c r="E112" s="461"/>
      <c r="F112" s="461"/>
      <c r="G112" s="461"/>
      <c r="H112" s="461"/>
      <c r="I112" s="461"/>
      <c r="J112" s="461"/>
      <c r="K112" s="461"/>
      <c r="L112" s="461"/>
      <c r="M112" s="461"/>
      <c r="N112" s="461"/>
      <c r="O112" s="461"/>
      <c r="P112" s="461"/>
      <c r="Q112" s="461"/>
      <c r="R112" s="463"/>
      <c r="S112" s="461"/>
      <c r="T112" s="463"/>
      <c r="U112" s="461"/>
      <c r="V112" s="463"/>
      <c r="W112" s="461"/>
      <c r="AC112" s="461"/>
    </row>
    <row r="113" spans="1:29">
      <c r="A113" s="461"/>
      <c r="B113" s="461"/>
      <c r="C113" s="461"/>
      <c r="D113" s="462"/>
      <c r="E113" s="461"/>
      <c r="F113" s="461"/>
      <c r="G113" s="461"/>
      <c r="H113" s="461"/>
      <c r="I113" s="461"/>
      <c r="J113" s="461"/>
      <c r="K113" s="461"/>
      <c r="L113" s="461"/>
      <c r="M113" s="461"/>
      <c r="N113" s="461"/>
      <c r="O113" s="461"/>
      <c r="P113" s="461"/>
      <c r="Q113" s="461"/>
      <c r="R113" s="463"/>
      <c r="S113" s="461"/>
      <c r="T113" s="463"/>
      <c r="U113" s="461"/>
      <c r="V113" s="463"/>
      <c r="W113" s="461"/>
      <c r="AC113" s="461"/>
    </row>
    <row r="114" spans="1:29">
      <c r="A114" s="461"/>
      <c r="B114" s="461"/>
      <c r="C114" s="461"/>
      <c r="D114" s="462"/>
      <c r="E114" s="461"/>
      <c r="F114" s="461"/>
      <c r="G114" s="461"/>
      <c r="H114" s="461"/>
      <c r="I114" s="461"/>
      <c r="J114" s="461"/>
      <c r="K114" s="461"/>
      <c r="L114" s="461"/>
      <c r="M114" s="461"/>
      <c r="N114" s="461"/>
      <c r="O114" s="461"/>
      <c r="P114" s="461"/>
      <c r="Q114" s="461"/>
      <c r="R114" s="463"/>
      <c r="S114" s="461"/>
      <c r="T114" s="463"/>
      <c r="U114" s="461"/>
      <c r="V114" s="463"/>
      <c r="W114" s="461"/>
      <c r="AC114" s="461"/>
    </row>
    <row r="115" spans="1:29">
      <c r="A115" s="461"/>
      <c r="B115" s="461"/>
      <c r="C115" s="461"/>
      <c r="D115" s="462"/>
      <c r="E115" s="461"/>
      <c r="F115" s="461"/>
      <c r="G115" s="461"/>
      <c r="H115" s="461"/>
      <c r="I115" s="461"/>
      <c r="J115" s="461"/>
      <c r="K115" s="461"/>
      <c r="L115" s="461"/>
      <c r="M115" s="461"/>
      <c r="N115" s="461"/>
      <c r="O115" s="461"/>
      <c r="P115" s="461"/>
      <c r="Q115" s="461"/>
      <c r="R115" s="463"/>
      <c r="S115" s="461"/>
      <c r="T115" s="463"/>
      <c r="U115" s="461"/>
      <c r="V115" s="463"/>
      <c r="W115" s="461"/>
      <c r="AC115" s="461"/>
    </row>
    <row r="116" spans="1:29">
      <c r="A116" s="461"/>
      <c r="B116" s="461"/>
      <c r="C116" s="461"/>
      <c r="D116" s="462"/>
      <c r="E116" s="461"/>
      <c r="F116" s="461"/>
      <c r="G116" s="461"/>
      <c r="H116" s="461"/>
      <c r="I116" s="461"/>
      <c r="J116" s="461"/>
      <c r="K116" s="461"/>
      <c r="L116" s="461"/>
      <c r="M116" s="461"/>
      <c r="N116" s="461"/>
      <c r="O116" s="461"/>
      <c r="P116" s="461"/>
      <c r="Q116" s="461"/>
      <c r="R116" s="463"/>
      <c r="S116" s="461"/>
      <c r="T116" s="463"/>
      <c r="U116" s="461"/>
      <c r="V116" s="463"/>
      <c r="W116" s="461"/>
      <c r="AC116" s="461"/>
    </row>
    <row r="117" spans="1:29">
      <c r="A117" s="461"/>
      <c r="B117" s="461"/>
      <c r="C117" s="461"/>
      <c r="D117" s="462"/>
      <c r="E117" s="461"/>
      <c r="F117" s="461"/>
      <c r="G117" s="461"/>
      <c r="H117" s="461"/>
      <c r="I117" s="461"/>
      <c r="J117" s="461"/>
      <c r="K117" s="461"/>
      <c r="L117" s="461"/>
      <c r="M117" s="461"/>
      <c r="N117" s="461"/>
      <c r="O117" s="461"/>
      <c r="P117" s="461"/>
      <c r="Q117" s="461"/>
      <c r="R117" s="463"/>
      <c r="S117" s="461"/>
      <c r="T117" s="463"/>
      <c r="U117" s="461"/>
      <c r="V117" s="463"/>
      <c r="W117" s="461"/>
      <c r="AC117" s="461"/>
    </row>
    <row r="118" spans="1:29">
      <c r="A118" s="461"/>
      <c r="B118" s="461"/>
      <c r="C118" s="461"/>
      <c r="D118" s="462"/>
      <c r="E118" s="461"/>
      <c r="F118" s="461"/>
      <c r="G118" s="461"/>
      <c r="H118" s="461"/>
      <c r="I118" s="461"/>
      <c r="J118" s="461"/>
      <c r="K118" s="461"/>
      <c r="L118" s="461"/>
      <c r="M118" s="461"/>
      <c r="N118" s="461"/>
      <c r="O118" s="461"/>
      <c r="P118" s="461"/>
      <c r="Q118" s="461"/>
      <c r="R118" s="463"/>
      <c r="S118" s="461"/>
      <c r="T118" s="463"/>
      <c r="U118" s="461"/>
      <c r="V118" s="463"/>
      <c r="W118" s="461"/>
      <c r="AC118" s="461"/>
    </row>
    <row r="119" spans="1:29">
      <c r="A119" s="461"/>
      <c r="B119" s="461"/>
      <c r="C119" s="461"/>
      <c r="D119" s="462"/>
      <c r="E119" s="461"/>
      <c r="F119" s="461"/>
      <c r="G119" s="461"/>
      <c r="H119" s="461"/>
      <c r="I119" s="461"/>
      <c r="J119" s="461"/>
      <c r="K119" s="461"/>
      <c r="L119" s="461"/>
      <c r="M119" s="461"/>
      <c r="N119" s="461"/>
      <c r="O119" s="461"/>
      <c r="P119" s="461"/>
      <c r="Q119" s="461"/>
      <c r="R119" s="463"/>
      <c r="S119" s="461"/>
      <c r="T119" s="463"/>
      <c r="U119" s="461"/>
      <c r="V119" s="463"/>
      <c r="W119" s="461"/>
      <c r="AC119" s="461"/>
    </row>
    <row r="120" spans="1:29">
      <c r="A120" s="461"/>
      <c r="B120" s="461"/>
      <c r="C120" s="461"/>
      <c r="D120" s="462"/>
      <c r="E120" s="461"/>
      <c r="F120" s="461"/>
      <c r="G120" s="461"/>
      <c r="H120" s="461"/>
      <c r="I120" s="461"/>
      <c r="J120" s="461"/>
      <c r="K120" s="461"/>
      <c r="L120" s="461"/>
      <c r="M120" s="461"/>
      <c r="N120" s="461"/>
      <c r="O120" s="461"/>
      <c r="P120" s="461"/>
      <c r="Q120" s="461"/>
      <c r="R120" s="463"/>
      <c r="S120" s="461"/>
      <c r="T120" s="463"/>
      <c r="U120" s="461"/>
      <c r="V120" s="463"/>
      <c r="W120" s="461"/>
      <c r="AC120" s="461"/>
    </row>
    <row r="121" spans="1:29">
      <c r="A121" s="461"/>
      <c r="B121" s="461"/>
      <c r="C121" s="461"/>
      <c r="D121" s="462"/>
      <c r="E121" s="461"/>
      <c r="F121" s="461"/>
      <c r="G121" s="461"/>
      <c r="H121" s="461"/>
      <c r="I121" s="461"/>
      <c r="J121" s="461"/>
      <c r="K121" s="461"/>
      <c r="L121" s="461"/>
      <c r="M121" s="461"/>
      <c r="N121" s="461"/>
      <c r="O121" s="461"/>
      <c r="P121" s="461"/>
      <c r="Q121" s="461"/>
      <c r="R121" s="463"/>
      <c r="S121" s="461"/>
      <c r="T121" s="463"/>
      <c r="U121" s="461"/>
      <c r="V121" s="463"/>
      <c r="W121" s="461"/>
      <c r="AC121" s="461"/>
    </row>
    <row r="122" spans="1:29">
      <c r="A122" s="461"/>
      <c r="B122" s="461"/>
      <c r="C122" s="461"/>
      <c r="D122" s="462"/>
      <c r="E122" s="461"/>
      <c r="F122" s="461"/>
      <c r="G122" s="461"/>
      <c r="H122" s="461"/>
      <c r="I122" s="461"/>
      <c r="J122" s="461"/>
      <c r="K122" s="461"/>
      <c r="L122" s="461"/>
      <c r="M122" s="461"/>
      <c r="N122" s="461"/>
      <c r="O122" s="461"/>
      <c r="P122" s="461"/>
      <c r="Q122" s="461"/>
      <c r="R122" s="463"/>
      <c r="S122" s="461"/>
      <c r="T122" s="463"/>
      <c r="U122" s="461"/>
      <c r="V122" s="463"/>
      <c r="W122" s="461"/>
      <c r="AC122" s="461"/>
    </row>
    <row r="123" spans="1:29">
      <c r="A123" s="461"/>
      <c r="B123" s="461"/>
      <c r="C123" s="461"/>
      <c r="D123" s="462"/>
      <c r="E123" s="461"/>
      <c r="F123" s="461"/>
      <c r="G123" s="461"/>
      <c r="H123" s="461"/>
      <c r="I123" s="461"/>
      <c r="J123" s="461"/>
      <c r="K123" s="461"/>
      <c r="L123" s="461"/>
      <c r="M123" s="461"/>
      <c r="N123" s="461"/>
      <c r="O123" s="461"/>
      <c r="P123" s="461"/>
      <c r="Q123" s="461"/>
      <c r="R123" s="463"/>
      <c r="S123" s="461"/>
      <c r="T123" s="463"/>
      <c r="U123" s="461"/>
      <c r="V123" s="463"/>
      <c r="W123" s="461"/>
      <c r="AC123" s="461"/>
    </row>
    <row r="124" spans="1:29">
      <c r="A124" s="461"/>
      <c r="B124" s="461"/>
      <c r="C124" s="461"/>
      <c r="D124" s="462"/>
      <c r="E124" s="461"/>
      <c r="F124" s="461"/>
      <c r="G124" s="461"/>
      <c r="H124" s="461"/>
      <c r="I124" s="461"/>
      <c r="J124" s="461"/>
      <c r="K124" s="461"/>
      <c r="L124" s="461"/>
      <c r="M124" s="461"/>
      <c r="N124" s="461"/>
      <c r="O124" s="461"/>
      <c r="P124" s="461"/>
      <c r="Q124" s="461"/>
      <c r="R124" s="463"/>
      <c r="S124" s="461"/>
      <c r="T124" s="463"/>
      <c r="U124" s="461"/>
      <c r="V124" s="463"/>
      <c r="W124" s="461"/>
      <c r="AC124" s="461"/>
    </row>
    <row r="125" spans="1:29">
      <c r="A125" s="461"/>
      <c r="B125" s="461"/>
      <c r="C125" s="461"/>
      <c r="D125" s="462"/>
      <c r="E125" s="461"/>
      <c r="F125" s="461"/>
      <c r="G125" s="461"/>
      <c r="H125" s="461"/>
      <c r="I125" s="461"/>
      <c r="J125" s="461"/>
      <c r="K125" s="461"/>
      <c r="L125" s="461"/>
      <c r="M125" s="461"/>
      <c r="N125" s="461"/>
      <c r="O125" s="461"/>
      <c r="P125" s="461"/>
      <c r="Q125" s="461"/>
      <c r="R125" s="463"/>
      <c r="S125" s="461"/>
      <c r="T125" s="463"/>
      <c r="U125" s="461"/>
      <c r="V125" s="463"/>
      <c r="W125" s="461"/>
      <c r="AC125" s="461"/>
    </row>
    <row r="126" spans="1:29">
      <c r="A126" s="461"/>
      <c r="B126" s="461"/>
      <c r="C126" s="461"/>
      <c r="D126" s="462"/>
      <c r="E126" s="461"/>
      <c r="F126" s="461"/>
      <c r="G126" s="461"/>
      <c r="H126" s="461"/>
      <c r="I126" s="461"/>
      <c r="J126" s="461"/>
      <c r="K126" s="461"/>
      <c r="L126" s="461"/>
      <c r="M126" s="461"/>
      <c r="N126" s="461"/>
      <c r="O126" s="461"/>
      <c r="P126" s="461"/>
      <c r="Q126" s="461"/>
      <c r="R126" s="463"/>
      <c r="S126" s="461"/>
      <c r="T126" s="463"/>
      <c r="U126" s="461"/>
      <c r="V126" s="463"/>
      <c r="W126" s="461"/>
      <c r="AC126" s="461"/>
    </row>
    <row r="127" spans="1:29">
      <c r="A127" s="461"/>
      <c r="B127" s="461"/>
      <c r="C127" s="461"/>
      <c r="D127" s="462"/>
      <c r="E127" s="461"/>
      <c r="F127" s="461"/>
      <c r="G127" s="461"/>
      <c r="H127" s="461"/>
      <c r="I127" s="461"/>
      <c r="J127" s="461"/>
      <c r="K127" s="461"/>
      <c r="L127" s="461"/>
      <c r="M127" s="461"/>
      <c r="N127" s="461"/>
      <c r="O127" s="461"/>
      <c r="P127" s="461"/>
      <c r="Q127" s="461"/>
      <c r="R127" s="463"/>
      <c r="S127" s="461"/>
      <c r="T127" s="463"/>
      <c r="U127" s="461"/>
      <c r="V127" s="463"/>
      <c r="W127" s="461"/>
      <c r="AC127" s="461"/>
    </row>
    <row r="128" spans="1:29">
      <c r="A128" s="461"/>
      <c r="B128" s="461"/>
      <c r="C128" s="461"/>
      <c r="D128" s="462"/>
      <c r="E128" s="461"/>
      <c r="F128" s="461"/>
      <c r="G128" s="461"/>
      <c r="H128" s="461"/>
      <c r="I128" s="461"/>
      <c r="J128" s="461"/>
      <c r="K128" s="461"/>
      <c r="L128" s="461"/>
      <c r="M128" s="461"/>
      <c r="N128" s="461"/>
      <c r="O128" s="461"/>
      <c r="P128" s="461"/>
      <c r="Q128" s="461"/>
      <c r="R128" s="463"/>
      <c r="S128" s="461"/>
      <c r="T128" s="463"/>
      <c r="U128" s="461"/>
      <c r="V128" s="463"/>
      <c r="W128" s="461"/>
      <c r="AC128" s="461"/>
    </row>
    <row r="129" spans="1:29">
      <c r="A129" s="461"/>
      <c r="B129" s="461"/>
      <c r="C129" s="461"/>
      <c r="D129" s="462"/>
      <c r="E129" s="461"/>
      <c r="F129" s="461"/>
      <c r="G129" s="461"/>
      <c r="H129" s="461"/>
      <c r="I129" s="461"/>
      <c r="J129" s="461"/>
      <c r="K129" s="461"/>
      <c r="L129" s="461"/>
      <c r="M129" s="461"/>
      <c r="N129" s="461"/>
      <c r="O129" s="461"/>
      <c r="P129" s="461"/>
      <c r="Q129" s="461"/>
      <c r="R129" s="463"/>
      <c r="S129" s="461"/>
      <c r="T129" s="463"/>
      <c r="U129" s="461"/>
      <c r="V129" s="463"/>
      <c r="W129" s="461"/>
      <c r="AC129" s="461"/>
    </row>
    <row r="130" spans="1:29">
      <c r="A130" s="461"/>
      <c r="B130" s="461"/>
      <c r="C130" s="461"/>
      <c r="D130" s="462"/>
      <c r="E130" s="461"/>
      <c r="F130" s="461"/>
      <c r="G130" s="461"/>
      <c r="H130" s="461"/>
      <c r="I130" s="461"/>
      <c r="J130" s="461"/>
      <c r="K130" s="461"/>
      <c r="L130" s="461"/>
      <c r="M130" s="461"/>
      <c r="N130" s="461"/>
      <c r="O130" s="461"/>
      <c r="P130" s="461"/>
      <c r="Q130" s="461"/>
      <c r="R130" s="463"/>
      <c r="S130" s="461"/>
      <c r="T130" s="463"/>
      <c r="U130" s="461"/>
      <c r="V130" s="463"/>
      <c r="W130" s="461"/>
      <c r="AC130" s="461"/>
    </row>
    <row r="131" spans="1:29">
      <c r="A131" s="461"/>
      <c r="B131" s="461"/>
      <c r="C131" s="461"/>
      <c r="D131" s="462"/>
      <c r="E131" s="461"/>
      <c r="F131" s="461"/>
      <c r="G131" s="461"/>
      <c r="H131" s="461"/>
      <c r="I131" s="461"/>
      <c r="J131" s="461"/>
      <c r="K131" s="461"/>
      <c r="L131" s="461"/>
      <c r="M131" s="461"/>
      <c r="N131" s="461"/>
      <c r="O131" s="461"/>
      <c r="P131" s="461"/>
      <c r="Q131" s="461"/>
      <c r="R131" s="463"/>
      <c r="S131" s="461"/>
      <c r="T131" s="463"/>
      <c r="U131" s="461"/>
      <c r="V131" s="463"/>
      <c r="W131" s="461"/>
      <c r="AC131" s="461"/>
    </row>
    <row r="132" spans="1:29">
      <c r="A132" s="461"/>
      <c r="B132" s="461"/>
      <c r="C132" s="461"/>
      <c r="D132" s="462"/>
      <c r="E132" s="461"/>
      <c r="F132" s="461"/>
      <c r="G132" s="461"/>
      <c r="H132" s="461"/>
      <c r="I132" s="461"/>
      <c r="J132" s="461"/>
      <c r="K132" s="461"/>
      <c r="L132" s="461"/>
      <c r="M132" s="461"/>
      <c r="N132" s="461"/>
      <c r="O132" s="461"/>
      <c r="P132" s="461"/>
      <c r="Q132" s="461"/>
      <c r="R132" s="463"/>
      <c r="S132" s="461"/>
      <c r="T132" s="463"/>
      <c r="U132" s="461"/>
      <c r="V132" s="463"/>
      <c r="W132" s="461"/>
      <c r="AC132" s="461"/>
    </row>
    <row r="133" spans="1:29">
      <c r="A133" s="461"/>
      <c r="B133" s="461"/>
      <c r="C133" s="461"/>
      <c r="D133" s="462"/>
      <c r="E133" s="461"/>
      <c r="F133" s="461"/>
      <c r="G133" s="461"/>
      <c r="H133" s="461"/>
      <c r="I133" s="461"/>
      <c r="J133" s="461"/>
      <c r="K133" s="461"/>
      <c r="L133" s="461"/>
      <c r="M133" s="461"/>
      <c r="N133" s="461"/>
      <c r="O133" s="461"/>
      <c r="P133" s="461"/>
      <c r="Q133" s="461"/>
      <c r="R133" s="463"/>
      <c r="S133" s="461"/>
      <c r="T133" s="463"/>
      <c r="U133" s="461"/>
      <c r="V133" s="463"/>
      <c r="W133" s="461"/>
      <c r="AC133" s="461"/>
    </row>
    <row r="134" spans="1:29">
      <c r="A134" s="461"/>
      <c r="B134" s="461"/>
      <c r="C134" s="461"/>
      <c r="D134" s="462"/>
      <c r="E134" s="461"/>
      <c r="F134" s="461"/>
      <c r="G134" s="461"/>
      <c r="H134" s="461"/>
      <c r="I134" s="461"/>
      <c r="J134" s="461"/>
      <c r="K134" s="461"/>
      <c r="L134" s="461"/>
      <c r="M134" s="461"/>
      <c r="N134" s="461"/>
      <c r="O134" s="461"/>
      <c r="P134" s="461"/>
      <c r="Q134" s="461"/>
      <c r="R134" s="463"/>
      <c r="S134" s="461"/>
      <c r="T134" s="463"/>
      <c r="U134" s="461"/>
      <c r="V134" s="463"/>
      <c r="W134" s="461"/>
      <c r="AC134" s="461"/>
    </row>
    <row r="135" spans="1:29">
      <c r="A135" s="461"/>
      <c r="B135" s="461"/>
      <c r="C135" s="461"/>
      <c r="D135" s="462"/>
      <c r="E135" s="461"/>
      <c r="F135" s="461"/>
      <c r="G135" s="461"/>
      <c r="H135" s="461"/>
      <c r="I135" s="461"/>
      <c r="J135" s="461"/>
      <c r="K135" s="461"/>
      <c r="L135" s="461"/>
      <c r="M135" s="461"/>
      <c r="N135" s="461"/>
      <c r="O135" s="461"/>
      <c r="P135" s="461"/>
      <c r="Q135" s="461"/>
      <c r="R135" s="463"/>
      <c r="S135" s="461"/>
      <c r="T135" s="463"/>
      <c r="U135" s="461"/>
      <c r="V135" s="463"/>
      <c r="W135" s="461"/>
      <c r="AC135" s="461"/>
    </row>
    <row r="136" spans="1:29">
      <c r="A136" s="461"/>
      <c r="B136" s="461"/>
      <c r="C136" s="461"/>
      <c r="D136" s="462"/>
      <c r="E136" s="461"/>
      <c r="F136" s="461"/>
      <c r="G136" s="461"/>
      <c r="H136" s="461"/>
      <c r="I136" s="461"/>
      <c r="J136" s="461"/>
      <c r="K136" s="461"/>
      <c r="L136" s="461"/>
      <c r="M136" s="461"/>
      <c r="N136" s="461"/>
      <c r="O136" s="461"/>
      <c r="P136" s="461"/>
      <c r="Q136" s="461"/>
      <c r="R136" s="463"/>
      <c r="S136" s="461"/>
      <c r="T136" s="463"/>
      <c r="U136" s="461"/>
      <c r="V136" s="463"/>
      <c r="W136" s="461"/>
      <c r="AC136" s="461"/>
    </row>
    <row r="137" spans="1:29">
      <c r="A137" s="461"/>
      <c r="B137" s="461"/>
      <c r="C137" s="461"/>
      <c r="D137" s="462"/>
      <c r="E137" s="461"/>
      <c r="F137" s="461"/>
      <c r="G137" s="461"/>
      <c r="H137" s="461"/>
      <c r="I137" s="461"/>
      <c r="J137" s="461"/>
      <c r="K137" s="461"/>
      <c r="L137" s="461"/>
      <c r="M137" s="461"/>
      <c r="N137" s="461"/>
      <c r="O137" s="461"/>
      <c r="P137" s="461"/>
      <c r="Q137" s="461"/>
      <c r="R137" s="463"/>
      <c r="S137" s="461"/>
      <c r="T137" s="463"/>
      <c r="U137" s="461"/>
      <c r="V137" s="463"/>
      <c r="W137" s="461"/>
      <c r="AC137" s="461"/>
    </row>
    <row r="138" spans="1:29">
      <c r="A138" s="461"/>
      <c r="B138" s="461"/>
      <c r="C138" s="461"/>
      <c r="D138" s="462"/>
      <c r="E138" s="461"/>
      <c r="F138" s="461"/>
      <c r="G138" s="461"/>
      <c r="H138" s="461"/>
      <c r="I138" s="461"/>
      <c r="J138" s="461"/>
      <c r="K138" s="461"/>
      <c r="L138" s="461"/>
      <c r="M138" s="461"/>
      <c r="N138" s="461"/>
      <c r="O138" s="461"/>
      <c r="P138" s="461"/>
      <c r="Q138" s="461"/>
      <c r="R138" s="463"/>
      <c r="S138" s="461"/>
      <c r="T138" s="463"/>
      <c r="U138" s="461"/>
      <c r="V138" s="463"/>
      <c r="W138" s="461"/>
      <c r="AC138" s="461"/>
    </row>
    <row r="139" spans="1:29">
      <c r="A139" s="461"/>
      <c r="B139" s="461"/>
      <c r="C139" s="461"/>
      <c r="D139" s="462"/>
      <c r="E139" s="461"/>
      <c r="F139" s="461"/>
      <c r="G139" s="461"/>
      <c r="H139" s="461"/>
      <c r="I139" s="461"/>
      <c r="J139" s="461"/>
      <c r="K139" s="461"/>
      <c r="L139" s="461"/>
      <c r="M139" s="461"/>
      <c r="N139" s="461"/>
      <c r="O139" s="461"/>
      <c r="P139" s="461"/>
      <c r="Q139" s="461"/>
      <c r="R139" s="463"/>
      <c r="S139" s="461"/>
      <c r="T139" s="463"/>
      <c r="U139" s="461"/>
      <c r="V139" s="463"/>
      <c r="W139" s="461"/>
      <c r="AC139" s="461"/>
    </row>
    <row r="140" spans="1:29">
      <c r="A140" s="461"/>
      <c r="B140" s="461"/>
      <c r="C140" s="461"/>
      <c r="D140" s="462"/>
      <c r="E140" s="461"/>
      <c r="F140" s="461"/>
      <c r="G140" s="461"/>
      <c r="H140" s="461"/>
      <c r="I140" s="461"/>
      <c r="J140" s="461"/>
      <c r="K140" s="461"/>
      <c r="L140" s="461"/>
      <c r="M140" s="461"/>
      <c r="N140" s="461"/>
      <c r="O140" s="461"/>
      <c r="P140" s="461"/>
      <c r="Q140" s="461"/>
      <c r="R140" s="463"/>
      <c r="S140" s="461"/>
      <c r="T140" s="463"/>
      <c r="U140" s="461"/>
      <c r="V140" s="463"/>
      <c r="W140" s="461"/>
      <c r="AC140" s="461"/>
    </row>
    <row r="141" spans="1:29">
      <c r="A141" s="461"/>
      <c r="B141" s="461"/>
      <c r="C141" s="461"/>
      <c r="D141" s="462"/>
      <c r="E141" s="461"/>
      <c r="F141" s="461"/>
      <c r="G141" s="461"/>
      <c r="H141" s="461"/>
      <c r="I141" s="461"/>
      <c r="J141" s="461"/>
      <c r="K141" s="461"/>
      <c r="L141" s="461"/>
      <c r="M141" s="461"/>
      <c r="N141" s="461"/>
      <c r="O141" s="461"/>
      <c r="P141" s="461"/>
      <c r="Q141" s="461"/>
      <c r="R141" s="463"/>
      <c r="S141" s="461"/>
      <c r="T141" s="463"/>
      <c r="U141" s="461"/>
      <c r="V141" s="463"/>
      <c r="W141" s="461"/>
      <c r="AC141" s="461"/>
    </row>
    <row r="142" spans="1:29">
      <c r="A142" s="461"/>
      <c r="B142" s="461"/>
      <c r="C142" s="461"/>
      <c r="D142" s="462"/>
      <c r="E142" s="461"/>
      <c r="F142" s="461"/>
      <c r="G142" s="461"/>
      <c r="H142" s="461"/>
      <c r="I142" s="461"/>
      <c r="J142" s="461"/>
      <c r="K142" s="461"/>
      <c r="L142" s="461"/>
      <c r="M142" s="461"/>
      <c r="N142" s="461"/>
      <c r="O142" s="461"/>
      <c r="P142" s="461"/>
      <c r="Q142" s="461"/>
      <c r="R142" s="463"/>
      <c r="S142" s="461"/>
      <c r="T142" s="463"/>
      <c r="U142" s="461"/>
      <c r="V142" s="463"/>
      <c r="W142" s="461"/>
      <c r="AC142" s="461"/>
    </row>
    <row r="143" spans="1:29">
      <c r="A143" s="461"/>
      <c r="B143" s="461"/>
      <c r="C143" s="461"/>
      <c r="D143" s="462"/>
      <c r="E143" s="461"/>
      <c r="F143" s="461"/>
      <c r="G143" s="461"/>
      <c r="H143" s="461"/>
      <c r="I143" s="461"/>
      <c r="J143" s="461"/>
      <c r="K143" s="461"/>
      <c r="L143" s="461"/>
      <c r="M143" s="461"/>
      <c r="N143" s="461"/>
      <c r="O143" s="461"/>
      <c r="P143" s="461"/>
      <c r="Q143" s="461"/>
      <c r="R143" s="463"/>
      <c r="S143" s="461"/>
      <c r="T143" s="463"/>
      <c r="U143" s="461"/>
      <c r="V143" s="463"/>
      <c r="W143" s="461"/>
      <c r="AC143" s="461"/>
    </row>
    <row r="144" spans="1:29">
      <c r="A144" s="461"/>
      <c r="B144" s="461"/>
      <c r="C144" s="461"/>
      <c r="D144" s="462"/>
      <c r="E144" s="461"/>
      <c r="F144" s="461"/>
      <c r="G144" s="461"/>
      <c r="H144" s="461"/>
      <c r="I144" s="461"/>
      <c r="J144" s="461"/>
      <c r="K144" s="461"/>
      <c r="L144" s="461"/>
      <c r="M144" s="461"/>
      <c r="N144" s="461"/>
      <c r="O144" s="461"/>
      <c r="P144" s="461"/>
      <c r="Q144" s="461"/>
      <c r="R144" s="463"/>
      <c r="S144" s="461"/>
      <c r="T144" s="463"/>
      <c r="U144" s="461"/>
      <c r="V144" s="463"/>
      <c r="W144" s="461"/>
      <c r="AC144" s="461"/>
    </row>
    <row r="145" spans="1:29">
      <c r="A145" s="461"/>
      <c r="B145" s="461"/>
      <c r="C145" s="461"/>
      <c r="D145" s="462"/>
      <c r="E145" s="461"/>
      <c r="F145" s="461"/>
      <c r="G145" s="461"/>
      <c r="H145" s="461"/>
      <c r="I145" s="461"/>
      <c r="J145" s="461"/>
      <c r="K145" s="461"/>
      <c r="L145" s="461"/>
      <c r="M145" s="461"/>
      <c r="N145" s="461"/>
      <c r="O145" s="461"/>
      <c r="P145" s="461"/>
      <c r="Q145" s="461"/>
      <c r="R145" s="463"/>
      <c r="S145" s="461"/>
      <c r="T145" s="463"/>
      <c r="U145" s="461"/>
      <c r="V145" s="463"/>
      <c r="W145" s="461"/>
      <c r="AC145" s="461"/>
    </row>
    <row r="146" spans="1:29">
      <c r="A146" s="461"/>
      <c r="B146" s="461"/>
      <c r="C146" s="461"/>
      <c r="D146" s="462"/>
      <c r="E146" s="461"/>
      <c r="F146" s="461"/>
      <c r="G146" s="461"/>
      <c r="H146" s="461"/>
      <c r="I146" s="461"/>
      <c r="J146" s="461"/>
      <c r="K146" s="461"/>
      <c r="L146" s="461"/>
      <c r="M146" s="461"/>
      <c r="N146" s="461"/>
      <c r="O146" s="461"/>
      <c r="P146" s="461"/>
      <c r="Q146" s="461"/>
      <c r="R146" s="463"/>
      <c r="S146" s="461"/>
      <c r="T146" s="463"/>
      <c r="U146" s="461"/>
      <c r="V146" s="463"/>
      <c r="W146" s="461"/>
      <c r="AC146" s="461"/>
    </row>
    <row r="147" spans="1:29">
      <c r="A147" s="461"/>
      <c r="B147" s="461"/>
      <c r="C147" s="461"/>
      <c r="D147" s="462"/>
      <c r="E147" s="461"/>
      <c r="F147" s="461"/>
      <c r="G147" s="461"/>
      <c r="H147" s="461"/>
      <c r="I147" s="461"/>
      <c r="J147" s="461"/>
      <c r="K147" s="461"/>
      <c r="L147" s="461"/>
      <c r="M147" s="461"/>
      <c r="N147" s="461"/>
      <c r="O147" s="461"/>
      <c r="P147" s="461"/>
      <c r="Q147" s="461"/>
      <c r="R147" s="463"/>
      <c r="S147" s="461"/>
      <c r="T147" s="463"/>
      <c r="U147" s="461"/>
      <c r="V147" s="463"/>
      <c r="W147" s="461"/>
      <c r="AC147" s="461"/>
    </row>
    <row r="148" spans="1:29">
      <c r="A148" s="461"/>
      <c r="B148" s="461"/>
      <c r="C148" s="461"/>
      <c r="D148" s="462"/>
      <c r="E148" s="461"/>
      <c r="F148" s="461"/>
      <c r="G148" s="461"/>
      <c r="H148" s="461"/>
      <c r="I148" s="461"/>
      <c r="J148" s="461"/>
      <c r="K148" s="461"/>
      <c r="L148" s="461"/>
      <c r="M148" s="461"/>
      <c r="N148" s="461"/>
      <c r="O148" s="461"/>
      <c r="P148" s="461"/>
      <c r="Q148" s="461"/>
      <c r="R148" s="463"/>
      <c r="S148" s="461"/>
      <c r="T148" s="463"/>
      <c r="U148" s="461"/>
      <c r="V148" s="463"/>
      <c r="W148" s="461"/>
      <c r="AC148" s="461"/>
    </row>
    <row r="149" spans="1:29">
      <c r="A149" s="461"/>
      <c r="B149" s="461"/>
      <c r="C149" s="461"/>
      <c r="D149" s="462"/>
      <c r="E149" s="461"/>
      <c r="F149" s="461"/>
      <c r="G149" s="461"/>
      <c r="H149" s="461"/>
      <c r="I149" s="461"/>
      <c r="J149" s="461"/>
      <c r="K149" s="461"/>
      <c r="L149" s="461"/>
      <c r="M149" s="461"/>
      <c r="N149" s="461"/>
      <c r="O149" s="461"/>
      <c r="P149" s="461"/>
      <c r="Q149" s="461"/>
      <c r="R149" s="463"/>
      <c r="S149" s="461"/>
      <c r="T149" s="463"/>
      <c r="U149" s="461"/>
      <c r="V149" s="463"/>
      <c r="W149" s="461"/>
      <c r="AC149" s="461"/>
    </row>
    <row r="150" spans="1:29">
      <c r="A150" s="461"/>
      <c r="B150" s="461"/>
      <c r="C150" s="461"/>
      <c r="D150" s="462"/>
      <c r="E150" s="461"/>
      <c r="F150" s="461"/>
      <c r="G150" s="461"/>
      <c r="H150" s="461"/>
      <c r="I150" s="461"/>
      <c r="J150" s="461"/>
      <c r="K150" s="461"/>
      <c r="L150" s="461"/>
      <c r="M150" s="461"/>
      <c r="N150" s="461"/>
      <c r="O150" s="461"/>
      <c r="P150" s="461"/>
      <c r="Q150" s="461"/>
      <c r="R150" s="463"/>
      <c r="S150" s="461"/>
      <c r="T150" s="463"/>
      <c r="U150" s="461"/>
      <c r="V150" s="463"/>
      <c r="W150" s="461"/>
      <c r="AC150" s="461"/>
    </row>
    <row r="151" spans="1:29">
      <c r="A151" s="461"/>
      <c r="B151" s="461"/>
      <c r="C151" s="461"/>
      <c r="D151" s="462"/>
      <c r="E151" s="461"/>
      <c r="F151" s="461"/>
      <c r="G151" s="461"/>
      <c r="H151" s="461"/>
      <c r="I151" s="461"/>
      <c r="J151" s="461"/>
      <c r="K151" s="461"/>
      <c r="L151" s="461"/>
      <c r="M151" s="461"/>
      <c r="N151" s="461"/>
      <c r="O151" s="461"/>
      <c r="P151" s="461"/>
      <c r="Q151" s="461"/>
      <c r="R151" s="463"/>
      <c r="S151" s="461"/>
      <c r="T151" s="463"/>
      <c r="U151" s="461"/>
      <c r="V151" s="463"/>
      <c r="W151" s="461"/>
      <c r="AC151" s="461"/>
    </row>
    <row r="152" spans="1:29">
      <c r="A152" s="461"/>
      <c r="B152" s="461"/>
      <c r="C152" s="461"/>
      <c r="D152" s="462"/>
      <c r="E152" s="461"/>
      <c r="F152" s="461"/>
      <c r="G152" s="461"/>
      <c r="H152" s="461"/>
      <c r="I152" s="461"/>
      <c r="J152" s="461"/>
      <c r="K152" s="461"/>
      <c r="L152" s="461"/>
      <c r="M152" s="461"/>
      <c r="N152" s="461"/>
      <c r="O152" s="461"/>
      <c r="P152" s="461"/>
      <c r="Q152" s="461"/>
      <c r="R152" s="463"/>
      <c r="S152" s="461"/>
      <c r="T152" s="463"/>
      <c r="U152" s="461"/>
      <c r="V152" s="463"/>
      <c r="W152" s="461"/>
      <c r="AC152" s="461"/>
    </row>
    <row r="153" spans="1:29">
      <c r="A153" s="461"/>
      <c r="B153" s="461"/>
      <c r="C153" s="461"/>
      <c r="D153" s="462"/>
      <c r="E153" s="461"/>
      <c r="F153" s="461"/>
      <c r="G153" s="461"/>
      <c r="H153" s="461"/>
      <c r="I153" s="461"/>
      <c r="J153" s="461"/>
      <c r="K153" s="461"/>
      <c r="L153" s="461"/>
      <c r="M153" s="461"/>
      <c r="N153" s="461"/>
      <c r="O153" s="461"/>
      <c r="P153" s="461"/>
      <c r="Q153" s="461"/>
      <c r="R153" s="463"/>
      <c r="S153" s="461"/>
      <c r="T153" s="463"/>
      <c r="U153" s="461"/>
      <c r="V153" s="463"/>
      <c r="W153" s="461"/>
      <c r="AC153" s="461"/>
    </row>
    <row r="154" spans="1:29">
      <c r="A154" s="461"/>
      <c r="B154" s="461"/>
      <c r="C154" s="461"/>
      <c r="D154" s="462"/>
      <c r="E154" s="461"/>
      <c r="F154" s="461"/>
      <c r="G154" s="461"/>
      <c r="H154" s="461"/>
      <c r="I154" s="461"/>
      <c r="J154" s="461"/>
      <c r="K154" s="461"/>
      <c r="L154" s="461"/>
      <c r="M154" s="461"/>
      <c r="N154" s="461"/>
      <c r="O154" s="461"/>
      <c r="P154" s="461"/>
      <c r="Q154" s="461"/>
      <c r="R154" s="463"/>
      <c r="S154" s="461"/>
      <c r="T154" s="463"/>
      <c r="U154" s="461"/>
      <c r="V154" s="463"/>
      <c r="W154" s="461"/>
      <c r="AC154" s="461"/>
    </row>
    <row r="155" spans="1:29">
      <c r="A155" s="461"/>
      <c r="B155" s="461"/>
      <c r="C155" s="461"/>
      <c r="D155" s="462"/>
      <c r="E155" s="461"/>
      <c r="F155" s="461"/>
      <c r="G155" s="461"/>
      <c r="H155" s="461"/>
      <c r="I155" s="461"/>
      <c r="J155" s="461"/>
      <c r="K155" s="461"/>
      <c r="L155" s="461"/>
      <c r="M155" s="461"/>
      <c r="N155" s="461"/>
      <c r="O155" s="461"/>
      <c r="P155" s="461"/>
      <c r="Q155" s="461"/>
      <c r="R155" s="463"/>
      <c r="S155" s="461"/>
      <c r="T155" s="463"/>
      <c r="U155" s="461"/>
      <c r="V155" s="463"/>
      <c r="W155" s="461"/>
      <c r="AC155" s="461"/>
    </row>
    <row r="156" spans="1:29">
      <c r="A156" s="461"/>
      <c r="B156" s="461"/>
      <c r="C156" s="461"/>
      <c r="D156" s="462"/>
      <c r="E156" s="461"/>
      <c r="F156" s="461"/>
      <c r="G156" s="461"/>
      <c r="H156" s="461"/>
      <c r="I156" s="461"/>
      <c r="J156" s="461"/>
      <c r="K156" s="461"/>
      <c r="L156" s="461"/>
      <c r="M156" s="461"/>
      <c r="N156" s="461"/>
      <c r="O156" s="461"/>
      <c r="P156" s="461"/>
      <c r="Q156" s="461"/>
      <c r="R156" s="463"/>
      <c r="S156" s="461"/>
      <c r="T156" s="463"/>
      <c r="U156" s="461"/>
      <c r="V156" s="463"/>
      <c r="W156" s="461"/>
      <c r="AC156" s="461"/>
    </row>
    <row r="157" spans="1:29">
      <c r="A157" s="461"/>
      <c r="B157" s="461"/>
      <c r="C157" s="461"/>
      <c r="D157" s="462"/>
      <c r="E157" s="461"/>
      <c r="F157" s="461"/>
      <c r="G157" s="461"/>
      <c r="H157" s="461"/>
      <c r="I157" s="461"/>
      <c r="J157" s="461"/>
      <c r="K157" s="461"/>
      <c r="L157" s="461"/>
      <c r="M157" s="461"/>
      <c r="N157" s="461"/>
      <c r="O157" s="461"/>
      <c r="P157" s="461"/>
      <c r="Q157" s="461"/>
      <c r="R157" s="463"/>
      <c r="S157" s="461"/>
      <c r="T157" s="463"/>
      <c r="U157" s="461"/>
      <c r="V157" s="463"/>
      <c r="W157" s="461"/>
      <c r="AC157" s="461"/>
    </row>
    <row r="158" spans="1:29">
      <c r="A158" s="461"/>
      <c r="B158" s="461"/>
      <c r="C158" s="461"/>
      <c r="D158" s="462"/>
      <c r="E158" s="461"/>
      <c r="F158" s="461"/>
      <c r="G158" s="461"/>
      <c r="H158" s="461"/>
      <c r="I158" s="461"/>
      <c r="J158" s="461"/>
      <c r="K158" s="461"/>
      <c r="L158" s="461"/>
      <c r="M158" s="461"/>
      <c r="N158" s="461"/>
      <c r="O158" s="461"/>
      <c r="P158" s="461"/>
      <c r="Q158" s="461"/>
      <c r="R158" s="463"/>
      <c r="S158" s="461"/>
      <c r="T158" s="463"/>
      <c r="U158" s="461"/>
      <c r="V158" s="463"/>
      <c r="W158" s="461"/>
      <c r="AC158" s="461"/>
    </row>
    <row r="159" spans="1:29">
      <c r="A159" s="461"/>
      <c r="B159" s="461"/>
      <c r="C159" s="461"/>
      <c r="D159" s="462"/>
      <c r="E159" s="461"/>
      <c r="F159" s="461"/>
      <c r="G159" s="461"/>
      <c r="H159" s="461"/>
      <c r="I159" s="461"/>
      <c r="J159" s="461"/>
      <c r="K159" s="461"/>
      <c r="L159" s="461"/>
      <c r="M159" s="461"/>
      <c r="N159" s="461"/>
      <c r="O159" s="461"/>
      <c r="P159" s="461"/>
      <c r="Q159" s="461"/>
      <c r="R159" s="463"/>
      <c r="S159" s="461"/>
      <c r="T159" s="463"/>
      <c r="U159" s="461"/>
      <c r="V159" s="463"/>
      <c r="W159" s="461"/>
      <c r="AC159" s="461"/>
    </row>
    <row r="160" spans="1:29">
      <c r="A160" s="461"/>
      <c r="B160" s="461"/>
      <c r="C160" s="461"/>
      <c r="D160" s="462"/>
      <c r="E160" s="461"/>
      <c r="F160" s="461"/>
      <c r="G160" s="461"/>
      <c r="H160" s="461"/>
      <c r="I160" s="461"/>
      <c r="J160" s="461"/>
      <c r="K160" s="461"/>
      <c r="L160" s="461"/>
      <c r="M160" s="461"/>
      <c r="N160" s="461"/>
      <c r="O160" s="461"/>
      <c r="P160" s="461"/>
      <c r="Q160" s="461"/>
      <c r="R160" s="463"/>
      <c r="S160" s="461"/>
      <c r="T160" s="463"/>
      <c r="U160" s="461"/>
      <c r="V160" s="463"/>
      <c r="W160" s="461"/>
      <c r="AC160" s="461"/>
    </row>
    <row r="161" spans="1:29">
      <c r="A161" s="461"/>
      <c r="B161" s="461"/>
      <c r="C161" s="461"/>
      <c r="D161" s="462"/>
      <c r="E161" s="461"/>
      <c r="F161" s="461"/>
      <c r="G161" s="461"/>
      <c r="H161" s="461"/>
      <c r="I161" s="461"/>
      <c r="J161" s="461"/>
      <c r="K161" s="461"/>
      <c r="L161" s="461"/>
      <c r="M161" s="461"/>
      <c r="N161" s="461"/>
      <c r="O161" s="461"/>
      <c r="P161" s="461"/>
      <c r="Q161" s="461"/>
      <c r="R161" s="463"/>
      <c r="S161" s="461"/>
      <c r="T161" s="463"/>
      <c r="U161" s="461"/>
      <c r="V161" s="463"/>
      <c r="W161" s="461"/>
      <c r="AC161" s="461"/>
    </row>
    <row r="162" spans="1:29">
      <c r="A162" s="461"/>
      <c r="B162" s="461"/>
      <c r="C162" s="461"/>
      <c r="D162" s="462"/>
      <c r="E162" s="461"/>
      <c r="F162" s="461"/>
      <c r="G162" s="461"/>
      <c r="H162" s="461"/>
      <c r="I162" s="461"/>
      <c r="J162" s="461"/>
      <c r="K162" s="461"/>
      <c r="L162" s="461"/>
      <c r="M162" s="461"/>
      <c r="N162" s="461"/>
      <c r="O162" s="461"/>
      <c r="P162" s="461"/>
      <c r="Q162" s="461"/>
      <c r="R162" s="463"/>
      <c r="S162" s="461"/>
      <c r="T162" s="463"/>
      <c r="U162" s="461"/>
      <c r="V162" s="463"/>
      <c r="W162" s="461"/>
      <c r="AC162" s="461"/>
    </row>
    <row r="163" spans="1:29">
      <c r="A163" s="461"/>
      <c r="B163" s="461"/>
      <c r="C163" s="461"/>
      <c r="D163" s="462"/>
      <c r="E163" s="461"/>
      <c r="F163" s="461"/>
      <c r="G163" s="461"/>
      <c r="H163" s="461"/>
      <c r="I163" s="461"/>
      <c r="J163" s="461"/>
      <c r="K163" s="461"/>
      <c r="L163" s="461"/>
      <c r="M163" s="461"/>
      <c r="N163" s="461"/>
      <c r="O163" s="461"/>
      <c r="P163" s="461"/>
      <c r="Q163" s="461"/>
      <c r="R163" s="463"/>
      <c r="S163" s="461"/>
      <c r="T163" s="463"/>
      <c r="U163" s="461"/>
      <c r="V163" s="463"/>
      <c r="W163" s="461"/>
      <c r="AC163" s="461"/>
    </row>
    <row r="164" spans="1:29">
      <c r="A164" s="461"/>
      <c r="B164" s="461"/>
      <c r="C164" s="461"/>
      <c r="D164" s="462"/>
      <c r="E164" s="461"/>
      <c r="F164" s="461"/>
      <c r="G164" s="461"/>
      <c r="H164" s="461"/>
      <c r="I164" s="461"/>
      <c r="J164" s="461"/>
      <c r="K164" s="461"/>
      <c r="L164" s="461"/>
      <c r="M164" s="461"/>
      <c r="N164" s="461"/>
      <c r="O164" s="461"/>
      <c r="P164" s="461"/>
      <c r="Q164" s="461"/>
      <c r="R164" s="463"/>
      <c r="S164" s="461"/>
      <c r="T164" s="463"/>
      <c r="U164" s="461"/>
      <c r="V164" s="463"/>
      <c r="W164" s="461"/>
      <c r="AC164" s="461"/>
    </row>
    <row r="165" spans="1:29">
      <c r="A165" s="461"/>
      <c r="B165" s="461"/>
      <c r="C165" s="461"/>
      <c r="D165" s="462"/>
      <c r="E165" s="461"/>
      <c r="F165" s="461"/>
      <c r="G165" s="461"/>
      <c r="H165" s="461"/>
      <c r="I165" s="461"/>
      <c r="J165" s="461"/>
      <c r="K165" s="461"/>
      <c r="L165" s="461"/>
      <c r="M165" s="461"/>
      <c r="N165" s="461"/>
      <c r="O165" s="461"/>
      <c r="P165" s="461"/>
      <c r="Q165" s="461"/>
      <c r="R165" s="463"/>
      <c r="S165" s="461"/>
      <c r="T165" s="463"/>
      <c r="U165" s="461"/>
      <c r="V165" s="463"/>
      <c r="W165" s="461"/>
      <c r="AC165" s="461"/>
    </row>
    <row r="166" spans="1:29">
      <c r="A166" s="461"/>
      <c r="B166" s="461"/>
      <c r="C166" s="461"/>
      <c r="D166" s="462"/>
      <c r="E166" s="461"/>
      <c r="F166" s="461"/>
      <c r="G166" s="461"/>
      <c r="H166" s="461"/>
      <c r="I166" s="461"/>
      <c r="J166" s="461"/>
      <c r="K166" s="461"/>
      <c r="L166" s="461"/>
      <c r="M166" s="461"/>
      <c r="N166" s="461"/>
      <c r="O166" s="461"/>
      <c r="P166" s="461"/>
      <c r="Q166" s="461"/>
      <c r="R166" s="463"/>
      <c r="S166" s="461"/>
      <c r="T166" s="463"/>
      <c r="U166" s="461"/>
      <c r="V166" s="463"/>
      <c r="W166" s="461"/>
      <c r="AC166" s="461"/>
    </row>
    <row r="167" spans="1:29">
      <c r="A167" s="461"/>
      <c r="B167" s="461"/>
      <c r="C167" s="461"/>
      <c r="D167" s="462"/>
      <c r="E167" s="461"/>
      <c r="F167" s="461"/>
      <c r="G167" s="461"/>
      <c r="H167" s="461"/>
      <c r="I167" s="461"/>
      <c r="J167" s="461"/>
      <c r="K167" s="461"/>
      <c r="L167" s="461"/>
      <c r="M167" s="461"/>
      <c r="N167" s="461"/>
      <c r="O167" s="461"/>
      <c r="P167" s="461"/>
      <c r="Q167" s="461"/>
      <c r="R167" s="463"/>
      <c r="S167" s="461"/>
      <c r="T167" s="463"/>
      <c r="U167" s="461"/>
      <c r="V167" s="463"/>
      <c r="W167" s="461"/>
      <c r="AC167" s="461"/>
    </row>
    <row r="168" spans="1:29">
      <c r="A168" s="461"/>
      <c r="B168" s="461"/>
      <c r="C168" s="461"/>
      <c r="D168" s="462"/>
      <c r="E168" s="461"/>
      <c r="F168" s="461"/>
      <c r="G168" s="461"/>
      <c r="H168" s="461"/>
      <c r="I168" s="461"/>
      <c r="J168" s="461"/>
      <c r="K168" s="461"/>
      <c r="L168" s="461"/>
      <c r="M168" s="461"/>
      <c r="N168" s="461"/>
      <c r="O168" s="461"/>
      <c r="P168" s="461"/>
      <c r="Q168" s="461"/>
      <c r="R168" s="463"/>
      <c r="S168" s="461"/>
      <c r="T168" s="463"/>
      <c r="U168" s="461"/>
      <c r="V168" s="463"/>
      <c r="W168" s="461"/>
      <c r="AC168" s="461"/>
    </row>
    <row r="169" spans="1:29">
      <c r="A169" s="461"/>
      <c r="B169" s="461"/>
      <c r="C169" s="461"/>
      <c r="D169" s="462"/>
      <c r="E169" s="461"/>
      <c r="F169" s="461"/>
      <c r="G169" s="461"/>
      <c r="H169" s="461"/>
      <c r="I169" s="461"/>
      <c r="J169" s="461"/>
      <c r="K169" s="461"/>
      <c r="L169" s="461"/>
      <c r="M169" s="461"/>
      <c r="N169" s="461"/>
      <c r="O169" s="461"/>
      <c r="P169" s="461"/>
      <c r="Q169" s="461"/>
      <c r="R169" s="463"/>
      <c r="S169" s="461"/>
      <c r="T169" s="463"/>
      <c r="U169" s="461"/>
      <c r="V169" s="463"/>
      <c r="W169" s="461"/>
      <c r="AC169" s="461"/>
    </row>
    <row r="170" spans="1:29">
      <c r="A170" s="461"/>
      <c r="B170" s="461"/>
      <c r="C170" s="461"/>
      <c r="D170" s="462"/>
      <c r="E170" s="461"/>
      <c r="F170" s="461"/>
      <c r="G170" s="461"/>
      <c r="H170" s="461"/>
      <c r="I170" s="461"/>
      <c r="J170" s="461"/>
      <c r="K170" s="461"/>
      <c r="L170" s="461"/>
      <c r="M170" s="461"/>
      <c r="N170" s="461"/>
      <c r="O170" s="461"/>
      <c r="P170" s="461"/>
      <c r="Q170" s="461"/>
      <c r="R170" s="463"/>
      <c r="S170" s="461"/>
      <c r="T170" s="463"/>
      <c r="U170" s="461"/>
      <c r="V170" s="463"/>
      <c r="W170" s="461"/>
      <c r="AC170" s="461"/>
    </row>
    <row r="171" spans="1:29">
      <c r="A171" s="461"/>
      <c r="B171" s="461"/>
      <c r="C171" s="461"/>
      <c r="D171" s="462"/>
      <c r="E171" s="461"/>
      <c r="F171" s="461"/>
      <c r="G171" s="461"/>
      <c r="H171" s="461"/>
      <c r="I171" s="461"/>
      <c r="J171" s="461"/>
      <c r="K171" s="461"/>
      <c r="L171" s="461"/>
      <c r="M171" s="461"/>
      <c r="N171" s="461"/>
      <c r="O171" s="461"/>
      <c r="P171" s="461"/>
      <c r="Q171" s="461"/>
      <c r="R171" s="463"/>
      <c r="S171" s="461"/>
      <c r="T171" s="463"/>
      <c r="U171" s="461"/>
      <c r="V171" s="463"/>
      <c r="W171" s="461"/>
      <c r="AC171" s="461"/>
    </row>
    <row r="172" spans="1:29">
      <c r="A172" s="461"/>
      <c r="B172" s="461"/>
      <c r="C172" s="461"/>
      <c r="D172" s="462"/>
      <c r="E172" s="461"/>
      <c r="F172" s="461"/>
      <c r="G172" s="461"/>
      <c r="H172" s="461"/>
      <c r="I172" s="461"/>
      <c r="J172" s="461"/>
      <c r="K172" s="461"/>
      <c r="L172" s="461"/>
      <c r="M172" s="461"/>
      <c r="N172" s="461"/>
      <c r="O172" s="461"/>
      <c r="P172" s="461"/>
      <c r="Q172" s="461"/>
      <c r="R172" s="463"/>
      <c r="S172" s="461"/>
      <c r="T172" s="463"/>
      <c r="U172" s="461"/>
      <c r="V172" s="463"/>
      <c r="W172" s="461"/>
      <c r="AC172" s="461"/>
    </row>
    <row r="173" spans="1:29">
      <c r="A173" s="461"/>
      <c r="B173" s="461"/>
      <c r="C173" s="461"/>
      <c r="D173" s="462"/>
      <c r="E173" s="461"/>
      <c r="F173" s="461"/>
      <c r="G173" s="461"/>
      <c r="H173" s="461"/>
      <c r="I173" s="461"/>
      <c r="J173" s="461"/>
      <c r="K173" s="461"/>
      <c r="L173" s="461"/>
      <c r="M173" s="461"/>
      <c r="N173" s="461"/>
      <c r="O173" s="461"/>
      <c r="P173" s="461"/>
      <c r="Q173" s="461"/>
      <c r="R173" s="463"/>
      <c r="S173" s="461"/>
      <c r="T173" s="463"/>
      <c r="U173" s="461"/>
      <c r="V173" s="463"/>
      <c r="W173" s="461"/>
      <c r="AC173" s="461"/>
    </row>
    <row r="174" spans="1:29">
      <c r="A174" s="461"/>
      <c r="B174" s="461"/>
      <c r="C174" s="461"/>
      <c r="D174" s="462"/>
      <c r="E174" s="461"/>
      <c r="F174" s="461"/>
      <c r="G174" s="461"/>
      <c r="H174" s="461"/>
      <c r="I174" s="461"/>
      <c r="J174" s="461"/>
      <c r="K174" s="461"/>
      <c r="L174" s="461"/>
      <c r="M174" s="461"/>
      <c r="N174" s="461"/>
      <c r="O174" s="461"/>
      <c r="P174" s="461"/>
      <c r="Q174" s="461"/>
      <c r="R174" s="463"/>
      <c r="S174" s="461"/>
      <c r="T174" s="463"/>
      <c r="U174" s="461"/>
      <c r="V174" s="463"/>
      <c r="W174" s="461"/>
      <c r="AC174" s="461"/>
    </row>
    <row r="175" spans="1:29">
      <c r="A175" s="461"/>
      <c r="B175" s="461"/>
      <c r="C175" s="461"/>
      <c r="D175" s="462"/>
      <c r="E175" s="461"/>
      <c r="F175" s="461"/>
      <c r="G175" s="461"/>
      <c r="H175" s="461"/>
      <c r="I175" s="461"/>
      <c r="J175" s="461"/>
      <c r="K175" s="461"/>
      <c r="L175" s="461"/>
      <c r="M175" s="461"/>
      <c r="N175" s="461"/>
      <c r="O175" s="461"/>
      <c r="P175" s="461"/>
      <c r="Q175" s="461"/>
      <c r="R175" s="463"/>
      <c r="S175" s="461"/>
      <c r="T175" s="463"/>
      <c r="U175" s="461"/>
      <c r="V175" s="463"/>
      <c r="W175" s="461"/>
      <c r="AC175" s="461"/>
    </row>
    <row r="176" spans="1:29">
      <c r="A176" s="461"/>
      <c r="B176" s="461"/>
      <c r="C176" s="461"/>
      <c r="D176" s="462"/>
      <c r="E176" s="461"/>
      <c r="F176" s="461"/>
      <c r="G176" s="461"/>
      <c r="H176" s="461"/>
      <c r="I176" s="461"/>
      <c r="J176" s="461"/>
      <c r="K176" s="461"/>
      <c r="L176" s="461"/>
      <c r="M176" s="461"/>
      <c r="N176" s="461"/>
      <c r="O176" s="461"/>
      <c r="P176" s="461"/>
      <c r="Q176" s="461"/>
      <c r="R176" s="463"/>
      <c r="S176" s="461"/>
      <c r="T176" s="463"/>
      <c r="U176" s="461"/>
      <c r="V176" s="463"/>
      <c r="W176" s="461"/>
      <c r="AC176" s="461"/>
    </row>
    <row r="177" spans="1:29">
      <c r="A177" s="461"/>
      <c r="B177" s="461"/>
      <c r="C177" s="461"/>
      <c r="D177" s="462"/>
      <c r="E177" s="461"/>
      <c r="F177" s="461"/>
      <c r="G177" s="461"/>
      <c r="H177" s="461"/>
      <c r="I177" s="461"/>
      <c r="J177" s="461"/>
      <c r="K177" s="461"/>
      <c r="L177" s="461"/>
      <c r="M177" s="461"/>
      <c r="N177" s="461"/>
      <c r="O177" s="461"/>
      <c r="P177" s="461"/>
      <c r="Q177" s="461"/>
      <c r="R177" s="463"/>
      <c r="S177" s="461"/>
      <c r="T177" s="463"/>
      <c r="U177" s="461"/>
      <c r="V177" s="463"/>
      <c r="W177" s="461"/>
      <c r="AC177" s="461"/>
    </row>
    <row r="178" spans="1:29">
      <c r="A178" s="461"/>
      <c r="B178" s="461"/>
      <c r="C178" s="461"/>
      <c r="D178" s="462"/>
      <c r="E178" s="461"/>
      <c r="F178" s="461"/>
      <c r="G178" s="461"/>
      <c r="H178" s="461"/>
      <c r="I178" s="461"/>
      <c r="J178" s="461"/>
      <c r="K178" s="461"/>
      <c r="L178" s="461"/>
      <c r="M178" s="461"/>
      <c r="N178" s="461"/>
      <c r="O178" s="461"/>
      <c r="P178" s="461"/>
      <c r="Q178" s="461"/>
      <c r="R178" s="463"/>
      <c r="S178" s="461"/>
      <c r="T178" s="463"/>
      <c r="U178" s="461"/>
      <c r="V178" s="463"/>
      <c r="W178" s="461"/>
      <c r="AC178" s="461"/>
    </row>
    <row r="179" spans="1:29">
      <c r="A179" s="461"/>
      <c r="B179" s="461"/>
      <c r="C179" s="461"/>
      <c r="D179" s="462"/>
      <c r="E179" s="461"/>
      <c r="F179" s="461"/>
      <c r="G179" s="461"/>
      <c r="H179" s="461"/>
      <c r="I179" s="461"/>
      <c r="J179" s="461"/>
      <c r="K179" s="461"/>
      <c r="L179" s="461"/>
      <c r="M179" s="461"/>
      <c r="N179" s="461"/>
      <c r="O179" s="461"/>
      <c r="P179" s="461"/>
      <c r="Q179" s="461"/>
      <c r="R179" s="463"/>
      <c r="S179" s="461"/>
      <c r="T179" s="463"/>
      <c r="U179" s="461"/>
      <c r="V179" s="463"/>
      <c r="W179" s="461"/>
      <c r="AC179" s="461"/>
    </row>
    <row r="180" spans="1:29">
      <c r="A180" s="461"/>
      <c r="B180" s="461"/>
      <c r="C180" s="461"/>
      <c r="D180" s="462"/>
      <c r="E180" s="461"/>
      <c r="F180" s="461"/>
      <c r="G180" s="461"/>
      <c r="H180" s="461"/>
      <c r="I180" s="461"/>
      <c r="J180" s="461"/>
      <c r="K180" s="461"/>
      <c r="L180" s="461"/>
      <c r="M180" s="461"/>
      <c r="N180" s="461"/>
      <c r="O180" s="461"/>
      <c r="P180" s="461"/>
      <c r="Q180" s="461"/>
      <c r="R180" s="463"/>
      <c r="S180" s="461"/>
      <c r="T180" s="463"/>
      <c r="U180" s="461"/>
      <c r="V180" s="463"/>
      <c r="W180" s="461"/>
      <c r="AC180" s="461"/>
    </row>
    <row r="181" spans="1:29">
      <c r="A181" s="461"/>
      <c r="B181" s="461"/>
      <c r="C181" s="461"/>
      <c r="D181" s="462"/>
      <c r="E181" s="461"/>
      <c r="F181" s="461"/>
      <c r="G181" s="461"/>
      <c r="H181" s="461"/>
      <c r="I181" s="461"/>
      <c r="J181" s="461"/>
      <c r="K181" s="461"/>
      <c r="L181" s="461"/>
      <c r="M181" s="461"/>
      <c r="N181" s="461"/>
      <c r="O181" s="461"/>
      <c r="P181" s="461"/>
      <c r="Q181" s="461"/>
      <c r="R181" s="463"/>
      <c r="S181" s="461"/>
      <c r="T181" s="463"/>
      <c r="U181" s="461"/>
      <c r="V181" s="463"/>
      <c r="W181" s="461"/>
      <c r="AC181" s="461"/>
    </row>
    <row r="182" spans="1:29">
      <c r="A182" s="461"/>
      <c r="B182" s="461"/>
      <c r="C182" s="461"/>
      <c r="D182" s="462"/>
      <c r="E182" s="461"/>
      <c r="F182" s="461"/>
      <c r="G182" s="461"/>
      <c r="H182" s="461"/>
      <c r="I182" s="461"/>
      <c r="J182" s="461"/>
      <c r="K182" s="461"/>
      <c r="L182" s="461"/>
      <c r="M182" s="461"/>
      <c r="N182" s="461"/>
      <c r="O182" s="461"/>
      <c r="P182" s="461"/>
      <c r="Q182" s="461"/>
      <c r="R182" s="463"/>
      <c r="S182" s="461"/>
      <c r="T182" s="463"/>
      <c r="U182" s="461"/>
      <c r="V182" s="463"/>
      <c r="W182" s="461"/>
      <c r="AC182" s="461"/>
    </row>
    <row r="183" spans="1:29">
      <c r="A183" s="461"/>
      <c r="B183" s="461"/>
      <c r="C183" s="461"/>
      <c r="D183" s="462"/>
      <c r="E183" s="461"/>
      <c r="F183" s="461"/>
      <c r="G183" s="461"/>
      <c r="H183" s="461"/>
      <c r="I183" s="461"/>
      <c r="J183" s="461"/>
      <c r="K183" s="461"/>
      <c r="L183" s="461"/>
      <c r="M183" s="461"/>
      <c r="N183" s="461"/>
      <c r="O183" s="461"/>
      <c r="P183" s="461"/>
      <c r="Q183" s="461"/>
      <c r="R183" s="463"/>
      <c r="S183" s="461"/>
      <c r="T183" s="463"/>
      <c r="U183" s="461"/>
      <c r="V183" s="463"/>
      <c r="W183" s="461"/>
      <c r="AC183" s="461"/>
    </row>
    <row r="184" spans="1:29">
      <c r="A184" s="461"/>
      <c r="B184" s="461"/>
      <c r="C184" s="461"/>
      <c r="D184" s="462"/>
      <c r="E184" s="461"/>
      <c r="F184" s="461"/>
      <c r="G184" s="461"/>
      <c r="H184" s="461"/>
      <c r="I184" s="461"/>
      <c r="J184" s="461"/>
      <c r="K184" s="461"/>
      <c r="L184" s="461"/>
      <c r="M184" s="461"/>
      <c r="N184" s="461"/>
      <c r="O184" s="461"/>
      <c r="P184" s="461"/>
      <c r="Q184" s="461"/>
      <c r="R184" s="463"/>
      <c r="S184" s="461"/>
      <c r="T184" s="463"/>
      <c r="U184" s="461"/>
      <c r="V184" s="463"/>
      <c r="W184" s="461"/>
      <c r="AC184" s="461"/>
    </row>
    <row r="185" spans="1:29">
      <c r="A185" s="461"/>
      <c r="B185" s="461"/>
      <c r="C185" s="461"/>
      <c r="D185" s="462"/>
      <c r="E185" s="461"/>
      <c r="F185" s="461"/>
      <c r="G185" s="461"/>
      <c r="H185" s="461"/>
      <c r="I185" s="461"/>
      <c r="J185" s="461"/>
      <c r="K185" s="461"/>
      <c r="L185" s="461"/>
      <c r="M185" s="461"/>
      <c r="N185" s="461"/>
      <c r="O185" s="461"/>
      <c r="P185" s="461"/>
      <c r="Q185" s="461"/>
      <c r="R185" s="463"/>
      <c r="S185" s="461"/>
      <c r="T185" s="463"/>
      <c r="U185" s="461"/>
      <c r="V185" s="463"/>
      <c r="W185" s="461"/>
      <c r="AC185" s="461"/>
    </row>
    <row r="186" spans="1:29">
      <c r="A186" s="461"/>
      <c r="B186" s="461"/>
      <c r="C186" s="461"/>
      <c r="D186" s="462"/>
      <c r="E186" s="461"/>
      <c r="F186" s="461"/>
      <c r="G186" s="461"/>
      <c r="H186" s="461"/>
      <c r="I186" s="461"/>
      <c r="J186" s="461"/>
      <c r="K186" s="461"/>
      <c r="L186" s="461"/>
      <c r="M186" s="461"/>
      <c r="N186" s="461"/>
      <c r="O186" s="461"/>
      <c r="P186" s="461"/>
      <c r="Q186" s="461"/>
      <c r="R186" s="463"/>
      <c r="S186" s="461"/>
      <c r="T186" s="463"/>
      <c r="U186" s="461"/>
      <c r="V186" s="463"/>
      <c r="W186" s="461"/>
      <c r="AC186" s="461"/>
    </row>
    <row r="187" spans="1:29">
      <c r="A187" s="461"/>
      <c r="B187" s="461"/>
      <c r="C187" s="461"/>
      <c r="D187" s="462"/>
      <c r="E187" s="461"/>
      <c r="F187" s="461"/>
      <c r="G187" s="461"/>
      <c r="H187" s="461"/>
      <c r="I187" s="461"/>
      <c r="J187" s="461"/>
      <c r="K187" s="461"/>
      <c r="L187" s="461"/>
      <c r="M187" s="461"/>
      <c r="N187" s="461"/>
      <c r="O187" s="461"/>
      <c r="P187" s="461"/>
      <c r="Q187" s="461"/>
      <c r="R187" s="463"/>
      <c r="S187" s="461"/>
      <c r="T187" s="463"/>
      <c r="U187" s="461"/>
      <c r="V187" s="463"/>
      <c r="W187" s="461"/>
      <c r="AC187" s="461"/>
    </row>
    <row r="188" spans="1:29">
      <c r="A188" s="461"/>
      <c r="B188" s="461"/>
      <c r="C188" s="461"/>
      <c r="D188" s="462"/>
      <c r="E188" s="461"/>
      <c r="F188" s="461"/>
      <c r="G188" s="461"/>
      <c r="H188" s="461"/>
      <c r="I188" s="461"/>
      <c r="J188" s="461"/>
      <c r="K188" s="461"/>
      <c r="L188" s="461"/>
      <c r="M188" s="461"/>
      <c r="N188" s="461"/>
      <c r="O188" s="461"/>
      <c r="P188" s="461"/>
      <c r="Q188" s="461"/>
      <c r="R188" s="463"/>
      <c r="S188" s="461"/>
      <c r="T188" s="463"/>
      <c r="U188" s="461"/>
      <c r="V188" s="463"/>
      <c r="W188" s="461"/>
      <c r="AC188" s="461"/>
    </row>
    <row r="189" spans="1:29">
      <c r="A189" s="461"/>
      <c r="B189" s="461"/>
      <c r="C189" s="461"/>
      <c r="D189" s="462"/>
      <c r="E189" s="461"/>
      <c r="F189" s="461"/>
      <c r="G189" s="461"/>
      <c r="H189" s="461"/>
      <c r="I189" s="461"/>
      <c r="J189" s="461"/>
      <c r="K189" s="461"/>
      <c r="L189" s="461"/>
      <c r="M189" s="461"/>
      <c r="N189" s="461"/>
      <c r="O189" s="461"/>
      <c r="P189" s="461"/>
      <c r="Q189" s="461"/>
      <c r="R189" s="463"/>
      <c r="S189" s="461"/>
      <c r="T189" s="463"/>
      <c r="U189" s="461"/>
      <c r="V189" s="463"/>
      <c r="W189" s="461"/>
      <c r="AC189" s="461"/>
    </row>
    <row r="190" spans="1:29">
      <c r="A190" s="461"/>
      <c r="B190" s="461"/>
      <c r="C190" s="461"/>
      <c r="D190" s="462"/>
      <c r="E190" s="461"/>
      <c r="F190" s="461"/>
      <c r="G190" s="461"/>
      <c r="H190" s="461"/>
      <c r="I190" s="461"/>
      <c r="J190" s="461"/>
      <c r="K190" s="461"/>
      <c r="L190" s="461"/>
      <c r="M190" s="461"/>
      <c r="N190" s="461"/>
      <c r="O190" s="461"/>
      <c r="P190" s="461"/>
      <c r="Q190" s="461"/>
      <c r="R190" s="463"/>
      <c r="S190" s="461"/>
      <c r="T190" s="463"/>
      <c r="U190" s="461"/>
      <c r="V190" s="463"/>
      <c r="W190" s="461"/>
      <c r="AC190" s="461"/>
    </row>
    <row r="191" spans="1:29">
      <c r="A191" s="461"/>
      <c r="B191" s="461"/>
      <c r="C191" s="461"/>
      <c r="D191" s="462"/>
      <c r="E191" s="461"/>
      <c r="F191" s="461"/>
      <c r="G191" s="461"/>
      <c r="H191" s="461"/>
      <c r="I191" s="461"/>
      <c r="J191" s="461"/>
      <c r="K191" s="461"/>
      <c r="L191" s="461"/>
      <c r="M191" s="461"/>
      <c r="N191" s="461"/>
      <c r="O191" s="461"/>
      <c r="P191" s="461"/>
      <c r="Q191" s="461"/>
      <c r="R191" s="463"/>
      <c r="S191" s="461"/>
      <c r="T191" s="463"/>
      <c r="U191" s="461"/>
      <c r="V191" s="463"/>
      <c r="W191" s="461"/>
      <c r="AC191" s="461"/>
    </row>
    <row r="192" spans="1:29">
      <c r="A192" s="461"/>
      <c r="B192" s="461"/>
      <c r="C192" s="461"/>
      <c r="D192" s="462"/>
      <c r="E192" s="461"/>
      <c r="F192" s="461"/>
      <c r="G192" s="461"/>
      <c r="H192" s="461"/>
      <c r="I192" s="461"/>
      <c r="J192" s="461"/>
      <c r="K192" s="461"/>
      <c r="L192" s="461"/>
      <c r="M192" s="461"/>
      <c r="N192" s="461"/>
      <c r="O192" s="461"/>
      <c r="P192" s="461"/>
      <c r="Q192" s="461"/>
      <c r="R192" s="463"/>
      <c r="S192" s="461"/>
      <c r="T192" s="463"/>
      <c r="U192" s="461"/>
      <c r="V192" s="463"/>
      <c r="W192" s="461"/>
      <c r="AC192" s="461"/>
    </row>
    <row r="193" spans="1:29">
      <c r="A193" s="461"/>
      <c r="B193" s="461"/>
      <c r="C193" s="461"/>
      <c r="D193" s="462"/>
      <c r="E193" s="461"/>
      <c r="F193" s="461"/>
      <c r="G193" s="461"/>
      <c r="H193" s="461"/>
      <c r="I193" s="461"/>
      <c r="J193" s="461"/>
      <c r="K193" s="461"/>
      <c r="L193" s="461"/>
      <c r="M193" s="461"/>
      <c r="N193" s="461"/>
      <c r="O193" s="461"/>
      <c r="P193" s="461"/>
      <c r="Q193" s="461"/>
      <c r="R193" s="463"/>
      <c r="S193" s="461"/>
      <c r="T193" s="463"/>
      <c r="U193" s="461"/>
      <c r="V193" s="463"/>
      <c r="W193" s="461"/>
      <c r="AC193" s="461"/>
    </row>
    <row r="194" spans="1:29">
      <c r="A194" s="461"/>
      <c r="B194" s="461"/>
      <c r="C194" s="461"/>
      <c r="D194" s="462"/>
      <c r="E194" s="461"/>
      <c r="F194" s="461"/>
      <c r="G194" s="461"/>
      <c r="H194" s="461"/>
      <c r="I194" s="461"/>
      <c r="J194" s="461"/>
      <c r="K194" s="461"/>
      <c r="L194" s="461"/>
      <c r="M194" s="461"/>
      <c r="N194" s="461"/>
      <c r="O194" s="461"/>
      <c r="P194" s="461"/>
      <c r="Q194" s="461"/>
      <c r="R194" s="463"/>
      <c r="S194" s="461"/>
      <c r="T194" s="463"/>
      <c r="U194" s="461"/>
      <c r="V194" s="463"/>
      <c r="W194" s="461"/>
      <c r="AC194" s="461"/>
    </row>
    <row r="195" spans="1:29">
      <c r="A195" s="461"/>
      <c r="B195" s="461"/>
      <c r="C195" s="461"/>
      <c r="D195" s="462"/>
      <c r="E195" s="461"/>
      <c r="F195" s="461"/>
      <c r="G195" s="461"/>
      <c r="H195" s="461"/>
      <c r="I195" s="461"/>
      <c r="J195" s="461"/>
      <c r="K195" s="461"/>
      <c r="L195" s="461"/>
      <c r="M195" s="461"/>
      <c r="N195" s="461"/>
      <c r="O195" s="461"/>
      <c r="P195" s="461"/>
      <c r="Q195" s="461"/>
      <c r="R195" s="463"/>
      <c r="S195" s="461"/>
      <c r="T195" s="463"/>
      <c r="U195" s="461"/>
      <c r="V195" s="463"/>
      <c r="W195" s="461"/>
      <c r="AC195" s="461"/>
    </row>
    <row r="196" spans="1:29">
      <c r="A196" s="461"/>
      <c r="B196" s="461"/>
      <c r="C196" s="461"/>
      <c r="D196" s="462"/>
      <c r="E196" s="461"/>
      <c r="F196" s="461"/>
      <c r="G196" s="461"/>
      <c r="H196" s="461"/>
      <c r="I196" s="461"/>
      <c r="J196" s="461"/>
      <c r="K196" s="461"/>
      <c r="L196" s="461"/>
      <c r="M196" s="461"/>
      <c r="N196" s="461"/>
      <c r="O196" s="461"/>
      <c r="P196" s="461"/>
      <c r="Q196" s="461"/>
      <c r="R196" s="463"/>
      <c r="S196" s="461"/>
      <c r="T196" s="463"/>
      <c r="U196" s="461"/>
      <c r="V196" s="463"/>
      <c r="W196" s="461"/>
      <c r="AC196" s="461"/>
    </row>
    <row r="197" spans="1:29">
      <c r="A197" s="461"/>
      <c r="B197" s="461"/>
      <c r="C197" s="461"/>
      <c r="D197" s="462"/>
      <c r="E197" s="461"/>
      <c r="F197" s="461"/>
      <c r="G197" s="461"/>
      <c r="H197" s="461"/>
      <c r="I197" s="461"/>
      <c r="J197" s="461"/>
      <c r="K197" s="461"/>
      <c r="L197" s="461"/>
      <c r="M197" s="461"/>
      <c r="N197" s="461"/>
      <c r="O197" s="461"/>
      <c r="P197" s="461"/>
      <c r="Q197" s="461"/>
      <c r="R197" s="463"/>
      <c r="S197" s="461"/>
      <c r="T197" s="463"/>
      <c r="U197" s="461"/>
      <c r="V197" s="463"/>
      <c r="W197" s="461"/>
      <c r="AC197" s="461"/>
    </row>
    <row r="198" spans="1:29">
      <c r="A198" s="461"/>
      <c r="B198" s="461"/>
      <c r="C198" s="461"/>
      <c r="D198" s="462"/>
      <c r="E198" s="461"/>
      <c r="F198" s="461"/>
      <c r="G198" s="461"/>
      <c r="H198" s="461"/>
      <c r="I198" s="461"/>
      <c r="J198" s="461"/>
      <c r="K198" s="461"/>
      <c r="L198" s="461"/>
      <c r="M198" s="461"/>
      <c r="N198" s="461"/>
      <c r="O198" s="461"/>
      <c r="P198" s="461"/>
      <c r="Q198" s="461"/>
      <c r="R198" s="463"/>
      <c r="S198" s="461"/>
      <c r="T198" s="463"/>
      <c r="U198" s="461"/>
      <c r="V198" s="463"/>
      <c r="W198" s="461"/>
      <c r="AC198" s="461"/>
    </row>
    <row r="199" spans="1:29">
      <c r="A199" s="461"/>
      <c r="B199" s="461"/>
      <c r="C199" s="461"/>
      <c r="D199" s="462"/>
      <c r="E199" s="461"/>
      <c r="F199" s="461"/>
      <c r="G199" s="461"/>
      <c r="H199" s="461"/>
      <c r="I199" s="461"/>
      <c r="J199" s="461"/>
      <c r="K199" s="461"/>
      <c r="L199" s="461"/>
      <c r="M199" s="461"/>
      <c r="N199" s="461"/>
      <c r="O199" s="461"/>
      <c r="P199" s="461"/>
      <c r="Q199" s="461"/>
      <c r="R199" s="463"/>
      <c r="S199" s="461"/>
      <c r="T199" s="463"/>
      <c r="U199" s="461"/>
      <c r="V199" s="463"/>
      <c r="W199" s="461"/>
      <c r="AC199" s="461"/>
    </row>
    <row r="200" spans="1:29">
      <c r="A200" s="461"/>
      <c r="B200" s="461"/>
      <c r="C200" s="461"/>
      <c r="D200" s="462"/>
      <c r="E200" s="461"/>
      <c r="F200" s="461"/>
      <c r="G200" s="461"/>
      <c r="H200" s="461"/>
      <c r="I200" s="461"/>
      <c r="J200" s="461"/>
      <c r="K200" s="461"/>
      <c r="L200" s="461"/>
      <c r="M200" s="461"/>
      <c r="N200" s="461"/>
      <c r="O200" s="461"/>
      <c r="P200" s="461"/>
      <c r="Q200" s="461"/>
      <c r="R200" s="463"/>
      <c r="S200" s="461"/>
      <c r="T200" s="463"/>
      <c r="U200" s="461"/>
      <c r="V200" s="463"/>
      <c r="W200" s="461"/>
      <c r="AC200" s="461"/>
    </row>
    <row r="201" spans="1:29">
      <c r="A201" s="461"/>
      <c r="B201" s="461"/>
      <c r="C201" s="461"/>
      <c r="D201" s="462"/>
      <c r="E201" s="461"/>
      <c r="F201" s="461"/>
      <c r="G201" s="461"/>
      <c r="H201" s="461"/>
      <c r="I201" s="461"/>
      <c r="J201" s="461"/>
      <c r="K201" s="461"/>
      <c r="L201" s="461"/>
      <c r="M201" s="461"/>
      <c r="N201" s="461"/>
      <c r="O201" s="461"/>
      <c r="P201" s="461"/>
      <c r="Q201" s="461"/>
      <c r="R201" s="463"/>
      <c r="S201" s="461"/>
      <c r="T201" s="463"/>
      <c r="U201" s="461"/>
      <c r="V201" s="463"/>
      <c r="W201" s="461"/>
      <c r="AC201" s="461"/>
    </row>
    <row r="202" spans="1:29">
      <c r="A202" s="461"/>
      <c r="B202" s="461"/>
      <c r="C202" s="461"/>
      <c r="D202" s="462"/>
      <c r="E202" s="461"/>
      <c r="F202" s="461"/>
      <c r="G202" s="461"/>
      <c r="H202" s="461"/>
      <c r="I202" s="461"/>
      <c r="J202" s="461"/>
      <c r="K202" s="461"/>
      <c r="L202" s="461"/>
      <c r="M202" s="461"/>
      <c r="N202" s="461"/>
      <c r="O202" s="461"/>
      <c r="P202" s="461"/>
      <c r="Q202" s="461"/>
      <c r="R202" s="463"/>
      <c r="S202" s="461"/>
      <c r="T202" s="463"/>
      <c r="U202" s="461"/>
      <c r="V202" s="463"/>
      <c r="W202" s="461"/>
      <c r="AC202" s="461"/>
    </row>
    <row r="203" spans="1:29">
      <c r="A203" s="461"/>
      <c r="B203" s="461"/>
      <c r="C203" s="461"/>
      <c r="D203" s="462"/>
      <c r="E203" s="461"/>
      <c r="F203" s="461"/>
      <c r="G203" s="461"/>
      <c r="H203" s="461"/>
      <c r="I203" s="461"/>
      <c r="J203" s="461"/>
      <c r="K203" s="461"/>
      <c r="L203" s="461"/>
      <c r="M203" s="461"/>
      <c r="N203" s="461"/>
      <c r="O203" s="461"/>
      <c r="P203" s="461"/>
      <c r="Q203" s="461"/>
      <c r="R203" s="463"/>
      <c r="S203" s="461"/>
      <c r="T203" s="463"/>
      <c r="U203" s="461"/>
      <c r="V203" s="463"/>
      <c r="W203" s="461"/>
      <c r="AC203" s="461"/>
    </row>
    <row r="204" spans="1:29">
      <c r="A204" s="461"/>
      <c r="B204" s="461"/>
      <c r="C204" s="461"/>
      <c r="D204" s="462"/>
      <c r="E204" s="461"/>
      <c r="F204" s="461"/>
      <c r="G204" s="461"/>
      <c r="H204" s="461"/>
      <c r="I204" s="461"/>
      <c r="J204" s="461"/>
      <c r="K204" s="461"/>
      <c r="L204" s="461"/>
      <c r="M204" s="461"/>
      <c r="N204" s="461"/>
      <c r="O204" s="461"/>
      <c r="P204" s="461"/>
      <c r="Q204" s="461"/>
      <c r="R204" s="463"/>
      <c r="S204" s="461"/>
      <c r="T204" s="463"/>
      <c r="U204" s="461"/>
      <c r="V204" s="463"/>
      <c r="W204" s="461"/>
      <c r="AC204" s="461"/>
    </row>
    <row r="205" spans="1:29">
      <c r="A205" s="461"/>
      <c r="B205" s="461"/>
      <c r="C205" s="461"/>
      <c r="D205" s="462"/>
      <c r="E205" s="461"/>
      <c r="F205" s="461"/>
      <c r="G205" s="461"/>
      <c r="H205" s="461"/>
      <c r="I205" s="461"/>
      <c r="J205" s="461"/>
      <c r="K205" s="461"/>
      <c r="L205" s="461"/>
      <c r="M205" s="461"/>
      <c r="N205" s="461"/>
      <c r="O205" s="461"/>
      <c r="P205" s="461"/>
      <c r="Q205" s="461"/>
      <c r="R205" s="463"/>
      <c r="S205" s="461"/>
      <c r="T205" s="463"/>
      <c r="U205" s="461"/>
      <c r="V205" s="463"/>
      <c r="W205" s="461"/>
      <c r="AC205" s="461"/>
    </row>
    <row r="206" spans="1:29">
      <c r="A206" s="461"/>
      <c r="B206" s="461"/>
      <c r="C206" s="461"/>
      <c r="D206" s="462"/>
      <c r="E206" s="461"/>
      <c r="F206" s="461"/>
      <c r="G206" s="461"/>
      <c r="H206" s="461"/>
      <c r="I206" s="461"/>
      <c r="J206" s="461"/>
      <c r="K206" s="461"/>
      <c r="L206" s="461"/>
      <c r="M206" s="461"/>
      <c r="N206" s="461"/>
      <c r="O206" s="461"/>
      <c r="P206" s="461"/>
      <c r="Q206" s="461"/>
      <c r="R206" s="463"/>
      <c r="S206" s="461"/>
      <c r="T206" s="463"/>
      <c r="U206" s="461"/>
      <c r="V206" s="463"/>
      <c r="W206" s="461"/>
      <c r="AC206" s="461"/>
    </row>
    <row r="207" spans="1:29">
      <c r="A207" s="461"/>
      <c r="B207" s="461"/>
      <c r="C207" s="461"/>
      <c r="D207" s="462"/>
      <c r="E207" s="461"/>
      <c r="F207" s="461"/>
      <c r="G207" s="461"/>
      <c r="H207" s="461"/>
      <c r="I207" s="461"/>
      <c r="J207" s="461"/>
      <c r="K207" s="461"/>
      <c r="L207" s="461"/>
      <c r="M207" s="461"/>
      <c r="N207" s="461"/>
      <c r="O207" s="461"/>
      <c r="P207" s="461"/>
      <c r="Q207" s="461"/>
      <c r="R207" s="463"/>
      <c r="S207" s="461"/>
      <c r="T207" s="463"/>
      <c r="U207" s="461"/>
      <c r="V207" s="463"/>
      <c r="W207" s="461"/>
      <c r="AC207" s="461"/>
    </row>
    <row r="208" spans="1:29">
      <c r="A208" s="461"/>
      <c r="B208" s="461"/>
      <c r="C208" s="461"/>
      <c r="D208" s="462"/>
      <c r="E208" s="461"/>
      <c r="F208" s="461"/>
      <c r="G208" s="461"/>
      <c r="H208" s="461"/>
      <c r="I208" s="461"/>
      <c r="J208" s="461"/>
      <c r="K208" s="461"/>
      <c r="L208" s="461"/>
      <c r="M208" s="461"/>
      <c r="N208" s="461"/>
      <c r="O208" s="461"/>
      <c r="P208" s="461"/>
      <c r="Q208" s="461"/>
      <c r="R208" s="463"/>
      <c r="S208" s="461"/>
      <c r="T208" s="463"/>
      <c r="U208" s="461"/>
      <c r="V208" s="463"/>
      <c r="W208" s="461"/>
      <c r="AC208" s="461"/>
    </row>
    <row r="209" spans="1:29">
      <c r="A209" s="461"/>
      <c r="B209" s="461"/>
      <c r="C209" s="461"/>
      <c r="D209" s="462"/>
      <c r="E209" s="461"/>
      <c r="F209" s="461"/>
      <c r="G209" s="461"/>
      <c r="H209" s="461"/>
      <c r="I209" s="461"/>
      <c r="J209" s="461"/>
      <c r="K209" s="461"/>
      <c r="L209" s="461"/>
      <c r="M209" s="461"/>
      <c r="N209" s="461"/>
      <c r="O209" s="461"/>
      <c r="P209" s="461"/>
      <c r="Q209" s="461"/>
      <c r="R209" s="463"/>
      <c r="S209" s="461"/>
      <c r="T209" s="463"/>
      <c r="U209" s="461"/>
      <c r="V209" s="463"/>
      <c r="W209" s="461"/>
      <c r="AC209" s="461"/>
    </row>
    <row r="210" spans="1:29">
      <c r="A210" s="461"/>
      <c r="B210" s="461"/>
      <c r="C210" s="461"/>
      <c r="D210" s="462"/>
      <c r="E210" s="461"/>
      <c r="F210" s="461"/>
      <c r="G210" s="461"/>
      <c r="H210" s="461"/>
      <c r="I210" s="461"/>
      <c r="J210" s="461"/>
      <c r="K210" s="461"/>
      <c r="L210" s="461"/>
      <c r="M210" s="461"/>
      <c r="N210" s="461"/>
      <c r="O210" s="461"/>
      <c r="P210" s="461"/>
      <c r="Q210" s="461"/>
      <c r="R210" s="463"/>
      <c r="S210" s="461"/>
      <c r="T210" s="463"/>
      <c r="U210" s="461"/>
      <c r="V210" s="463"/>
      <c r="W210" s="461"/>
      <c r="AC210" s="461"/>
    </row>
    <row r="211" spans="1:29">
      <c r="A211" s="461"/>
      <c r="B211" s="461"/>
      <c r="C211" s="461"/>
      <c r="D211" s="462"/>
      <c r="E211" s="461"/>
      <c r="F211" s="461"/>
      <c r="G211" s="461"/>
      <c r="H211" s="461"/>
      <c r="I211" s="461"/>
      <c r="J211" s="461"/>
      <c r="K211" s="461"/>
      <c r="L211" s="461"/>
      <c r="M211" s="461"/>
      <c r="N211" s="461"/>
      <c r="O211" s="461"/>
      <c r="P211" s="461"/>
      <c r="Q211" s="461"/>
      <c r="R211" s="463"/>
      <c r="S211" s="461"/>
      <c r="T211" s="463"/>
      <c r="U211" s="461"/>
      <c r="V211" s="463"/>
      <c r="W211" s="461"/>
      <c r="AC211" s="461"/>
    </row>
    <row r="212" spans="1:29">
      <c r="A212" s="461"/>
      <c r="B212" s="461"/>
      <c r="C212" s="461"/>
      <c r="D212" s="462"/>
      <c r="E212" s="461"/>
      <c r="F212" s="461"/>
      <c r="G212" s="461"/>
      <c r="H212" s="461"/>
      <c r="I212" s="461"/>
      <c r="J212" s="461"/>
      <c r="K212" s="461"/>
      <c r="L212" s="461"/>
      <c r="M212" s="461"/>
      <c r="N212" s="461"/>
      <c r="O212" s="461"/>
      <c r="P212" s="461"/>
      <c r="Q212" s="461"/>
      <c r="R212" s="463"/>
      <c r="S212" s="461"/>
      <c r="T212" s="463"/>
      <c r="U212" s="461"/>
      <c r="V212" s="463"/>
      <c r="W212" s="461"/>
      <c r="AC212" s="461"/>
    </row>
    <row r="213" spans="1:29">
      <c r="A213" s="461"/>
      <c r="B213" s="461"/>
      <c r="C213" s="461"/>
      <c r="D213" s="462"/>
      <c r="E213" s="461"/>
      <c r="F213" s="461"/>
      <c r="G213" s="461"/>
      <c r="H213" s="461"/>
      <c r="I213" s="461"/>
      <c r="J213" s="461"/>
      <c r="K213" s="461"/>
      <c r="L213" s="461"/>
      <c r="M213" s="461"/>
      <c r="N213" s="461"/>
      <c r="O213" s="461"/>
      <c r="P213" s="461"/>
      <c r="Q213" s="461"/>
      <c r="R213" s="463"/>
      <c r="S213" s="461"/>
      <c r="T213" s="463"/>
      <c r="U213" s="461"/>
      <c r="V213" s="463"/>
      <c r="W213" s="461"/>
      <c r="AC213" s="461"/>
    </row>
    <row r="214" spans="1:29">
      <c r="A214" s="461"/>
      <c r="B214" s="461"/>
      <c r="C214" s="461"/>
      <c r="D214" s="462"/>
      <c r="E214" s="461"/>
      <c r="F214" s="461"/>
      <c r="G214" s="461"/>
      <c r="H214" s="461"/>
      <c r="I214" s="461"/>
      <c r="J214" s="461"/>
      <c r="K214" s="461"/>
      <c r="L214" s="461"/>
      <c r="M214" s="461"/>
      <c r="N214" s="461"/>
      <c r="O214" s="461"/>
      <c r="P214" s="461"/>
      <c r="Q214" s="461"/>
      <c r="R214" s="463"/>
      <c r="S214" s="461"/>
      <c r="T214" s="463"/>
      <c r="U214" s="461"/>
      <c r="V214" s="463"/>
      <c r="W214" s="461"/>
      <c r="AC214" s="461"/>
    </row>
    <row r="215" spans="1:29">
      <c r="A215" s="461"/>
      <c r="B215" s="461"/>
      <c r="C215" s="461"/>
      <c r="D215" s="462"/>
      <c r="E215" s="461"/>
      <c r="F215" s="461"/>
      <c r="G215" s="461"/>
      <c r="H215" s="461"/>
      <c r="I215" s="461"/>
      <c r="J215" s="461"/>
      <c r="K215" s="461"/>
      <c r="L215" s="461"/>
      <c r="M215" s="461"/>
      <c r="N215" s="461"/>
      <c r="O215" s="461"/>
      <c r="P215" s="461"/>
      <c r="Q215" s="461"/>
      <c r="R215" s="463"/>
      <c r="S215" s="461"/>
      <c r="T215" s="463"/>
      <c r="U215" s="461"/>
      <c r="V215" s="463"/>
      <c r="W215" s="461"/>
      <c r="AC215" s="461"/>
    </row>
    <row r="216" spans="1:29">
      <c r="A216" s="461"/>
      <c r="B216" s="461"/>
      <c r="C216" s="461"/>
      <c r="D216" s="462"/>
      <c r="E216" s="461"/>
      <c r="F216" s="461"/>
      <c r="G216" s="461"/>
      <c r="H216" s="461"/>
      <c r="I216" s="461"/>
      <c r="J216" s="461"/>
      <c r="K216" s="461"/>
      <c r="L216" s="461"/>
      <c r="M216" s="461"/>
      <c r="N216" s="461"/>
      <c r="O216" s="461"/>
      <c r="P216" s="461"/>
      <c r="Q216" s="461"/>
      <c r="R216" s="463"/>
      <c r="S216" s="461"/>
      <c r="T216" s="463"/>
      <c r="U216" s="461"/>
      <c r="V216" s="463"/>
      <c r="W216" s="461"/>
      <c r="AC216" s="461"/>
    </row>
    <row r="217" spans="1:29">
      <c r="A217" s="461"/>
      <c r="B217" s="461"/>
      <c r="C217" s="461"/>
      <c r="D217" s="462"/>
      <c r="E217" s="461"/>
      <c r="F217" s="461"/>
      <c r="G217" s="461"/>
      <c r="H217" s="461"/>
      <c r="I217" s="461"/>
      <c r="J217" s="461"/>
      <c r="K217" s="461"/>
      <c r="L217" s="461"/>
      <c r="M217" s="461"/>
      <c r="N217" s="461"/>
      <c r="O217" s="461"/>
      <c r="P217" s="461"/>
      <c r="Q217" s="461"/>
      <c r="R217" s="463"/>
      <c r="S217" s="461"/>
      <c r="T217" s="463"/>
      <c r="U217" s="461"/>
      <c r="V217" s="463"/>
      <c r="W217" s="461"/>
      <c r="AC217" s="461"/>
    </row>
    <row r="218" spans="1:29">
      <c r="A218" s="461"/>
      <c r="B218" s="461"/>
      <c r="C218" s="461"/>
      <c r="D218" s="462"/>
      <c r="E218" s="461"/>
      <c r="F218" s="461"/>
      <c r="G218" s="461"/>
      <c r="H218" s="461"/>
      <c r="I218" s="461"/>
      <c r="J218" s="461"/>
      <c r="K218" s="461"/>
      <c r="L218" s="461"/>
      <c r="M218" s="461"/>
      <c r="N218" s="461"/>
      <c r="O218" s="461"/>
      <c r="P218" s="461"/>
      <c r="Q218" s="461"/>
      <c r="R218" s="463"/>
      <c r="S218" s="461"/>
      <c r="T218" s="463"/>
      <c r="U218" s="461"/>
      <c r="V218" s="463"/>
      <c r="W218" s="461"/>
      <c r="AC218" s="461"/>
    </row>
    <row r="219" spans="1:29">
      <c r="A219" s="461"/>
      <c r="B219" s="461"/>
      <c r="C219" s="461"/>
      <c r="D219" s="462"/>
      <c r="E219" s="461"/>
      <c r="F219" s="461"/>
      <c r="G219" s="461"/>
      <c r="H219" s="461"/>
      <c r="I219" s="461"/>
      <c r="J219" s="461"/>
      <c r="K219" s="461"/>
      <c r="L219" s="461"/>
      <c r="M219" s="461"/>
      <c r="N219" s="461"/>
      <c r="O219" s="461"/>
      <c r="P219" s="461"/>
      <c r="Q219" s="461"/>
      <c r="R219" s="463"/>
      <c r="S219" s="461"/>
      <c r="T219" s="463"/>
      <c r="U219" s="461"/>
      <c r="V219" s="463"/>
      <c r="W219" s="461"/>
      <c r="AC219" s="461"/>
    </row>
    <row r="220" spans="1:29">
      <c r="A220" s="461"/>
      <c r="B220" s="461"/>
      <c r="C220" s="461"/>
      <c r="D220" s="462"/>
      <c r="E220" s="461"/>
      <c r="F220" s="461"/>
      <c r="G220" s="461"/>
      <c r="H220" s="461"/>
      <c r="I220" s="461"/>
      <c r="J220" s="461"/>
      <c r="K220" s="461"/>
      <c r="L220" s="461"/>
      <c r="M220" s="461"/>
      <c r="N220" s="461"/>
      <c r="O220" s="461"/>
      <c r="P220" s="461"/>
      <c r="Q220" s="461"/>
      <c r="R220" s="463"/>
      <c r="S220" s="461"/>
      <c r="T220" s="463"/>
      <c r="U220" s="461"/>
      <c r="V220" s="463"/>
      <c r="W220" s="461"/>
      <c r="AC220" s="461"/>
    </row>
    <row r="221" spans="1:29">
      <c r="A221" s="461"/>
      <c r="B221" s="461"/>
      <c r="C221" s="461"/>
      <c r="D221" s="462"/>
      <c r="E221" s="461"/>
      <c r="F221" s="461"/>
      <c r="G221" s="461"/>
      <c r="H221" s="461"/>
      <c r="I221" s="461"/>
      <c r="J221" s="461"/>
      <c r="K221" s="461"/>
      <c r="L221" s="461"/>
      <c r="M221" s="461"/>
      <c r="N221" s="461"/>
      <c r="O221" s="461"/>
      <c r="P221" s="461"/>
      <c r="Q221" s="461"/>
      <c r="R221" s="463"/>
      <c r="S221" s="461"/>
      <c r="T221" s="463"/>
      <c r="U221" s="461"/>
      <c r="V221" s="463"/>
      <c r="W221" s="461"/>
      <c r="AC221" s="461"/>
    </row>
    <row r="222" spans="1:29">
      <c r="A222" s="461"/>
      <c r="B222" s="461"/>
      <c r="C222" s="461"/>
      <c r="D222" s="462"/>
      <c r="E222" s="461"/>
      <c r="F222" s="461"/>
      <c r="G222" s="461"/>
      <c r="H222" s="461"/>
      <c r="I222" s="461"/>
      <c r="J222" s="461"/>
      <c r="K222" s="461"/>
      <c r="L222" s="461"/>
      <c r="M222" s="461"/>
      <c r="N222" s="461"/>
      <c r="O222" s="461"/>
      <c r="P222" s="461"/>
      <c r="Q222" s="461"/>
      <c r="R222" s="463"/>
      <c r="S222" s="461"/>
      <c r="T222" s="463"/>
      <c r="U222" s="461"/>
      <c r="V222" s="463"/>
      <c r="W222" s="461"/>
      <c r="AC222" s="461"/>
    </row>
    <row r="223" spans="1:29">
      <c r="A223" s="461"/>
      <c r="B223" s="461"/>
      <c r="C223" s="461"/>
      <c r="D223" s="462"/>
      <c r="E223" s="461"/>
      <c r="F223" s="461"/>
      <c r="G223" s="461"/>
      <c r="H223" s="461"/>
      <c r="I223" s="461"/>
      <c r="J223" s="461"/>
      <c r="K223" s="461"/>
      <c r="L223" s="461"/>
      <c r="M223" s="461"/>
      <c r="N223" s="461"/>
      <c r="O223" s="461"/>
      <c r="P223" s="461"/>
      <c r="Q223" s="461"/>
      <c r="R223" s="463"/>
      <c r="S223" s="461"/>
      <c r="T223" s="463"/>
      <c r="U223" s="461"/>
      <c r="V223" s="463"/>
      <c r="W223" s="461"/>
      <c r="AC223" s="461"/>
    </row>
    <row r="224" spans="1:29">
      <c r="A224" s="461"/>
      <c r="B224" s="461"/>
      <c r="C224" s="461"/>
      <c r="D224" s="462"/>
      <c r="E224" s="461"/>
      <c r="F224" s="461"/>
      <c r="G224" s="461"/>
      <c r="H224" s="461"/>
      <c r="I224" s="461"/>
      <c r="J224" s="461"/>
      <c r="K224" s="461"/>
      <c r="L224" s="461"/>
      <c r="M224" s="461"/>
      <c r="N224" s="461"/>
      <c r="O224" s="461"/>
      <c r="P224" s="461"/>
      <c r="Q224" s="461"/>
      <c r="R224" s="463"/>
      <c r="S224" s="461"/>
      <c r="T224" s="463"/>
      <c r="U224" s="461"/>
      <c r="V224" s="463"/>
      <c r="W224" s="461"/>
      <c r="AC224" s="461"/>
    </row>
    <row r="225" spans="1:29">
      <c r="A225" s="461"/>
      <c r="B225" s="461"/>
      <c r="C225" s="461"/>
      <c r="D225" s="462"/>
      <c r="E225" s="461"/>
      <c r="F225" s="461"/>
      <c r="G225" s="461"/>
      <c r="H225" s="461"/>
      <c r="I225" s="461"/>
      <c r="J225" s="461"/>
      <c r="K225" s="461"/>
      <c r="L225" s="461"/>
      <c r="M225" s="461"/>
      <c r="N225" s="461"/>
      <c r="O225" s="461"/>
      <c r="P225" s="461"/>
      <c r="Q225" s="461"/>
      <c r="R225" s="463"/>
      <c r="S225" s="461"/>
      <c r="T225" s="463"/>
      <c r="U225" s="461"/>
      <c r="V225" s="463"/>
      <c r="W225" s="461"/>
      <c r="AC225" s="461"/>
    </row>
    <row r="226" spans="1:29">
      <c r="A226" s="461"/>
      <c r="B226" s="461"/>
      <c r="C226" s="461"/>
      <c r="D226" s="462"/>
      <c r="E226" s="461"/>
      <c r="F226" s="461"/>
      <c r="G226" s="461"/>
      <c r="H226" s="461"/>
      <c r="I226" s="461"/>
      <c r="J226" s="461"/>
      <c r="K226" s="461"/>
      <c r="L226" s="461"/>
      <c r="M226" s="461"/>
      <c r="N226" s="461"/>
      <c r="O226" s="461"/>
      <c r="P226" s="461"/>
      <c r="Q226" s="461"/>
      <c r="R226" s="463"/>
      <c r="S226" s="461"/>
      <c r="T226" s="463"/>
      <c r="U226" s="461"/>
      <c r="V226" s="463"/>
      <c r="W226" s="461"/>
      <c r="AC226" s="461"/>
    </row>
    <row r="227" spans="1:29">
      <c r="A227" s="461"/>
      <c r="B227" s="461"/>
      <c r="C227" s="461"/>
      <c r="D227" s="462"/>
      <c r="E227" s="461"/>
      <c r="F227" s="461"/>
      <c r="G227" s="461"/>
      <c r="H227" s="461"/>
      <c r="I227" s="461"/>
      <c r="J227" s="461"/>
      <c r="K227" s="461"/>
      <c r="L227" s="461"/>
      <c r="M227" s="461"/>
      <c r="N227" s="461"/>
      <c r="O227" s="461"/>
      <c r="P227" s="461"/>
      <c r="Q227" s="461"/>
      <c r="R227" s="463"/>
      <c r="S227" s="461"/>
      <c r="T227" s="463"/>
      <c r="U227" s="461"/>
      <c r="V227" s="463"/>
      <c r="W227" s="461"/>
      <c r="AC227" s="461"/>
    </row>
    <row r="228" spans="1:29">
      <c r="A228" s="461"/>
      <c r="B228" s="461"/>
      <c r="C228" s="461"/>
      <c r="D228" s="462"/>
      <c r="E228" s="461"/>
      <c r="F228" s="461"/>
      <c r="G228" s="461"/>
      <c r="H228" s="461"/>
      <c r="I228" s="461"/>
      <c r="J228" s="461"/>
      <c r="K228" s="461"/>
      <c r="L228" s="461"/>
      <c r="M228" s="461"/>
      <c r="N228" s="461"/>
      <c r="O228" s="461"/>
      <c r="P228" s="461"/>
      <c r="Q228" s="461"/>
      <c r="R228" s="463"/>
      <c r="S228" s="461"/>
      <c r="T228" s="463"/>
      <c r="U228" s="461"/>
      <c r="V228" s="463"/>
      <c r="W228" s="461"/>
      <c r="AC228" s="461"/>
    </row>
    <row r="229" spans="1:29">
      <c r="A229" s="461"/>
      <c r="B229" s="461"/>
      <c r="C229" s="461"/>
      <c r="D229" s="462"/>
      <c r="E229" s="461"/>
      <c r="F229" s="461"/>
      <c r="G229" s="461"/>
      <c r="H229" s="461"/>
      <c r="I229" s="461"/>
      <c r="J229" s="461"/>
      <c r="K229" s="461"/>
      <c r="L229" s="461"/>
      <c r="M229" s="461"/>
      <c r="N229" s="461"/>
      <c r="O229" s="461"/>
      <c r="P229" s="461"/>
      <c r="Q229" s="461"/>
      <c r="R229" s="463"/>
      <c r="S229" s="461"/>
      <c r="T229" s="463"/>
      <c r="U229" s="461"/>
      <c r="V229" s="463"/>
      <c r="W229" s="461"/>
      <c r="AC229" s="461"/>
    </row>
    <row r="230" spans="1:29">
      <c r="A230" s="461"/>
      <c r="B230" s="461"/>
      <c r="C230" s="461"/>
      <c r="D230" s="462"/>
      <c r="E230" s="461"/>
      <c r="F230" s="461"/>
      <c r="G230" s="461"/>
      <c r="H230" s="461"/>
      <c r="I230" s="461"/>
      <c r="J230" s="461"/>
      <c r="K230" s="461"/>
      <c r="L230" s="461"/>
      <c r="M230" s="461"/>
      <c r="N230" s="461"/>
      <c r="O230" s="461"/>
      <c r="P230" s="461"/>
      <c r="Q230" s="461"/>
      <c r="R230" s="463"/>
      <c r="S230" s="461"/>
      <c r="T230" s="463"/>
      <c r="U230" s="461"/>
      <c r="V230" s="463"/>
      <c r="W230" s="461"/>
      <c r="AC230" s="461"/>
    </row>
    <row r="231" spans="1:29">
      <c r="A231" s="461"/>
      <c r="B231" s="461"/>
      <c r="C231" s="461"/>
      <c r="D231" s="462"/>
      <c r="E231" s="461"/>
      <c r="F231" s="461"/>
      <c r="G231" s="461"/>
      <c r="H231" s="461"/>
      <c r="I231" s="461"/>
      <c r="J231" s="461"/>
      <c r="K231" s="461"/>
      <c r="L231" s="461"/>
      <c r="M231" s="461"/>
      <c r="N231" s="461"/>
      <c r="O231" s="461"/>
      <c r="P231" s="461"/>
      <c r="Q231" s="461"/>
      <c r="R231" s="463"/>
      <c r="S231" s="461"/>
      <c r="T231" s="463"/>
      <c r="U231" s="461"/>
      <c r="V231" s="463"/>
      <c r="W231" s="461"/>
      <c r="AC231" s="461"/>
    </row>
    <row r="232" spans="1:29">
      <c r="A232" s="461"/>
      <c r="B232" s="461"/>
      <c r="C232" s="461"/>
      <c r="D232" s="462"/>
      <c r="E232" s="461"/>
      <c r="F232" s="461"/>
      <c r="G232" s="461"/>
      <c r="H232" s="461"/>
      <c r="I232" s="461"/>
      <c r="J232" s="461"/>
      <c r="K232" s="461"/>
      <c r="L232" s="461"/>
      <c r="M232" s="461"/>
      <c r="N232" s="461"/>
      <c r="O232" s="461"/>
      <c r="P232" s="461"/>
      <c r="Q232" s="461"/>
      <c r="R232" s="463"/>
      <c r="S232" s="461"/>
      <c r="T232" s="463"/>
      <c r="U232" s="461"/>
      <c r="V232" s="463"/>
      <c r="W232" s="461"/>
      <c r="AC232" s="461"/>
    </row>
    <row r="233" spans="1:29">
      <c r="A233" s="461"/>
      <c r="B233" s="461"/>
      <c r="C233" s="461"/>
      <c r="D233" s="462"/>
      <c r="E233" s="461"/>
      <c r="F233" s="461"/>
      <c r="G233" s="461"/>
      <c r="H233" s="461"/>
      <c r="I233" s="461"/>
      <c r="J233" s="461"/>
      <c r="K233" s="461"/>
      <c r="L233" s="461"/>
      <c r="M233" s="461"/>
      <c r="N233" s="461"/>
      <c r="O233" s="461"/>
      <c r="P233" s="461"/>
      <c r="Q233" s="461"/>
      <c r="R233" s="463"/>
      <c r="S233" s="461"/>
      <c r="T233" s="463"/>
      <c r="U233" s="461"/>
      <c r="V233" s="463"/>
      <c r="W233" s="461"/>
      <c r="AC233" s="461"/>
    </row>
    <row r="234" spans="1:29">
      <c r="A234" s="461"/>
      <c r="B234" s="461"/>
      <c r="C234" s="461"/>
      <c r="D234" s="462"/>
      <c r="E234" s="461"/>
      <c r="F234" s="461"/>
      <c r="G234" s="461"/>
      <c r="H234" s="461"/>
      <c r="I234" s="461"/>
      <c r="J234" s="461"/>
      <c r="K234" s="461"/>
      <c r="L234" s="461"/>
      <c r="M234" s="461"/>
      <c r="N234" s="461"/>
      <c r="O234" s="461"/>
      <c r="P234" s="461"/>
      <c r="Q234" s="461"/>
      <c r="R234" s="463"/>
      <c r="S234" s="461"/>
      <c r="T234" s="463"/>
      <c r="U234" s="461"/>
      <c r="V234" s="463"/>
      <c r="W234" s="461"/>
      <c r="AC234" s="461"/>
    </row>
    <row r="235" spans="1:29">
      <c r="A235" s="461"/>
      <c r="B235" s="461"/>
      <c r="C235" s="461"/>
      <c r="D235" s="462"/>
      <c r="E235" s="461"/>
      <c r="F235" s="461"/>
      <c r="G235" s="461"/>
      <c r="H235" s="461"/>
      <c r="I235" s="461"/>
      <c r="J235" s="461"/>
      <c r="K235" s="461"/>
      <c r="L235" s="461"/>
      <c r="M235" s="461"/>
      <c r="N235" s="461"/>
      <c r="O235" s="461"/>
      <c r="P235" s="461"/>
      <c r="Q235" s="461"/>
      <c r="R235" s="463"/>
      <c r="S235" s="461"/>
      <c r="T235" s="463"/>
      <c r="U235" s="461"/>
      <c r="V235" s="463"/>
      <c r="W235" s="461"/>
      <c r="AC235" s="461"/>
    </row>
    <row r="236" spans="1:29">
      <c r="A236" s="461"/>
      <c r="B236" s="461"/>
      <c r="C236" s="461"/>
      <c r="D236" s="462"/>
      <c r="E236" s="461"/>
      <c r="F236" s="461"/>
      <c r="G236" s="461"/>
      <c r="H236" s="461"/>
      <c r="I236" s="461"/>
      <c r="J236" s="461"/>
      <c r="K236" s="461"/>
      <c r="L236" s="461"/>
      <c r="M236" s="461"/>
      <c r="N236" s="461"/>
      <c r="O236" s="461"/>
      <c r="P236" s="461"/>
      <c r="Q236" s="461"/>
      <c r="R236" s="463"/>
      <c r="S236" s="461"/>
      <c r="T236" s="463"/>
      <c r="U236" s="461"/>
      <c r="V236" s="463"/>
      <c r="W236" s="461"/>
      <c r="AC236" s="461"/>
    </row>
    <row r="237" spans="1:29">
      <c r="A237" s="461"/>
      <c r="B237" s="461"/>
      <c r="C237" s="461"/>
      <c r="D237" s="462"/>
      <c r="E237" s="461"/>
      <c r="F237" s="461"/>
      <c r="G237" s="461"/>
      <c r="H237" s="461"/>
      <c r="I237" s="461"/>
      <c r="J237" s="461"/>
      <c r="K237" s="461"/>
      <c r="L237" s="461"/>
      <c r="M237" s="461"/>
      <c r="N237" s="461"/>
      <c r="O237" s="461"/>
      <c r="P237" s="461"/>
      <c r="Q237" s="461"/>
      <c r="R237" s="463"/>
      <c r="S237" s="461"/>
      <c r="T237" s="463"/>
      <c r="U237" s="461"/>
      <c r="V237" s="463"/>
      <c r="W237" s="461"/>
      <c r="AC237" s="461"/>
    </row>
    <row r="238" spans="1:29">
      <c r="A238" s="461"/>
      <c r="B238" s="461"/>
      <c r="C238" s="461"/>
      <c r="D238" s="462"/>
      <c r="E238" s="461"/>
      <c r="F238" s="461"/>
      <c r="G238" s="461"/>
      <c r="H238" s="461"/>
      <c r="I238" s="461"/>
      <c r="J238" s="461"/>
      <c r="K238" s="461"/>
      <c r="L238" s="461"/>
      <c r="M238" s="461"/>
      <c r="N238" s="461"/>
      <c r="O238" s="461"/>
      <c r="P238" s="461"/>
      <c r="Q238" s="461"/>
      <c r="R238" s="463"/>
      <c r="S238" s="461"/>
      <c r="T238" s="463"/>
      <c r="U238" s="461"/>
      <c r="V238" s="463"/>
      <c r="W238" s="461"/>
      <c r="AC238" s="461"/>
    </row>
    <row r="239" spans="1:29">
      <c r="A239" s="461"/>
      <c r="B239" s="461"/>
      <c r="C239" s="461"/>
      <c r="D239" s="462"/>
      <c r="E239" s="461"/>
      <c r="F239" s="461"/>
      <c r="G239" s="461"/>
      <c r="H239" s="461"/>
      <c r="I239" s="461"/>
      <c r="J239" s="461"/>
      <c r="K239" s="461"/>
      <c r="L239" s="461"/>
      <c r="M239" s="461"/>
      <c r="N239" s="461"/>
      <c r="O239" s="461"/>
      <c r="P239" s="461"/>
      <c r="Q239" s="461"/>
      <c r="R239" s="463"/>
      <c r="S239" s="461"/>
      <c r="T239" s="463"/>
      <c r="U239" s="461"/>
      <c r="V239" s="463"/>
      <c r="W239" s="461"/>
      <c r="AC239" s="461"/>
    </row>
    <row r="240" spans="1:29">
      <c r="A240" s="461"/>
      <c r="B240" s="461"/>
      <c r="C240" s="461"/>
      <c r="D240" s="462"/>
      <c r="E240" s="461"/>
      <c r="F240" s="461"/>
      <c r="G240" s="461"/>
      <c r="H240" s="461"/>
      <c r="I240" s="461"/>
      <c r="J240" s="461"/>
      <c r="K240" s="461"/>
      <c r="L240" s="461"/>
      <c r="M240" s="461"/>
      <c r="N240" s="461"/>
      <c r="O240" s="461"/>
      <c r="P240" s="461"/>
      <c r="Q240" s="461"/>
      <c r="R240" s="463"/>
      <c r="S240" s="461"/>
      <c r="T240" s="463"/>
      <c r="U240" s="461"/>
      <c r="V240" s="463"/>
      <c r="W240" s="461"/>
      <c r="AC240" s="461"/>
    </row>
    <row r="241" spans="1:29">
      <c r="A241" s="461"/>
      <c r="B241" s="461"/>
      <c r="C241" s="461"/>
      <c r="D241" s="462"/>
      <c r="E241" s="461"/>
      <c r="F241" s="461"/>
      <c r="G241" s="461"/>
      <c r="H241" s="461"/>
      <c r="I241" s="461"/>
      <c r="J241" s="461"/>
      <c r="K241" s="461"/>
      <c r="L241" s="461"/>
      <c r="M241" s="461"/>
      <c r="N241" s="461"/>
      <c r="O241" s="461"/>
      <c r="P241" s="461"/>
      <c r="Q241" s="461"/>
      <c r="R241" s="463"/>
      <c r="S241" s="461"/>
      <c r="T241" s="463"/>
      <c r="U241" s="461"/>
      <c r="V241" s="463"/>
      <c r="W241" s="461"/>
      <c r="AC241" s="461"/>
    </row>
    <row r="242" spans="1:29">
      <c r="A242" s="461"/>
      <c r="B242" s="461"/>
      <c r="C242" s="461"/>
      <c r="D242" s="462"/>
      <c r="E242" s="461"/>
      <c r="F242" s="461"/>
      <c r="G242" s="461"/>
      <c r="H242" s="461"/>
      <c r="I242" s="461"/>
      <c r="J242" s="461"/>
      <c r="K242" s="461"/>
      <c r="L242" s="461"/>
      <c r="M242" s="461"/>
      <c r="N242" s="461"/>
      <c r="O242" s="461"/>
      <c r="P242" s="461"/>
      <c r="Q242" s="461"/>
      <c r="R242" s="463"/>
      <c r="S242" s="461"/>
      <c r="T242" s="463"/>
      <c r="U242" s="461"/>
      <c r="V242" s="463"/>
      <c r="W242" s="461"/>
      <c r="AC242" s="461"/>
    </row>
    <row r="243" spans="1:29">
      <c r="A243" s="461"/>
      <c r="B243" s="461"/>
      <c r="C243" s="461"/>
      <c r="D243" s="462"/>
      <c r="E243" s="461"/>
      <c r="F243" s="461"/>
      <c r="G243" s="461"/>
      <c r="H243" s="461"/>
      <c r="I243" s="461"/>
      <c r="J243" s="461"/>
      <c r="K243" s="461"/>
      <c r="L243" s="461"/>
      <c r="M243" s="461"/>
      <c r="N243" s="461"/>
      <c r="O243" s="461"/>
      <c r="P243" s="461"/>
      <c r="Q243" s="461"/>
      <c r="R243" s="463"/>
      <c r="S243" s="461"/>
      <c r="T243" s="463"/>
      <c r="U243" s="461"/>
      <c r="V243" s="463"/>
      <c r="W243" s="461"/>
      <c r="AC243" s="461"/>
    </row>
    <row r="244" spans="1:29">
      <c r="A244" s="461"/>
      <c r="B244" s="461"/>
      <c r="C244" s="461"/>
      <c r="D244" s="462"/>
      <c r="E244" s="461"/>
      <c r="F244" s="461"/>
      <c r="G244" s="461"/>
      <c r="H244" s="461"/>
      <c r="I244" s="461"/>
      <c r="J244" s="461"/>
      <c r="K244" s="461"/>
      <c r="L244" s="461"/>
      <c r="M244" s="461"/>
      <c r="N244" s="461"/>
      <c r="O244" s="461"/>
      <c r="P244" s="461"/>
      <c r="Q244" s="461"/>
      <c r="R244" s="463"/>
      <c r="S244" s="461"/>
      <c r="T244" s="463"/>
      <c r="U244" s="461"/>
      <c r="V244" s="463"/>
      <c r="W244" s="461"/>
      <c r="AC244" s="461"/>
    </row>
    <row r="245" spans="1:29">
      <c r="A245" s="461"/>
      <c r="B245" s="461"/>
      <c r="C245" s="461"/>
      <c r="D245" s="462"/>
      <c r="E245" s="461"/>
      <c r="F245" s="461"/>
      <c r="G245" s="461"/>
      <c r="H245" s="461"/>
      <c r="I245" s="461"/>
      <c r="J245" s="461"/>
      <c r="K245" s="461"/>
      <c r="L245" s="461"/>
      <c r="M245" s="461"/>
      <c r="N245" s="461"/>
      <c r="O245" s="461"/>
      <c r="P245" s="461"/>
      <c r="Q245" s="461"/>
      <c r="R245" s="463"/>
      <c r="S245" s="461"/>
      <c r="T245" s="463"/>
      <c r="U245" s="461"/>
      <c r="V245" s="463"/>
      <c r="W245" s="461"/>
      <c r="AC245" s="461"/>
    </row>
    <row r="246" spans="1:29">
      <c r="A246" s="461"/>
      <c r="B246" s="461"/>
      <c r="C246" s="461"/>
      <c r="D246" s="462"/>
      <c r="E246" s="461"/>
      <c r="F246" s="461"/>
      <c r="G246" s="461"/>
      <c r="H246" s="461"/>
      <c r="I246" s="461"/>
      <c r="J246" s="461"/>
      <c r="K246" s="461"/>
      <c r="L246" s="461"/>
      <c r="M246" s="461"/>
      <c r="N246" s="461"/>
      <c r="O246" s="461"/>
      <c r="P246" s="461"/>
      <c r="Q246" s="461"/>
      <c r="R246" s="463"/>
      <c r="S246" s="461"/>
      <c r="T246" s="463"/>
      <c r="U246" s="461"/>
      <c r="V246" s="463"/>
      <c r="W246" s="461"/>
      <c r="AC246" s="461"/>
    </row>
    <row r="247" spans="1:29">
      <c r="A247" s="461"/>
      <c r="B247" s="461"/>
      <c r="C247" s="461"/>
      <c r="D247" s="462"/>
      <c r="E247" s="461"/>
      <c r="F247" s="461"/>
      <c r="G247" s="461"/>
      <c r="H247" s="461"/>
      <c r="I247" s="461"/>
      <c r="J247" s="461"/>
      <c r="K247" s="461"/>
      <c r="L247" s="461"/>
      <c r="M247" s="461"/>
      <c r="N247" s="461"/>
      <c r="O247" s="461"/>
      <c r="P247" s="461"/>
      <c r="Q247" s="461"/>
      <c r="R247" s="463"/>
      <c r="S247" s="461"/>
      <c r="T247" s="463"/>
      <c r="U247" s="461"/>
      <c r="V247" s="463"/>
      <c r="W247" s="461"/>
      <c r="AC247" s="461"/>
    </row>
    <row r="248" spans="1:29">
      <c r="A248" s="461"/>
      <c r="B248" s="461"/>
      <c r="C248" s="461"/>
      <c r="D248" s="462"/>
      <c r="E248" s="461"/>
      <c r="F248" s="461"/>
      <c r="G248" s="461"/>
      <c r="H248" s="461"/>
      <c r="I248" s="461"/>
      <c r="J248" s="461"/>
      <c r="K248" s="461"/>
      <c r="L248" s="461"/>
      <c r="M248" s="461"/>
      <c r="N248" s="461"/>
      <c r="O248" s="461"/>
      <c r="P248" s="461"/>
      <c r="Q248" s="461"/>
      <c r="R248" s="463"/>
      <c r="S248" s="461"/>
      <c r="T248" s="463"/>
      <c r="U248" s="461"/>
      <c r="V248" s="463"/>
      <c r="W248" s="461"/>
      <c r="AC248" s="461"/>
    </row>
    <row r="249" spans="1:29">
      <c r="A249" s="461"/>
      <c r="B249" s="461"/>
      <c r="C249" s="461"/>
      <c r="D249" s="462"/>
      <c r="E249" s="461"/>
      <c r="F249" s="461"/>
      <c r="G249" s="461"/>
      <c r="H249" s="461"/>
      <c r="I249" s="461"/>
      <c r="J249" s="461"/>
      <c r="K249" s="461"/>
      <c r="L249" s="461"/>
      <c r="M249" s="461"/>
      <c r="N249" s="461"/>
      <c r="O249" s="461"/>
      <c r="P249" s="461"/>
      <c r="Q249" s="461"/>
      <c r="R249" s="463"/>
      <c r="S249" s="461"/>
      <c r="T249" s="463"/>
      <c r="U249" s="461"/>
      <c r="V249" s="463"/>
      <c r="W249" s="461"/>
      <c r="AC249" s="461"/>
    </row>
    <row r="250" spans="1:29">
      <c r="A250" s="461"/>
      <c r="B250" s="461"/>
      <c r="C250" s="461"/>
      <c r="D250" s="462"/>
      <c r="E250" s="461"/>
      <c r="F250" s="461"/>
      <c r="G250" s="461"/>
      <c r="H250" s="461"/>
      <c r="I250" s="461"/>
      <c r="J250" s="461"/>
      <c r="K250" s="461"/>
      <c r="L250" s="461"/>
      <c r="M250" s="461"/>
      <c r="N250" s="461"/>
      <c r="O250" s="461"/>
      <c r="P250" s="461"/>
      <c r="Q250" s="461"/>
      <c r="R250" s="463"/>
      <c r="S250" s="461"/>
      <c r="T250" s="463"/>
      <c r="U250" s="461"/>
      <c r="V250" s="463"/>
      <c r="W250" s="461"/>
      <c r="AC250" s="461"/>
    </row>
    <row r="251" spans="1:29">
      <c r="A251" s="461"/>
      <c r="B251" s="461"/>
      <c r="C251" s="461"/>
      <c r="D251" s="462"/>
      <c r="E251" s="461"/>
      <c r="F251" s="461"/>
      <c r="G251" s="461"/>
      <c r="H251" s="461"/>
      <c r="I251" s="461"/>
      <c r="J251" s="461"/>
      <c r="K251" s="461"/>
      <c r="L251" s="461"/>
      <c r="M251" s="461"/>
      <c r="N251" s="461"/>
      <c r="O251" s="461"/>
      <c r="P251" s="461"/>
      <c r="Q251" s="461"/>
      <c r="R251" s="463"/>
      <c r="S251" s="461"/>
      <c r="T251" s="463"/>
      <c r="U251" s="461"/>
      <c r="V251" s="463"/>
      <c r="W251" s="461"/>
      <c r="AC251" s="461"/>
    </row>
    <row r="252" spans="1:29">
      <c r="A252" s="461"/>
      <c r="B252" s="461"/>
      <c r="C252" s="461"/>
      <c r="D252" s="462"/>
      <c r="E252" s="461"/>
      <c r="F252" s="461"/>
      <c r="G252" s="461"/>
      <c r="H252" s="461"/>
      <c r="I252" s="461"/>
      <c r="J252" s="461"/>
      <c r="K252" s="461"/>
      <c r="L252" s="461"/>
      <c r="M252" s="461"/>
      <c r="N252" s="461"/>
      <c r="O252" s="461"/>
      <c r="P252" s="461"/>
      <c r="Q252" s="461"/>
      <c r="R252" s="463"/>
      <c r="S252" s="461"/>
      <c r="T252" s="463"/>
      <c r="U252" s="461"/>
      <c r="V252" s="463"/>
      <c r="W252" s="461"/>
      <c r="AC252" s="461"/>
    </row>
    <row r="253" spans="1:29">
      <c r="A253" s="461"/>
      <c r="B253" s="461"/>
      <c r="C253" s="461"/>
      <c r="D253" s="462"/>
      <c r="E253" s="461"/>
      <c r="F253" s="461"/>
      <c r="G253" s="461"/>
      <c r="H253" s="461"/>
      <c r="I253" s="461"/>
      <c r="J253" s="461"/>
      <c r="K253" s="461"/>
      <c r="L253" s="461"/>
      <c r="M253" s="461"/>
      <c r="N253" s="461"/>
      <c r="O253" s="461"/>
      <c r="P253" s="461"/>
      <c r="Q253" s="461"/>
      <c r="R253" s="463"/>
      <c r="S253" s="461"/>
      <c r="T253" s="463"/>
      <c r="U253" s="461"/>
      <c r="V253" s="463"/>
      <c r="W253" s="461"/>
      <c r="AC253" s="461"/>
    </row>
    <row r="254" spans="1:29">
      <c r="A254" s="461"/>
      <c r="B254" s="461"/>
      <c r="C254" s="461"/>
      <c r="D254" s="462"/>
      <c r="E254" s="461"/>
      <c r="F254" s="461"/>
      <c r="G254" s="461"/>
      <c r="H254" s="461"/>
      <c r="I254" s="461"/>
      <c r="J254" s="461"/>
      <c r="K254" s="461"/>
      <c r="L254" s="461"/>
      <c r="M254" s="461"/>
      <c r="N254" s="461"/>
      <c r="O254" s="461"/>
      <c r="P254" s="461"/>
      <c r="Q254" s="461"/>
      <c r="R254" s="463"/>
      <c r="S254" s="461"/>
      <c r="T254" s="463"/>
      <c r="U254" s="461"/>
      <c r="V254" s="463"/>
      <c r="W254" s="461"/>
      <c r="AC254" s="461"/>
    </row>
    <row r="255" spans="1:29">
      <c r="A255" s="461"/>
      <c r="B255" s="461"/>
      <c r="C255" s="461"/>
      <c r="D255" s="462"/>
      <c r="E255" s="461"/>
      <c r="F255" s="461"/>
      <c r="G255" s="461"/>
      <c r="H255" s="461"/>
      <c r="I255" s="461"/>
      <c r="J255" s="461"/>
      <c r="K255" s="461"/>
      <c r="L255" s="461"/>
      <c r="M255" s="461"/>
      <c r="N255" s="461"/>
      <c r="O255" s="461"/>
      <c r="P255" s="461"/>
      <c r="Q255" s="461"/>
      <c r="R255" s="463"/>
      <c r="S255" s="461"/>
      <c r="T255" s="463"/>
      <c r="U255" s="461"/>
      <c r="V255" s="463"/>
      <c r="W255" s="461"/>
      <c r="AC255" s="461"/>
    </row>
    <row r="256" spans="1:29">
      <c r="A256" s="461"/>
      <c r="B256" s="461"/>
      <c r="C256" s="461"/>
      <c r="D256" s="462"/>
      <c r="E256" s="461"/>
      <c r="F256" s="461"/>
      <c r="G256" s="461"/>
      <c r="H256" s="461"/>
      <c r="I256" s="461"/>
      <c r="J256" s="461"/>
      <c r="K256" s="461"/>
      <c r="L256" s="461"/>
      <c r="M256" s="461"/>
      <c r="N256" s="461"/>
      <c r="O256" s="461"/>
      <c r="P256" s="461"/>
      <c r="Q256" s="461"/>
      <c r="R256" s="463"/>
      <c r="S256" s="461"/>
      <c r="T256" s="463"/>
      <c r="U256" s="461"/>
      <c r="V256" s="463"/>
      <c r="W256" s="461"/>
      <c r="AC256" s="461"/>
    </row>
    <row r="257" spans="1:29">
      <c r="A257" s="461"/>
      <c r="B257" s="461"/>
      <c r="C257" s="461"/>
      <c r="D257" s="462"/>
      <c r="E257" s="461"/>
      <c r="F257" s="461"/>
      <c r="G257" s="461"/>
      <c r="H257" s="461"/>
      <c r="I257" s="461"/>
      <c r="J257" s="461"/>
      <c r="K257" s="461"/>
      <c r="L257" s="461"/>
      <c r="M257" s="461"/>
      <c r="N257" s="461"/>
      <c r="O257" s="461"/>
      <c r="P257" s="461"/>
      <c r="Q257" s="461"/>
      <c r="R257" s="463"/>
      <c r="S257" s="461"/>
      <c r="T257" s="463"/>
      <c r="U257" s="461"/>
      <c r="V257" s="463"/>
      <c r="W257" s="461"/>
      <c r="AC257" s="461"/>
    </row>
    <row r="258" spans="1:29">
      <c r="A258" s="461"/>
      <c r="B258" s="461"/>
      <c r="C258" s="461"/>
      <c r="D258" s="462"/>
      <c r="E258" s="461"/>
      <c r="F258" s="461"/>
      <c r="G258" s="461"/>
      <c r="H258" s="461"/>
      <c r="I258" s="461"/>
      <c r="J258" s="461"/>
      <c r="K258" s="461"/>
      <c r="L258" s="461"/>
      <c r="M258" s="461"/>
      <c r="N258" s="461"/>
      <c r="O258" s="461"/>
      <c r="P258" s="461"/>
      <c r="Q258" s="461"/>
      <c r="R258" s="463"/>
      <c r="S258" s="461"/>
      <c r="T258" s="463"/>
      <c r="U258" s="461"/>
      <c r="V258" s="463"/>
      <c r="W258" s="461"/>
      <c r="AC258" s="461"/>
    </row>
    <row r="259" spans="1:29">
      <c r="A259" s="461"/>
      <c r="B259" s="461"/>
      <c r="C259" s="461"/>
      <c r="D259" s="462"/>
      <c r="E259" s="461"/>
      <c r="F259" s="461"/>
      <c r="G259" s="461"/>
      <c r="H259" s="461"/>
      <c r="I259" s="461"/>
      <c r="J259" s="461"/>
      <c r="K259" s="461"/>
      <c r="L259" s="461"/>
      <c r="M259" s="461"/>
      <c r="N259" s="461"/>
      <c r="O259" s="461"/>
      <c r="P259" s="461"/>
      <c r="Q259" s="461"/>
      <c r="R259" s="463"/>
      <c r="S259" s="461"/>
      <c r="T259" s="463"/>
      <c r="U259" s="461"/>
      <c r="V259" s="463"/>
      <c r="W259" s="461"/>
      <c r="AC259" s="461"/>
    </row>
    <row r="260" spans="1:29">
      <c r="A260" s="461"/>
      <c r="B260" s="461"/>
      <c r="C260" s="461"/>
      <c r="D260" s="462"/>
      <c r="E260" s="461"/>
      <c r="F260" s="461"/>
      <c r="G260" s="461"/>
      <c r="H260" s="461"/>
      <c r="I260" s="461"/>
      <c r="J260" s="461"/>
      <c r="K260" s="461"/>
      <c r="L260" s="461"/>
      <c r="M260" s="461"/>
      <c r="N260" s="461"/>
      <c r="O260" s="461"/>
      <c r="P260" s="461"/>
      <c r="Q260" s="461"/>
      <c r="R260" s="463"/>
      <c r="S260" s="461"/>
      <c r="T260" s="463"/>
      <c r="U260" s="461"/>
      <c r="V260" s="463"/>
      <c r="W260" s="461"/>
      <c r="AC260" s="461"/>
    </row>
    <row r="261" spans="1:29">
      <c r="A261" s="461"/>
      <c r="B261" s="461"/>
      <c r="C261" s="461"/>
      <c r="D261" s="462"/>
      <c r="E261" s="461"/>
      <c r="F261" s="461"/>
      <c r="G261" s="461"/>
      <c r="H261" s="461"/>
      <c r="I261" s="461"/>
      <c r="J261" s="461"/>
      <c r="K261" s="461"/>
      <c r="L261" s="461"/>
      <c r="M261" s="461"/>
      <c r="N261" s="461"/>
      <c r="O261" s="461"/>
      <c r="P261" s="461"/>
      <c r="Q261" s="461"/>
      <c r="R261" s="463"/>
      <c r="S261" s="461"/>
      <c r="T261" s="463"/>
      <c r="U261" s="461"/>
      <c r="V261" s="463"/>
      <c r="W261" s="461"/>
      <c r="AC261" s="461"/>
    </row>
    <row r="262" spans="1:29">
      <c r="A262" s="461"/>
      <c r="B262" s="461"/>
      <c r="C262" s="461"/>
      <c r="D262" s="462"/>
      <c r="E262" s="461"/>
      <c r="F262" s="461"/>
      <c r="G262" s="461"/>
      <c r="H262" s="461"/>
      <c r="I262" s="461"/>
      <c r="J262" s="461"/>
      <c r="K262" s="461"/>
      <c r="L262" s="461"/>
      <c r="M262" s="461"/>
      <c r="N262" s="461"/>
      <c r="O262" s="461"/>
      <c r="P262" s="461"/>
      <c r="Q262" s="461"/>
      <c r="R262" s="463"/>
      <c r="S262" s="461"/>
      <c r="T262" s="463"/>
      <c r="U262" s="461"/>
      <c r="V262" s="463"/>
      <c r="W262" s="461"/>
      <c r="AC262" s="461"/>
    </row>
    <row r="263" spans="1:29">
      <c r="A263" s="461"/>
      <c r="B263" s="461"/>
      <c r="C263" s="461"/>
      <c r="D263" s="462"/>
      <c r="E263" s="461"/>
      <c r="F263" s="461"/>
      <c r="G263" s="461"/>
      <c r="H263" s="461"/>
      <c r="I263" s="461"/>
      <c r="J263" s="461"/>
      <c r="K263" s="461"/>
      <c r="L263" s="461"/>
      <c r="M263" s="461"/>
      <c r="N263" s="461"/>
      <c r="O263" s="461"/>
      <c r="P263" s="461"/>
      <c r="Q263" s="461"/>
      <c r="R263" s="463"/>
      <c r="S263" s="461"/>
      <c r="T263" s="463"/>
      <c r="U263" s="461"/>
      <c r="V263" s="463"/>
      <c r="W263" s="461"/>
      <c r="AC263" s="461"/>
    </row>
    <row r="264" spans="1:29">
      <c r="A264" s="461"/>
      <c r="B264" s="461"/>
      <c r="C264" s="461"/>
      <c r="D264" s="462"/>
      <c r="E264" s="461"/>
      <c r="F264" s="461"/>
      <c r="G264" s="461"/>
      <c r="H264" s="461"/>
      <c r="I264" s="461"/>
      <c r="J264" s="461"/>
      <c r="K264" s="461"/>
      <c r="L264" s="461"/>
      <c r="M264" s="461"/>
      <c r="N264" s="461"/>
      <c r="O264" s="461"/>
      <c r="P264" s="461"/>
      <c r="Q264" s="461"/>
      <c r="R264" s="463"/>
      <c r="S264" s="461"/>
      <c r="T264" s="463"/>
      <c r="U264" s="461"/>
      <c r="V264" s="463"/>
      <c r="W264" s="461"/>
      <c r="AC264" s="461"/>
    </row>
    <row r="265" spans="1:29">
      <c r="A265" s="461"/>
      <c r="B265" s="461"/>
      <c r="C265" s="461"/>
      <c r="D265" s="462"/>
      <c r="E265" s="461"/>
      <c r="F265" s="461"/>
      <c r="G265" s="461"/>
      <c r="H265" s="461"/>
      <c r="I265" s="461"/>
      <c r="J265" s="461"/>
      <c r="K265" s="461"/>
      <c r="L265" s="461"/>
      <c r="M265" s="461"/>
      <c r="N265" s="461"/>
      <c r="O265" s="461"/>
      <c r="P265" s="461"/>
      <c r="Q265" s="461"/>
      <c r="R265" s="463"/>
      <c r="S265" s="461"/>
      <c r="T265" s="463"/>
      <c r="U265" s="461"/>
      <c r="V265" s="463"/>
      <c r="W265" s="461"/>
      <c r="AC265" s="461"/>
    </row>
    <row r="266" spans="1:29">
      <c r="A266" s="461"/>
      <c r="B266" s="461"/>
      <c r="C266" s="461"/>
      <c r="D266" s="462"/>
      <c r="E266" s="461"/>
      <c r="F266" s="461"/>
      <c r="G266" s="461"/>
      <c r="H266" s="461"/>
      <c r="I266" s="461"/>
      <c r="J266" s="461"/>
      <c r="K266" s="461"/>
      <c r="L266" s="461"/>
      <c r="M266" s="461"/>
      <c r="N266" s="461"/>
      <c r="O266" s="461"/>
      <c r="P266" s="461"/>
      <c r="Q266" s="461"/>
      <c r="R266" s="463"/>
      <c r="S266" s="461"/>
      <c r="T266" s="463"/>
      <c r="U266" s="461"/>
      <c r="V266" s="463"/>
      <c r="W266" s="461"/>
      <c r="AC266" s="461"/>
    </row>
    <row r="267" spans="1:29">
      <c r="A267" s="461"/>
      <c r="B267" s="461"/>
      <c r="C267" s="461"/>
      <c r="D267" s="462"/>
      <c r="E267" s="461"/>
      <c r="F267" s="461"/>
      <c r="G267" s="461"/>
      <c r="H267" s="461"/>
      <c r="I267" s="461"/>
      <c r="J267" s="461"/>
      <c r="K267" s="461"/>
      <c r="L267" s="461"/>
      <c r="M267" s="461"/>
      <c r="N267" s="461"/>
      <c r="O267" s="461"/>
      <c r="P267" s="461"/>
      <c r="Q267" s="461"/>
      <c r="R267" s="463"/>
      <c r="S267" s="461"/>
      <c r="T267" s="463"/>
      <c r="U267" s="461"/>
      <c r="V267" s="463"/>
      <c r="W267" s="461"/>
      <c r="AC267" s="461"/>
    </row>
    <row r="268" spans="1:29">
      <c r="A268" s="461"/>
      <c r="B268" s="461"/>
      <c r="C268" s="461"/>
      <c r="D268" s="462"/>
      <c r="E268" s="461"/>
      <c r="F268" s="461"/>
      <c r="G268" s="461"/>
      <c r="H268" s="461"/>
      <c r="I268" s="461"/>
      <c r="J268" s="461"/>
      <c r="K268" s="461"/>
      <c r="L268" s="461"/>
      <c r="M268" s="461"/>
      <c r="N268" s="461"/>
      <c r="O268" s="461"/>
      <c r="P268" s="461"/>
      <c r="Q268" s="461"/>
      <c r="R268" s="463"/>
      <c r="S268" s="461"/>
      <c r="T268" s="463"/>
      <c r="U268" s="461"/>
      <c r="V268" s="463"/>
      <c r="W268" s="461"/>
      <c r="AC268" s="461"/>
    </row>
    <row r="269" spans="1:29">
      <c r="A269" s="461"/>
      <c r="B269" s="461"/>
      <c r="C269" s="461"/>
      <c r="D269" s="462"/>
      <c r="E269" s="461"/>
      <c r="F269" s="461"/>
      <c r="G269" s="461"/>
      <c r="H269" s="461"/>
      <c r="I269" s="461"/>
      <c r="J269" s="461"/>
      <c r="K269" s="461"/>
      <c r="L269" s="461"/>
      <c r="M269" s="461"/>
      <c r="N269" s="461"/>
      <c r="O269" s="461"/>
      <c r="P269" s="461"/>
      <c r="Q269" s="461"/>
      <c r="R269" s="463"/>
      <c r="S269" s="461"/>
      <c r="T269" s="463"/>
      <c r="U269" s="461"/>
      <c r="V269" s="463"/>
      <c r="W269" s="461"/>
      <c r="AC269" s="461"/>
    </row>
    <row r="270" spans="1:29">
      <c r="A270" s="461"/>
      <c r="B270" s="461"/>
      <c r="C270" s="461"/>
      <c r="D270" s="462"/>
      <c r="E270" s="461"/>
      <c r="F270" s="461"/>
      <c r="G270" s="461"/>
      <c r="H270" s="461"/>
      <c r="I270" s="461"/>
      <c r="J270" s="461"/>
      <c r="K270" s="461"/>
      <c r="L270" s="461"/>
      <c r="M270" s="461"/>
      <c r="N270" s="461"/>
      <c r="O270" s="461"/>
      <c r="P270" s="461"/>
      <c r="Q270" s="461"/>
      <c r="R270" s="463"/>
      <c r="S270" s="461"/>
      <c r="T270" s="463"/>
      <c r="U270" s="461"/>
      <c r="V270" s="463"/>
      <c r="W270" s="461"/>
      <c r="AC270" s="461"/>
    </row>
    <row r="271" spans="1:29">
      <c r="A271" s="461"/>
      <c r="B271" s="461"/>
      <c r="C271" s="461"/>
      <c r="D271" s="462"/>
      <c r="E271" s="461"/>
      <c r="F271" s="461"/>
      <c r="G271" s="461"/>
      <c r="H271" s="461"/>
      <c r="I271" s="461"/>
      <c r="J271" s="461"/>
      <c r="K271" s="461"/>
      <c r="L271" s="461"/>
      <c r="M271" s="461"/>
      <c r="N271" s="461"/>
      <c r="O271" s="461"/>
      <c r="P271" s="461"/>
      <c r="Q271" s="461"/>
      <c r="R271" s="463"/>
      <c r="S271" s="461"/>
      <c r="T271" s="463"/>
      <c r="U271" s="461"/>
      <c r="V271" s="463"/>
      <c r="W271" s="461"/>
      <c r="AC271" s="461"/>
    </row>
    <row r="272" spans="1:29">
      <c r="A272" s="461"/>
      <c r="B272" s="461"/>
      <c r="C272" s="461"/>
      <c r="D272" s="462"/>
      <c r="E272" s="461"/>
      <c r="F272" s="461"/>
      <c r="G272" s="461"/>
      <c r="H272" s="461"/>
      <c r="I272" s="461"/>
      <c r="J272" s="461"/>
      <c r="K272" s="461"/>
      <c r="L272" s="461"/>
      <c r="M272" s="461"/>
      <c r="N272" s="461"/>
      <c r="O272" s="461"/>
      <c r="P272" s="461"/>
      <c r="Q272" s="461"/>
      <c r="R272" s="463"/>
      <c r="S272" s="461"/>
      <c r="T272" s="463"/>
      <c r="U272" s="461"/>
      <c r="V272" s="463"/>
      <c r="W272" s="461"/>
      <c r="AC272" s="461"/>
    </row>
    <row r="273" spans="1:29">
      <c r="A273" s="461"/>
      <c r="B273" s="461"/>
      <c r="C273" s="461"/>
      <c r="D273" s="462"/>
      <c r="E273" s="461"/>
      <c r="F273" s="461"/>
      <c r="G273" s="461"/>
      <c r="H273" s="461"/>
      <c r="I273" s="461"/>
      <c r="J273" s="461"/>
      <c r="K273" s="461"/>
      <c r="L273" s="461"/>
      <c r="M273" s="461"/>
      <c r="N273" s="461"/>
      <c r="O273" s="461"/>
      <c r="P273" s="461"/>
      <c r="Q273" s="461"/>
      <c r="R273" s="463"/>
      <c r="S273" s="461"/>
      <c r="T273" s="463"/>
      <c r="U273" s="461"/>
      <c r="V273" s="463"/>
      <c r="W273" s="461"/>
      <c r="AC273" s="461"/>
    </row>
    <row r="274" spans="1:29">
      <c r="A274" s="461"/>
      <c r="B274" s="461"/>
      <c r="C274" s="461"/>
      <c r="D274" s="462"/>
      <c r="E274" s="461"/>
      <c r="F274" s="461"/>
      <c r="G274" s="461"/>
      <c r="H274" s="461"/>
      <c r="I274" s="461"/>
      <c r="J274" s="461"/>
      <c r="K274" s="461"/>
      <c r="L274" s="461"/>
      <c r="M274" s="461"/>
      <c r="N274" s="461"/>
      <c r="O274" s="461"/>
      <c r="P274" s="461"/>
      <c r="Q274" s="461"/>
      <c r="R274" s="463"/>
      <c r="S274" s="461"/>
      <c r="T274" s="463"/>
      <c r="U274" s="461"/>
      <c r="V274" s="463"/>
      <c r="W274" s="461"/>
      <c r="AC274" s="461"/>
    </row>
    <row r="275" spans="1:29">
      <c r="A275" s="461"/>
      <c r="B275" s="461"/>
      <c r="C275" s="461"/>
      <c r="D275" s="462"/>
      <c r="E275" s="461"/>
      <c r="F275" s="461"/>
      <c r="G275" s="461"/>
      <c r="H275" s="461"/>
      <c r="I275" s="461"/>
      <c r="J275" s="461"/>
      <c r="K275" s="461"/>
      <c r="L275" s="461"/>
      <c r="M275" s="461"/>
      <c r="N275" s="461"/>
      <c r="O275" s="461"/>
      <c r="P275" s="461"/>
      <c r="Q275" s="461"/>
      <c r="R275" s="463"/>
      <c r="S275" s="461"/>
      <c r="T275" s="463"/>
      <c r="U275" s="461"/>
      <c r="V275" s="463"/>
      <c r="W275" s="461"/>
      <c r="AC275" s="461"/>
    </row>
    <row r="276" spans="1:29">
      <c r="A276" s="461"/>
      <c r="B276" s="461"/>
      <c r="C276" s="461"/>
      <c r="D276" s="462"/>
      <c r="E276" s="461"/>
      <c r="F276" s="461"/>
      <c r="G276" s="461"/>
      <c r="H276" s="461"/>
      <c r="I276" s="461"/>
      <c r="J276" s="461"/>
      <c r="K276" s="461"/>
      <c r="L276" s="461"/>
      <c r="M276" s="461"/>
      <c r="N276" s="461"/>
      <c r="O276" s="461"/>
      <c r="P276" s="461"/>
      <c r="Q276" s="461"/>
      <c r="R276" s="463"/>
      <c r="S276" s="461"/>
      <c r="T276" s="463"/>
      <c r="U276" s="461"/>
      <c r="V276" s="463"/>
      <c r="W276" s="461"/>
      <c r="AC276" s="461"/>
    </row>
    <row r="277" spans="1:29">
      <c r="A277" s="461"/>
      <c r="B277" s="461"/>
      <c r="C277" s="461"/>
      <c r="D277" s="462"/>
      <c r="E277" s="461"/>
      <c r="F277" s="461"/>
      <c r="G277" s="461"/>
      <c r="H277" s="461"/>
      <c r="I277" s="461"/>
      <c r="J277" s="461"/>
      <c r="K277" s="461"/>
      <c r="L277" s="461"/>
      <c r="M277" s="461"/>
      <c r="N277" s="461"/>
      <c r="O277" s="461"/>
      <c r="P277" s="461"/>
      <c r="Q277" s="461"/>
      <c r="R277" s="463"/>
      <c r="S277" s="461"/>
      <c r="T277" s="463"/>
      <c r="U277" s="461"/>
      <c r="V277" s="463"/>
      <c r="W277" s="461"/>
      <c r="AC277" s="461"/>
    </row>
    <row r="278" spans="1:29">
      <c r="A278" s="461"/>
      <c r="B278" s="461"/>
      <c r="C278" s="461"/>
      <c r="D278" s="462"/>
      <c r="E278" s="461"/>
      <c r="F278" s="461"/>
      <c r="G278" s="461"/>
      <c r="H278" s="461"/>
      <c r="I278" s="461"/>
      <c r="J278" s="461"/>
      <c r="K278" s="461"/>
      <c r="L278" s="461"/>
      <c r="M278" s="461"/>
      <c r="N278" s="461"/>
      <c r="O278" s="461"/>
      <c r="P278" s="461"/>
      <c r="Q278" s="461"/>
      <c r="R278" s="463"/>
      <c r="S278" s="461"/>
      <c r="T278" s="463"/>
      <c r="U278" s="461"/>
      <c r="V278" s="463"/>
      <c r="W278" s="461"/>
      <c r="AC278" s="461"/>
    </row>
    <row r="279" spans="1:29">
      <c r="A279" s="461"/>
      <c r="B279" s="461"/>
      <c r="C279" s="461"/>
      <c r="D279" s="462"/>
      <c r="E279" s="461"/>
      <c r="F279" s="461"/>
      <c r="G279" s="461"/>
      <c r="H279" s="461"/>
      <c r="I279" s="461"/>
      <c r="J279" s="461"/>
      <c r="K279" s="461"/>
      <c r="L279" s="461"/>
      <c r="M279" s="461"/>
      <c r="N279" s="461"/>
      <c r="O279" s="461"/>
      <c r="P279" s="461"/>
      <c r="Q279" s="461"/>
      <c r="R279" s="463"/>
      <c r="S279" s="461"/>
      <c r="T279" s="463"/>
      <c r="U279" s="461"/>
      <c r="V279" s="463"/>
      <c r="W279" s="461"/>
      <c r="AC279" s="461"/>
    </row>
    <row r="280" spans="1:29">
      <c r="A280" s="461"/>
      <c r="B280" s="461"/>
      <c r="C280" s="461"/>
      <c r="D280" s="462"/>
      <c r="E280" s="461"/>
      <c r="F280" s="461"/>
      <c r="G280" s="461"/>
      <c r="H280" s="461"/>
      <c r="I280" s="461"/>
      <c r="J280" s="461"/>
      <c r="K280" s="461"/>
      <c r="L280" s="461"/>
      <c r="M280" s="461"/>
      <c r="N280" s="461"/>
      <c r="O280" s="461"/>
      <c r="P280" s="461"/>
      <c r="Q280" s="461"/>
      <c r="R280" s="463"/>
      <c r="S280" s="461"/>
      <c r="T280" s="463"/>
      <c r="U280" s="461"/>
      <c r="V280" s="463"/>
      <c r="W280" s="461"/>
      <c r="AC280" s="461"/>
    </row>
    <row r="281" spans="1:29">
      <c r="A281" s="461"/>
      <c r="B281" s="461"/>
      <c r="C281" s="461"/>
      <c r="D281" s="462"/>
      <c r="E281" s="461"/>
      <c r="F281" s="461"/>
      <c r="G281" s="461"/>
      <c r="H281" s="461"/>
      <c r="I281" s="461"/>
      <c r="J281" s="461"/>
      <c r="K281" s="461"/>
      <c r="L281" s="461"/>
      <c r="M281" s="461"/>
      <c r="N281" s="461"/>
      <c r="O281" s="461"/>
      <c r="P281" s="461"/>
      <c r="Q281" s="461"/>
      <c r="R281" s="463"/>
      <c r="S281" s="461"/>
      <c r="T281" s="463"/>
      <c r="U281" s="461"/>
      <c r="V281" s="463"/>
      <c r="W281" s="461"/>
      <c r="AC281" s="461"/>
    </row>
    <row r="282" spans="1:29">
      <c r="A282" s="461"/>
      <c r="B282" s="461"/>
      <c r="C282" s="461"/>
      <c r="D282" s="462"/>
      <c r="E282" s="461"/>
      <c r="F282" s="461"/>
      <c r="G282" s="461"/>
      <c r="H282" s="461"/>
      <c r="I282" s="461"/>
      <c r="J282" s="461"/>
      <c r="K282" s="461"/>
      <c r="L282" s="461"/>
      <c r="M282" s="461"/>
      <c r="N282" s="461"/>
      <c r="O282" s="461"/>
      <c r="P282" s="461"/>
      <c r="Q282" s="461"/>
      <c r="R282" s="463"/>
      <c r="S282" s="461"/>
      <c r="T282" s="463"/>
      <c r="U282" s="461"/>
      <c r="V282" s="463"/>
      <c r="W282" s="461"/>
      <c r="AC282" s="461"/>
    </row>
    <row r="283" spans="1:29">
      <c r="A283" s="461"/>
      <c r="B283" s="461"/>
      <c r="C283" s="461"/>
      <c r="D283" s="462"/>
      <c r="E283" s="461"/>
      <c r="F283" s="461"/>
      <c r="G283" s="461"/>
      <c r="H283" s="461"/>
      <c r="I283" s="461"/>
      <c r="J283" s="461"/>
      <c r="K283" s="461"/>
      <c r="L283" s="461"/>
      <c r="M283" s="461"/>
      <c r="N283" s="461"/>
      <c r="O283" s="461"/>
      <c r="P283" s="461"/>
      <c r="Q283" s="461"/>
      <c r="R283" s="463"/>
      <c r="S283" s="461"/>
      <c r="T283" s="463"/>
      <c r="U283" s="461"/>
      <c r="V283" s="463"/>
      <c r="W283" s="461"/>
      <c r="AC283" s="461"/>
    </row>
    <row r="284" spans="1:29">
      <c r="A284" s="461"/>
      <c r="B284" s="461"/>
      <c r="C284" s="461"/>
      <c r="D284" s="462"/>
      <c r="E284" s="461"/>
      <c r="F284" s="461"/>
      <c r="G284" s="461"/>
      <c r="H284" s="461"/>
      <c r="I284" s="461"/>
      <c r="J284" s="461"/>
      <c r="K284" s="461"/>
      <c r="L284" s="461"/>
      <c r="M284" s="461"/>
      <c r="N284" s="461"/>
      <c r="O284" s="461"/>
      <c r="P284" s="461"/>
      <c r="Q284" s="461"/>
      <c r="R284" s="463"/>
      <c r="S284" s="461"/>
      <c r="T284" s="463"/>
      <c r="U284" s="461"/>
      <c r="V284" s="463"/>
      <c r="W284" s="461"/>
      <c r="AC284" s="461"/>
    </row>
    <row r="285" spans="1:29">
      <c r="A285" s="461"/>
      <c r="B285" s="461"/>
      <c r="C285" s="461"/>
      <c r="D285" s="462"/>
      <c r="E285" s="461"/>
      <c r="F285" s="461"/>
      <c r="G285" s="461"/>
      <c r="H285" s="461"/>
      <c r="I285" s="461"/>
      <c r="J285" s="461"/>
      <c r="K285" s="461"/>
      <c r="L285" s="461"/>
      <c r="M285" s="461"/>
      <c r="N285" s="461"/>
      <c r="O285" s="461"/>
      <c r="P285" s="461"/>
      <c r="Q285" s="461"/>
      <c r="R285" s="463"/>
      <c r="S285" s="461"/>
      <c r="T285" s="463"/>
      <c r="U285" s="461"/>
      <c r="V285" s="463"/>
      <c r="W285" s="461"/>
      <c r="AC285" s="461"/>
    </row>
    <row r="286" spans="1:29">
      <c r="A286" s="461"/>
      <c r="B286" s="461"/>
      <c r="C286" s="461"/>
      <c r="D286" s="462"/>
      <c r="E286" s="461"/>
      <c r="F286" s="461"/>
      <c r="G286" s="461"/>
      <c r="H286" s="461"/>
      <c r="I286" s="461"/>
      <c r="J286" s="461"/>
      <c r="K286" s="461"/>
      <c r="L286" s="461"/>
      <c r="M286" s="461"/>
      <c r="N286" s="461"/>
      <c r="O286" s="461"/>
      <c r="P286" s="461"/>
      <c r="Q286" s="461"/>
      <c r="R286" s="463"/>
      <c r="S286" s="461"/>
      <c r="T286" s="463"/>
      <c r="U286" s="461"/>
      <c r="V286" s="463"/>
      <c r="W286" s="461"/>
      <c r="AC286" s="461"/>
    </row>
    <row r="287" spans="1:29">
      <c r="A287" s="461"/>
      <c r="B287" s="461"/>
      <c r="C287" s="461"/>
      <c r="D287" s="462"/>
      <c r="E287" s="461"/>
      <c r="F287" s="461"/>
      <c r="G287" s="461"/>
      <c r="H287" s="461"/>
      <c r="I287" s="461"/>
      <c r="J287" s="461"/>
      <c r="K287" s="461"/>
      <c r="L287" s="461"/>
      <c r="M287" s="461"/>
      <c r="N287" s="461"/>
      <c r="O287" s="461"/>
      <c r="P287" s="461"/>
      <c r="Q287" s="461"/>
      <c r="R287" s="463"/>
      <c r="S287" s="461"/>
      <c r="T287" s="463"/>
      <c r="U287" s="461"/>
      <c r="V287" s="463"/>
      <c r="W287" s="461"/>
      <c r="AC287" s="461"/>
    </row>
    <row r="288" spans="1:29">
      <c r="A288" s="461"/>
      <c r="B288" s="461"/>
      <c r="C288" s="461"/>
      <c r="D288" s="462"/>
      <c r="E288" s="461"/>
      <c r="F288" s="461"/>
      <c r="G288" s="461"/>
      <c r="H288" s="461"/>
      <c r="I288" s="461"/>
      <c r="J288" s="461"/>
      <c r="K288" s="461"/>
      <c r="L288" s="461"/>
      <c r="M288" s="461"/>
      <c r="N288" s="461"/>
      <c r="O288" s="461"/>
      <c r="P288" s="461"/>
      <c r="Q288" s="461"/>
      <c r="R288" s="463"/>
      <c r="S288" s="461"/>
      <c r="T288" s="463"/>
      <c r="U288" s="461"/>
      <c r="V288" s="463"/>
      <c r="W288" s="461"/>
      <c r="AC288" s="461"/>
    </row>
    <row r="289" spans="1:29">
      <c r="A289" s="461"/>
      <c r="B289" s="461"/>
      <c r="C289" s="461"/>
      <c r="D289" s="462"/>
      <c r="E289" s="461"/>
      <c r="F289" s="461"/>
      <c r="G289" s="461"/>
      <c r="H289" s="461"/>
      <c r="I289" s="461"/>
      <c r="J289" s="461"/>
      <c r="K289" s="461"/>
      <c r="L289" s="461"/>
      <c r="M289" s="461"/>
      <c r="N289" s="461"/>
      <c r="O289" s="461"/>
      <c r="P289" s="461"/>
      <c r="Q289" s="461"/>
      <c r="R289" s="463"/>
      <c r="S289" s="461"/>
      <c r="T289" s="463"/>
      <c r="U289" s="461"/>
      <c r="V289" s="463"/>
      <c r="W289" s="461"/>
      <c r="AC289" s="461"/>
    </row>
    <row r="290" spans="1:29">
      <c r="A290" s="461"/>
      <c r="B290" s="461"/>
      <c r="C290" s="461"/>
      <c r="D290" s="462"/>
      <c r="E290" s="461"/>
      <c r="F290" s="461"/>
      <c r="G290" s="461"/>
      <c r="H290" s="461"/>
      <c r="I290" s="461"/>
      <c r="J290" s="461"/>
      <c r="K290" s="461"/>
      <c r="L290" s="461"/>
      <c r="M290" s="461"/>
      <c r="N290" s="461"/>
      <c r="O290" s="461"/>
      <c r="P290" s="461"/>
      <c r="Q290" s="461"/>
      <c r="R290" s="463"/>
      <c r="S290" s="461"/>
      <c r="T290" s="463"/>
      <c r="U290" s="461"/>
      <c r="V290" s="463"/>
      <c r="W290" s="461"/>
      <c r="AC290" s="461"/>
    </row>
    <row r="291" spans="1:29">
      <c r="A291" s="461"/>
      <c r="B291" s="461"/>
      <c r="C291" s="461"/>
      <c r="D291" s="462"/>
      <c r="E291" s="461"/>
      <c r="F291" s="461"/>
      <c r="G291" s="461"/>
      <c r="H291" s="461"/>
      <c r="I291" s="461"/>
      <c r="J291" s="461"/>
      <c r="K291" s="461"/>
      <c r="L291" s="461"/>
      <c r="M291" s="461"/>
      <c r="N291" s="461"/>
      <c r="O291" s="461"/>
      <c r="P291" s="461"/>
      <c r="Q291" s="461"/>
      <c r="R291" s="463"/>
      <c r="S291" s="461"/>
      <c r="T291" s="463"/>
      <c r="U291" s="461"/>
      <c r="V291" s="463"/>
      <c r="W291" s="461"/>
      <c r="AC291" s="461"/>
    </row>
    <row r="292" spans="1:29">
      <c r="A292" s="461"/>
      <c r="B292" s="461"/>
      <c r="C292" s="461"/>
      <c r="D292" s="462"/>
      <c r="E292" s="461"/>
      <c r="F292" s="461"/>
      <c r="G292" s="461"/>
      <c r="H292" s="461"/>
      <c r="I292" s="461"/>
      <c r="J292" s="461"/>
      <c r="K292" s="461"/>
      <c r="L292" s="461"/>
      <c r="M292" s="461"/>
      <c r="N292" s="461"/>
      <c r="O292" s="461"/>
      <c r="P292" s="461"/>
      <c r="Q292" s="461"/>
      <c r="R292" s="463"/>
      <c r="S292" s="461"/>
      <c r="T292" s="463"/>
      <c r="U292" s="461"/>
      <c r="V292" s="463"/>
      <c r="W292" s="461"/>
      <c r="AC292" s="461"/>
    </row>
    <row r="293" spans="1:29">
      <c r="A293" s="461"/>
      <c r="B293" s="461"/>
      <c r="C293" s="461"/>
      <c r="D293" s="462"/>
      <c r="E293" s="461"/>
      <c r="F293" s="461"/>
      <c r="G293" s="461"/>
      <c r="H293" s="461"/>
      <c r="I293" s="461"/>
      <c r="J293" s="461"/>
      <c r="K293" s="461"/>
      <c r="L293" s="461"/>
      <c r="M293" s="461"/>
      <c r="N293" s="461"/>
      <c r="O293" s="461"/>
      <c r="P293" s="461"/>
      <c r="Q293" s="461"/>
      <c r="R293" s="463"/>
      <c r="S293" s="461"/>
      <c r="T293" s="463"/>
      <c r="U293" s="461"/>
      <c r="V293" s="463"/>
      <c r="W293" s="461"/>
      <c r="AC293" s="461"/>
    </row>
    <row r="294" spans="1:29">
      <c r="A294" s="461"/>
      <c r="B294" s="461"/>
      <c r="C294" s="461"/>
      <c r="D294" s="462"/>
      <c r="E294" s="461"/>
      <c r="F294" s="461"/>
      <c r="G294" s="461"/>
      <c r="H294" s="461"/>
      <c r="I294" s="461"/>
      <c r="J294" s="461"/>
      <c r="K294" s="461"/>
      <c r="L294" s="461"/>
      <c r="M294" s="461"/>
      <c r="N294" s="461"/>
      <c r="O294" s="461"/>
      <c r="P294" s="461"/>
      <c r="Q294" s="461"/>
      <c r="R294" s="463"/>
      <c r="S294" s="461"/>
      <c r="T294" s="463"/>
      <c r="U294" s="461"/>
      <c r="V294" s="463"/>
      <c r="W294" s="461"/>
      <c r="AC294" s="461"/>
    </row>
    <row r="295" spans="1:29">
      <c r="A295" s="461"/>
      <c r="B295" s="461"/>
      <c r="C295" s="461"/>
      <c r="D295" s="462"/>
      <c r="E295" s="461"/>
      <c r="F295" s="461"/>
      <c r="G295" s="461"/>
      <c r="H295" s="461"/>
      <c r="I295" s="461"/>
      <c r="J295" s="461"/>
      <c r="K295" s="461"/>
      <c r="L295" s="461"/>
      <c r="M295" s="461"/>
      <c r="N295" s="461"/>
      <c r="O295" s="461"/>
      <c r="P295" s="461"/>
      <c r="Q295" s="461"/>
      <c r="R295" s="463"/>
      <c r="S295" s="461"/>
      <c r="T295" s="463"/>
      <c r="U295" s="461"/>
      <c r="V295" s="463"/>
      <c r="W295" s="461"/>
      <c r="AC295" s="461"/>
    </row>
    <row r="296" spans="1:29">
      <c r="A296" s="461"/>
      <c r="B296" s="461"/>
      <c r="C296" s="461"/>
      <c r="D296" s="462"/>
      <c r="E296" s="461"/>
      <c r="F296" s="461"/>
      <c r="G296" s="461"/>
      <c r="H296" s="461"/>
      <c r="I296" s="461"/>
      <c r="J296" s="461"/>
      <c r="K296" s="461"/>
      <c r="L296" s="461"/>
      <c r="M296" s="461"/>
      <c r="N296" s="461"/>
      <c r="O296" s="461"/>
      <c r="P296" s="461"/>
      <c r="Q296" s="461"/>
      <c r="R296" s="463"/>
      <c r="S296" s="461"/>
      <c r="T296" s="463"/>
      <c r="U296" s="461"/>
      <c r="V296" s="463"/>
      <c r="W296" s="461"/>
      <c r="AC296" s="461"/>
    </row>
    <row r="297" spans="1:29">
      <c r="A297" s="461"/>
      <c r="B297" s="461"/>
      <c r="C297" s="461"/>
      <c r="D297" s="462"/>
      <c r="E297" s="461"/>
      <c r="F297" s="461"/>
      <c r="G297" s="461"/>
      <c r="H297" s="461"/>
      <c r="I297" s="461"/>
      <c r="J297" s="461"/>
      <c r="K297" s="461"/>
      <c r="L297" s="461"/>
      <c r="M297" s="461"/>
      <c r="N297" s="461"/>
      <c r="O297" s="461"/>
      <c r="P297" s="461"/>
      <c r="Q297" s="461"/>
      <c r="R297" s="463"/>
      <c r="S297" s="461"/>
      <c r="T297" s="463"/>
      <c r="U297" s="461"/>
      <c r="V297" s="463"/>
      <c r="W297" s="461"/>
      <c r="AC297" s="461"/>
    </row>
    <row r="298" spans="1:29">
      <c r="A298" s="461"/>
      <c r="B298" s="461"/>
      <c r="C298" s="461"/>
      <c r="D298" s="462"/>
      <c r="E298" s="461"/>
      <c r="F298" s="461"/>
      <c r="G298" s="461"/>
      <c r="H298" s="461"/>
      <c r="I298" s="461"/>
      <c r="J298" s="461"/>
      <c r="K298" s="461"/>
      <c r="L298" s="461"/>
      <c r="M298" s="461"/>
      <c r="N298" s="461"/>
      <c r="O298" s="461"/>
      <c r="P298" s="461"/>
      <c r="Q298" s="461"/>
      <c r="R298" s="463"/>
      <c r="S298" s="461"/>
      <c r="T298" s="463"/>
      <c r="U298" s="461"/>
      <c r="V298" s="463"/>
      <c r="W298" s="461"/>
      <c r="AC298" s="461"/>
    </row>
    <row r="299" spans="1:29">
      <c r="A299" s="461"/>
      <c r="B299" s="461"/>
      <c r="C299" s="461"/>
      <c r="D299" s="462"/>
      <c r="E299" s="461"/>
      <c r="F299" s="461"/>
      <c r="G299" s="461"/>
      <c r="H299" s="461"/>
      <c r="I299" s="461"/>
      <c r="J299" s="461"/>
      <c r="K299" s="461"/>
      <c r="L299" s="461"/>
      <c r="M299" s="461"/>
      <c r="N299" s="461"/>
      <c r="O299" s="461"/>
      <c r="P299" s="461"/>
      <c r="Q299" s="461"/>
      <c r="R299" s="463"/>
      <c r="S299" s="461"/>
      <c r="T299" s="463"/>
      <c r="U299" s="461"/>
      <c r="V299" s="463"/>
      <c r="W299" s="461"/>
      <c r="AC299" s="461"/>
    </row>
    <row r="300" spans="1:29">
      <c r="A300" s="461"/>
      <c r="B300" s="461"/>
      <c r="C300" s="461"/>
      <c r="D300" s="462"/>
      <c r="E300" s="461"/>
      <c r="F300" s="461"/>
      <c r="G300" s="461"/>
      <c r="H300" s="461"/>
      <c r="I300" s="461"/>
      <c r="J300" s="461"/>
      <c r="K300" s="461"/>
      <c r="L300" s="461"/>
      <c r="M300" s="461"/>
      <c r="N300" s="461"/>
      <c r="O300" s="461"/>
      <c r="P300" s="461"/>
      <c r="Q300" s="461"/>
      <c r="R300" s="463"/>
      <c r="S300" s="461"/>
      <c r="T300" s="463"/>
      <c r="U300" s="461"/>
      <c r="V300" s="463"/>
      <c r="W300" s="461"/>
      <c r="AC300" s="461"/>
    </row>
    <row r="301" spans="1:29">
      <c r="A301" s="461"/>
      <c r="B301" s="461"/>
      <c r="C301" s="461"/>
      <c r="D301" s="462"/>
      <c r="E301" s="461"/>
      <c r="F301" s="461"/>
      <c r="G301" s="461"/>
      <c r="H301" s="461"/>
      <c r="I301" s="461"/>
      <c r="J301" s="461"/>
      <c r="K301" s="461"/>
      <c r="L301" s="461"/>
      <c r="M301" s="461"/>
      <c r="N301" s="461"/>
      <c r="O301" s="461"/>
      <c r="P301" s="461"/>
      <c r="Q301" s="461"/>
      <c r="R301" s="463"/>
      <c r="S301" s="461"/>
      <c r="T301" s="463"/>
      <c r="U301" s="461"/>
      <c r="V301" s="463"/>
      <c r="W301" s="461"/>
      <c r="AC301" s="461"/>
    </row>
    <row r="302" spans="1:29">
      <c r="A302" s="461"/>
      <c r="B302" s="461"/>
      <c r="C302" s="461"/>
      <c r="D302" s="462"/>
      <c r="E302" s="461"/>
      <c r="F302" s="461"/>
      <c r="G302" s="461"/>
      <c r="H302" s="461"/>
      <c r="I302" s="461"/>
      <c r="J302" s="461"/>
      <c r="K302" s="461"/>
      <c r="L302" s="461"/>
      <c r="M302" s="461"/>
      <c r="N302" s="461"/>
      <c r="O302" s="461"/>
      <c r="P302" s="461"/>
      <c r="Q302" s="461"/>
      <c r="R302" s="463"/>
      <c r="S302" s="461"/>
      <c r="T302" s="463"/>
      <c r="U302" s="461"/>
      <c r="V302" s="463"/>
      <c r="W302" s="461"/>
      <c r="AC302" s="461"/>
    </row>
    <row r="303" spans="1:29">
      <c r="A303" s="461"/>
      <c r="B303" s="461"/>
      <c r="C303" s="461"/>
      <c r="D303" s="462"/>
      <c r="E303" s="461"/>
      <c r="F303" s="461"/>
      <c r="G303" s="461"/>
      <c r="H303" s="461"/>
      <c r="I303" s="461"/>
      <c r="J303" s="461"/>
      <c r="K303" s="461"/>
      <c r="L303" s="461"/>
      <c r="M303" s="461"/>
      <c r="N303" s="461"/>
      <c r="O303" s="461"/>
      <c r="P303" s="461"/>
      <c r="Q303" s="461"/>
      <c r="R303" s="463"/>
      <c r="S303" s="461"/>
      <c r="T303" s="463"/>
      <c r="U303" s="461"/>
      <c r="V303" s="463"/>
      <c r="W303" s="461"/>
      <c r="AC303" s="461"/>
    </row>
    <row r="304" spans="1:29">
      <c r="A304" s="461"/>
      <c r="B304" s="461"/>
      <c r="C304" s="461"/>
      <c r="D304" s="462"/>
      <c r="E304" s="461"/>
      <c r="F304" s="461"/>
      <c r="G304" s="461"/>
      <c r="H304" s="461"/>
      <c r="I304" s="461"/>
      <c r="J304" s="461"/>
      <c r="K304" s="461"/>
      <c r="L304" s="461"/>
      <c r="M304" s="461"/>
      <c r="N304" s="461"/>
      <c r="O304" s="461"/>
      <c r="P304" s="461"/>
      <c r="Q304" s="461"/>
      <c r="R304" s="463"/>
      <c r="S304" s="461"/>
      <c r="T304" s="463"/>
      <c r="U304" s="461"/>
      <c r="V304" s="463"/>
      <c r="W304" s="461"/>
      <c r="AC304" s="461"/>
    </row>
    <row r="305" spans="1:29">
      <c r="A305" s="461"/>
      <c r="B305" s="461"/>
      <c r="C305" s="461"/>
      <c r="D305" s="462"/>
      <c r="E305" s="461"/>
      <c r="F305" s="461"/>
      <c r="G305" s="461"/>
      <c r="H305" s="461"/>
      <c r="I305" s="461"/>
      <c r="J305" s="461"/>
      <c r="K305" s="461"/>
      <c r="L305" s="461"/>
      <c r="M305" s="461"/>
      <c r="N305" s="461"/>
      <c r="O305" s="461"/>
      <c r="P305" s="461"/>
      <c r="Q305" s="461"/>
      <c r="R305" s="463"/>
      <c r="S305" s="461"/>
      <c r="T305" s="463"/>
      <c r="U305" s="461"/>
      <c r="V305" s="463"/>
      <c r="W305" s="461"/>
      <c r="AC305" s="461"/>
    </row>
    <row r="306" spans="1:29">
      <c r="A306" s="461"/>
      <c r="B306" s="461"/>
      <c r="C306" s="461"/>
      <c r="D306" s="462"/>
      <c r="E306" s="461"/>
      <c r="F306" s="461"/>
      <c r="G306" s="461"/>
      <c r="H306" s="461"/>
      <c r="I306" s="461"/>
      <c r="J306" s="461"/>
      <c r="K306" s="461"/>
      <c r="L306" s="461"/>
      <c r="M306" s="461"/>
      <c r="N306" s="461"/>
      <c r="O306" s="461"/>
      <c r="P306" s="461"/>
      <c r="Q306" s="461"/>
      <c r="R306" s="463"/>
      <c r="S306" s="461"/>
      <c r="T306" s="463"/>
      <c r="U306" s="461"/>
      <c r="V306" s="463"/>
      <c r="W306" s="461"/>
      <c r="AC306" s="461"/>
    </row>
    <row r="307" spans="1:29">
      <c r="A307" s="461"/>
      <c r="B307" s="461"/>
      <c r="C307" s="461"/>
      <c r="D307" s="462"/>
      <c r="E307" s="461"/>
      <c r="F307" s="461"/>
      <c r="G307" s="461"/>
      <c r="H307" s="461"/>
      <c r="I307" s="461"/>
      <c r="J307" s="461"/>
      <c r="K307" s="461"/>
      <c r="L307" s="461"/>
      <c r="M307" s="461"/>
      <c r="N307" s="461"/>
      <c r="O307" s="461"/>
      <c r="P307" s="461"/>
      <c r="Q307" s="461"/>
      <c r="R307" s="463"/>
      <c r="S307" s="461"/>
      <c r="T307" s="463"/>
      <c r="U307" s="461"/>
      <c r="V307" s="463"/>
      <c r="W307" s="461"/>
      <c r="AC307" s="461"/>
    </row>
    <row r="308" spans="1:29">
      <c r="A308" s="461"/>
      <c r="B308" s="461"/>
      <c r="C308" s="461"/>
      <c r="D308" s="462"/>
      <c r="E308" s="461"/>
      <c r="F308" s="461"/>
      <c r="G308" s="461"/>
      <c r="H308" s="461"/>
      <c r="I308" s="461"/>
      <c r="J308" s="461"/>
      <c r="K308" s="461"/>
      <c r="L308" s="461"/>
      <c r="M308" s="461"/>
      <c r="N308" s="461"/>
      <c r="O308" s="461"/>
      <c r="P308" s="461"/>
      <c r="Q308" s="461"/>
      <c r="R308" s="463"/>
      <c r="S308" s="461"/>
      <c r="T308" s="463"/>
      <c r="U308" s="461"/>
      <c r="V308" s="463"/>
      <c r="W308" s="461"/>
      <c r="AC308" s="461"/>
    </row>
    <row r="309" spans="1:29">
      <c r="A309" s="461"/>
      <c r="B309" s="461"/>
      <c r="C309" s="461"/>
      <c r="D309" s="462"/>
      <c r="E309" s="461"/>
      <c r="F309" s="461"/>
      <c r="G309" s="461"/>
      <c r="H309" s="461"/>
      <c r="I309" s="461"/>
      <c r="J309" s="461"/>
      <c r="K309" s="461"/>
      <c r="L309" s="461"/>
      <c r="M309" s="461"/>
      <c r="N309" s="461"/>
      <c r="O309" s="461"/>
      <c r="P309" s="461"/>
      <c r="Q309" s="461"/>
      <c r="R309" s="463"/>
      <c r="S309" s="461"/>
      <c r="T309" s="463"/>
      <c r="U309" s="461"/>
      <c r="V309" s="463"/>
      <c r="W309" s="461"/>
      <c r="AC309" s="461"/>
    </row>
    <row r="310" spans="1:29">
      <c r="A310" s="461"/>
      <c r="B310" s="461"/>
      <c r="C310" s="461"/>
      <c r="D310" s="462"/>
      <c r="E310" s="461"/>
      <c r="F310" s="461"/>
      <c r="G310" s="461"/>
      <c r="H310" s="461"/>
      <c r="I310" s="461"/>
      <c r="J310" s="461"/>
      <c r="K310" s="461"/>
      <c r="L310" s="461"/>
      <c r="M310" s="461"/>
      <c r="N310" s="461"/>
      <c r="O310" s="461"/>
      <c r="P310" s="461"/>
      <c r="Q310" s="461"/>
      <c r="R310" s="463"/>
      <c r="S310" s="461"/>
      <c r="T310" s="463"/>
      <c r="U310" s="461"/>
      <c r="V310" s="463"/>
      <c r="W310" s="461"/>
      <c r="AC310" s="461"/>
    </row>
    <row r="311" spans="1:29">
      <c r="A311" s="461"/>
      <c r="B311" s="461"/>
      <c r="C311" s="461"/>
      <c r="D311" s="462"/>
      <c r="E311" s="461"/>
      <c r="F311" s="461"/>
      <c r="G311" s="461"/>
      <c r="H311" s="461"/>
      <c r="I311" s="461"/>
      <c r="J311" s="461"/>
      <c r="K311" s="461"/>
      <c r="L311" s="461"/>
      <c r="M311" s="461"/>
      <c r="N311" s="461"/>
      <c r="O311" s="461"/>
      <c r="P311" s="461"/>
      <c r="Q311" s="461"/>
      <c r="R311" s="463"/>
      <c r="S311" s="461"/>
      <c r="T311" s="463"/>
      <c r="U311" s="461"/>
      <c r="V311" s="463"/>
      <c r="W311" s="461"/>
      <c r="AC311" s="461"/>
    </row>
    <row r="312" spans="1:29">
      <c r="A312" s="461"/>
      <c r="B312" s="461"/>
      <c r="C312" s="461"/>
      <c r="D312" s="462"/>
      <c r="E312" s="461"/>
      <c r="F312" s="461"/>
      <c r="G312" s="461"/>
      <c r="H312" s="461"/>
      <c r="I312" s="461"/>
      <c r="J312" s="461"/>
      <c r="K312" s="461"/>
      <c r="L312" s="461"/>
      <c r="M312" s="461"/>
      <c r="N312" s="461"/>
      <c r="O312" s="461"/>
      <c r="P312" s="461"/>
      <c r="Q312" s="461"/>
      <c r="R312" s="463"/>
      <c r="S312" s="461"/>
      <c r="T312" s="463"/>
      <c r="U312" s="461"/>
      <c r="V312" s="463"/>
      <c r="W312" s="461"/>
      <c r="AC312" s="461"/>
    </row>
    <row r="313" spans="1:29">
      <c r="A313" s="461"/>
      <c r="B313" s="461"/>
      <c r="C313" s="461"/>
      <c r="D313" s="462"/>
      <c r="E313" s="461"/>
      <c r="F313" s="461"/>
      <c r="G313" s="461"/>
      <c r="H313" s="461"/>
      <c r="I313" s="461"/>
      <c r="J313" s="461"/>
      <c r="K313" s="461"/>
      <c r="L313" s="461"/>
      <c r="M313" s="461"/>
      <c r="N313" s="461"/>
      <c r="O313" s="461"/>
      <c r="P313" s="461"/>
      <c r="Q313" s="461"/>
      <c r="R313" s="463"/>
      <c r="S313" s="461"/>
      <c r="T313" s="463"/>
      <c r="U313" s="461"/>
      <c r="V313" s="463"/>
      <c r="W313" s="461"/>
      <c r="AC313" s="461"/>
    </row>
    <row r="314" spans="1:29">
      <c r="A314" s="461"/>
      <c r="B314" s="461"/>
      <c r="C314" s="461"/>
      <c r="D314" s="462"/>
      <c r="E314" s="461"/>
      <c r="F314" s="461"/>
      <c r="G314" s="461"/>
      <c r="H314" s="461"/>
      <c r="I314" s="461"/>
      <c r="J314" s="461"/>
      <c r="K314" s="461"/>
      <c r="L314" s="461"/>
      <c r="M314" s="461"/>
      <c r="N314" s="461"/>
      <c r="O314" s="461"/>
      <c r="P314" s="461"/>
      <c r="Q314" s="461"/>
      <c r="R314" s="463"/>
      <c r="S314" s="461"/>
      <c r="T314" s="463"/>
      <c r="U314" s="461"/>
      <c r="V314" s="463"/>
      <c r="W314" s="461"/>
      <c r="AC314" s="461"/>
    </row>
    <row r="315" spans="1:29">
      <c r="A315" s="461"/>
      <c r="B315" s="461"/>
      <c r="C315" s="461"/>
      <c r="D315" s="462"/>
      <c r="E315" s="461"/>
      <c r="F315" s="461"/>
      <c r="G315" s="461"/>
      <c r="H315" s="461"/>
      <c r="I315" s="461"/>
      <c r="J315" s="461"/>
      <c r="K315" s="461"/>
      <c r="L315" s="461"/>
      <c r="M315" s="461"/>
      <c r="N315" s="461"/>
      <c r="O315" s="461"/>
      <c r="P315" s="461"/>
      <c r="Q315" s="461"/>
      <c r="R315" s="463"/>
      <c r="S315" s="461"/>
      <c r="T315" s="463"/>
      <c r="U315" s="461"/>
      <c r="V315" s="463"/>
      <c r="W315" s="461"/>
      <c r="AC315" s="461"/>
    </row>
    <row r="316" spans="1:29">
      <c r="A316" s="461"/>
      <c r="B316" s="461"/>
      <c r="C316" s="461"/>
      <c r="D316" s="462"/>
      <c r="E316" s="461"/>
      <c r="F316" s="461"/>
      <c r="G316" s="461"/>
      <c r="H316" s="461"/>
      <c r="I316" s="461"/>
      <c r="J316" s="461"/>
      <c r="K316" s="461"/>
      <c r="L316" s="461"/>
      <c r="M316" s="461"/>
      <c r="N316" s="461"/>
      <c r="O316" s="461"/>
      <c r="P316" s="461"/>
      <c r="Q316" s="461"/>
      <c r="R316" s="463"/>
      <c r="S316" s="461"/>
      <c r="T316" s="463"/>
      <c r="U316" s="461"/>
      <c r="V316" s="463"/>
      <c r="W316" s="461"/>
      <c r="AC316" s="461"/>
    </row>
    <row r="317" spans="1:29">
      <c r="A317" s="461"/>
      <c r="B317" s="461"/>
      <c r="C317" s="461"/>
      <c r="D317" s="462"/>
      <c r="E317" s="461"/>
      <c r="F317" s="461"/>
      <c r="G317" s="461"/>
      <c r="H317" s="461"/>
      <c r="I317" s="461"/>
      <c r="J317" s="461"/>
      <c r="K317" s="461"/>
      <c r="L317" s="461"/>
      <c r="M317" s="461"/>
      <c r="N317" s="461"/>
      <c r="O317" s="461"/>
      <c r="P317" s="461"/>
      <c r="Q317" s="461"/>
      <c r="R317" s="463"/>
      <c r="S317" s="461"/>
      <c r="T317" s="463"/>
      <c r="U317" s="461"/>
      <c r="V317" s="463"/>
      <c r="W317" s="461"/>
      <c r="AC317" s="461"/>
    </row>
    <row r="318" spans="1:29">
      <c r="A318" s="461"/>
      <c r="B318" s="461"/>
      <c r="C318" s="461"/>
      <c r="D318" s="462"/>
      <c r="E318" s="461"/>
      <c r="F318" s="461"/>
      <c r="G318" s="461"/>
      <c r="H318" s="461"/>
      <c r="I318" s="461"/>
      <c r="J318" s="461"/>
      <c r="K318" s="461"/>
      <c r="L318" s="461"/>
      <c r="M318" s="461"/>
      <c r="N318" s="461"/>
      <c r="O318" s="461"/>
      <c r="P318" s="461"/>
      <c r="Q318" s="461"/>
      <c r="R318" s="463"/>
      <c r="S318" s="461"/>
      <c r="T318" s="463"/>
      <c r="U318" s="461"/>
      <c r="V318" s="463"/>
      <c r="W318" s="461"/>
      <c r="AC318" s="461"/>
    </row>
    <row r="319" spans="1:29">
      <c r="A319" s="461"/>
      <c r="B319" s="461"/>
      <c r="C319" s="461"/>
      <c r="D319" s="462"/>
      <c r="E319" s="461"/>
      <c r="F319" s="461"/>
      <c r="G319" s="461"/>
      <c r="H319" s="461"/>
      <c r="I319" s="461"/>
      <c r="J319" s="461"/>
      <c r="K319" s="461"/>
      <c r="L319" s="461"/>
      <c r="M319" s="461"/>
      <c r="N319" s="461"/>
      <c r="O319" s="461"/>
      <c r="P319" s="461"/>
      <c r="Q319" s="461"/>
      <c r="R319" s="463"/>
      <c r="S319" s="461"/>
      <c r="T319" s="463"/>
      <c r="U319" s="461"/>
      <c r="V319" s="463"/>
      <c r="W319" s="461"/>
      <c r="AC319" s="461"/>
    </row>
    <row r="320" spans="1:29">
      <c r="A320" s="461"/>
      <c r="B320" s="461"/>
      <c r="C320" s="461"/>
      <c r="D320" s="462"/>
      <c r="E320" s="461"/>
      <c r="F320" s="461"/>
      <c r="G320" s="461"/>
      <c r="H320" s="461"/>
      <c r="I320" s="461"/>
      <c r="J320" s="461"/>
      <c r="K320" s="461"/>
      <c r="L320" s="461"/>
      <c r="M320" s="461"/>
      <c r="N320" s="461"/>
      <c r="O320" s="461"/>
      <c r="P320" s="461"/>
      <c r="Q320" s="461"/>
      <c r="R320" s="463"/>
      <c r="S320" s="461"/>
      <c r="T320" s="463"/>
      <c r="U320" s="461"/>
      <c r="V320" s="463"/>
      <c r="W320" s="461"/>
      <c r="AC320" s="461"/>
    </row>
    <row r="321" spans="1:29">
      <c r="A321" s="461"/>
      <c r="B321" s="461"/>
      <c r="C321" s="461"/>
      <c r="D321" s="462"/>
      <c r="E321" s="461"/>
      <c r="F321" s="461"/>
      <c r="G321" s="461"/>
      <c r="H321" s="461"/>
      <c r="I321" s="461"/>
      <c r="J321" s="461"/>
      <c r="K321" s="461"/>
      <c r="L321" s="461"/>
      <c r="M321" s="461"/>
      <c r="N321" s="461"/>
      <c r="O321" s="461"/>
      <c r="P321" s="461"/>
      <c r="Q321" s="461"/>
      <c r="R321" s="463"/>
      <c r="S321" s="461"/>
      <c r="T321" s="463"/>
      <c r="U321" s="461"/>
      <c r="V321" s="463"/>
      <c r="W321" s="461"/>
      <c r="AC321" s="461"/>
    </row>
    <row r="322" spans="1:29">
      <c r="A322" s="461"/>
      <c r="B322" s="461"/>
      <c r="C322" s="461"/>
      <c r="D322" s="462"/>
      <c r="E322" s="461"/>
      <c r="F322" s="461"/>
      <c r="G322" s="461"/>
      <c r="H322" s="461"/>
      <c r="I322" s="461"/>
      <c r="J322" s="461"/>
      <c r="K322" s="461"/>
      <c r="L322" s="461"/>
      <c r="M322" s="461"/>
      <c r="N322" s="461"/>
      <c r="O322" s="461"/>
      <c r="P322" s="461"/>
      <c r="Q322" s="461"/>
      <c r="R322" s="463"/>
      <c r="S322" s="461"/>
      <c r="T322" s="463"/>
      <c r="U322" s="461"/>
      <c r="V322" s="463"/>
      <c r="W322" s="461"/>
      <c r="AC322" s="461"/>
    </row>
    <row r="323" spans="1:29">
      <c r="A323" s="461"/>
      <c r="B323" s="461"/>
      <c r="C323" s="461"/>
      <c r="D323" s="462"/>
      <c r="E323" s="461"/>
      <c r="F323" s="461"/>
      <c r="G323" s="461"/>
      <c r="H323" s="461"/>
      <c r="I323" s="461"/>
      <c r="J323" s="461"/>
      <c r="K323" s="461"/>
      <c r="L323" s="461"/>
      <c r="M323" s="461"/>
      <c r="N323" s="461"/>
      <c r="O323" s="461"/>
      <c r="P323" s="461"/>
      <c r="Q323" s="461"/>
      <c r="R323" s="463"/>
      <c r="S323" s="461"/>
      <c r="T323" s="463"/>
      <c r="U323" s="461"/>
      <c r="V323" s="463"/>
      <c r="W323" s="461"/>
      <c r="AC323" s="461"/>
    </row>
    <row r="324" spans="1:29">
      <c r="A324" s="461"/>
      <c r="B324" s="461"/>
      <c r="C324" s="461"/>
      <c r="D324" s="462"/>
      <c r="E324" s="461"/>
      <c r="F324" s="461"/>
      <c r="G324" s="461"/>
      <c r="H324" s="461"/>
      <c r="I324" s="461"/>
      <c r="J324" s="461"/>
      <c r="K324" s="461"/>
      <c r="L324" s="461"/>
      <c r="M324" s="461"/>
      <c r="N324" s="461"/>
      <c r="O324" s="461"/>
      <c r="P324" s="461"/>
      <c r="Q324" s="461"/>
      <c r="R324" s="463"/>
      <c r="S324" s="461"/>
      <c r="T324" s="463"/>
      <c r="U324" s="461"/>
      <c r="V324" s="463"/>
      <c r="W324" s="461"/>
      <c r="AC324" s="461"/>
    </row>
    <row r="325" spans="1:29">
      <c r="A325" s="461"/>
      <c r="B325" s="461"/>
      <c r="C325" s="461"/>
      <c r="D325" s="462"/>
      <c r="E325" s="461"/>
      <c r="F325" s="461"/>
      <c r="G325" s="461"/>
      <c r="H325" s="461"/>
      <c r="I325" s="461"/>
      <c r="J325" s="461"/>
      <c r="K325" s="461"/>
      <c r="L325" s="461"/>
      <c r="M325" s="461"/>
      <c r="N325" s="461"/>
      <c r="O325" s="461"/>
      <c r="P325" s="461"/>
      <c r="Q325" s="461"/>
      <c r="R325" s="463"/>
      <c r="S325" s="461"/>
      <c r="T325" s="463"/>
      <c r="U325" s="461"/>
      <c r="V325" s="463"/>
      <c r="W325" s="461"/>
      <c r="AC325" s="461"/>
    </row>
    <row r="326" spans="1:29">
      <c r="A326" s="461"/>
      <c r="B326" s="461"/>
      <c r="C326" s="461"/>
      <c r="D326" s="462"/>
      <c r="E326" s="461"/>
      <c r="F326" s="461"/>
      <c r="G326" s="461"/>
      <c r="H326" s="461"/>
      <c r="I326" s="461"/>
      <c r="J326" s="461"/>
      <c r="K326" s="461"/>
      <c r="L326" s="461"/>
      <c r="M326" s="461"/>
      <c r="N326" s="461"/>
      <c r="O326" s="461"/>
      <c r="P326" s="461"/>
      <c r="Q326" s="461"/>
      <c r="R326" s="463"/>
      <c r="S326" s="461"/>
      <c r="T326" s="463"/>
      <c r="U326" s="461"/>
      <c r="V326" s="463"/>
      <c r="W326" s="461"/>
      <c r="AC326" s="461"/>
    </row>
    <row r="327" spans="1:29">
      <c r="A327" s="461"/>
      <c r="B327" s="461"/>
      <c r="C327" s="461"/>
      <c r="D327" s="462"/>
      <c r="E327" s="461"/>
      <c r="F327" s="461"/>
      <c r="G327" s="461"/>
      <c r="H327" s="461"/>
      <c r="I327" s="461"/>
      <c r="J327" s="461"/>
      <c r="K327" s="461"/>
      <c r="L327" s="461"/>
      <c r="M327" s="461"/>
      <c r="N327" s="461"/>
      <c r="O327" s="461"/>
      <c r="P327" s="461"/>
      <c r="Q327" s="461"/>
      <c r="R327" s="463"/>
      <c r="S327" s="461"/>
      <c r="T327" s="463"/>
      <c r="U327" s="461"/>
      <c r="V327" s="463"/>
      <c r="W327" s="461"/>
      <c r="AC327" s="461"/>
    </row>
    <row r="328" spans="1:29">
      <c r="A328" s="461"/>
      <c r="B328" s="461"/>
      <c r="C328" s="461"/>
      <c r="D328" s="462"/>
      <c r="E328" s="461"/>
      <c r="F328" s="461"/>
      <c r="G328" s="461"/>
      <c r="H328" s="461"/>
      <c r="I328" s="461"/>
      <c r="J328" s="461"/>
      <c r="K328" s="461"/>
      <c r="L328" s="461"/>
      <c r="M328" s="461"/>
      <c r="N328" s="461"/>
      <c r="O328" s="461"/>
      <c r="P328" s="461"/>
      <c r="Q328" s="461"/>
      <c r="R328" s="463"/>
      <c r="S328" s="461"/>
      <c r="T328" s="463"/>
      <c r="U328" s="461"/>
      <c r="V328" s="463"/>
      <c r="W328" s="461"/>
      <c r="AC328" s="461"/>
    </row>
    <row r="329" spans="1:29">
      <c r="A329" s="461"/>
      <c r="B329" s="461"/>
      <c r="C329" s="461"/>
      <c r="D329" s="462"/>
      <c r="E329" s="461"/>
      <c r="F329" s="461"/>
      <c r="G329" s="461"/>
      <c r="H329" s="461"/>
      <c r="I329" s="461"/>
      <c r="J329" s="461"/>
      <c r="K329" s="461"/>
      <c r="L329" s="461"/>
      <c r="M329" s="461"/>
      <c r="N329" s="461"/>
      <c r="O329" s="461"/>
      <c r="P329" s="461"/>
      <c r="Q329" s="461"/>
      <c r="R329" s="463"/>
      <c r="S329" s="461"/>
      <c r="T329" s="463"/>
      <c r="U329" s="461"/>
      <c r="V329" s="463"/>
      <c r="W329" s="461"/>
      <c r="AC329" s="461"/>
    </row>
    <row r="330" spans="1:29">
      <c r="A330" s="461"/>
      <c r="B330" s="461"/>
      <c r="C330" s="461"/>
      <c r="D330" s="462"/>
      <c r="E330" s="461"/>
      <c r="F330" s="461"/>
      <c r="G330" s="461"/>
      <c r="H330" s="461"/>
      <c r="I330" s="461"/>
      <c r="J330" s="461"/>
      <c r="K330" s="461"/>
      <c r="L330" s="461"/>
      <c r="M330" s="461"/>
      <c r="N330" s="461"/>
      <c r="O330" s="461"/>
      <c r="P330" s="461"/>
      <c r="Q330" s="461"/>
      <c r="R330" s="463"/>
      <c r="S330" s="461"/>
      <c r="T330" s="463"/>
      <c r="U330" s="461"/>
      <c r="V330" s="463"/>
      <c r="W330" s="461"/>
      <c r="AC330" s="461"/>
    </row>
    <row r="331" spans="1:29">
      <c r="A331" s="461"/>
      <c r="B331" s="461"/>
      <c r="C331" s="461"/>
      <c r="D331" s="462"/>
      <c r="E331" s="461"/>
      <c r="F331" s="461"/>
      <c r="G331" s="461"/>
      <c r="H331" s="461"/>
      <c r="I331" s="461"/>
      <c r="J331" s="461"/>
      <c r="K331" s="461"/>
      <c r="L331" s="461"/>
      <c r="M331" s="461"/>
      <c r="N331" s="461"/>
      <c r="O331" s="461"/>
      <c r="P331" s="461"/>
      <c r="Q331" s="461"/>
      <c r="R331" s="463"/>
      <c r="S331" s="461"/>
      <c r="T331" s="463"/>
      <c r="U331" s="461"/>
      <c r="V331" s="463"/>
      <c r="W331" s="461"/>
      <c r="AC331" s="461"/>
    </row>
    <row r="332" spans="1:29">
      <c r="A332" s="461"/>
      <c r="B332" s="461"/>
      <c r="C332" s="461"/>
      <c r="D332" s="462"/>
      <c r="E332" s="461"/>
      <c r="F332" s="461"/>
      <c r="G332" s="461"/>
      <c r="H332" s="461"/>
      <c r="I332" s="461"/>
      <c r="J332" s="461"/>
      <c r="K332" s="461"/>
      <c r="L332" s="461"/>
      <c r="M332" s="461"/>
      <c r="N332" s="461"/>
      <c r="O332" s="461"/>
      <c r="P332" s="461"/>
      <c r="Q332" s="461"/>
      <c r="R332" s="463"/>
      <c r="S332" s="461"/>
      <c r="T332" s="463"/>
      <c r="U332" s="461"/>
      <c r="V332" s="463"/>
      <c r="W332" s="461"/>
      <c r="AC332" s="461"/>
    </row>
    <row r="333" spans="1:29">
      <c r="A333" s="461"/>
      <c r="B333" s="461"/>
      <c r="C333" s="461"/>
      <c r="D333" s="462"/>
      <c r="E333" s="461"/>
      <c r="F333" s="461"/>
      <c r="G333" s="461"/>
      <c r="H333" s="461"/>
      <c r="I333" s="461"/>
      <c r="J333" s="461"/>
      <c r="K333" s="461"/>
      <c r="L333" s="461"/>
      <c r="M333" s="461"/>
      <c r="N333" s="461"/>
      <c r="O333" s="461"/>
      <c r="P333" s="461"/>
      <c r="Q333" s="461"/>
      <c r="R333" s="463"/>
      <c r="S333" s="461"/>
      <c r="T333" s="463"/>
      <c r="U333" s="461"/>
      <c r="V333" s="463"/>
      <c r="W333" s="461"/>
      <c r="AC333" s="461"/>
    </row>
    <row r="334" spans="1:29">
      <c r="A334" s="461"/>
      <c r="B334" s="461"/>
      <c r="C334" s="461"/>
      <c r="D334" s="462"/>
      <c r="E334" s="461"/>
      <c r="F334" s="461"/>
      <c r="G334" s="461"/>
      <c r="H334" s="461"/>
      <c r="I334" s="461"/>
      <c r="J334" s="461"/>
      <c r="K334" s="461"/>
      <c r="L334" s="461"/>
      <c r="M334" s="461"/>
      <c r="N334" s="461"/>
      <c r="O334" s="461"/>
      <c r="P334" s="461"/>
      <c r="Q334" s="461"/>
      <c r="R334" s="463"/>
      <c r="S334" s="461"/>
      <c r="T334" s="463"/>
      <c r="U334" s="461"/>
      <c r="V334" s="463"/>
      <c r="W334" s="461"/>
      <c r="AC334" s="461"/>
    </row>
    <row r="335" spans="1:29">
      <c r="A335" s="461"/>
      <c r="B335" s="461"/>
      <c r="C335" s="461"/>
      <c r="D335" s="462"/>
      <c r="E335" s="461"/>
      <c r="F335" s="461"/>
      <c r="G335" s="461"/>
      <c r="H335" s="461"/>
      <c r="I335" s="461"/>
      <c r="J335" s="461"/>
      <c r="K335" s="461"/>
      <c r="L335" s="461"/>
      <c r="M335" s="461"/>
      <c r="N335" s="461"/>
      <c r="O335" s="461"/>
      <c r="P335" s="461"/>
      <c r="Q335" s="461"/>
      <c r="R335" s="463"/>
      <c r="S335" s="461"/>
      <c r="T335" s="463"/>
      <c r="U335" s="461"/>
      <c r="V335" s="463"/>
      <c r="W335" s="461"/>
      <c r="AC335" s="461"/>
    </row>
    <row r="336" spans="1:29">
      <c r="A336" s="461"/>
      <c r="B336" s="461"/>
      <c r="C336" s="461"/>
      <c r="D336" s="462"/>
      <c r="E336" s="461"/>
      <c r="F336" s="461"/>
      <c r="G336" s="461"/>
      <c r="H336" s="461"/>
      <c r="I336" s="461"/>
      <c r="J336" s="461"/>
      <c r="K336" s="461"/>
      <c r="L336" s="461"/>
      <c r="M336" s="461"/>
      <c r="N336" s="461"/>
      <c r="O336" s="461"/>
      <c r="P336" s="461"/>
      <c r="Q336" s="461"/>
      <c r="R336" s="463"/>
      <c r="S336" s="461"/>
      <c r="T336" s="463"/>
      <c r="U336" s="461"/>
      <c r="V336" s="463"/>
      <c r="W336" s="461"/>
      <c r="AC336" s="461"/>
    </row>
    <row r="337" spans="1:29">
      <c r="A337" s="461"/>
      <c r="B337" s="461"/>
      <c r="C337" s="461"/>
      <c r="D337" s="462"/>
      <c r="E337" s="461"/>
      <c r="F337" s="461"/>
      <c r="G337" s="461"/>
      <c r="H337" s="461"/>
      <c r="I337" s="461"/>
      <c r="J337" s="461"/>
      <c r="K337" s="461"/>
      <c r="L337" s="461"/>
      <c r="M337" s="461"/>
      <c r="N337" s="461"/>
      <c r="O337" s="461"/>
      <c r="P337" s="461"/>
      <c r="Q337" s="461"/>
      <c r="R337" s="463"/>
      <c r="S337" s="461"/>
      <c r="T337" s="463"/>
      <c r="U337" s="461"/>
      <c r="V337" s="463"/>
      <c r="W337" s="461"/>
      <c r="AC337" s="461"/>
    </row>
    <row r="338" spans="1:29">
      <c r="A338" s="461"/>
      <c r="B338" s="461"/>
      <c r="C338" s="461"/>
      <c r="D338" s="462"/>
      <c r="E338" s="461"/>
      <c r="F338" s="461"/>
      <c r="G338" s="461"/>
      <c r="H338" s="461"/>
      <c r="I338" s="461"/>
      <c r="J338" s="461"/>
      <c r="K338" s="461"/>
      <c r="L338" s="461"/>
      <c r="M338" s="461"/>
      <c r="N338" s="461"/>
      <c r="O338" s="461"/>
      <c r="P338" s="461"/>
      <c r="Q338" s="461"/>
      <c r="R338" s="463"/>
      <c r="S338" s="461"/>
      <c r="T338" s="463"/>
      <c r="U338" s="461"/>
      <c r="V338" s="463"/>
      <c r="W338" s="461"/>
      <c r="AC338" s="461"/>
    </row>
    <row r="339" spans="1:29">
      <c r="A339" s="461"/>
      <c r="B339" s="461"/>
      <c r="C339" s="461"/>
      <c r="D339" s="462"/>
      <c r="E339" s="461"/>
      <c r="F339" s="461"/>
      <c r="G339" s="461"/>
      <c r="H339" s="461"/>
      <c r="I339" s="461"/>
      <c r="J339" s="461"/>
      <c r="K339" s="461"/>
      <c r="L339" s="461"/>
      <c r="M339" s="461"/>
      <c r="N339" s="461"/>
      <c r="O339" s="461"/>
      <c r="P339" s="461"/>
      <c r="Q339" s="461"/>
      <c r="R339" s="463"/>
      <c r="S339" s="461"/>
      <c r="T339" s="463"/>
      <c r="U339" s="461"/>
      <c r="V339" s="463"/>
      <c r="W339" s="461"/>
      <c r="AC339" s="461"/>
    </row>
    <row r="340" spans="1:29">
      <c r="A340" s="461"/>
      <c r="B340" s="461"/>
      <c r="C340" s="461"/>
      <c r="D340" s="462"/>
      <c r="E340" s="461"/>
      <c r="F340" s="461"/>
      <c r="G340" s="461"/>
      <c r="H340" s="461"/>
      <c r="I340" s="461"/>
      <c r="J340" s="461"/>
      <c r="K340" s="461"/>
      <c r="L340" s="461"/>
      <c r="M340" s="461"/>
      <c r="N340" s="461"/>
      <c r="O340" s="461"/>
      <c r="P340" s="461"/>
      <c r="Q340" s="461"/>
      <c r="R340" s="463"/>
      <c r="S340" s="461"/>
      <c r="T340" s="463"/>
      <c r="U340" s="461"/>
      <c r="V340" s="463"/>
      <c r="W340" s="461"/>
      <c r="AC340" s="461"/>
    </row>
    <row r="341" spans="1:29">
      <c r="A341" s="461"/>
      <c r="B341" s="461"/>
      <c r="C341" s="461"/>
      <c r="D341" s="462"/>
      <c r="E341" s="461"/>
      <c r="F341" s="461"/>
      <c r="G341" s="461"/>
      <c r="H341" s="461"/>
      <c r="I341" s="461"/>
      <c r="J341" s="461"/>
      <c r="K341" s="461"/>
      <c r="L341" s="461"/>
      <c r="M341" s="461"/>
      <c r="N341" s="461"/>
      <c r="O341" s="461"/>
      <c r="P341" s="461"/>
      <c r="Q341" s="461"/>
      <c r="R341" s="463"/>
      <c r="S341" s="461"/>
      <c r="T341" s="463"/>
      <c r="U341" s="461"/>
      <c r="V341" s="463"/>
      <c r="W341" s="461"/>
      <c r="AC341" s="461"/>
    </row>
    <row r="342" spans="1:29">
      <c r="A342" s="461"/>
      <c r="B342" s="461"/>
      <c r="C342" s="461"/>
      <c r="D342" s="462"/>
      <c r="E342" s="461"/>
      <c r="F342" s="461"/>
      <c r="G342" s="461"/>
      <c r="H342" s="461"/>
      <c r="I342" s="461"/>
      <c r="J342" s="461"/>
      <c r="K342" s="461"/>
      <c r="L342" s="461"/>
      <c r="M342" s="461"/>
      <c r="N342" s="461"/>
      <c r="O342" s="461"/>
      <c r="P342" s="461"/>
      <c r="Q342" s="461"/>
      <c r="R342" s="463"/>
      <c r="S342" s="461"/>
      <c r="T342" s="463"/>
      <c r="U342" s="461"/>
      <c r="V342" s="463"/>
      <c r="W342" s="461"/>
      <c r="AC342" s="461"/>
    </row>
    <row r="343" spans="1:29">
      <c r="A343" s="461"/>
      <c r="B343" s="461"/>
      <c r="C343" s="461"/>
      <c r="D343" s="462"/>
      <c r="E343" s="461"/>
      <c r="F343" s="461"/>
      <c r="G343" s="461"/>
      <c r="H343" s="461"/>
      <c r="I343" s="461"/>
      <c r="J343" s="461"/>
      <c r="K343" s="461"/>
      <c r="L343" s="461"/>
      <c r="M343" s="461"/>
      <c r="N343" s="461"/>
      <c r="O343" s="461"/>
      <c r="P343" s="461"/>
      <c r="Q343" s="461"/>
      <c r="R343" s="463"/>
      <c r="S343" s="461"/>
      <c r="T343" s="463"/>
      <c r="U343" s="461"/>
      <c r="V343" s="463"/>
      <c r="W343" s="461"/>
      <c r="AC343" s="461"/>
    </row>
    <row r="344" spans="1:29">
      <c r="A344" s="461"/>
      <c r="B344" s="461"/>
      <c r="C344" s="461"/>
      <c r="D344" s="462"/>
      <c r="E344" s="461"/>
      <c r="F344" s="461"/>
      <c r="G344" s="461"/>
      <c r="H344" s="461"/>
      <c r="I344" s="461"/>
      <c r="J344" s="461"/>
      <c r="K344" s="461"/>
      <c r="L344" s="461"/>
      <c r="M344" s="461"/>
      <c r="N344" s="461"/>
      <c r="O344" s="461"/>
      <c r="P344" s="461"/>
      <c r="Q344" s="461"/>
      <c r="R344" s="463"/>
      <c r="S344" s="461"/>
      <c r="T344" s="463"/>
      <c r="U344" s="461"/>
      <c r="V344" s="463"/>
      <c r="W344" s="461"/>
      <c r="AC344" s="461"/>
    </row>
    <row r="345" spans="1:29">
      <c r="A345" s="461"/>
      <c r="B345" s="461"/>
      <c r="C345" s="461"/>
      <c r="D345" s="462"/>
      <c r="E345" s="461"/>
      <c r="F345" s="461"/>
      <c r="G345" s="461"/>
      <c r="H345" s="461"/>
      <c r="I345" s="461"/>
      <c r="J345" s="461"/>
      <c r="K345" s="461"/>
      <c r="L345" s="461"/>
      <c r="M345" s="461"/>
      <c r="N345" s="461"/>
      <c r="O345" s="461"/>
      <c r="P345" s="461"/>
      <c r="Q345" s="461"/>
      <c r="R345" s="463"/>
      <c r="S345" s="461"/>
      <c r="T345" s="463"/>
      <c r="U345" s="461"/>
      <c r="V345" s="463"/>
      <c r="W345" s="461"/>
      <c r="AC345" s="461"/>
    </row>
    <row r="346" spans="1:29">
      <c r="A346" s="461"/>
      <c r="B346" s="461"/>
      <c r="C346" s="461"/>
      <c r="D346" s="462"/>
      <c r="E346" s="461"/>
      <c r="F346" s="461"/>
      <c r="G346" s="461"/>
      <c r="H346" s="461"/>
      <c r="I346" s="461"/>
      <c r="J346" s="461"/>
      <c r="K346" s="461"/>
      <c r="L346" s="461"/>
      <c r="M346" s="461"/>
      <c r="N346" s="461"/>
      <c r="O346" s="461"/>
      <c r="P346" s="461"/>
      <c r="Q346" s="461"/>
      <c r="R346" s="463"/>
      <c r="S346" s="461"/>
      <c r="T346" s="463"/>
      <c r="U346" s="461"/>
      <c r="V346" s="463"/>
      <c r="W346" s="461"/>
      <c r="AC346" s="461"/>
    </row>
    <row r="347" spans="1:29">
      <c r="A347" s="461"/>
      <c r="B347" s="461"/>
      <c r="C347" s="461"/>
      <c r="D347" s="462"/>
      <c r="E347" s="461"/>
      <c r="F347" s="461"/>
      <c r="G347" s="461"/>
      <c r="H347" s="461"/>
      <c r="I347" s="461"/>
      <c r="J347" s="461"/>
      <c r="K347" s="461"/>
      <c r="L347" s="461"/>
      <c r="M347" s="461"/>
      <c r="N347" s="461"/>
      <c r="O347" s="461"/>
      <c r="P347" s="461"/>
      <c r="Q347" s="461"/>
      <c r="R347" s="463"/>
      <c r="S347" s="461"/>
      <c r="T347" s="463"/>
      <c r="U347" s="461"/>
      <c r="V347" s="463"/>
      <c r="W347" s="461"/>
      <c r="AC347" s="461"/>
    </row>
    <row r="348" spans="1:29">
      <c r="A348" s="461"/>
      <c r="B348" s="461"/>
      <c r="C348" s="461"/>
      <c r="D348" s="462"/>
      <c r="E348" s="461"/>
      <c r="F348" s="461"/>
      <c r="G348" s="461"/>
      <c r="H348" s="461"/>
      <c r="I348" s="461"/>
      <c r="J348" s="461"/>
      <c r="K348" s="461"/>
      <c r="L348" s="461"/>
      <c r="M348" s="461"/>
      <c r="N348" s="461"/>
      <c r="O348" s="461"/>
      <c r="P348" s="461"/>
      <c r="Q348" s="461"/>
      <c r="R348" s="463"/>
      <c r="S348" s="461"/>
      <c r="T348" s="463"/>
      <c r="U348" s="461"/>
      <c r="V348" s="463"/>
      <c r="W348" s="461"/>
      <c r="AC348" s="461"/>
    </row>
    <row r="349" spans="1:29">
      <c r="A349" s="461"/>
      <c r="B349" s="461"/>
      <c r="C349" s="461"/>
      <c r="D349" s="462"/>
      <c r="E349" s="461"/>
      <c r="F349" s="461"/>
      <c r="G349" s="461"/>
      <c r="H349" s="461"/>
      <c r="I349" s="461"/>
      <c r="J349" s="461"/>
      <c r="K349" s="461"/>
      <c r="L349" s="461"/>
      <c r="M349" s="461"/>
      <c r="N349" s="461"/>
      <c r="O349" s="461"/>
      <c r="P349" s="461"/>
      <c r="Q349" s="461"/>
      <c r="R349" s="463"/>
      <c r="S349" s="461"/>
      <c r="T349" s="463"/>
      <c r="U349" s="461"/>
      <c r="V349" s="463"/>
      <c r="W349" s="461"/>
      <c r="AC349" s="461"/>
    </row>
    <row r="350" spans="1:29">
      <c r="A350" s="461"/>
      <c r="B350" s="461"/>
      <c r="C350" s="461"/>
      <c r="D350" s="462"/>
      <c r="E350" s="461"/>
      <c r="F350" s="461"/>
      <c r="G350" s="461"/>
      <c r="H350" s="461"/>
      <c r="I350" s="461"/>
      <c r="J350" s="461"/>
      <c r="K350" s="461"/>
      <c r="L350" s="461"/>
      <c r="M350" s="461"/>
      <c r="N350" s="461"/>
      <c r="O350" s="461"/>
      <c r="P350" s="461"/>
      <c r="Q350" s="461"/>
      <c r="R350" s="463"/>
      <c r="S350" s="461"/>
      <c r="T350" s="463"/>
      <c r="U350" s="461"/>
      <c r="V350" s="463"/>
      <c r="W350" s="461"/>
      <c r="AC350" s="461"/>
    </row>
    <row r="351" spans="1:29">
      <c r="A351" s="461"/>
      <c r="B351" s="461"/>
      <c r="C351" s="461"/>
      <c r="D351" s="462"/>
      <c r="E351" s="461"/>
      <c r="F351" s="461"/>
      <c r="G351" s="461"/>
      <c r="H351" s="461"/>
      <c r="I351" s="461"/>
      <c r="J351" s="461"/>
      <c r="K351" s="461"/>
      <c r="L351" s="461"/>
      <c r="M351" s="461"/>
      <c r="N351" s="461"/>
      <c r="O351" s="461"/>
      <c r="P351" s="461"/>
      <c r="Q351" s="461"/>
      <c r="R351" s="463"/>
      <c r="S351" s="461"/>
      <c r="T351" s="463"/>
      <c r="U351" s="461"/>
      <c r="V351" s="463"/>
      <c r="W351" s="461"/>
      <c r="AC351" s="461"/>
    </row>
    <row r="352" spans="1:29">
      <c r="A352" s="461"/>
      <c r="B352" s="461"/>
      <c r="C352" s="461"/>
      <c r="D352" s="462"/>
      <c r="E352" s="461"/>
      <c r="F352" s="461"/>
      <c r="G352" s="461"/>
      <c r="H352" s="461"/>
      <c r="I352" s="461"/>
      <c r="J352" s="461"/>
      <c r="K352" s="461"/>
      <c r="L352" s="461"/>
      <c r="M352" s="461"/>
      <c r="N352" s="461"/>
      <c r="O352" s="461"/>
      <c r="P352" s="461"/>
      <c r="Q352" s="461"/>
      <c r="R352" s="463"/>
      <c r="S352" s="461"/>
      <c r="T352" s="463"/>
      <c r="U352" s="461"/>
      <c r="V352" s="463"/>
      <c r="W352" s="461"/>
      <c r="AC352" s="461"/>
    </row>
    <row r="353" spans="1:29">
      <c r="A353" s="461"/>
      <c r="B353" s="461"/>
      <c r="C353" s="461"/>
      <c r="D353" s="462"/>
      <c r="E353" s="461"/>
      <c r="F353" s="461"/>
      <c r="G353" s="461"/>
      <c r="H353" s="461"/>
      <c r="I353" s="461"/>
      <c r="J353" s="461"/>
      <c r="K353" s="461"/>
      <c r="L353" s="461"/>
      <c r="M353" s="461"/>
      <c r="N353" s="461"/>
      <c r="O353" s="461"/>
      <c r="P353" s="461"/>
      <c r="Q353" s="461"/>
      <c r="R353" s="463"/>
      <c r="S353" s="461"/>
      <c r="T353" s="463"/>
      <c r="U353" s="461"/>
      <c r="V353" s="463"/>
      <c r="W353" s="461"/>
      <c r="AC353" s="461"/>
    </row>
    <row r="354" spans="1:29">
      <c r="A354" s="461"/>
      <c r="B354" s="461"/>
      <c r="C354" s="461"/>
      <c r="D354" s="462"/>
      <c r="E354" s="461"/>
      <c r="F354" s="461"/>
      <c r="G354" s="461"/>
      <c r="H354" s="461"/>
      <c r="I354" s="461"/>
      <c r="J354" s="461"/>
      <c r="K354" s="461"/>
      <c r="L354" s="461"/>
      <c r="M354" s="461"/>
      <c r="N354" s="461"/>
      <c r="O354" s="461"/>
      <c r="P354" s="461"/>
      <c r="Q354" s="461"/>
      <c r="R354" s="463"/>
      <c r="S354" s="461"/>
      <c r="T354" s="463"/>
      <c r="U354" s="461"/>
      <c r="V354" s="463"/>
      <c r="W354" s="461"/>
      <c r="AC354" s="461"/>
    </row>
    <row r="355" spans="1:29">
      <c r="A355" s="461"/>
      <c r="B355" s="461"/>
      <c r="C355" s="461"/>
      <c r="D355" s="462"/>
      <c r="E355" s="461"/>
      <c r="F355" s="461"/>
      <c r="G355" s="461"/>
      <c r="H355" s="461"/>
      <c r="I355" s="461"/>
      <c r="J355" s="461"/>
      <c r="K355" s="461"/>
      <c r="L355" s="461"/>
      <c r="M355" s="461"/>
      <c r="N355" s="461"/>
      <c r="O355" s="461"/>
      <c r="P355" s="461"/>
      <c r="Q355" s="461"/>
      <c r="R355" s="463"/>
      <c r="S355" s="461"/>
      <c r="T355" s="463"/>
      <c r="U355" s="461"/>
      <c r="V355" s="463"/>
      <c r="W355" s="461"/>
      <c r="AC355" s="461"/>
    </row>
    <row r="356" spans="1:29">
      <c r="A356" s="461"/>
      <c r="B356" s="461"/>
      <c r="C356" s="461"/>
      <c r="D356" s="462"/>
      <c r="E356" s="461"/>
      <c r="F356" s="461"/>
      <c r="G356" s="461"/>
      <c r="H356" s="461"/>
      <c r="I356" s="461"/>
      <c r="J356" s="461"/>
      <c r="K356" s="461"/>
      <c r="L356" s="461"/>
      <c r="M356" s="461"/>
      <c r="N356" s="461"/>
      <c r="O356" s="461"/>
      <c r="P356" s="461"/>
      <c r="Q356" s="461"/>
      <c r="R356" s="463"/>
      <c r="S356" s="461"/>
      <c r="T356" s="463"/>
      <c r="U356" s="461"/>
      <c r="V356" s="463"/>
      <c r="W356" s="461"/>
      <c r="AC356" s="461"/>
    </row>
    <row r="357" spans="1:29">
      <c r="A357" s="461"/>
      <c r="B357" s="461"/>
      <c r="C357" s="461"/>
      <c r="D357" s="462"/>
      <c r="E357" s="461"/>
      <c r="F357" s="461"/>
      <c r="G357" s="461"/>
      <c r="H357" s="461"/>
      <c r="I357" s="461"/>
      <c r="J357" s="461"/>
      <c r="K357" s="461"/>
      <c r="L357" s="461"/>
      <c r="M357" s="461"/>
      <c r="N357" s="461"/>
      <c r="O357" s="461"/>
      <c r="P357" s="461"/>
      <c r="Q357" s="461"/>
      <c r="R357" s="463"/>
      <c r="S357" s="461"/>
      <c r="T357" s="463"/>
      <c r="U357" s="461"/>
      <c r="V357" s="463"/>
      <c r="W357" s="461"/>
      <c r="AC357" s="461"/>
    </row>
    <row r="358" spans="1:29">
      <c r="A358" s="461"/>
      <c r="B358" s="461"/>
      <c r="C358" s="461"/>
      <c r="D358" s="462"/>
      <c r="E358" s="461"/>
      <c r="F358" s="461"/>
      <c r="G358" s="461"/>
      <c r="H358" s="461"/>
      <c r="I358" s="461"/>
      <c r="J358" s="461"/>
      <c r="K358" s="461"/>
      <c r="L358" s="461"/>
      <c r="M358" s="461"/>
      <c r="N358" s="461"/>
      <c r="O358" s="461"/>
      <c r="P358" s="461"/>
      <c r="Q358" s="461"/>
      <c r="R358" s="463"/>
      <c r="S358" s="461"/>
      <c r="T358" s="463"/>
      <c r="U358" s="461"/>
      <c r="V358" s="463"/>
      <c r="W358" s="461"/>
      <c r="AC358" s="461"/>
    </row>
    <row r="359" spans="1:29">
      <c r="A359" s="461"/>
      <c r="B359" s="461"/>
      <c r="C359" s="461"/>
      <c r="D359" s="462"/>
      <c r="E359" s="461"/>
      <c r="F359" s="461"/>
      <c r="G359" s="461"/>
      <c r="H359" s="461"/>
      <c r="I359" s="461"/>
      <c r="J359" s="461"/>
      <c r="K359" s="461"/>
      <c r="L359" s="461"/>
      <c r="M359" s="461"/>
      <c r="N359" s="461"/>
      <c r="O359" s="461"/>
      <c r="P359" s="461"/>
      <c r="Q359" s="461"/>
      <c r="R359" s="463"/>
      <c r="S359" s="461"/>
      <c r="T359" s="463"/>
      <c r="U359" s="461"/>
      <c r="V359" s="463"/>
      <c r="W359" s="461"/>
      <c r="AC359" s="461"/>
    </row>
    <row r="360" spans="1:29">
      <c r="A360" s="461"/>
      <c r="B360" s="461"/>
      <c r="C360" s="461"/>
      <c r="D360" s="462"/>
      <c r="E360" s="461"/>
      <c r="F360" s="461"/>
      <c r="G360" s="461"/>
      <c r="H360" s="461"/>
      <c r="I360" s="461"/>
      <c r="J360" s="461"/>
      <c r="K360" s="461"/>
      <c r="L360" s="461"/>
      <c r="M360" s="461"/>
      <c r="N360" s="461"/>
      <c r="O360" s="461"/>
      <c r="P360" s="461"/>
      <c r="Q360" s="461"/>
      <c r="R360" s="463"/>
      <c r="S360" s="461"/>
      <c r="T360" s="463"/>
      <c r="U360" s="461"/>
      <c r="V360" s="463"/>
      <c r="W360" s="461"/>
      <c r="AC360" s="461"/>
    </row>
    <row r="361" spans="1:29">
      <c r="A361" s="461"/>
      <c r="B361" s="461"/>
      <c r="C361" s="461"/>
      <c r="D361" s="462"/>
      <c r="E361" s="461"/>
      <c r="F361" s="461"/>
      <c r="G361" s="461"/>
      <c r="H361" s="461"/>
      <c r="I361" s="461"/>
      <c r="J361" s="461"/>
      <c r="K361" s="461"/>
      <c r="L361" s="461"/>
      <c r="M361" s="461"/>
      <c r="N361" s="461"/>
      <c r="O361" s="461"/>
      <c r="P361" s="461"/>
      <c r="Q361" s="461"/>
      <c r="R361" s="463"/>
      <c r="S361" s="461"/>
      <c r="T361" s="463"/>
      <c r="U361" s="461"/>
      <c r="V361" s="463"/>
      <c r="W361" s="461"/>
      <c r="AC361" s="461"/>
    </row>
    <row r="362" spans="1:29">
      <c r="A362" s="461"/>
      <c r="B362" s="461"/>
      <c r="C362" s="461"/>
      <c r="D362" s="462"/>
      <c r="E362" s="461"/>
      <c r="F362" s="461"/>
      <c r="G362" s="461"/>
      <c r="H362" s="461"/>
      <c r="I362" s="461"/>
      <c r="J362" s="461"/>
      <c r="K362" s="461"/>
      <c r="L362" s="461"/>
      <c r="M362" s="461"/>
      <c r="N362" s="461"/>
      <c r="O362" s="461"/>
      <c r="P362" s="461"/>
      <c r="Q362" s="461"/>
      <c r="R362" s="463"/>
      <c r="S362" s="461"/>
      <c r="T362" s="463"/>
      <c r="U362" s="461"/>
      <c r="V362" s="463"/>
      <c r="W362" s="461"/>
      <c r="AC362" s="461"/>
    </row>
    <row r="363" spans="1:29">
      <c r="A363" s="461"/>
      <c r="B363" s="461"/>
      <c r="C363" s="461"/>
      <c r="D363" s="462"/>
      <c r="E363" s="461"/>
      <c r="F363" s="461"/>
      <c r="G363" s="461"/>
      <c r="H363" s="461"/>
      <c r="I363" s="461"/>
      <c r="J363" s="461"/>
      <c r="K363" s="461"/>
      <c r="L363" s="461"/>
      <c r="M363" s="461"/>
      <c r="N363" s="461"/>
      <c r="O363" s="461"/>
      <c r="P363" s="461"/>
      <c r="Q363" s="461"/>
      <c r="R363" s="463"/>
      <c r="S363" s="461"/>
      <c r="T363" s="463"/>
      <c r="U363" s="461"/>
      <c r="V363" s="463"/>
      <c r="W363" s="461"/>
      <c r="AC363" s="461"/>
    </row>
    <row r="364" spans="1:29">
      <c r="A364" s="461"/>
      <c r="B364" s="461"/>
      <c r="C364" s="461"/>
      <c r="D364" s="462"/>
      <c r="E364" s="461"/>
      <c r="F364" s="461"/>
      <c r="G364" s="461"/>
      <c r="H364" s="461"/>
      <c r="I364" s="461"/>
      <c r="J364" s="461"/>
      <c r="K364" s="461"/>
      <c r="L364" s="461"/>
      <c r="M364" s="461"/>
      <c r="N364" s="461"/>
      <c r="O364" s="461"/>
      <c r="P364" s="461"/>
      <c r="Q364" s="461"/>
      <c r="R364" s="463"/>
      <c r="S364" s="461"/>
      <c r="T364" s="463"/>
      <c r="U364" s="461"/>
      <c r="V364" s="463"/>
      <c r="W364" s="461"/>
      <c r="AC364" s="461"/>
    </row>
    <row r="365" spans="1:29">
      <c r="A365" s="461"/>
      <c r="B365" s="461"/>
      <c r="C365" s="461"/>
      <c r="D365" s="462"/>
      <c r="E365" s="461"/>
      <c r="F365" s="461"/>
      <c r="G365" s="461"/>
      <c r="H365" s="461"/>
      <c r="I365" s="461"/>
      <c r="J365" s="461"/>
      <c r="K365" s="461"/>
      <c r="L365" s="461"/>
      <c r="M365" s="461"/>
      <c r="N365" s="461"/>
      <c r="O365" s="461"/>
      <c r="P365" s="461"/>
      <c r="Q365" s="461"/>
      <c r="R365" s="463"/>
      <c r="S365" s="461"/>
      <c r="T365" s="463"/>
      <c r="U365" s="461"/>
      <c r="V365" s="463"/>
      <c r="W365" s="461"/>
      <c r="AC365" s="461"/>
    </row>
    <row r="366" spans="1:29">
      <c r="A366" s="461"/>
      <c r="B366" s="461"/>
      <c r="C366" s="461"/>
      <c r="D366" s="462"/>
      <c r="E366" s="461"/>
      <c r="F366" s="461"/>
      <c r="G366" s="461"/>
      <c r="H366" s="461"/>
      <c r="I366" s="461"/>
      <c r="J366" s="461"/>
      <c r="K366" s="461"/>
      <c r="L366" s="461"/>
      <c r="M366" s="461"/>
      <c r="N366" s="461"/>
      <c r="O366" s="461"/>
      <c r="P366" s="461"/>
      <c r="Q366" s="461"/>
      <c r="R366" s="463"/>
      <c r="S366" s="461"/>
      <c r="T366" s="463"/>
      <c r="U366" s="461"/>
      <c r="V366" s="463"/>
      <c r="W366" s="461"/>
      <c r="AC366" s="461"/>
    </row>
    <row r="367" spans="1:29">
      <c r="A367" s="461"/>
      <c r="B367" s="461"/>
      <c r="C367" s="461"/>
      <c r="D367" s="462"/>
      <c r="E367" s="461"/>
      <c r="F367" s="461"/>
      <c r="G367" s="461"/>
      <c r="H367" s="461"/>
      <c r="I367" s="461"/>
      <c r="J367" s="461"/>
      <c r="K367" s="461"/>
      <c r="L367" s="461"/>
      <c r="M367" s="461"/>
      <c r="N367" s="461"/>
      <c r="O367" s="461"/>
      <c r="P367" s="461"/>
      <c r="Q367" s="461"/>
      <c r="R367" s="463"/>
      <c r="S367" s="461"/>
      <c r="T367" s="463"/>
      <c r="U367" s="461"/>
      <c r="V367" s="463"/>
      <c r="W367" s="461"/>
      <c r="AC367" s="461"/>
    </row>
    <row r="368" spans="1:29">
      <c r="A368" s="461"/>
      <c r="B368" s="461"/>
      <c r="C368" s="461"/>
      <c r="D368" s="462"/>
      <c r="E368" s="461"/>
      <c r="F368" s="461"/>
      <c r="G368" s="461"/>
      <c r="H368" s="461"/>
      <c r="I368" s="461"/>
      <c r="J368" s="461"/>
      <c r="K368" s="461"/>
      <c r="L368" s="461"/>
      <c r="M368" s="461"/>
      <c r="N368" s="461"/>
      <c r="O368" s="461"/>
      <c r="P368" s="461"/>
      <c r="Q368" s="461"/>
      <c r="R368" s="463"/>
      <c r="S368" s="461"/>
      <c r="T368" s="463"/>
      <c r="U368" s="461"/>
      <c r="V368" s="463"/>
      <c r="W368" s="461"/>
      <c r="AC368" s="461"/>
    </row>
    <row r="369" spans="1:29">
      <c r="A369" s="461"/>
      <c r="B369" s="461"/>
      <c r="C369" s="461"/>
      <c r="D369" s="462"/>
      <c r="E369" s="461"/>
      <c r="F369" s="461"/>
      <c r="G369" s="461"/>
      <c r="H369" s="461"/>
      <c r="I369" s="461"/>
      <c r="J369" s="461"/>
      <c r="K369" s="461"/>
      <c r="L369" s="461"/>
      <c r="M369" s="461"/>
      <c r="N369" s="461"/>
      <c r="O369" s="461"/>
      <c r="P369" s="461"/>
      <c r="Q369" s="461"/>
      <c r="R369" s="463"/>
      <c r="S369" s="461"/>
      <c r="T369" s="463"/>
      <c r="U369" s="461"/>
      <c r="V369" s="463"/>
      <c r="W369" s="461"/>
      <c r="AC369" s="461"/>
    </row>
    <row r="370" spans="1:29">
      <c r="A370" s="461"/>
      <c r="B370" s="461"/>
      <c r="C370" s="461"/>
      <c r="D370" s="462"/>
      <c r="E370" s="461"/>
      <c r="F370" s="461"/>
      <c r="G370" s="461"/>
      <c r="H370" s="461"/>
      <c r="I370" s="461"/>
      <c r="J370" s="461"/>
      <c r="K370" s="461"/>
      <c r="L370" s="461"/>
      <c r="M370" s="461"/>
      <c r="N370" s="461"/>
      <c r="O370" s="461"/>
      <c r="P370" s="461"/>
      <c r="Q370" s="461"/>
      <c r="R370" s="463"/>
      <c r="S370" s="461"/>
      <c r="T370" s="463"/>
      <c r="U370" s="461"/>
      <c r="V370" s="463"/>
      <c r="W370" s="461"/>
      <c r="AC370" s="461"/>
    </row>
    <row r="371" spans="1:29">
      <c r="A371" s="461"/>
      <c r="B371" s="461"/>
      <c r="C371" s="461"/>
      <c r="D371" s="462"/>
      <c r="E371" s="461"/>
      <c r="F371" s="461"/>
      <c r="G371" s="461"/>
      <c r="H371" s="461"/>
      <c r="I371" s="461"/>
      <c r="J371" s="461"/>
      <c r="K371" s="461"/>
      <c r="L371" s="461"/>
      <c r="M371" s="461"/>
      <c r="N371" s="461"/>
      <c r="O371" s="461"/>
      <c r="P371" s="461"/>
      <c r="Q371" s="461"/>
      <c r="R371" s="463"/>
      <c r="S371" s="461"/>
      <c r="T371" s="463"/>
      <c r="U371" s="461"/>
      <c r="V371" s="463"/>
      <c r="W371" s="461"/>
      <c r="AC371" s="461"/>
    </row>
    <row r="372" spans="1:29">
      <c r="A372" s="461"/>
      <c r="B372" s="461"/>
      <c r="C372" s="461"/>
      <c r="D372" s="462"/>
      <c r="E372" s="461"/>
      <c r="F372" s="461"/>
      <c r="G372" s="461"/>
      <c r="H372" s="461"/>
      <c r="I372" s="461"/>
      <c r="J372" s="461"/>
      <c r="K372" s="461"/>
      <c r="L372" s="461"/>
      <c r="M372" s="461"/>
      <c r="N372" s="461"/>
      <c r="O372" s="461"/>
      <c r="P372" s="461"/>
      <c r="Q372" s="461"/>
      <c r="R372" s="463"/>
      <c r="S372" s="461"/>
      <c r="T372" s="463"/>
      <c r="U372" s="461"/>
      <c r="V372" s="463"/>
      <c r="W372" s="461"/>
      <c r="AC372" s="461"/>
    </row>
    <row r="373" spans="1:29">
      <c r="A373" s="461"/>
      <c r="B373" s="461"/>
      <c r="C373" s="461"/>
      <c r="D373" s="462"/>
      <c r="E373" s="461"/>
      <c r="F373" s="461"/>
      <c r="G373" s="461"/>
      <c r="H373" s="461"/>
      <c r="I373" s="461"/>
      <c r="J373" s="461"/>
      <c r="K373" s="461"/>
      <c r="L373" s="461"/>
      <c r="M373" s="461"/>
      <c r="N373" s="461"/>
      <c r="O373" s="461"/>
      <c r="P373" s="461"/>
      <c r="Q373" s="461"/>
      <c r="R373" s="463"/>
      <c r="S373" s="461"/>
      <c r="T373" s="463"/>
      <c r="U373" s="461"/>
      <c r="V373" s="463"/>
      <c r="W373" s="461"/>
      <c r="AC373" s="461"/>
    </row>
    <row r="374" spans="1:29">
      <c r="A374" s="461"/>
      <c r="B374" s="461"/>
      <c r="C374" s="461"/>
      <c r="D374" s="462"/>
      <c r="E374" s="461"/>
      <c r="F374" s="461"/>
      <c r="G374" s="461"/>
      <c r="H374" s="461"/>
      <c r="I374" s="461"/>
      <c r="J374" s="461"/>
      <c r="K374" s="461"/>
      <c r="L374" s="461"/>
      <c r="M374" s="461"/>
      <c r="N374" s="461"/>
      <c r="O374" s="461"/>
      <c r="P374" s="461"/>
      <c r="Q374" s="461"/>
      <c r="R374" s="463"/>
      <c r="S374" s="461"/>
      <c r="T374" s="463"/>
      <c r="U374" s="461"/>
      <c r="V374" s="463"/>
      <c r="W374" s="461"/>
      <c r="AC374" s="461"/>
    </row>
    <row r="375" spans="1:29">
      <c r="A375" s="461"/>
      <c r="B375" s="461"/>
      <c r="C375" s="461"/>
      <c r="D375" s="462"/>
      <c r="E375" s="461"/>
      <c r="F375" s="461"/>
      <c r="G375" s="461"/>
      <c r="H375" s="461"/>
      <c r="I375" s="461"/>
      <c r="J375" s="461"/>
      <c r="K375" s="461"/>
      <c r="L375" s="461"/>
      <c r="M375" s="461"/>
      <c r="N375" s="461"/>
      <c r="O375" s="461"/>
      <c r="P375" s="461"/>
      <c r="Q375" s="461"/>
      <c r="R375" s="463"/>
      <c r="S375" s="461"/>
      <c r="T375" s="463"/>
      <c r="U375" s="461"/>
      <c r="V375" s="463"/>
      <c r="W375" s="461"/>
      <c r="AC375" s="461"/>
    </row>
    <row r="376" spans="1:29">
      <c r="A376" s="461"/>
      <c r="B376" s="461"/>
      <c r="C376" s="461"/>
      <c r="D376" s="462"/>
      <c r="E376" s="461"/>
      <c r="F376" s="461"/>
      <c r="G376" s="461"/>
      <c r="H376" s="461"/>
      <c r="I376" s="461"/>
      <c r="J376" s="461"/>
      <c r="K376" s="461"/>
      <c r="L376" s="461"/>
      <c r="M376" s="461"/>
      <c r="N376" s="461"/>
      <c r="O376" s="461"/>
      <c r="P376" s="461"/>
      <c r="Q376" s="461"/>
      <c r="R376" s="463"/>
      <c r="S376" s="461"/>
      <c r="T376" s="463"/>
      <c r="U376" s="461"/>
      <c r="V376" s="463"/>
      <c r="W376" s="461"/>
      <c r="AC376" s="461"/>
    </row>
    <row r="377" spans="1:29">
      <c r="A377" s="461"/>
      <c r="B377" s="461"/>
      <c r="C377" s="461"/>
      <c r="D377" s="462"/>
      <c r="E377" s="461"/>
      <c r="F377" s="461"/>
      <c r="G377" s="461"/>
      <c r="H377" s="461"/>
      <c r="I377" s="461"/>
      <c r="J377" s="461"/>
      <c r="K377" s="461"/>
      <c r="L377" s="461"/>
      <c r="M377" s="461"/>
      <c r="N377" s="461"/>
      <c r="O377" s="461"/>
      <c r="P377" s="461"/>
      <c r="Q377" s="461"/>
      <c r="R377" s="463"/>
      <c r="S377" s="461"/>
      <c r="T377" s="463"/>
      <c r="U377" s="461"/>
      <c r="V377" s="463"/>
      <c r="W377" s="461"/>
      <c r="AC377" s="461"/>
    </row>
    <row r="378" spans="1:29">
      <c r="A378" s="461"/>
      <c r="B378" s="461"/>
      <c r="C378" s="461"/>
      <c r="D378" s="462"/>
      <c r="E378" s="461"/>
      <c r="F378" s="461"/>
      <c r="G378" s="461"/>
      <c r="H378" s="461"/>
      <c r="I378" s="461"/>
      <c r="J378" s="461"/>
      <c r="K378" s="461"/>
      <c r="L378" s="461"/>
      <c r="M378" s="461"/>
      <c r="N378" s="461"/>
      <c r="O378" s="461"/>
      <c r="P378" s="461"/>
      <c r="Q378" s="461"/>
      <c r="R378" s="463"/>
      <c r="S378" s="461"/>
      <c r="T378" s="463"/>
      <c r="U378" s="461"/>
      <c r="V378" s="463"/>
      <c r="W378" s="461"/>
      <c r="AC378" s="461"/>
    </row>
    <row r="379" spans="1:29">
      <c r="A379" s="461"/>
      <c r="B379" s="461"/>
      <c r="C379" s="461"/>
      <c r="D379" s="462"/>
      <c r="E379" s="461"/>
      <c r="F379" s="461"/>
      <c r="G379" s="461"/>
      <c r="H379" s="461"/>
      <c r="I379" s="461"/>
      <c r="J379" s="461"/>
      <c r="K379" s="461"/>
      <c r="L379" s="461"/>
      <c r="M379" s="461"/>
      <c r="N379" s="461"/>
      <c r="O379" s="461"/>
      <c r="P379" s="461"/>
      <c r="Q379" s="461"/>
      <c r="R379" s="463"/>
      <c r="S379" s="461"/>
      <c r="T379" s="463"/>
      <c r="U379" s="461"/>
      <c r="V379" s="463"/>
      <c r="W379" s="461"/>
      <c r="AC379" s="461"/>
    </row>
    <row r="380" spans="1:29">
      <c r="A380" s="461"/>
      <c r="B380" s="461"/>
      <c r="C380" s="461"/>
      <c r="D380" s="462"/>
      <c r="E380" s="461"/>
      <c r="F380" s="461"/>
      <c r="G380" s="461"/>
      <c r="H380" s="461"/>
      <c r="I380" s="461"/>
      <c r="J380" s="461"/>
      <c r="K380" s="461"/>
      <c r="L380" s="461"/>
      <c r="M380" s="461"/>
      <c r="N380" s="461"/>
      <c r="O380" s="461"/>
      <c r="P380" s="461"/>
      <c r="Q380" s="461"/>
      <c r="R380" s="463"/>
      <c r="S380" s="461"/>
      <c r="T380" s="463"/>
      <c r="U380" s="461"/>
      <c r="V380" s="463"/>
      <c r="W380" s="461"/>
      <c r="AC380" s="461"/>
    </row>
    <row r="381" spans="1:29">
      <c r="A381" s="461"/>
      <c r="B381" s="461"/>
      <c r="C381" s="461"/>
      <c r="D381" s="462"/>
      <c r="E381" s="461"/>
      <c r="F381" s="461"/>
      <c r="G381" s="461"/>
      <c r="H381" s="461"/>
      <c r="I381" s="461"/>
      <c r="J381" s="461"/>
      <c r="K381" s="461"/>
      <c r="L381" s="461"/>
      <c r="M381" s="461"/>
      <c r="N381" s="461"/>
      <c r="O381" s="461"/>
      <c r="P381" s="461"/>
      <c r="Q381" s="461"/>
      <c r="R381" s="463"/>
      <c r="S381" s="461"/>
      <c r="T381" s="463"/>
      <c r="U381" s="461"/>
      <c r="V381" s="463"/>
      <c r="W381" s="461"/>
      <c r="AC381" s="461"/>
    </row>
    <row r="382" spans="1:29">
      <c r="A382" s="461"/>
      <c r="B382" s="461"/>
      <c r="C382" s="461"/>
      <c r="D382" s="462"/>
      <c r="E382" s="461"/>
      <c r="F382" s="461"/>
      <c r="G382" s="461"/>
      <c r="H382" s="461"/>
      <c r="I382" s="461"/>
      <c r="J382" s="461"/>
      <c r="K382" s="461"/>
      <c r="L382" s="461"/>
      <c r="M382" s="461"/>
      <c r="N382" s="461"/>
      <c r="O382" s="461"/>
      <c r="P382" s="461"/>
      <c r="Q382" s="461"/>
      <c r="R382" s="463"/>
      <c r="S382" s="461"/>
      <c r="T382" s="463"/>
      <c r="U382" s="461"/>
      <c r="V382" s="463"/>
      <c r="W382" s="461"/>
      <c r="AC382" s="461"/>
    </row>
    <row r="383" spans="1:29">
      <c r="A383" s="461"/>
      <c r="B383" s="461"/>
      <c r="C383" s="461"/>
      <c r="D383" s="462"/>
      <c r="E383" s="461"/>
      <c r="F383" s="461"/>
      <c r="G383" s="461"/>
      <c r="H383" s="461"/>
      <c r="I383" s="461"/>
      <c r="J383" s="461"/>
      <c r="K383" s="461"/>
      <c r="L383" s="461"/>
      <c r="M383" s="461"/>
      <c r="N383" s="461"/>
      <c r="O383" s="461"/>
      <c r="P383" s="461"/>
      <c r="Q383" s="461"/>
      <c r="R383" s="463"/>
      <c r="S383" s="461"/>
      <c r="T383" s="463"/>
      <c r="U383" s="461"/>
      <c r="V383" s="463"/>
      <c r="W383" s="461"/>
      <c r="AC383" s="461"/>
    </row>
    <row r="384" spans="1:29">
      <c r="A384" s="461"/>
      <c r="B384" s="461"/>
      <c r="C384" s="461"/>
      <c r="D384" s="462"/>
      <c r="E384" s="461"/>
      <c r="F384" s="461"/>
      <c r="G384" s="461"/>
      <c r="H384" s="461"/>
      <c r="I384" s="461"/>
      <c r="J384" s="461"/>
      <c r="K384" s="461"/>
      <c r="L384" s="461"/>
      <c r="M384" s="461"/>
      <c r="N384" s="461"/>
      <c r="O384" s="461"/>
      <c r="P384" s="461"/>
      <c r="Q384" s="461"/>
      <c r="R384" s="463"/>
      <c r="S384" s="461"/>
      <c r="T384" s="463"/>
      <c r="U384" s="461"/>
      <c r="V384" s="463"/>
      <c r="W384" s="461"/>
      <c r="AC384" s="461"/>
    </row>
    <row r="385" spans="1:29">
      <c r="A385" s="461"/>
      <c r="B385" s="461"/>
      <c r="C385" s="461"/>
      <c r="D385" s="462"/>
      <c r="E385" s="461"/>
      <c r="F385" s="461"/>
      <c r="G385" s="461"/>
      <c r="H385" s="461"/>
      <c r="I385" s="461"/>
      <c r="J385" s="461"/>
      <c r="K385" s="461"/>
      <c r="L385" s="461"/>
      <c r="M385" s="461"/>
      <c r="N385" s="461"/>
      <c r="O385" s="461"/>
      <c r="P385" s="461"/>
      <c r="Q385" s="461"/>
      <c r="R385" s="463"/>
      <c r="S385" s="461"/>
      <c r="T385" s="463"/>
      <c r="U385" s="461"/>
      <c r="V385" s="463"/>
      <c r="W385" s="461"/>
      <c r="AC385" s="461"/>
    </row>
    <row r="386" spans="1:29">
      <c r="A386" s="461"/>
      <c r="B386" s="461"/>
      <c r="C386" s="461"/>
      <c r="D386" s="462"/>
      <c r="E386" s="461"/>
      <c r="F386" s="461"/>
      <c r="G386" s="461"/>
      <c r="H386" s="461"/>
      <c r="I386" s="461"/>
      <c r="J386" s="461"/>
      <c r="K386" s="461"/>
      <c r="L386" s="461"/>
      <c r="M386" s="461"/>
      <c r="N386" s="461"/>
      <c r="O386" s="461"/>
      <c r="P386" s="461"/>
      <c r="Q386" s="461"/>
      <c r="R386" s="463"/>
      <c r="S386" s="461"/>
      <c r="T386" s="463"/>
      <c r="U386" s="461"/>
      <c r="V386" s="463"/>
      <c r="W386" s="461"/>
      <c r="AC386" s="461"/>
    </row>
    <row r="387" spans="1:29">
      <c r="A387" s="461"/>
      <c r="B387" s="461"/>
      <c r="C387" s="461"/>
      <c r="D387" s="462"/>
      <c r="E387" s="461"/>
      <c r="F387" s="461"/>
      <c r="G387" s="461"/>
      <c r="H387" s="461"/>
      <c r="I387" s="461"/>
      <c r="J387" s="461"/>
      <c r="K387" s="461"/>
      <c r="L387" s="461"/>
      <c r="M387" s="461"/>
      <c r="N387" s="461"/>
      <c r="O387" s="461"/>
      <c r="P387" s="461"/>
      <c r="Q387" s="461"/>
      <c r="R387" s="463"/>
      <c r="S387" s="461"/>
      <c r="T387" s="463"/>
      <c r="U387" s="461"/>
      <c r="V387" s="463"/>
      <c r="W387" s="461"/>
      <c r="AC387" s="461"/>
    </row>
    <row r="388" spans="1:29">
      <c r="A388" s="461"/>
      <c r="B388" s="461"/>
      <c r="C388" s="461"/>
      <c r="D388" s="462"/>
      <c r="E388" s="461"/>
      <c r="F388" s="461"/>
      <c r="G388" s="461"/>
      <c r="H388" s="461"/>
      <c r="I388" s="461"/>
      <c r="J388" s="461"/>
      <c r="K388" s="461"/>
      <c r="L388" s="461"/>
      <c r="M388" s="461"/>
      <c r="N388" s="461"/>
      <c r="O388" s="461"/>
      <c r="P388" s="461"/>
      <c r="Q388" s="461"/>
      <c r="R388" s="463"/>
      <c r="S388" s="461"/>
      <c r="T388" s="463"/>
      <c r="U388" s="461"/>
      <c r="V388" s="463"/>
      <c r="W388" s="461"/>
      <c r="AC388" s="461"/>
    </row>
    <row r="389" spans="1:29">
      <c r="A389" s="461"/>
      <c r="B389" s="461"/>
      <c r="C389" s="461"/>
      <c r="D389" s="462"/>
      <c r="E389" s="461"/>
      <c r="F389" s="461"/>
      <c r="G389" s="461"/>
      <c r="H389" s="461"/>
      <c r="I389" s="461"/>
      <c r="J389" s="461"/>
      <c r="K389" s="461"/>
      <c r="L389" s="461"/>
      <c r="M389" s="461"/>
      <c r="N389" s="461"/>
      <c r="O389" s="461"/>
      <c r="P389" s="461"/>
      <c r="Q389" s="461"/>
      <c r="R389" s="463"/>
      <c r="S389" s="461"/>
      <c r="T389" s="463"/>
      <c r="U389" s="461"/>
      <c r="V389" s="463"/>
      <c r="W389" s="461"/>
      <c r="AC389" s="461"/>
    </row>
    <row r="390" spans="1:29">
      <c r="A390" s="461"/>
      <c r="B390" s="461"/>
      <c r="C390" s="461"/>
      <c r="D390" s="462"/>
      <c r="E390" s="461"/>
      <c r="F390" s="461"/>
      <c r="G390" s="461"/>
      <c r="H390" s="461"/>
      <c r="I390" s="461"/>
      <c r="J390" s="461"/>
      <c r="K390" s="461"/>
      <c r="L390" s="461"/>
      <c r="M390" s="461"/>
      <c r="N390" s="461"/>
      <c r="O390" s="461"/>
      <c r="P390" s="461"/>
      <c r="Q390" s="461"/>
      <c r="R390" s="463"/>
      <c r="S390" s="461"/>
      <c r="T390" s="463"/>
      <c r="U390" s="461"/>
      <c r="V390" s="463"/>
      <c r="W390" s="461"/>
      <c r="AC390" s="461"/>
    </row>
    <row r="391" spans="1:29">
      <c r="A391" s="461"/>
      <c r="B391" s="461"/>
      <c r="C391" s="461"/>
      <c r="D391" s="462"/>
      <c r="E391" s="461"/>
      <c r="F391" s="461"/>
      <c r="G391" s="461"/>
      <c r="H391" s="461"/>
      <c r="I391" s="461"/>
      <c r="J391" s="461"/>
      <c r="K391" s="461"/>
      <c r="L391" s="461"/>
      <c r="M391" s="461"/>
      <c r="N391" s="461"/>
      <c r="O391" s="461"/>
      <c r="P391" s="461"/>
      <c r="Q391" s="461"/>
      <c r="R391" s="463"/>
      <c r="S391" s="461"/>
      <c r="T391" s="463"/>
      <c r="U391" s="461"/>
      <c r="V391" s="463"/>
      <c r="W391" s="461"/>
      <c r="AC391" s="461"/>
    </row>
    <row r="392" spans="1:29">
      <c r="A392" s="461"/>
      <c r="B392" s="461"/>
      <c r="C392" s="461"/>
      <c r="D392" s="462"/>
      <c r="E392" s="461"/>
      <c r="F392" s="461"/>
      <c r="G392" s="461"/>
      <c r="H392" s="461"/>
      <c r="I392" s="461"/>
      <c r="J392" s="461"/>
      <c r="K392" s="461"/>
      <c r="L392" s="461"/>
      <c r="M392" s="461"/>
      <c r="N392" s="461"/>
      <c r="O392" s="461"/>
      <c r="P392" s="461"/>
      <c r="Q392" s="461"/>
      <c r="R392" s="463"/>
      <c r="S392" s="461"/>
      <c r="T392" s="463"/>
      <c r="U392" s="461"/>
      <c r="V392" s="463"/>
      <c r="W392" s="461"/>
      <c r="AC392" s="461"/>
    </row>
    <row r="393" spans="1:29">
      <c r="A393" s="461"/>
      <c r="B393" s="461"/>
      <c r="C393" s="461"/>
      <c r="D393" s="462"/>
      <c r="E393" s="461"/>
      <c r="F393" s="461"/>
      <c r="G393" s="461"/>
      <c r="H393" s="461"/>
      <c r="I393" s="461"/>
      <c r="J393" s="461"/>
      <c r="K393" s="461"/>
      <c r="L393" s="461"/>
      <c r="M393" s="461"/>
      <c r="N393" s="461"/>
      <c r="O393" s="461"/>
      <c r="P393" s="461"/>
      <c r="Q393" s="461"/>
      <c r="R393" s="463"/>
      <c r="S393" s="461"/>
      <c r="T393" s="463"/>
      <c r="U393" s="461"/>
      <c r="V393" s="463"/>
      <c r="W393" s="461"/>
      <c r="AC393" s="461"/>
    </row>
    <row r="394" spans="1:29">
      <c r="A394" s="461"/>
      <c r="B394" s="461"/>
      <c r="C394" s="461"/>
      <c r="D394" s="462"/>
      <c r="E394" s="461"/>
      <c r="F394" s="461"/>
      <c r="G394" s="461"/>
      <c r="H394" s="461"/>
      <c r="I394" s="461"/>
      <c r="J394" s="461"/>
      <c r="K394" s="461"/>
      <c r="L394" s="461"/>
      <c r="M394" s="461"/>
      <c r="N394" s="461"/>
      <c r="O394" s="461"/>
      <c r="P394" s="461"/>
      <c r="Q394" s="461"/>
      <c r="R394" s="463"/>
      <c r="S394" s="461"/>
      <c r="T394" s="463"/>
      <c r="U394" s="461"/>
      <c r="V394" s="463"/>
      <c r="W394" s="461"/>
      <c r="AC394" s="461"/>
    </row>
    <row r="395" spans="1:29">
      <c r="A395" s="461"/>
      <c r="B395" s="461"/>
      <c r="C395" s="461"/>
      <c r="D395" s="462"/>
      <c r="E395" s="461"/>
      <c r="F395" s="461"/>
      <c r="G395" s="461"/>
      <c r="H395" s="461"/>
      <c r="I395" s="461"/>
      <c r="J395" s="461"/>
      <c r="K395" s="461"/>
      <c r="L395" s="461"/>
      <c r="M395" s="461"/>
      <c r="N395" s="461"/>
      <c r="O395" s="461"/>
      <c r="P395" s="461"/>
      <c r="Q395" s="461"/>
      <c r="R395" s="463"/>
      <c r="S395" s="461"/>
      <c r="T395" s="463"/>
      <c r="U395" s="461"/>
      <c r="V395" s="463"/>
      <c r="W395" s="461"/>
      <c r="AC395" s="461"/>
    </row>
    <row r="396" spans="1:29">
      <c r="A396" s="461"/>
      <c r="B396" s="461"/>
      <c r="C396" s="461"/>
      <c r="D396" s="462"/>
      <c r="E396" s="461"/>
      <c r="F396" s="461"/>
      <c r="G396" s="461"/>
      <c r="H396" s="461"/>
      <c r="I396" s="461"/>
      <c r="J396" s="461"/>
      <c r="K396" s="461"/>
      <c r="L396" s="461"/>
      <c r="M396" s="461"/>
      <c r="N396" s="461"/>
      <c r="O396" s="461"/>
      <c r="P396" s="461"/>
      <c r="Q396" s="461"/>
      <c r="R396" s="463"/>
      <c r="S396" s="461"/>
      <c r="T396" s="463"/>
      <c r="U396" s="461"/>
      <c r="V396" s="463"/>
      <c r="W396" s="461"/>
      <c r="AC396" s="461"/>
    </row>
    <row r="397" spans="1:29">
      <c r="A397" s="461"/>
      <c r="B397" s="461"/>
      <c r="C397" s="461"/>
      <c r="D397" s="462"/>
      <c r="E397" s="461"/>
      <c r="F397" s="461"/>
      <c r="G397" s="461"/>
      <c r="H397" s="461"/>
      <c r="I397" s="461"/>
      <c r="J397" s="461"/>
      <c r="K397" s="461"/>
      <c r="L397" s="461"/>
      <c r="M397" s="461"/>
      <c r="N397" s="461"/>
      <c r="O397" s="461"/>
      <c r="P397" s="461"/>
      <c r="Q397" s="461"/>
      <c r="R397" s="463"/>
      <c r="S397" s="461"/>
      <c r="T397" s="463"/>
      <c r="U397" s="461"/>
      <c r="V397" s="463"/>
      <c r="W397" s="461"/>
      <c r="AC397" s="461"/>
    </row>
    <row r="398" spans="1:29">
      <c r="A398" s="461"/>
      <c r="B398" s="461"/>
      <c r="C398" s="461"/>
      <c r="D398" s="462"/>
      <c r="E398" s="461"/>
      <c r="F398" s="461"/>
      <c r="G398" s="461"/>
      <c r="H398" s="461"/>
      <c r="I398" s="461"/>
      <c r="J398" s="461"/>
      <c r="K398" s="461"/>
      <c r="L398" s="461"/>
      <c r="M398" s="461"/>
      <c r="N398" s="461"/>
      <c r="O398" s="461"/>
      <c r="P398" s="461"/>
      <c r="Q398" s="461"/>
      <c r="R398" s="463"/>
      <c r="S398" s="461"/>
      <c r="T398" s="463"/>
      <c r="U398" s="461"/>
      <c r="V398" s="463"/>
      <c r="W398" s="461"/>
      <c r="AC398" s="461"/>
    </row>
    <row r="399" spans="1:29">
      <c r="A399" s="461"/>
      <c r="B399" s="461"/>
      <c r="C399" s="461"/>
      <c r="D399" s="462"/>
      <c r="E399" s="461"/>
      <c r="F399" s="461"/>
      <c r="G399" s="461"/>
      <c r="H399" s="461"/>
      <c r="I399" s="461"/>
      <c r="J399" s="461"/>
      <c r="K399" s="461"/>
      <c r="L399" s="461"/>
      <c r="M399" s="461"/>
      <c r="N399" s="461"/>
      <c r="O399" s="461"/>
      <c r="P399" s="461"/>
      <c r="Q399" s="461"/>
      <c r="R399" s="463"/>
      <c r="S399" s="461"/>
      <c r="T399" s="463"/>
      <c r="U399" s="461"/>
      <c r="V399" s="463"/>
      <c r="W399" s="461"/>
      <c r="AC399" s="461"/>
    </row>
    <row r="400" spans="1:29">
      <c r="A400" s="461"/>
      <c r="B400" s="461"/>
      <c r="C400" s="461"/>
      <c r="D400" s="462"/>
      <c r="E400" s="461"/>
      <c r="F400" s="461"/>
      <c r="G400" s="461"/>
      <c r="H400" s="461"/>
      <c r="I400" s="461"/>
      <c r="J400" s="461"/>
      <c r="K400" s="461"/>
      <c r="L400" s="461"/>
      <c r="M400" s="461"/>
      <c r="N400" s="461"/>
      <c r="O400" s="461"/>
      <c r="P400" s="461"/>
      <c r="Q400" s="461"/>
      <c r="R400" s="463"/>
      <c r="S400" s="461"/>
      <c r="T400" s="463"/>
      <c r="U400" s="461"/>
      <c r="V400" s="463"/>
      <c r="W400" s="461"/>
      <c r="AC400" s="461"/>
    </row>
    <row r="401" spans="1:29">
      <c r="A401" s="461"/>
      <c r="B401" s="461"/>
      <c r="C401" s="461"/>
      <c r="D401" s="462"/>
      <c r="E401" s="461"/>
      <c r="F401" s="461"/>
      <c r="G401" s="461"/>
      <c r="H401" s="461"/>
      <c r="I401" s="461"/>
      <c r="J401" s="461"/>
      <c r="K401" s="461"/>
      <c r="L401" s="461"/>
      <c r="M401" s="461"/>
      <c r="N401" s="461"/>
      <c r="O401" s="461"/>
      <c r="P401" s="461"/>
      <c r="Q401" s="461"/>
      <c r="R401" s="463"/>
      <c r="S401" s="461"/>
      <c r="T401" s="463"/>
      <c r="U401" s="461"/>
      <c r="V401" s="463"/>
      <c r="W401" s="461"/>
      <c r="AC401" s="461"/>
    </row>
    <row r="402" spans="1:29">
      <c r="A402" s="461"/>
      <c r="B402" s="461"/>
      <c r="C402" s="461"/>
      <c r="D402" s="462"/>
      <c r="E402" s="461"/>
      <c r="F402" s="461"/>
      <c r="G402" s="461"/>
      <c r="H402" s="461"/>
      <c r="I402" s="461"/>
      <c r="J402" s="461"/>
      <c r="K402" s="461"/>
      <c r="L402" s="461"/>
      <c r="M402" s="461"/>
      <c r="N402" s="461"/>
      <c r="O402" s="461"/>
      <c r="P402" s="461"/>
      <c r="Q402" s="461"/>
      <c r="R402" s="463"/>
      <c r="S402" s="461"/>
      <c r="T402" s="463"/>
      <c r="U402" s="461"/>
      <c r="V402" s="463"/>
      <c r="W402" s="461"/>
      <c r="AC402" s="461"/>
    </row>
    <row r="403" spans="1:29">
      <c r="A403" s="461"/>
      <c r="B403" s="461"/>
      <c r="C403" s="461"/>
      <c r="D403" s="462"/>
      <c r="E403" s="461"/>
      <c r="F403" s="461"/>
      <c r="G403" s="461"/>
      <c r="H403" s="461"/>
      <c r="I403" s="461"/>
      <c r="J403" s="461"/>
      <c r="K403" s="461"/>
      <c r="L403" s="461"/>
      <c r="M403" s="461"/>
      <c r="N403" s="461"/>
      <c r="O403" s="461"/>
      <c r="P403" s="461"/>
      <c r="Q403" s="461"/>
      <c r="R403" s="463"/>
      <c r="S403" s="461"/>
      <c r="T403" s="463"/>
      <c r="U403" s="461"/>
      <c r="V403" s="463"/>
      <c r="W403" s="461"/>
      <c r="AC403" s="461"/>
    </row>
    <row r="404" spans="1:29">
      <c r="A404" s="461"/>
      <c r="B404" s="461"/>
      <c r="C404" s="461"/>
      <c r="D404" s="462"/>
      <c r="E404" s="461"/>
      <c r="F404" s="461"/>
      <c r="G404" s="461"/>
      <c r="H404" s="461"/>
      <c r="I404" s="461"/>
      <c r="J404" s="461"/>
      <c r="K404" s="461"/>
      <c r="L404" s="461"/>
      <c r="M404" s="461"/>
      <c r="N404" s="461"/>
      <c r="O404" s="461"/>
      <c r="P404" s="461"/>
      <c r="Q404" s="461"/>
      <c r="R404" s="463"/>
      <c r="S404" s="461"/>
      <c r="T404" s="463"/>
      <c r="U404" s="461"/>
      <c r="V404" s="463"/>
      <c r="W404" s="461"/>
      <c r="AC404" s="461"/>
    </row>
    <row r="405" spans="1:29">
      <c r="A405" s="461"/>
      <c r="B405" s="461"/>
      <c r="C405" s="461"/>
      <c r="D405" s="462"/>
      <c r="E405" s="461"/>
      <c r="F405" s="461"/>
      <c r="G405" s="461"/>
      <c r="H405" s="461"/>
      <c r="I405" s="461"/>
      <c r="J405" s="461"/>
      <c r="K405" s="461"/>
      <c r="L405" s="461"/>
      <c r="M405" s="461"/>
      <c r="N405" s="461"/>
      <c r="O405" s="461"/>
      <c r="P405" s="461"/>
      <c r="Q405" s="461"/>
      <c r="R405" s="463"/>
      <c r="S405" s="461"/>
      <c r="T405" s="463"/>
      <c r="U405" s="461"/>
      <c r="V405" s="463"/>
      <c r="W405" s="461"/>
      <c r="AC405" s="461"/>
    </row>
    <row r="406" spans="1:29">
      <c r="A406" s="461"/>
      <c r="B406" s="461"/>
      <c r="C406" s="461"/>
      <c r="D406" s="462"/>
      <c r="E406" s="461"/>
      <c r="F406" s="461"/>
      <c r="G406" s="461"/>
      <c r="H406" s="461"/>
      <c r="I406" s="461"/>
      <c r="J406" s="461"/>
      <c r="K406" s="461"/>
      <c r="L406" s="461"/>
      <c r="M406" s="461"/>
      <c r="N406" s="461"/>
      <c r="O406" s="461"/>
      <c r="P406" s="461"/>
      <c r="Q406" s="461"/>
      <c r="R406" s="463"/>
      <c r="S406" s="461"/>
      <c r="T406" s="463"/>
      <c r="U406" s="461"/>
      <c r="V406" s="463"/>
      <c r="W406" s="461"/>
      <c r="AC406" s="461"/>
    </row>
    <row r="407" spans="1:29">
      <c r="A407" s="461"/>
      <c r="B407" s="461"/>
      <c r="C407" s="461"/>
      <c r="D407" s="462"/>
      <c r="E407" s="461"/>
      <c r="F407" s="461"/>
      <c r="G407" s="461"/>
      <c r="H407" s="461"/>
      <c r="I407" s="461"/>
      <c r="J407" s="461"/>
      <c r="K407" s="461"/>
      <c r="L407" s="461"/>
      <c r="M407" s="461"/>
      <c r="N407" s="461"/>
      <c r="O407" s="461"/>
      <c r="P407" s="461"/>
      <c r="Q407" s="461"/>
      <c r="R407" s="463"/>
      <c r="S407" s="461"/>
      <c r="T407" s="463"/>
      <c r="U407" s="461"/>
      <c r="V407" s="463"/>
      <c r="W407" s="461"/>
      <c r="AC407" s="461"/>
    </row>
    <row r="408" spans="1:29">
      <c r="A408" s="461"/>
      <c r="B408" s="461"/>
      <c r="C408" s="461"/>
      <c r="D408" s="462"/>
      <c r="E408" s="461"/>
      <c r="F408" s="461"/>
      <c r="G408" s="461"/>
      <c r="H408" s="461"/>
      <c r="I408" s="461"/>
      <c r="J408" s="461"/>
      <c r="K408" s="461"/>
      <c r="L408" s="461"/>
      <c r="M408" s="461"/>
      <c r="N408" s="461"/>
      <c r="O408" s="461"/>
      <c r="P408" s="461"/>
      <c r="Q408" s="461"/>
      <c r="R408" s="463"/>
      <c r="S408" s="461"/>
      <c r="T408" s="463"/>
      <c r="U408" s="461"/>
      <c r="V408" s="463"/>
      <c r="W408" s="461"/>
      <c r="AC408" s="461"/>
    </row>
    <row r="409" spans="1:29">
      <c r="A409" s="461"/>
      <c r="B409" s="461"/>
      <c r="C409" s="461"/>
      <c r="D409" s="462"/>
      <c r="E409" s="461"/>
      <c r="F409" s="461"/>
      <c r="G409" s="461"/>
      <c r="H409" s="461"/>
      <c r="I409" s="461"/>
      <c r="J409" s="461"/>
      <c r="K409" s="461"/>
      <c r="L409" s="461"/>
      <c r="M409" s="461"/>
      <c r="N409" s="461"/>
      <c r="O409" s="461"/>
      <c r="P409" s="461"/>
      <c r="Q409" s="461"/>
      <c r="R409" s="463"/>
      <c r="S409" s="461"/>
      <c r="T409" s="463"/>
      <c r="U409" s="461"/>
      <c r="V409" s="463"/>
      <c r="W409" s="461"/>
      <c r="AC409" s="461"/>
    </row>
    <row r="410" spans="1:29">
      <c r="A410" s="461"/>
      <c r="B410" s="461"/>
      <c r="C410" s="461"/>
      <c r="D410" s="462"/>
      <c r="E410" s="461"/>
      <c r="F410" s="461"/>
      <c r="G410" s="461"/>
      <c r="H410" s="461"/>
      <c r="I410" s="461"/>
      <c r="J410" s="461"/>
      <c r="K410" s="461"/>
      <c r="L410" s="461"/>
      <c r="M410" s="461"/>
      <c r="N410" s="461"/>
      <c r="O410" s="461"/>
      <c r="P410" s="461"/>
      <c r="Q410" s="461"/>
      <c r="R410" s="463"/>
      <c r="S410" s="461"/>
      <c r="T410" s="463"/>
      <c r="U410" s="461"/>
      <c r="V410" s="463"/>
      <c r="W410" s="461"/>
      <c r="AC410" s="461"/>
    </row>
    <row r="411" spans="1:29">
      <c r="A411" s="461"/>
      <c r="B411" s="461"/>
      <c r="C411" s="461"/>
      <c r="D411" s="462"/>
      <c r="E411" s="461"/>
      <c r="F411" s="461"/>
      <c r="G411" s="461"/>
      <c r="H411" s="461"/>
      <c r="I411" s="461"/>
      <c r="J411" s="461"/>
      <c r="K411" s="461"/>
      <c r="L411" s="461"/>
      <c r="M411" s="461"/>
      <c r="N411" s="461"/>
      <c r="O411" s="461"/>
      <c r="P411" s="461"/>
      <c r="Q411" s="461"/>
      <c r="R411" s="463"/>
      <c r="S411" s="461"/>
      <c r="T411" s="463"/>
      <c r="U411" s="461"/>
      <c r="V411" s="463"/>
      <c r="W411" s="461"/>
      <c r="AC411" s="461"/>
    </row>
    <row r="412" spans="1:29">
      <c r="A412" s="461"/>
      <c r="B412" s="461"/>
      <c r="C412" s="461"/>
      <c r="D412" s="462"/>
      <c r="E412" s="461"/>
      <c r="F412" s="461"/>
      <c r="G412" s="461"/>
      <c r="H412" s="461"/>
      <c r="I412" s="461"/>
      <c r="J412" s="461"/>
      <c r="K412" s="461"/>
      <c r="L412" s="461"/>
      <c r="M412" s="461"/>
      <c r="N412" s="461"/>
      <c r="O412" s="461"/>
      <c r="P412" s="461"/>
      <c r="Q412" s="461"/>
      <c r="R412" s="463"/>
      <c r="S412" s="461"/>
      <c r="T412" s="463"/>
      <c r="U412" s="461"/>
      <c r="V412" s="463"/>
      <c r="W412" s="461"/>
      <c r="AC412" s="461"/>
    </row>
    <row r="413" spans="1:29">
      <c r="A413" s="461"/>
      <c r="B413" s="461"/>
      <c r="C413" s="461"/>
      <c r="D413" s="462"/>
      <c r="E413" s="461"/>
      <c r="F413" s="461"/>
      <c r="G413" s="461"/>
      <c r="H413" s="461"/>
      <c r="I413" s="461"/>
      <c r="J413" s="461"/>
      <c r="K413" s="461"/>
      <c r="L413" s="461"/>
      <c r="M413" s="461"/>
      <c r="N413" s="461"/>
      <c r="O413" s="461"/>
      <c r="P413" s="461"/>
      <c r="Q413" s="461"/>
      <c r="R413" s="463"/>
      <c r="S413" s="461"/>
      <c r="T413" s="463"/>
      <c r="U413" s="461"/>
      <c r="V413" s="463"/>
      <c r="W413" s="461"/>
      <c r="AC413" s="461"/>
    </row>
    <row r="414" spans="1:29">
      <c r="A414" s="461"/>
      <c r="B414" s="461"/>
      <c r="C414" s="461"/>
      <c r="D414" s="462"/>
      <c r="E414" s="461"/>
      <c r="F414" s="461"/>
      <c r="G414" s="461"/>
      <c r="H414" s="461"/>
      <c r="I414" s="461"/>
      <c r="J414" s="461"/>
      <c r="K414" s="461"/>
      <c r="L414" s="461"/>
      <c r="M414" s="461"/>
      <c r="N414" s="461"/>
      <c r="O414" s="461"/>
      <c r="P414" s="461"/>
      <c r="Q414" s="461"/>
      <c r="R414" s="463"/>
      <c r="S414" s="461"/>
      <c r="T414" s="463"/>
      <c r="U414" s="461"/>
      <c r="V414" s="463"/>
      <c r="W414" s="461"/>
      <c r="AC414" s="461"/>
    </row>
    <row r="415" spans="1:29">
      <c r="A415" s="461"/>
      <c r="B415" s="461"/>
      <c r="C415" s="461"/>
      <c r="D415" s="462"/>
      <c r="E415" s="461"/>
      <c r="F415" s="461"/>
      <c r="G415" s="461"/>
      <c r="H415" s="461"/>
      <c r="I415" s="461"/>
      <c r="J415" s="461"/>
      <c r="K415" s="461"/>
      <c r="L415" s="461"/>
      <c r="M415" s="461"/>
      <c r="N415" s="461"/>
      <c r="O415" s="461"/>
      <c r="P415" s="461"/>
      <c r="Q415" s="461"/>
      <c r="R415" s="463"/>
      <c r="S415" s="461"/>
      <c r="T415" s="463"/>
      <c r="U415" s="461"/>
      <c r="V415" s="463"/>
      <c r="W415" s="461"/>
      <c r="AC415" s="461"/>
    </row>
    <row r="416" spans="1:29">
      <c r="A416" s="461"/>
      <c r="B416" s="461"/>
      <c r="C416" s="461"/>
      <c r="D416" s="462"/>
      <c r="E416" s="461"/>
      <c r="F416" s="461"/>
      <c r="G416" s="461"/>
      <c r="H416" s="461"/>
      <c r="I416" s="461"/>
      <c r="J416" s="461"/>
      <c r="K416" s="461"/>
      <c r="L416" s="461"/>
      <c r="M416" s="461"/>
      <c r="N416" s="461"/>
      <c r="O416" s="461"/>
      <c r="P416" s="461"/>
      <c r="Q416" s="461"/>
      <c r="R416" s="463"/>
      <c r="S416" s="461"/>
      <c r="T416" s="463"/>
      <c r="U416" s="461"/>
      <c r="V416" s="463"/>
      <c r="W416" s="461"/>
      <c r="AC416" s="461"/>
    </row>
    <row r="417" spans="1:29">
      <c r="A417" s="461"/>
      <c r="B417" s="461"/>
      <c r="C417" s="461"/>
      <c r="D417" s="462"/>
      <c r="E417" s="461"/>
      <c r="F417" s="461"/>
      <c r="G417" s="461"/>
      <c r="H417" s="461"/>
      <c r="I417" s="461"/>
      <c r="J417" s="461"/>
      <c r="K417" s="461"/>
      <c r="L417" s="461"/>
      <c r="M417" s="461"/>
      <c r="N417" s="461"/>
      <c r="O417" s="461"/>
      <c r="P417" s="461"/>
      <c r="Q417" s="461"/>
      <c r="R417" s="463"/>
      <c r="S417" s="461"/>
      <c r="T417" s="463"/>
      <c r="U417" s="461"/>
      <c r="V417" s="463"/>
      <c r="W417" s="461"/>
      <c r="AC417" s="461"/>
    </row>
    <row r="418" spans="1:29">
      <c r="A418" s="461"/>
      <c r="B418" s="461"/>
      <c r="C418" s="461"/>
      <c r="D418" s="462"/>
      <c r="E418" s="461"/>
      <c r="F418" s="461"/>
      <c r="G418" s="461"/>
      <c r="H418" s="461"/>
      <c r="I418" s="461"/>
      <c r="J418" s="461"/>
      <c r="K418" s="461"/>
      <c r="L418" s="461"/>
      <c r="M418" s="461"/>
      <c r="N418" s="461"/>
      <c r="O418" s="461"/>
      <c r="P418" s="461"/>
      <c r="Q418" s="461"/>
      <c r="R418" s="463"/>
      <c r="S418" s="461"/>
      <c r="T418" s="463"/>
      <c r="U418" s="461"/>
      <c r="V418" s="463"/>
      <c r="W418" s="461"/>
      <c r="AC418" s="461"/>
    </row>
    <row r="419" spans="1:29">
      <c r="A419" s="461"/>
      <c r="B419" s="461"/>
      <c r="C419" s="461"/>
      <c r="D419" s="462"/>
      <c r="E419" s="461"/>
      <c r="F419" s="461"/>
      <c r="G419" s="461"/>
      <c r="H419" s="461"/>
      <c r="I419" s="461"/>
      <c r="J419" s="461"/>
      <c r="K419" s="461"/>
      <c r="L419" s="461"/>
      <c r="M419" s="461"/>
      <c r="N419" s="461"/>
      <c r="O419" s="461"/>
      <c r="P419" s="461"/>
      <c r="Q419" s="461"/>
      <c r="R419" s="463"/>
      <c r="S419" s="461"/>
      <c r="T419" s="463"/>
      <c r="U419" s="461"/>
      <c r="V419" s="463"/>
      <c r="W419" s="461"/>
      <c r="AC419" s="461"/>
    </row>
    <row r="420" spans="1:29">
      <c r="A420" s="461"/>
      <c r="B420" s="461"/>
      <c r="C420" s="461"/>
      <c r="D420" s="462"/>
      <c r="E420" s="461"/>
      <c r="F420" s="461"/>
      <c r="G420" s="461"/>
      <c r="H420" s="461"/>
      <c r="I420" s="461"/>
      <c r="J420" s="461"/>
      <c r="K420" s="461"/>
      <c r="L420" s="461"/>
      <c r="M420" s="461"/>
      <c r="N420" s="461"/>
      <c r="O420" s="461"/>
      <c r="P420" s="461"/>
      <c r="Q420" s="461"/>
      <c r="R420" s="463"/>
      <c r="S420" s="461"/>
      <c r="T420" s="463"/>
      <c r="U420" s="461"/>
      <c r="V420" s="463"/>
      <c r="W420" s="461"/>
      <c r="AC420" s="461"/>
    </row>
    <row r="421" spans="1:29">
      <c r="A421" s="461"/>
      <c r="B421" s="461"/>
      <c r="C421" s="461"/>
      <c r="D421" s="462"/>
      <c r="E421" s="461"/>
      <c r="F421" s="461"/>
      <c r="G421" s="461"/>
      <c r="H421" s="461"/>
      <c r="I421" s="461"/>
      <c r="J421" s="461"/>
      <c r="K421" s="461"/>
      <c r="L421" s="461"/>
      <c r="M421" s="461"/>
      <c r="N421" s="461"/>
      <c r="O421" s="461"/>
      <c r="P421" s="461"/>
      <c r="Q421" s="461"/>
      <c r="R421" s="463"/>
      <c r="S421" s="461"/>
      <c r="T421" s="463"/>
      <c r="U421" s="461"/>
      <c r="V421" s="463"/>
      <c r="W421" s="461"/>
      <c r="AC421" s="461"/>
    </row>
    <row r="422" spans="1:29">
      <c r="A422" s="461"/>
      <c r="B422" s="461"/>
      <c r="C422" s="461"/>
      <c r="D422" s="462"/>
      <c r="E422" s="461"/>
      <c r="F422" s="461"/>
      <c r="G422" s="461"/>
      <c r="H422" s="461"/>
      <c r="I422" s="461"/>
      <c r="J422" s="461"/>
      <c r="K422" s="461"/>
      <c r="L422" s="461"/>
      <c r="M422" s="461"/>
      <c r="N422" s="461"/>
      <c r="O422" s="461"/>
      <c r="P422" s="461"/>
      <c r="Q422" s="461"/>
      <c r="R422" s="463"/>
      <c r="S422" s="461"/>
      <c r="T422" s="463"/>
      <c r="U422" s="461"/>
      <c r="V422" s="463"/>
      <c r="W422" s="461"/>
      <c r="AC422" s="461"/>
    </row>
    <row r="423" spans="1:29">
      <c r="A423" s="461"/>
      <c r="B423" s="461"/>
      <c r="C423" s="461"/>
      <c r="D423" s="462"/>
      <c r="E423" s="461"/>
      <c r="F423" s="461"/>
      <c r="G423" s="461"/>
      <c r="H423" s="461"/>
      <c r="I423" s="461"/>
      <c r="J423" s="461"/>
      <c r="K423" s="461"/>
      <c r="L423" s="461"/>
      <c r="M423" s="461"/>
      <c r="N423" s="461"/>
      <c r="O423" s="461"/>
      <c r="P423" s="461"/>
      <c r="Q423" s="461"/>
      <c r="R423" s="463"/>
      <c r="S423" s="461"/>
      <c r="T423" s="463"/>
      <c r="U423" s="461"/>
      <c r="V423" s="463"/>
      <c r="W423" s="461"/>
      <c r="AC423" s="461"/>
    </row>
    <row r="424" spans="1:29">
      <c r="A424" s="461"/>
      <c r="B424" s="461"/>
      <c r="C424" s="461"/>
      <c r="D424" s="462"/>
      <c r="E424" s="461"/>
      <c r="F424" s="461"/>
      <c r="G424" s="461"/>
      <c r="H424" s="461"/>
      <c r="I424" s="461"/>
      <c r="J424" s="461"/>
      <c r="K424" s="461"/>
      <c r="L424" s="461"/>
      <c r="M424" s="461"/>
      <c r="N424" s="461"/>
      <c r="O424" s="461"/>
      <c r="P424" s="461"/>
      <c r="Q424" s="461"/>
      <c r="R424" s="463"/>
      <c r="S424" s="461"/>
      <c r="T424" s="463"/>
      <c r="U424" s="461"/>
      <c r="V424" s="463"/>
      <c r="W424" s="461"/>
      <c r="AC424" s="461"/>
    </row>
    <row r="425" spans="1:29">
      <c r="A425" s="461"/>
      <c r="B425" s="461"/>
      <c r="C425" s="461"/>
      <c r="D425" s="462"/>
      <c r="E425" s="461"/>
      <c r="F425" s="461"/>
      <c r="G425" s="461"/>
      <c r="H425" s="461"/>
      <c r="I425" s="461"/>
      <c r="J425" s="461"/>
      <c r="K425" s="461"/>
      <c r="L425" s="461"/>
      <c r="M425" s="461"/>
      <c r="N425" s="461"/>
      <c r="O425" s="461"/>
      <c r="P425" s="461"/>
      <c r="Q425" s="461"/>
      <c r="R425" s="463"/>
      <c r="S425" s="461"/>
      <c r="T425" s="463"/>
      <c r="U425" s="461"/>
      <c r="V425" s="463"/>
      <c r="W425" s="461"/>
      <c r="AC425" s="461"/>
    </row>
    <row r="426" spans="1:29">
      <c r="A426" s="461"/>
      <c r="B426" s="461"/>
      <c r="C426" s="461"/>
      <c r="D426" s="462"/>
      <c r="E426" s="461"/>
      <c r="F426" s="461"/>
      <c r="G426" s="461"/>
      <c r="H426" s="461"/>
      <c r="I426" s="461"/>
      <c r="J426" s="461"/>
      <c r="K426" s="461"/>
      <c r="L426" s="461"/>
      <c r="M426" s="461"/>
      <c r="N426" s="461"/>
      <c r="O426" s="461"/>
      <c r="P426" s="461"/>
      <c r="Q426" s="461"/>
      <c r="R426" s="463"/>
      <c r="S426" s="461"/>
      <c r="T426" s="463"/>
      <c r="U426" s="461"/>
      <c r="V426" s="463"/>
      <c r="W426" s="461"/>
      <c r="AC426" s="461"/>
    </row>
    <row r="427" spans="1:29">
      <c r="A427" s="461"/>
      <c r="B427" s="461"/>
      <c r="C427" s="461"/>
      <c r="D427" s="462"/>
      <c r="E427" s="461"/>
      <c r="F427" s="461"/>
      <c r="G427" s="461"/>
      <c r="H427" s="461"/>
      <c r="I427" s="461"/>
      <c r="J427" s="461"/>
      <c r="K427" s="461"/>
      <c r="L427" s="461"/>
      <c r="M427" s="461"/>
      <c r="N427" s="461"/>
      <c r="O427" s="461"/>
      <c r="P427" s="461"/>
      <c r="Q427" s="461"/>
      <c r="R427" s="463"/>
      <c r="S427" s="461"/>
      <c r="T427" s="463"/>
      <c r="U427" s="461"/>
      <c r="V427" s="463"/>
      <c r="W427" s="461"/>
      <c r="AC427" s="461"/>
    </row>
    <row r="428" spans="1:29">
      <c r="A428" s="461"/>
      <c r="B428" s="461"/>
      <c r="C428" s="461"/>
      <c r="D428" s="462"/>
      <c r="E428" s="461"/>
      <c r="F428" s="461"/>
      <c r="G428" s="461"/>
      <c r="H428" s="461"/>
      <c r="I428" s="461"/>
      <c r="J428" s="461"/>
      <c r="K428" s="461"/>
      <c r="L428" s="461"/>
      <c r="M428" s="461"/>
      <c r="N428" s="461"/>
      <c r="O428" s="461"/>
      <c r="P428" s="461"/>
      <c r="Q428" s="461"/>
      <c r="R428" s="463"/>
      <c r="S428" s="461"/>
      <c r="T428" s="463"/>
      <c r="U428" s="461"/>
      <c r="V428" s="463"/>
      <c r="W428" s="461"/>
      <c r="AC428" s="461"/>
    </row>
    <row r="429" spans="1:29">
      <c r="A429" s="461"/>
      <c r="B429" s="461"/>
      <c r="C429" s="461"/>
      <c r="D429" s="462"/>
      <c r="E429" s="461"/>
      <c r="F429" s="461"/>
      <c r="G429" s="461"/>
      <c r="H429" s="461"/>
      <c r="I429" s="461"/>
      <c r="J429" s="461"/>
      <c r="K429" s="461"/>
      <c r="L429" s="461"/>
      <c r="M429" s="461"/>
      <c r="N429" s="461"/>
      <c r="O429" s="461"/>
      <c r="P429" s="461"/>
      <c r="Q429" s="461"/>
      <c r="R429" s="463"/>
      <c r="S429" s="461"/>
      <c r="T429" s="463"/>
      <c r="U429" s="461"/>
      <c r="V429" s="463"/>
      <c r="W429" s="461"/>
      <c r="AC429" s="461"/>
    </row>
    <row r="430" spans="1:29">
      <c r="A430" s="461"/>
      <c r="B430" s="461"/>
      <c r="C430" s="461"/>
      <c r="D430" s="462"/>
      <c r="E430" s="461"/>
      <c r="F430" s="461"/>
      <c r="G430" s="461"/>
      <c r="H430" s="461"/>
      <c r="I430" s="461"/>
      <c r="J430" s="461"/>
      <c r="K430" s="461"/>
      <c r="L430" s="461"/>
      <c r="M430" s="461"/>
      <c r="N430" s="461"/>
      <c r="O430" s="461"/>
      <c r="P430" s="461"/>
      <c r="Q430" s="461"/>
      <c r="R430" s="463"/>
      <c r="S430" s="461"/>
      <c r="T430" s="463"/>
      <c r="U430" s="461"/>
      <c r="V430" s="463"/>
      <c r="W430" s="461"/>
      <c r="AC430" s="461"/>
    </row>
    <row r="431" spans="1:29">
      <c r="A431" s="461"/>
      <c r="B431" s="461"/>
      <c r="C431" s="461"/>
      <c r="D431" s="462"/>
      <c r="E431" s="461"/>
      <c r="F431" s="461"/>
      <c r="G431" s="461"/>
      <c r="H431" s="461"/>
      <c r="I431" s="461"/>
      <c r="J431" s="461"/>
      <c r="K431" s="461"/>
      <c r="L431" s="461"/>
      <c r="M431" s="461"/>
      <c r="N431" s="461"/>
      <c r="O431" s="461"/>
      <c r="P431" s="461"/>
      <c r="Q431" s="461"/>
      <c r="R431" s="463"/>
      <c r="S431" s="461"/>
      <c r="T431" s="463"/>
      <c r="U431" s="461"/>
      <c r="V431" s="463"/>
      <c r="W431" s="461"/>
      <c r="AC431" s="461"/>
    </row>
    <row r="432" spans="1:29">
      <c r="A432" s="461"/>
      <c r="B432" s="461"/>
      <c r="C432" s="461"/>
      <c r="D432" s="462"/>
      <c r="E432" s="461"/>
      <c r="F432" s="461"/>
      <c r="G432" s="461"/>
      <c r="H432" s="461"/>
      <c r="I432" s="461"/>
      <c r="J432" s="461"/>
      <c r="K432" s="461"/>
      <c r="L432" s="461"/>
      <c r="M432" s="461"/>
      <c r="N432" s="461"/>
      <c r="O432" s="461"/>
      <c r="P432" s="461"/>
      <c r="Q432" s="461"/>
      <c r="R432" s="463"/>
      <c r="S432" s="461"/>
      <c r="T432" s="463"/>
      <c r="U432" s="461"/>
      <c r="V432" s="463"/>
      <c r="W432" s="461"/>
      <c r="AC432" s="461"/>
    </row>
    <row r="433" spans="1:29">
      <c r="A433" s="461"/>
      <c r="B433" s="461"/>
      <c r="C433" s="461"/>
      <c r="D433" s="462"/>
      <c r="E433" s="461"/>
      <c r="F433" s="461"/>
      <c r="G433" s="461"/>
      <c r="H433" s="461"/>
      <c r="I433" s="461"/>
      <c r="J433" s="461"/>
      <c r="K433" s="461"/>
      <c r="L433" s="461"/>
      <c r="M433" s="461"/>
      <c r="N433" s="461"/>
      <c r="O433" s="461"/>
      <c r="P433" s="461"/>
      <c r="Q433" s="461"/>
      <c r="R433" s="463"/>
      <c r="S433" s="461"/>
      <c r="T433" s="463"/>
      <c r="U433" s="461"/>
      <c r="V433" s="463"/>
      <c r="W433" s="461"/>
      <c r="AC433" s="461"/>
    </row>
    <row r="434" spans="1:29">
      <c r="A434" s="461"/>
      <c r="B434" s="461"/>
      <c r="C434" s="461"/>
      <c r="D434" s="462"/>
      <c r="E434" s="461"/>
      <c r="F434" s="461"/>
      <c r="G434" s="461"/>
      <c r="H434" s="461"/>
      <c r="I434" s="461"/>
      <c r="J434" s="461"/>
      <c r="K434" s="461"/>
      <c r="L434" s="461"/>
      <c r="M434" s="461"/>
      <c r="N434" s="461"/>
      <c r="O434" s="461"/>
      <c r="P434" s="461"/>
      <c r="Q434" s="461"/>
      <c r="R434" s="463"/>
      <c r="S434" s="461"/>
      <c r="T434" s="463"/>
      <c r="U434" s="461"/>
      <c r="V434" s="463"/>
      <c r="W434" s="461"/>
      <c r="AC434" s="461"/>
    </row>
    <row r="435" spans="1:29">
      <c r="A435" s="461"/>
      <c r="B435" s="461"/>
      <c r="C435" s="461"/>
      <c r="D435" s="462"/>
      <c r="E435" s="461"/>
      <c r="F435" s="461"/>
      <c r="G435" s="461"/>
      <c r="H435" s="461"/>
      <c r="I435" s="461"/>
      <c r="J435" s="461"/>
      <c r="K435" s="461"/>
      <c r="L435" s="461"/>
      <c r="M435" s="461"/>
      <c r="N435" s="461"/>
      <c r="O435" s="461"/>
      <c r="P435" s="461"/>
      <c r="Q435" s="461"/>
      <c r="R435" s="463"/>
      <c r="S435" s="461"/>
      <c r="T435" s="463"/>
      <c r="U435" s="461"/>
      <c r="V435" s="463"/>
      <c r="W435" s="461"/>
      <c r="AC435" s="461"/>
    </row>
    <row r="436" spans="1:29">
      <c r="A436" s="461"/>
      <c r="B436" s="461"/>
      <c r="C436" s="461"/>
      <c r="D436" s="462"/>
      <c r="E436" s="461"/>
      <c r="F436" s="461"/>
      <c r="G436" s="461"/>
      <c r="H436" s="461"/>
      <c r="I436" s="461"/>
      <c r="J436" s="461"/>
      <c r="K436" s="461"/>
      <c r="L436" s="461"/>
      <c r="M436" s="461"/>
      <c r="N436" s="461"/>
      <c r="O436" s="461"/>
      <c r="P436" s="461"/>
      <c r="Q436" s="461"/>
      <c r="R436" s="463"/>
      <c r="S436" s="461"/>
      <c r="T436" s="463"/>
      <c r="U436" s="461"/>
      <c r="V436" s="463"/>
      <c r="W436" s="461"/>
      <c r="AC436" s="461"/>
    </row>
    <row r="437" spans="1:29">
      <c r="A437" s="461"/>
      <c r="B437" s="461"/>
      <c r="C437" s="461"/>
      <c r="D437" s="462"/>
      <c r="E437" s="461"/>
      <c r="F437" s="461"/>
      <c r="G437" s="461"/>
      <c r="H437" s="461"/>
      <c r="I437" s="461"/>
      <c r="J437" s="461"/>
      <c r="K437" s="461"/>
      <c r="L437" s="461"/>
      <c r="M437" s="461"/>
      <c r="N437" s="461"/>
      <c r="O437" s="461"/>
      <c r="P437" s="461"/>
      <c r="Q437" s="461"/>
      <c r="R437" s="463"/>
      <c r="S437" s="461"/>
      <c r="T437" s="463"/>
      <c r="U437" s="461"/>
      <c r="V437" s="463"/>
      <c r="W437" s="461"/>
      <c r="AC437" s="461"/>
    </row>
    <row r="438" spans="1:29">
      <c r="A438" s="461"/>
      <c r="B438" s="461"/>
      <c r="C438" s="461"/>
      <c r="D438" s="462"/>
      <c r="E438" s="461"/>
      <c r="F438" s="461"/>
      <c r="G438" s="461"/>
      <c r="H438" s="461"/>
      <c r="I438" s="461"/>
      <c r="J438" s="461"/>
      <c r="K438" s="461"/>
      <c r="L438" s="461"/>
      <c r="M438" s="461"/>
      <c r="N438" s="461"/>
      <c r="O438" s="461"/>
      <c r="P438" s="461"/>
      <c r="Q438" s="461"/>
      <c r="R438" s="463"/>
      <c r="S438" s="461"/>
      <c r="T438" s="463"/>
      <c r="U438" s="461"/>
      <c r="V438" s="463"/>
      <c r="W438" s="461"/>
      <c r="AC438" s="461"/>
    </row>
    <row r="439" spans="1:29">
      <c r="A439" s="461"/>
      <c r="B439" s="461"/>
      <c r="C439" s="461"/>
      <c r="D439" s="462"/>
      <c r="E439" s="461"/>
      <c r="F439" s="461"/>
      <c r="G439" s="461"/>
      <c r="H439" s="461"/>
      <c r="I439" s="461"/>
      <c r="J439" s="461"/>
      <c r="K439" s="461"/>
      <c r="L439" s="461"/>
      <c r="M439" s="461"/>
      <c r="N439" s="461"/>
      <c r="O439" s="461"/>
      <c r="P439" s="461"/>
      <c r="Q439" s="461"/>
      <c r="R439" s="463"/>
      <c r="S439" s="461"/>
      <c r="T439" s="463"/>
      <c r="U439" s="461"/>
      <c r="V439" s="463"/>
      <c r="W439" s="461"/>
      <c r="AC439" s="461"/>
    </row>
    <row r="440" spans="1:29">
      <c r="A440" s="461"/>
      <c r="B440" s="461"/>
      <c r="C440" s="461"/>
      <c r="D440" s="462"/>
      <c r="E440" s="461"/>
      <c r="F440" s="461"/>
      <c r="G440" s="461"/>
      <c r="H440" s="461"/>
      <c r="I440" s="461"/>
      <c r="J440" s="461"/>
      <c r="K440" s="461"/>
      <c r="L440" s="461"/>
      <c r="M440" s="461"/>
      <c r="N440" s="461"/>
      <c r="O440" s="461"/>
      <c r="P440" s="461"/>
      <c r="Q440" s="461"/>
      <c r="R440" s="463"/>
      <c r="S440" s="461"/>
      <c r="T440" s="463"/>
      <c r="U440" s="461"/>
      <c r="V440" s="463"/>
      <c r="W440" s="461"/>
      <c r="AC440" s="461"/>
    </row>
    <row r="441" spans="1:29">
      <c r="A441" s="461"/>
      <c r="B441" s="461"/>
      <c r="C441" s="461"/>
      <c r="D441" s="462"/>
      <c r="E441" s="461"/>
      <c r="F441" s="461"/>
      <c r="G441" s="461"/>
      <c r="H441" s="461"/>
      <c r="I441" s="461"/>
      <c r="J441" s="461"/>
      <c r="K441" s="461"/>
      <c r="L441" s="461"/>
      <c r="M441" s="461"/>
      <c r="N441" s="461"/>
      <c r="O441" s="461"/>
      <c r="P441" s="461"/>
      <c r="Q441" s="461"/>
      <c r="R441" s="463"/>
      <c r="S441" s="461"/>
      <c r="T441" s="463"/>
      <c r="U441" s="461"/>
      <c r="V441" s="463"/>
      <c r="W441" s="461"/>
      <c r="AC441" s="461"/>
    </row>
    <row r="442" spans="1:29">
      <c r="A442" s="461"/>
      <c r="B442" s="461"/>
      <c r="C442" s="461"/>
      <c r="D442" s="462"/>
      <c r="E442" s="461"/>
      <c r="F442" s="461"/>
      <c r="G442" s="461"/>
      <c r="H442" s="461"/>
      <c r="I442" s="461"/>
      <c r="J442" s="461"/>
      <c r="K442" s="461"/>
      <c r="L442" s="461"/>
      <c r="M442" s="461"/>
      <c r="N442" s="461"/>
      <c r="O442" s="461"/>
      <c r="P442" s="461"/>
      <c r="Q442" s="461"/>
      <c r="R442" s="463"/>
      <c r="S442" s="461"/>
      <c r="T442" s="463"/>
      <c r="U442" s="461"/>
      <c r="V442" s="463"/>
      <c r="W442" s="461"/>
      <c r="AC442" s="461"/>
    </row>
    <row r="443" spans="1:29">
      <c r="A443" s="461"/>
      <c r="B443" s="461"/>
      <c r="C443" s="461"/>
      <c r="D443" s="462"/>
      <c r="E443" s="461"/>
      <c r="F443" s="461"/>
      <c r="G443" s="461"/>
      <c r="H443" s="461"/>
      <c r="I443" s="461"/>
      <c r="J443" s="461"/>
      <c r="K443" s="461"/>
      <c r="L443" s="461"/>
      <c r="M443" s="461"/>
      <c r="N443" s="461"/>
      <c r="O443" s="461"/>
      <c r="P443" s="461"/>
      <c r="Q443" s="461"/>
      <c r="R443" s="463"/>
      <c r="S443" s="461"/>
      <c r="T443" s="463"/>
      <c r="U443" s="461"/>
      <c r="V443" s="463"/>
      <c r="W443" s="461"/>
      <c r="AC443" s="461"/>
    </row>
    <row r="444" spans="1:29">
      <c r="A444" s="461"/>
      <c r="B444" s="461"/>
      <c r="C444" s="461"/>
      <c r="D444" s="462"/>
      <c r="E444" s="461"/>
      <c r="F444" s="461"/>
      <c r="G444" s="461"/>
      <c r="H444" s="461"/>
      <c r="I444" s="461"/>
      <c r="J444" s="461"/>
      <c r="K444" s="461"/>
      <c r="L444" s="461"/>
      <c r="M444" s="461"/>
      <c r="N444" s="461"/>
      <c r="O444" s="461"/>
      <c r="P444" s="461"/>
      <c r="Q444" s="461"/>
      <c r="R444" s="463"/>
      <c r="S444" s="461"/>
      <c r="T444" s="463"/>
      <c r="U444" s="461"/>
      <c r="V444" s="463"/>
      <c r="W444" s="461"/>
      <c r="AC444" s="461"/>
    </row>
    <row r="445" spans="1:29">
      <c r="A445" s="461"/>
      <c r="B445" s="461"/>
      <c r="C445" s="461"/>
      <c r="D445" s="462"/>
      <c r="E445" s="461"/>
      <c r="F445" s="461"/>
      <c r="G445" s="461"/>
      <c r="H445" s="461"/>
      <c r="I445" s="461"/>
      <c r="J445" s="461"/>
      <c r="K445" s="461"/>
      <c r="L445" s="461"/>
      <c r="M445" s="461"/>
      <c r="N445" s="461"/>
      <c r="O445" s="461"/>
      <c r="P445" s="461"/>
      <c r="Q445" s="461"/>
      <c r="R445" s="463"/>
      <c r="S445" s="461"/>
      <c r="T445" s="463"/>
      <c r="U445" s="461"/>
      <c r="V445" s="463"/>
      <c r="W445" s="461"/>
      <c r="AC445" s="461"/>
    </row>
    <row r="446" spans="1:29">
      <c r="A446" s="461"/>
      <c r="B446" s="461"/>
      <c r="C446" s="461"/>
      <c r="D446" s="462"/>
      <c r="E446" s="461"/>
      <c r="F446" s="461"/>
      <c r="G446" s="461"/>
      <c r="H446" s="461"/>
      <c r="I446" s="461"/>
      <c r="J446" s="461"/>
      <c r="K446" s="461"/>
      <c r="L446" s="461"/>
      <c r="M446" s="461"/>
      <c r="N446" s="461"/>
      <c r="O446" s="461"/>
      <c r="P446" s="461"/>
      <c r="Q446" s="461"/>
      <c r="R446" s="463"/>
      <c r="S446" s="461"/>
      <c r="T446" s="463"/>
      <c r="U446" s="461"/>
      <c r="V446" s="463"/>
      <c r="W446" s="461"/>
      <c r="AC446" s="461"/>
    </row>
    <row r="447" spans="1:29">
      <c r="A447" s="461"/>
      <c r="B447" s="461"/>
      <c r="C447" s="461"/>
      <c r="D447" s="462"/>
      <c r="E447" s="461"/>
      <c r="F447" s="461"/>
      <c r="G447" s="461"/>
      <c r="H447" s="461"/>
      <c r="I447" s="461"/>
      <c r="J447" s="461"/>
      <c r="K447" s="461"/>
      <c r="L447" s="461"/>
      <c r="M447" s="461"/>
      <c r="N447" s="461"/>
      <c r="O447" s="461"/>
      <c r="P447" s="461"/>
      <c r="Q447" s="461"/>
      <c r="R447" s="463"/>
      <c r="S447" s="461"/>
      <c r="T447" s="463"/>
      <c r="U447" s="461"/>
      <c r="V447" s="463"/>
      <c r="W447" s="461"/>
      <c r="AC447" s="461"/>
    </row>
    <row r="448" spans="1:29">
      <c r="A448" s="461"/>
      <c r="B448" s="461"/>
      <c r="C448" s="461"/>
      <c r="D448" s="462"/>
      <c r="E448" s="461"/>
      <c r="F448" s="461"/>
      <c r="G448" s="461"/>
      <c r="H448" s="461"/>
      <c r="I448" s="461"/>
      <c r="J448" s="461"/>
      <c r="K448" s="461"/>
      <c r="L448" s="461"/>
      <c r="M448" s="461"/>
      <c r="N448" s="461"/>
      <c r="O448" s="461"/>
      <c r="P448" s="461"/>
      <c r="Q448" s="461"/>
      <c r="R448" s="463"/>
      <c r="S448" s="461"/>
      <c r="T448" s="463"/>
      <c r="U448" s="461"/>
      <c r="V448" s="463"/>
      <c r="W448" s="461"/>
      <c r="AC448" s="461"/>
    </row>
    <row r="449" spans="1:29">
      <c r="A449" s="461"/>
      <c r="B449" s="461"/>
      <c r="C449" s="461"/>
      <c r="D449" s="462"/>
      <c r="E449" s="461"/>
      <c r="F449" s="461"/>
      <c r="G449" s="461"/>
      <c r="H449" s="461"/>
      <c r="I449" s="461"/>
      <c r="J449" s="461"/>
      <c r="K449" s="461"/>
      <c r="L449" s="461"/>
      <c r="M449" s="461"/>
      <c r="N449" s="461"/>
      <c r="O449" s="461"/>
      <c r="P449" s="461"/>
      <c r="Q449" s="461"/>
      <c r="R449" s="463"/>
      <c r="S449" s="461"/>
      <c r="T449" s="463"/>
      <c r="U449" s="461"/>
      <c r="V449" s="463"/>
      <c r="W449" s="461"/>
      <c r="AC449" s="461"/>
    </row>
    <row r="450" spans="1:29">
      <c r="A450" s="461"/>
      <c r="B450" s="461"/>
      <c r="C450" s="461"/>
      <c r="D450" s="462"/>
      <c r="E450" s="461"/>
      <c r="F450" s="461"/>
      <c r="G450" s="461"/>
      <c r="H450" s="461"/>
      <c r="I450" s="461"/>
      <c r="J450" s="461"/>
      <c r="K450" s="461"/>
      <c r="L450" s="461"/>
      <c r="M450" s="461"/>
      <c r="N450" s="461"/>
      <c r="O450" s="461"/>
      <c r="P450" s="461"/>
      <c r="Q450" s="461"/>
      <c r="R450" s="463"/>
      <c r="S450" s="461"/>
      <c r="T450" s="463"/>
      <c r="U450" s="461"/>
      <c r="V450" s="463"/>
      <c r="W450" s="461"/>
      <c r="AC450" s="461"/>
    </row>
    <row r="451" spans="1:29">
      <c r="A451" s="461"/>
      <c r="B451" s="461"/>
      <c r="C451" s="461"/>
      <c r="D451" s="462"/>
      <c r="E451" s="461"/>
      <c r="F451" s="461"/>
      <c r="G451" s="461"/>
      <c r="H451" s="461"/>
      <c r="I451" s="461"/>
      <c r="J451" s="461"/>
      <c r="K451" s="461"/>
      <c r="L451" s="461"/>
      <c r="M451" s="461"/>
      <c r="N451" s="461"/>
      <c r="O451" s="461"/>
      <c r="P451" s="461"/>
      <c r="Q451" s="461"/>
      <c r="R451" s="463"/>
      <c r="S451" s="461"/>
      <c r="T451" s="463"/>
      <c r="U451" s="461"/>
      <c r="V451" s="463"/>
      <c r="W451" s="461"/>
      <c r="AC451" s="461"/>
    </row>
    <row r="452" spans="1:29">
      <c r="A452" s="461"/>
      <c r="B452" s="461"/>
      <c r="C452" s="461"/>
      <c r="D452" s="462"/>
      <c r="E452" s="461"/>
      <c r="F452" s="461"/>
      <c r="G452" s="461"/>
      <c r="H452" s="461"/>
      <c r="I452" s="461"/>
      <c r="J452" s="461"/>
      <c r="K452" s="461"/>
      <c r="L452" s="461"/>
      <c r="M452" s="461"/>
      <c r="N452" s="461"/>
      <c r="O452" s="461"/>
      <c r="P452" s="461"/>
      <c r="Q452" s="461"/>
      <c r="R452" s="463"/>
      <c r="S452" s="461"/>
      <c r="T452" s="463"/>
      <c r="U452" s="461"/>
      <c r="V452" s="463"/>
      <c r="W452" s="461"/>
      <c r="AC452" s="461"/>
    </row>
    <row r="453" spans="1:29">
      <c r="A453" s="461"/>
      <c r="B453" s="461"/>
      <c r="C453" s="461"/>
      <c r="D453" s="462"/>
      <c r="E453" s="461"/>
      <c r="F453" s="461"/>
      <c r="G453" s="461"/>
      <c r="H453" s="461"/>
      <c r="I453" s="461"/>
      <c r="J453" s="461"/>
      <c r="K453" s="461"/>
      <c r="L453" s="461"/>
      <c r="M453" s="461"/>
      <c r="N453" s="461"/>
      <c r="O453" s="461"/>
      <c r="P453" s="461"/>
      <c r="Q453" s="461"/>
      <c r="R453" s="463"/>
      <c r="S453" s="461"/>
      <c r="T453" s="463"/>
      <c r="U453" s="461"/>
      <c r="V453" s="463"/>
      <c r="W453" s="461"/>
      <c r="AC453" s="461"/>
    </row>
    <row r="454" spans="1:29">
      <c r="A454" s="461"/>
      <c r="B454" s="461"/>
      <c r="C454" s="461"/>
      <c r="D454" s="462"/>
      <c r="E454" s="461"/>
      <c r="F454" s="461"/>
      <c r="G454" s="461"/>
      <c r="H454" s="461"/>
      <c r="I454" s="461"/>
      <c r="J454" s="461"/>
      <c r="K454" s="461"/>
      <c r="L454" s="461"/>
      <c r="M454" s="461"/>
      <c r="N454" s="461"/>
      <c r="O454" s="461"/>
      <c r="P454" s="461"/>
      <c r="Q454" s="461"/>
      <c r="R454" s="463"/>
      <c r="S454" s="461"/>
      <c r="T454" s="463"/>
      <c r="U454" s="461"/>
      <c r="V454" s="463"/>
      <c r="W454" s="461"/>
      <c r="AC454" s="461"/>
    </row>
    <row r="455" spans="1:29">
      <c r="A455" s="461"/>
      <c r="B455" s="461"/>
      <c r="C455" s="461"/>
      <c r="D455" s="462"/>
      <c r="E455" s="461"/>
      <c r="F455" s="461"/>
      <c r="G455" s="461"/>
      <c r="H455" s="461"/>
      <c r="I455" s="461"/>
      <c r="J455" s="461"/>
      <c r="K455" s="461"/>
      <c r="L455" s="461"/>
      <c r="M455" s="461"/>
      <c r="N455" s="461"/>
      <c r="O455" s="461"/>
      <c r="P455" s="461"/>
      <c r="Q455" s="461"/>
      <c r="R455" s="463"/>
      <c r="S455" s="461"/>
      <c r="T455" s="463"/>
      <c r="U455" s="461"/>
      <c r="V455" s="463"/>
      <c r="W455" s="461"/>
      <c r="AC455" s="461"/>
    </row>
    <row r="456" spans="1:29">
      <c r="A456" s="461"/>
      <c r="B456" s="461"/>
      <c r="C456" s="461"/>
      <c r="D456" s="462"/>
      <c r="E456" s="461"/>
      <c r="F456" s="461"/>
      <c r="G456" s="461"/>
      <c r="H456" s="461"/>
      <c r="I456" s="461"/>
      <c r="J456" s="461"/>
      <c r="K456" s="461"/>
      <c r="L456" s="461"/>
      <c r="M456" s="461"/>
      <c r="N456" s="461"/>
      <c r="O456" s="461"/>
      <c r="P456" s="461"/>
      <c r="Q456" s="461"/>
      <c r="R456" s="463"/>
      <c r="S456" s="461"/>
      <c r="T456" s="463"/>
      <c r="U456" s="461"/>
      <c r="V456" s="463"/>
      <c r="W456" s="461"/>
      <c r="AC456" s="461"/>
    </row>
    <row r="457" spans="1:29">
      <c r="A457" s="461"/>
      <c r="B457" s="461"/>
      <c r="C457" s="461"/>
      <c r="D457" s="462"/>
      <c r="E457" s="461"/>
      <c r="F457" s="461"/>
      <c r="G457" s="461"/>
      <c r="H457" s="461"/>
      <c r="I457" s="461"/>
      <c r="J457" s="461"/>
      <c r="K457" s="461"/>
      <c r="L457" s="461"/>
      <c r="M457" s="461"/>
      <c r="N457" s="461"/>
      <c r="O457" s="461"/>
      <c r="P457" s="461"/>
      <c r="Q457" s="461"/>
      <c r="R457" s="463"/>
      <c r="S457" s="461"/>
      <c r="T457" s="463"/>
      <c r="U457" s="461"/>
      <c r="V457" s="463"/>
      <c r="W457" s="461"/>
      <c r="AC457" s="461"/>
    </row>
    <row r="458" spans="1:29">
      <c r="A458" s="461"/>
      <c r="B458" s="461"/>
      <c r="C458" s="461"/>
      <c r="D458" s="462"/>
      <c r="E458" s="461"/>
      <c r="F458" s="461"/>
      <c r="G458" s="461"/>
      <c r="H458" s="461"/>
      <c r="I458" s="461"/>
      <c r="J458" s="461"/>
      <c r="K458" s="461"/>
      <c r="L458" s="461"/>
      <c r="M458" s="461"/>
      <c r="N458" s="461"/>
      <c r="O458" s="461"/>
      <c r="P458" s="461"/>
      <c r="Q458" s="461"/>
      <c r="R458" s="463"/>
      <c r="S458" s="461"/>
      <c r="T458" s="463"/>
      <c r="U458" s="461"/>
      <c r="V458" s="463"/>
      <c r="W458" s="461"/>
      <c r="AC458" s="461"/>
    </row>
    <row r="459" spans="1:29">
      <c r="A459" s="461"/>
      <c r="B459" s="461"/>
      <c r="C459" s="461"/>
      <c r="D459" s="462"/>
      <c r="E459" s="461"/>
      <c r="F459" s="461"/>
      <c r="G459" s="461"/>
      <c r="H459" s="461"/>
      <c r="I459" s="461"/>
      <c r="J459" s="461"/>
      <c r="K459" s="461"/>
      <c r="L459" s="461"/>
      <c r="M459" s="461"/>
      <c r="N459" s="461"/>
      <c r="O459" s="461"/>
      <c r="P459" s="461"/>
      <c r="Q459" s="461"/>
      <c r="R459" s="463"/>
      <c r="S459" s="461"/>
      <c r="T459" s="463"/>
      <c r="U459" s="461"/>
      <c r="V459" s="463"/>
      <c r="W459" s="461"/>
      <c r="AC459" s="461"/>
    </row>
    <row r="460" spans="1:29">
      <c r="A460" s="461"/>
      <c r="B460" s="461"/>
      <c r="C460" s="461"/>
      <c r="D460" s="462"/>
      <c r="E460" s="461"/>
      <c r="F460" s="461"/>
      <c r="G460" s="461"/>
      <c r="H460" s="461"/>
      <c r="I460" s="461"/>
      <c r="J460" s="461"/>
      <c r="K460" s="461"/>
      <c r="L460" s="461"/>
      <c r="M460" s="461"/>
      <c r="N460" s="461"/>
      <c r="O460" s="461"/>
      <c r="P460" s="461"/>
      <c r="Q460" s="461"/>
      <c r="R460" s="463"/>
      <c r="S460" s="461"/>
      <c r="T460" s="463"/>
      <c r="U460" s="461"/>
      <c r="V460" s="463"/>
      <c r="W460" s="461"/>
      <c r="AC460" s="461"/>
    </row>
    <row r="461" spans="1:29">
      <c r="A461" s="461"/>
      <c r="B461" s="461"/>
      <c r="C461" s="461"/>
      <c r="D461" s="462"/>
      <c r="E461" s="461"/>
      <c r="F461" s="461"/>
      <c r="G461" s="461"/>
      <c r="H461" s="461"/>
      <c r="I461" s="461"/>
      <c r="J461" s="461"/>
      <c r="K461" s="461"/>
      <c r="L461" s="461"/>
      <c r="M461" s="461"/>
      <c r="N461" s="461"/>
      <c r="O461" s="461"/>
      <c r="P461" s="461"/>
      <c r="Q461" s="461"/>
      <c r="R461" s="463"/>
      <c r="S461" s="461"/>
      <c r="T461" s="463"/>
      <c r="U461" s="461"/>
      <c r="V461" s="463"/>
      <c r="W461" s="461"/>
      <c r="AC461" s="461"/>
    </row>
    <row r="462" spans="1:29">
      <c r="A462" s="461"/>
      <c r="B462" s="461"/>
      <c r="C462" s="461"/>
      <c r="D462" s="462"/>
      <c r="E462" s="461"/>
      <c r="F462" s="461"/>
      <c r="G462" s="461"/>
      <c r="H462" s="461"/>
      <c r="I462" s="461"/>
      <c r="J462" s="461"/>
      <c r="K462" s="461"/>
      <c r="L462" s="461"/>
      <c r="M462" s="461"/>
      <c r="N462" s="461"/>
      <c r="O462" s="461"/>
      <c r="P462" s="461"/>
      <c r="Q462" s="461"/>
      <c r="R462" s="463"/>
      <c r="S462" s="461"/>
      <c r="T462" s="463"/>
      <c r="U462" s="461"/>
      <c r="V462" s="463"/>
      <c r="W462" s="461"/>
      <c r="AC462" s="461"/>
    </row>
    <row r="463" spans="1:29">
      <c r="A463" s="461"/>
      <c r="B463" s="461"/>
      <c r="C463" s="461"/>
      <c r="D463" s="462"/>
      <c r="E463" s="461"/>
      <c r="F463" s="461"/>
      <c r="G463" s="461"/>
      <c r="H463" s="461"/>
      <c r="I463" s="461"/>
      <c r="J463" s="461"/>
      <c r="K463" s="461"/>
      <c r="L463" s="461"/>
      <c r="M463" s="461"/>
      <c r="N463" s="461"/>
      <c r="O463" s="461"/>
      <c r="P463" s="461"/>
      <c r="Q463" s="461"/>
      <c r="R463" s="463"/>
      <c r="S463" s="461"/>
      <c r="T463" s="463"/>
      <c r="U463" s="461"/>
      <c r="V463" s="463"/>
      <c r="W463" s="461"/>
      <c r="AC463" s="461"/>
    </row>
    <row r="464" spans="1:29">
      <c r="A464" s="461"/>
      <c r="B464" s="461"/>
      <c r="C464" s="461"/>
      <c r="D464" s="462"/>
      <c r="E464" s="461"/>
      <c r="F464" s="461"/>
      <c r="G464" s="461"/>
      <c r="H464" s="461"/>
      <c r="I464" s="461"/>
      <c r="J464" s="461"/>
      <c r="K464" s="461"/>
      <c r="L464" s="461"/>
      <c r="M464" s="461"/>
      <c r="N464" s="461"/>
      <c r="O464" s="461"/>
      <c r="P464" s="461"/>
      <c r="Q464" s="461"/>
      <c r="R464" s="463"/>
      <c r="S464" s="461"/>
      <c r="T464" s="463"/>
      <c r="U464" s="461"/>
      <c r="V464" s="463"/>
      <c r="W464" s="461"/>
      <c r="AC464" s="461"/>
    </row>
    <row r="465" spans="1:29">
      <c r="A465" s="461"/>
      <c r="B465" s="461"/>
      <c r="C465" s="461"/>
      <c r="D465" s="462"/>
      <c r="E465" s="461"/>
      <c r="F465" s="461"/>
      <c r="G465" s="461"/>
      <c r="H465" s="461"/>
      <c r="I465" s="461"/>
      <c r="J465" s="461"/>
      <c r="K465" s="461"/>
      <c r="L465" s="461"/>
      <c r="M465" s="461"/>
      <c r="N465" s="461"/>
      <c r="O465" s="461"/>
      <c r="P465" s="461"/>
      <c r="Q465" s="461"/>
      <c r="R465" s="463"/>
      <c r="S465" s="461"/>
      <c r="T465" s="463"/>
      <c r="U465" s="461"/>
      <c r="V465" s="463"/>
      <c r="W465" s="461"/>
      <c r="AC465" s="461"/>
    </row>
    <row r="466" spans="1:29">
      <c r="A466" s="461"/>
      <c r="B466" s="461"/>
      <c r="C466" s="461"/>
      <c r="D466" s="462"/>
      <c r="E466" s="461"/>
      <c r="F466" s="461"/>
      <c r="G466" s="461"/>
      <c r="H466" s="461"/>
      <c r="I466" s="461"/>
      <c r="J466" s="461"/>
      <c r="K466" s="461"/>
      <c r="L466" s="461"/>
      <c r="M466" s="461"/>
      <c r="N466" s="461"/>
      <c r="O466" s="461"/>
      <c r="P466" s="461"/>
      <c r="Q466" s="461"/>
      <c r="R466" s="463"/>
      <c r="S466" s="461"/>
      <c r="T466" s="463"/>
      <c r="U466" s="461"/>
      <c r="V466" s="463"/>
      <c r="W466" s="461"/>
      <c r="AC466" s="461"/>
    </row>
    <row r="467" spans="1:29">
      <c r="A467" s="461"/>
      <c r="B467" s="461"/>
      <c r="C467" s="461"/>
      <c r="D467" s="462"/>
      <c r="E467" s="461"/>
      <c r="F467" s="461"/>
      <c r="G467" s="461"/>
      <c r="H467" s="461"/>
      <c r="I467" s="461"/>
      <c r="J467" s="461"/>
      <c r="K467" s="461"/>
      <c r="L467" s="461"/>
      <c r="M467" s="461"/>
      <c r="N467" s="461"/>
      <c r="O467" s="461"/>
      <c r="P467" s="461"/>
      <c r="Q467" s="461"/>
      <c r="R467" s="463"/>
      <c r="S467" s="461"/>
      <c r="T467" s="463"/>
      <c r="U467" s="461"/>
      <c r="V467" s="463"/>
      <c r="W467" s="461"/>
      <c r="AC467" s="461"/>
    </row>
    <row r="468" spans="1:29">
      <c r="A468" s="461"/>
      <c r="B468" s="461"/>
      <c r="C468" s="461"/>
      <c r="D468" s="462"/>
      <c r="E468" s="461"/>
      <c r="F468" s="461"/>
      <c r="G468" s="461"/>
      <c r="H468" s="461"/>
      <c r="I468" s="461"/>
      <c r="J468" s="461"/>
      <c r="K468" s="461"/>
      <c r="L468" s="461"/>
      <c r="M468" s="461"/>
      <c r="N468" s="461"/>
      <c r="O468" s="461"/>
      <c r="P468" s="461"/>
      <c r="Q468" s="461"/>
      <c r="R468" s="463"/>
      <c r="S468" s="461"/>
      <c r="T468" s="463"/>
      <c r="U468" s="461"/>
      <c r="V468" s="463"/>
      <c r="W468" s="461"/>
      <c r="AC468" s="461"/>
    </row>
    <row r="469" spans="1:29">
      <c r="A469" s="461"/>
      <c r="B469" s="461"/>
      <c r="C469" s="461"/>
      <c r="D469" s="462"/>
      <c r="E469" s="461"/>
      <c r="F469" s="461"/>
      <c r="G469" s="461"/>
      <c r="H469" s="461"/>
      <c r="I469" s="461"/>
      <c r="J469" s="461"/>
      <c r="K469" s="461"/>
      <c r="L469" s="461"/>
      <c r="M469" s="461"/>
      <c r="N469" s="461"/>
      <c r="O469" s="461"/>
      <c r="P469" s="461"/>
      <c r="Q469" s="461"/>
      <c r="R469" s="463"/>
      <c r="S469" s="461"/>
      <c r="T469" s="463"/>
      <c r="U469" s="461"/>
      <c r="V469" s="463"/>
      <c r="W469" s="461"/>
      <c r="AC469" s="461"/>
    </row>
    <row r="470" spans="1:29">
      <c r="A470" s="461"/>
      <c r="B470" s="461"/>
      <c r="C470" s="461"/>
      <c r="D470" s="462"/>
      <c r="E470" s="461"/>
      <c r="F470" s="461"/>
      <c r="G470" s="461"/>
      <c r="H470" s="461"/>
      <c r="I470" s="461"/>
      <c r="J470" s="461"/>
      <c r="K470" s="461"/>
      <c r="L470" s="461"/>
      <c r="M470" s="461"/>
      <c r="N470" s="461"/>
      <c r="O470" s="461"/>
      <c r="P470" s="461"/>
      <c r="Q470" s="461"/>
      <c r="R470" s="463"/>
      <c r="S470" s="461"/>
      <c r="T470" s="463"/>
      <c r="U470" s="461"/>
      <c r="V470" s="463"/>
      <c r="W470" s="461"/>
      <c r="AC470" s="461"/>
    </row>
    <row r="471" spans="1:29">
      <c r="A471" s="461"/>
      <c r="B471" s="461"/>
      <c r="C471" s="461"/>
      <c r="D471" s="462"/>
      <c r="E471" s="461"/>
      <c r="F471" s="461"/>
      <c r="G471" s="461"/>
      <c r="H471" s="461"/>
      <c r="I471" s="461"/>
      <c r="J471" s="461"/>
      <c r="K471" s="461"/>
      <c r="L471" s="461"/>
      <c r="M471" s="461"/>
      <c r="N471" s="461"/>
      <c r="O471" s="461"/>
      <c r="P471" s="461"/>
      <c r="Q471" s="461"/>
      <c r="R471" s="463"/>
      <c r="S471" s="461"/>
      <c r="T471" s="463"/>
      <c r="U471" s="461"/>
      <c r="V471" s="463"/>
      <c r="W471" s="461"/>
      <c r="AC471" s="461"/>
    </row>
    <row r="472" spans="1:29">
      <c r="A472" s="461"/>
      <c r="B472" s="461"/>
      <c r="C472" s="461"/>
      <c r="D472" s="462"/>
      <c r="E472" s="461"/>
      <c r="F472" s="461"/>
      <c r="G472" s="461"/>
      <c r="H472" s="461"/>
      <c r="I472" s="461"/>
      <c r="J472" s="461"/>
      <c r="K472" s="461"/>
      <c r="L472" s="461"/>
      <c r="M472" s="461"/>
      <c r="N472" s="461"/>
      <c r="O472" s="461"/>
      <c r="P472" s="461"/>
      <c r="Q472" s="461"/>
      <c r="R472" s="463"/>
      <c r="S472" s="461"/>
      <c r="T472" s="463"/>
      <c r="U472" s="461"/>
      <c r="V472" s="463"/>
      <c r="W472" s="461"/>
      <c r="AC472" s="461"/>
    </row>
    <row r="473" spans="1:29">
      <c r="A473" s="461"/>
      <c r="B473" s="461"/>
      <c r="C473" s="461"/>
      <c r="D473" s="462"/>
      <c r="E473" s="461"/>
      <c r="F473" s="461"/>
      <c r="G473" s="461"/>
      <c r="H473" s="461"/>
      <c r="I473" s="461"/>
      <c r="J473" s="461"/>
      <c r="K473" s="461"/>
      <c r="L473" s="461"/>
      <c r="M473" s="461"/>
      <c r="N473" s="461"/>
      <c r="O473" s="461"/>
      <c r="P473" s="461"/>
      <c r="Q473" s="461"/>
      <c r="R473" s="463"/>
      <c r="S473" s="461"/>
      <c r="T473" s="463"/>
      <c r="U473" s="461"/>
      <c r="V473" s="463"/>
      <c r="W473" s="461"/>
      <c r="AC473" s="461"/>
    </row>
    <row r="474" spans="1:29">
      <c r="A474" s="461"/>
      <c r="B474" s="461"/>
      <c r="C474" s="461"/>
      <c r="D474" s="462"/>
      <c r="E474" s="461"/>
      <c r="F474" s="461"/>
      <c r="G474" s="461"/>
      <c r="H474" s="461"/>
      <c r="I474" s="461"/>
      <c r="J474" s="461"/>
      <c r="K474" s="461"/>
      <c r="L474" s="461"/>
      <c r="M474" s="461"/>
      <c r="N474" s="461"/>
      <c r="O474" s="461"/>
      <c r="P474" s="461"/>
      <c r="Q474" s="461"/>
      <c r="R474" s="463"/>
      <c r="S474" s="461"/>
      <c r="T474" s="463"/>
      <c r="U474" s="461"/>
      <c r="V474" s="463"/>
      <c r="W474" s="461"/>
      <c r="AC474" s="461"/>
    </row>
    <row r="475" spans="1:29">
      <c r="A475" s="461"/>
      <c r="B475" s="461"/>
      <c r="C475" s="461"/>
      <c r="D475" s="462"/>
      <c r="E475" s="461"/>
      <c r="F475" s="461"/>
      <c r="G475" s="461"/>
      <c r="H475" s="461"/>
      <c r="I475" s="461"/>
      <c r="J475" s="461"/>
      <c r="K475" s="461"/>
      <c r="L475" s="461"/>
      <c r="M475" s="461"/>
      <c r="N475" s="461"/>
      <c r="O475" s="461"/>
      <c r="P475" s="461"/>
      <c r="Q475" s="461"/>
      <c r="R475" s="463"/>
      <c r="S475" s="461"/>
      <c r="T475" s="463"/>
      <c r="U475" s="461"/>
      <c r="V475" s="463"/>
      <c r="W475" s="461"/>
      <c r="AC475" s="461"/>
    </row>
    <row r="476" spans="1:29">
      <c r="A476" s="461"/>
      <c r="B476" s="461"/>
      <c r="C476" s="461"/>
      <c r="D476" s="462"/>
      <c r="E476" s="461"/>
      <c r="F476" s="461"/>
      <c r="G476" s="461"/>
      <c r="H476" s="461"/>
      <c r="I476" s="461"/>
      <c r="J476" s="461"/>
      <c r="K476" s="461"/>
      <c r="L476" s="461"/>
      <c r="M476" s="461"/>
      <c r="N476" s="461"/>
      <c r="O476" s="461"/>
      <c r="P476" s="461"/>
      <c r="Q476" s="461"/>
      <c r="R476" s="463"/>
      <c r="S476" s="461"/>
      <c r="T476" s="463"/>
      <c r="U476" s="461"/>
      <c r="V476" s="463"/>
      <c r="W476" s="461"/>
      <c r="AC476" s="461"/>
    </row>
    <row r="477" spans="1:29">
      <c r="A477" s="461"/>
      <c r="B477" s="461"/>
      <c r="C477" s="461"/>
      <c r="D477" s="462"/>
      <c r="E477" s="461"/>
      <c r="F477" s="461"/>
      <c r="G477" s="461"/>
      <c r="H477" s="461"/>
      <c r="I477" s="461"/>
      <c r="J477" s="461"/>
      <c r="K477" s="461"/>
      <c r="L477" s="461"/>
      <c r="M477" s="461"/>
      <c r="N477" s="461"/>
      <c r="O477" s="461"/>
      <c r="P477" s="461"/>
      <c r="Q477" s="461"/>
      <c r="R477" s="463"/>
      <c r="S477" s="461"/>
      <c r="T477" s="463"/>
      <c r="U477" s="461"/>
      <c r="V477" s="463"/>
      <c r="W477" s="461"/>
      <c r="AC477" s="461"/>
    </row>
    <row r="478" spans="1:29">
      <c r="A478" s="461"/>
      <c r="B478" s="461"/>
      <c r="C478" s="461"/>
      <c r="D478" s="462"/>
      <c r="E478" s="461"/>
      <c r="F478" s="461"/>
      <c r="G478" s="461"/>
      <c r="H478" s="461"/>
      <c r="I478" s="461"/>
      <c r="J478" s="461"/>
      <c r="K478" s="461"/>
      <c r="L478" s="461"/>
      <c r="M478" s="461"/>
      <c r="N478" s="461"/>
      <c r="O478" s="461"/>
      <c r="P478" s="461"/>
      <c r="Q478" s="461"/>
      <c r="R478" s="463"/>
      <c r="S478" s="461"/>
      <c r="T478" s="463"/>
      <c r="U478" s="461"/>
      <c r="V478" s="463"/>
      <c r="W478" s="461"/>
      <c r="AC478" s="461"/>
    </row>
    <row r="479" spans="1:29">
      <c r="A479" s="461"/>
      <c r="B479" s="461"/>
      <c r="C479" s="461"/>
      <c r="D479" s="462"/>
      <c r="E479" s="461"/>
      <c r="F479" s="461"/>
      <c r="G479" s="461"/>
      <c r="H479" s="461"/>
      <c r="I479" s="461"/>
      <c r="J479" s="461"/>
      <c r="K479" s="461"/>
      <c r="L479" s="461"/>
      <c r="M479" s="461"/>
      <c r="N479" s="461"/>
      <c r="O479" s="461"/>
      <c r="P479" s="461"/>
      <c r="Q479" s="461"/>
      <c r="R479" s="463"/>
      <c r="S479" s="461"/>
      <c r="T479" s="463"/>
      <c r="U479" s="461"/>
      <c r="V479" s="463"/>
      <c r="W479" s="461"/>
      <c r="AC479" s="461"/>
    </row>
    <row r="480" spans="1:29">
      <c r="A480" s="461"/>
      <c r="B480" s="461"/>
      <c r="C480" s="461"/>
      <c r="D480" s="462"/>
      <c r="E480" s="461"/>
      <c r="F480" s="461"/>
      <c r="G480" s="461"/>
      <c r="H480" s="461"/>
      <c r="I480" s="461"/>
      <c r="J480" s="461"/>
      <c r="K480" s="461"/>
      <c r="L480" s="461"/>
      <c r="M480" s="461"/>
      <c r="N480" s="461"/>
      <c r="O480" s="461"/>
      <c r="P480" s="461"/>
      <c r="Q480" s="461"/>
      <c r="R480" s="463"/>
      <c r="S480" s="461"/>
      <c r="T480" s="463"/>
      <c r="U480" s="461"/>
      <c r="V480" s="463"/>
      <c r="W480" s="461"/>
      <c r="AC480" s="461"/>
    </row>
    <row r="481" spans="1:29">
      <c r="A481" s="461"/>
      <c r="B481" s="461"/>
      <c r="C481" s="461"/>
      <c r="D481" s="462"/>
      <c r="E481" s="461"/>
      <c r="F481" s="461"/>
      <c r="G481" s="461"/>
      <c r="H481" s="461"/>
      <c r="I481" s="461"/>
      <c r="J481" s="461"/>
      <c r="K481" s="461"/>
      <c r="L481" s="461"/>
      <c r="M481" s="461"/>
      <c r="N481" s="461"/>
      <c r="O481" s="461"/>
      <c r="P481" s="461"/>
      <c r="Q481" s="461"/>
      <c r="R481" s="463"/>
      <c r="S481" s="461"/>
      <c r="T481" s="463"/>
      <c r="U481" s="461"/>
      <c r="V481" s="463"/>
      <c r="W481" s="461"/>
      <c r="AC481" s="461"/>
    </row>
    <row r="482" spans="1:29">
      <c r="A482" s="461"/>
      <c r="B482" s="461"/>
      <c r="C482" s="461"/>
      <c r="D482" s="462"/>
      <c r="E482" s="461"/>
      <c r="F482" s="461"/>
      <c r="G482" s="461"/>
      <c r="H482" s="461"/>
      <c r="I482" s="461"/>
      <c r="J482" s="461"/>
      <c r="K482" s="461"/>
      <c r="L482" s="461"/>
      <c r="M482" s="461"/>
      <c r="N482" s="461"/>
      <c r="O482" s="461"/>
      <c r="P482" s="461"/>
      <c r="Q482" s="461"/>
      <c r="R482" s="463"/>
      <c r="S482" s="461"/>
      <c r="T482" s="463"/>
      <c r="U482" s="461"/>
      <c r="V482" s="463"/>
      <c r="W482" s="461"/>
      <c r="AC482" s="461"/>
    </row>
    <row r="483" spans="1:29">
      <c r="A483" s="461"/>
      <c r="B483" s="461"/>
      <c r="C483" s="461"/>
      <c r="D483" s="462"/>
      <c r="E483" s="461"/>
      <c r="F483" s="461"/>
      <c r="G483" s="461"/>
      <c r="H483" s="461"/>
      <c r="I483" s="461"/>
      <c r="J483" s="461"/>
      <c r="K483" s="461"/>
      <c r="L483" s="461"/>
      <c r="M483" s="461"/>
      <c r="N483" s="461"/>
      <c r="O483" s="461"/>
      <c r="P483" s="461"/>
      <c r="Q483" s="461"/>
      <c r="R483" s="463"/>
      <c r="S483" s="461"/>
      <c r="T483" s="463"/>
      <c r="U483" s="461"/>
      <c r="V483" s="463"/>
      <c r="W483" s="461"/>
      <c r="AC483" s="461"/>
    </row>
    <row r="484" spans="1:29">
      <c r="A484" s="461"/>
      <c r="B484" s="461"/>
      <c r="C484" s="461"/>
      <c r="D484" s="462"/>
      <c r="E484" s="461"/>
      <c r="F484" s="461"/>
      <c r="G484" s="461"/>
      <c r="H484" s="461"/>
      <c r="I484" s="461"/>
      <c r="J484" s="461"/>
      <c r="K484" s="461"/>
      <c r="L484" s="461"/>
      <c r="M484" s="461"/>
      <c r="N484" s="461"/>
      <c r="O484" s="461"/>
      <c r="P484" s="461"/>
      <c r="Q484" s="461"/>
      <c r="R484" s="463"/>
      <c r="S484" s="461"/>
      <c r="T484" s="463"/>
      <c r="U484" s="461"/>
      <c r="V484" s="463"/>
      <c r="W484" s="461"/>
      <c r="AC484" s="461"/>
    </row>
    <row r="485" spans="1:29">
      <c r="A485" s="461"/>
      <c r="B485" s="461"/>
      <c r="C485" s="461"/>
      <c r="D485" s="462"/>
      <c r="E485" s="461"/>
      <c r="F485" s="461"/>
      <c r="G485" s="461"/>
      <c r="H485" s="461"/>
      <c r="I485" s="461"/>
      <c r="J485" s="461"/>
      <c r="K485" s="461"/>
      <c r="L485" s="461"/>
      <c r="M485" s="461"/>
      <c r="N485" s="461"/>
      <c r="O485" s="461"/>
      <c r="P485" s="461"/>
      <c r="Q485" s="461"/>
      <c r="R485" s="463"/>
      <c r="S485" s="461"/>
      <c r="T485" s="463"/>
      <c r="U485" s="461"/>
      <c r="V485" s="463"/>
      <c r="W485" s="461"/>
      <c r="AC485" s="461"/>
    </row>
    <row r="486" spans="1:29">
      <c r="A486" s="461"/>
      <c r="B486" s="461"/>
      <c r="C486" s="461"/>
      <c r="D486" s="462"/>
      <c r="E486" s="461"/>
      <c r="F486" s="461"/>
      <c r="G486" s="461"/>
      <c r="H486" s="461"/>
      <c r="I486" s="461"/>
      <c r="J486" s="461"/>
      <c r="K486" s="461"/>
      <c r="L486" s="461"/>
      <c r="M486" s="461"/>
      <c r="N486" s="461"/>
      <c r="O486" s="461"/>
      <c r="P486" s="461"/>
      <c r="Q486" s="461"/>
      <c r="R486" s="463"/>
      <c r="S486" s="461"/>
      <c r="T486" s="463"/>
      <c r="U486" s="461"/>
      <c r="V486" s="463"/>
      <c r="W486" s="461"/>
      <c r="AC486" s="461"/>
    </row>
    <row r="487" spans="1:29">
      <c r="A487" s="461"/>
      <c r="B487" s="461"/>
      <c r="C487" s="461"/>
      <c r="D487" s="462"/>
      <c r="E487" s="461"/>
      <c r="F487" s="461"/>
      <c r="G487" s="461"/>
      <c r="H487" s="461"/>
      <c r="I487" s="461"/>
      <c r="J487" s="461"/>
      <c r="K487" s="461"/>
      <c r="L487" s="461"/>
      <c r="M487" s="461"/>
      <c r="N487" s="461"/>
      <c r="O487" s="461"/>
      <c r="P487" s="461"/>
      <c r="Q487" s="461"/>
      <c r="R487" s="463"/>
      <c r="S487" s="461"/>
      <c r="T487" s="463"/>
      <c r="U487" s="461"/>
      <c r="V487" s="463"/>
      <c r="W487" s="461"/>
      <c r="AC487" s="461"/>
    </row>
    <row r="488" spans="1:29">
      <c r="A488" s="461"/>
      <c r="B488" s="461"/>
      <c r="C488" s="461"/>
      <c r="D488" s="462"/>
      <c r="E488" s="461"/>
      <c r="F488" s="461"/>
      <c r="G488" s="461"/>
      <c r="H488" s="461"/>
      <c r="I488" s="461"/>
      <c r="J488" s="461"/>
      <c r="K488" s="461"/>
      <c r="L488" s="461"/>
      <c r="M488" s="461"/>
      <c r="N488" s="461"/>
      <c r="O488" s="461"/>
      <c r="P488" s="461"/>
      <c r="Q488" s="461"/>
      <c r="R488" s="463"/>
      <c r="S488" s="461"/>
      <c r="T488" s="463"/>
      <c r="U488" s="461"/>
      <c r="V488" s="463"/>
      <c r="W488" s="461"/>
      <c r="AC488" s="461"/>
    </row>
    <row r="489" spans="1:29">
      <c r="A489" s="461"/>
      <c r="B489" s="461"/>
      <c r="C489" s="461"/>
      <c r="D489" s="462"/>
      <c r="E489" s="461"/>
      <c r="F489" s="461"/>
      <c r="G489" s="461"/>
      <c r="H489" s="461"/>
      <c r="I489" s="461"/>
      <c r="J489" s="461"/>
      <c r="K489" s="461"/>
      <c r="L489" s="461"/>
      <c r="M489" s="461"/>
      <c r="N489" s="461"/>
      <c r="O489" s="461"/>
      <c r="P489" s="461"/>
      <c r="Q489" s="461"/>
      <c r="R489" s="463"/>
      <c r="S489" s="461"/>
      <c r="T489" s="463"/>
      <c r="U489" s="461"/>
      <c r="V489" s="463"/>
      <c r="W489" s="461"/>
      <c r="AC489" s="461"/>
    </row>
    <row r="490" spans="1:29">
      <c r="A490" s="461"/>
      <c r="B490" s="461"/>
      <c r="C490" s="461"/>
      <c r="D490" s="462"/>
      <c r="E490" s="461"/>
      <c r="F490" s="461"/>
      <c r="G490" s="461"/>
      <c r="H490" s="461"/>
      <c r="I490" s="461"/>
      <c r="J490" s="461"/>
      <c r="K490" s="461"/>
      <c r="L490" s="461"/>
      <c r="M490" s="461"/>
      <c r="N490" s="461"/>
      <c r="O490" s="461"/>
      <c r="P490" s="461"/>
      <c r="Q490" s="461"/>
      <c r="R490" s="463"/>
      <c r="S490" s="461"/>
      <c r="T490" s="463"/>
      <c r="U490" s="461"/>
      <c r="V490" s="463"/>
      <c r="W490" s="461"/>
      <c r="AC490" s="461"/>
    </row>
    <row r="491" spans="1:29">
      <c r="A491" s="461"/>
      <c r="B491" s="461"/>
      <c r="C491" s="461"/>
      <c r="D491" s="462"/>
      <c r="E491" s="461"/>
      <c r="F491" s="461"/>
      <c r="G491" s="461"/>
      <c r="H491" s="461"/>
      <c r="I491" s="461"/>
      <c r="J491" s="461"/>
      <c r="K491" s="461"/>
      <c r="L491" s="461"/>
      <c r="M491" s="461"/>
      <c r="N491" s="461"/>
      <c r="O491" s="461"/>
      <c r="P491" s="461"/>
      <c r="Q491" s="461"/>
      <c r="R491" s="463"/>
      <c r="S491" s="461"/>
      <c r="T491" s="463"/>
      <c r="U491" s="461"/>
      <c r="V491" s="463"/>
      <c r="W491" s="461"/>
      <c r="AC491" s="461"/>
    </row>
    <row r="492" spans="1:29">
      <c r="A492" s="461"/>
      <c r="B492" s="461"/>
      <c r="C492" s="461"/>
      <c r="D492" s="462"/>
      <c r="E492" s="461"/>
      <c r="F492" s="461"/>
      <c r="G492" s="461"/>
      <c r="H492" s="461"/>
      <c r="I492" s="461"/>
      <c r="J492" s="461"/>
      <c r="K492" s="461"/>
      <c r="L492" s="461"/>
      <c r="M492" s="461"/>
      <c r="N492" s="461"/>
      <c r="O492" s="461"/>
      <c r="P492" s="461"/>
      <c r="Q492" s="461"/>
      <c r="R492" s="463"/>
      <c r="S492" s="461"/>
      <c r="T492" s="463"/>
      <c r="U492" s="461"/>
      <c r="V492" s="463"/>
      <c r="W492" s="461"/>
      <c r="AC492" s="461"/>
    </row>
    <row r="493" spans="1:29">
      <c r="A493" s="461"/>
      <c r="B493" s="461"/>
      <c r="C493" s="461"/>
      <c r="D493" s="462"/>
      <c r="E493" s="461"/>
      <c r="F493" s="461"/>
      <c r="G493" s="461"/>
      <c r="H493" s="461"/>
      <c r="I493" s="461"/>
      <c r="J493" s="461"/>
      <c r="K493" s="461"/>
      <c r="L493" s="461"/>
      <c r="M493" s="461"/>
      <c r="N493" s="461"/>
      <c r="O493" s="461"/>
      <c r="P493" s="461"/>
      <c r="Q493" s="461"/>
      <c r="R493" s="463"/>
      <c r="S493" s="461"/>
      <c r="T493" s="463"/>
      <c r="U493" s="461"/>
      <c r="V493" s="463"/>
      <c r="W493" s="461"/>
      <c r="AC493" s="461"/>
    </row>
    <row r="494" spans="1:29">
      <c r="A494" s="461"/>
      <c r="B494" s="461"/>
      <c r="C494" s="461"/>
      <c r="D494" s="462"/>
      <c r="E494" s="461"/>
      <c r="F494" s="461"/>
      <c r="G494" s="461"/>
      <c r="H494" s="461"/>
      <c r="I494" s="461"/>
      <c r="J494" s="461"/>
      <c r="K494" s="461"/>
      <c r="L494" s="461"/>
      <c r="M494" s="461"/>
      <c r="N494" s="461"/>
      <c r="O494" s="461"/>
      <c r="P494" s="461"/>
      <c r="Q494" s="461"/>
      <c r="R494" s="463"/>
      <c r="S494" s="461"/>
      <c r="T494" s="463"/>
      <c r="U494" s="461"/>
      <c r="V494" s="463"/>
      <c r="W494" s="461"/>
      <c r="AC494" s="461"/>
    </row>
    <row r="495" spans="1:29">
      <c r="A495" s="461"/>
      <c r="B495" s="461"/>
      <c r="C495" s="461"/>
      <c r="D495" s="462"/>
      <c r="E495" s="461"/>
      <c r="F495" s="461"/>
      <c r="G495" s="461"/>
      <c r="H495" s="461"/>
      <c r="I495" s="461"/>
      <c r="J495" s="461"/>
      <c r="K495" s="461"/>
      <c r="L495" s="461"/>
      <c r="M495" s="461"/>
      <c r="N495" s="461"/>
      <c r="O495" s="461"/>
      <c r="P495" s="461"/>
      <c r="Q495" s="461"/>
      <c r="R495" s="463"/>
      <c r="S495" s="461"/>
      <c r="T495" s="463"/>
      <c r="U495" s="461"/>
      <c r="V495" s="463"/>
      <c r="W495" s="461"/>
      <c r="AC495" s="461"/>
    </row>
    <row r="496" spans="1:29">
      <c r="A496" s="461"/>
      <c r="B496" s="461"/>
      <c r="C496" s="461"/>
      <c r="D496" s="462"/>
      <c r="E496" s="461"/>
      <c r="F496" s="461"/>
      <c r="G496" s="461"/>
      <c r="H496" s="461"/>
      <c r="I496" s="461"/>
      <c r="J496" s="461"/>
      <c r="K496" s="461"/>
      <c r="L496" s="461"/>
      <c r="M496" s="461"/>
      <c r="N496" s="461"/>
      <c r="O496" s="461"/>
      <c r="P496" s="461"/>
      <c r="Q496" s="461"/>
      <c r="R496" s="463"/>
      <c r="S496" s="461"/>
      <c r="T496" s="463"/>
      <c r="U496" s="461"/>
      <c r="V496" s="463"/>
      <c r="W496" s="461"/>
      <c r="AC496" s="461"/>
    </row>
    <row r="497" spans="1:29">
      <c r="A497" s="461"/>
      <c r="B497" s="461"/>
      <c r="C497" s="461"/>
      <c r="D497" s="462"/>
      <c r="E497" s="461"/>
      <c r="F497" s="461"/>
      <c r="G497" s="461"/>
      <c r="H497" s="461"/>
      <c r="I497" s="461"/>
      <c r="J497" s="461"/>
      <c r="K497" s="461"/>
      <c r="L497" s="461"/>
      <c r="M497" s="461"/>
      <c r="N497" s="461"/>
      <c r="O497" s="461"/>
      <c r="P497" s="461"/>
      <c r="Q497" s="461"/>
      <c r="R497" s="463"/>
      <c r="S497" s="461"/>
      <c r="T497" s="463"/>
      <c r="U497" s="461"/>
      <c r="V497" s="463"/>
      <c r="W497" s="461"/>
      <c r="AC497" s="461"/>
    </row>
    <row r="498" spans="1:29">
      <c r="A498" s="461"/>
      <c r="B498" s="461"/>
      <c r="C498" s="461"/>
      <c r="D498" s="462"/>
      <c r="E498" s="461"/>
      <c r="F498" s="461"/>
      <c r="G498" s="461"/>
      <c r="H498" s="461"/>
      <c r="I498" s="461"/>
      <c r="J498" s="461"/>
      <c r="K498" s="461"/>
      <c r="L498" s="461"/>
      <c r="M498" s="461"/>
      <c r="N498" s="461"/>
      <c r="O498" s="461"/>
      <c r="P498" s="461"/>
      <c r="Q498" s="461"/>
      <c r="R498" s="463"/>
      <c r="S498" s="461"/>
      <c r="T498" s="463"/>
      <c r="U498" s="461"/>
      <c r="V498" s="463"/>
      <c r="W498" s="461"/>
      <c r="AC498" s="461"/>
    </row>
    <row r="499" spans="1:29">
      <c r="A499" s="461"/>
      <c r="B499" s="461"/>
      <c r="C499" s="461"/>
      <c r="D499" s="462"/>
      <c r="E499" s="461"/>
      <c r="F499" s="461"/>
      <c r="G499" s="461"/>
      <c r="H499" s="461"/>
      <c r="I499" s="461"/>
      <c r="J499" s="461"/>
      <c r="K499" s="461"/>
      <c r="L499" s="461"/>
      <c r="M499" s="461"/>
      <c r="N499" s="461"/>
      <c r="O499" s="461"/>
      <c r="P499" s="461"/>
      <c r="Q499" s="461"/>
      <c r="R499" s="463"/>
      <c r="S499" s="461"/>
      <c r="T499" s="463"/>
      <c r="U499" s="461"/>
      <c r="V499" s="463"/>
      <c r="W499" s="461"/>
      <c r="AC499" s="461"/>
    </row>
    <row r="500" spans="1:29">
      <c r="A500" s="461"/>
      <c r="B500" s="461"/>
      <c r="C500" s="461"/>
      <c r="D500" s="462"/>
      <c r="E500" s="461"/>
      <c r="F500" s="461"/>
      <c r="G500" s="461"/>
      <c r="H500" s="461"/>
      <c r="I500" s="461"/>
      <c r="J500" s="461"/>
      <c r="K500" s="461"/>
      <c r="L500" s="461"/>
      <c r="M500" s="461"/>
      <c r="N500" s="461"/>
      <c r="O500" s="461"/>
      <c r="P500" s="461"/>
      <c r="Q500" s="461"/>
      <c r="R500" s="463"/>
      <c r="S500" s="461"/>
      <c r="T500" s="463"/>
      <c r="U500" s="461"/>
      <c r="V500" s="463"/>
      <c r="W500" s="461"/>
      <c r="AC500" s="461"/>
    </row>
    <row r="501" spans="1:29">
      <c r="A501" s="461"/>
      <c r="B501" s="461"/>
      <c r="C501" s="461"/>
      <c r="D501" s="462"/>
      <c r="E501" s="461"/>
      <c r="F501" s="461"/>
      <c r="G501" s="461"/>
      <c r="H501" s="461"/>
      <c r="I501" s="461"/>
      <c r="J501" s="461"/>
      <c r="K501" s="461"/>
      <c r="L501" s="461"/>
      <c r="M501" s="461"/>
      <c r="N501" s="461"/>
      <c r="O501" s="461"/>
      <c r="P501" s="461"/>
      <c r="Q501" s="461"/>
      <c r="R501" s="463"/>
      <c r="S501" s="461"/>
      <c r="T501" s="463"/>
      <c r="U501" s="461"/>
      <c r="V501" s="463"/>
      <c r="W501" s="461"/>
      <c r="AC501" s="461"/>
    </row>
    <row r="502" spans="1:29">
      <c r="A502" s="461"/>
      <c r="B502" s="461"/>
      <c r="C502" s="461"/>
      <c r="D502" s="462"/>
      <c r="E502" s="461"/>
      <c r="F502" s="461"/>
      <c r="G502" s="461"/>
      <c r="H502" s="461"/>
      <c r="I502" s="461"/>
      <c r="J502" s="461"/>
      <c r="K502" s="461"/>
      <c r="L502" s="461"/>
      <c r="M502" s="461"/>
      <c r="N502" s="461"/>
      <c r="O502" s="461"/>
      <c r="P502" s="461"/>
      <c r="Q502" s="461"/>
      <c r="R502" s="463"/>
      <c r="S502" s="461"/>
      <c r="T502" s="463"/>
      <c r="U502" s="461"/>
      <c r="V502" s="463"/>
      <c r="W502" s="461"/>
      <c r="AC502" s="461"/>
    </row>
    <row r="503" spans="1:29">
      <c r="A503" s="461"/>
      <c r="B503" s="461"/>
      <c r="C503" s="461"/>
      <c r="D503" s="462"/>
      <c r="E503" s="461"/>
      <c r="F503" s="461"/>
      <c r="G503" s="461"/>
      <c r="H503" s="461"/>
      <c r="I503" s="461"/>
      <c r="J503" s="461"/>
      <c r="K503" s="461"/>
      <c r="L503" s="461"/>
      <c r="M503" s="461"/>
      <c r="N503" s="461"/>
      <c r="O503" s="461"/>
      <c r="P503" s="461"/>
      <c r="Q503" s="461"/>
      <c r="R503" s="463"/>
      <c r="S503" s="461"/>
      <c r="T503" s="463"/>
      <c r="U503" s="461"/>
      <c r="V503" s="463"/>
      <c r="W503" s="461"/>
      <c r="AC503" s="461"/>
    </row>
    <row r="504" spans="1:29">
      <c r="A504" s="461"/>
      <c r="B504" s="461"/>
      <c r="C504" s="461"/>
      <c r="D504" s="462"/>
      <c r="E504" s="461"/>
      <c r="F504" s="461"/>
      <c r="G504" s="461"/>
      <c r="H504" s="461"/>
      <c r="I504" s="461"/>
      <c r="J504" s="461"/>
      <c r="K504" s="461"/>
      <c r="L504" s="461"/>
      <c r="M504" s="461"/>
      <c r="N504" s="461"/>
      <c r="O504" s="461"/>
      <c r="P504" s="461"/>
      <c r="Q504" s="461"/>
      <c r="R504" s="463"/>
      <c r="S504" s="461"/>
      <c r="T504" s="463"/>
      <c r="U504" s="461"/>
      <c r="V504" s="463"/>
      <c r="W504" s="461"/>
      <c r="AC504" s="461"/>
    </row>
    <row r="505" spans="1:29">
      <c r="A505" s="461"/>
      <c r="B505" s="461"/>
      <c r="C505" s="461"/>
      <c r="D505" s="462"/>
      <c r="E505" s="461"/>
      <c r="F505" s="461"/>
      <c r="G505" s="461"/>
      <c r="H505" s="461"/>
      <c r="I505" s="461"/>
      <c r="J505" s="461"/>
      <c r="K505" s="461"/>
      <c r="L505" s="461"/>
      <c r="M505" s="461"/>
      <c r="N505" s="461"/>
      <c r="O505" s="461"/>
      <c r="P505" s="461"/>
      <c r="Q505" s="461"/>
      <c r="R505" s="463"/>
      <c r="S505" s="461"/>
      <c r="T505" s="463"/>
      <c r="U505" s="461"/>
      <c r="V505" s="463"/>
      <c r="W505" s="461"/>
      <c r="AC505" s="461"/>
    </row>
    <row r="506" spans="1:29">
      <c r="A506" s="461"/>
      <c r="B506" s="461"/>
      <c r="C506" s="461"/>
      <c r="D506" s="462"/>
      <c r="E506" s="461"/>
      <c r="F506" s="461"/>
      <c r="G506" s="461"/>
      <c r="H506" s="461"/>
      <c r="I506" s="461"/>
      <c r="J506" s="461"/>
      <c r="K506" s="461"/>
      <c r="L506" s="461"/>
      <c r="M506" s="461"/>
      <c r="N506" s="461"/>
      <c r="O506" s="461"/>
      <c r="P506" s="461"/>
      <c r="Q506" s="461"/>
      <c r="R506" s="463"/>
      <c r="S506" s="461"/>
      <c r="T506" s="463"/>
      <c r="U506" s="461"/>
      <c r="V506" s="463"/>
      <c r="W506" s="461"/>
      <c r="AC506" s="461"/>
    </row>
    <row r="507" spans="1:29">
      <c r="A507" s="461"/>
      <c r="B507" s="461"/>
      <c r="C507" s="461"/>
      <c r="D507" s="462"/>
      <c r="E507" s="461"/>
      <c r="F507" s="461"/>
      <c r="G507" s="461"/>
      <c r="H507" s="461"/>
      <c r="I507" s="461"/>
      <c r="J507" s="461"/>
      <c r="K507" s="461"/>
      <c r="L507" s="461"/>
      <c r="M507" s="461"/>
      <c r="N507" s="461"/>
      <c r="O507" s="461"/>
      <c r="P507" s="461"/>
      <c r="Q507" s="461"/>
      <c r="R507" s="463"/>
      <c r="S507" s="461"/>
      <c r="T507" s="463"/>
      <c r="U507" s="461"/>
      <c r="V507" s="463"/>
      <c r="W507" s="461"/>
      <c r="AC507" s="461"/>
    </row>
    <row r="508" spans="1:29">
      <c r="A508" s="461"/>
      <c r="B508" s="461"/>
      <c r="C508" s="461"/>
      <c r="D508" s="462"/>
      <c r="E508" s="461"/>
      <c r="F508" s="461"/>
      <c r="G508" s="461"/>
      <c r="H508" s="461"/>
      <c r="I508" s="461"/>
      <c r="J508" s="461"/>
      <c r="K508" s="461"/>
      <c r="L508" s="461"/>
      <c r="M508" s="461"/>
      <c r="N508" s="461"/>
      <c r="O508" s="461"/>
      <c r="P508" s="461"/>
      <c r="Q508" s="461"/>
      <c r="R508" s="463"/>
      <c r="S508" s="461"/>
      <c r="T508" s="463"/>
      <c r="U508" s="461"/>
      <c r="V508" s="463"/>
      <c r="W508" s="461"/>
      <c r="AC508" s="461"/>
    </row>
    <row r="509" spans="1:29">
      <c r="A509" s="461"/>
      <c r="B509" s="461"/>
      <c r="C509" s="461"/>
      <c r="D509" s="462"/>
      <c r="E509" s="461"/>
      <c r="F509" s="461"/>
      <c r="G509" s="461"/>
      <c r="H509" s="461"/>
      <c r="I509" s="461"/>
      <c r="J509" s="461"/>
      <c r="K509" s="461"/>
      <c r="L509" s="461"/>
      <c r="M509" s="461"/>
      <c r="N509" s="461"/>
      <c r="O509" s="461"/>
      <c r="P509" s="461"/>
      <c r="Q509" s="461"/>
      <c r="R509" s="463"/>
      <c r="S509" s="461"/>
      <c r="T509" s="463"/>
      <c r="U509" s="461"/>
      <c r="V509" s="463"/>
      <c r="W509" s="461"/>
      <c r="AC509" s="461"/>
    </row>
    <row r="510" spans="1:29">
      <c r="A510" s="461"/>
      <c r="B510" s="461"/>
      <c r="C510" s="461"/>
      <c r="D510" s="462"/>
      <c r="E510" s="461"/>
      <c r="F510" s="461"/>
      <c r="G510" s="461"/>
      <c r="H510" s="461"/>
      <c r="I510" s="461"/>
      <c r="J510" s="461"/>
      <c r="K510" s="461"/>
      <c r="L510" s="461"/>
      <c r="M510" s="461"/>
      <c r="N510" s="461"/>
      <c r="O510" s="461"/>
      <c r="P510" s="461"/>
      <c r="Q510" s="461"/>
      <c r="R510" s="463"/>
      <c r="S510" s="461"/>
      <c r="T510" s="463"/>
      <c r="U510" s="461"/>
      <c r="V510" s="463"/>
      <c r="W510" s="461"/>
      <c r="AC510" s="461"/>
    </row>
    <row r="511" spans="1:29">
      <c r="A511" s="461"/>
      <c r="B511" s="461"/>
      <c r="C511" s="461"/>
      <c r="D511" s="462"/>
      <c r="E511" s="461"/>
      <c r="F511" s="461"/>
      <c r="G511" s="461"/>
      <c r="H511" s="461"/>
      <c r="I511" s="461"/>
      <c r="J511" s="461"/>
      <c r="K511" s="461"/>
      <c r="L511" s="461"/>
      <c r="M511" s="461"/>
      <c r="N511" s="461"/>
      <c r="O511" s="461"/>
      <c r="P511" s="461"/>
      <c r="Q511" s="461"/>
      <c r="R511" s="463"/>
      <c r="S511" s="461"/>
      <c r="T511" s="463"/>
      <c r="U511" s="461"/>
      <c r="V511" s="463"/>
      <c r="W511" s="461"/>
      <c r="AC511" s="461"/>
    </row>
    <row r="512" spans="1:29">
      <c r="A512" s="461"/>
      <c r="B512" s="461"/>
      <c r="C512" s="461"/>
      <c r="D512" s="462"/>
      <c r="E512" s="461"/>
      <c r="F512" s="461"/>
      <c r="G512" s="461"/>
      <c r="H512" s="461"/>
      <c r="I512" s="461"/>
      <c r="J512" s="461"/>
      <c r="K512" s="461"/>
      <c r="L512" s="461"/>
      <c r="M512" s="461"/>
      <c r="N512" s="461"/>
      <c r="O512" s="461"/>
      <c r="P512" s="461"/>
      <c r="Q512" s="461"/>
      <c r="R512" s="463"/>
      <c r="S512" s="461"/>
      <c r="T512" s="463"/>
      <c r="U512" s="461"/>
      <c r="V512" s="463"/>
      <c r="W512" s="461"/>
      <c r="AC512" s="461"/>
    </row>
    <row r="513" spans="1:29">
      <c r="A513" s="461"/>
      <c r="B513" s="461"/>
      <c r="C513" s="461"/>
      <c r="D513" s="462"/>
      <c r="E513" s="461"/>
      <c r="F513" s="461"/>
      <c r="G513" s="461"/>
      <c r="H513" s="461"/>
      <c r="I513" s="461"/>
      <c r="J513" s="461"/>
      <c r="K513" s="461"/>
      <c r="L513" s="461"/>
      <c r="M513" s="461"/>
      <c r="N513" s="461"/>
      <c r="O513" s="461"/>
      <c r="P513" s="461"/>
      <c r="Q513" s="461"/>
      <c r="R513" s="463"/>
      <c r="S513" s="461"/>
      <c r="T513" s="463"/>
      <c r="U513" s="461"/>
      <c r="V513" s="463"/>
      <c r="W513" s="461"/>
      <c r="AC513" s="461"/>
    </row>
    <row r="514" spans="1:29">
      <c r="A514" s="461"/>
      <c r="B514" s="461"/>
      <c r="C514" s="461"/>
      <c r="D514" s="462"/>
      <c r="E514" s="461"/>
      <c r="F514" s="461"/>
      <c r="G514" s="461"/>
      <c r="H514" s="461"/>
      <c r="I514" s="461"/>
      <c r="J514" s="461"/>
      <c r="K514" s="461"/>
      <c r="L514" s="461"/>
      <c r="M514" s="461"/>
      <c r="N514" s="461"/>
      <c r="O514" s="461"/>
      <c r="P514" s="461"/>
      <c r="Q514" s="461"/>
      <c r="R514" s="463"/>
      <c r="S514" s="461"/>
      <c r="T514" s="463"/>
      <c r="U514" s="461"/>
      <c r="V514" s="463"/>
      <c r="W514" s="461"/>
      <c r="AC514" s="461"/>
    </row>
    <row r="515" spans="1:29">
      <c r="A515" s="461"/>
      <c r="B515" s="461"/>
      <c r="C515" s="461"/>
      <c r="D515" s="462"/>
      <c r="E515" s="461"/>
      <c r="F515" s="461"/>
      <c r="G515" s="461"/>
      <c r="H515" s="461"/>
      <c r="I515" s="461"/>
      <c r="J515" s="461"/>
      <c r="K515" s="461"/>
      <c r="L515" s="461"/>
      <c r="M515" s="461"/>
      <c r="N515" s="461"/>
      <c r="O515" s="461"/>
      <c r="P515" s="461"/>
      <c r="Q515" s="461"/>
      <c r="R515" s="463"/>
      <c r="S515" s="461"/>
      <c r="T515" s="463"/>
      <c r="U515" s="461"/>
      <c r="V515" s="463"/>
      <c r="W515" s="461"/>
      <c r="AC515" s="461"/>
    </row>
    <row r="516" spans="1:29">
      <c r="A516" s="461"/>
      <c r="B516" s="461"/>
      <c r="C516" s="461"/>
      <c r="D516" s="462"/>
      <c r="E516" s="461"/>
      <c r="F516" s="461"/>
      <c r="G516" s="461"/>
      <c r="H516" s="461"/>
      <c r="I516" s="461"/>
      <c r="J516" s="461"/>
      <c r="K516" s="461"/>
      <c r="L516" s="461"/>
      <c r="M516" s="461"/>
      <c r="N516" s="461"/>
      <c r="O516" s="461"/>
      <c r="P516" s="461"/>
      <c r="Q516" s="461"/>
      <c r="R516" s="463"/>
      <c r="S516" s="461"/>
      <c r="T516" s="463"/>
      <c r="U516" s="461"/>
      <c r="V516" s="463"/>
      <c r="W516" s="461"/>
      <c r="AC516" s="461"/>
    </row>
    <row r="517" spans="1:29">
      <c r="A517" s="461"/>
      <c r="B517" s="461"/>
      <c r="C517" s="461"/>
      <c r="D517" s="462"/>
      <c r="E517" s="461"/>
      <c r="F517" s="461"/>
      <c r="G517" s="461"/>
      <c r="H517" s="461"/>
      <c r="I517" s="461"/>
      <c r="J517" s="461"/>
      <c r="K517" s="461"/>
      <c r="L517" s="461"/>
      <c r="M517" s="461"/>
      <c r="N517" s="461"/>
      <c r="O517" s="461"/>
      <c r="P517" s="461"/>
      <c r="Q517" s="461"/>
      <c r="R517" s="463"/>
      <c r="S517" s="461"/>
      <c r="T517" s="463"/>
      <c r="U517" s="461"/>
      <c r="V517" s="463"/>
      <c r="W517" s="461"/>
      <c r="AC517" s="461"/>
    </row>
    <row r="518" spans="1:29">
      <c r="A518" s="461"/>
      <c r="B518" s="461"/>
      <c r="C518" s="461"/>
      <c r="D518" s="462"/>
      <c r="E518" s="461"/>
      <c r="F518" s="461"/>
      <c r="G518" s="461"/>
      <c r="H518" s="461"/>
      <c r="I518" s="461"/>
      <c r="J518" s="461"/>
      <c r="K518" s="461"/>
      <c r="L518" s="461"/>
      <c r="M518" s="461"/>
      <c r="N518" s="461"/>
      <c r="O518" s="461"/>
      <c r="P518" s="461"/>
      <c r="Q518" s="461"/>
      <c r="R518" s="463"/>
      <c r="S518" s="461"/>
      <c r="T518" s="463"/>
      <c r="U518" s="461"/>
      <c r="V518" s="463"/>
      <c r="W518" s="461"/>
      <c r="AC518" s="461"/>
    </row>
    <row r="519" spans="1:29">
      <c r="A519" s="461"/>
      <c r="B519" s="461"/>
      <c r="C519" s="461"/>
      <c r="D519" s="462"/>
      <c r="E519" s="461"/>
      <c r="F519" s="461"/>
      <c r="G519" s="461"/>
      <c r="H519" s="461"/>
      <c r="I519" s="461"/>
      <c r="J519" s="461"/>
      <c r="K519" s="461"/>
      <c r="L519" s="461"/>
      <c r="M519" s="461"/>
      <c r="N519" s="461"/>
      <c r="O519" s="461"/>
      <c r="P519" s="461"/>
      <c r="Q519" s="461"/>
      <c r="R519" s="463"/>
      <c r="S519" s="461"/>
      <c r="T519" s="463"/>
      <c r="U519" s="461"/>
      <c r="V519" s="463"/>
      <c r="W519" s="461"/>
      <c r="AC519" s="461"/>
    </row>
    <row r="520" spans="1:29">
      <c r="A520" s="461"/>
      <c r="B520" s="461"/>
      <c r="C520" s="461"/>
      <c r="D520" s="462"/>
      <c r="E520" s="461"/>
      <c r="F520" s="461"/>
      <c r="G520" s="461"/>
      <c r="H520" s="461"/>
      <c r="I520" s="461"/>
      <c r="J520" s="461"/>
      <c r="K520" s="461"/>
      <c r="L520" s="461"/>
      <c r="M520" s="461"/>
      <c r="N520" s="461"/>
      <c r="O520" s="461"/>
      <c r="P520" s="461"/>
      <c r="Q520" s="461"/>
      <c r="R520" s="463"/>
      <c r="S520" s="461"/>
      <c r="T520" s="463"/>
      <c r="U520" s="461"/>
      <c r="V520" s="463"/>
      <c r="W520" s="461"/>
      <c r="AC520" s="461"/>
    </row>
    <row r="521" spans="1:29">
      <c r="A521" s="461"/>
      <c r="B521" s="461"/>
      <c r="C521" s="461"/>
      <c r="D521" s="462"/>
      <c r="E521" s="461"/>
      <c r="F521" s="461"/>
      <c r="G521" s="461"/>
      <c r="H521" s="461"/>
      <c r="I521" s="461"/>
      <c r="J521" s="461"/>
      <c r="K521" s="461"/>
      <c r="L521" s="461"/>
      <c r="M521" s="461"/>
      <c r="N521" s="461"/>
      <c r="O521" s="461"/>
      <c r="P521" s="461"/>
      <c r="Q521" s="461"/>
      <c r="R521" s="463"/>
      <c r="S521" s="461"/>
      <c r="T521" s="463"/>
      <c r="U521" s="461"/>
      <c r="V521" s="463"/>
      <c r="W521" s="461"/>
      <c r="AC521" s="461"/>
    </row>
    <row r="522" spans="1:29">
      <c r="A522" s="461"/>
      <c r="B522" s="461"/>
      <c r="C522" s="461"/>
      <c r="D522" s="462"/>
      <c r="E522" s="461"/>
      <c r="F522" s="461"/>
      <c r="G522" s="461"/>
      <c r="H522" s="461"/>
      <c r="I522" s="461"/>
      <c r="J522" s="461"/>
      <c r="K522" s="461"/>
      <c r="L522" s="461"/>
      <c r="M522" s="461"/>
      <c r="N522" s="461"/>
      <c r="O522" s="461"/>
      <c r="P522" s="461"/>
      <c r="Q522" s="461"/>
      <c r="R522" s="463"/>
      <c r="S522" s="461"/>
      <c r="T522" s="463"/>
      <c r="U522" s="461"/>
      <c r="V522" s="463"/>
      <c r="W522" s="461"/>
      <c r="AC522" s="461"/>
    </row>
    <row r="523" spans="1:29">
      <c r="A523" s="461"/>
      <c r="B523" s="461"/>
      <c r="C523" s="461"/>
      <c r="D523" s="462"/>
      <c r="E523" s="461"/>
      <c r="F523" s="461"/>
      <c r="G523" s="461"/>
      <c r="H523" s="461"/>
      <c r="I523" s="461"/>
      <c r="J523" s="461"/>
      <c r="K523" s="461"/>
      <c r="L523" s="461"/>
      <c r="M523" s="461"/>
      <c r="N523" s="461"/>
      <c r="O523" s="461"/>
      <c r="P523" s="461"/>
      <c r="Q523" s="461"/>
      <c r="R523" s="463"/>
      <c r="S523" s="461"/>
      <c r="T523" s="463"/>
      <c r="U523" s="461"/>
      <c r="V523" s="463"/>
      <c r="W523" s="461"/>
      <c r="AC523" s="461"/>
    </row>
    <row r="524" spans="1:29">
      <c r="A524" s="461"/>
      <c r="B524" s="461"/>
      <c r="C524" s="461"/>
      <c r="D524" s="462"/>
      <c r="E524" s="461"/>
      <c r="F524" s="461"/>
      <c r="G524" s="461"/>
      <c r="H524" s="461"/>
      <c r="I524" s="461"/>
      <c r="J524" s="461"/>
      <c r="K524" s="461"/>
      <c r="L524" s="461"/>
      <c r="M524" s="461"/>
      <c r="N524" s="461"/>
      <c r="O524" s="461"/>
      <c r="P524" s="461"/>
      <c r="Q524" s="461"/>
      <c r="R524" s="463"/>
      <c r="S524" s="461"/>
      <c r="T524" s="463"/>
      <c r="U524" s="461"/>
      <c r="V524" s="463"/>
      <c r="W524" s="461"/>
      <c r="AC524" s="461"/>
    </row>
    <row r="525" spans="1:29">
      <c r="A525" s="461"/>
      <c r="B525" s="461"/>
      <c r="C525" s="461"/>
      <c r="D525" s="462"/>
      <c r="E525" s="461"/>
      <c r="F525" s="461"/>
      <c r="G525" s="461"/>
      <c r="H525" s="461"/>
      <c r="I525" s="461"/>
      <c r="J525" s="461"/>
      <c r="K525" s="461"/>
      <c r="L525" s="461"/>
      <c r="M525" s="461"/>
      <c r="N525" s="461"/>
      <c r="O525" s="461"/>
      <c r="P525" s="461"/>
      <c r="Q525" s="461"/>
      <c r="R525" s="463"/>
      <c r="S525" s="461"/>
      <c r="T525" s="463"/>
      <c r="U525" s="461"/>
      <c r="V525" s="463"/>
      <c r="W525" s="461"/>
      <c r="AC525" s="461"/>
    </row>
    <row r="526" spans="1:29">
      <c r="A526" s="461"/>
      <c r="B526" s="461"/>
      <c r="C526" s="461"/>
      <c r="D526" s="462"/>
      <c r="E526" s="461"/>
      <c r="F526" s="461"/>
      <c r="G526" s="461"/>
      <c r="H526" s="461"/>
      <c r="I526" s="461"/>
      <c r="J526" s="461"/>
      <c r="K526" s="461"/>
      <c r="L526" s="461"/>
      <c r="M526" s="461"/>
      <c r="N526" s="461"/>
      <c r="O526" s="461"/>
      <c r="P526" s="461"/>
      <c r="Q526" s="461"/>
      <c r="R526" s="463"/>
      <c r="S526" s="461"/>
      <c r="T526" s="463"/>
      <c r="U526" s="461"/>
      <c r="V526" s="463"/>
      <c r="W526" s="461"/>
      <c r="AC526" s="461"/>
    </row>
    <row r="527" spans="1:29">
      <c r="A527" s="461"/>
      <c r="B527" s="461"/>
      <c r="C527" s="461"/>
      <c r="D527" s="462"/>
      <c r="E527" s="461"/>
      <c r="F527" s="461"/>
      <c r="G527" s="461"/>
      <c r="H527" s="461"/>
      <c r="I527" s="461"/>
      <c r="J527" s="461"/>
      <c r="K527" s="461"/>
      <c r="L527" s="461"/>
      <c r="M527" s="461"/>
      <c r="N527" s="461"/>
      <c r="O527" s="461"/>
      <c r="P527" s="461"/>
      <c r="Q527" s="461"/>
      <c r="R527" s="463"/>
      <c r="S527" s="461"/>
      <c r="T527" s="463"/>
      <c r="U527" s="461"/>
      <c r="V527" s="463"/>
      <c r="W527" s="461"/>
      <c r="AC527" s="461"/>
    </row>
    <row r="528" spans="1:29">
      <c r="A528" s="461"/>
      <c r="B528" s="461"/>
      <c r="C528" s="461"/>
      <c r="D528" s="462"/>
      <c r="E528" s="461"/>
      <c r="F528" s="461"/>
      <c r="G528" s="461"/>
      <c r="H528" s="461"/>
      <c r="I528" s="461"/>
      <c r="J528" s="461"/>
      <c r="K528" s="461"/>
      <c r="L528" s="461"/>
      <c r="M528" s="461"/>
      <c r="N528" s="461"/>
      <c r="O528" s="461"/>
      <c r="P528" s="461"/>
      <c r="Q528" s="461"/>
      <c r="R528" s="463"/>
      <c r="S528" s="461"/>
      <c r="T528" s="463"/>
      <c r="U528" s="461"/>
      <c r="V528" s="463"/>
      <c r="W528" s="461"/>
      <c r="AC528" s="461"/>
    </row>
    <row r="529" spans="1:29">
      <c r="A529" s="461"/>
      <c r="B529" s="461"/>
      <c r="C529" s="461"/>
      <c r="D529" s="462"/>
      <c r="E529" s="461"/>
      <c r="F529" s="461"/>
      <c r="G529" s="461"/>
      <c r="H529" s="461"/>
      <c r="I529" s="461"/>
      <c r="J529" s="461"/>
      <c r="K529" s="461"/>
      <c r="L529" s="461"/>
      <c r="M529" s="461"/>
      <c r="N529" s="461"/>
      <c r="O529" s="461"/>
      <c r="P529" s="461"/>
      <c r="Q529" s="461"/>
      <c r="R529" s="463"/>
      <c r="S529" s="461"/>
      <c r="T529" s="463"/>
      <c r="U529" s="461"/>
      <c r="V529" s="463"/>
      <c r="W529" s="461"/>
      <c r="AC529" s="461"/>
    </row>
    <row r="530" spans="1:29">
      <c r="A530" s="461"/>
      <c r="B530" s="461"/>
      <c r="C530" s="461"/>
      <c r="D530" s="462"/>
      <c r="E530" s="461"/>
      <c r="F530" s="461"/>
      <c r="G530" s="461"/>
      <c r="H530" s="461"/>
      <c r="I530" s="461"/>
      <c r="J530" s="461"/>
      <c r="K530" s="461"/>
      <c r="L530" s="461"/>
      <c r="M530" s="461"/>
      <c r="N530" s="461"/>
      <c r="O530" s="461"/>
      <c r="P530" s="461"/>
      <c r="Q530" s="461"/>
      <c r="R530" s="463"/>
      <c r="S530" s="461"/>
      <c r="T530" s="463"/>
      <c r="U530" s="461"/>
      <c r="V530" s="463"/>
      <c r="W530" s="461"/>
      <c r="AC530" s="461"/>
    </row>
    <row r="531" spans="1:29">
      <c r="A531" s="461"/>
      <c r="B531" s="461"/>
      <c r="C531" s="461"/>
      <c r="D531" s="462"/>
      <c r="E531" s="461"/>
      <c r="F531" s="461"/>
      <c r="G531" s="461"/>
      <c r="H531" s="461"/>
      <c r="I531" s="461"/>
      <c r="J531" s="461"/>
      <c r="K531" s="461"/>
      <c r="L531" s="461"/>
      <c r="M531" s="461"/>
      <c r="N531" s="461"/>
      <c r="O531" s="461"/>
      <c r="P531" s="461"/>
      <c r="Q531" s="461"/>
      <c r="R531" s="463"/>
      <c r="S531" s="461"/>
      <c r="T531" s="463"/>
      <c r="U531" s="461"/>
      <c r="V531" s="463"/>
      <c r="W531" s="461"/>
      <c r="AC531" s="461"/>
    </row>
    <row r="532" spans="1:29">
      <c r="A532" s="461"/>
      <c r="B532" s="461"/>
      <c r="C532" s="461"/>
      <c r="D532" s="462"/>
      <c r="E532" s="461"/>
      <c r="F532" s="461"/>
      <c r="G532" s="461"/>
      <c r="H532" s="461"/>
      <c r="I532" s="461"/>
      <c r="J532" s="461"/>
      <c r="K532" s="461"/>
      <c r="L532" s="461"/>
      <c r="M532" s="461"/>
      <c r="N532" s="461"/>
      <c r="O532" s="461"/>
      <c r="P532" s="461"/>
      <c r="Q532" s="461"/>
      <c r="R532" s="463"/>
      <c r="S532" s="461"/>
      <c r="T532" s="463"/>
      <c r="U532" s="461"/>
      <c r="V532" s="463"/>
      <c r="W532" s="461"/>
      <c r="AC532" s="461"/>
    </row>
    <row r="533" spans="1:29">
      <c r="A533" s="461"/>
      <c r="B533" s="461"/>
      <c r="C533" s="461"/>
      <c r="D533" s="462"/>
      <c r="E533" s="461"/>
      <c r="F533" s="461"/>
      <c r="G533" s="461"/>
      <c r="H533" s="461"/>
      <c r="I533" s="461"/>
      <c r="J533" s="461"/>
      <c r="K533" s="461"/>
      <c r="L533" s="461"/>
      <c r="M533" s="461"/>
      <c r="N533" s="461"/>
      <c r="O533" s="461"/>
      <c r="P533" s="461"/>
      <c r="Q533" s="461"/>
      <c r="R533" s="463"/>
      <c r="S533" s="461"/>
      <c r="T533" s="463"/>
      <c r="U533" s="461"/>
      <c r="V533" s="463"/>
      <c r="W533" s="461"/>
      <c r="AC533" s="461"/>
    </row>
    <row r="534" spans="1:29">
      <c r="A534" s="461"/>
      <c r="B534" s="461"/>
      <c r="C534" s="461"/>
      <c r="D534" s="462"/>
      <c r="E534" s="461"/>
      <c r="F534" s="461"/>
      <c r="G534" s="461"/>
      <c r="H534" s="461"/>
      <c r="I534" s="461"/>
      <c r="J534" s="461"/>
      <c r="K534" s="461"/>
      <c r="L534" s="461"/>
      <c r="M534" s="461"/>
      <c r="N534" s="461"/>
      <c r="O534" s="461"/>
      <c r="P534" s="461"/>
      <c r="Q534" s="461"/>
      <c r="R534" s="463"/>
      <c r="S534" s="461"/>
      <c r="T534" s="463"/>
      <c r="U534" s="461"/>
      <c r="V534" s="463"/>
      <c r="W534" s="461"/>
      <c r="AC534" s="461"/>
    </row>
    <row r="535" spans="1:29">
      <c r="A535" s="461"/>
      <c r="B535" s="461"/>
      <c r="C535" s="461"/>
      <c r="D535" s="462"/>
      <c r="E535" s="461"/>
      <c r="F535" s="461"/>
      <c r="G535" s="461"/>
      <c r="H535" s="461"/>
      <c r="I535" s="461"/>
      <c r="J535" s="461"/>
      <c r="K535" s="461"/>
      <c r="L535" s="461"/>
      <c r="M535" s="461"/>
      <c r="N535" s="461"/>
      <c r="O535" s="461"/>
      <c r="P535" s="461"/>
      <c r="Q535" s="461"/>
      <c r="R535" s="463"/>
      <c r="S535" s="461"/>
      <c r="T535" s="463"/>
      <c r="U535" s="461"/>
      <c r="V535" s="463"/>
      <c r="W535" s="461"/>
      <c r="AC535" s="461"/>
    </row>
    <row r="536" spans="1:29">
      <c r="A536" s="461"/>
      <c r="B536" s="461"/>
      <c r="C536" s="461"/>
      <c r="D536" s="462"/>
      <c r="E536" s="461"/>
      <c r="F536" s="461"/>
      <c r="G536" s="461"/>
      <c r="H536" s="461"/>
      <c r="I536" s="461"/>
      <c r="J536" s="461"/>
      <c r="K536" s="461"/>
      <c r="L536" s="461"/>
      <c r="M536" s="461"/>
      <c r="N536" s="461"/>
      <c r="O536" s="461"/>
      <c r="P536" s="461"/>
      <c r="Q536" s="461"/>
      <c r="R536" s="463"/>
      <c r="S536" s="461"/>
      <c r="T536" s="463"/>
      <c r="U536" s="461"/>
      <c r="V536" s="463"/>
      <c r="W536" s="461"/>
      <c r="AC536" s="461"/>
    </row>
    <row r="537" spans="1:29">
      <c r="A537" s="461"/>
      <c r="B537" s="461"/>
      <c r="C537" s="461"/>
      <c r="D537" s="462"/>
      <c r="E537" s="461"/>
      <c r="F537" s="461"/>
      <c r="G537" s="461"/>
      <c r="H537" s="461"/>
      <c r="I537" s="461"/>
      <c r="J537" s="461"/>
      <c r="K537" s="461"/>
      <c r="L537" s="461"/>
      <c r="M537" s="461"/>
      <c r="N537" s="461"/>
      <c r="O537" s="461"/>
      <c r="P537" s="461"/>
      <c r="Q537" s="461"/>
      <c r="R537" s="463"/>
      <c r="S537" s="461"/>
      <c r="T537" s="463"/>
      <c r="U537" s="461"/>
      <c r="V537" s="463"/>
      <c r="W537" s="461"/>
      <c r="AC537" s="461"/>
    </row>
    <row r="538" spans="1:29">
      <c r="A538" s="461"/>
      <c r="B538" s="461"/>
      <c r="C538" s="461"/>
      <c r="D538" s="462"/>
      <c r="E538" s="461"/>
      <c r="F538" s="461"/>
      <c r="G538" s="461"/>
      <c r="H538" s="461"/>
      <c r="I538" s="461"/>
      <c r="J538" s="461"/>
      <c r="K538" s="461"/>
      <c r="L538" s="461"/>
      <c r="M538" s="461"/>
      <c r="N538" s="461"/>
      <c r="O538" s="461"/>
      <c r="P538" s="461"/>
      <c r="Q538" s="461"/>
      <c r="R538" s="463"/>
      <c r="S538" s="461"/>
      <c r="T538" s="463"/>
      <c r="U538" s="461"/>
      <c r="V538" s="463"/>
      <c r="W538" s="461"/>
      <c r="AC538" s="461"/>
    </row>
    <row r="539" spans="1:29">
      <c r="A539" s="461"/>
      <c r="B539" s="461"/>
      <c r="C539" s="461"/>
      <c r="D539" s="462"/>
      <c r="E539" s="461"/>
      <c r="F539" s="461"/>
      <c r="G539" s="461"/>
      <c r="H539" s="461"/>
      <c r="I539" s="461"/>
      <c r="J539" s="461"/>
      <c r="K539" s="461"/>
      <c r="L539" s="461"/>
      <c r="M539" s="461"/>
      <c r="N539" s="461"/>
      <c r="O539" s="461"/>
      <c r="P539" s="461"/>
      <c r="Q539" s="461"/>
      <c r="R539" s="463"/>
      <c r="S539" s="461"/>
      <c r="T539" s="463"/>
      <c r="U539" s="461"/>
      <c r="V539" s="463"/>
      <c r="W539" s="461"/>
      <c r="AC539" s="461"/>
    </row>
    <row r="540" spans="1:29">
      <c r="A540" s="461"/>
      <c r="B540" s="461"/>
      <c r="C540" s="461"/>
      <c r="D540" s="462"/>
      <c r="E540" s="461"/>
      <c r="F540" s="461"/>
      <c r="G540" s="461"/>
      <c r="H540" s="461"/>
      <c r="I540" s="461"/>
      <c r="J540" s="461"/>
      <c r="K540" s="461"/>
      <c r="L540" s="461"/>
      <c r="M540" s="461"/>
      <c r="N540" s="461"/>
      <c r="O540" s="461"/>
      <c r="P540" s="461"/>
      <c r="Q540" s="461"/>
      <c r="R540" s="463"/>
      <c r="S540" s="461"/>
      <c r="T540" s="463"/>
      <c r="U540" s="461"/>
      <c r="V540" s="463"/>
      <c r="W540" s="461"/>
      <c r="AC540" s="461"/>
    </row>
    <row r="541" spans="1:29">
      <c r="A541" s="461"/>
      <c r="B541" s="461"/>
      <c r="C541" s="461"/>
      <c r="D541" s="462"/>
      <c r="E541" s="461"/>
      <c r="F541" s="461"/>
      <c r="G541" s="461"/>
      <c r="H541" s="461"/>
      <c r="I541" s="461"/>
      <c r="J541" s="461"/>
      <c r="K541" s="461"/>
      <c r="L541" s="461"/>
      <c r="M541" s="461"/>
      <c r="N541" s="461"/>
      <c r="O541" s="461"/>
      <c r="P541" s="461"/>
      <c r="Q541" s="461"/>
      <c r="R541" s="463"/>
      <c r="S541" s="461"/>
      <c r="T541" s="463"/>
      <c r="U541" s="461"/>
      <c r="V541" s="463"/>
      <c r="W541" s="461"/>
      <c r="AC541" s="461"/>
    </row>
    <row r="542" spans="1:29">
      <c r="A542" s="461"/>
      <c r="B542" s="461"/>
      <c r="C542" s="461"/>
      <c r="D542" s="462"/>
      <c r="E542" s="461"/>
      <c r="F542" s="461"/>
      <c r="G542" s="461"/>
      <c r="H542" s="461"/>
      <c r="I542" s="461"/>
      <c r="J542" s="461"/>
      <c r="K542" s="461"/>
      <c r="L542" s="461"/>
      <c r="M542" s="461"/>
      <c r="N542" s="461"/>
      <c r="O542" s="461"/>
      <c r="P542" s="461"/>
      <c r="Q542" s="461"/>
      <c r="R542" s="463"/>
      <c r="S542" s="461"/>
      <c r="T542" s="463"/>
      <c r="U542" s="461"/>
      <c r="V542" s="463"/>
      <c r="W542" s="461"/>
      <c r="AC542" s="461"/>
    </row>
    <row r="543" spans="1:29">
      <c r="A543" s="461"/>
      <c r="B543" s="461"/>
      <c r="C543" s="461"/>
      <c r="D543" s="462"/>
      <c r="E543" s="461"/>
      <c r="F543" s="461"/>
      <c r="G543" s="461"/>
      <c r="H543" s="461"/>
      <c r="I543" s="461"/>
      <c r="J543" s="461"/>
      <c r="K543" s="461"/>
      <c r="L543" s="461"/>
      <c r="M543" s="461"/>
      <c r="N543" s="461"/>
      <c r="O543" s="461"/>
      <c r="P543" s="461"/>
      <c r="Q543" s="461"/>
      <c r="R543" s="463"/>
      <c r="S543" s="461"/>
      <c r="T543" s="463"/>
      <c r="U543" s="461"/>
      <c r="V543" s="463"/>
      <c r="W543" s="461"/>
      <c r="AC543" s="461"/>
    </row>
    <row r="544" spans="1:29">
      <c r="A544" s="461"/>
      <c r="B544" s="461"/>
      <c r="C544" s="461"/>
      <c r="D544" s="462"/>
      <c r="E544" s="461"/>
      <c r="F544" s="461"/>
      <c r="G544" s="461"/>
      <c r="H544" s="461"/>
      <c r="I544" s="461"/>
      <c r="J544" s="461"/>
      <c r="K544" s="461"/>
      <c r="L544" s="461"/>
      <c r="M544" s="461"/>
      <c r="N544" s="461"/>
      <c r="O544" s="461"/>
      <c r="P544" s="461"/>
      <c r="Q544" s="461"/>
      <c r="R544" s="463"/>
      <c r="S544" s="461"/>
      <c r="T544" s="463"/>
      <c r="U544" s="461"/>
      <c r="V544" s="463"/>
      <c r="W544" s="461"/>
      <c r="AC544" s="461"/>
    </row>
    <row r="545" spans="1:29">
      <c r="A545" s="461"/>
      <c r="B545" s="461"/>
      <c r="C545" s="461"/>
      <c r="D545" s="462"/>
      <c r="E545" s="461"/>
      <c r="F545" s="461"/>
      <c r="G545" s="461"/>
      <c r="H545" s="461"/>
      <c r="I545" s="461"/>
      <c r="J545" s="461"/>
      <c r="K545" s="461"/>
      <c r="L545" s="461"/>
      <c r="M545" s="461"/>
      <c r="N545" s="461"/>
      <c r="O545" s="461"/>
      <c r="P545" s="461"/>
      <c r="Q545" s="461"/>
      <c r="R545" s="463"/>
      <c r="S545" s="461"/>
      <c r="T545" s="463"/>
      <c r="U545" s="461"/>
      <c r="V545" s="463"/>
      <c r="W545" s="461"/>
      <c r="AC545" s="461"/>
    </row>
    <row r="546" spans="1:29">
      <c r="A546" s="461"/>
      <c r="B546" s="461"/>
      <c r="C546" s="461"/>
      <c r="D546" s="462"/>
      <c r="E546" s="461"/>
      <c r="F546" s="461"/>
      <c r="G546" s="461"/>
      <c r="H546" s="461"/>
      <c r="I546" s="461"/>
      <c r="J546" s="461"/>
      <c r="K546" s="461"/>
      <c r="L546" s="461"/>
      <c r="M546" s="461"/>
      <c r="N546" s="461"/>
      <c r="O546" s="461"/>
      <c r="P546" s="461"/>
      <c r="Q546" s="461"/>
      <c r="R546" s="463"/>
      <c r="S546" s="461"/>
      <c r="T546" s="463"/>
      <c r="U546" s="461"/>
      <c r="V546" s="463"/>
      <c r="W546" s="461"/>
      <c r="AC546" s="461"/>
    </row>
    <row r="547" spans="1:29">
      <c r="A547" s="461"/>
      <c r="B547" s="461"/>
      <c r="C547" s="461"/>
      <c r="D547" s="462"/>
      <c r="E547" s="461"/>
      <c r="F547" s="461"/>
      <c r="G547" s="461"/>
      <c r="H547" s="461"/>
      <c r="I547" s="461"/>
      <c r="J547" s="461"/>
      <c r="K547" s="461"/>
      <c r="L547" s="461"/>
      <c r="M547" s="461"/>
      <c r="N547" s="461"/>
      <c r="O547" s="461"/>
      <c r="P547" s="461"/>
      <c r="Q547" s="461"/>
      <c r="R547" s="463"/>
      <c r="S547" s="461"/>
      <c r="T547" s="463"/>
      <c r="U547" s="461"/>
      <c r="V547" s="463"/>
      <c r="W547" s="461"/>
      <c r="AC547" s="461"/>
    </row>
    <row r="548" spans="1:29">
      <c r="A548" s="461"/>
      <c r="B548" s="461"/>
      <c r="C548" s="461"/>
      <c r="D548" s="462"/>
      <c r="E548" s="461"/>
      <c r="F548" s="461"/>
      <c r="G548" s="461"/>
      <c r="H548" s="461"/>
      <c r="I548" s="461"/>
      <c r="J548" s="461"/>
      <c r="K548" s="461"/>
      <c r="L548" s="461"/>
      <c r="M548" s="461"/>
      <c r="N548" s="461"/>
      <c r="O548" s="461"/>
      <c r="P548" s="461"/>
      <c r="Q548" s="461"/>
      <c r="R548" s="463"/>
      <c r="S548" s="461"/>
      <c r="T548" s="463"/>
      <c r="U548" s="461"/>
      <c r="V548" s="463"/>
      <c r="W548" s="461"/>
      <c r="AC548" s="461"/>
    </row>
    <row r="549" spans="1:29">
      <c r="A549" s="461"/>
      <c r="B549" s="461"/>
      <c r="C549" s="461"/>
      <c r="D549" s="462"/>
      <c r="E549" s="461"/>
      <c r="F549" s="461"/>
      <c r="G549" s="461"/>
      <c r="H549" s="461"/>
      <c r="I549" s="461"/>
      <c r="J549" s="461"/>
      <c r="K549" s="461"/>
      <c r="L549" s="461"/>
      <c r="M549" s="461"/>
      <c r="N549" s="461"/>
      <c r="O549" s="461"/>
      <c r="P549" s="461"/>
      <c r="Q549" s="461"/>
      <c r="R549" s="463"/>
      <c r="S549" s="461"/>
      <c r="T549" s="463"/>
      <c r="U549" s="461"/>
      <c r="V549" s="463"/>
      <c r="W549" s="461"/>
      <c r="AC549" s="461"/>
    </row>
    <row r="550" spans="1:29">
      <c r="A550" s="461"/>
      <c r="B550" s="461"/>
      <c r="C550" s="461"/>
      <c r="D550" s="462"/>
      <c r="E550" s="461"/>
      <c r="F550" s="461"/>
      <c r="G550" s="461"/>
      <c r="H550" s="461"/>
      <c r="I550" s="461"/>
      <c r="J550" s="461"/>
      <c r="K550" s="461"/>
      <c r="L550" s="461"/>
      <c r="M550" s="461"/>
      <c r="N550" s="461"/>
      <c r="O550" s="461"/>
      <c r="P550" s="461"/>
      <c r="Q550" s="461"/>
      <c r="R550" s="463"/>
      <c r="S550" s="461"/>
      <c r="T550" s="463"/>
      <c r="U550" s="461"/>
      <c r="V550" s="463"/>
      <c r="W550" s="461"/>
      <c r="AC550" s="461"/>
    </row>
    <row r="551" spans="1:29">
      <c r="A551" s="461"/>
      <c r="B551" s="461"/>
      <c r="C551" s="461"/>
      <c r="D551" s="462"/>
      <c r="E551" s="461"/>
      <c r="F551" s="461"/>
      <c r="G551" s="461"/>
      <c r="H551" s="461"/>
      <c r="I551" s="461"/>
      <c r="J551" s="461"/>
      <c r="K551" s="461"/>
      <c r="L551" s="461"/>
      <c r="M551" s="461"/>
      <c r="N551" s="461"/>
      <c r="O551" s="461"/>
      <c r="P551" s="461"/>
      <c r="Q551" s="461"/>
      <c r="R551" s="463"/>
      <c r="S551" s="461"/>
      <c r="T551" s="463"/>
      <c r="U551" s="461"/>
      <c r="V551" s="463"/>
      <c r="W551" s="461"/>
      <c r="AC551" s="461"/>
    </row>
    <row r="552" spans="1:29">
      <c r="A552" s="461"/>
      <c r="B552" s="461"/>
      <c r="C552" s="461"/>
      <c r="D552" s="462"/>
      <c r="E552" s="461"/>
      <c r="F552" s="461"/>
      <c r="G552" s="461"/>
      <c r="H552" s="461"/>
      <c r="I552" s="461"/>
      <c r="J552" s="461"/>
      <c r="K552" s="461"/>
      <c r="L552" s="461"/>
      <c r="M552" s="461"/>
      <c r="N552" s="461"/>
      <c r="O552" s="461"/>
      <c r="P552" s="461"/>
      <c r="Q552" s="461"/>
      <c r="R552" s="463"/>
      <c r="S552" s="461"/>
      <c r="T552" s="463"/>
      <c r="U552" s="461"/>
      <c r="V552" s="463"/>
      <c r="W552" s="461"/>
      <c r="AC552" s="461"/>
    </row>
    <row r="553" spans="1:29">
      <c r="A553" s="461"/>
      <c r="B553" s="461"/>
      <c r="C553" s="461"/>
      <c r="D553" s="462"/>
      <c r="E553" s="461"/>
      <c r="F553" s="461"/>
      <c r="G553" s="461"/>
      <c r="H553" s="461"/>
      <c r="I553" s="461"/>
      <c r="J553" s="461"/>
      <c r="K553" s="461"/>
      <c r="L553" s="461"/>
      <c r="M553" s="461"/>
      <c r="N553" s="461"/>
      <c r="O553" s="461"/>
      <c r="P553" s="461"/>
      <c r="Q553" s="461"/>
      <c r="R553" s="463"/>
      <c r="S553" s="461"/>
      <c r="T553" s="463"/>
      <c r="U553" s="461"/>
      <c r="V553" s="463"/>
      <c r="W553" s="461"/>
      <c r="AC553" s="461"/>
    </row>
    <row r="554" spans="1:29">
      <c r="A554" s="461"/>
      <c r="B554" s="461"/>
      <c r="C554" s="461"/>
      <c r="D554" s="462"/>
      <c r="E554" s="461"/>
      <c r="F554" s="461"/>
      <c r="G554" s="461"/>
      <c r="H554" s="461"/>
      <c r="I554" s="461"/>
      <c r="J554" s="461"/>
      <c r="K554" s="461"/>
      <c r="L554" s="461"/>
      <c r="M554" s="461"/>
      <c r="N554" s="461"/>
      <c r="O554" s="461"/>
      <c r="P554" s="461"/>
      <c r="Q554" s="461"/>
      <c r="R554" s="463"/>
      <c r="S554" s="461"/>
      <c r="T554" s="463"/>
      <c r="U554" s="461"/>
      <c r="V554" s="463"/>
      <c r="W554" s="461"/>
      <c r="AC554" s="461"/>
    </row>
    <row r="555" spans="1:29">
      <c r="A555" s="461"/>
      <c r="B555" s="461"/>
      <c r="C555" s="461"/>
      <c r="D555" s="462"/>
      <c r="E555" s="461"/>
      <c r="F555" s="461"/>
      <c r="G555" s="461"/>
      <c r="H555" s="461"/>
      <c r="I555" s="461"/>
      <c r="J555" s="461"/>
      <c r="K555" s="461"/>
      <c r="L555" s="461"/>
      <c r="M555" s="461"/>
      <c r="N555" s="461"/>
      <c r="O555" s="461"/>
      <c r="P555" s="461"/>
      <c r="Q555" s="461"/>
      <c r="R555" s="463"/>
      <c r="S555" s="461"/>
      <c r="T555" s="463"/>
      <c r="U555" s="461"/>
      <c r="V555" s="463"/>
      <c r="W555" s="461"/>
      <c r="AC555" s="461"/>
    </row>
    <row r="556" spans="1:29">
      <c r="A556" s="461"/>
      <c r="B556" s="461"/>
      <c r="C556" s="461"/>
      <c r="D556" s="462"/>
      <c r="E556" s="461"/>
      <c r="F556" s="461"/>
      <c r="G556" s="461"/>
      <c r="H556" s="461"/>
      <c r="I556" s="461"/>
      <c r="J556" s="461"/>
      <c r="K556" s="461"/>
      <c r="L556" s="461"/>
      <c r="M556" s="461"/>
      <c r="N556" s="461"/>
      <c r="O556" s="461"/>
      <c r="P556" s="461"/>
      <c r="Q556" s="461"/>
      <c r="R556" s="463"/>
      <c r="S556" s="461"/>
      <c r="T556" s="463"/>
      <c r="U556" s="461"/>
      <c r="V556" s="463"/>
      <c r="W556" s="461"/>
      <c r="AC556" s="461"/>
    </row>
    <row r="557" spans="1:29">
      <c r="A557" s="461"/>
      <c r="B557" s="461"/>
      <c r="C557" s="461"/>
      <c r="D557" s="462"/>
      <c r="E557" s="461"/>
      <c r="F557" s="461"/>
      <c r="G557" s="461"/>
      <c r="H557" s="461"/>
      <c r="I557" s="461"/>
      <c r="J557" s="461"/>
      <c r="K557" s="461"/>
      <c r="L557" s="461"/>
      <c r="M557" s="461"/>
      <c r="N557" s="461"/>
      <c r="O557" s="461"/>
      <c r="P557" s="461"/>
      <c r="Q557" s="461"/>
      <c r="R557" s="463"/>
      <c r="S557" s="461"/>
      <c r="T557" s="463"/>
      <c r="U557" s="461"/>
      <c r="V557" s="463"/>
      <c r="W557" s="461"/>
      <c r="AC557" s="461"/>
    </row>
    <row r="558" spans="1:29">
      <c r="A558" s="461"/>
      <c r="B558" s="461"/>
      <c r="C558" s="461"/>
      <c r="D558" s="462"/>
      <c r="E558" s="461"/>
      <c r="F558" s="461"/>
      <c r="G558" s="461"/>
      <c r="H558" s="461"/>
      <c r="I558" s="461"/>
      <c r="J558" s="461"/>
      <c r="K558" s="461"/>
      <c r="L558" s="461"/>
      <c r="M558" s="461"/>
      <c r="N558" s="461"/>
      <c r="O558" s="461"/>
      <c r="P558" s="461"/>
      <c r="Q558" s="461"/>
      <c r="R558" s="463"/>
      <c r="S558" s="461"/>
      <c r="T558" s="463"/>
      <c r="U558" s="461"/>
      <c r="V558" s="463"/>
      <c r="W558" s="461"/>
      <c r="AC558" s="461"/>
    </row>
    <row r="559" spans="1:29">
      <c r="A559" s="461"/>
      <c r="B559" s="461"/>
      <c r="C559" s="461"/>
      <c r="D559" s="462"/>
      <c r="E559" s="461"/>
      <c r="F559" s="461"/>
      <c r="G559" s="461"/>
      <c r="H559" s="461"/>
      <c r="I559" s="461"/>
      <c r="J559" s="461"/>
      <c r="K559" s="461"/>
      <c r="L559" s="461"/>
      <c r="M559" s="461"/>
      <c r="N559" s="461"/>
      <c r="O559" s="461"/>
      <c r="P559" s="461"/>
      <c r="Q559" s="461"/>
      <c r="R559" s="463"/>
      <c r="S559" s="461"/>
      <c r="T559" s="463"/>
      <c r="U559" s="461"/>
      <c r="V559" s="463"/>
      <c r="W559" s="461"/>
      <c r="AC559" s="461"/>
    </row>
    <row r="560" spans="1:29">
      <c r="A560" s="461"/>
      <c r="B560" s="461"/>
      <c r="C560" s="461"/>
      <c r="D560" s="462"/>
      <c r="E560" s="461"/>
      <c r="F560" s="461"/>
      <c r="G560" s="461"/>
      <c r="H560" s="461"/>
      <c r="I560" s="461"/>
      <c r="J560" s="461"/>
      <c r="K560" s="461"/>
      <c r="L560" s="461"/>
      <c r="M560" s="461"/>
      <c r="N560" s="461"/>
      <c r="O560" s="461"/>
      <c r="P560" s="461"/>
      <c r="Q560" s="461"/>
      <c r="R560" s="463"/>
      <c r="S560" s="461"/>
      <c r="T560" s="463"/>
      <c r="U560" s="461"/>
      <c r="V560" s="463"/>
      <c r="W560" s="461"/>
      <c r="AC560" s="461"/>
    </row>
    <row r="561" spans="1:29">
      <c r="A561" s="461"/>
      <c r="B561" s="461"/>
      <c r="C561" s="461"/>
      <c r="D561" s="462"/>
      <c r="E561" s="461"/>
      <c r="F561" s="461"/>
      <c r="G561" s="461"/>
      <c r="H561" s="461"/>
      <c r="I561" s="461"/>
      <c r="J561" s="461"/>
      <c r="K561" s="461"/>
      <c r="L561" s="461"/>
      <c r="M561" s="461"/>
      <c r="N561" s="461"/>
      <c r="O561" s="461"/>
      <c r="P561" s="461"/>
      <c r="Q561" s="461"/>
      <c r="R561" s="463"/>
      <c r="S561" s="461"/>
      <c r="T561" s="463"/>
      <c r="U561" s="461"/>
      <c r="V561" s="463"/>
      <c r="W561" s="461"/>
      <c r="AC561" s="461"/>
    </row>
    <row r="562" spans="1:29">
      <c r="A562" s="461"/>
      <c r="B562" s="461"/>
      <c r="C562" s="461"/>
      <c r="D562" s="462"/>
      <c r="E562" s="461"/>
      <c r="F562" s="461"/>
      <c r="G562" s="461"/>
      <c r="H562" s="461"/>
      <c r="I562" s="461"/>
      <c r="J562" s="461"/>
      <c r="K562" s="461"/>
      <c r="L562" s="461"/>
      <c r="M562" s="461"/>
      <c r="N562" s="461"/>
      <c r="O562" s="461"/>
      <c r="P562" s="461"/>
      <c r="Q562" s="461"/>
      <c r="R562" s="463"/>
      <c r="S562" s="461"/>
      <c r="T562" s="463"/>
      <c r="U562" s="461"/>
      <c r="V562" s="463"/>
      <c r="W562" s="461"/>
      <c r="AC562" s="461"/>
    </row>
    <row r="563" spans="1:29">
      <c r="A563" s="461"/>
      <c r="B563" s="461"/>
      <c r="C563" s="461"/>
      <c r="D563" s="462"/>
      <c r="E563" s="461"/>
      <c r="F563" s="461"/>
      <c r="G563" s="461"/>
      <c r="H563" s="461"/>
      <c r="I563" s="461"/>
      <c r="J563" s="461"/>
      <c r="K563" s="461"/>
      <c r="L563" s="461"/>
      <c r="M563" s="461"/>
      <c r="N563" s="461"/>
      <c r="O563" s="461"/>
      <c r="P563" s="461"/>
      <c r="Q563" s="461"/>
      <c r="R563" s="463"/>
      <c r="S563" s="461"/>
      <c r="T563" s="463"/>
      <c r="U563" s="461"/>
      <c r="V563" s="463"/>
      <c r="W563" s="461"/>
      <c r="AC563" s="461"/>
    </row>
    <row r="564" spans="1:29">
      <c r="A564" s="461"/>
      <c r="B564" s="461"/>
      <c r="C564" s="461"/>
      <c r="D564" s="462"/>
      <c r="E564" s="461"/>
      <c r="F564" s="461"/>
      <c r="G564" s="461"/>
      <c r="H564" s="461"/>
      <c r="I564" s="461"/>
      <c r="J564" s="461"/>
      <c r="K564" s="461"/>
      <c r="L564" s="461"/>
      <c r="M564" s="461"/>
      <c r="N564" s="461"/>
      <c r="O564" s="461"/>
      <c r="P564" s="461"/>
      <c r="Q564" s="461"/>
      <c r="R564" s="463"/>
      <c r="S564" s="461"/>
      <c r="T564" s="463"/>
      <c r="U564" s="461"/>
      <c r="V564" s="463"/>
      <c r="W564" s="461"/>
      <c r="AC564" s="461"/>
    </row>
    <row r="565" spans="1:29">
      <c r="A565" s="461"/>
      <c r="B565" s="461"/>
      <c r="C565" s="461"/>
      <c r="D565" s="462"/>
      <c r="E565" s="461"/>
      <c r="F565" s="461"/>
      <c r="G565" s="461"/>
      <c r="H565" s="461"/>
      <c r="I565" s="461"/>
      <c r="J565" s="461"/>
      <c r="K565" s="461"/>
      <c r="L565" s="461"/>
      <c r="M565" s="461"/>
      <c r="N565" s="461"/>
      <c r="O565" s="461"/>
      <c r="P565" s="461"/>
      <c r="Q565" s="461"/>
      <c r="R565" s="463"/>
      <c r="S565" s="461"/>
      <c r="T565" s="463"/>
      <c r="U565" s="461"/>
      <c r="V565" s="463"/>
      <c r="W565" s="461"/>
      <c r="AC565" s="461"/>
    </row>
    <row r="566" spans="1:29">
      <c r="A566" s="461"/>
      <c r="B566" s="461"/>
      <c r="C566" s="461"/>
      <c r="D566" s="462"/>
      <c r="E566" s="461"/>
      <c r="F566" s="461"/>
      <c r="G566" s="461"/>
      <c r="H566" s="461"/>
      <c r="I566" s="461"/>
      <c r="J566" s="461"/>
      <c r="K566" s="461"/>
      <c r="L566" s="461"/>
      <c r="M566" s="461"/>
      <c r="N566" s="461"/>
      <c r="O566" s="461"/>
      <c r="P566" s="461"/>
      <c r="Q566" s="461"/>
      <c r="R566" s="463"/>
      <c r="S566" s="461"/>
      <c r="T566" s="463"/>
      <c r="U566" s="461"/>
      <c r="V566" s="463"/>
      <c r="W566" s="461"/>
      <c r="AC566" s="461"/>
    </row>
    <row r="567" spans="1:29">
      <c r="A567" s="461"/>
      <c r="B567" s="461"/>
      <c r="C567" s="461"/>
      <c r="D567" s="462"/>
      <c r="E567" s="461"/>
      <c r="F567" s="461"/>
      <c r="G567" s="461"/>
      <c r="H567" s="461"/>
      <c r="I567" s="461"/>
      <c r="J567" s="461"/>
      <c r="K567" s="461"/>
      <c r="L567" s="461"/>
      <c r="M567" s="461"/>
      <c r="N567" s="461"/>
      <c r="O567" s="461"/>
      <c r="P567" s="461"/>
      <c r="Q567" s="461"/>
      <c r="R567" s="463"/>
      <c r="S567" s="461"/>
      <c r="T567" s="463"/>
      <c r="U567" s="461"/>
      <c r="V567" s="463"/>
      <c r="W567" s="461"/>
      <c r="AC567" s="461"/>
    </row>
    <row r="568" spans="1:29">
      <c r="A568" s="461"/>
      <c r="B568" s="461"/>
      <c r="C568" s="461"/>
      <c r="D568" s="462"/>
      <c r="E568" s="461"/>
      <c r="F568" s="461"/>
      <c r="G568" s="461"/>
      <c r="H568" s="461"/>
      <c r="I568" s="461"/>
      <c r="J568" s="461"/>
      <c r="K568" s="461"/>
      <c r="L568" s="461"/>
      <c r="M568" s="461"/>
      <c r="N568" s="461"/>
      <c r="O568" s="461"/>
      <c r="P568" s="461"/>
      <c r="Q568" s="461"/>
      <c r="R568" s="463"/>
      <c r="S568" s="461"/>
      <c r="T568" s="463"/>
      <c r="U568" s="461"/>
      <c r="V568" s="463"/>
      <c r="W568" s="461"/>
      <c r="AC568" s="461"/>
    </row>
    <row r="569" spans="1:29">
      <c r="A569" s="461"/>
      <c r="B569" s="461"/>
      <c r="C569" s="461"/>
      <c r="D569" s="462"/>
      <c r="E569" s="461"/>
      <c r="F569" s="461"/>
      <c r="G569" s="461"/>
      <c r="H569" s="461"/>
      <c r="I569" s="461"/>
      <c r="J569" s="461"/>
      <c r="K569" s="461"/>
      <c r="L569" s="461"/>
      <c r="M569" s="461"/>
      <c r="N569" s="461"/>
      <c r="O569" s="461"/>
      <c r="P569" s="461"/>
      <c r="Q569" s="461"/>
      <c r="R569" s="463"/>
      <c r="S569" s="461"/>
      <c r="T569" s="463"/>
      <c r="U569" s="461"/>
      <c r="V569" s="463"/>
      <c r="W569" s="461"/>
      <c r="AC569" s="461"/>
    </row>
    <row r="570" spans="1:29">
      <c r="A570" s="461"/>
      <c r="B570" s="461"/>
      <c r="C570" s="461"/>
      <c r="D570" s="462"/>
      <c r="E570" s="461"/>
      <c r="F570" s="461"/>
      <c r="G570" s="461"/>
      <c r="H570" s="461"/>
      <c r="I570" s="461"/>
      <c r="J570" s="461"/>
      <c r="K570" s="461"/>
      <c r="L570" s="461"/>
      <c r="M570" s="461"/>
      <c r="N570" s="461"/>
      <c r="O570" s="461"/>
      <c r="P570" s="461"/>
      <c r="Q570" s="461"/>
      <c r="R570" s="463"/>
      <c r="S570" s="461"/>
      <c r="T570" s="463"/>
      <c r="U570" s="461"/>
      <c r="V570" s="463"/>
      <c r="W570" s="461"/>
      <c r="AC570" s="461"/>
    </row>
    <row r="571" spans="1:29">
      <c r="A571" s="461"/>
      <c r="B571" s="461"/>
      <c r="C571" s="461"/>
      <c r="D571" s="462"/>
      <c r="E571" s="461"/>
      <c r="F571" s="461"/>
      <c r="G571" s="461"/>
      <c r="H571" s="461"/>
      <c r="I571" s="461"/>
      <c r="J571" s="461"/>
      <c r="K571" s="461"/>
      <c r="L571" s="461"/>
      <c r="M571" s="461"/>
      <c r="N571" s="461"/>
      <c r="O571" s="461"/>
      <c r="P571" s="461"/>
      <c r="Q571" s="461"/>
      <c r="R571" s="463"/>
      <c r="S571" s="461"/>
      <c r="T571" s="463"/>
      <c r="U571" s="461"/>
      <c r="V571" s="463"/>
      <c r="W571" s="461"/>
      <c r="AC571" s="461"/>
    </row>
    <row r="572" spans="1:29">
      <c r="A572" s="461"/>
      <c r="B572" s="461"/>
      <c r="C572" s="461"/>
      <c r="D572" s="462"/>
      <c r="E572" s="461"/>
      <c r="F572" s="461"/>
      <c r="G572" s="461"/>
      <c r="H572" s="461"/>
      <c r="I572" s="461"/>
      <c r="J572" s="461"/>
      <c r="K572" s="461"/>
      <c r="L572" s="461"/>
      <c r="M572" s="461"/>
      <c r="N572" s="461"/>
      <c r="O572" s="461"/>
      <c r="P572" s="461"/>
      <c r="Q572" s="461"/>
      <c r="R572" s="463"/>
      <c r="S572" s="461"/>
      <c r="T572" s="463"/>
      <c r="U572" s="461"/>
      <c r="V572" s="463"/>
      <c r="W572" s="461"/>
      <c r="AC572" s="461"/>
    </row>
    <row r="573" spans="1:29">
      <c r="A573" s="461"/>
      <c r="B573" s="461"/>
      <c r="C573" s="461"/>
      <c r="D573" s="462"/>
      <c r="E573" s="461"/>
      <c r="F573" s="461"/>
      <c r="G573" s="461"/>
      <c r="H573" s="461"/>
      <c r="I573" s="461"/>
      <c r="J573" s="461"/>
      <c r="K573" s="461"/>
      <c r="L573" s="461"/>
      <c r="M573" s="461"/>
      <c r="N573" s="461"/>
      <c r="O573" s="461"/>
      <c r="P573" s="461"/>
      <c r="Q573" s="461"/>
      <c r="R573" s="463"/>
      <c r="S573" s="461"/>
      <c r="T573" s="463"/>
      <c r="U573" s="461"/>
      <c r="V573" s="463"/>
      <c r="W573" s="461"/>
      <c r="AC573" s="461"/>
    </row>
    <row r="574" spans="1:29">
      <c r="A574" s="461"/>
      <c r="B574" s="461"/>
      <c r="C574" s="461"/>
      <c r="D574" s="462"/>
      <c r="E574" s="461"/>
      <c r="F574" s="461"/>
      <c r="G574" s="461"/>
      <c r="H574" s="461"/>
      <c r="I574" s="461"/>
      <c r="J574" s="461"/>
      <c r="K574" s="461"/>
      <c r="L574" s="461"/>
      <c r="M574" s="461"/>
      <c r="N574" s="461"/>
      <c r="O574" s="461"/>
      <c r="P574" s="461"/>
      <c r="Q574" s="461"/>
      <c r="R574" s="463"/>
      <c r="S574" s="461"/>
      <c r="T574" s="463"/>
      <c r="U574" s="461"/>
      <c r="V574" s="463"/>
      <c r="W574" s="461"/>
      <c r="AC574" s="461"/>
    </row>
    <row r="575" spans="1:29">
      <c r="A575" s="461"/>
      <c r="B575" s="461"/>
      <c r="C575" s="461"/>
      <c r="D575" s="462"/>
      <c r="E575" s="461"/>
      <c r="F575" s="461"/>
      <c r="G575" s="461"/>
      <c r="H575" s="461"/>
      <c r="I575" s="461"/>
      <c r="J575" s="461"/>
      <c r="K575" s="461"/>
      <c r="L575" s="461"/>
      <c r="M575" s="461"/>
      <c r="N575" s="461"/>
      <c r="O575" s="461"/>
      <c r="P575" s="461"/>
      <c r="Q575" s="461"/>
      <c r="R575" s="463"/>
      <c r="S575" s="461"/>
      <c r="T575" s="463"/>
      <c r="U575" s="461"/>
      <c r="V575" s="463"/>
      <c r="W575" s="461"/>
      <c r="AC575" s="461"/>
    </row>
    <row r="576" spans="1:29">
      <c r="A576" s="461"/>
      <c r="B576" s="461"/>
      <c r="C576" s="461"/>
      <c r="D576" s="462"/>
      <c r="E576" s="461"/>
      <c r="F576" s="461"/>
      <c r="G576" s="461"/>
      <c r="H576" s="461"/>
      <c r="I576" s="461"/>
      <c r="J576" s="461"/>
      <c r="K576" s="461"/>
      <c r="L576" s="461"/>
      <c r="M576" s="461"/>
      <c r="N576" s="461"/>
      <c r="O576" s="461"/>
      <c r="P576" s="461"/>
      <c r="Q576" s="461"/>
      <c r="R576" s="463"/>
      <c r="S576" s="461"/>
      <c r="T576" s="463"/>
      <c r="U576" s="461"/>
      <c r="V576" s="463"/>
      <c r="W576" s="461"/>
      <c r="AC576" s="461"/>
    </row>
    <row r="577" spans="1:29">
      <c r="A577" s="461"/>
      <c r="B577" s="461"/>
      <c r="C577" s="461"/>
      <c r="D577" s="462"/>
      <c r="E577" s="461"/>
      <c r="F577" s="461"/>
      <c r="G577" s="461"/>
      <c r="H577" s="461"/>
      <c r="I577" s="461"/>
      <c r="J577" s="461"/>
      <c r="K577" s="461"/>
      <c r="L577" s="461"/>
      <c r="M577" s="461"/>
      <c r="N577" s="461"/>
      <c r="O577" s="461"/>
      <c r="P577" s="461"/>
      <c r="Q577" s="461"/>
      <c r="R577" s="463"/>
      <c r="S577" s="461"/>
      <c r="T577" s="463"/>
      <c r="U577" s="461"/>
      <c r="V577" s="463"/>
      <c r="W577" s="461"/>
      <c r="AC577" s="461"/>
    </row>
    <row r="578" spans="1:29">
      <c r="A578" s="461"/>
      <c r="B578" s="461"/>
      <c r="C578" s="461"/>
      <c r="D578" s="462"/>
      <c r="E578" s="461"/>
      <c r="F578" s="461"/>
      <c r="G578" s="461"/>
      <c r="H578" s="461"/>
      <c r="I578" s="461"/>
      <c r="J578" s="461"/>
      <c r="K578" s="461"/>
      <c r="L578" s="461"/>
      <c r="M578" s="461"/>
      <c r="N578" s="461"/>
      <c r="O578" s="461"/>
      <c r="P578" s="461"/>
      <c r="Q578" s="461"/>
      <c r="R578" s="463"/>
      <c r="S578" s="461"/>
      <c r="T578" s="463"/>
      <c r="U578" s="461"/>
      <c r="V578" s="463"/>
      <c r="W578" s="461"/>
      <c r="AC578" s="461"/>
    </row>
    <row r="579" spans="1:29">
      <c r="A579" s="461"/>
      <c r="B579" s="461"/>
      <c r="C579" s="461"/>
      <c r="D579" s="462"/>
      <c r="E579" s="461"/>
      <c r="F579" s="461"/>
      <c r="G579" s="461"/>
      <c r="H579" s="461"/>
      <c r="I579" s="461"/>
      <c r="J579" s="461"/>
      <c r="K579" s="461"/>
      <c r="L579" s="461"/>
      <c r="M579" s="461"/>
      <c r="N579" s="461"/>
      <c r="O579" s="461"/>
      <c r="P579" s="461"/>
      <c r="Q579" s="461"/>
      <c r="R579" s="463"/>
      <c r="S579" s="461"/>
      <c r="T579" s="463"/>
      <c r="U579" s="461"/>
      <c r="V579" s="463"/>
      <c r="W579" s="461"/>
      <c r="AC579" s="461"/>
    </row>
    <row r="580" spans="1:29">
      <c r="A580" s="461"/>
      <c r="B580" s="461"/>
      <c r="C580" s="461"/>
      <c r="D580" s="462"/>
      <c r="E580" s="461"/>
      <c r="F580" s="461"/>
      <c r="G580" s="461"/>
      <c r="H580" s="461"/>
      <c r="I580" s="461"/>
      <c r="J580" s="461"/>
      <c r="K580" s="461"/>
      <c r="L580" s="461"/>
      <c r="M580" s="461"/>
      <c r="N580" s="461"/>
      <c r="O580" s="461"/>
      <c r="P580" s="461"/>
      <c r="Q580" s="461"/>
      <c r="R580" s="463"/>
      <c r="S580" s="461"/>
      <c r="T580" s="463"/>
      <c r="U580" s="461"/>
      <c r="V580" s="463"/>
      <c r="W580" s="461"/>
      <c r="AC580" s="461"/>
    </row>
    <row r="581" spans="1:29">
      <c r="A581" s="461"/>
      <c r="B581" s="461"/>
      <c r="C581" s="461"/>
      <c r="D581" s="462"/>
      <c r="E581" s="461"/>
      <c r="F581" s="461"/>
      <c r="G581" s="461"/>
      <c r="H581" s="461"/>
      <c r="I581" s="461"/>
      <c r="J581" s="461"/>
      <c r="K581" s="461"/>
      <c r="L581" s="461"/>
      <c r="M581" s="461"/>
      <c r="N581" s="461"/>
      <c r="O581" s="461"/>
      <c r="P581" s="461"/>
      <c r="Q581" s="461"/>
      <c r="R581" s="463"/>
      <c r="S581" s="461"/>
      <c r="T581" s="463"/>
      <c r="U581" s="461"/>
      <c r="V581" s="463"/>
      <c r="W581" s="461"/>
      <c r="AC581" s="461"/>
    </row>
    <row r="582" spans="1:29">
      <c r="A582" s="461"/>
      <c r="B582" s="461"/>
      <c r="C582" s="461"/>
      <c r="D582" s="462"/>
      <c r="E582" s="461"/>
      <c r="F582" s="461"/>
      <c r="G582" s="461"/>
      <c r="H582" s="461"/>
      <c r="I582" s="461"/>
      <c r="J582" s="461"/>
      <c r="K582" s="461"/>
      <c r="L582" s="461"/>
      <c r="M582" s="461"/>
      <c r="N582" s="461"/>
      <c r="O582" s="461"/>
      <c r="P582" s="461"/>
      <c r="Q582" s="461"/>
      <c r="R582" s="463"/>
      <c r="S582" s="461"/>
      <c r="T582" s="463"/>
      <c r="U582" s="461"/>
      <c r="V582" s="463"/>
      <c r="W582" s="461"/>
      <c r="AC582" s="461"/>
    </row>
    <row r="583" spans="1:29">
      <c r="A583" s="461"/>
      <c r="B583" s="461"/>
      <c r="C583" s="461"/>
      <c r="D583" s="462"/>
      <c r="E583" s="461"/>
      <c r="F583" s="461"/>
      <c r="G583" s="461"/>
      <c r="H583" s="461"/>
      <c r="I583" s="461"/>
      <c r="J583" s="461"/>
      <c r="K583" s="461"/>
      <c r="L583" s="461"/>
      <c r="M583" s="461"/>
      <c r="N583" s="461"/>
      <c r="O583" s="461"/>
      <c r="P583" s="461"/>
      <c r="Q583" s="461"/>
      <c r="R583" s="463"/>
      <c r="S583" s="461"/>
      <c r="T583" s="463"/>
      <c r="U583" s="461"/>
      <c r="V583" s="463"/>
      <c r="W583" s="461"/>
      <c r="AC583" s="461"/>
    </row>
    <row r="584" spans="1:29">
      <c r="A584" s="461"/>
      <c r="B584" s="461"/>
      <c r="C584" s="461"/>
      <c r="D584" s="462"/>
      <c r="E584" s="461"/>
      <c r="F584" s="461"/>
      <c r="G584" s="461"/>
      <c r="H584" s="461"/>
      <c r="I584" s="461"/>
      <c r="J584" s="461"/>
      <c r="K584" s="461"/>
      <c r="L584" s="461"/>
      <c r="M584" s="461"/>
      <c r="N584" s="461"/>
      <c r="O584" s="461"/>
      <c r="P584" s="461"/>
      <c r="Q584" s="461"/>
      <c r="R584" s="463"/>
      <c r="S584" s="461"/>
      <c r="T584" s="463"/>
      <c r="U584" s="461"/>
      <c r="V584" s="463"/>
      <c r="W584" s="461"/>
      <c r="AC584" s="461"/>
    </row>
    <row r="585" spans="1:29">
      <c r="A585" s="461"/>
      <c r="B585" s="461"/>
      <c r="C585" s="461"/>
      <c r="D585" s="462"/>
      <c r="E585" s="461"/>
      <c r="F585" s="461"/>
      <c r="G585" s="461"/>
      <c r="H585" s="461"/>
      <c r="I585" s="461"/>
      <c r="J585" s="461"/>
      <c r="K585" s="461"/>
      <c r="L585" s="461"/>
      <c r="M585" s="461"/>
      <c r="N585" s="461"/>
      <c r="O585" s="461"/>
      <c r="P585" s="461"/>
      <c r="Q585" s="461"/>
      <c r="R585" s="463"/>
      <c r="S585" s="461"/>
      <c r="T585" s="463"/>
      <c r="U585" s="461"/>
      <c r="V585" s="463"/>
      <c r="W585" s="461"/>
      <c r="AC585" s="461"/>
    </row>
    <row r="586" spans="1:29">
      <c r="A586" s="461"/>
      <c r="B586" s="461"/>
      <c r="C586" s="461"/>
      <c r="D586" s="462"/>
      <c r="E586" s="461"/>
      <c r="F586" s="461"/>
      <c r="G586" s="461"/>
      <c r="H586" s="461"/>
      <c r="I586" s="461"/>
      <c r="J586" s="461"/>
      <c r="K586" s="461"/>
      <c r="L586" s="461"/>
      <c r="M586" s="461"/>
      <c r="N586" s="461"/>
      <c r="O586" s="461"/>
      <c r="P586" s="461"/>
      <c r="Q586" s="461"/>
      <c r="R586" s="463"/>
      <c r="S586" s="461"/>
      <c r="T586" s="463"/>
      <c r="U586" s="461"/>
      <c r="V586" s="463"/>
      <c r="W586" s="461"/>
      <c r="AC586" s="461"/>
    </row>
    <row r="587" spans="1:29">
      <c r="A587" s="461"/>
      <c r="B587" s="461"/>
      <c r="C587" s="461"/>
      <c r="D587" s="462"/>
      <c r="E587" s="461"/>
      <c r="F587" s="461"/>
      <c r="G587" s="461"/>
      <c r="H587" s="461"/>
      <c r="I587" s="461"/>
      <c r="J587" s="461"/>
      <c r="K587" s="461"/>
      <c r="L587" s="461"/>
      <c r="M587" s="461"/>
      <c r="N587" s="461"/>
      <c r="O587" s="461"/>
      <c r="P587" s="461"/>
      <c r="Q587" s="461"/>
      <c r="R587" s="463"/>
      <c r="S587" s="461"/>
      <c r="T587" s="463"/>
      <c r="U587" s="461"/>
      <c r="V587" s="463"/>
      <c r="W587" s="461"/>
      <c r="AC587" s="461"/>
    </row>
    <row r="588" spans="1:29">
      <c r="A588" s="461"/>
      <c r="B588" s="461"/>
      <c r="C588" s="461"/>
      <c r="D588" s="462"/>
      <c r="E588" s="461"/>
      <c r="F588" s="461"/>
      <c r="G588" s="461"/>
      <c r="H588" s="461"/>
      <c r="I588" s="461"/>
      <c r="J588" s="461"/>
      <c r="K588" s="461"/>
      <c r="L588" s="461"/>
      <c r="M588" s="461"/>
      <c r="N588" s="461"/>
      <c r="O588" s="461"/>
      <c r="P588" s="461"/>
      <c r="Q588" s="461"/>
      <c r="R588" s="463"/>
      <c r="S588" s="461"/>
      <c r="T588" s="463"/>
      <c r="U588" s="461"/>
      <c r="V588" s="463"/>
      <c r="W588" s="461"/>
      <c r="AC588" s="461"/>
    </row>
    <row r="589" spans="1:29">
      <c r="A589" s="461"/>
      <c r="B589" s="461"/>
      <c r="C589" s="461"/>
      <c r="D589" s="462"/>
      <c r="E589" s="461"/>
      <c r="F589" s="461"/>
      <c r="G589" s="461"/>
      <c r="H589" s="461"/>
      <c r="I589" s="461"/>
      <c r="J589" s="461"/>
      <c r="K589" s="461"/>
      <c r="L589" s="461"/>
      <c r="M589" s="461"/>
      <c r="N589" s="461"/>
      <c r="O589" s="461"/>
      <c r="P589" s="461"/>
      <c r="Q589" s="461"/>
      <c r="R589" s="463"/>
      <c r="S589" s="461"/>
      <c r="T589" s="463"/>
      <c r="U589" s="461"/>
      <c r="V589" s="463"/>
      <c r="W589" s="461"/>
      <c r="AC589" s="461"/>
    </row>
    <row r="590" spans="1:29">
      <c r="A590" s="461"/>
      <c r="B590" s="461"/>
      <c r="C590" s="461"/>
      <c r="D590" s="462"/>
      <c r="E590" s="461"/>
      <c r="F590" s="461"/>
      <c r="G590" s="461"/>
      <c r="H590" s="461"/>
      <c r="I590" s="461"/>
      <c r="J590" s="461"/>
      <c r="K590" s="461"/>
      <c r="L590" s="461"/>
      <c r="M590" s="461"/>
      <c r="N590" s="461"/>
      <c r="O590" s="461"/>
      <c r="P590" s="461"/>
      <c r="Q590" s="461"/>
      <c r="R590" s="463"/>
      <c r="S590" s="461"/>
      <c r="T590" s="463"/>
      <c r="U590" s="461"/>
      <c r="V590" s="463"/>
      <c r="W590" s="461"/>
      <c r="AC590" s="461"/>
    </row>
    <row r="591" spans="1:29">
      <c r="A591" s="461"/>
      <c r="B591" s="461"/>
      <c r="C591" s="461"/>
      <c r="D591" s="462"/>
      <c r="E591" s="461"/>
      <c r="F591" s="461"/>
      <c r="G591" s="461"/>
      <c r="H591" s="461"/>
      <c r="I591" s="461"/>
      <c r="J591" s="461"/>
      <c r="K591" s="461"/>
      <c r="L591" s="461"/>
      <c r="M591" s="461"/>
      <c r="N591" s="461"/>
      <c r="O591" s="461"/>
      <c r="P591" s="461"/>
      <c r="Q591" s="461"/>
      <c r="R591" s="463"/>
      <c r="S591" s="461"/>
      <c r="T591" s="463"/>
      <c r="U591" s="461"/>
      <c r="V591" s="463"/>
      <c r="W591" s="461"/>
      <c r="AC591" s="461"/>
    </row>
    <row r="592" spans="1:29">
      <c r="A592" s="461"/>
      <c r="B592" s="461"/>
      <c r="C592" s="461"/>
      <c r="D592" s="462"/>
      <c r="E592" s="461"/>
      <c r="F592" s="461"/>
      <c r="G592" s="461"/>
      <c r="H592" s="461"/>
      <c r="I592" s="461"/>
      <c r="J592" s="461"/>
      <c r="K592" s="461"/>
      <c r="L592" s="461"/>
      <c r="M592" s="461"/>
      <c r="N592" s="461"/>
      <c r="O592" s="461"/>
      <c r="P592" s="461"/>
      <c r="Q592" s="461"/>
      <c r="R592" s="463"/>
      <c r="S592" s="461"/>
      <c r="T592" s="463"/>
      <c r="U592" s="461"/>
      <c r="V592" s="463"/>
      <c r="W592" s="461"/>
      <c r="AC592" s="461"/>
    </row>
    <row r="593" spans="1:29">
      <c r="A593" s="461"/>
      <c r="B593" s="461"/>
      <c r="C593" s="461"/>
      <c r="D593" s="462"/>
      <c r="E593" s="461"/>
      <c r="F593" s="461"/>
      <c r="G593" s="461"/>
      <c r="H593" s="461"/>
      <c r="I593" s="461"/>
      <c r="J593" s="461"/>
      <c r="K593" s="461"/>
      <c r="L593" s="461"/>
      <c r="M593" s="461"/>
      <c r="N593" s="461"/>
      <c r="O593" s="461"/>
      <c r="P593" s="461"/>
      <c r="Q593" s="461"/>
      <c r="R593" s="463"/>
      <c r="S593" s="461"/>
      <c r="T593" s="463"/>
      <c r="U593" s="461"/>
      <c r="V593" s="463"/>
      <c r="W593" s="461"/>
      <c r="AC593" s="461"/>
    </row>
    <row r="594" spans="1:29">
      <c r="A594" s="461"/>
      <c r="B594" s="461"/>
      <c r="C594" s="461"/>
      <c r="D594" s="462"/>
      <c r="E594" s="461"/>
      <c r="F594" s="461"/>
      <c r="G594" s="461"/>
      <c r="H594" s="461"/>
      <c r="I594" s="461"/>
      <c r="J594" s="461"/>
      <c r="K594" s="461"/>
      <c r="L594" s="461"/>
      <c r="M594" s="461"/>
      <c r="N594" s="461"/>
      <c r="O594" s="461"/>
      <c r="P594" s="461"/>
      <c r="Q594" s="461"/>
      <c r="R594" s="463"/>
      <c r="S594" s="461"/>
      <c r="T594" s="463"/>
      <c r="U594" s="461"/>
      <c r="V594" s="463"/>
      <c r="W594" s="461"/>
      <c r="AC594" s="461"/>
    </row>
    <row r="595" spans="1:29">
      <c r="A595" s="461"/>
      <c r="B595" s="461"/>
      <c r="C595" s="461"/>
      <c r="D595" s="462"/>
      <c r="E595" s="461"/>
      <c r="F595" s="461"/>
      <c r="G595" s="461"/>
      <c r="H595" s="461"/>
      <c r="I595" s="461"/>
      <c r="J595" s="461"/>
      <c r="K595" s="461"/>
      <c r="L595" s="461"/>
      <c r="M595" s="461"/>
      <c r="N595" s="461"/>
      <c r="O595" s="461"/>
      <c r="P595" s="461"/>
      <c r="Q595" s="461"/>
      <c r="R595" s="463"/>
      <c r="S595" s="461"/>
      <c r="T595" s="463"/>
      <c r="U595" s="461"/>
      <c r="V595" s="463"/>
      <c r="W595" s="461"/>
      <c r="AC595" s="461"/>
    </row>
    <row r="596" spans="1:29">
      <c r="A596" s="461"/>
      <c r="B596" s="461"/>
      <c r="C596" s="461"/>
      <c r="D596" s="462"/>
      <c r="E596" s="461"/>
      <c r="F596" s="461"/>
      <c r="G596" s="461"/>
      <c r="H596" s="461"/>
      <c r="I596" s="461"/>
      <c r="J596" s="461"/>
      <c r="K596" s="461"/>
      <c r="L596" s="461"/>
      <c r="M596" s="461"/>
      <c r="N596" s="461"/>
      <c r="O596" s="461"/>
      <c r="P596" s="461"/>
      <c r="Q596" s="461"/>
      <c r="R596" s="463"/>
      <c r="S596" s="461"/>
      <c r="T596" s="463"/>
      <c r="U596" s="461"/>
      <c r="V596" s="463"/>
      <c r="W596" s="461"/>
      <c r="AC596" s="461"/>
    </row>
    <row r="597" spans="1:29">
      <c r="A597" s="461"/>
      <c r="B597" s="461"/>
      <c r="C597" s="461"/>
      <c r="D597" s="462"/>
      <c r="E597" s="461"/>
      <c r="F597" s="461"/>
      <c r="G597" s="461"/>
      <c r="H597" s="461"/>
      <c r="I597" s="461"/>
      <c r="J597" s="461"/>
      <c r="K597" s="461"/>
      <c r="L597" s="461"/>
      <c r="M597" s="461"/>
      <c r="N597" s="461"/>
      <c r="O597" s="461"/>
      <c r="P597" s="461"/>
      <c r="Q597" s="461"/>
      <c r="R597" s="463"/>
      <c r="S597" s="461"/>
      <c r="T597" s="463"/>
      <c r="U597" s="461"/>
      <c r="V597" s="463"/>
      <c r="W597" s="461"/>
      <c r="AC597" s="461"/>
    </row>
    <row r="598" spans="1:29">
      <c r="A598" s="461"/>
      <c r="B598" s="461"/>
      <c r="C598" s="461"/>
      <c r="D598" s="462"/>
      <c r="E598" s="461"/>
      <c r="F598" s="461"/>
      <c r="G598" s="461"/>
      <c r="H598" s="461"/>
      <c r="I598" s="461"/>
      <c r="J598" s="461"/>
      <c r="K598" s="461"/>
      <c r="L598" s="461"/>
      <c r="M598" s="461"/>
      <c r="N598" s="461"/>
      <c r="O598" s="461"/>
      <c r="P598" s="461"/>
      <c r="Q598" s="461"/>
      <c r="R598" s="463"/>
      <c r="S598" s="461"/>
      <c r="T598" s="463"/>
      <c r="U598" s="461"/>
      <c r="V598" s="463"/>
      <c r="W598" s="461"/>
      <c r="AC598" s="461"/>
    </row>
    <row r="599" spans="1:29">
      <c r="A599" s="461"/>
      <c r="B599" s="461"/>
      <c r="C599" s="461"/>
      <c r="D599" s="462"/>
      <c r="E599" s="461"/>
      <c r="F599" s="461"/>
      <c r="G599" s="461"/>
      <c r="H599" s="461"/>
      <c r="I599" s="461"/>
      <c r="J599" s="461"/>
      <c r="K599" s="461"/>
      <c r="L599" s="461"/>
      <c r="M599" s="461"/>
      <c r="N599" s="461"/>
      <c r="O599" s="461"/>
      <c r="P599" s="461"/>
      <c r="Q599" s="461"/>
      <c r="R599" s="463"/>
      <c r="S599" s="461"/>
      <c r="T599" s="463"/>
      <c r="U599" s="461"/>
      <c r="V599" s="463"/>
      <c r="W599" s="461"/>
      <c r="AC599" s="461"/>
    </row>
    <row r="600" spans="1:29">
      <c r="A600" s="461"/>
      <c r="B600" s="461"/>
      <c r="C600" s="461"/>
      <c r="D600" s="462"/>
      <c r="E600" s="461"/>
      <c r="F600" s="461"/>
      <c r="G600" s="461"/>
      <c r="H600" s="461"/>
      <c r="I600" s="461"/>
      <c r="J600" s="461"/>
      <c r="K600" s="461"/>
      <c r="L600" s="461"/>
      <c r="M600" s="461"/>
      <c r="N600" s="461"/>
      <c r="O600" s="461"/>
      <c r="P600" s="461"/>
      <c r="Q600" s="461"/>
      <c r="R600" s="463"/>
      <c r="S600" s="461"/>
      <c r="T600" s="463"/>
      <c r="U600" s="461"/>
      <c r="V600" s="463"/>
      <c r="W600" s="461"/>
      <c r="AC600" s="461"/>
    </row>
    <row r="601" spans="1:29">
      <c r="A601" s="461"/>
      <c r="B601" s="461"/>
      <c r="C601" s="461"/>
      <c r="D601" s="462"/>
      <c r="E601" s="461"/>
      <c r="F601" s="461"/>
      <c r="G601" s="461"/>
      <c r="H601" s="461"/>
      <c r="I601" s="461"/>
      <c r="J601" s="461"/>
      <c r="K601" s="461"/>
      <c r="L601" s="461"/>
      <c r="M601" s="461"/>
      <c r="N601" s="461"/>
      <c r="O601" s="461"/>
      <c r="P601" s="461"/>
      <c r="Q601" s="461"/>
      <c r="R601" s="463"/>
      <c r="S601" s="461"/>
      <c r="T601" s="463"/>
      <c r="U601" s="461"/>
      <c r="V601" s="463"/>
      <c r="W601" s="461"/>
      <c r="AC601" s="461"/>
    </row>
    <row r="602" spans="1:29">
      <c r="A602" s="461"/>
      <c r="B602" s="461"/>
      <c r="C602" s="461"/>
      <c r="D602" s="462"/>
      <c r="E602" s="461"/>
      <c r="F602" s="461"/>
      <c r="G602" s="461"/>
      <c r="H602" s="461"/>
      <c r="I602" s="461"/>
      <c r="J602" s="461"/>
      <c r="K602" s="461"/>
      <c r="L602" s="461"/>
      <c r="M602" s="461"/>
      <c r="N602" s="461"/>
      <c r="O602" s="461"/>
      <c r="P602" s="461"/>
      <c r="Q602" s="461"/>
      <c r="R602" s="463"/>
      <c r="S602" s="461"/>
      <c r="T602" s="463"/>
      <c r="U602" s="461"/>
      <c r="V602" s="463"/>
      <c r="W602" s="461"/>
      <c r="AC602" s="461"/>
    </row>
    <row r="603" spans="1:29">
      <c r="A603" s="461"/>
      <c r="B603" s="461"/>
      <c r="C603" s="461"/>
      <c r="D603" s="462"/>
      <c r="E603" s="461"/>
      <c r="F603" s="461"/>
      <c r="G603" s="461"/>
      <c r="H603" s="461"/>
      <c r="I603" s="461"/>
      <c r="J603" s="461"/>
      <c r="K603" s="461"/>
      <c r="L603" s="461"/>
      <c r="M603" s="461"/>
      <c r="N603" s="461"/>
      <c r="O603" s="461"/>
      <c r="P603" s="461"/>
      <c r="Q603" s="461"/>
      <c r="R603" s="463"/>
      <c r="S603" s="461"/>
      <c r="T603" s="463"/>
      <c r="U603" s="461"/>
      <c r="V603" s="463"/>
      <c r="W603" s="461"/>
      <c r="AC603" s="461"/>
    </row>
    <row r="604" spans="1:29">
      <c r="A604" s="461"/>
      <c r="B604" s="461"/>
      <c r="C604" s="461"/>
      <c r="D604" s="462"/>
      <c r="E604" s="461"/>
      <c r="F604" s="461"/>
      <c r="G604" s="461"/>
      <c r="H604" s="461"/>
      <c r="I604" s="461"/>
      <c r="J604" s="461"/>
      <c r="K604" s="461"/>
      <c r="L604" s="461"/>
      <c r="M604" s="461"/>
      <c r="N604" s="461"/>
      <c r="O604" s="461"/>
      <c r="P604" s="461"/>
      <c r="Q604" s="461"/>
      <c r="R604" s="463"/>
      <c r="S604" s="461"/>
      <c r="T604" s="463"/>
      <c r="U604" s="461"/>
      <c r="V604" s="463"/>
      <c r="W604" s="461"/>
      <c r="AC604" s="461"/>
    </row>
    <row r="605" spans="1:29">
      <c r="A605" s="461"/>
      <c r="B605" s="461"/>
      <c r="C605" s="461"/>
      <c r="D605" s="462"/>
      <c r="E605" s="461"/>
      <c r="F605" s="461"/>
      <c r="G605" s="461"/>
      <c r="H605" s="461"/>
      <c r="I605" s="461"/>
      <c r="J605" s="461"/>
      <c r="K605" s="461"/>
      <c r="L605" s="461"/>
      <c r="M605" s="461"/>
      <c r="N605" s="461"/>
      <c r="O605" s="461"/>
      <c r="P605" s="461"/>
      <c r="Q605" s="461"/>
      <c r="R605" s="463"/>
      <c r="S605" s="461"/>
      <c r="T605" s="463"/>
      <c r="U605" s="461"/>
      <c r="V605" s="463"/>
      <c r="W605" s="461"/>
      <c r="AC605" s="461"/>
    </row>
    <row r="606" spans="1:29">
      <c r="A606" s="461"/>
      <c r="B606" s="461"/>
      <c r="C606" s="461"/>
      <c r="D606" s="462"/>
      <c r="E606" s="461"/>
      <c r="F606" s="461"/>
      <c r="G606" s="461"/>
      <c r="H606" s="461"/>
      <c r="I606" s="461"/>
      <c r="J606" s="461"/>
      <c r="K606" s="461"/>
      <c r="L606" s="461"/>
      <c r="M606" s="461"/>
      <c r="N606" s="461"/>
      <c r="O606" s="461"/>
      <c r="P606" s="461"/>
      <c r="Q606" s="461"/>
      <c r="R606" s="463"/>
      <c r="S606" s="461"/>
      <c r="T606" s="463"/>
      <c r="U606" s="461"/>
      <c r="V606" s="463"/>
      <c r="W606" s="461"/>
      <c r="AC606" s="461"/>
    </row>
    <row r="607" spans="1:29">
      <c r="A607" s="461"/>
      <c r="B607" s="461"/>
      <c r="C607" s="461"/>
      <c r="D607" s="462"/>
      <c r="E607" s="461"/>
      <c r="F607" s="461"/>
      <c r="G607" s="461"/>
      <c r="H607" s="461"/>
      <c r="I607" s="461"/>
      <c r="J607" s="461"/>
      <c r="K607" s="461"/>
      <c r="L607" s="461"/>
      <c r="M607" s="461"/>
      <c r="N607" s="461"/>
      <c r="O607" s="461"/>
      <c r="P607" s="461"/>
      <c r="Q607" s="461"/>
      <c r="R607" s="463"/>
      <c r="S607" s="461"/>
      <c r="T607" s="463"/>
      <c r="U607" s="461"/>
      <c r="V607" s="463"/>
      <c r="W607" s="461"/>
      <c r="AC607" s="461"/>
    </row>
    <row r="608" spans="1:29">
      <c r="A608" s="461"/>
      <c r="B608" s="461"/>
      <c r="C608" s="461"/>
      <c r="D608" s="462"/>
      <c r="E608" s="461"/>
      <c r="F608" s="461"/>
      <c r="G608" s="461"/>
      <c r="H608" s="461"/>
      <c r="I608" s="461"/>
      <c r="J608" s="461"/>
      <c r="K608" s="461"/>
      <c r="L608" s="461"/>
      <c r="M608" s="461"/>
      <c r="N608" s="461"/>
      <c r="O608" s="461"/>
      <c r="P608" s="461"/>
      <c r="Q608" s="461"/>
      <c r="R608" s="463"/>
      <c r="S608" s="461"/>
      <c r="T608" s="463"/>
      <c r="U608" s="461"/>
      <c r="V608" s="463"/>
      <c r="W608" s="461"/>
      <c r="AC608" s="461"/>
    </row>
    <row r="609" spans="1:29">
      <c r="A609" s="461"/>
      <c r="B609" s="461"/>
      <c r="C609" s="461"/>
      <c r="D609" s="462"/>
      <c r="E609" s="461"/>
      <c r="F609" s="461"/>
      <c r="G609" s="461"/>
      <c r="H609" s="461"/>
      <c r="I609" s="461"/>
      <c r="J609" s="461"/>
      <c r="K609" s="461"/>
      <c r="L609" s="461"/>
      <c r="M609" s="461"/>
      <c r="N609" s="461"/>
      <c r="O609" s="461"/>
      <c r="P609" s="461"/>
      <c r="Q609" s="461"/>
      <c r="R609" s="463"/>
      <c r="S609" s="461"/>
      <c r="T609" s="463"/>
      <c r="U609" s="461"/>
      <c r="V609" s="463"/>
      <c r="W609" s="461"/>
      <c r="AC609" s="461"/>
    </row>
    <row r="610" spans="1:29">
      <c r="A610" s="461"/>
      <c r="B610" s="461"/>
      <c r="C610" s="461"/>
      <c r="D610" s="462"/>
      <c r="E610" s="461"/>
      <c r="F610" s="461"/>
      <c r="G610" s="461"/>
      <c r="H610" s="461"/>
      <c r="I610" s="461"/>
      <c r="J610" s="461"/>
      <c r="K610" s="461"/>
      <c r="L610" s="461"/>
      <c r="M610" s="461"/>
      <c r="N610" s="461"/>
      <c r="O610" s="461"/>
      <c r="P610" s="461"/>
      <c r="Q610" s="461"/>
      <c r="R610" s="463"/>
      <c r="S610" s="461"/>
      <c r="T610" s="463"/>
      <c r="U610" s="461"/>
      <c r="V610" s="463"/>
      <c r="W610" s="461"/>
      <c r="AC610" s="461"/>
    </row>
    <row r="611" spans="1:29">
      <c r="A611" s="461"/>
      <c r="B611" s="461"/>
      <c r="C611" s="461"/>
      <c r="D611" s="462"/>
      <c r="E611" s="461"/>
      <c r="F611" s="461"/>
      <c r="G611" s="461"/>
      <c r="H611" s="461"/>
      <c r="I611" s="461"/>
      <c r="J611" s="461"/>
      <c r="K611" s="461"/>
      <c r="L611" s="461"/>
      <c r="M611" s="461"/>
      <c r="N611" s="461"/>
      <c r="O611" s="461"/>
      <c r="P611" s="461"/>
      <c r="Q611" s="461"/>
      <c r="R611" s="463"/>
      <c r="S611" s="461"/>
      <c r="T611" s="463"/>
      <c r="U611" s="461"/>
      <c r="V611" s="463"/>
      <c r="W611" s="461"/>
      <c r="AC611" s="461"/>
    </row>
    <row r="612" spans="1:29">
      <c r="A612" s="461"/>
      <c r="B612" s="461"/>
      <c r="C612" s="461"/>
      <c r="D612" s="462"/>
      <c r="E612" s="461"/>
      <c r="F612" s="461"/>
      <c r="G612" s="461"/>
      <c r="H612" s="461"/>
      <c r="I612" s="461"/>
      <c r="J612" s="461"/>
      <c r="K612" s="461"/>
      <c r="L612" s="461"/>
      <c r="M612" s="461"/>
      <c r="N612" s="461"/>
      <c r="O612" s="461"/>
      <c r="P612" s="461"/>
      <c r="Q612" s="461"/>
      <c r="R612" s="463"/>
      <c r="S612" s="461"/>
      <c r="T612" s="463"/>
      <c r="U612" s="461"/>
      <c r="V612" s="463"/>
      <c r="W612" s="461"/>
      <c r="AC612" s="461"/>
    </row>
    <row r="613" spans="1:29">
      <c r="A613" s="461"/>
      <c r="B613" s="461"/>
      <c r="C613" s="461"/>
      <c r="D613" s="462"/>
      <c r="E613" s="461"/>
      <c r="F613" s="461"/>
      <c r="G613" s="461"/>
      <c r="H613" s="461"/>
      <c r="I613" s="461"/>
      <c r="J613" s="461"/>
      <c r="K613" s="461"/>
      <c r="L613" s="461"/>
      <c r="M613" s="461"/>
      <c r="N613" s="461"/>
      <c r="O613" s="461"/>
      <c r="P613" s="461"/>
      <c r="Q613" s="461"/>
      <c r="R613" s="463"/>
      <c r="S613" s="461"/>
      <c r="T613" s="463"/>
      <c r="U613" s="461"/>
      <c r="V613" s="463"/>
      <c r="W613" s="461"/>
      <c r="AC613" s="461"/>
    </row>
    <row r="614" spans="1:29">
      <c r="A614" s="461"/>
      <c r="B614" s="461"/>
      <c r="C614" s="461"/>
      <c r="D614" s="462"/>
      <c r="E614" s="461"/>
      <c r="F614" s="461"/>
      <c r="G614" s="461"/>
      <c r="H614" s="461"/>
      <c r="I614" s="461"/>
      <c r="J614" s="461"/>
      <c r="K614" s="461"/>
      <c r="L614" s="461"/>
      <c r="M614" s="461"/>
      <c r="N614" s="461"/>
      <c r="O614" s="461"/>
      <c r="P614" s="461"/>
      <c r="Q614" s="461"/>
      <c r="R614" s="463"/>
      <c r="S614" s="461"/>
      <c r="T614" s="463"/>
      <c r="U614" s="461"/>
      <c r="V614" s="463"/>
      <c r="W614" s="461"/>
      <c r="AC614" s="461"/>
    </row>
    <row r="615" spans="1:29">
      <c r="A615" s="461"/>
      <c r="B615" s="461"/>
      <c r="C615" s="461"/>
      <c r="D615" s="462"/>
      <c r="E615" s="461"/>
      <c r="F615" s="461"/>
      <c r="G615" s="461"/>
      <c r="H615" s="461"/>
      <c r="I615" s="461"/>
      <c r="J615" s="461"/>
      <c r="K615" s="461"/>
      <c r="L615" s="461"/>
      <c r="M615" s="461"/>
      <c r="N615" s="461"/>
      <c r="O615" s="461"/>
      <c r="P615" s="461"/>
      <c r="Q615" s="461"/>
      <c r="R615" s="463"/>
      <c r="S615" s="461"/>
      <c r="T615" s="463"/>
      <c r="U615" s="461"/>
      <c r="V615" s="463"/>
      <c r="W615" s="461"/>
      <c r="AC615" s="461"/>
    </row>
    <row r="616" spans="1:29">
      <c r="A616" s="461"/>
      <c r="B616" s="461"/>
      <c r="C616" s="461"/>
      <c r="D616" s="462"/>
      <c r="E616" s="461"/>
      <c r="F616" s="461"/>
      <c r="G616" s="461"/>
      <c r="H616" s="461"/>
      <c r="I616" s="461"/>
      <c r="J616" s="461"/>
      <c r="K616" s="461"/>
      <c r="L616" s="461"/>
      <c r="M616" s="461"/>
      <c r="N616" s="461"/>
      <c r="O616" s="461"/>
      <c r="P616" s="461"/>
      <c r="Q616" s="461"/>
      <c r="R616" s="463"/>
      <c r="S616" s="461"/>
      <c r="T616" s="463"/>
      <c r="U616" s="461"/>
      <c r="V616" s="463"/>
      <c r="W616" s="461"/>
      <c r="AC616" s="461"/>
    </row>
    <row r="617" spans="1:29">
      <c r="A617" s="461"/>
      <c r="B617" s="461"/>
      <c r="C617" s="461"/>
      <c r="D617" s="462"/>
      <c r="E617" s="461"/>
      <c r="F617" s="461"/>
      <c r="G617" s="461"/>
      <c r="H617" s="461"/>
      <c r="I617" s="461"/>
      <c r="J617" s="461"/>
      <c r="K617" s="461"/>
      <c r="L617" s="461"/>
      <c r="M617" s="461"/>
      <c r="N617" s="461"/>
      <c r="O617" s="461"/>
      <c r="P617" s="461"/>
      <c r="Q617" s="461"/>
      <c r="R617" s="463"/>
      <c r="S617" s="461"/>
      <c r="T617" s="463"/>
      <c r="U617" s="461"/>
      <c r="V617" s="463"/>
      <c r="W617" s="461"/>
      <c r="AC617" s="461"/>
    </row>
    <row r="618" spans="1:29">
      <c r="A618" s="461"/>
      <c r="B618" s="461"/>
      <c r="C618" s="461"/>
      <c r="D618" s="462"/>
      <c r="E618" s="461"/>
      <c r="F618" s="461"/>
      <c r="G618" s="461"/>
      <c r="H618" s="461"/>
      <c r="I618" s="461"/>
      <c r="J618" s="461"/>
      <c r="K618" s="461"/>
      <c r="L618" s="461"/>
      <c r="M618" s="461"/>
      <c r="N618" s="461"/>
      <c r="O618" s="461"/>
      <c r="P618" s="461"/>
      <c r="Q618" s="461"/>
      <c r="R618" s="463"/>
      <c r="S618" s="461"/>
      <c r="T618" s="463"/>
      <c r="U618" s="461"/>
      <c r="V618" s="463"/>
      <c r="W618" s="461"/>
      <c r="AC618" s="461"/>
    </row>
    <row r="619" spans="1:29">
      <c r="A619" s="461"/>
      <c r="B619" s="461"/>
      <c r="C619" s="461"/>
      <c r="D619" s="462"/>
      <c r="E619" s="461"/>
      <c r="F619" s="461"/>
      <c r="G619" s="461"/>
      <c r="H619" s="461"/>
      <c r="I619" s="461"/>
      <c r="J619" s="461"/>
      <c r="K619" s="461"/>
      <c r="L619" s="461"/>
      <c r="M619" s="461"/>
      <c r="N619" s="461"/>
      <c r="O619" s="461"/>
      <c r="P619" s="461"/>
      <c r="Q619" s="461"/>
      <c r="R619" s="463"/>
      <c r="S619" s="461"/>
      <c r="T619" s="463"/>
      <c r="U619" s="461"/>
      <c r="V619" s="463"/>
      <c r="W619" s="461"/>
      <c r="AC619" s="461"/>
    </row>
    <row r="620" spans="1:29">
      <c r="A620" s="461"/>
      <c r="B620" s="461"/>
      <c r="C620" s="461"/>
      <c r="D620" s="462"/>
      <c r="E620" s="461"/>
      <c r="F620" s="461"/>
      <c r="G620" s="461"/>
      <c r="H620" s="461"/>
      <c r="I620" s="461"/>
      <c r="J620" s="461"/>
      <c r="K620" s="461"/>
      <c r="L620" s="461"/>
      <c r="M620" s="461"/>
      <c r="N620" s="461"/>
      <c r="O620" s="461"/>
      <c r="P620" s="461"/>
      <c r="Q620" s="461"/>
      <c r="R620" s="463"/>
      <c r="S620" s="461"/>
      <c r="T620" s="463"/>
      <c r="U620" s="461"/>
      <c r="V620" s="463"/>
      <c r="W620" s="461"/>
      <c r="AC620" s="461"/>
    </row>
    <row r="621" spans="1:29">
      <c r="A621" s="461"/>
      <c r="B621" s="461"/>
      <c r="C621" s="461"/>
      <c r="D621" s="462"/>
      <c r="E621" s="461"/>
      <c r="F621" s="461"/>
      <c r="G621" s="461"/>
      <c r="H621" s="461"/>
      <c r="I621" s="461"/>
      <c r="J621" s="461"/>
      <c r="K621" s="461"/>
      <c r="L621" s="461"/>
      <c r="M621" s="461"/>
      <c r="N621" s="461"/>
      <c r="O621" s="461"/>
      <c r="P621" s="461"/>
      <c r="Q621" s="461"/>
      <c r="R621" s="463"/>
      <c r="S621" s="461"/>
      <c r="T621" s="463"/>
      <c r="U621" s="461"/>
      <c r="V621" s="463"/>
      <c r="W621" s="461"/>
      <c r="AC621" s="461"/>
    </row>
    <row r="622" spans="1:29">
      <c r="A622" s="461"/>
      <c r="B622" s="461"/>
      <c r="C622" s="461"/>
      <c r="D622" s="462"/>
      <c r="E622" s="461"/>
      <c r="F622" s="461"/>
      <c r="G622" s="461"/>
      <c r="H622" s="461"/>
      <c r="I622" s="461"/>
      <c r="J622" s="461"/>
      <c r="K622" s="461"/>
      <c r="L622" s="461"/>
      <c r="M622" s="461"/>
      <c r="N622" s="461"/>
      <c r="O622" s="461"/>
      <c r="P622" s="461"/>
      <c r="Q622" s="461"/>
      <c r="R622" s="463"/>
      <c r="S622" s="461"/>
      <c r="T622" s="463"/>
      <c r="U622" s="461"/>
      <c r="V622" s="463"/>
      <c r="W622" s="461"/>
      <c r="AC622" s="461"/>
    </row>
    <row r="623" spans="1:29">
      <c r="A623" s="461"/>
      <c r="B623" s="461"/>
      <c r="C623" s="461"/>
      <c r="D623" s="462"/>
      <c r="E623" s="461"/>
      <c r="F623" s="461"/>
      <c r="G623" s="461"/>
      <c r="H623" s="461"/>
      <c r="I623" s="461"/>
      <c r="J623" s="461"/>
      <c r="K623" s="461"/>
      <c r="L623" s="461"/>
      <c r="M623" s="461"/>
      <c r="N623" s="461"/>
      <c r="O623" s="461"/>
      <c r="P623" s="461"/>
      <c r="Q623" s="461"/>
      <c r="R623" s="463"/>
      <c r="S623" s="461"/>
      <c r="T623" s="463"/>
      <c r="U623" s="461"/>
      <c r="V623" s="463"/>
      <c r="W623" s="461"/>
      <c r="AC623" s="461"/>
    </row>
    <row r="624" spans="1:29">
      <c r="A624" s="461"/>
      <c r="B624" s="461"/>
      <c r="C624" s="461"/>
      <c r="D624" s="462"/>
      <c r="E624" s="461"/>
      <c r="F624" s="461"/>
      <c r="G624" s="461"/>
      <c r="H624" s="461"/>
      <c r="I624" s="461"/>
      <c r="J624" s="461"/>
      <c r="K624" s="461"/>
      <c r="L624" s="461"/>
      <c r="M624" s="461"/>
      <c r="N624" s="461"/>
      <c r="O624" s="461"/>
      <c r="P624" s="461"/>
      <c r="Q624" s="461"/>
      <c r="R624" s="463"/>
      <c r="S624" s="461"/>
      <c r="T624" s="463"/>
      <c r="U624" s="461"/>
      <c r="V624" s="463"/>
      <c r="W624" s="461"/>
      <c r="AC624" s="461"/>
    </row>
    <row r="625" spans="1:29">
      <c r="A625" s="461"/>
      <c r="B625" s="461"/>
      <c r="C625" s="461"/>
      <c r="D625" s="462"/>
      <c r="E625" s="461"/>
      <c r="F625" s="461"/>
      <c r="G625" s="461"/>
      <c r="H625" s="461"/>
      <c r="I625" s="461"/>
      <c r="J625" s="461"/>
      <c r="K625" s="461"/>
      <c r="L625" s="461"/>
      <c r="M625" s="461"/>
      <c r="N625" s="461"/>
      <c r="O625" s="461"/>
      <c r="P625" s="461"/>
      <c r="Q625" s="461"/>
      <c r="R625" s="463"/>
      <c r="S625" s="461"/>
      <c r="T625" s="463"/>
      <c r="U625" s="461"/>
      <c r="V625" s="463"/>
      <c r="W625" s="461"/>
      <c r="AC625" s="461"/>
    </row>
    <row r="626" spans="1:29">
      <c r="A626" s="461"/>
      <c r="B626" s="461"/>
      <c r="C626" s="461"/>
      <c r="D626" s="462"/>
      <c r="E626" s="461"/>
      <c r="F626" s="461"/>
      <c r="G626" s="461"/>
      <c r="H626" s="461"/>
      <c r="I626" s="461"/>
      <c r="J626" s="461"/>
      <c r="K626" s="461"/>
      <c r="L626" s="461"/>
      <c r="M626" s="461"/>
      <c r="N626" s="461"/>
      <c r="O626" s="461"/>
      <c r="P626" s="461"/>
      <c r="Q626" s="461"/>
      <c r="R626" s="463"/>
      <c r="S626" s="461"/>
      <c r="T626" s="463"/>
      <c r="U626" s="461"/>
      <c r="V626" s="463"/>
      <c r="W626" s="461"/>
      <c r="AC626" s="461"/>
    </row>
    <row r="627" spans="1:29">
      <c r="A627" s="461"/>
      <c r="B627" s="461"/>
      <c r="C627" s="461"/>
      <c r="D627" s="462"/>
      <c r="E627" s="461"/>
      <c r="F627" s="461"/>
      <c r="G627" s="461"/>
      <c r="H627" s="461"/>
      <c r="I627" s="461"/>
      <c r="J627" s="461"/>
      <c r="K627" s="461"/>
      <c r="L627" s="461"/>
      <c r="M627" s="461"/>
      <c r="N627" s="461"/>
      <c r="O627" s="461"/>
      <c r="P627" s="461"/>
      <c r="Q627" s="461"/>
      <c r="R627" s="463"/>
      <c r="S627" s="461"/>
      <c r="T627" s="463"/>
      <c r="U627" s="461"/>
      <c r="V627" s="463"/>
      <c r="W627" s="461"/>
      <c r="AC627" s="461"/>
    </row>
    <row r="628" spans="1:29">
      <c r="A628" s="461"/>
      <c r="B628" s="461"/>
      <c r="C628" s="461"/>
      <c r="D628" s="462"/>
      <c r="E628" s="461"/>
      <c r="F628" s="461"/>
      <c r="G628" s="461"/>
      <c r="H628" s="461"/>
      <c r="I628" s="461"/>
      <c r="J628" s="461"/>
      <c r="K628" s="461"/>
      <c r="L628" s="461"/>
      <c r="M628" s="461"/>
      <c r="N628" s="461"/>
      <c r="O628" s="461"/>
      <c r="P628" s="461"/>
      <c r="Q628" s="461"/>
      <c r="R628" s="463"/>
      <c r="S628" s="461"/>
      <c r="T628" s="463"/>
      <c r="U628" s="461"/>
      <c r="V628" s="463"/>
      <c r="W628" s="461"/>
      <c r="AC628" s="461"/>
    </row>
    <row r="629" spans="1:29">
      <c r="A629" s="461"/>
      <c r="B629" s="461"/>
      <c r="C629" s="461"/>
      <c r="D629" s="462"/>
      <c r="E629" s="461"/>
      <c r="F629" s="461"/>
      <c r="G629" s="461"/>
      <c r="H629" s="461"/>
      <c r="I629" s="461"/>
      <c r="J629" s="461"/>
      <c r="K629" s="461"/>
      <c r="L629" s="461"/>
      <c r="M629" s="461"/>
      <c r="N629" s="461"/>
      <c r="O629" s="461"/>
      <c r="P629" s="461"/>
      <c r="Q629" s="461"/>
      <c r="R629" s="463"/>
      <c r="S629" s="461"/>
      <c r="T629" s="463"/>
      <c r="U629" s="461"/>
      <c r="V629" s="463"/>
      <c r="W629" s="461"/>
      <c r="AC629" s="461"/>
    </row>
    <row r="630" spans="1:29">
      <c r="A630" s="461"/>
      <c r="B630" s="461"/>
      <c r="C630" s="461"/>
      <c r="D630" s="462"/>
      <c r="E630" s="461"/>
      <c r="F630" s="461"/>
      <c r="G630" s="461"/>
      <c r="H630" s="461"/>
      <c r="I630" s="461"/>
      <c r="J630" s="461"/>
      <c r="K630" s="461"/>
      <c r="L630" s="461"/>
      <c r="M630" s="461"/>
      <c r="N630" s="461"/>
      <c r="O630" s="461"/>
      <c r="P630" s="461"/>
      <c r="Q630" s="461"/>
      <c r="R630" s="463"/>
      <c r="S630" s="461"/>
      <c r="T630" s="463"/>
      <c r="U630" s="461"/>
      <c r="V630" s="463"/>
      <c r="W630" s="461"/>
      <c r="AC630" s="461"/>
    </row>
    <row r="631" spans="1:29">
      <c r="A631" s="461"/>
      <c r="B631" s="461"/>
      <c r="C631" s="461"/>
      <c r="D631" s="462"/>
      <c r="E631" s="461"/>
      <c r="F631" s="461"/>
      <c r="G631" s="461"/>
      <c r="H631" s="461"/>
      <c r="I631" s="461"/>
      <c r="J631" s="461"/>
      <c r="K631" s="461"/>
      <c r="L631" s="461"/>
      <c r="M631" s="461"/>
      <c r="N631" s="461"/>
      <c r="O631" s="461"/>
      <c r="P631" s="461"/>
      <c r="Q631" s="461"/>
      <c r="R631" s="463"/>
      <c r="S631" s="461"/>
      <c r="T631" s="463"/>
      <c r="U631" s="461"/>
      <c r="V631" s="463"/>
      <c r="W631" s="461"/>
      <c r="AC631" s="461"/>
    </row>
    <row r="632" spans="1:29">
      <c r="A632" s="461"/>
      <c r="B632" s="461"/>
      <c r="C632" s="461"/>
      <c r="D632" s="462"/>
      <c r="E632" s="461"/>
      <c r="F632" s="461"/>
      <c r="G632" s="461"/>
      <c r="H632" s="461"/>
      <c r="I632" s="461"/>
      <c r="J632" s="461"/>
      <c r="K632" s="461"/>
      <c r="L632" s="461"/>
      <c r="M632" s="461"/>
      <c r="N632" s="461"/>
      <c r="O632" s="461"/>
      <c r="P632" s="461"/>
      <c r="Q632" s="461"/>
      <c r="R632" s="463"/>
      <c r="S632" s="461"/>
      <c r="T632" s="463"/>
      <c r="U632" s="461"/>
      <c r="V632" s="463"/>
      <c r="W632" s="461"/>
      <c r="AC632" s="461"/>
    </row>
    <row r="633" spans="1:29">
      <c r="A633" s="461"/>
      <c r="B633" s="461"/>
      <c r="C633" s="461"/>
      <c r="D633" s="462"/>
      <c r="E633" s="461"/>
      <c r="F633" s="461"/>
      <c r="G633" s="461"/>
      <c r="H633" s="461"/>
      <c r="I633" s="461"/>
      <c r="J633" s="461"/>
      <c r="K633" s="461"/>
      <c r="L633" s="461"/>
      <c r="M633" s="461"/>
      <c r="N633" s="461"/>
      <c r="O633" s="461"/>
      <c r="P633" s="461"/>
      <c r="Q633" s="461"/>
      <c r="R633" s="463"/>
      <c r="S633" s="461"/>
      <c r="T633" s="463"/>
      <c r="U633" s="461"/>
      <c r="V633" s="463"/>
      <c r="W633" s="461"/>
      <c r="AC633" s="461"/>
    </row>
    <row r="634" spans="1:29">
      <c r="A634" s="461"/>
      <c r="B634" s="461"/>
      <c r="C634" s="461"/>
      <c r="D634" s="462"/>
      <c r="E634" s="461"/>
      <c r="F634" s="461"/>
      <c r="G634" s="461"/>
      <c r="H634" s="461"/>
      <c r="I634" s="461"/>
      <c r="J634" s="461"/>
      <c r="K634" s="461"/>
      <c r="L634" s="461"/>
      <c r="M634" s="461"/>
      <c r="N634" s="461"/>
      <c r="O634" s="461"/>
      <c r="P634" s="461"/>
      <c r="Q634" s="461"/>
      <c r="R634" s="463"/>
      <c r="S634" s="461"/>
      <c r="T634" s="463"/>
      <c r="U634" s="461"/>
      <c r="V634" s="463"/>
      <c r="W634" s="461"/>
      <c r="AC634" s="461"/>
    </row>
    <row r="635" spans="1:29">
      <c r="A635" s="461"/>
      <c r="B635" s="461"/>
      <c r="C635" s="461"/>
      <c r="D635" s="462"/>
      <c r="E635" s="461"/>
      <c r="F635" s="461"/>
      <c r="G635" s="461"/>
      <c r="H635" s="461"/>
      <c r="I635" s="461"/>
      <c r="J635" s="461"/>
      <c r="K635" s="461"/>
      <c r="L635" s="461"/>
      <c r="M635" s="461"/>
      <c r="N635" s="461"/>
      <c r="O635" s="461"/>
      <c r="P635" s="461"/>
      <c r="Q635" s="461"/>
      <c r="R635" s="463"/>
      <c r="S635" s="461"/>
      <c r="T635" s="463"/>
      <c r="U635" s="461"/>
      <c r="V635" s="463"/>
      <c r="W635" s="461"/>
      <c r="AC635" s="461"/>
    </row>
    <row r="636" spans="1:29">
      <c r="A636" s="461"/>
      <c r="B636" s="461"/>
      <c r="C636" s="461"/>
      <c r="D636" s="462"/>
      <c r="E636" s="461"/>
      <c r="F636" s="461"/>
      <c r="G636" s="461"/>
      <c r="H636" s="461"/>
      <c r="I636" s="461"/>
      <c r="J636" s="461"/>
      <c r="K636" s="461"/>
      <c r="L636" s="461"/>
      <c r="M636" s="461"/>
      <c r="N636" s="461"/>
      <c r="O636" s="461"/>
      <c r="P636" s="461"/>
      <c r="Q636" s="461"/>
      <c r="R636" s="463"/>
      <c r="S636" s="461"/>
      <c r="T636" s="463"/>
      <c r="U636" s="461"/>
      <c r="V636" s="463"/>
      <c r="W636" s="461"/>
      <c r="AC636" s="461"/>
    </row>
    <row r="637" spans="1:29">
      <c r="A637" s="461"/>
      <c r="B637" s="461"/>
      <c r="C637" s="461"/>
      <c r="D637" s="462"/>
      <c r="E637" s="461"/>
      <c r="F637" s="461"/>
      <c r="G637" s="461"/>
      <c r="H637" s="461"/>
      <c r="I637" s="461"/>
      <c r="J637" s="461"/>
      <c r="K637" s="461"/>
      <c r="L637" s="461"/>
      <c r="M637" s="461"/>
      <c r="N637" s="461"/>
      <c r="O637" s="461"/>
      <c r="P637" s="461"/>
      <c r="Q637" s="461"/>
      <c r="R637" s="463"/>
      <c r="S637" s="461"/>
      <c r="T637" s="463"/>
      <c r="U637" s="461"/>
      <c r="V637" s="463"/>
      <c r="W637" s="461"/>
      <c r="AC637" s="461"/>
    </row>
    <row r="638" spans="1:29">
      <c r="A638" s="461"/>
      <c r="B638" s="461"/>
      <c r="C638" s="461"/>
      <c r="D638" s="462"/>
      <c r="E638" s="461"/>
      <c r="F638" s="461"/>
      <c r="G638" s="461"/>
      <c r="H638" s="461"/>
      <c r="I638" s="461"/>
      <c r="J638" s="461"/>
      <c r="K638" s="461"/>
      <c r="L638" s="461"/>
      <c r="M638" s="461"/>
      <c r="N638" s="461"/>
      <c r="O638" s="461"/>
      <c r="P638" s="461"/>
      <c r="Q638" s="461"/>
      <c r="R638" s="463"/>
      <c r="S638" s="461"/>
      <c r="T638" s="463"/>
      <c r="U638" s="461"/>
      <c r="V638" s="463"/>
      <c r="W638" s="461"/>
      <c r="AC638" s="461"/>
    </row>
    <row r="639" spans="1:29">
      <c r="A639" s="461"/>
      <c r="B639" s="461"/>
      <c r="C639" s="461"/>
      <c r="D639" s="462"/>
      <c r="E639" s="461"/>
      <c r="F639" s="461"/>
      <c r="G639" s="461"/>
      <c r="H639" s="461"/>
      <c r="I639" s="461"/>
      <c r="J639" s="461"/>
      <c r="K639" s="461"/>
      <c r="L639" s="461"/>
      <c r="M639" s="461"/>
      <c r="N639" s="461"/>
      <c r="O639" s="461"/>
      <c r="P639" s="461"/>
      <c r="Q639" s="461"/>
      <c r="R639" s="463"/>
      <c r="S639" s="461"/>
      <c r="T639" s="463"/>
      <c r="U639" s="461"/>
      <c r="V639" s="463"/>
      <c r="W639" s="461"/>
      <c r="AC639" s="461"/>
    </row>
    <row r="640" spans="1:29">
      <c r="A640" s="461"/>
      <c r="B640" s="461"/>
      <c r="C640" s="461"/>
      <c r="D640" s="462"/>
      <c r="E640" s="461"/>
      <c r="F640" s="461"/>
      <c r="G640" s="461"/>
      <c r="H640" s="461"/>
      <c r="I640" s="461"/>
      <c r="J640" s="461"/>
      <c r="K640" s="461"/>
      <c r="L640" s="461"/>
      <c r="M640" s="461"/>
      <c r="N640" s="461"/>
      <c r="O640" s="461"/>
      <c r="P640" s="461"/>
      <c r="Q640" s="461"/>
      <c r="R640" s="463"/>
      <c r="S640" s="461"/>
      <c r="T640" s="463"/>
      <c r="U640" s="461"/>
      <c r="V640" s="463"/>
      <c r="W640" s="461"/>
      <c r="AC640" s="461"/>
    </row>
    <row r="641" spans="1:29">
      <c r="A641" s="461"/>
      <c r="B641" s="461"/>
      <c r="C641" s="461"/>
      <c r="D641" s="462"/>
      <c r="E641" s="461"/>
      <c r="F641" s="461"/>
      <c r="G641" s="461"/>
      <c r="H641" s="461"/>
      <c r="I641" s="461"/>
      <c r="J641" s="461"/>
      <c r="K641" s="461"/>
      <c r="L641" s="461"/>
      <c r="M641" s="461"/>
      <c r="N641" s="461"/>
      <c r="O641" s="461"/>
      <c r="P641" s="461"/>
      <c r="Q641" s="461"/>
      <c r="R641" s="463"/>
      <c r="S641" s="461"/>
      <c r="T641" s="463"/>
      <c r="U641" s="461"/>
      <c r="V641" s="463"/>
      <c r="W641" s="461"/>
      <c r="AC641" s="461"/>
    </row>
    <row r="642" spans="1:29">
      <c r="A642" s="461"/>
      <c r="B642" s="461"/>
      <c r="C642" s="461"/>
      <c r="D642" s="462"/>
      <c r="E642" s="461"/>
      <c r="F642" s="461"/>
      <c r="G642" s="461"/>
      <c r="H642" s="461"/>
      <c r="I642" s="461"/>
      <c r="J642" s="461"/>
      <c r="K642" s="461"/>
      <c r="L642" s="461"/>
      <c r="M642" s="461"/>
      <c r="N642" s="461"/>
      <c r="O642" s="461"/>
      <c r="P642" s="461"/>
      <c r="Q642" s="461"/>
      <c r="R642" s="463"/>
      <c r="S642" s="461"/>
      <c r="T642" s="463"/>
      <c r="U642" s="461"/>
      <c r="V642" s="463"/>
      <c r="W642" s="461"/>
      <c r="AC642" s="461"/>
    </row>
    <row r="643" spans="1:29">
      <c r="A643" s="461"/>
      <c r="B643" s="461"/>
      <c r="C643" s="461"/>
      <c r="D643" s="462"/>
      <c r="E643" s="461"/>
      <c r="F643" s="461"/>
      <c r="G643" s="461"/>
      <c r="H643" s="461"/>
      <c r="I643" s="461"/>
      <c r="J643" s="461"/>
      <c r="K643" s="461"/>
      <c r="L643" s="461"/>
      <c r="M643" s="461"/>
      <c r="N643" s="461"/>
      <c r="O643" s="461"/>
      <c r="P643" s="461"/>
      <c r="Q643" s="461"/>
      <c r="R643" s="463"/>
      <c r="S643" s="461"/>
      <c r="T643" s="463"/>
      <c r="U643" s="461"/>
      <c r="V643" s="463"/>
      <c r="W643" s="461"/>
      <c r="AC643" s="461"/>
    </row>
    <row r="644" spans="1:29">
      <c r="A644" s="461"/>
      <c r="B644" s="461"/>
      <c r="C644" s="461"/>
      <c r="D644" s="462"/>
      <c r="E644" s="461"/>
      <c r="F644" s="461"/>
      <c r="G644" s="461"/>
      <c r="H644" s="461"/>
      <c r="I644" s="461"/>
      <c r="J644" s="461"/>
      <c r="K644" s="461"/>
      <c r="L644" s="461"/>
      <c r="M644" s="461"/>
      <c r="N644" s="461"/>
      <c r="O644" s="461"/>
      <c r="P644" s="461"/>
      <c r="Q644" s="461"/>
      <c r="R644" s="463"/>
      <c r="S644" s="461"/>
      <c r="T644" s="463"/>
      <c r="U644" s="461"/>
      <c r="V644" s="463"/>
      <c r="W644" s="461"/>
      <c r="AC644" s="461"/>
    </row>
    <row r="645" spans="1:29">
      <c r="A645" s="461"/>
      <c r="B645" s="461"/>
      <c r="C645" s="461"/>
      <c r="D645" s="462"/>
      <c r="E645" s="461"/>
      <c r="F645" s="461"/>
      <c r="G645" s="461"/>
      <c r="H645" s="461"/>
      <c r="I645" s="461"/>
      <c r="J645" s="461"/>
      <c r="K645" s="461"/>
      <c r="L645" s="461"/>
      <c r="M645" s="461"/>
      <c r="N645" s="461"/>
      <c r="O645" s="461"/>
      <c r="P645" s="461"/>
      <c r="Q645" s="461"/>
      <c r="R645" s="463"/>
      <c r="S645" s="461"/>
      <c r="T645" s="463"/>
      <c r="U645" s="461"/>
      <c r="V645" s="463"/>
      <c r="W645" s="461"/>
      <c r="AC645" s="461"/>
    </row>
    <row r="646" spans="1:29">
      <c r="A646" s="461"/>
      <c r="B646" s="461"/>
      <c r="C646" s="461"/>
      <c r="D646" s="462"/>
      <c r="E646" s="461"/>
      <c r="F646" s="461"/>
      <c r="G646" s="461"/>
      <c r="H646" s="461"/>
      <c r="I646" s="461"/>
      <c r="J646" s="461"/>
      <c r="K646" s="461"/>
      <c r="L646" s="461"/>
      <c r="M646" s="461"/>
      <c r="N646" s="461"/>
      <c r="O646" s="461"/>
      <c r="P646" s="461"/>
      <c r="Q646" s="461"/>
      <c r="R646" s="463"/>
      <c r="S646" s="461"/>
      <c r="T646" s="463"/>
      <c r="U646" s="461"/>
      <c r="V646" s="463"/>
      <c r="W646" s="461"/>
      <c r="AC646" s="461"/>
    </row>
    <row r="647" spans="1:29">
      <c r="A647" s="461"/>
      <c r="B647" s="461"/>
      <c r="C647" s="461"/>
      <c r="D647" s="462"/>
      <c r="E647" s="461"/>
      <c r="F647" s="461"/>
      <c r="G647" s="461"/>
      <c r="H647" s="461"/>
      <c r="I647" s="461"/>
      <c r="J647" s="461"/>
      <c r="K647" s="461"/>
      <c r="L647" s="461"/>
      <c r="M647" s="461"/>
      <c r="N647" s="461"/>
      <c r="O647" s="461"/>
      <c r="P647" s="461"/>
      <c r="Q647" s="461"/>
      <c r="R647" s="463"/>
      <c r="S647" s="461"/>
      <c r="T647" s="463"/>
      <c r="U647" s="461"/>
      <c r="V647" s="463"/>
      <c r="W647" s="461"/>
      <c r="AC647" s="461"/>
    </row>
    <row r="648" spans="1:29">
      <c r="A648" s="461"/>
      <c r="B648" s="461"/>
      <c r="C648" s="461"/>
      <c r="D648" s="462"/>
      <c r="E648" s="461"/>
      <c r="F648" s="461"/>
      <c r="G648" s="461"/>
      <c r="H648" s="461"/>
      <c r="I648" s="461"/>
      <c r="J648" s="461"/>
      <c r="K648" s="461"/>
      <c r="L648" s="461"/>
      <c r="M648" s="461"/>
      <c r="N648" s="461"/>
      <c r="O648" s="461"/>
      <c r="P648" s="461"/>
      <c r="Q648" s="461"/>
      <c r="R648" s="463"/>
      <c r="S648" s="461"/>
      <c r="T648" s="463"/>
      <c r="U648" s="461"/>
      <c r="V648" s="463"/>
      <c r="W648" s="461"/>
      <c r="AC648" s="461"/>
    </row>
    <row r="649" spans="1:29">
      <c r="A649" s="461"/>
      <c r="B649" s="461"/>
      <c r="C649" s="461"/>
      <c r="D649" s="462"/>
      <c r="E649" s="461"/>
      <c r="F649" s="461"/>
      <c r="G649" s="461"/>
      <c r="H649" s="461"/>
      <c r="I649" s="461"/>
      <c r="J649" s="461"/>
      <c r="K649" s="461"/>
      <c r="L649" s="461"/>
      <c r="M649" s="461"/>
      <c r="N649" s="461"/>
      <c r="O649" s="461"/>
      <c r="P649" s="461"/>
      <c r="Q649" s="461"/>
      <c r="R649" s="463"/>
      <c r="S649" s="461"/>
      <c r="T649" s="463"/>
      <c r="U649" s="461"/>
      <c r="V649" s="463"/>
      <c r="W649" s="461"/>
      <c r="AC649" s="461"/>
    </row>
    <row r="650" spans="1:29">
      <c r="A650" s="461"/>
      <c r="B650" s="461"/>
      <c r="C650" s="461"/>
      <c r="D650" s="462"/>
      <c r="E650" s="461"/>
      <c r="F650" s="461"/>
      <c r="G650" s="461"/>
      <c r="H650" s="461"/>
      <c r="I650" s="461"/>
      <c r="J650" s="461"/>
      <c r="K650" s="461"/>
      <c r="L650" s="461"/>
      <c r="M650" s="461"/>
      <c r="N650" s="461"/>
      <c r="O650" s="461"/>
      <c r="P650" s="461"/>
      <c r="Q650" s="461"/>
      <c r="R650" s="463"/>
      <c r="S650" s="461"/>
      <c r="T650" s="463"/>
      <c r="U650" s="461"/>
      <c r="V650" s="463"/>
      <c r="W650" s="461"/>
      <c r="AC650" s="461"/>
    </row>
    <row r="651" spans="1:29">
      <c r="A651" s="461"/>
      <c r="B651" s="461"/>
      <c r="C651" s="461"/>
      <c r="D651" s="462"/>
      <c r="E651" s="461"/>
      <c r="F651" s="461"/>
      <c r="G651" s="461"/>
      <c r="H651" s="461"/>
      <c r="I651" s="461"/>
      <c r="J651" s="461"/>
      <c r="K651" s="461"/>
      <c r="L651" s="461"/>
      <c r="M651" s="461"/>
      <c r="N651" s="461"/>
      <c r="O651" s="461"/>
      <c r="P651" s="461"/>
      <c r="Q651" s="461"/>
      <c r="R651" s="463"/>
      <c r="S651" s="461"/>
      <c r="T651" s="463"/>
      <c r="U651" s="461"/>
      <c r="V651" s="463"/>
      <c r="W651" s="461"/>
      <c r="AC651" s="461"/>
    </row>
    <row r="652" spans="1:29">
      <c r="A652" s="461"/>
      <c r="B652" s="461"/>
      <c r="C652" s="461"/>
      <c r="D652" s="462"/>
      <c r="E652" s="461"/>
      <c r="F652" s="461"/>
      <c r="G652" s="461"/>
      <c r="H652" s="461"/>
      <c r="I652" s="461"/>
      <c r="J652" s="461"/>
      <c r="K652" s="461"/>
      <c r="L652" s="461"/>
      <c r="M652" s="461"/>
      <c r="N652" s="461"/>
      <c r="O652" s="461"/>
      <c r="P652" s="461"/>
      <c r="Q652" s="461"/>
      <c r="R652" s="463"/>
      <c r="S652" s="461"/>
      <c r="T652" s="463"/>
      <c r="U652" s="461"/>
      <c r="V652" s="463"/>
      <c r="W652" s="461"/>
      <c r="AC652" s="461"/>
    </row>
    <row r="653" spans="1:29">
      <c r="A653" s="461"/>
      <c r="B653" s="461"/>
      <c r="C653" s="461"/>
      <c r="D653" s="462"/>
      <c r="E653" s="461"/>
      <c r="F653" s="461"/>
      <c r="G653" s="461"/>
      <c r="H653" s="461"/>
      <c r="I653" s="461"/>
      <c r="J653" s="461"/>
      <c r="K653" s="461"/>
      <c r="L653" s="461"/>
      <c r="M653" s="461"/>
      <c r="N653" s="461"/>
      <c r="O653" s="461"/>
      <c r="P653" s="461"/>
      <c r="Q653" s="461"/>
      <c r="R653" s="463"/>
      <c r="S653" s="461"/>
      <c r="T653" s="463"/>
      <c r="U653" s="461"/>
      <c r="V653" s="463"/>
      <c r="W653" s="461"/>
      <c r="AC653" s="461"/>
    </row>
    <row r="654" spans="1:29">
      <c r="A654" s="461"/>
      <c r="B654" s="461"/>
      <c r="C654" s="461"/>
      <c r="D654" s="462"/>
      <c r="E654" s="461"/>
      <c r="F654" s="461"/>
      <c r="G654" s="461"/>
      <c r="H654" s="461"/>
      <c r="I654" s="461"/>
      <c r="J654" s="461"/>
      <c r="K654" s="461"/>
      <c r="L654" s="461"/>
      <c r="M654" s="461"/>
      <c r="N654" s="461"/>
      <c r="O654" s="461"/>
      <c r="P654" s="461"/>
      <c r="Q654" s="461"/>
      <c r="R654" s="463"/>
      <c r="S654" s="461"/>
      <c r="T654" s="463"/>
      <c r="U654" s="461"/>
      <c r="V654" s="463"/>
      <c r="W654" s="461"/>
      <c r="AC654" s="461"/>
    </row>
    <row r="655" spans="1:29">
      <c r="A655" s="461"/>
      <c r="B655" s="461"/>
      <c r="C655" s="461"/>
      <c r="D655" s="462"/>
      <c r="E655" s="461"/>
      <c r="F655" s="461"/>
      <c r="G655" s="461"/>
      <c r="H655" s="461"/>
      <c r="I655" s="461"/>
      <c r="J655" s="461"/>
      <c r="K655" s="461"/>
      <c r="L655" s="461"/>
      <c r="M655" s="461"/>
      <c r="N655" s="461"/>
      <c r="O655" s="461"/>
      <c r="P655" s="461"/>
      <c r="Q655" s="461"/>
      <c r="R655" s="463"/>
      <c r="S655" s="461"/>
      <c r="T655" s="463"/>
      <c r="U655" s="461"/>
      <c r="V655" s="463"/>
      <c r="W655" s="461"/>
      <c r="AC655" s="461"/>
    </row>
    <row r="656" spans="1:29">
      <c r="A656" s="461"/>
      <c r="B656" s="461"/>
      <c r="C656" s="461"/>
      <c r="D656" s="462"/>
      <c r="E656" s="461"/>
      <c r="F656" s="461"/>
      <c r="G656" s="461"/>
      <c r="H656" s="461"/>
      <c r="I656" s="461"/>
      <c r="J656" s="461"/>
      <c r="K656" s="461"/>
      <c r="L656" s="461"/>
      <c r="M656" s="461"/>
      <c r="N656" s="461"/>
      <c r="O656" s="461"/>
      <c r="P656" s="461"/>
      <c r="Q656" s="461"/>
      <c r="R656" s="463"/>
      <c r="S656" s="461"/>
      <c r="T656" s="463"/>
      <c r="U656" s="461"/>
      <c r="V656" s="463"/>
      <c r="W656" s="461"/>
      <c r="AC656" s="461"/>
    </row>
    <row r="657" spans="1:29">
      <c r="A657" s="461"/>
      <c r="B657" s="461"/>
      <c r="C657" s="461"/>
      <c r="D657" s="462"/>
      <c r="E657" s="461"/>
      <c r="F657" s="461"/>
      <c r="G657" s="461"/>
      <c r="H657" s="461"/>
      <c r="I657" s="461"/>
      <c r="J657" s="461"/>
      <c r="K657" s="461"/>
      <c r="L657" s="461"/>
      <c r="M657" s="461"/>
      <c r="N657" s="461"/>
      <c r="O657" s="461"/>
      <c r="P657" s="461"/>
      <c r="Q657" s="461"/>
      <c r="R657" s="463"/>
      <c r="S657" s="461"/>
      <c r="T657" s="463"/>
      <c r="U657" s="461"/>
      <c r="V657" s="463"/>
      <c r="W657" s="461"/>
      <c r="AC657" s="461"/>
    </row>
    <row r="658" spans="1:29">
      <c r="A658" s="461"/>
      <c r="B658" s="461"/>
      <c r="C658" s="461"/>
      <c r="D658" s="462"/>
      <c r="E658" s="461"/>
      <c r="F658" s="461"/>
      <c r="G658" s="461"/>
      <c r="H658" s="461"/>
      <c r="I658" s="461"/>
      <c r="J658" s="461"/>
      <c r="K658" s="461"/>
      <c r="L658" s="461"/>
      <c r="M658" s="461"/>
      <c r="N658" s="461"/>
      <c r="O658" s="461"/>
      <c r="P658" s="461"/>
      <c r="Q658" s="461"/>
      <c r="R658" s="463"/>
      <c r="S658" s="461"/>
      <c r="T658" s="463"/>
      <c r="U658" s="461"/>
      <c r="V658" s="463"/>
      <c r="W658" s="461"/>
      <c r="AC658" s="461"/>
    </row>
    <row r="659" spans="1:29">
      <c r="A659" s="461"/>
      <c r="B659" s="461"/>
      <c r="C659" s="461"/>
      <c r="D659" s="462"/>
      <c r="E659" s="461"/>
      <c r="F659" s="461"/>
      <c r="G659" s="461"/>
      <c r="H659" s="461"/>
      <c r="I659" s="461"/>
      <c r="J659" s="461"/>
      <c r="K659" s="461"/>
      <c r="L659" s="461"/>
      <c r="M659" s="461"/>
      <c r="N659" s="461"/>
      <c r="O659" s="461"/>
      <c r="P659" s="461"/>
      <c r="Q659" s="461"/>
      <c r="R659" s="463"/>
      <c r="S659" s="461"/>
      <c r="T659" s="463"/>
      <c r="U659" s="461"/>
      <c r="V659" s="463"/>
      <c r="W659" s="461"/>
      <c r="AC659" s="461"/>
    </row>
    <row r="660" spans="1:29">
      <c r="A660" s="461"/>
      <c r="B660" s="461"/>
      <c r="C660" s="461"/>
      <c r="D660" s="462"/>
      <c r="E660" s="461"/>
      <c r="F660" s="461"/>
      <c r="G660" s="461"/>
      <c r="H660" s="461"/>
      <c r="I660" s="461"/>
      <c r="J660" s="461"/>
      <c r="K660" s="461"/>
      <c r="L660" s="461"/>
      <c r="M660" s="461"/>
      <c r="N660" s="461"/>
      <c r="O660" s="461"/>
      <c r="P660" s="461"/>
      <c r="Q660" s="461"/>
      <c r="R660" s="463"/>
      <c r="S660" s="461"/>
      <c r="T660" s="463"/>
      <c r="U660" s="461"/>
      <c r="V660" s="463"/>
      <c r="W660" s="461"/>
      <c r="AC660" s="461"/>
    </row>
    <row r="661" spans="1:29">
      <c r="A661" s="461"/>
      <c r="B661" s="461"/>
      <c r="C661" s="461"/>
      <c r="D661" s="462"/>
      <c r="E661" s="461"/>
      <c r="F661" s="461"/>
      <c r="G661" s="461"/>
      <c r="H661" s="461"/>
      <c r="I661" s="461"/>
      <c r="J661" s="461"/>
      <c r="K661" s="461"/>
      <c r="L661" s="461"/>
      <c r="M661" s="461"/>
      <c r="N661" s="461"/>
      <c r="O661" s="461"/>
      <c r="P661" s="461"/>
      <c r="Q661" s="461"/>
      <c r="R661" s="463"/>
      <c r="S661" s="461"/>
      <c r="T661" s="463"/>
      <c r="U661" s="461"/>
      <c r="V661" s="463"/>
      <c r="W661" s="461"/>
      <c r="AC661" s="461"/>
    </row>
    <row r="662" spans="1:29">
      <c r="A662" s="461"/>
      <c r="B662" s="461"/>
      <c r="C662" s="461"/>
      <c r="D662" s="462"/>
      <c r="E662" s="461"/>
      <c r="F662" s="461"/>
      <c r="G662" s="461"/>
      <c r="H662" s="461"/>
      <c r="I662" s="461"/>
      <c r="J662" s="461"/>
      <c r="K662" s="461"/>
      <c r="L662" s="461"/>
      <c r="M662" s="461"/>
      <c r="N662" s="461"/>
      <c r="O662" s="461"/>
      <c r="P662" s="461"/>
      <c r="Q662" s="461"/>
      <c r="R662" s="463"/>
      <c r="S662" s="461"/>
      <c r="T662" s="463"/>
      <c r="U662" s="461"/>
      <c r="V662" s="463"/>
      <c r="W662" s="461"/>
      <c r="AC662" s="461"/>
    </row>
    <row r="663" spans="1:29">
      <c r="A663" s="461"/>
      <c r="B663" s="461"/>
      <c r="C663" s="461"/>
      <c r="D663" s="462"/>
      <c r="E663" s="461"/>
      <c r="F663" s="461"/>
      <c r="G663" s="461"/>
      <c r="H663" s="461"/>
      <c r="I663" s="461"/>
      <c r="J663" s="461"/>
      <c r="K663" s="461"/>
      <c r="L663" s="461"/>
      <c r="M663" s="461"/>
      <c r="N663" s="461"/>
      <c r="O663" s="461"/>
      <c r="P663" s="461"/>
      <c r="Q663" s="461"/>
      <c r="R663" s="463"/>
      <c r="S663" s="461"/>
      <c r="T663" s="463"/>
      <c r="U663" s="461"/>
      <c r="V663" s="463"/>
      <c r="W663" s="461"/>
      <c r="AC663" s="461"/>
    </row>
    <row r="664" spans="1:29">
      <c r="A664" s="461"/>
      <c r="B664" s="461"/>
      <c r="C664" s="461"/>
      <c r="D664" s="462"/>
      <c r="E664" s="461"/>
      <c r="F664" s="461"/>
      <c r="G664" s="461"/>
      <c r="H664" s="461"/>
      <c r="I664" s="461"/>
      <c r="J664" s="461"/>
      <c r="K664" s="461"/>
      <c r="L664" s="461"/>
      <c r="M664" s="461"/>
      <c r="N664" s="461"/>
      <c r="O664" s="461"/>
      <c r="P664" s="461"/>
      <c r="Q664" s="461"/>
      <c r="R664" s="463"/>
      <c r="S664" s="461"/>
      <c r="T664" s="463"/>
      <c r="U664" s="461"/>
      <c r="V664" s="463"/>
      <c r="W664" s="461"/>
      <c r="AC664" s="461"/>
    </row>
    <row r="665" spans="1:29">
      <c r="A665" s="461"/>
      <c r="B665" s="461"/>
      <c r="C665" s="461"/>
      <c r="D665" s="462"/>
      <c r="E665" s="461"/>
      <c r="F665" s="461"/>
      <c r="G665" s="461"/>
      <c r="H665" s="461"/>
      <c r="I665" s="461"/>
      <c r="J665" s="461"/>
      <c r="K665" s="461"/>
      <c r="L665" s="461"/>
      <c r="M665" s="461"/>
      <c r="N665" s="461"/>
      <c r="O665" s="461"/>
      <c r="P665" s="461"/>
      <c r="Q665" s="461"/>
      <c r="R665" s="463"/>
      <c r="S665" s="461"/>
      <c r="T665" s="463"/>
      <c r="U665" s="461"/>
      <c r="V665" s="463"/>
      <c r="W665" s="461"/>
      <c r="AC665" s="461"/>
    </row>
    <row r="666" spans="1:29">
      <c r="A666" s="461"/>
      <c r="B666" s="461"/>
      <c r="C666" s="461"/>
      <c r="D666" s="462"/>
      <c r="E666" s="461"/>
      <c r="F666" s="461"/>
      <c r="G666" s="461"/>
      <c r="H666" s="461"/>
      <c r="I666" s="461"/>
      <c r="J666" s="461"/>
      <c r="K666" s="461"/>
      <c r="L666" s="461"/>
      <c r="M666" s="461"/>
      <c r="N666" s="461"/>
      <c r="O666" s="461"/>
      <c r="P666" s="461"/>
      <c r="Q666" s="461"/>
      <c r="R666" s="463"/>
      <c r="S666" s="461"/>
      <c r="T666" s="463"/>
      <c r="U666" s="461"/>
      <c r="V666" s="463"/>
      <c r="W666" s="461"/>
      <c r="AC666" s="461"/>
    </row>
    <row r="667" spans="1:29">
      <c r="A667" s="461"/>
      <c r="B667" s="461"/>
      <c r="C667" s="461"/>
      <c r="D667" s="462"/>
      <c r="E667" s="461"/>
      <c r="F667" s="461"/>
      <c r="G667" s="461"/>
      <c r="H667" s="461"/>
      <c r="I667" s="461"/>
      <c r="J667" s="461"/>
      <c r="K667" s="461"/>
      <c r="L667" s="461"/>
      <c r="M667" s="461"/>
      <c r="N667" s="461"/>
      <c r="O667" s="461"/>
      <c r="P667" s="461"/>
      <c r="Q667" s="461"/>
      <c r="R667" s="463"/>
      <c r="S667" s="461"/>
      <c r="T667" s="463"/>
      <c r="U667" s="461"/>
      <c r="V667" s="463"/>
      <c r="W667" s="461"/>
      <c r="AC667" s="461"/>
    </row>
    <row r="668" spans="1:29">
      <c r="A668" s="461"/>
      <c r="B668" s="461"/>
      <c r="C668" s="461"/>
      <c r="D668" s="462"/>
      <c r="E668" s="461"/>
      <c r="F668" s="461"/>
      <c r="G668" s="461"/>
      <c r="H668" s="461"/>
      <c r="I668" s="461"/>
      <c r="J668" s="461"/>
      <c r="K668" s="461"/>
      <c r="L668" s="461"/>
      <c r="M668" s="461"/>
      <c r="N668" s="461"/>
      <c r="O668" s="461"/>
      <c r="P668" s="461"/>
      <c r="Q668" s="461"/>
      <c r="R668" s="463"/>
      <c r="S668" s="461"/>
      <c r="T668" s="463"/>
      <c r="U668" s="461"/>
      <c r="V668" s="463"/>
      <c r="W668" s="461"/>
      <c r="AC668" s="461"/>
    </row>
    <row r="669" spans="1:29">
      <c r="A669" s="461"/>
      <c r="B669" s="461"/>
      <c r="C669" s="461"/>
      <c r="D669" s="462"/>
      <c r="E669" s="461"/>
      <c r="F669" s="461"/>
      <c r="G669" s="461"/>
      <c r="H669" s="461"/>
      <c r="I669" s="461"/>
      <c r="J669" s="461"/>
      <c r="K669" s="461"/>
      <c r="L669" s="461"/>
      <c r="M669" s="461"/>
      <c r="N669" s="461"/>
      <c r="O669" s="461"/>
      <c r="P669" s="461"/>
      <c r="Q669" s="461"/>
      <c r="R669" s="463"/>
      <c r="S669" s="461"/>
      <c r="T669" s="463"/>
      <c r="U669" s="461"/>
      <c r="V669" s="463"/>
      <c r="W669" s="461"/>
      <c r="AC669" s="461"/>
    </row>
    <row r="670" spans="1:29">
      <c r="A670" s="461"/>
      <c r="B670" s="461"/>
      <c r="C670" s="461"/>
      <c r="D670" s="462"/>
      <c r="E670" s="461"/>
      <c r="F670" s="461"/>
      <c r="G670" s="461"/>
      <c r="H670" s="461"/>
      <c r="I670" s="461"/>
      <c r="J670" s="461"/>
      <c r="K670" s="461"/>
      <c r="L670" s="461"/>
      <c r="M670" s="461"/>
      <c r="N670" s="461"/>
      <c r="O670" s="461"/>
      <c r="P670" s="461"/>
      <c r="Q670" s="461"/>
      <c r="R670" s="463"/>
      <c r="S670" s="461"/>
      <c r="T670" s="463"/>
      <c r="U670" s="461"/>
      <c r="V670" s="463"/>
      <c r="W670" s="461"/>
      <c r="AC670" s="461"/>
    </row>
    <row r="671" spans="1:29">
      <c r="A671" s="461"/>
      <c r="B671" s="461"/>
      <c r="C671" s="461"/>
      <c r="D671" s="462"/>
      <c r="E671" s="461"/>
      <c r="F671" s="461"/>
      <c r="G671" s="461"/>
      <c r="H671" s="461"/>
      <c r="I671" s="461"/>
      <c r="J671" s="461"/>
      <c r="K671" s="461"/>
      <c r="L671" s="461"/>
      <c r="M671" s="461"/>
      <c r="N671" s="461"/>
      <c r="O671" s="461"/>
      <c r="P671" s="461"/>
      <c r="Q671" s="461"/>
      <c r="R671" s="463"/>
      <c r="S671" s="461"/>
      <c r="T671" s="463"/>
      <c r="U671" s="461"/>
      <c r="V671" s="463"/>
      <c r="W671" s="461"/>
      <c r="AC671" s="461"/>
    </row>
    <row r="672" spans="1:29">
      <c r="A672" s="461"/>
      <c r="B672" s="461"/>
      <c r="C672" s="461"/>
      <c r="D672" s="462"/>
      <c r="E672" s="461"/>
      <c r="F672" s="461"/>
      <c r="G672" s="461"/>
      <c r="H672" s="461"/>
      <c r="I672" s="461"/>
      <c r="J672" s="461"/>
      <c r="K672" s="461"/>
      <c r="L672" s="461"/>
      <c r="M672" s="461"/>
      <c r="N672" s="461"/>
      <c r="O672" s="461"/>
      <c r="P672" s="461"/>
      <c r="Q672" s="461"/>
      <c r="R672" s="463"/>
      <c r="S672" s="461"/>
      <c r="T672" s="463"/>
      <c r="U672" s="461"/>
      <c r="V672" s="463"/>
      <c r="W672" s="461"/>
      <c r="AC672" s="461"/>
    </row>
    <row r="673" spans="1:29">
      <c r="A673" s="461"/>
      <c r="B673" s="461"/>
      <c r="C673" s="461"/>
      <c r="D673" s="462"/>
      <c r="E673" s="461"/>
      <c r="F673" s="461"/>
      <c r="G673" s="461"/>
      <c r="H673" s="461"/>
      <c r="I673" s="461"/>
      <c r="J673" s="461"/>
      <c r="K673" s="461"/>
      <c r="L673" s="461"/>
      <c r="M673" s="461"/>
      <c r="N673" s="461"/>
      <c r="O673" s="461"/>
      <c r="P673" s="461"/>
      <c r="Q673" s="461"/>
      <c r="R673" s="463"/>
      <c r="S673" s="461"/>
      <c r="T673" s="463"/>
      <c r="U673" s="461"/>
      <c r="V673" s="463"/>
      <c r="W673" s="461"/>
      <c r="AC673" s="461"/>
    </row>
    <row r="674" spans="1:29">
      <c r="A674" s="461"/>
      <c r="B674" s="461"/>
      <c r="C674" s="461"/>
      <c r="D674" s="462"/>
      <c r="E674" s="461"/>
      <c r="F674" s="461"/>
      <c r="G674" s="461"/>
      <c r="H674" s="461"/>
      <c r="I674" s="461"/>
      <c r="J674" s="461"/>
      <c r="K674" s="461"/>
      <c r="L674" s="461"/>
      <c r="M674" s="461"/>
      <c r="N674" s="461"/>
      <c r="O674" s="461"/>
      <c r="P674" s="461"/>
      <c r="Q674" s="461"/>
      <c r="R674" s="463"/>
      <c r="S674" s="461"/>
      <c r="T674" s="463"/>
      <c r="U674" s="461"/>
      <c r="V674" s="463"/>
      <c r="W674" s="461"/>
      <c r="AC674" s="461"/>
    </row>
    <row r="675" spans="1:29">
      <c r="A675" s="461"/>
      <c r="B675" s="461"/>
      <c r="C675" s="461"/>
      <c r="D675" s="462"/>
      <c r="E675" s="461"/>
      <c r="F675" s="461"/>
      <c r="G675" s="461"/>
      <c r="H675" s="461"/>
      <c r="I675" s="461"/>
      <c r="J675" s="461"/>
      <c r="K675" s="461"/>
      <c r="L675" s="461"/>
      <c r="M675" s="461"/>
      <c r="N675" s="461"/>
      <c r="O675" s="461"/>
      <c r="P675" s="461"/>
      <c r="Q675" s="461"/>
      <c r="R675" s="463"/>
      <c r="S675" s="461"/>
      <c r="T675" s="463"/>
      <c r="U675" s="461"/>
      <c r="V675" s="463"/>
      <c r="W675" s="461"/>
      <c r="AC675" s="461"/>
    </row>
    <row r="676" spans="1:29">
      <c r="A676" s="461"/>
      <c r="B676" s="461"/>
      <c r="C676" s="461"/>
      <c r="D676" s="462"/>
      <c r="E676" s="461"/>
      <c r="F676" s="461"/>
      <c r="G676" s="461"/>
      <c r="H676" s="461"/>
      <c r="I676" s="461"/>
      <c r="J676" s="461"/>
      <c r="K676" s="461"/>
      <c r="L676" s="461"/>
      <c r="M676" s="461"/>
      <c r="N676" s="461"/>
      <c r="O676" s="461"/>
      <c r="P676" s="461"/>
      <c r="Q676" s="461"/>
      <c r="R676" s="463"/>
      <c r="S676" s="461"/>
      <c r="T676" s="463"/>
      <c r="U676" s="461"/>
      <c r="V676" s="463"/>
      <c r="W676" s="461"/>
      <c r="AC676" s="461"/>
    </row>
    <row r="677" spans="1:29">
      <c r="A677" s="461"/>
      <c r="B677" s="461"/>
      <c r="C677" s="461"/>
      <c r="D677" s="462"/>
      <c r="E677" s="461"/>
      <c r="F677" s="461"/>
      <c r="G677" s="461"/>
      <c r="H677" s="461"/>
      <c r="I677" s="461"/>
      <c r="J677" s="461"/>
      <c r="K677" s="461"/>
      <c r="L677" s="461"/>
      <c r="M677" s="461"/>
      <c r="N677" s="461"/>
      <c r="O677" s="461"/>
      <c r="P677" s="461"/>
      <c r="Q677" s="461"/>
      <c r="R677" s="463"/>
      <c r="S677" s="461"/>
      <c r="T677" s="463"/>
      <c r="U677" s="461"/>
      <c r="V677" s="463"/>
      <c r="W677" s="461"/>
      <c r="AC677" s="461"/>
    </row>
    <row r="678" spans="1:29">
      <c r="A678" s="461"/>
      <c r="B678" s="461"/>
      <c r="C678" s="461"/>
      <c r="D678" s="462"/>
      <c r="E678" s="461"/>
      <c r="F678" s="461"/>
      <c r="G678" s="461"/>
      <c r="H678" s="461"/>
      <c r="I678" s="461"/>
      <c r="J678" s="461"/>
      <c r="K678" s="461"/>
      <c r="L678" s="461"/>
      <c r="M678" s="461"/>
      <c r="N678" s="461"/>
      <c r="O678" s="461"/>
      <c r="P678" s="461"/>
      <c r="Q678" s="461"/>
      <c r="R678" s="463"/>
      <c r="S678" s="461"/>
      <c r="T678" s="463"/>
      <c r="U678" s="461"/>
      <c r="V678" s="463"/>
      <c r="W678" s="461"/>
      <c r="AC678" s="461"/>
    </row>
    <row r="679" spans="1:29">
      <c r="A679" s="461"/>
      <c r="B679" s="461"/>
      <c r="C679" s="461"/>
      <c r="D679" s="462"/>
      <c r="E679" s="461"/>
      <c r="F679" s="461"/>
      <c r="G679" s="461"/>
      <c r="H679" s="461"/>
      <c r="I679" s="461"/>
      <c r="J679" s="461"/>
      <c r="K679" s="461"/>
      <c r="L679" s="461"/>
      <c r="M679" s="461"/>
      <c r="N679" s="461"/>
      <c r="O679" s="461"/>
      <c r="P679" s="461"/>
      <c r="Q679" s="461"/>
      <c r="R679" s="463"/>
      <c r="S679" s="461"/>
      <c r="T679" s="463"/>
      <c r="U679" s="461"/>
      <c r="V679" s="463"/>
      <c r="W679" s="461"/>
      <c r="AC679" s="461"/>
    </row>
    <row r="680" spans="1:29">
      <c r="A680" s="461"/>
      <c r="B680" s="461"/>
      <c r="C680" s="461"/>
      <c r="D680" s="462"/>
      <c r="E680" s="461"/>
      <c r="F680" s="461"/>
      <c r="G680" s="461"/>
      <c r="H680" s="461"/>
      <c r="I680" s="461"/>
      <c r="J680" s="461"/>
      <c r="K680" s="461"/>
      <c r="L680" s="461"/>
      <c r="M680" s="461"/>
      <c r="N680" s="461"/>
      <c r="O680" s="461"/>
      <c r="P680" s="461"/>
      <c r="Q680" s="461"/>
      <c r="R680" s="463"/>
      <c r="S680" s="461"/>
      <c r="T680" s="463"/>
      <c r="U680" s="461"/>
      <c r="V680" s="463"/>
      <c r="W680" s="461"/>
      <c r="AC680" s="461"/>
    </row>
    <row r="681" spans="1:29">
      <c r="A681" s="461"/>
      <c r="B681" s="461"/>
      <c r="C681" s="461"/>
      <c r="D681" s="462"/>
      <c r="E681" s="461"/>
      <c r="F681" s="461"/>
      <c r="G681" s="461"/>
      <c r="H681" s="461"/>
      <c r="I681" s="461"/>
      <c r="J681" s="461"/>
      <c r="K681" s="461"/>
      <c r="L681" s="461"/>
      <c r="M681" s="461"/>
      <c r="N681" s="461"/>
      <c r="O681" s="461"/>
      <c r="P681" s="461"/>
      <c r="Q681" s="461"/>
      <c r="R681" s="463"/>
      <c r="S681" s="461"/>
      <c r="T681" s="463"/>
      <c r="U681" s="461"/>
      <c r="V681" s="463"/>
      <c r="W681" s="461"/>
      <c r="AC681" s="461"/>
    </row>
    <row r="682" spans="1:29">
      <c r="A682" s="461"/>
      <c r="B682" s="461"/>
      <c r="C682" s="461"/>
      <c r="D682" s="462"/>
      <c r="E682" s="461"/>
      <c r="F682" s="461"/>
      <c r="G682" s="461"/>
      <c r="H682" s="461"/>
      <c r="I682" s="461"/>
      <c r="J682" s="461"/>
      <c r="K682" s="461"/>
      <c r="L682" s="461"/>
      <c r="M682" s="461"/>
      <c r="N682" s="461"/>
      <c r="O682" s="461"/>
      <c r="P682" s="461"/>
      <c r="Q682" s="461"/>
      <c r="R682" s="463"/>
      <c r="S682" s="461"/>
      <c r="T682" s="463"/>
      <c r="U682" s="461"/>
      <c r="V682" s="463"/>
      <c r="W682" s="461"/>
      <c r="AC682" s="461"/>
    </row>
    <row r="683" spans="1:29">
      <c r="A683" s="461"/>
      <c r="B683" s="461"/>
      <c r="C683" s="461"/>
      <c r="D683" s="462"/>
      <c r="E683" s="461"/>
      <c r="F683" s="461"/>
      <c r="G683" s="461"/>
      <c r="H683" s="461"/>
      <c r="I683" s="461"/>
      <c r="J683" s="461"/>
      <c r="K683" s="461"/>
      <c r="L683" s="461"/>
      <c r="M683" s="461"/>
      <c r="N683" s="461"/>
      <c r="O683" s="461"/>
      <c r="P683" s="461"/>
      <c r="Q683" s="461"/>
      <c r="R683" s="463"/>
      <c r="S683" s="461"/>
      <c r="T683" s="463"/>
      <c r="U683" s="461"/>
      <c r="V683" s="463"/>
      <c r="W683" s="461"/>
      <c r="AC683" s="461"/>
    </row>
    <row r="684" spans="1:29">
      <c r="A684" s="461"/>
      <c r="B684" s="461"/>
      <c r="C684" s="461"/>
      <c r="D684" s="462"/>
      <c r="E684" s="461"/>
      <c r="F684" s="461"/>
      <c r="G684" s="461"/>
      <c r="H684" s="461"/>
      <c r="I684" s="461"/>
      <c r="J684" s="461"/>
      <c r="K684" s="461"/>
      <c r="L684" s="461"/>
      <c r="M684" s="461"/>
      <c r="N684" s="461"/>
      <c r="O684" s="461"/>
      <c r="P684" s="461"/>
      <c r="Q684" s="461"/>
      <c r="R684" s="463"/>
      <c r="S684" s="461"/>
      <c r="T684" s="463"/>
      <c r="U684" s="461"/>
      <c r="V684" s="463"/>
      <c r="W684" s="461"/>
      <c r="AC684" s="461"/>
    </row>
    <row r="685" spans="1:29">
      <c r="A685" s="461"/>
      <c r="B685" s="461"/>
      <c r="C685" s="461"/>
      <c r="D685" s="462"/>
      <c r="E685" s="461"/>
      <c r="F685" s="461"/>
      <c r="G685" s="461"/>
      <c r="H685" s="461"/>
      <c r="I685" s="461"/>
      <c r="J685" s="461"/>
      <c r="K685" s="461"/>
      <c r="L685" s="461"/>
      <c r="M685" s="461"/>
      <c r="N685" s="461"/>
      <c r="O685" s="461"/>
      <c r="P685" s="461"/>
      <c r="Q685" s="461"/>
      <c r="R685" s="463"/>
      <c r="S685" s="461"/>
      <c r="T685" s="463"/>
      <c r="U685" s="461"/>
      <c r="V685" s="463"/>
      <c r="W685" s="461"/>
      <c r="AC685" s="461"/>
    </row>
    <row r="686" spans="1:29">
      <c r="A686" s="461"/>
      <c r="B686" s="461"/>
      <c r="C686" s="461"/>
      <c r="D686" s="462"/>
      <c r="E686" s="461"/>
      <c r="F686" s="461"/>
      <c r="G686" s="461"/>
      <c r="H686" s="461"/>
      <c r="I686" s="461"/>
      <c r="J686" s="461"/>
      <c r="K686" s="461"/>
      <c r="L686" s="461"/>
      <c r="M686" s="461"/>
      <c r="N686" s="461"/>
      <c r="O686" s="461"/>
      <c r="P686" s="461"/>
      <c r="Q686" s="461"/>
      <c r="R686" s="463"/>
      <c r="S686" s="461"/>
      <c r="T686" s="463"/>
      <c r="U686" s="461"/>
      <c r="V686" s="463"/>
      <c r="W686" s="461"/>
      <c r="AC686" s="461"/>
    </row>
    <row r="687" spans="1:29">
      <c r="A687" s="461"/>
      <c r="B687" s="461"/>
      <c r="C687" s="461"/>
      <c r="D687" s="462"/>
      <c r="E687" s="461"/>
      <c r="F687" s="461"/>
      <c r="G687" s="461"/>
      <c r="H687" s="461"/>
      <c r="I687" s="461"/>
      <c r="J687" s="461"/>
      <c r="K687" s="461"/>
      <c r="L687" s="461"/>
      <c r="M687" s="461"/>
      <c r="N687" s="461"/>
      <c r="O687" s="461"/>
      <c r="P687" s="461"/>
      <c r="Q687" s="461"/>
      <c r="R687" s="463"/>
      <c r="S687" s="461"/>
      <c r="T687" s="463"/>
      <c r="U687" s="461"/>
      <c r="V687" s="463"/>
      <c r="W687" s="461"/>
      <c r="AC687" s="461"/>
    </row>
    <row r="688" spans="1:29">
      <c r="A688" s="461"/>
      <c r="B688" s="461"/>
      <c r="C688" s="461"/>
      <c r="D688" s="462"/>
      <c r="E688" s="461"/>
      <c r="F688" s="461"/>
      <c r="G688" s="461"/>
      <c r="H688" s="461"/>
      <c r="I688" s="461"/>
      <c r="J688" s="461"/>
      <c r="K688" s="461"/>
      <c r="L688" s="461"/>
      <c r="M688" s="461"/>
      <c r="N688" s="461"/>
      <c r="O688" s="461"/>
      <c r="P688" s="461"/>
      <c r="Q688" s="461"/>
      <c r="R688" s="463"/>
      <c r="S688" s="461"/>
      <c r="T688" s="463"/>
      <c r="U688" s="461"/>
      <c r="V688" s="463"/>
      <c r="W688" s="461"/>
      <c r="AC688" s="461"/>
    </row>
    <row r="689" spans="1:29">
      <c r="A689" s="461"/>
      <c r="B689" s="461"/>
      <c r="C689" s="461"/>
      <c r="D689" s="462"/>
      <c r="E689" s="461"/>
      <c r="F689" s="461"/>
      <c r="G689" s="461"/>
      <c r="H689" s="461"/>
      <c r="I689" s="461"/>
      <c r="J689" s="461"/>
      <c r="K689" s="461"/>
      <c r="L689" s="461"/>
      <c r="M689" s="461"/>
      <c r="N689" s="461"/>
      <c r="O689" s="461"/>
      <c r="P689" s="461"/>
      <c r="Q689" s="461"/>
      <c r="R689" s="463"/>
      <c r="S689" s="461"/>
      <c r="T689" s="463"/>
      <c r="U689" s="461"/>
      <c r="V689" s="463"/>
      <c r="W689" s="461"/>
      <c r="AC689" s="461"/>
    </row>
    <row r="690" spans="1:29">
      <c r="A690" s="461"/>
      <c r="B690" s="461"/>
      <c r="C690" s="461"/>
      <c r="D690" s="462"/>
      <c r="E690" s="461"/>
      <c r="F690" s="461"/>
      <c r="G690" s="461"/>
      <c r="H690" s="461"/>
      <c r="I690" s="461"/>
      <c r="J690" s="461"/>
      <c r="K690" s="461"/>
      <c r="L690" s="461"/>
      <c r="M690" s="461"/>
      <c r="N690" s="461"/>
      <c r="O690" s="461"/>
      <c r="P690" s="461"/>
      <c r="Q690" s="461"/>
      <c r="R690" s="463"/>
      <c r="S690" s="461"/>
      <c r="T690" s="463"/>
      <c r="U690" s="461"/>
      <c r="V690" s="463"/>
      <c r="W690" s="461"/>
      <c r="AC690" s="461"/>
    </row>
    <row r="691" spans="1:29">
      <c r="A691" s="461"/>
      <c r="B691" s="461"/>
      <c r="C691" s="461"/>
      <c r="D691" s="462"/>
      <c r="E691" s="461"/>
      <c r="F691" s="461"/>
      <c r="G691" s="461"/>
      <c r="H691" s="461"/>
      <c r="I691" s="461"/>
      <c r="J691" s="461"/>
      <c r="K691" s="461"/>
      <c r="L691" s="461"/>
      <c r="M691" s="461"/>
      <c r="N691" s="461"/>
      <c r="O691" s="461"/>
      <c r="P691" s="461"/>
      <c r="Q691" s="461"/>
      <c r="R691" s="463"/>
      <c r="S691" s="461"/>
      <c r="T691" s="463"/>
      <c r="U691" s="461"/>
      <c r="V691" s="463"/>
      <c r="W691" s="461"/>
      <c r="AC691" s="461"/>
    </row>
    <row r="692" spans="1:29">
      <c r="A692" s="461"/>
      <c r="B692" s="461"/>
      <c r="C692" s="461"/>
      <c r="D692" s="462"/>
      <c r="E692" s="461"/>
      <c r="F692" s="461"/>
      <c r="G692" s="461"/>
      <c r="H692" s="461"/>
      <c r="I692" s="461"/>
      <c r="J692" s="461"/>
      <c r="K692" s="461"/>
      <c r="L692" s="461"/>
      <c r="M692" s="461"/>
      <c r="N692" s="461"/>
      <c r="O692" s="461"/>
      <c r="P692" s="461"/>
      <c r="Q692" s="461"/>
      <c r="R692" s="463"/>
      <c r="S692" s="461"/>
      <c r="T692" s="463"/>
      <c r="U692" s="461"/>
      <c r="V692" s="463"/>
      <c r="W692" s="461"/>
      <c r="AC692" s="461"/>
    </row>
    <row r="693" spans="1:29">
      <c r="A693" s="461"/>
      <c r="B693" s="461"/>
      <c r="C693" s="461"/>
      <c r="D693" s="462"/>
      <c r="E693" s="461"/>
      <c r="F693" s="461"/>
      <c r="G693" s="461"/>
      <c r="H693" s="461"/>
      <c r="I693" s="461"/>
      <c r="J693" s="461"/>
      <c r="K693" s="461"/>
      <c r="L693" s="461"/>
      <c r="M693" s="461"/>
      <c r="N693" s="461"/>
      <c r="O693" s="461"/>
      <c r="P693" s="461"/>
      <c r="Q693" s="461"/>
      <c r="R693" s="463"/>
      <c r="S693" s="461"/>
      <c r="T693" s="463"/>
      <c r="U693" s="461"/>
      <c r="V693" s="463"/>
      <c r="W693" s="461"/>
      <c r="AC693" s="461"/>
    </row>
    <row r="694" spans="1:29">
      <c r="A694" s="461"/>
      <c r="B694" s="461"/>
      <c r="C694" s="461"/>
      <c r="D694" s="462"/>
      <c r="E694" s="461"/>
      <c r="F694" s="461"/>
      <c r="G694" s="461"/>
      <c r="H694" s="461"/>
      <c r="I694" s="461"/>
      <c r="J694" s="461"/>
      <c r="K694" s="461"/>
      <c r="L694" s="461"/>
      <c r="M694" s="461"/>
      <c r="N694" s="461"/>
      <c r="O694" s="461"/>
      <c r="P694" s="461"/>
      <c r="Q694" s="461"/>
      <c r="R694" s="463"/>
      <c r="S694" s="461"/>
      <c r="T694" s="463"/>
      <c r="U694" s="461"/>
      <c r="V694" s="463"/>
      <c r="W694" s="461"/>
      <c r="AC694" s="461"/>
    </row>
    <row r="695" spans="1:29">
      <c r="A695" s="461"/>
      <c r="B695" s="461"/>
      <c r="C695" s="461"/>
      <c r="D695" s="462"/>
      <c r="E695" s="461"/>
      <c r="F695" s="461"/>
      <c r="G695" s="461"/>
      <c r="H695" s="461"/>
      <c r="I695" s="461"/>
      <c r="J695" s="461"/>
      <c r="K695" s="461"/>
      <c r="L695" s="461"/>
      <c r="M695" s="461"/>
      <c r="N695" s="461"/>
      <c r="O695" s="461"/>
      <c r="P695" s="461"/>
      <c r="Q695" s="461"/>
      <c r="R695" s="463"/>
      <c r="S695" s="461"/>
      <c r="T695" s="463"/>
      <c r="U695" s="461"/>
      <c r="V695" s="463"/>
      <c r="W695" s="461"/>
      <c r="AC695" s="461"/>
    </row>
    <row r="696" spans="1:29">
      <c r="A696" s="461"/>
      <c r="B696" s="461"/>
      <c r="C696" s="461"/>
      <c r="D696" s="462"/>
      <c r="E696" s="461"/>
      <c r="F696" s="461"/>
      <c r="G696" s="461"/>
      <c r="H696" s="461"/>
      <c r="I696" s="461"/>
      <c r="J696" s="461"/>
      <c r="K696" s="461"/>
      <c r="L696" s="461"/>
      <c r="M696" s="461"/>
      <c r="N696" s="461"/>
      <c r="O696" s="461"/>
      <c r="P696" s="461"/>
      <c r="Q696" s="461"/>
      <c r="R696" s="463"/>
      <c r="S696" s="461"/>
      <c r="T696" s="463"/>
      <c r="U696" s="461"/>
      <c r="V696" s="463"/>
      <c r="W696" s="461"/>
      <c r="AC696" s="461"/>
    </row>
    <row r="697" spans="1:29">
      <c r="A697" s="461"/>
      <c r="B697" s="461"/>
      <c r="C697" s="461"/>
      <c r="D697" s="462"/>
      <c r="E697" s="461"/>
      <c r="F697" s="461"/>
      <c r="G697" s="461"/>
      <c r="H697" s="461"/>
      <c r="I697" s="461"/>
      <c r="J697" s="461"/>
      <c r="K697" s="461"/>
      <c r="L697" s="461"/>
      <c r="M697" s="461"/>
      <c r="N697" s="461"/>
      <c r="O697" s="461"/>
      <c r="P697" s="461"/>
      <c r="Q697" s="461"/>
      <c r="R697" s="463"/>
      <c r="S697" s="461"/>
      <c r="T697" s="463"/>
      <c r="U697" s="461"/>
      <c r="V697" s="463"/>
      <c r="W697" s="461"/>
      <c r="AC697" s="461"/>
    </row>
    <row r="698" spans="1:29">
      <c r="A698" s="461"/>
      <c r="B698" s="461"/>
      <c r="C698" s="461"/>
      <c r="D698" s="462"/>
      <c r="E698" s="461"/>
      <c r="F698" s="461"/>
      <c r="G698" s="461"/>
      <c r="H698" s="461"/>
      <c r="I698" s="461"/>
      <c r="J698" s="461"/>
      <c r="K698" s="461"/>
      <c r="L698" s="461"/>
      <c r="M698" s="461"/>
      <c r="N698" s="461"/>
      <c r="O698" s="461"/>
      <c r="P698" s="461"/>
      <c r="Q698" s="461"/>
      <c r="R698" s="463"/>
      <c r="S698" s="461"/>
      <c r="T698" s="463"/>
      <c r="U698" s="461"/>
      <c r="V698" s="463"/>
      <c r="W698" s="461"/>
      <c r="AC698" s="461"/>
    </row>
    <row r="699" spans="1:29">
      <c r="A699" s="461"/>
      <c r="B699" s="461"/>
      <c r="C699" s="461"/>
      <c r="D699" s="462"/>
      <c r="E699" s="461"/>
      <c r="F699" s="461"/>
      <c r="G699" s="461"/>
      <c r="H699" s="461"/>
      <c r="I699" s="461"/>
      <c r="J699" s="461"/>
      <c r="K699" s="461"/>
      <c r="L699" s="461"/>
      <c r="M699" s="461"/>
      <c r="N699" s="461"/>
      <c r="O699" s="461"/>
      <c r="P699" s="461"/>
      <c r="Q699" s="461"/>
      <c r="R699" s="463"/>
      <c r="S699" s="461"/>
      <c r="T699" s="463"/>
      <c r="U699" s="461"/>
      <c r="V699" s="463"/>
      <c r="W699" s="461"/>
      <c r="AC699" s="461"/>
    </row>
    <row r="700" spans="1:29">
      <c r="A700" s="461"/>
      <c r="B700" s="461"/>
      <c r="C700" s="461"/>
      <c r="D700" s="462"/>
      <c r="E700" s="461"/>
      <c r="F700" s="461"/>
      <c r="G700" s="461"/>
      <c r="H700" s="461"/>
      <c r="I700" s="461"/>
      <c r="J700" s="461"/>
      <c r="K700" s="461"/>
      <c r="L700" s="461"/>
      <c r="M700" s="461"/>
      <c r="N700" s="461"/>
      <c r="O700" s="461"/>
      <c r="P700" s="461"/>
      <c r="Q700" s="461"/>
      <c r="R700" s="463"/>
      <c r="S700" s="461"/>
      <c r="T700" s="463"/>
      <c r="U700" s="461"/>
      <c r="V700" s="463"/>
      <c r="W700" s="461"/>
      <c r="AC700" s="461"/>
    </row>
    <row r="701" spans="1:29">
      <c r="A701" s="461"/>
      <c r="B701" s="461"/>
      <c r="C701" s="461"/>
      <c r="D701" s="462"/>
      <c r="E701" s="461"/>
      <c r="F701" s="461"/>
      <c r="G701" s="461"/>
      <c r="H701" s="461"/>
      <c r="I701" s="461"/>
      <c r="J701" s="461"/>
      <c r="K701" s="461"/>
      <c r="L701" s="461"/>
      <c r="M701" s="461"/>
      <c r="N701" s="461"/>
      <c r="O701" s="461"/>
      <c r="P701" s="461"/>
      <c r="Q701" s="461"/>
      <c r="R701" s="463"/>
      <c r="S701" s="461"/>
      <c r="T701" s="463"/>
      <c r="U701" s="461"/>
      <c r="V701" s="463"/>
      <c r="W701" s="461"/>
      <c r="AC701" s="461"/>
    </row>
    <row r="702" spans="1:29">
      <c r="A702" s="461"/>
      <c r="B702" s="461"/>
      <c r="C702" s="461"/>
      <c r="D702" s="462"/>
      <c r="E702" s="461"/>
      <c r="F702" s="461"/>
      <c r="G702" s="461"/>
      <c r="H702" s="461"/>
      <c r="I702" s="461"/>
      <c r="J702" s="461"/>
      <c r="K702" s="461"/>
      <c r="L702" s="461"/>
      <c r="M702" s="461"/>
      <c r="N702" s="461"/>
      <c r="O702" s="461"/>
      <c r="P702" s="461"/>
      <c r="Q702" s="461"/>
      <c r="R702" s="463"/>
      <c r="S702" s="461"/>
      <c r="T702" s="463"/>
      <c r="U702" s="461"/>
      <c r="V702" s="463"/>
      <c r="W702" s="461"/>
      <c r="AC702" s="461"/>
    </row>
    <row r="703" spans="1:29">
      <c r="A703" s="461"/>
      <c r="B703" s="461"/>
      <c r="C703" s="461"/>
      <c r="D703" s="462"/>
      <c r="E703" s="461"/>
      <c r="F703" s="461"/>
      <c r="G703" s="461"/>
      <c r="H703" s="461"/>
      <c r="I703" s="461"/>
      <c r="J703" s="461"/>
      <c r="K703" s="461"/>
      <c r="L703" s="461"/>
      <c r="M703" s="461"/>
      <c r="N703" s="461"/>
      <c r="O703" s="461"/>
      <c r="P703" s="461"/>
      <c r="Q703" s="461"/>
      <c r="R703" s="463"/>
      <c r="S703" s="461"/>
      <c r="T703" s="463"/>
      <c r="U703" s="461"/>
      <c r="V703" s="463"/>
      <c r="W703" s="461"/>
      <c r="AC703" s="461"/>
    </row>
    <row r="704" spans="1:29">
      <c r="A704" s="461"/>
      <c r="B704" s="461"/>
      <c r="C704" s="461"/>
      <c r="D704" s="462"/>
      <c r="E704" s="461"/>
      <c r="F704" s="461"/>
      <c r="G704" s="461"/>
      <c r="H704" s="461"/>
      <c r="I704" s="461"/>
      <c r="J704" s="461"/>
      <c r="K704" s="461"/>
      <c r="L704" s="461"/>
      <c r="M704" s="461"/>
      <c r="N704" s="461"/>
      <c r="O704" s="461"/>
      <c r="P704" s="461"/>
      <c r="Q704" s="461"/>
      <c r="R704" s="463"/>
      <c r="S704" s="461"/>
      <c r="T704" s="463"/>
      <c r="U704" s="461"/>
      <c r="V704" s="463"/>
      <c r="W704" s="461"/>
      <c r="AC704" s="461"/>
    </row>
    <row r="705" spans="1:29">
      <c r="A705" s="461"/>
      <c r="B705" s="461"/>
      <c r="C705" s="461"/>
      <c r="D705" s="462"/>
      <c r="E705" s="461"/>
      <c r="F705" s="461"/>
      <c r="G705" s="461"/>
      <c r="H705" s="461"/>
      <c r="I705" s="461"/>
      <c r="J705" s="461"/>
      <c r="K705" s="461"/>
      <c r="L705" s="461"/>
      <c r="M705" s="461"/>
      <c r="N705" s="461"/>
      <c r="O705" s="461"/>
      <c r="P705" s="461"/>
      <c r="Q705" s="461"/>
      <c r="R705" s="463"/>
      <c r="S705" s="461"/>
      <c r="T705" s="463"/>
      <c r="U705" s="461"/>
      <c r="V705" s="463"/>
      <c r="W705" s="461"/>
      <c r="AC705" s="461"/>
    </row>
    <row r="706" spans="1:29">
      <c r="A706" s="461"/>
      <c r="B706" s="461"/>
      <c r="C706" s="461"/>
      <c r="D706" s="462"/>
      <c r="E706" s="461"/>
      <c r="F706" s="461"/>
      <c r="G706" s="461"/>
      <c r="H706" s="461"/>
      <c r="I706" s="461"/>
      <c r="J706" s="461"/>
      <c r="K706" s="461"/>
      <c r="L706" s="461"/>
      <c r="M706" s="461"/>
      <c r="N706" s="461"/>
      <c r="O706" s="461"/>
      <c r="P706" s="461"/>
      <c r="Q706" s="461"/>
      <c r="R706" s="463"/>
      <c r="S706" s="461"/>
      <c r="T706" s="463"/>
      <c r="U706" s="461"/>
      <c r="V706" s="463"/>
      <c r="W706" s="461"/>
      <c r="AC706" s="461"/>
    </row>
    <row r="707" spans="1:29">
      <c r="A707" s="461"/>
      <c r="B707" s="461"/>
      <c r="C707" s="461"/>
      <c r="D707" s="462"/>
      <c r="E707" s="461"/>
      <c r="F707" s="461"/>
      <c r="G707" s="461"/>
      <c r="H707" s="461"/>
      <c r="I707" s="461"/>
      <c r="J707" s="461"/>
      <c r="K707" s="461"/>
      <c r="L707" s="461"/>
      <c r="M707" s="461"/>
      <c r="N707" s="461"/>
      <c r="O707" s="461"/>
      <c r="P707" s="461"/>
      <c r="Q707" s="461"/>
      <c r="R707" s="463"/>
      <c r="S707" s="461"/>
      <c r="T707" s="463"/>
      <c r="U707" s="461"/>
      <c r="V707" s="463"/>
      <c r="W707" s="461"/>
      <c r="AC707" s="461"/>
    </row>
    <row r="708" spans="1:29">
      <c r="A708" s="461"/>
      <c r="B708" s="461"/>
      <c r="C708" s="461"/>
      <c r="D708" s="462"/>
      <c r="E708" s="461"/>
      <c r="F708" s="461"/>
      <c r="G708" s="461"/>
      <c r="H708" s="461"/>
      <c r="I708" s="461"/>
      <c r="J708" s="461"/>
      <c r="K708" s="461"/>
      <c r="L708" s="461"/>
      <c r="M708" s="461"/>
      <c r="N708" s="461"/>
      <c r="O708" s="461"/>
      <c r="P708" s="461"/>
      <c r="Q708" s="461"/>
      <c r="R708" s="463"/>
      <c r="S708" s="461"/>
      <c r="T708" s="463"/>
      <c r="U708" s="461"/>
      <c r="V708" s="463"/>
      <c r="W708" s="461"/>
      <c r="AC708" s="461"/>
    </row>
    <row r="709" spans="1:29">
      <c r="A709" s="461"/>
      <c r="B709" s="461"/>
      <c r="C709" s="461"/>
      <c r="D709" s="462"/>
      <c r="E709" s="461"/>
      <c r="F709" s="461"/>
      <c r="G709" s="461"/>
      <c r="H709" s="461"/>
      <c r="I709" s="461"/>
      <c r="J709" s="461"/>
      <c r="K709" s="461"/>
      <c r="L709" s="461"/>
      <c r="M709" s="461"/>
      <c r="N709" s="461"/>
      <c r="O709" s="461"/>
      <c r="P709" s="461"/>
      <c r="Q709" s="461"/>
      <c r="R709" s="463"/>
      <c r="S709" s="461"/>
      <c r="T709" s="463"/>
      <c r="U709" s="461"/>
      <c r="V709" s="463"/>
      <c r="W709" s="461"/>
      <c r="AC709" s="461"/>
    </row>
    <row r="710" spans="1:29">
      <c r="A710" s="461"/>
      <c r="B710" s="461"/>
      <c r="C710" s="461"/>
      <c r="D710" s="462"/>
      <c r="E710" s="461"/>
      <c r="F710" s="461"/>
      <c r="G710" s="461"/>
      <c r="H710" s="461"/>
      <c r="I710" s="461"/>
      <c r="J710" s="461"/>
      <c r="K710" s="461"/>
      <c r="L710" s="461"/>
      <c r="M710" s="461"/>
      <c r="N710" s="461"/>
      <c r="O710" s="461"/>
      <c r="P710" s="461"/>
      <c r="Q710" s="461"/>
      <c r="R710" s="463"/>
      <c r="S710" s="461"/>
      <c r="T710" s="463"/>
      <c r="U710" s="461"/>
      <c r="V710" s="463"/>
      <c r="W710" s="461"/>
      <c r="AC710" s="461"/>
    </row>
    <row r="711" spans="1:29">
      <c r="A711" s="461"/>
      <c r="B711" s="461"/>
      <c r="C711" s="461"/>
      <c r="D711" s="462"/>
      <c r="E711" s="461"/>
      <c r="F711" s="461"/>
      <c r="G711" s="461"/>
      <c r="H711" s="461"/>
      <c r="I711" s="461"/>
      <c r="J711" s="461"/>
      <c r="K711" s="461"/>
      <c r="L711" s="461"/>
      <c r="M711" s="461"/>
      <c r="N711" s="461"/>
      <c r="O711" s="461"/>
      <c r="P711" s="461"/>
      <c r="Q711" s="461"/>
      <c r="R711" s="463"/>
      <c r="S711" s="461"/>
      <c r="T711" s="463"/>
      <c r="U711" s="461"/>
      <c r="V711" s="463"/>
      <c r="W711" s="461"/>
      <c r="AC711" s="461"/>
    </row>
    <row r="712" spans="1:29">
      <c r="A712" s="461"/>
      <c r="B712" s="461"/>
      <c r="C712" s="461"/>
      <c r="D712" s="462"/>
      <c r="E712" s="461"/>
      <c r="F712" s="461"/>
      <c r="G712" s="461"/>
      <c r="H712" s="461"/>
      <c r="I712" s="461"/>
      <c r="J712" s="461"/>
      <c r="K712" s="461"/>
      <c r="L712" s="461"/>
      <c r="M712" s="461"/>
      <c r="N712" s="461"/>
      <c r="O712" s="461"/>
      <c r="P712" s="461"/>
      <c r="Q712" s="461"/>
      <c r="R712" s="463"/>
      <c r="S712" s="461"/>
      <c r="T712" s="463"/>
      <c r="U712" s="461"/>
      <c r="V712" s="463"/>
      <c r="W712" s="461"/>
      <c r="AC712" s="461"/>
    </row>
    <row r="713" spans="1:29">
      <c r="A713" s="461"/>
      <c r="B713" s="461"/>
      <c r="C713" s="461"/>
      <c r="D713" s="462"/>
      <c r="E713" s="461"/>
      <c r="F713" s="461"/>
      <c r="G713" s="461"/>
      <c r="H713" s="461"/>
      <c r="I713" s="461"/>
      <c r="J713" s="461"/>
      <c r="K713" s="461"/>
      <c r="L713" s="461"/>
      <c r="M713" s="461"/>
      <c r="N713" s="461"/>
      <c r="O713" s="461"/>
      <c r="P713" s="461"/>
      <c r="Q713" s="461"/>
      <c r="R713" s="463"/>
      <c r="S713" s="461"/>
      <c r="T713" s="463"/>
      <c r="U713" s="461"/>
      <c r="V713" s="463"/>
      <c r="W713" s="461"/>
      <c r="AC713" s="461"/>
    </row>
    <row r="714" spans="1:29">
      <c r="A714" s="461"/>
      <c r="B714" s="461"/>
      <c r="C714" s="461"/>
      <c r="D714" s="462"/>
      <c r="E714" s="461"/>
      <c r="F714" s="461"/>
      <c r="G714" s="461"/>
      <c r="H714" s="461"/>
      <c r="I714" s="461"/>
      <c r="J714" s="461"/>
      <c r="K714" s="461"/>
      <c r="L714" s="461"/>
      <c r="M714" s="461"/>
      <c r="N714" s="461"/>
      <c r="O714" s="461"/>
      <c r="P714" s="461"/>
      <c r="Q714" s="461"/>
      <c r="R714" s="463"/>
      <c r="S714" s="461"/>
      <c r="T714" s="463"/>
      <c r="U714" s="461"/>
      <c r="V714" s="463"/>
      <c r="W714" s="461"/>
      <c r="AC714" s="461"/>
    </row>
    <row r="715" spans="1:29">
      <c r="A715" s="461"/>
      <c r="B715" s="461"/>
      <c r="C715" s="461"/>
      <c r="D715" s="462"/>
      <c r="E715" s="461"/>
      <c r="F715" s="461"/>
      <c r="G715" s="461"/>
      <c r="H715" s="461"/>
      <c r="I715" s="461"/>
      <c r="J715" s="461"/>
      <c r="K715" s="461"/>
      <c r="L715" s="461"/>
      <c r="M715" s="461"/>
      <c r="N715" s="461"/>
      <c r="O715" s="461"/>
      <c r="P715" s="461"/>
      <c r="Q715" s="461"/>
      <c r="R715" s="463"/>
      <c r="S715" s="461"/>
      <c r="T715" s="463"/>
      <c r="U715" s="461"/>
      <c r="V715" s="463"/>
      <c r="W715" s="461"/>
      <c r="AC715" s="461"/>
    </row>
    <row r="716" spans="1:29">
      <c r="A716" s="461"/>
      <c r="B716" s="461"/>
      <c r="C716" s="461"/>
      <c r="D716" s="462"/>
      <c r="E716" s="461"/>
      <c r="F716" s="461"/>
      <c r="G716" s="461"/>
      <c r="H716" s="461"/>
      <c r="I716" s="461"/>
      <c r="J716" s="461"/>
      <c r="K716" s="461"/>
      <c r="L716" s="461"/>
      <c r="M716" s="461"/>
      <c r="N716" s="461"/>
      <c r="O716" s="461"/>
      <c r="P716" s="461"/>
      <c r="Q716" s="461"/>
      <c r="R716" s="463"/>
      <c r="S716" s="461"/>
      <c r="T716" s="463"/>
      <c r="U716" s="461"/>
      <c r="V716" s="463"/>
      <c r="W716" s="461"/>
      <c r="AC716" s="461"/>
    </row>
    <row r="717" spans="1:29">
      <c r="A717" s="461"/>
      <c r="B717" s="461"/>
      <c r="C717" s="461"/>
      <c r="D717" s="462"/>
      <c r="E717" s="461"/>
      <c r="F717" s="461"/>
      <c r="G717" s="461"/>
      <c r="H717" s="461"/>
      <c r="I717" s="461"/>
      <c r="J717" s="461"/>
      <c r="K717" s="461"/>
      <c r="L717" s="461"/>
      <c r="M717" s="461"/>
      <c r="N717" s="461"/>
      <c r="O717" s="461"/>
      <c r="P717" s="461"/>
      <c r="Q717" s="461"/>
      <c r="R717" s="463"/>
      <c r="S717" s="461"/>
      <c r="T717" s="463"/>
      <c r="U717" s="461"/>
      <c r="V717" s="463"/>
      <c r="W717" s="461"/>
      <c r="AC717" s="461"/>
    </row>
    <row r="718" spans="1:29">
      <c r="A718" s="461"/>
      <c r="B718" s="461"/>
      <c r="C718" s="461"/>
      <c r="D718" s="462"/>
      <c r="E718" s="461"/>
      <c r="F718" s="461"/>
      <c r="G718" s="461"/>
      <c r="H718" s="461"/>
      <c r="I718" s="461"/>
      <c r="J718" s="461"/>
      <c r="K718" s="461"/>
      <c r="L718" s="461"/>
      <c r="M718" s="461"/>
      <c r="N718" s="461"/>
      <c r="O718" s="461"/>
      <c r="P718" s="461"/>
      <c r="Q718" s="461"/>
      <c r="R718" s="463"/>
      <c r="S718" s="461"/>
      <c r="T718" s="463"/>
      <c r="U718" s="461"/>
      <c r="V718" s="463"/>
      <c r="W718" s="461"/>
      <c r="AC718" s="461"/>
    </row>
    <row r="719" spans="1:29">
      <c r="A719" s="461"/>
      <c r="B719" s="461"/>
      <c r="C719" s="461"/>
      <c r="D719" s="462"/>
      <c r="E719" s="461"/>
      <c r="F719" s="461"/>
      <c r="G719" s="461"/>
      <c r="H719" s="461"/>
      <c r="I719" s="461"/>
      <c r="J719" s="461"/>
      <c r="K719" s="461"/>
      <c r="L719" s="461"/>
      <c r="M719" s="461"/>
      <c r="N719" s="461"/>
      <c r="O719" s="461"/>
      <c r="P719" s="461"/>
      <c r="Q719" s="461"/>
      <c r="R719" s="463"/>
      <c r="S719" s="461"/>
      <c r="T719" s="463"/>
      <c r="U719" s="461"/>
      <c r="V719" s="463"/>
      <c r="W719" s="461"/>
      <c r="AC719" s="461"/>
    </row>
    <row r="720" spans="1:29">
      <c r="A720" s="461"/>
      <c r="B720" s="461"/>
      <c r="C720" s="461"/>
      <c r="D720" s="462"/>
      <c r="E720" s="461"/>
      <c r="F720" s="461"/>
      <c r="G720" s="461"/>
      <c r="H720" s="461"/>
      <c r="I720" s="461"/>
      <c r="J720" s="461"/>
      <c r="K720" s="461"/>
      <c r="L720" s="461"/>
      <c r="M720" s="461"/>
      <c r="N720" s="461"/>
      <c r="O720" s="461"/>
      <c r="P720" s="461"/>
      <c r="Q720" s="461"/>
      <c r="R720" s="463"/>
      <c r="S720" s="461"/>
      <c r="T720" s="463"/>
      <c r="U720" s="461"/>
      <c r="V720" s="463"/>
      <c r="W720" s="461"/>
      <c r="AC720" s="461"/>
    </row>
    <row r="721" spans="1:29">
      <c r="A721" s="461"/>
      <c r="B721" s="461"/>
      <c r="C721" s="461"/>
      <c r="D721" s="462"/>
      <c r="E721" s="461"/>
      <c r="F721" s="461"/>
      <c r="G721" s="461"/>
      <c r="H721" s="461"/>
      <c r="I721" s="461"/>
      <c r="J721" s="461"/>
      <c r="K721" s="461"/>
      <c r="L721" s="461"/>
      <c r="M721" s="461"/>
      <c r="N721" s="461"/>
      <c r="O721" s="461"/>
      <c r="P721" s="461"/>
      <c r="Q721" s="461"/>
      <c r="R721" s="463"/>
      <c r="S721" s="461"/>
      <c r="T721" s="463"/>
      <c r="U721" s="461"/>
      <c r="V721" s="463"/>
      <c r="W721" s="461"/>
      <c r="AC721" s="461"/>
    </row>
    <row r="722" spans="1:29">
      <c r="A722" s="461"/>
      <c r="B722" s="461"/>
      <c r="C722" s="461"/>
      <c r="D722" s="462"/>
      <c r="E722" s="461"/>
      <c r="F722" s="461"/>
      <c r="G722" s="461"/>
      <c r="H722" s="461"/>
      <c r="I722" s="461"/>
      <c r="J722" s="461"/>
      <c r="K722" s="461"/>
      <c r="L722" s="461"/>
      <c r="M722" s="461"/>
      <c r="N722" s="461"/>
      <c r="O722" s="461"/>
      <c r="P722" s="461"/>
      <c r="Q722" s="461"/>
      <c r="R722" s="463"/>
      <c r="S722" s="461"/>
      <c r="T722" s="463"/>
      <c r="U722" s="461"/>
      <c r="V722" s="463"/>
      <c r="W722" s="461"/>
      <c r="AC722" s="461"/>
    </row>
    <row r="723" spans="1:29">
      <c r="A723" s="461"/>
      <c r="B723" s="461"/>
      <c r="C723" s="461"/>
      <c r="D723" s="462"/>
      <c r="E723" s="461"/>
      <c r="F723" s="461"/>
      <c r="G723" s="461"/>
      <c r="H723" s="461"/>
      <c r="I723" s="461"/>
      <c r="J723" s="461"/>
      <c r="K723" s="461"/>
      <c r="L723" s="461"/>
      <c r="M723" s="461"/>
      <c r="N723" s="461"/>
      <c r="O723" s="461"/>
      <c r="P723" s="461"/>
      <c r="Q723" s="461"/>
      <c r="R723" s="463"/>
      <c r="S723" s="461"/>
      <c r="T723" s="463"/>
      <c r="U723" s="461"/>
      <c r="V723" s="463"/>
      <c r="W723" s="461"/>
      <c r="AC723" s="461"/>
    </row>
    <row r="724" spans="1:29">
      <c r="A724" s="461"/>
      <c r="B724" s="461"/>
      <c r="C724" s="461"/>
      <c r="D724" s="462"/>
      <c r="E724" s="461"/>
      <c r="F724" s="461"/>
      <c r="G724" s="461"/>
      <c r="H724" s="461"/>
      <c r="I724" s="461"/>
      <c r="J724" s="461"/>
      <c r="K724" s="461"/>
      <c r="L724" s="461"/>
      <c r="M724" s="461"/>
      <c r="N724" s="461"/>
      <c r="O724" s="461"/>
      <c r="P724" s="461"/>
      <c r="Q724" s="461"/>
      <c r="R724" s="463"/>
      <c r="S724" s="461"/>
      <c r="T724" s="463"/>
      <c r="U724" s="461"/>
      <c r="V724" s="463"/>
      <c r="W724" s="461"/>
      <c r="AC724" s="461"/>
    </row>
    <row r="725" spans="1:29">
      <c r="A725" s="461"/>
      <c r="B725" s="461"/>
      <c r="C725" s="461"/>
      <c r="D725" s="462"/>
      <c r="E725" s="461"/>
      <c r="F725" s="461"/>
      <c r="G725" s="461"/>
      <c r="H725" s="461"/>
      <c r="I725" s="461"/>
      <c r="J725" s="461"/>
      <c r="K725" s="461"/>
      <c r="L725" s="461"/>
      <c r="M725" s="461"/>
      <c r="N725" s="461"/>
      <c r="O725" s="461"/>
      <c r="P725" s="461"/>
      <c r="Q725" s="461"/>
      <c r="R725" s="463"/>
      <c r="S725" s="461"/>
      <c r="T725" s="463"/>
      <c r="U725" s="461"/>
      <c r="V725" s="463"/>
      <c r="W725" s="461"/>
      <c r="AC725" s="461"/>
    </row>
    <row r="726" spans="1:29">
      <c r="A726" s="461"/>
      <c r="B726" s="461"/>
      <c r="C726" s="461"/>
      <c r="D726" s="462"/>
      <c r="E726" s="461"/>
      <c r="F726" s="461"/>
      <c r="G726" s="461"/>
      <c r="H726" s="461"/>
      <c r="I726" s="461"/>
      <c r="J726" s="461"/>
      <c r="K726" s="461"/>
      <c r="L726" s="461"/>
      <c r="M726" s="461"/>
      <c r="N726" s="461"/>
      <c r="O726" s="461"/>
      <c r="P726" s="461"/>
      <c r="Q726" s="461"/>
      <c r="R726" s="463"/>
      <c r="S726" s="461"/>
      <c r="T726" s="463"/>
      <c r="U726" s="461"/>
      <c r="V726" s="463"/>
      <c r="W726" s="461"/>
      <c r="AC726" s="461"/>
    </row>
    <row r="727" spans="1:29">
      <c r="A727" s="461"/>
      <c r="B727" s="461"/>
      <c r="C727" s="461"/>
      <c r="D727" s="462"/>
      <c r="E727" s="461"/>
      <c r="F727" s="461"/>
      <c r="G727" s="461"/>
      <c r="H727" s="461"/>
      <c r="I727" s="461"/>
      <c r="J727" s="461"/>
      <c r="K727" s="461"/>
      <c r="L727" s="461"/>
      <c r="M727" s="461"/>
      <c r="N727" s="461"/>
      <c r="O727" s="461"/>
      <c r="P727" s="461"/>
      <c r="Q727" s="461"/>
      <c r="R727" s="463"/>
      <c r="S727" s="461"/>
      <c r="T727" s="463"/>
      <c r="U727" s="461"/>
      <c r="V727" s="463"/>
      <c r="W727" s="461"/>
      <c r="AC727" s="461"/>
    </row>
    <row r="728" spans="1:29">
      <c r="A728" s="461"/>
      <c r="B728" s="461"/>
      <c r="C728" s="461"/>
      <c r="D728" s="462"/>
      <c r="E728" s="461"/>
      <c r="F728" s="461"/>
      <c r="G728" s="461"/>
      <c r="H728" s="461"/>
      <c r="I728" s="461"/>
      <c r="J728" s="461"/>
      <c r="K728" s="461"/>
      <c r="L728" s="461"/>
      <c r="M728" s="461"/>
      <c r="N728" s="461"/>
      <c r="O728" s="461"/>
      <c r="P728" s="461"/>
      <c r="Q728" s="461"/>
      <c r="R728" s="463"/>
      <c r="S728" s="461"/>
      <c r="T728" s="463"/>
      <c r="U728" s="461"/>
      <c r="V728" s="463"/>
      <c r="W728" s="461"/>
      <c r="AC728" s="461"/>
    </row>
    <row r="729" spans="1:29">
      <c r="A729" s="461"/>
      <c r="B729" s="461"/>
      <c r="C729" s="461"/>
      <c r="D729" s="462"/>
      <c r="E729" s="461"/>
      <c r="F729" s="461"/>
      <c r="G729" s="461"/>
      <c r="H729" s="461"/>
      <c r="I729" s="461"/>
      <c r="J729" s="461"/>
      <c r="K729" s="461"/>
      <c r="L729" s="461"/>
      <c r="M729" s="461"/>
      <c r="N729" s="461"/>
      <c r="O729" s="461"/>
      <c r="P729" s="461"/>
      <c r="Q729" s="461"/>
      <c r="R729" s="463"/>
      <c r="S729" s="461"/>
      <c r="T729" s="463"/>
      <c r="U729" s="461"/>
      <c r="V729" s="463"/>
      <c r="W729" s="461"/>
      <c r="AC729" s="461"/>
    </row>
    <row r="730" spans="1:29">
      <c r="A730" s="461"/>
      <c r="B730" s="461"/>
      <c r="C730" s="461"/>
      <c r="D730" s="462"/>
      <c r="E730" s="461"/>
      <c r="F730" s="461"/>
      <c r="G730" s="461"/>
      <c r="H730" s="461"/>
      <c r="I730" s="461"/>
      <c r="J730" s="461"/>
      <c r="K730" s="461"/>
      <c r="L730" s="461"/>
      <c r="M730" s="461"/>
      <c r="N730" s="461"/>
      <c r="O730" s="461"/>
      <c r="P730" s="461"/>
      <c r="Q730" s="461"/>
      <c r="R730" s="463"/>
      <c r="S730" s="461"/>
      <c r="T730" s="463"/>
      <c r="U730" s="461"/>
      <c r="V730" s="463"/>
      <c r="W730" s="461"/>
      <c r="AC730" s="461"/>
    </row>
    <row r="731" spans="1:29">
      <c r="A731" s="461"/>
      <c r="B731" s="461"/>
      <c r="C731" s="461"/>
      <c r="D731" s="462"/>
      <c r="E731" s="461"/>
      <c r="F731" s="461"/>
      <c r="G731" s="461"/>
      <c r="H731" s="461"/>
      <c r="I731" s="461"/>
      <c r="J731" s="461"/>
      <c r="K731" s="461"/>
      <c r="L731" s="461"/>
      <c r="M731" s="461"/>
      <c r="N731" s="461"/>
      <c r="O731" s="461"/>
      <c r="P731" s="461"/>
      <c r="Q731" s="461"/>
      <c r="R731" s="463"/>
      <c r="S731" s="461"/>
      <c r="T731" s="463"/>
      <c r="U731" s="461"/>
      <c r="V731" s="463"/>
      <c r="W731" s="461"/>
      <c r="AC731" s="461"/>
    </row>
    <row r="732" spans="1:29">
      <c r="A732" s="461"/>
      <c r="B732" s="461"/>
      <c r="C732" s="461"/>
      <c r="D732" s="462"/>
      <c r="E732" s="461"/>
      <c r="F732" s="461"/>
      <c r="G732" s="461"/>
      <c r="H732" s="461"/>
      <c r="I732" s="461"/>
      <c r="J732" s="461"/>
      <c r="K732" s="461"/>
      <c r="L732" s="461"/>
      <c r="M732" s="461"/>
      <c r="N732" s="461"/>
      <c r="O732" s="461"/>
      <c r="P732" s="461"/>
      <c r="Q732" s="461"/>
      <c r="R732" s="463"/>
      <c r="S732" s="461"/>
      <c r="T732" s="463"/>
      <c r="U732" s="461"/>
      <c r="V732" s="463"/>
      <c r="W732" s="461"/>
      <c r="AC732" s="461"/>
    </row>
    <row r="733" spans="1:29">
      <c r="A733" s="461"/>
      <c r="B733" s="461"/>
      <c r="C733" s="461"/>
      <c r="D733" s="462"/>
      <c r="E733" s="461"/>
      <c r="F733" s="461"/>
      <c r="G733" s="461"/>
      <c r="H733" s="461"/>
      <c r="I733" s="461"/>
      <c r="J733" s="461"/>
      <c r="K733" s="461"/>
      <c r="L733" s="461"/>
      <c r="M733" s="461"/>
      <c r="N733" s="461"/>
      <c r="O733" s="461"/>
      <c r="P733" s="461"/>
      <c r="Q733" s="461"/>
      <c r="R733" s="463"/>
      <c r="S733" s="461"/>
      <c r="T733" s="463"/>
      <c r="U733" s="461"/>
      <c r="V733" s="463"/>
      <c r="W733" s="461"/>
      <c r="AC733" s="461"/>
    </row>
    <row r="734" spans="1:29">
      <c r="A734" s="461"/>
      <c r="B734" s="461"/>
      <c r="C734" s="461"/>
      <c r="D734" s="462"/>
      <c r="E734" s="461"/>
      <c r="F734" s="461"/>
      <c r="G734" s="461"/>
      <c r="H734" s="461"/>
      <c r="I734" s="461"/>
      <c r="J734" s="461"/>
      <c r="K734" s="461"/>
      <c r="L734" s="461"/>
      <c r="M734" s="461"/>
      <c r="N734" s="461"/>
      <c r="O734" s="461"/>
      <c r="P734" s="461"/>
      <c r="Q734" s="461"/>
      <c r="R734" s="463"/>
      <c r="S734" s="461"/>
      <c r="T734" s="463"/>
      <c r="U734" s="461"/>
      <c r="V734" s="463"/>
      <c r="W734" s="461"/>
      <c r="AC734" s="461"/>
    </row>
    <row r="735" spans="1:29">
      <c r="A735" s="461"/>
      <c r="B735" s="461"/>
      <c r="C735" s="461"/>
      <c r="D735" s="462"/>
      <c r="E735" s="461"/>
      <c r="F735" s="461"/>
      <c r="G735" s="461"/>
      <c r="H735" s="461"/>
      <c r="I735" s="461"/>
      <c r="J735" s="461"/>
      <c r="K735" s="461"/>
      <c r="L735" s="461"/>
      <c r="M735" s="461"/>
      <c r="N735" s="461"/>
      <c r="O735" s="461"/>
      <c r="P735" s="461"/>
      <c r="Q735" s="461"/>
      <c r="R735" s="463"/>
      <c r="S735" s="461"/>
      <c r="T735" s="463"/>
      <c r="U735" s="461"/>
      <c r="V735" s="463"/>
      <c r="W735" s="461"/>
      <c r="AC735" s="461"/>
    </row>
    <row r="736" spans="1:29">
      <c r="A736" s="461"/>
      <c r="B736" s="461"/>
      <c r="C736" s="461"/>
      <c r="D736" s="462"/>
      <c r="E736" s="461"/>
      <c r="F736" s="461"/>
      <c r="G736" s="461"/>
      <c r="H736" s="461"/>
      <c r="I736" s="461"/>
      <c r="J736" s="461"/>
      <c r="K736" s="461"/>
      <c r="L736" s="461"/>
      <c r="M736" s="461"/>
      <c r="N736" s="461"/>
      <c r="O736" s="461"/>
      <c r="P736" s="461"/>
      <c r="Q736" s="461"/>
      <c r="R736" s="463"/>
      <c r="S736" s="461"/>
      <c r="T736" s="463"/>
      <c r="U736" s="461"/>
      <c r="V736" s="463"/>
      <c r="W736" s="461"/>
      <c r="AC736" s="461"/>
    </row>
    <row r="737" spans="1:29">
      <c r="A737" s="461"/>
      <c r="B737" s="461"/>
      <c r="C737" s="461"/>
      <c r="D737" s="462"/>
      <c r="E737" s="461"/>
      <c r="F737" s="461"/>
      <c r="G737" s="461"/>
      <c r="H737" s="461"/>
      <c r="I737" s="461"/>
      <c r="J737" s="461"/>
      <c r="K737" s="461"/>
      <c r="L737" s="461"/>
      <c r="M737" s="461"/>
      <c r="N737" s="461"/>
      <c r="O737" s="461"/>
      <c r="P737" s="461"/>
      <c r="Q737" s="461"/>
      <c r="R737" s="463"/>
      <c r="S737" s="461"/>
      <c r="T737" s="463"/>
      <c r="U737" s="461"/>
      <c r="V737" s="463"/>
      <c r="W737" s="461"/>
      <c r="AC737" s="461"/>
    </row>
    <row r="738" spans="1:29">
      <c r="A738" s="461"/>
      <c r="B738" s="461"/>
      <c r="C738" s="461"/>
      <c r="D738" s="462"/>
      <c r="E738" s="461"/>
      <c r="F738" s="461"/>
      <c r="G738" s="461"/>
      <c r="H738" s="461"/>
      <c r="I738" s="461"/>
      <c r="J738" s="461"/>
      <c r="K738" s="461"/>
      <c r="L738" s="461"/>
      <c r="M738" s="461"/>
      <c r="N738" s="461"/>
      <c r="O738" s="461"/>
      <c r="P738" s="461"/>
      <c r="Q738" s="461"/>
      <c r="R738" s="463"/>
      <c r="S738" s="461"/>
      <c r="T738" s="463"/>
      <c r="U738" s="461"/>
      <c r="V738" s="463"/>
      <c r="W738" s="461"/>
      <c r="AC738" s="461"/>
    </row>
    <row r="739" spans="1:29">
      <c r="A739" s="461"/>
      <c r="B739" s="461"/>
      <c r="C739" s="461"/>
      <c r="D739" s="462"/>
      <c r="E739" s="461"/>
      <c r="F739" s="461"/>
      <c r="G739" s="461"/>
      <c r="H739" s="461"/>
      <c r="I739" s="461"/>
      <c r="J739" s="461"/>
      <c r="K739" s="461"/>
      <c r="L739" s="461"/>
      <c r="M739" s="461"/>
      <c r="N739" s="461"/>
      <c r="O739" s="461"/>
      <c r="P739" s="461"/>
      <c r="Q739" s="461"/>
      <c r="R739" s="463"/>
      <c r="S739" s="461"/>
      <c r="T739" s="463"/>
      <c r="U739" s="461"/>
      <c r="V739" s="463"/>
      <c r="W739" s="461"/>
      <c r="AC739" s="461"/>
    </row>
    <row r="740" spans="1:29">
      <c r="A740" s="461"/>
      <c r="B740" s="461"/>
      <c r="C740" s="461"/>
      <c r="D740" s="462"/>
      <c r="E740" s="461"/>
      <c r="F740" s="461"/>
      <c r="G740" s="461"/>
      <c r="H740" s="461"/>
      <c r="I740" s="461"/>
      <c r="J740" s="461"/>
      <c r="K740" s="461"/>
      <c r="L740" s="461"/>
      <c r="M740" s="461"/>
      <c r="N740" s="461"/>
      <c r="O740" s="461"/>
      <c r="P740" s="461"/>
      <c r="Q740" s="461"/>
      <c r="R740" s="463"/>
      <c r="S740" s="461"/>
      <c r="T740" s="463"/>
      <c r="U740" s="461"/>
      <c r="V740" s="463"/>
      <c r="W740" s="461"/>
      <c r="AC740" s="461"/>
    </row>
    <row r="741" spans="1:29">
      <c r="A741" s="461"/>
      <c r="B741" s="461"/>
      <c r="C741" s="461"/>
      <c r="D741" s="462"/>
      <c r="E741" s="461"/>
      <c r="F741" s="461"/>
      <c r="G741" s="461"/>
      <c r="H741" s="461"/>
      <c r="I741" s="461"/>
      <c r="J741" s="461"/>
      <c r="K741" s="461"/>
      <c r="L741" s="461"/>
      <c r="M741" s="461"/>
      <c r="N741" s="461"/>
      <c r="O741" s="461"/>
      <c r="P741" s="461"/>
      <c r="Q741" s="461"/>
      <c r="R741" s="463"/>
      <c r="S741" s="461"/>
      <c r="T741" s="463"/>
      <c r="U741" s="461"/>
      <c r="V741" s="463"/>
      <c r="W741" s="461"/>
      <c r="AC741" s="461"/>
    </row>
    <row r="742" spans="1:29">
      <c r="A742" s="461"/>
      <c r="B742" s="461"/>
      <c r="C742" s="461"/>
      <c r="D742" s="462"/>
      <c r="E742" s="461"/>
      <c r="F742" s="461"/>
      <c r="G742" s="461"/>
      <c r="H742" s="461"/>
      <c r="I742" s="461"/>
      <c r="J742" s="461"/>
      <c r="K742" s="461"/>
      <c r="L742" s="461"/>
      <c r="M742" s="461"/>
      <c r="N742" s="461"/>
      <c r="O742" s="461"/>
      <c r="P742" s="461"/>
      <c r="Q742" s="461"/>
      <c r="R742" s="463"/>
      <c r="S742" s="461"/>
      <c r="T742" s="463"/>
      <c r="U742" s="461"/>
      <c r="V742" s="463"/>
      <c r="W742" s="461"/>
      <c r="AC742" s="461"/>
    </row>
    <row r="743" spans="1:29">
      <c r="A743" s="461"/>
      <c r="B743" s="461"/>
      <c r="C743" s="461"/>
      <c r="D743" s="462"/>
      <c r="E743" s="461"/>
      <c r="F743" s="461"/>
      <c r="G743" s="461"/>
      <c r="H743" s="461"/>
      <c r="I743" s="461"/>
      <c r="J743" s="461"/>
      <c r="K743" s="461"/>
      <c r="L743" s="461"/>
      <c r="M743" s="461"/>
      <c r="N743" s="461"/>
      <c r="O743" s="461"/>
      <c r="P743" s="461"/>
      <c r="Q743" s="461"/>
      <c r="R743" s="463"/>
      <c r="S743" s="461"/>
      <c r="T743" s="463"/>
      <c r="U743" s="461"/>
      <c r="V743" s="463"/>
      <c r="W743" s="461"/>
      <c r="AC743" s="461"/>
    </row>
    <row r="744" spans="1:29">
      <c r="A744" s="461"/>
      <c r="B744" s="461"/>
      <c r="C744" s="461"/>
      <c r="D744" s="462"/>
      <c r="E744" s="461"/>
      <c r="F744" s="461"/>
      <c r="G744" s="461"/>
      <c r="H744" s="461"/>
      <c r="I744" s="461"/>
      <c r="J744" s="461"/>
      <c r="K744" s="461"/>
      <c r="L744" s="461"/>
      <c r="M744" s="461"/>
      <c r="N744" s="461"/>
      <c r="O744" s="461"/>
      <c r="P744" s="461"/>
      <c r="Q744" s="461"/>
      <c r="R744" s="463"/>
      <c r="S744" s="461"/>
      <c r="T744" s="463"/>
      <c r="U744" s="461"/>
      <c r="V744" s="463"/>
      <c r="W744" s="461"/>
      <c r="AC744" s="461"/>
    </row>
    <row r="745" spans="1:29">
      <c r="A745" s="461"/>
      <c r="B745" s="461"/>
      <c r="C745" s="461"/>
      <c r="D745" s="462"/>
      <c r="E745" s="461"/>
      <c r="F745" s="461"/>
      <c r="G745" s="461"/>
      <c r="H745" s="461"/>
      <c r="I745" s="461"/>
      <c r="J745" s="461"/>
      <c r="K745" s="461"/>
      <c r="L745" s="461"/>
      <c r="M745" s="461"/>
      <c r="N745" s="461"/>
      <c r="O745" s="461"/>
      <c r="P745" s="461"/>
      <c r="Q745" s="461"/>
      <c r="R745" s="463"/>
      <c r="S745" s="461"/>
      <c r="T745" s="463"/>
      <c r="U745" s="461"/>
      <c r="V745" s="463"/>
      <c r="W745" s="461"/>
      <c r="AC745" s="461"/>
    </row>
    <row r="746" spans="1:29">
      <c r="A746" s="461"/>
      <c r="B746" s="461"/>
      <c r="C746" s="461"/>
      <c r="D746" s="462"/>
      <c r="E746" s="461"/>
      <c r="F746" s="461"/>
      <c r="G746" s="461"/>
      <c r="H746" s="461"/>
      <c r="I746" s="461"/>
      <c r="J746" s="461"/>
      <c r="K746" s="461"/>
      <c r="L746" s="461"/>
      <c r="M746" s="461"/>
      <c r="N746" s="461"/>
      <c r="O746" s="461"/>
      <c r="P746" s="461"/>
      <c r="Q746" s="461"/>
      <c r="R746" s="463"/>
      <c r="S746" s="461"/>
      <c r="T746" s="463"/>
      <c r="U746" s="461"/>
      <c r="V746" s="463"/>
      <c r="W746" s="461"/>
      <c r="AC746" s="461"/>
    </row>
    <row r="747" spans="1:29">
      <c r="A747" s="461"/>
      <c r="B747" s="461"/>
      <c r="C747" s="461"/>
      <c r="D747" s="462"/>
      <c r="E747" s="461"/>
      <c r="F747" s="461"/>
      <c r="G747" s="461"/>
      <c r="H747" s="461"/>
      <c r="I747" s="461"/>
      <c r="J747" s="461"/>
      <c r="K747" s="461"/>
      <c r="L747" s="461"/>
      <c r="M747" s="461"/>
      <c r="N747" s="461"/>
      <c r="O747" s="461"/>
      <c r="P747" s="461"/>
      <c r="Q747" s="461"/>
      <c r="R747" s="463"/>
      <c r="S747" s="461"/>
      <c r="T747" s="463"/>
      <c r="U747" s="461"/>
      <c r="V747" s="463"/>
      <c r="W747" s="461"/>
      <c r="AC747" s="461"/>
    </row>
    <row r="748" spans="1:29">
      <c r="A748" s="461"/>
      <c r="B748" s="461"/>
      <c r="C748" s="461"/>
      <c r="D748" s="462"/>
      <c r="E748" s="461"/>
      <c r="F748" s="461"/>
      <c r="G748" s="461"/>
      <c r="H748" s="461"/>
      <c r="I748" s="461"/>
      <c r="J748" s="461"/>
      <c r="K748" s="461"/>
      <c r="L748" s="461"/>
      <c r="M748" s="461"/>
      <c r="N748" s="461"/>
      <c r="O748" s="461"/>
      <c r="P748" s="461"/>
      <c r="Q748" s="461"/>
      <c r="R748" s="463"/>
      <c r="S748" s="461"/>
      <c r="T748" s="463"/>
      <c r="U748" s="461"/>
      <c r="V748" s="463"/>
      <c r="W748" s="461"/>
      <c r="AC748" s="461"/>
    </row>
    <row r="749" spans="1:29">
      <c r="A749" s="461"/>
      <c r="B749" s="461"/>
      <c r="C749" s="461"/>
      <c r="D749" s="462"/>
      <c r="E749" s="461"/>
      <c r="F749" s="461"/>
      <c r="G749" s="461"/>
      <c r="H749" s="461"/>
      <c r="I749" s="461"/>
      <c r="J749" s="461"/>
      <c r="K749" s="461"/>
      <c r="L749" s="461"/>
      <c r="M749" s="461"/>
      <c r="N749" s="461"/>
      <c r="O749" s="461"/>
      <c r="P749" s="461"/>
      <c r="Q749" s="461"/>
      <c r="R749" s="463"/>
      <c r="S749" s="461"/>
      <c r="T749" s="463"/>
      <c r="U749" s="461"/>
      <c r="V749" s="463"/>
      <c r="W749" s="461"/>
      <c r="AC749" s="461"/>
    </row>
    <row r="750" spans="1:29">
      <c r="A750" s="461"/>
      <c r="B750" s="461"/>
      <c r="C750" s="461"/>
      <c r="D750" s="462"/>
      <c r="E750" s="461"/>
      <c r="F750" s="461"/>
      <c r="G750" s="461"/>
      <c r="H750" s="461"/>
      <c r="I750" s="461"/>
      <c r="J750" s="461"/>
      <c r="K750" s="461"/>
      <c r="L750" s="461"/>
      <c r="M750" s="461"/>
      <c r="N750" s="461"/>
      <c r="O750" s="461"/>
      <c r="P750" s="461"/>
      <c r="Q750" s="461"/>
      <c r="R750" s="463"/>
      <c r="S750" s="461"/>
      <c r="T750" s="463"/>
      <c r="U750" s="461"/>
      <c r="V750" s="463"/>
      <c r="W750" s="461"/>
      <c r="AC750" s="461"/>
    </row>
    <row r="751" spans="1:29">
      <c r="A751" s="461"/>
      <c r="B751" s="461"/>
      <c r="C751" s="461"/>
      <c r="D751" s="462"/>
      <c r="E751" s="461"/>
      <c r="F751" s="461"/>
      <c r="G751" s="461"/>
      <c r="H751" s="461"/>
      <c r="I751" s="461"/>
      <c r="J751" s="461"/>
      <c r="K751" s="461"/>
      <c r="L751" s="461"/>
      <c r="M751" s="461"/>
      <c r="N751" s="461"/>
      <c r="O751" s="461"/>
      <c r="P751" s="461"/>
      <c r="Q751" s="461"/>
      <c r="R751" s="463"/>
      <c r="S751" s="461"/>
      <c r="T751" s="463"/>
      <c r="U751" s="461"/>
      <c r="V751" s="463"/>
      <c r="W751" s="461"/>
      <c r="AC751" s="461"/>
    </row>
    <row r="752" spans="1:29">
      <c r="A752" s="461"/>
      <c r="B752" s="461"/>
      <c r="C752" s="461"/>
      <c r="D752" s="462"/>
      <c r="E752" s="461"/>
      <c r="F752" s="461"/>
      <c r="G752" s="461"/>
      <c r="H752" s="461"/>
      <c r="I752" s="461"/>
      <c r="J752" s="461"/>
      <c r="K752" s="461"/>
      <c r="L752" s="461"/>
      <c r="M752" s="461"/>
      <c r="N752" s="461"/>
      <c r="O752" s="461"/>
      <c r="P752" s="461"/>
      <c r="Q752" s="461"/>
      <c r="R752" s="463"/>
      <c r="S752" s="461"/>
      <c r="T752" s="463"/>
      <c r="U752" s="461"/>
      <c r="V752" s="463"/>
      <c r="W752" s="461"/>
      <c r="AC752" s="461"/>
    </row>
    <row r="753" spans="1:29">
      <c r="A753" s="461"/>
      <c r="B753" s="461"/>
      <c r="C753" s="461"/>
      <c r="D753" s="462"/>
      <c r="E753" s="461"/>
      <c r="F753" s="461"/>
      <c r="G753" s="461"/>
      <c r="H753" s="461"/>
      <c r="I753" s="461"/>
      <c r="J753" s="461"/>
      <c r="K753" s="461"/>
      <c r="L753" s="461"/>
      <c r="M753" s="461"/>
      <c r="N753" s="461"/>
      <c r="O753" s="461"/>
      <c r="P753" s="461"/>
      <c r="Q753" s="461"/>
      <c r="R753" s="463"/>
      <c r="S753" s="461"/>
      <c r="T753" s="463"/>
      <c r="U753" s="461"/>
      <c r="V753" s="463"/>
      <c r="W753" s="461"/>
      <c r="AC753" s="461"/>
    </row>
    <row r="754" spans="1:29">
      <c r="A754" s="461"/>
      <c r="B754" s="461"/>
      <c r="C754" s="461"/>
      <c r="D754" s="462"/>
      <c r="E754" s="461"/>
      <c r="F754" s="461"/>
      <c r="G754" s="461"/>
      <c r="H754" s="461"/>
      <c r="I754" s="461"/>
      <c r="J754" s="461"/>
      <c r="K754" s="461"/>
      <c r="L754" s="461"/>
      <c r="M754" s="461"/>
      <c r="N754" s="461"/>
      <c r="O754" s="461"/>
      <c r="P754" s="461"/>
      <c r="Q754" s="461"/>
      <c r="R754" s="463"/>
      <c r="S754" s="461"/>
      <c r="T754" s="463"/>
      <c r="U754" s="461"/>
      <c r="V754" s="463"/>
      <c r="W754" s="461"/>
      <c r="AC754" s="461"/>
    </row>
    <row r="755" spans="1:29">
      <c r="A755" s="461"/>
      <c r="B755" s="461"/>
      <c r="C755" s="461"/>
      <c r="D755" s="462"/>
      <c r="E755" s="461"/>
      <c r="F755" s="461"/>
      <c r="G755" s="461"/>
      <c r="H755" s="461"/>
      <c r="I755" s="461"/>
      <c r="J755" s="461"/>
      <c r="K755" s="461"/>
      <c r="L755" s="461"/>
      <c r="M755" s="461"/>
      <c r="N755" s="461"/>
      <c r="O755" s="461"/>
      <c r="P755" s="461"/>
      <c r="Q755" s="461"/>
      <c r="R755" s="463"/>
      <c r="S755" s="461"/>
      <c r="T755" s="463"/>
      <c r="U755" s="461"/>
      <c r="V755" s="463"/>
      <c r="W755" s="461"/>
      <c r="AC755" s="461"/>
    </row>
    <row r="756" spans="1:29">
      <c r="A756" s="461"/>
      <c r="B756" s="461"/>
      <c r="C756" s="461"/>
      <c r="D756" s="462"/>
      <c r="E756" s="461"/>
      <c r="F756" s="461"/>
      <c r="G756" s="461"/>
      <c r="H756" s="461"/>
      <c r="I756" s="461"/>
      <c r="J756" s="461"/>
      <c r="K756" s="461"/>
      <c r="L756" s="461"/>
      <c r="M756" s="461"/>
      <c r="N756" s="461"/>
      <c r="O756" s="461"/>
      <c r="P756" s="461"/>
      <c r="Q756" s="461"/>
      <c r="R756" s="463"/>
      <c r="S756" s="461"/>
      <c r="T756" s="463"/>
      <c r="U756" s="461"/>
      <c r="V756" s="463"/>
      <c r="W756" s="461"/>
      <c r="AC756" s="461"/>
    </row>
    <row r="757" spans="1:29">
      <c r="A757" s="461"/>
      <c r="B757" s="461"/>
      <c r="C757" s="461"/>
      <c r="D757" s="462"/>
      <c r="E757" s="461"/>
      <c r="F757" s="461"/>
      <c r="G757" s="461"/>
      <c r="H757" s="461"/>
      <c r="I757" s="461"/>
      <c r="J757" s="461"/>
      <c r="K757" s="461"/>
      <c r="L757" s="461"/>
      <c r="M757" s="461"/>
      <c r="N757" s="461"/>
      <c r="O757" s="461"/>
      <c r="P757" s="461"/>
      <c r="Q757" s="461"/>
      <c r="R757" s="463"/>
      <c r="S757" s="461"/>
      <c r="T757" s="463"/>
      <c r="U757" s="461"/>
      <c r="V757" s="463"/>
      <c r="W757" s="461"/>
      <c r="AC757" s="461"/>
    </row>
    <row r="758" spans="1:29">
      <c r="A758" s="461"/>
      <c r="B758" s="461"/>
      <c r="C758" s="461"/>
      <c r="D758" s="462"/>
      <c r="E758" s="461"/>
      <c r="F758" s="461"/>
      <c r="G758" s="461"/>
      <c r="H758" s="461"/>
      <c r="I758" s="461"/>
      <c r="J758" s="461"/>
      <c r="K758" s="461"/>
      <c r="L758" s="461"/>
      <c r="M758" s="461"/>
      <c r="N758" s="461"/>
      <c r="O758" s="461"/>
      <c r="P758" s="461"/>
      <c r="Q758" s="461"/>
      <c r="R758" s="463"/>
      <c r="S758" s="461"/>
      <c r="T758" s="463"/>
      <c r="U758" s="461"/>
      <c r="V758" s="463"/>
      <c r="W758" s="461"/>
      <c r="AC758" s="461"/>
    </row>
    <row r="759" spans="1:29">
      <c r="A759" s="461"/>
      <c r="B759" s="461"/>
      <c r="C759" s="461"/>
      <c r="D759" s="462"/>
      <c r="E759" s="461"/>
      <c r="F759" s="461"/>
      <c r="G759" s="461"/>
      <c r="H759" s="461"/>
      <c r="I759" s="461"/>
      <c r="J759" s="461"/>
      <c r="K759" s="461"/>
      <c r="L759" s="461"/>
      <c r="M759" s="461"/>
      <c r="N759" s="461"/>
      <c r="O759" s="461"/>
      <c r="P759" s="461"/>
      <c r="Q759" s="461"/>
      <c r="R759" s="463"/>
      <c r="S759" s="461"/>
      <c r="T759" s="463"/>
      <c r="U759" s="461"/>
      <c r="V759" s="463"/>
      <c r="W759" s="461"/>
      <c r="AC759" s="461"/>
    </row>
    <row r="760" spans="1:29">
      <c r="A760" s="461"/>
      <c r="B760" s="461"/>
      <c r="C760" s="461"/>
      <c r="D760" s="462"/>
      <c r="E760" s="461"/>
      <c r="F760" s="461"/>
      <c r="G760" s="461"/>
      <c r="H760" s="461"/>
      <c r="I760" s="461"/>
      <c r="J760" s="461"/>
      <c r="K760" s="461"/>
      <c r="L760" s="461"/>
      <c r="M760" s="461"/>
      <c r="N760" s="461"/>
      <c r="O760" s="461"/>
      <c r="P760" s="461"/>
      <c r="Q760" s="461"/>
      <c r="R760" s="463"/>
      <c r="S760" s="461"/>
      <c r="T760" s="463"/>
      <c r="U760" s="461"/>
      <c r="V760" s="463"/>
      <c r="W760" s="461"/>
      <c r="AC760" s="461"/>
    </row>
    <row r="761" spans="1:29">
      <c r="A761" s="461"/>
      <c r="B761" s="461"/>
      <c r="C761" s="461"/>
      <c r="D761" s="462"/>
      <c r="E761" s="461"/>
      <c r="F761" s="461"/>
      <c r="G761" s="461"/>
      <c r="H761" s="461"/>
      <c r="I761" s="461"/>
      <c r="J761" s="461"/>
      <c r="K761" s="461"/>
      <c r="L761" s="461"/>
      <c r="M761" s="461"/>
      <c r="N761" s="461"/>
      <c r="O761" s="461"/>
      <c r="P761" s="461"/>
      <c r="Q761" s="461"/>
      <c r="R761" s="463"/>
      <c r="S761" s="461"/>
      <c r="T761" s="463"/>
      <c r="U761" s="461"/>
      <c r="V761" s="463"/>
      <c r="W761" s="461"/>
      <c r="AC761" s="461"/>
    </row>
    <row r="762" spans="1:29">
      <c r="A762" s="461"/>
      <c r="B762" s="461"/>
      <c r="C762" s="461"/>
      <c r="D762" s="462"/>
      <c r="E762" s="461"/>
      <c r="F762" s="461"/>
      <c r="G762" s="461"/>
      <c r="H762" s="461"/>
      <c r="I762" s="461"/>
      <c r="J762" s="461"/>
      <c r="K762" s="461"/>
      <c r="L762" s="461"/>
      <c r="M762" s="461"/>
      <c r="N762" s="461"/>
      <c r="O762" s="461"/>
      <c r="P762" s="461"/>
      <c r="Q762" s="461"/>
      <c r="R762" s="463"/>
      <c r="S762" s="461"/>
      <c r="T762" s="463"/>
      <c r="U762" s="461"/>
      <c r="V762" s="463"/>
      <c r="W762" s="461"/>
      <c r="AC762" s="461"/>
    </row>
    <row r="763" spans="1:29">
      <c r="A763" s="461"/>
      <c r="B763" s="461"/>
      <c r="C763" s="461"/>
      <c r="D763" s="462"/>
      <c r="E763" s="461"/>
      <c r="F763" s="461"/>
      <c r="G763" s="461"/>
      <c r="H763" s="461"/>
      <c r="I763" s="461"/>
      <c r="J763" s="461"/>
      <c r="K763" s="461"/>
      <c r="L763" s="461"/>
      <c r="M763" s="461"/>
      <c r="N763" s="461"/>
      <c r="O763" s="461"/>
      <c r="P763" s="461"/>
      <c r="Q763" s="461"/>
      <c r="R763" s="463"/>
      <c r="S763" s="461"/>
      <c r="T763" s="463"/>
      <c r="U763" s="461"/>
      <c r="V763" s="463"/>
      <c r="W763" s="461"/>
      <c r="AC763" s="461"/>
    </row>
    <row r="764" spans="1:29">
      <c r="A764" s="461"/>
      <c r="B764" s="461"/>
      <c r="C764" s="461"/>
      <c r="D764" s="462"/>
      <c r="E764" s="461"/>
      <c r="F764" s="461"/>
      <c r="G764" s="461"/>
      <c r="H764" s="461"/>
      <c r="I764" s="461"/>
      <c r="J764" s="461"/>
      <c r="K764" s="461"/>
      <c r="L764" s="461"/>
      <c r="M764" s="461"/>
      <c r="N764" s="461"/>
      <c r="O764" s="461"/>
      <c r="P764" s="461"/>
      <c r="Q764" s="461"/>
      <c r="R764" s="463"/>
      <c r="S764" s="461"/>
      <c r="T764" s="463"/>
      <c r="U764" s="461"/>
      <c r="V764" s="463"/>
      <c r="W764" s="461"/>
      <c r="AC764" s="461"/>
    </row>
    <row r="765" spans="1:29">
      <c r="A765" s="461"/>
      <c r="B765" s="461"/>
      <c r="C765" s="461"/>
      <c r="D765" s="462"/>
      <c r="E765" s="461"/>
      <c r="F765" s="461"/>
      <c r="G765" s="461"/>
      <c r="H765" s="461"/>
      <c r="I765" s="461"/>
      <c r="J765" s="461"/>
      <c r="K765" s="461"/>
      <c r="L765" s="461"/>
      <c r="M765" s="461"/>
      <c r="N765" s="461"/>
      <c r="O765" s="461"/>
      <c r="P765" s="461"/>
      <c r="Q765" s="461"/>
      <c r="R765" s="463"/>
      <c r="S765" s="461"/>
      <c r="T765" s="463"/>
      <c r="U765" s="461"/>
      <c r="V765" s="463"/>
      <c r="W765" s="461"/>
      <c r="AC765" s="461"/>
    </row>
    <row r="766" spans="1:29">
      <c r="A766" s="461"/>
      <c r="B766" s="461"/>
      <c r="C766" s="461"/>
      <c r="D766" s="462"/>
      <c r="E766" s="461"/>
      <c r="F766" s="461"/>
      <c r="G766" s="461"/>
      <c r="H766" s="461"/>
      <c r="I766" s="461"/>
      <c r="J766" s="461"/>
      <c r="K766" s="461"/>
      <c r="L766" s="461"/>
      <c r="M766" s="461"/>
      <c r="N766" s="461"/>
      <c r="O766" s="461"/>
      <c r="P766" s="461"/>
      <c r="Q766" s="461"/>
      <c r="R766" s="463"/>
      <c r="S766" s="461"/>
      <c r="T766" s="463"/>
      <c r="U766" s="461"/>
      <c r="V766" s="463"/>
      <c r="W766" s="461"/>
      <c r="AC766" s="461"/>
    </row>
    <row r="767" spans="1:29">
      <c r="A767" s="461"/>
      <c r="B767" s="461"/>
      <c r="C767" s="461"/>
      <c r="D767" s="462"/>
      <c r="E767" s="461"/>
      <c r="F767" s="461"/>
      <c r="G767" s="461"/>
      <c r="H767" s="461"/>
      <c r="I767" s="461"/>
      <c r="J767" s="461"/>
      <c r="K767" s="461"/>
      <c r="L767" s="461"/>
      <c r="M767" s="461"/>
      <c r="N767" s="461"/>
      <c r="O767" s="461"/>
      <c r="P767" s="461"/>
      <c r="Q767" s="461"/>
      <c r="R767" s="463"/>
      <c r="S767" s="461"/>
      <c r="T767" s="463"/>
      <c r="U767" s="461"/>
      <c r="V767" s="463"/>
      <c r="W767" s="461"/>
      <c r="AC767" s="461"/>
    </row>
    <row r="768" spans="1:29">
      <c r="A768" s="461"/>
      <c r="B768" s="461"/>
      <c r="C768" s="461"/>
      <c r="D768" s="462"/>
      <c r="E768" s="461"/>
      <c r="F768" s="461"/>
      <c r="G768" s="461"/>
      <c r="H768" s="461"/>
      <c r="I768" s="461"/>
      <c r="J768" s="461"/>
      <c r="K768" s="461"/>
      <c r="L768" s="461"/>
      <c r="M768" s="461"/>
      <c r="N768" s="461"/>
      <c r="O768" s="461"/>
      <c r="P768" s="461"/>
      <c r="Q768" s="461"/>
      <c r="R768" s="463"/>
      <c r="S768" s="461"/>
      <c r="T768" s="463"/>
      <c r="U768" s="461"/>
      <c r="V768" s="463"/>
      <c r="W768" s="461"/>
      <c r="AC768" s="461"/>
    </row>
    <row r="769" spans="1:29">
      <c r="A769" s="461"/>
      <c r="B769" s="461"/>
      <c r="C769" s="461"/>
      <c r="D769" s="462"/>
      <c r="E769" s="461"/>
      <c r="F769" s="461"/>
      <c r="G769" s="461"/>
      <c r="H769" s="461"/>
      <c r="I769" s="461"/>
      <c r="J769" s="461"/>
      <c r="K769" s="461"/>
      <c r="L769" s="461"/>
      <c r="M769" s="461"/>
      <c r="N769" s="461"/>
      <c r="O769" s="461"/>
      <c r="P769" s="461"/>
      <c r="Q769" s="461"/>
      <c r="R769" s="463"/>
      <c r="S769" s="461"/>
      <c r="T769" s="463"/>
      <c r="U769" s="461"/>
      <c r="V769" s="463"/>
      <c r="W769" s="461"/>
      <c r="AC769" s="461"/>
    </row>
    <row r="770" spans="1:29">
      <c r="A770" s="461"/>
      <c r="B770" s="461"/>
      <c r="C770" s="461"/>
      <c r="D770" s="462"/>
      <c r="E770" s="461"/>
      <c r="F770" s="461"/>
      <c r="G770" s="461"/>
      <c r="H770" s="461"/>
      <c r="I770" s="461"/>
      <c r="J770" s="461"/>
      <c r="K770" s="461"/>
      <c r="L770" s="461"/>
      <c r="M770" s="461"/>
      <c r="N770" s="461"/>
      <c r="O770" s="461"/>
      <c r="P770" s="461"/>
      <c r="Q770" s="461"/>
      <c r="R770" s="463"/>
      <c r="S770" s="461"/>
      <c r="T770" s="463"/>
      <c r="U770" s="461"/>
      <c r="V770" s="463"/>
      <c r="W770" s="461"/>
      <c r="AC770" s="461"/>
    </row>
    <row r="771" spans="1:29">
      <c r="A771" s="461"/>
      <c r="B771" s="461"/>
      <c r="C771" s="461"/>
      <c r="D771" s="462"/>
      <c r="E771" s="461"/>
      <c r="F771" s="461"/>
      <c r="G771" s="461"/>
      <c r="H771" s="461"/>
      <c r="I771" s="461"/>
      <c r="J771" s="461"/>
      <c r="K771" s="461"/>
      <c r="L771" s="461"/>
      <c r="M771" s="461"/>
      <c r="N771" s="461"/>
      <c r="O771" s="461"/>
      <c r="P771" s="461"/>
      <c r="Q771" s="461"/>
      <c r="R771" s="463"/>
      <c r="S771" s="461"/>
      <c r="T771" s="463"/>
      <c r="U771" s="461"/>
      <c r="V771" s="463"/>
      <c r="W771" s="461"/>
      <c r="AC771" s="461"/>
    </row>
    <row r="772" spans="1:29">
      <c r="A772" s="461"/>
      <c r="B772" s="461"/>
      <c r="C772" s="461"/>
      <c r="D772" s="462"/>
      <c r="E772" s="461"/>
      <c r="F772" s="461"/>
      <c r="G772" s="461"/>
      <c r="H772" s="461"/>
      <c r="I772" s="461"/>
      <c r="J772" s="461"/>
      <c r="K772" s="461"/>
      <c r="L772" s="461"/>
      <c r="M772" s="461"/>
      <c r="N772" s="461"/>
      <c r="O772" s="461"/>
      <c r="P772" s="461"/>
      <c r="Q772" s="461"/>
      <c r="R772" s="463"/>
      <c r="S772" s="461"/>
      <c r="T772" s="463"/>
      <c r="U772" s="461"/>
      <c r="V772" s="463"/>
      <c r="W772" s="461"/>
      <c r="AC772" s="461"/>
    </row>
    <row r="773" spans="1:29">
      <c r="A773" s="461"/>
      <c r="B773" s="461"/>
      <c r="C773" s="461"/>
      <c r="D773" s="462"/>
      <c r="E773" s="461"/>
      <c r="F773" s="461"/>
      <c r="G773" s="461"/>
      <c r="H773" s="461"/>
      <c r="I773" s="461"/>
      <c r="J773" s="461"/>
      <c r="K773" s="461"/>
      <c r="L773" s="461"/>
      <c r="M773" s="461"/>
      <c r="N773" s="461"/>
      <c r="O773" s="461"/>
      <c r="P773" s="461"/>
      <c r="Q773" s="461"/>
      <c r="R773" s="463"/>
      <c r="S773" s="461"/>
      <c r="T773" s="463"/>
      <c r="U773" s="461"/>
      <c r="V773" s="463"/>
      <c r="W773" s="461"/>
      <c r="AC773" s="461"/>
    </row>
    <row r="774" spans="1:29">
      <c r="A774" s="461"/>
      <c r="B774" s="461"/>
      <c r="C774" s="461"/>
      <c r="D774" s="462"/>
      <c r="E774" s="461"/>
      <c r="F774" s="461"/>
      <c r="G774" s="461"/>
      <c r="H774" s="461"/>
      <c r="I774" s="461"/>
      <c r="J774" s="461"/>
      <c r="K774" s="461"/>
      <c r="L774" s="461"/>
      <c r="M774" s="461"/>
      <c r="N774" s="461"/>
      <c r="O774" s="461"/>
      <c r="P774" s="461"/>
      <c r="Q774" s="461"/>
      <c r="R774" s="463"/>
      <c r="S774" s="461"/>
      <c r="T774" s="463"/>
      <c r="U774" s="461"/>
      <c r="V774" s="463"/>
      <c r="W774" s="461"/>
      <c r="AC774" s="461"/>
    </row>
    <row r="775" spans="1:29">
      <c r="A775" s="461"/>
      <c r="B775" s="461"/>
      <c r="C775" s="461"/>
      <c r="D775" s="462"/>
      <c r="E775" s="461"/>
      <c r="F775" s="461"/>
      <c r="G775" s="461"/>
      <c r="H775" s="461"/>
      <c r="I775" s="461"/>
      <c r="J775" s="461"/>
      <c r="K775" s="461"/>
      <c r="L775" s="461"/>
      <c r="M775" s="461"/>
      <c r="N775" s="461"/>
      <c r="O775" s="461"/>
      <c r="P775" s="461"/>
      <c r="Q775" s="461"/>
      <c r="R775" s="463"/>
      <c r="S775" s="461"/>
      <c r="T775" s="463"/>
      <c r="U775" s="461"/>
      <c r="V775" s="463"/>
      <c r="W775" s="461"/>
      <c r="AC775" s="461"/>
    </row>
    <row r="776" spans="1:29">
      <c r="A776" s="461"/>
      <c r="B776" s="461"/>
      <c r="C776" s="461"/>
      <c r="D776" s="462"/>
      <c r="E776" s="461"/>
      <c r="F776" s="461"/>
      <c r="G776" s="461"/>
      <c r="H776" s="461"/>
      <c r="I776" s="461"/>
      <c r="J776" s="461"/>
      <c r="K776" s="461"/>
      <c r="L776" s="461"/>
      <c r="M776" s="461"/>
      <c r="N776" s="461"/>
      <c r="O776" s="461"/>
      <c r="P776" s="461"/>
      <c r="Q776" s="461"/>
      <c r="R776" s="463"/>
      <c r="S776" s="461"/>
      <c r="T776" s="463"/>
      <c r="U776" s="461"/>
      <c r="V776" s="463"/>
      <c r="W776" s="461"/>
      <c r="AC776" s="461"/>
    </row>
    <row r="777" spans="1:29">
      <c r="A777" s="461"/>
      <c r="B777" s="461"/>
      <c r="C777" s="461"/>
      <c r="D777" s="462"/>
      <c r="E777" s="461"/>
      <c r="F777" s="461"/>
      <c r="G777" s="461"/>
      <c r="H777" s="461"/>
      <c r="I777" s="461"/>
      <c r="J777" s="461"/>
      <c r="K777" s="461"/>
      <c r="L777" s="461"/>
      <c r="M777" s="461"/>
      <c r="N777" s="461"/>
      <c r="O777" s="461"/>
      <c r="P777" s="461"/>
      <c r="Q777" s="461"/>
      <c r="R777" s="463"/>
      <c r="S777" s="461"/>
      <c r="T777" s="463"/>
      <c r="U777" s="461"/>
      <c r="V777" s="463"/>
      <c r="W777" s="461"/>
      <c r="AC777" s="461"/>
    </row>
    <row r="778" spans="1:29">
      <c r="A778" s="461"/>
      <c r="B778" s="461"/>
      <c r="C778" s="461"/>
      <c r="D778" s="462"/>
      <c r="E778" s="461"/>
      <c r="F778" s="461"/>
      <c r="G778" s="461"/>
      <c r="H778" s="461"/>
      <c r="I778" s="461"/>
      <c r="J778" s="461"/>
      <c r="K778" s="461"/>
      <c r="L778" s="461"/>
      <c r="M778" s="461"/>
      <c r="N778" s="461"/>
      <c r="O778" s="461"/>
      <c r="P778" s="461"/>
      <c r="Q778" s="461"/>
      <c r="R778" s="463"/>
      <c r="S778" s="461"/>
      <c r="T778" s="463"/>
      <c r="U778" s="461"/>
      <c r="V778" s="463"/>
      <c r="W778" s="461"/>
      <c r="AC778" s="461"/>
    </row>
    <row r="779" spans="1:29">
      <c r="A779" s="461"/>
      <c r="B779" s="461"/>
      <c r="C779" s="461"/>
      <c r="D779" s="462"/>
      <c r="E779" s="461"/>
      <c r="F779" s="461"/>
      <c r="G779" s="461"/>
      <c r="H779" s="461"/>
      <c r="I779" s="461"/>
      <c r="J779" s="461"/>
      <c r="K779" s="461"/>
      <c r="L779" s="461"/>
      <c r="M779" s="461"/>
      <c r="N779" s="461"/>
      <c r="O779" s="461"/>
      <c r="P779" s="461"/>
      <c r="Q779" s="461"/>
      <c r="R779" s="463"/>
      <c r="S779" s="461"/>
      <c r="T779" s="463"/>
      <c r="U779" s="461"/>
      <c r="V779" s="463"/>
      <c r="W779" s="461"/>
      <c r="AC779" s="461"/>
    </row>
    <row r="780" spans="1:29">
      <c r="A780" s="461"/>
      <c r="B780" s="461"/>
      <c r="C780" s="461"/>
      <c r="D780" s="462"/>
      <c r="E780" s="461"/>
      <c r="F780" s="461"/>
      <c r="G780" s="461"/>
      <c r="H780" s="461"/>
      <c r="I780" s="461"/>
      <c r="J780" s="461"/>
      <c r="K780" s="461"/>
      <c r="L780" s="461"/>
      <c r="M780" s="461"/>
      <c r="N780" s="461"/>
      <c r="O780" s="461"/>
      <c r="P780" s="461"/>
      <c r="Q780" s="461"/>
      <c r="R780" s="463"/>
      <c r="S780" s="461"/>
      <c r="T780" s="463"/>
      <c r="U780" s="461"/>
      <c r="V780" s="463"/>
      <c r="W780" s="461"/>
      <c r="AC780" s="461"/>
    </row>
    <row r="781" spans="1:29">
      <c r="A781" s="461"/>
      <c r="B781" s="461"/>
      <c r="C781" s="461"/>
      <c r="D781" s="462"/>
      <c r="E781" s="461"/>
      <c r="F781" s="461"/>
      <c r="G781" s="461"/>
      <c r="H781" s="461"/>
      <c r="I781" s="461"/>
      <c r="J781" s="461"/>
      <c r="K781" s="461"/>
      <c r="L781" s="461"/>
      <c r="M781" s="461"/>
      <c r="N781" s="461"/>
      <c r="O781" s="461"/>
      <c r="P781" s="461"/>
      <c r="Q781" s="461"/>
      <c r="R781" s="463"/>
      <c r="S781" s="461"/>
      <c r="T781" s="463"/>
      <c r="U781" s="461"/>
      <c r="V781" s="463"/>
      <c r="W781" s="461"/>
      <c r="AC781" s="461"/>
    </row>
    <row r="782" spans="1:29">
      <c r="A782" s="461"/>
      <c r="B782" s="461"/>
      <c r="C782" s="461"/>
      <c r="D782" s="462"/>
      <c r="E782" s="461"/>
      <c r="F782" s="461"/>
      <c r="G782" s="461"/>
      <c r="H782" s="461"/>
      <c r="I782" s="461"/>
      <c r="J782" s="461"/>
      <c r="K782" s="461"/>
      <c r="L782" s="461"/>
      <c r="M782" s="461"/>
      <c r="N782" s="461"/>
      <c r="O782" s="461"/>
      <c r="P782" s="461"/>
      <c r="Q782" s="461"/>
      <c r="R782" s="463"/>
      <c r="S782" s="461"/>
      <c r="T782" s="463"/>
      <c r="U782" s="461"/>
      <c r="V782" s="463"/>
      <c r="W782" s="461"/>
      <c r="AC782" s="461"/>
    </row>
    <row r="783" spans="1:29">
      <c r="A783" s="461"/>
      <c r="B783" s="461"/>
      <c r="C783" s="461"/>
      <c r="D783" s="462"/>
      <c r="E783" s="461"/>
      <c r="F783" s="461"/>
      <c r="G783" s="461"/>
      <c r="H783" s="461"/>
      <c r="I783" s="461"/>
      <c r="J783" s="461"/>
      <c r="K783" s="461"/>
      <c r="L783" s="461"/>
      <c r="M783" s="461"/>
      <c r="N783" s="461"/>
      <c r="O783" s="461"/>
      <c r="P783" s="461"/>
      <c r="Q783" s="461"/>
      <c r="R783" s="463"/>
      <c r="S783" s="461"/>
      <c r="T783" s="463"/>
      <c r="U783" s="461"/>
      <c r="V783" s="463"/>
      <c r="W783" s="461"/>
      <c r="AC783" s="461"/>
    </row>
    <row r="784" spans="1:29">
      <c r="A784" s="461"/>
      <c r="B784" s="461"/>
      <c r="C784" s="461"/>
      <c r="D784" s="462"/>
      <c r="E784" s="461"/>
      <c r="F784" s="461"/>
      <c r="G784" s="461"/>
      <c r="H784" s="461"/>
      <c r="I784" s="461"/>
      <c r="J784" s="461"/>
      <c r="K784" s="461"/>
      <c r="L784" s="461"/>
      <c r="M784" s="461"/>
      <c r="N784" s="461"/>
      <c r="O784" s="461"/>
      <c r="P784" s="461"/>
      <c r="Q784" s="461"/>
      <c r="R784" s="463"/>
      <c r="S784" s="461"/>
      <c r="T784" s="463"/>
      <c r="U784" s="461"/>
      <c r="V784" s="463"/>
      <c r="W784" s="461"/>
      <c r="AC784" s="461"/>
    </row>
    <row r="785" spans="1:29">
      <c r="A785" s="461"/>
      <c r="B785" s="461"/>
      <c r="C785" s="461"/>
      <c r="D785" s="462"/>
      <c r="E785" s="461"/>
      <c r="F785" s="461"/>
      <c r="G785" s="461"/>
      <c r="H785" s="461"/>
      <c r="I785" s="461"/>
      <c r="J785" s="461"/>
      <c r="K785" s="461"/>
      <c r="L785" s="461"/>
      <c r="M785" s="461"/>
      <c r="N785" s="461"/>
      <c r="O785" s="461"/>
      <c r="P785" s="461"/>
      <c r="Q785" s="461"/>
      <c r="R785" s="463"/>
      <c r="S785" s="461"/>
      <c r="T785" s="463"/>
      <c r="U785" s="461"/>
      <c r="V785" s="463"/>
      <c r="W785" s="461"/>
      <c r="AC785" s="461"/>
    </row>
    <row r="786" spans="1:29">
      <c r="A786" s="461"/>
      <c r="B786" s="461"/>
      <c r="C786" s="461"/>
      <c r="D786" s="462"/>
      <c r="E786" s="461"/>
      <c r="F786" s="461"/>
      <c r="G786" s="461"/>
      <c r="H786" s="461"/>
      <c r="I786" s="461"/>
      <c r="J786" s="461"/>
      <c r="K786" s="461"/>
      <c r="L786" s="461"/>
      <c r="M786" s="461"/>
      <c r="N786" s="461"/>
      <c r="O786" s="461"/>
      <c r="P786" s="461"/>
      <c r="Q786" s="461"/>
      <c r="R786" s="463"/>
      <c r="S786" s="461"/>
      <c r="T786" s="463"/>
      <c r="U786" s="461"/>
      <c r="V786" s="463"/>
      <c r="W786" s="461"/>
      <c r="AC786" s="461"/>
    </row>
    <row r="787" spans="1:29">
      <c r="A787" s="461"/>
      <c r="B787" s="461"/>
      <c r="C787" s="461"/>
      <c r="D787" s="462"/>
      <c r="E787" s="461"/>
      <c r="F787" s="461"/>
      <c r="G787" s="461"/>
      <c r="H787" s="461"/>
      <c r="I787" s="461"/>
      <c r="J787" s="461"/>
      <c r="K787" s="461"/>
      <c r="L787" s="461"/>
      <c r="M787" s="461"/>
      <c r="N787" s="461"/>
      <c r="O787" s="461"/>
      <c r="P787" s="461"/>
      <c r="Q787" s="461"/>
      <c r="R787" s="463"/>
      <c r="S787" s="461"/>
      <c r="T787" s="463"/>
      <c r="U787" s="461"/>
      <c r="V787" s="463"/>
      <c r="W787" s="461"/>
      <c r="AC787" s="461"/>
    </row>
    <row r="788" spans="1:29">
      <c r="A788" s="461"/>
      <c r="B788" s="461"/>
      <c r="C788" s="461"/>
      <c r="D788" s="462"/>
      <c r="E788" s="461"/>
      <c r="F788" s="461"/>
      <c r="G788" s="461"/>
      <c r="H788" s="461"/>
      <c r="I788" s="461"/>
      <c r="J788" s="461"/>
      <c r="K788" s="461"/>
      <c r="L788" s="461"/>
      <c r="M788" s="461"/>
      <c r="N788" s="461"/>
      <c r="O788" s="461"/>
      <c r="P788" s="461"/>
      <c r="Q788" s="461"/>
      <c r="R788" s="463"/>
      <c r="S788" s="461"/>
      <c r="T788" s="463"/>
      <c r="U788" s="461"/>
      <c r="V788" s="463"/>
      <c r="W788" s="461"/>
      <c r="AC788" s="461"/>
    </row>
    <row r="789" spans="1:29">
      <c r="A789" s="461"/>
      <c r="B789" s="461"/>
      <c r="C789" s="461"/>
      <c r="D789" s="462"/>
      <c r="E789" s="461"/>
      <c r="F789" s="461"/>
      <c r="G789" s="461"/>
      <c r="H789" s="461"/>
      <c r="I789" s="461"/>
      <c r="J789" s="461"/>
      <c r="K789" s="461"/>
      <c r="L789" s="461"/>
      <c r="M789" s="461"/>
      <c r="N789" s="461"/>
      <c r="O789" s="461"/>
      <c r="P789" s="461"/>
      <c r="Q789" s="461"/>
      <c r="R789" s="463"/>
      <c r="S789" s="461"/>
      <c r="T789" s="463"/>
      <c r="U789" s="461"/>
      <c r="V789" s="463"/>
      <c r="W789" s="461"/>
      <c r="AC789" s="461"/>
    </row>
    <row r="790" spans="1:29">
      <c r="A790" s="461"/>
      <c r="B790" s="461"/>
      <c r="C790" s="461"/>
      <c r="D790" s="462"/>
      <c r="E790" s="461"/>
      <c r="F790" s="461"/>
      <c r="G790" s="461"/>
      <c r="H790" s="461"/>
      <c r="I790" s="461"/>
      <c r="J790" s="461"/>
      <c r="K790" s="461"/>
      <c r="L790" s="461"/>
      <c r="M790" s="461"/>
      <c r="N790" s="461"/>
      <c r="O790" s="461"/>
      <c r="P790" s="461"/>
      <c r="Q790" s="461"/>
      <c r="R790" s="463"/>
      <c r="S790" s="461"/>
      <c r="T790" s="463"/>
      <c r="U790" s="461"/>
      <c r="V790" s="463"/>
      <c r="W790" s="461"/>
      <c r="AC790" s="461"/>
    </row>
    <row r="791" spans="1:29">
      <c r="A791" s="461"/>
      <c r="B791" s="461"/>
      <c r="C791" s="461"/>
      <c r="D791" s="462"/>
      <c r="E791" s="461"/>
      <c r="F791" s="461"/>
      <c r="G791" s="461"/>
      <c r="H791" s="461"/>
      <c r="I791" s="461"/>
      <c r="J791" s="461"/>
      <c r="K791" s="461"/>
      <c r="L791" s="461"/>
      <c r="M791" s="461"/>
      <c r="N791" s="461"/>
      <c r="O791" s="461"/>
      <c r="P791" s="461"/>
      <c r="Q791" s="461"/>
      <c r="R791" s="463"/>
      <c r="S791" s="461"/>
      <c r="T791" s="463"/>
      <c r="U791" s="461"/>
      <c r="V791" s="463"/>
      <c r="W791" s="461"/>
      <c r="AC791" s="461"/>
    </row>
    <row r="792" spans="1:29">
      <c r="A792" s="461"/>
      <c r="B792" s="461"/>
      <c r="C792" s="461"/>
      <c r="D792" s="462"/>
      <c r="E792" s="461"/>
      <c r="F792" s="461"/>
      <c r="G792" s="461"/>
      <c r="H792" s="461"/>
      <c r="I792" s="461"/>
      <c r="J792" s="461"/>
      <c r="K792" s="461"/>
      <c r="L792" s="461"/>
      <c r="M792" s="461"/>
      <c r="N792" s="461"/>
      <c r="O792" s="461"/>
      <c r="P792" s="461"/>
      <c r="Q792" s="461"/>
      <c r="R792" s="463"/>
      <c r="S792" s="461"/>
      <c r="T792" s="463"/>
      <c r="U792" s="461"/>
      <c r="V792" s="463"/>
      <c r="W792" s="461"/>
      <c r="AC792" s="461"/>
    </row>
    <row r="793" spans="1:29">
      <c r="A793" s="461"/>
      <c r="B793" s="461"/>
      <c r="C793" s="461"/>
      <c r="D793" s="462"/>
      <c r="E793" s="461"/>
      <c r="F793" s="461"/>
      <c r="G793" s="461"/>
      <c r="H793" s="461"/>
      <c r="I793" s="461"/>
      <c r="J793" s="461"/>
      <c r="K793" s="461"/>
      <c r="L793" s="461"/>
      <c r="M793" s="461"/>
      <c r="N793" s="461"/>
      <c r="O793" s="461"/>
      <c r="P793" s="461"/>
      <c r="Q793" s="461"/>
      <c r="R793" s="463"/>
      <c r="S793" s="461"/>
      <c r="T793" s="463"/>
      <c r="U793" s="461"/>
      <c r="V793" s="463"/>
      <c r="W793" s="461"/>
      <c r="AC793" s="461"/>
    </row>
    <row r="794" spans="1:29">
      <c r="A794" s="461"/>
      <c r="B794" s="461"/>
      <c r="C794" s="461"/>
      <c r="D794" s="462"/>
      <c r="E794" s="461"/>
      <c r="F794" s="461"/>
      <c r="G794" s="461"/>
      <c r="H794" s="461"/>
      <c r="I794" s="461"/>
      <c r="J794" s="461"/>
      <c r="K794" s="461"/>
      <c r="L794" s="461"/>
      <c r="M794" s="461"/>
      <c r="N794" s="461"/>
      <c r="O794" s="461"/>
      <c r="P794" s="461"/>
      <c r="Q794" s="461"/>
      <c r="R794" s="463"/>
      <c r="S794" s="461"/>
      <c r="T794" s="463"/>
      <c r="U794" s="461"/>
      <c r="V794" s="463"/>
      <c r="W794" s="461"/>
      <c r="AC794" s="461"/>
    </row>
    <row r="795" spans="1:29">
      <c r="A795" s="461"/>
      <c r="B795" s="461"/>
      <c r="C795" s="461"/>
      <c r="D795" s="462"/>
      <c r="E795" s="461"/>
      <c r="F795" s="461"/>
      <c r="G795" s="461"/>
      <c r="H795" s="461"/>
      <c r="I795" s="461"/>
      <c r="J795" s="461"/>
      <c r="K795" s="461"/>
      <c r="L795" s="461"/>
      <c r="M795" s="461"/>
      <c r="N795" s="461"/>
      <c r="O795" s="461"/>
      <c r="P795" s="461"/>
      <c r="Q795" s="461"/>
      <c r="R795" s="463"/>
      <c r="S795" s="461"/>
      <c r="T795" s="463"/>
      <c r="U795" s="461"/>
      <c r="V795" s="463"/>
      <c r="W795" s="461"/>
      <c r="AC795" s="461"/>
    </row>
    <row r="796" spans="1:29">
      <c r="A796" s="461"/>
      <c r="B796" s="461"/>
      <c r="C796" s="461"/>
      <c r="D796" s="462"/>
      <c r="E796" s="461"/>
      <c r="F796" s="461"/>
      <c r="G796" s="461"/>
      <c r="H796" s="461"/>
      <c r="I796" s="461"/>
      <c r="J796" s="461"/>
      <c r="K796" s="461"/>
      <c r="L796" s="461"/>
      <c r="M796" s="461"/>
      <c r="N796" s="461"/>
      <c r="O796" s="461"/>
      <c r="P796" s="461"/>
      <c r="Q796" s="461"/>
      <c r="R796" s="463"/>
      <c r="S796" s="461"/>
      <c r="T796" s="463"/>
      <c r="U796" s="461"/>
      <c r="V796" s="463"/>
      <c r="W796" s="461"/>
      <c r="AC796" s="461"/>
    </row>
    <row r="797" spans="1:29">
      <c r="A797" s="461"/>
      <c r="B797" s="461"/>
      <c r="C797" s="461"/>
      <c r="D797" s="462"/>
      <c r="E797" s="461"/>
      <c r="F797" s="461"/>
      <c r="G797" s="461"/>
      <c r="H797" s="461"/>
      <c r="I797" s="461"/>
      <c r="J797" s="461"/>
      <c r="K797" s="461"/>
      <c r="L797" s="461"/>
      <c r="M797" s="461"/>
      <c r="N797" s="461"/>
      <c r="O797" s="461"/>
      <c r="P797" s="461"/>
      <c r="Q797" s="461"/>
      <c r="R797" s="463"/>
      <c r="S797" s="461"/>
      <c r="T797" s="463"/>
      <c r="U797" s="461"/>
      <c r="V797" s="463"/>
      <c r="W797" s="461"/>
      <c r="AC797" s="461"/>
    </row>
    <row r="798" spans="1:29">
      <c r="A798" s="461"/>
      <c r="B798" s="461"/>
      <c r="C798" s="461"/>
      <c r="D798" s="462"/>
      <c r="E798" s="461"/>
      <c r="F798" s="461"/>
      <c r="G798" s="461"/>
      <c r="H798" s="461"/>
      <c r="I798" s="461"/>
      <c r="J798" s="461"/>
      <c r="K798" s="461"/>
      <c r="L798" s="461"/>
      <c r="M798" s="461"/>
      <c r="N798" s="461"/>
      <c r="O798" s="461"/>
      <c r="P798" s="461"/>
      <c r="Q798" s="461"/>
      <c r="R798" s="463"/>
      <c r="S798" s="461"/>
      <c r="T798" s="463"/>
      <c r="U798" s="461"/>
      <c r="V798" s="463"/>
      <c r="W798" s="461"/>
      <c r="AC798" s="461"/>
    </row>
    <row r="799" spans="1:29">
      <c r="A799" s="461"/>
      <c r="B799" s="461"/>
      <c r="C799" s="461"/>
      <c r="D799" s="462"/>
      <c r="E799" s="461"/>
      <c r="F799" s="461"/>
      <c r="G799" s="461"/>
      <c r="H799" s="461"/>
      <c r="I799" s="461"/>
      <c r="J799" s="461"/>
      <c r="K799" s="461"/>
      <c r="L799" s="461"/>
      <c r="M799" s="461"/>
      <c r="N799" s="461"/>
      <c r="O799" s="461"/>
      <c r="P799" s="461"/>
      <c r="Q799" s="461"/>
      <c r="R799" s="463"/>
      <c r="S799" s="461"/>
      <c r="T799" s="463"/>
      <c r="U799" s="461"/>
      <c r="V799" s="463"/>
      <c r="W799" s="461"/>
      <c r="AC799" s="461"/>
    </row>
    <row r="800" spans="1:29">
      <c r="A800" s="461"/>
      <c r="B800" s="461"/>
      <c r="C800" s="461"/>
      <c r="D800" s="462"/>
      <c r="E800" s="461"/>
      <c r="F800" s="461"/>
      <c r="G800" s="461"/>
      <c r="H800" s="461"/>
      <c r="I800" s="461"/>
      <c r="J800" s="461"/>
      <c r="K800" s="461"/>
      <c r="L800" s="461"/>
      <c r="M800" s="461"/>
      <c r="N800" s="461"/>
      <c r="O800" s="461"/>
      <c r="P800" s="461"/>
      <c r="Q800" s="461"/>
      <c r="R800" s="463"/>
      <c r="S800" s="461"/>
      <c r="T800" s="463"/>
      <c r="U800" s="461"/>
      <c r="V800" s="463"/>
      <c r="W800" s="461"/>
      <c r="AC800" s="461"/>
    </row>
    <row r="801" spans="1:29">
      <c r="A801" s="461"/>
      <c r="B801" s="461"/>
      <c r="C801" s="461"/>
      <c r="D801" s="462"/>
      <c r="E801" s="461"/>
      <c r="F801" s="461"/>
      <c r="G801" s="461"/>
      <c r="H801" s="461"/>
      <c r="I801" s="461"/>
      <c r="J801" s="461"/>
      <c r="K801" s="461"/>
      <c r="L801" s="461"/>
      <c r="M801" s="461"/>
      <c r="N801" s="461"/>
      <c r="O801" s="461"/>
      <c r="P801" s="461"/>
      <c r="Q801" s="461"/>
      <c r="R801" s="463"/>
      <c r="S801" s="461"/>
      <c r="T801" s="463"/>
      <c r="U801" s="461"/>
      <c r="V801" s="463"/>
      <c r="W801" s="461"/>
      <c r="AC801" s="461"/>
    </row>
    <row r="802" spans="1:29">
      <c r="A802" s="461"/>
      <c r="B802" s="461"/>
      <c r="C802" s="461"/>
      <c r="D802" s="462"/>
      <c r="E802" s="461"/>
      <c r="F802" s="461"/>
      <c r="G802" s="461"/>
      <c r="H802" s="461"/>
      <c r="I802" s="461"/>
      <c r="J802" s="461"/>
      <c r="K802" s="461"/>
      <c r="L802" s="461"/>
      <c r="M802" s="461"/>
      <c r="N802" s="461"/>
      <c r="O802" s="461"/>
      <c r="P802" s="461"/>
      <c r="Q802" s="461"/>
      <c r="R802" s="463"/>
      <c r="S802" s="461"/>
      <c r="T802" s="463"/>
      <c r="U802" s="461"/>
      <c r="V802" s="463"/>
      <c r="W802" s="461"/>
      <c r="AC802" s="461"/>
    </row>
    <row r="803" spans="1:29">
      <c r="A803" s="461"/>
      <c r="B803" s="461"/>
      <c r="C803" s="461"/>
      <c r="D803" s="462"/>
      <c r="E803" s="461"/>
      <c r="F803" s="461"/>
      <c r="G803" s="461"/>
      <c r="H803" s="461"/>
      <c r="I803" s="461"/>
      <c r="J803" s="461"/>
      <c r="K803" s="461"/>
      <c r="L803" s="461"/>
      <c r="M803" s="461"/>
      <c r="N803" s="461"/>
      <c r="O803" s="461"/>
      <c r="P803" s="461"/>
      <c r="Q803" s="461"/>
      <c r="R803" s="463"/>
      <c r="S803" s="461"/>
      <c r="T803" s="463"/>
      <c r="U803" s="461"/>
      <c r="V803" s="463"/>
      <c r="W803" s="461"/>
      <c r="AC803" s="461"/>
    </row>
    <row r="804" spans="1:29">
      <c r="A804" s="461"/>
      <c r="B804" s="461"/>
      <c r="C804" s="461"/>
      <c r="D804" s="462"/>
      <c r="E804" s="461"/>
      <c r="F804" s="461"/>
      <c r="G804" s="461"/>
      <c r="H804" s="461"/>
      <c r="I804" s="461"/>
      <c r="J804" s="461"/>
      <c r="K804" s="461"/>
      <c r="L804" s="461"/>
      <c r="M804" s="461"/>
      <c r="N804" s="461"/>
      <c r="O804" s="461"/>
      <c r="P804" s="461"/>
      <c r="Q804" s="461"/>
      <c r="R804" s="463"/>
      <c r="S804" s="461"/>
      <c r="T804" s="463"/>
      <c r="U804" s="461"/>
      <c r="V804" s="463"/>
      <c r="W804" s="461"/>
      <c r="AC804" s="461"/>
    </row>
    <row r="805" spans="1:29">
      <c r="A805" s="461"/>
      <c r="B805" s="461"/>
      <c r="C805" s="461"/>
      <c r="D805" s="462"/>
      <c r="E805" s="461"/>
      <c r="F805" s="461"/>
      <c r="G805" s="461"/>
      <c r="H805" s="461"/>
      <c r="I805" s="461"/>
      <c r="J805" s="461"/>
      <c r="K805" s="461"/>
      <c r="L805" s="461"/>
      <c r="M805" s="461"/>
      <c r="N805" s="461"/>
      <c r="O805" s="461"/>
      <c r="P805" s="461"/>
      <c r="Q805" s="461"/>
      <c r="R805" s="463"/>
      <c r="S805" s="461"/>
      <c r="T805" s="463"/>
      <c r="U805" s="461"/>
      <c r="V805" s="463"/>
      <c r="W805" s="461"/>
      <c r="AC805" s="461"/>
    </row>
    <row r="806" spans="1:29">
      <c r="A806" s="461"/>
      <c r="B806" s="461"/>
      <c r="C806" s="461"/>
      <c r="D806" s="462"/>
      <c r="E806" s="461"/>
      <c r="F806" s="461"/>
      <c r="G806" s="461"/>
      <c r="H806" s="461"/>
      <c r="I806" s="461"/>
      <c r="J806" s="461"/>
      <c r="K806" s="461"/>
      <c r="L806" s="461"/>
      <c r="M806" s="461"/>
      <c r="N806" s="461"/>
      <c r="O806" s="461"/>
      <c r="P806" s="461"/>
      <c r="Q806" s="461"/>
      <c r="R806" s="463"/>
      <c r="S806" s="461"/>
      <c r="T806" s="463"/>
      <c r="U806" s="461"/>
      <c r="V806" s="463"/>
      <c r="W806" s="461"/>
      <c r="AC806" s="461"/>
    </row>
    <row r="807" spans="1:29">
      <c r="A807" s="461"/>
      <c r="B807" s="461"/>
      <c r="C807" s="461"/>
      <c r="D807" s="462"/>
      <c r="E807" s="461"/>
      <c r="F807" s="461"/>
      <c r="G807" s="461"/>
      <c r="H807" s="461"/>
      <c r="I807" s="461"/>
      <c r="J807" s="461"/>
      <c r="K807" s="461"/>
      <c r="L807" s="461"/>
      <c r="M807" s="461"/>
      <c r="N807" s="461"/>
      <c r="O807" s="461"/>
      <c r="P807" s="461"/>
      <c r="Q807" s="461"/>
      <c r="R807" s="463"/>
      <c r="S807" s="461"/>
      <c r="T807" s="463"/>
      <c r="U807" s="461"/>
      <c r="V807" s="463"/>
      <c r="W807" s="461"/>
      <c r="AC807" s="461"/>
    </row>
    <row r="808" spans="1:29">
      <c r="A808" s="461"/>
      <c r="B808" s="461"/>
      <c r="C808" s="461"/>
      <c r="D808" s="462"/>
      <c r="E808" s="461"/>
      <c r="F808" s="461"/>
      <c r="G808" s="461"/>
      <c r="H808" s="461"/>
      <c r="I808" s="461"/>
      <c r="J808" s="461"/>
      <c r="K808" s="461"/>
      <c r="L808" s="461"/>
      <c r="M808" s="461"/>
      <c r="N808" s="461"/>
      <c r="O808" s="461"/>
      <c r="P808" s="461"/>
      <c r="Q808" s="461"/>
      <c r="R808" s="463"/>
      <c r="S808" s="461"/>
      <c r="T808" s="463"/>
      <c r="U808" s="461"/>
      <c r="V808" s="463"/>
      <c r="W808" s="461"/>
      <c r="AC808" s="461"/>
    </row>
    <row r="809" spans="1:29">
      <c r="A809" s="461"/>
      <c r="B809" s="461"/>
      <c r="C809" s="461"/>
      <c r="D809" s="462"/>
      <c r="E809" s="461"/>
      <c r="F809" s="461"/>
      <c r="G809" s="461"/>
      <c r="H809" s="461"/>
      <c r="I809" s="461"/>
      <c r="J809" s="461"/>
      <c r="K809" s="461"/>
      <c r="L809" s="461"/>
      <c r="M809" s="461"/>
      <c r="N809" s="461"/>
      <c r="O809" s="461"/>
      <c r="P809" s="461"/>
      <c r="Q809" s="461"/>
      <c r="R809" s="463"/>
      <c r="S809" s="461"/>
      <c r="T809" s="463"/>
      <c r="U809" s="461"/>
      <c r="V809" s="463"/>
      <c r="W809" s="461"/>
      <c r="AC809" s="461"/>
    </row>
    <row r="810" spans="1:29">
      <c r="A810" s="461"/>
      <c r="B810" s="461"/>
      <c r="C810" s="461"/>
      <c r="D810" s="462"/>
      <c r="E810" s="461"/>
      <c r="F810" s="461"/>
      <c r="G810" s="461"/>
      <c r="H810" s="461"/>
      <c r="I810" s="461"/>
      <c r="J810" s="461"/>
      <c r="K810" s="461"/>
      <c r="L810" s="461"/>
      <c r="M810" s="461"/>
      <c r="N810" s="461"/>
      <c r="O810" s="461"/>
      <c r="P810" s="461"/>
      <c r="Q810" s="461"/>
      <c r="R810" s="463"/>
      <c r="S810" s="461"/>
      <c r="T810" s="463"/>
      <c r="U810" s="461"/>
      <c r="V810" s="463"/>
      <c r="W810" s="461"/>
      <c r="AC810" s="461"/>
    </row>
    <row r="811" spans="1:29">
      <c r="A811" s="461"/>
      <c r="B811" s="461"/>
      <c r="C811" s="461"/>
      <c r="D811" s="462"/>
      <c r="E811" s="461"/>
      <c r="F811" s="461"/>
      <c r="G811" s="461"/>
      <c r="H811" s="461"/>
      <c r="I811" s="461"/>
      <c r="J811" s="461"/>
      <c r="K811" s="461"/>
      <c r="L811" s="461"/>
      <c r="M811" s="461"/>
      <c r="N811" s="461"/>
      <c r="O811" s="461"/>
      <c r="P811" s="461"/>
      <c r="Q811" s="461"/>
      <c r="R811" s="463"/>
      <c r="S811" s="461"/>
      <c r="T811" s="463"/>
      <c r="U811" s="461"/>
      <c r="V811" s="463"/>
      <c r="W811" s="461"/>
      <c r="AC811" s="461"/>
    </row>
    <row r="812" spans="1:29">
      <c r="A812" s="461"/>
      <c r="B812" s="461"/>
      <c r="C812" s="461"/>
      <c r="D812" s="462"/>
      <c r="E812" s="461"/>
      <c r="F812" s="461"/>
      <c r="G812" s="461"/>
      <c r="H812" s="461"/>
      <c r="I812" s="461"/>
      <c r="J812" s="461"/>
      <c r="K812" s="461"/>
      <c r="L812" s="461"/>
      <c r="M812" s="461"/>
      <c r="N812" s="461"/>
      <c r="O812" s="461"/>
      <c r="P812" s="461"/>
      <c r="Q812" s="461"/>
      <c r="R812" s="463"/>
      <c r="S812" s="461"/>
      <c r="T812" s="463"/>
      <c r="U812" s="461"/>
      <c r="V812" s="463"/>
      <c r="W812" s="461"/>
      <c r="AC812" s="461"/>
    </row>
    <row r="813" spans="1:29">
      <c r="A813" s="461"/>
      <c r="B813" s="461"/>
      <c r="C813" s="461"/>
      <c r="D813" s="462"/>
      <c r="E813" s="461"/>
      <c r="F813" s="461"/>
      <c r="G813" s="461"/>
      <c r="H813" s="461"/>
      <c r="I813" s="461"/>
      <c r="J813" s="461"/>
      <c r="K813" s="461"/>
      <c r="L813" s="461"/>
      <c r="M813" s="461"/>
      <c r="N813" s="461"/>
      <c r="O813" s="461"/>
      <c r="P813" s="461"/>
      <c r="Q813" s="461"/>
      <c r="R813" s="463"/>
      <c r="S813" s="461"/>
      <c r="T813" s="463"/>
      <c r="U813" s="461"/>
      <c r="V813" s="463"/>
      <c r="W813" s="461"/>
      <c r="AC813" s="461"/>
    </row>
    <row r="814" spans="1:29">
      <c r="A814" s="461"/>
      <c r="B814" s="461"/>
      <c r="C814" s="461"/>
      <c r="D814" s="462"/>
      <c r="E814" s="461"/>
      <c r="F814" s="461"/>
      <c r="G814" s="461"/>
      <c r="H814" s="461"/>
      <c r="I814" s="461"/>
      <c r="J814" s="461"/>
      <c r="K814" s="461"/>
      <c r="L814" s="461"/>
      <c r="M814" s="461"/>
      <c r="N814" s="461"/>
      <c r="O814" s="461"/>
      <c r="P814" s="461"/>
      <c r="Q814" s="461"/>
      <c r="R814" s="463"/>
      <c r="S814" s="461"/>
      <c r="T814" s="463"/>
      <c r="U814" s="461"/>
      <c r="V814" s="463"/>
      <c r="W814" s="461"/>
      <c r="AC814" s="461"/>
    </row>
    <row r="815" spans="1:29">
      <c r="A815" s="461"/>
      <c r="B815" s="461"/>
      <c r="C815" s="461"/>
      <c r="D815" s="462"/>
      <c r="E815" s="461"/>
      <c r="F815" s="461"/>
      <c r="G815" s="461"/>
      <c r="H815" s="461"/>
      <c r="I815" s="461"/>
      <c r="J815" s="461"/>
      <c r="K815" s="461"/>
      <c r="L815" s="461"/>
      <c r="M815" s="461"/>
      <c r="N815" s="461"/>
      <c r="O815" s="461"/>
      <c r="P815" s="461"/>
      <c r="Q815" s="461"/>
      <c r="R815" s="463"/>
      <c r="S815" s="461"/>
      <c r="T815" s="463"/>
      <c r="U815" s="461"/>
      <c r="V815" s="463"/>
      <c r="W815" s="461"/>
      <c r="AC815" s="461"/>
    </row>
    <row r="816" spans="1:29">
      <c r="A816" s="461"/>
      <c r="B816" s="461"/>
      <c r="C816" s="461"/>
      <c r="D816" s="462"/>
      <c r="E816" s="461"/>
      <c r="F816" s="461"/>
      <c r="G816" s="461"/>
      <c r="H816" s="461"/>
      <c r="I816" s="461"/>
      <c r="J816" s="461"/>
      <c r="K816" s="461"/>
      <c r="L816" s="461"/>
      <c r="M816" s="461"/>
      <c r="N816" s="461"/>
      <c r="O816" s="461"/>
      <c r="P816" s="461"/>
      <c r="Q816" s="461"/>
      <c r="R816" s="463"/>
      <c r="S816" s="461"/>
      <c r="T816" s="463"/>
      <c r="U816" s="461"/>
      <c r="V816" s="463"/>
      <c r="W816" s="461"/>
      <c r="AC816" s="461"/>
    </row>
    <row r="817" spans="1:29">
      <c r="A817" s="461"/>
      <c r="B817" s="461"/>
      <c r="C817" s="461"/>
      <c r="D817" s="462"/>
      <c r="E817" s="461"/>
      <c r="F817" s="461"/>
      <c r="G817" s="461"/>
      <c r="H817" s="461"/>
      <c r="I817" s="461"/>
      <c r="J817" s="461"/>
      <c r="K817" s="461"/>
      <c r="L817" s="461"/>
      <c r="M817" s="461"/>
      <c r="N817" s="461"/>
      <c r="O817" s="461"/>
      <c r="P817" s="461"/>
      <c r="Q817" s="461"/>
      <c r="R817" s="463"/>
      <c r="S817" s="461"/>
      <c r="T817" s="463"/>
      <c r="U817" s="461"/>
      <c r="V817" s="463"/>
      <c r="W817" s="461"/>
      <c r="AC817" s="461"/>
    </row>
    <row r="818" spans="1:29">
      <c r="A818" s="461"/>
      <c r="B818" s="461"/>
      <c r="C818" s="461"/>
      <c r="D818" s="462"/>
      <c r="E818" s="461"/>
      <c r="F818" s="461"/>
      <c r="G818" s="461"/>
      <c r="H818" s="461"/>
      <c r="I818" s="461"/>
      <c r="J818" s="461"/>
      <c r="K818" s="461"/>
      <c r="L818" s="461"/>
      <c r="M818" s="461"/>
      <c r="N818" s="461"/>
      <c r="O818" s="461"/>
      <c r="P818" s="461"/>
      <c r="Q818" s="461"/>
      <c r="R818" s="463"/>
      <c r="S818" s="461"/>
      <c r="T818" s="463"/>
      <c r="U818" s="461"/>
      <c r="V818" s="463"/>
      <c r="W818" s="461"/>
      <c r="AC818" s="461"/>
    </row>
    <row r="819" spans="1:29">
      <c r="A819" s="461"/>
      <c r="B819" s="461"/>
      <c r="C819" s="461"/>
      <c r="D819" s="462"/>
      <c r="E819" s="461"/>
      <c r="F819" s="461"/>
      <c r="G819" s="461"/>
      <c r="H819" s="461"/>
      <c r="I819" s="461"/>
      <c r="J819" s="461"/>
      <c r="K819" s="461"/>
      <c r="L819" s="461"/>
      <c r="M819" s="461"/>
      <c r="N819" s="461"/>
      <c r="O819" s="461"/>
      <c r="P819" s="461"/>
      <c r="Q819" s="461"/>
      <c r="R819" s="463"/>
      <c r="S819" s="461"/>
      <c r="T819" s="463"/>
      <c r="U819" s="461"/>
      <c r="V819" s="463"/>
      <c r="W819" s="461"/>
      <c r="AC819" s="461"/>
    </row>
    <row r="820" spans="1:29">
      <c r="A820" s="461"/>
      <c r="B820" s="461"/>
      <c r="C820" s="461"/>
      <c r="D820" s="462"/>
      <c r="E820" s="461"/>
      <c r="F820" s="461"/>
      <c r="G820" s="461"/>
      <c r="H820" s="461"/>
      <c r="I820" s="461"/>
      <c r="J820" s="461"/>
      <c r="K820" s="461"/>
      <c r="L820" s="461"/>
      <c r="M820" s="461"/>
      <c r="N820" s="461"/>
      <c r="O820" s="461"/>
      <c r="P820" s="461"/>
      <c r="Q820" s="461"/>
      <c r="R820" s="463"/>
      <c r="S820" s="461"/>
      <c r="T820" s="463"/>
      <c r="U820" s="461"/>
      <c r="V820" s="463"/>
      <c r="W820" s="461"/>
      <c r="AC820" s="461"/>
    </row>
    <row r="821" spans="1:29">
      <c r="A821" s="461"/>
      <c r="B821" s="461"/>
      <c r="C821" s="461"/>
      <c r="D821" s="462"/>
      <c r="E821" s="461"/>
      <c r="F821" s="461"/>
      <c r="G821" s="461"/>
      <c r="H821" s="461"/>
      <c r="I821" s="461"/>
      <c r="J821" s="461"/>
      <c r="K821" s="461"/>
      <c r="L821" s="461"/>
      <c r="M821" s="461"/>
      <c r="N821" s="461"/>
      <c r="O821" s="461"/>
      <c r="P821" s="461"/>
      <c r="Q821" s="461"/>
      <c r="R821" s="463"/>
      <c r="S821" s="461"/>
      <c r="T821" s="463"/>
      <c r="U821" s="461"/>
      <c r="V821" s="463"/>
      <c r="W821" s="461"/>
      <c r="AC821" s="461"/>
    </row>
    <row r="822" spans="1:29">
      <c r="A822" s="461"/>
      <c r="B822" s="461"/>
      <c r="C822" s="461"/>
      <c r="D822" s="462"/>
      <c r="E822" s="461"/>
      <c r="F822" s="461"/>
      <c r="G822" s="461"/>
      <c r="H822" s="461"/>
      <c r="I822" s="461"/>
      <c r="J822" s="461"/>
      <c r="K822" s="461"/>
      <c r="L822" s="461"/>
      <c r="M822" s="461"/>
      <c r="N822" s="461"/>
      <c r="O822" s="461"/>
      <c r="P822" s="461"/>
      <c r="Q822" s="461"/>
      <c r="R822" s="463"/>
      <c r="S822" s="461"/>
      <c r="T822" s="463"/>
      <c r="U822" s="461"/>
      <c r="V822" s="463"/>
      <c r="W822" s="461"/>
      <c r="AC822" s="461"/>
    </row>
    <row r="823" spans="1:29">
      <c r="A823" s="461"/>
      <c r="B823" s="461"/>
      <c r="C823" s="461"/>
      <c r="D823" s="462"/>
      <c r="E823" s="461"/>
      <c r="F823" s="461"/>
      <c r="G823" s="461"/>
      <c r="H823" s="461"/>
      <c r="I823" s="461"/>
      <c r="J823" s="461"/>
      <c r="K823" s="461"/>
      <c r="L823" s="461"/>
      <c r="M823" s="461"/>
      <c r="N823" s="461"/>
      <c r="O823" s="461"/>
      <c r="P823" s="461"/>
      <c r="Q823" s="461"/>
      <c r="R823" s="463"/>
      <c r="S823" s="461"/>
      <c r="T823" s="463"/>
      <c r="U823" s="461"/>
      <c r="V823" s="463"/>
      <c r="W823" s="461"/>
      <c r="AC823" s="461"/>
    </row>
    <row r="824" spans="1:29">
      <c r="A824" s="461"/>
      <c r="B824" s="461"/>
      <c r="C824" s="461"/>
      <c r="D824" s="462"/>
      <c r="E824" s="461"/>
      <c r="F824" s="461"/>
      <c r="G824" s="461"/>
      <c r="H824" s="461"/>
      <c r="I824" s="461"/>
      <c r="J824" s="461"/>
      <c r="K824" s="461"/>
      <c r="L824" s="461"/>
      <c r="M824" s="461"/>
      <c r="N824" s="461"/>
      <c r="O824" s="461"/>
      <c r="P824" s="461"/>
      <c r="Q824" s="461"/>
      <c r="R824" s="463"/>
      <c r="S824" s="461"/>
      <c r="T824" s="463"/>
      <c r="U824" s="461"/>
      <c r="V824" s="463"/>
      <c r="W824" s="461"/>
      <c r="AC824" s="461"/>
    </row>
    <row r="825" spans="1:29">
      <c r="A825" s="461"/>
      <c r="B825" s="461"/>
      <c r="C825" s="461"/>
      <c r="D825" s="462"/>
      <c r="E825" s="461"/>
      <c r="F825" s="461"/>
      <c r="G825" s="461"/>
      <c r="H825" s="461"/>
      <c r="I825" s="461"/>
      <c r="J825" s="461"/>
      <c r="K825" s="461"/>
      <c r="L825" s="461"/>
      <c r="M825" s="461"/>
      <c r="N825" s="461"/>
      <c r="O825" s="461"/>
      <c r="P825" s="461"/>
      <c r="Q825" s="461"/>
      <c r="R825" s="463"/>
      <c r="S825" s="461"/>
      <c r="T825" s="463"/>
      <c r="U825" s="461"/>
      <c r="V825" s="463"/>
      <c r="W825" s="461"/>
      <c r="AC825" s="461"/>
    </row>
    <row r="826" spans="1:29">
      <c r="A826" s="461"/>
      <c r="B826" s="461"/>
      <c r="C826" s="461"/>
      <c r="D826" s="462"/>
      <c r="E826" s="461"/>
      <c r="F826" s="461"/>
      <c r="G826" s="461"/>
      <c r="H826" s="461"/>
      <c r="I826" s="461"/>
      <c r="J826" s="461"/>
      <c r="K826" s="461"/>
      <c r="L826" s="461"/>
      <c r="M826" s="461"/>
      <c r="N826" s="461"/>
      <c r="O826" s="461"/>
      <c r="P826" s="461"/>
      <c r="Q826" s="461"/>
      <c r="R826" s="463"/>
      <c r="S826" s="461"/>
      <c r="T826" s="463"/>
      <c r="U826" s="461"/>
      <c r="V826" s="463"/>
      <c r="W826" s="461"/>
      <c r="AC826" s="461"/>
    </row>
    <row r="827" spans="1:29">
      <c r="A827" s="461"/>
      <c r="B827" s="461"/>
      <c r="C827" s="461"/>
      <c r="D827" s="462"/>
      <c r="E827" s="461"/>
      <c r="F827" s="461"/>
      <c r="G827" s="461"/>
      <c r="H827" s="461"/>
      <c r="I827" s="461"/>
      <c r="J827" s="461"/>
      <c r="K827" s="461"/>
      <c r="L827" s="461"/>
      <c r="M827" s="461"/>
      <c r="N827" s="461"/>
      <c r="O827" s="461"/>
      <c r="P827" s="461"/>
      <c r="Q827" s="461"/>
      <c r="R827" s="463"/>
      <c r="S827" s="461"/>
      <c r="T827" s="463"/>
      <c r="U827" s="461"/>
      <c r="V827" s="463"/>
      <c r="W827" s="461"/>
      <c r="AC827" s="461"/>
    </row>
    <row r="828" spans="1:29">
      <c r="A828" s="461"/>
      <c r="B828" s="461"/>
      <c r="C828" s="461"/>
      <c r="D828" s="462"/>
      <c r="E828" s="461"/>
      <c r="F828" s="461"/>
      <c r="G828" s="461"/>
      <c r="H828" s="461"/>
      <c r="I828" s="461"/>
      <c r="J828" s="461"/>
      <c r="K828" s="461"/>
      <c r="L828" s="461"/>
      <c r="M828" s="461"/>
      <c r="N828" s="461"/>
      <c r="O828" s="461"/>
      <c r="P828" s="461"/>
      <c r="Q828" s="461"/>
      <c r="R828" s="463"/>
      <c r="S828" s="461"/>
      <c r="T828" s="463"/>
      <c r="U828" s="461"/>
      <c r="V828" s="463"/>
      <c r="W828" s="461"/>
      <c r="AC828" s="461"/>
    </row>
    <row r="829" spans="1:29">
      <c r="A829" s="461"/>
      <c r="B829" s="461"/>
      <c r="C829" s="461"/>
      <c r="D829" s="462"/>
      <c r="E829" s="461"/>
      <c r="F829" s="461"/>
      <c r="G829" s="461"/>
      <c r="H829" s="461"/>
      <c r="I829" s="461"/>
      <c r="J829" s="461"/>
      <c r="K829" s="461"/>
      <c r="L829" s="461"/>
      <c r="M829" s="461"/>
      <c r="N829" s="461"/>
      <c r="O829" s="461"/>
      <c r="P829" s="461"/>
      <c r="Q829" s="461"/>
      <c r="R829" s="463"/>
      <c r="S829" s="461"/>
      <c r="T829" s="463"/>
      <c r="U829" s="461"/>
      <c r="V829" s="463"/>
      <c r="W829" s="461"/>
      <c r="AC829" s="461"/>
    </row>
    <row r="830" spans="1:29">
      <c r="A830" s="461"/>
      <c r="B830" s="461"/>
      <c r="C830" s="461"/>
      <c r="D830" s="462"/>
      <c r="E830" s="461"/>
      <c r="F830" s="461"/>
      <c r="G830" s="461"/>
      <c r="H830" s="461"/>
      <c r="I830" s="461"/>
      <c r="J830" s="461"/>
      <c r="K830" s="461"/>
      <c r="L830" s="461"/>
      <c r="M830" s="461"/>
      <c r="N830" s="461"/>
      <c r="O830" s="461"/>
      <c r="P830" s="461"/>
      <c r="Q830" s="461"/>
      <c r="R830" s="463"/>
      <c r="S830" s="461"/>
      <c r="T830" s="463"/>
      <c r="U830" s="461"/>
      <c r="V830" s="463"/>
      <c r="W830" s="461"/>
      <c r="AC830" s="461"/>
    </row>
    <row r="831" spans="1:29">
      <c r="A831" s="461"/>
      <c r="B831" s="461"/>
      <c r="C831" s="461"/>
      <c r="D831" s="462"/>
      <c r="E831" s="461"/>
      <c r="F831" s="461"/>
      <c r="G831" s="461"/>
      <c r="H831" s="461"/>
      <c r="I831" s="461"/>
      <c r="J831" s="461"/>
      <c r="K831" s="461"/>
      <c r="L831" s="461"/>
      <c r="M831" s="461"/>
      <c r="N831" s="461"/>
      <c r="O831" s="461"/>
      <c r="P831" s="461"/>
      <c r="Q831" s="461"/>
      <c r="R831" s="463"/>
      <c r="S831" s="461"/>
      <c r="T831" s="463"/>
      <c r="U831" s="461"/>
      <c r="V831" s="463"/>
      <c r="W831" s="461"/>
      <c r="AC831" s="461"/>
    </row>
    <row r="832" spans="1:29">
      <c r="A832" s="461"/>
      <c r="B832" s="461"/>
      <c r="C832" s="461"/>
      <c r="D832" s="462"/>
      <c r="E832" s="461"/>
      <c r="F832" s="461"/>
      <c r="G832" s="461"/>
      <c r="H832" s="461"/>
      <c r="I832" s="461"/>
      <c r="J832" s="461"/>
      <c r="K832" s="461"/>
      <c r="L832" s="461"/>
      <c r="M832" s="461"/>
      <c r="N832" s="461"/>
      <c r="O832" s="461"/>
      <c r="P832" s="461"/>
      <c r="Q832" s="461"/>
      <c r="R832" s="463"/>
      <c r="S832" s="461"/>
      <c r="T832" s="463"/>
      <c r="U832" s="461"/>
      <c r="V832" s="463"/>
      <c r="W832" s="461"/>
      <c r="AC832" s="461"/>
    </row>
    <row r="833" spans="1:29">
      <c r="A833" s="461"/>
      <c r="B833" s="461"/>
      <c r="C833" s="461"/>
      <c r="D833" s="462"/>
      <c r="E833" s="461"/>
      <c r="F833" s="461"/>
      <c r="G833" s="461"/>
      <c r="H833" s="461"/>
      <c r="I833" s="461"/>
      <c r="J833" s="461"/>
      <c r="K833" s="461"/>
      <c r="L833" s="461"/>
      <c r="M833" s="461"/>
      <c r="N833" s="461"/>
      <c r="O833" s="461"/>
      <c r="P833" s="461"/>
      <c r="Q833" s="461"/>
      <c r="R833" s="463"/>
      <c r="S833" s="461"/>
      <c r="T833" s="463"/>
      <c r="U833" s="461"/>
      <c r="V833" s="463"/>
      <c r="W833" s="461"/>
      <c r="AC833" s="461"/>
    </row>
    <row r="834" spans="1:29">
      <c r="A834" s="461"/>
      <c r="B834" s="461"/>
      <c r="C834" s="461"/>
      <c r="D834" s="462"/>
      <c r="E834" s="461"/>
      <c r="F834" s="461"/>
      <c r="G834" s="461"/>
      <c r="H834" s="461"/>
      <c r="I834" s="461"/>
      <c r="J834" s="461"/>
      <c r="K834" s="461"/>
      <c r="L834" s="461"/>
      <c r="M834" s="461"/>
      <c r="N834" s="461"/>
      <c r="O834" s="461"/>
      <c r="P834" s="461"/>
      <c r="Q834" s="461"/>
      <c r="R834" s="463"/>
      <c r="S834" s="461"/>
      <c r="T834" s="463"/>
      <c r="U834" s="461"/>
      <c r="V834" s="463"/>
      <c r="W834" s="461"/>
      <c r="AC834" s="461"/>
    </row>
    <row r="835" spans="1:29">
      <c r="A835" s="461"/>
      <c r="B835" s="461"/>
      <c r="C835" s="461"/>
      <c r="D835" s="462"/>
      <c r="E835" s="461"/>
      <c r="F835" s="461"/>
      <c r="G835" s="461"/>
      <c r="H835" s="461"/>
      <c r="I835" s="461"/>
      <c r="J835" s="461"/>
      <c r="K835" s="461"/>
      <c r="L835" s="461"/>
      <c r="M835" s="461"/>
      <c r="N835" s="461"/>
      <c r="O835" s="461"/>
      <c r="P835" s="461"/>
      <c r="Q835" s="461"/>
      <c r="R835" s="463"/>
      <c r="S835" s="461"/>
      <c r="T835" s="463"/>
      <c r="U835" s="461"/>
      <c r="V835" s="463"/>
      <c r="W835" s="461"/>
      <c r="AC835" s="461"/>
    </row>
    <row r="836" spans="1:29">
      <c r="A836" s="461"/>
      <c r="B836" s="461"/>
      <c r="C836" s="461"/>
      <c r="D836" s="462"/>
      <c r="E836" s="461"/>
      <c r="F836" s="461"/>
      <c r="G836" s="461"/>
      <c r="H836" s="461"/>
      <c r="I836" s="461"/>
      <c r="J836" s="461"/>
      <c r="K836" s="461"/>
      <c r="L836" s="461"/>
      <c r="M836" s="461"/>
      <c r="N836" s="461"/>
      <c r="O836" s="461"/>
      <c r="P836" s="461"/>
      <c r="Q836" s="461"/>
      <c r="R836" s="463"/>
      <c r="S836" s="461"/>
      <c r="T836" s="463"/>
      <c r="U836" s="461"/>
      <c r="V836" s="463"/>
      <c r="W836" s="461"/>
      <c r="AC836" s="461"/>
    </row>
    <row r="837" spans="1:29">
      <c r="A837" s="461"/>
      <c r="B837" s="461"/>
      <c r="C837" s="461"/>
      <c r="D837" s="462"/>
      <c r="E837" s="461"/>
      <c r="F837" s="461"/>
      <c r="G837" s="461"/>
      <c r="H837" s="461"/>
      <c r="I837" s="461"/>
      <c r="J837" s="461"/>
      <c r="K837" s="461"/>
      <c r="L837" s="461"/>
      <c r="M837" s="461"/>
      <c r="N837" s="461"/>
      <c r="O837" s="461"/>
      <c r="P837" s="461"/>
      <c r="Q837" s="461"/>
      <c r="R837" s="463"/>
      <c r="S837" s="461"/>
      <c r="T837" s="463"/>
      <c r="U837" s="461"/>
      <c r="V837" s="463"/>
      <c r="W837" s="461"/>
      <c r="AC837" s="461"/>
    </row>
    <row r="838" spans="1:29">
      <c r="A838" s="461"/>
      <c r="B838" s="461"/>
      <c r="C838" s="461"/>
      <c r="D838" s="462"/>
      <c r="E838" s="461"/>
      <c r="F838" s="461"/>
      <c r="G838" s="461"/>
      <c r="H838" s="461"/>
      <c r="I838" s="461"/>
      <c r="J838" s="461"/>
      <c r="K838" s="461"/>
      <c r="L838" s="461"/>
      <c r="M838" s="461"/>
      <c r="N838" s="461"/>
      <c r="O838" s="461"/>
      <c r="P838" s="461"/>
      <c r="Q838" s="461"/>
      <c r="R838" s="463"/>
      <c r="S838" s="461"/>
      <c r="T838" s="463"/>
      <c r="U838" s="461"/>
      <c r="V838" s="463"/>
      <c r="W838" s="461"/>
      <c r="AC838" s="461"/>
    </row>
    <row r="839" spans="1:29">
      <c r="A839" s="461"/>
      <c r="B839" s="461"/>
      <c r="C839" s="461"/>
      <c r="D839" s="462"/>
      <c r="E839" s="461"/>
      <c r="F839" s="461"/>
      <c r="G839" s="461"/>
      <c r="H839" s="461"/>
      <c r="I839" s="461"/>
      <c r="J839" s="461"/>
      <c r="K839" s="461"/>
      <c r="L839" s="461"/>
      <c r="M839" s="461"/>
      <c r="N839" s="461"/>
      <c r="O839" s="461"/>
      <c r="P839" s="461"/>
      <c r="Q839" s="461"/>
      <c r="R839" s="463"/>
      <c r="S839" s="461"/>
      <c r="T839" s="463"/>
      <c r="U839" s="461"/>
      <c r="V839" s="463"/>
      <c r="W839" s="461"/>
      <c r="AC839" s="461"/>
    </row>
    <row r="840" spans="1:29">
      <c r="A840" s="461"/>
      <c r="B840" s="461"/>
      <c r="C840" s="461"/>
      <c r="D840" s="462"/>
      <c r="E840" s="461"/>
      <c r="F840" s="461"/>
      <c r="G840" s="461"/>
      <c r="H840" s="461"/>
      <c r="I840" s="461"/>
      <c r="J840" s="461"/>
      <c r="K840" s="461"/>
      <c r="L840" s="461"/>
      <c r="M840" s="461"/>
      <c r="N840" s="461"/>
      <c r="O840" s="461"/>
      <c r="P840" s="461"/>
      <c r="Q840" s="461"/>
      <c r="R840" s="463"/>
      <c r="S840" s="461"/>
      <c r="T840" s="463"/>
      <c r="U840" s="461"/>
      <c r="V840" s="463"/>
      <c r="W840" s="461"/>
      <c r="AC840" s="461"/>
    </row>
    <row r="841" spans="1:29">
      <c r="A841" s="461"/>
      <c r="B841" s="461"/>
      <c r="C841" s="461"/>
      <c r="D841" s="462"/>
      <c r="E841" s="461"/>
      <c r="F841" s="461"/>
      <c r="G841" s="461"/>
      <c r="H841" s="461"/>
      <c r="I841" s="461"/>
      <c r="J841" s="461"/>
      <c r="K841" s="461"/>
      <c r="L841" s="461"/>
      <c r="M841" s="461"/>
      <c r="N841" s="461"/>
      <c r="O841" s="461"/>
      <c r="P841" s="461"/>
      <c r="Q841" s="461"/>
      <c r="R841" s="463"/>
      <c r="S841" s="461"/>
      <c r="T841" s="463"/>
      <c r="U841" s="461"/>
      <c r="V841" s="463"/>
      <c r="W841" s="461"/>
      <c r="AC841" s="461"/>
    </row>
    <row r="842" spans="1:29">
      <c r="A842" s="461"/>
      <c r="B842" s="461"/>
      <c r="C842" s="461"/>
      <c r="D842" s="462"/>
      <c r="E842" s="461"/>
      <c r="F842" s="461"/>
      <c r="G842" s="461"/>
      <c r="H842" s="461"/>
      <c r="I842" s="461"/>
      <c r="J842" s="461"/>
      <c r="K842" s="461"/>
      <c r="L842" s="461"/>
      <c r="M842" s="461"/>
      <c r="N842" s="461"/>
      <c r="O842" s="461"/>
      <c r="P842" s="461"/>
      <c r="Q842" s="461"/>
      <c r="R842" s="463"/>
      <c r="S842" s="461"/>
      <c r="T842" s="463"/>
      <c r="U842" s="461"/>
      <c r="V842" s="463"/>
      <c r="W842" s="461"/>
      <c r="AC842" s="461"/>
    </row>
    <row r="843" spans="1:29">
      <c r="A843" s="461"/>
      <c r="B843" s="461"/>
      <c r="C843" s="461"/>
      <c r="D843" s="462"/>
      <c r="E843" s="461"/>
      <c r="F843" s="461"/>
      <c r="G843" s="461"/>
      <c r="H843" s="461"/>
      <c r="I843" s="461"/>
      <c r="J843" s="461"/>
      <c r="K843" s="461"/>
      <c r="L843" s="461"/>
      <c r="M843" s="461"/>
      <c r="N843" s="461"/>
      <c r="O843" s="461"/>
      <c r="P843" s="461"/>
      <c r="Q843" s="461"/>
      <c r="R843" s="463"/>
      <c r="S843" s="461"/>
      <c r="T843" s="463"/>
      <c r="U843" s="461"/>
      <c r="V843" s="463"/>
      <c r="W843" s="461"/>
      <c r="AC843" s="461"/>
    </row>
    <row r="844" spans="1:29">
      <c r="A844" s="461"/>
      <c r="B844" s="461"/>
      <c r="C844" s="461"/>
      <c r="D844" s="462"/>
      <c r="E844" s="461"/>
      <c r="F844" s="461"/>
      <c r="G844" s="461"/>
      <c r="H844" s="461"/>
      <c r="I844" s="461"/>
      <c r="J844" s="461"/>
      <c r="K844" s="461"/>
      <c r="L844" s="461"/>
      <c r="M844" s="461"/>
      <c r="N844" s="461"/>
      <c r="O844" s="461"/>
      <c r="P844" s="461"/>
      <c r="Q844" s="461"/>
      <c r="R844" s="463"/>
      <c r="S844" s="461"/>
      <c r="T844" s="463"/>
      <c r="U844" s="461"/>
      <c r="V844" s="463"/>
      <c r="W844" s="461"/>
      <c r="AC844" s="461"/>
    </row>
    <row r="845" spans="1:29">
      <c r="A845" s="461"/>
      <c r="B845" s="461"/>
      <c r="C845" s="461"/>
      <c r="D845" s="462"/>
      <c r="E845" s="461"/>
      <c r="F845" s="461"/>
      <c r="G845" s="461"/>
      <c r="H845" s="461"/>
      <c r="I845" s="461"/>
      <c r="J845" s="461"/>
      <c r="K845" s="461"/>
      <c r="L845" s="461"/>
      <c r="M845" s="461"/>
      <c r="N845" s="461"/>
      <c r="O845" s="461"/>
      <c r="P845" s="461"/>
      <c r="Q845" s="461"/>
      <c r="R845" s="463"/>
      <c r="S845" s="461"/>
      <c r="T845" s="463"/>
      <c r="U845" s="461"/>
      <c r="V845" s="463"/>
      <c r="W845" s="461"/>
      <c r="AC845" s="461"/>
    </row>
    <row r="846" spans="1:29">
      <c r="A846" s="461"/>
      <c r="B846" s="461"/>
      <c r="C846" s="461"/>
      <c r="D846" s="462"/>
      <c r="E846" s="461"/>
      <c r="F846" s="461"/>
      <c r="G846" s="461"/>
      <c r="H846" s="461"/>
      <c r="I846" s="461"/>
      <c r="J846" s="461"/>
      <c r="K846" s="461"/>
      <c r="L846" s="461"/>
      <c r="M846" s="461"/>
      <c r="N846" s="461"/>
      <c r="O846" s="461"/>
      <c r="P846" s="461"/>
      <c r="Q846" s="461"/>
      <c r="R846" s="463"/>
      <c r="S846" s="461"/>
      <c r="T846" s="463"/>
      <c r="U846" s="461"/>
      <c r="V846" s="463"/>
      <c r="W846" s="461"/>
      <c r="AC846" s="461"/>
    </row>
    <row r="847" spans="1:29">
      <c r="A847" s="461"/>
      <c r="B847" s="461"/>
      <c r="C847" s="461"/>
      <c r="D847" s="462"/>
      <c r="E847" s="461"/>
      <c r="F847" s="461"/>
      <c r="G847" s="461"/>
      <c r="H847" s="461"/>
      <c r="I847" s="461"/>
      <c r="J847" s="461"/>
      <c r="K847" s="461"/>
      <c r="L847" s="461"/>
      <c r="M847" s="461"/>
      <c r="N847" s="461"/>
      <c r="O847" s="461"/>
      <c r="P847" s="461"/>
      <c r="Q847" s="461"/>
      <c r="R847" s="463"/>
      <c r="S847" s="461"/>
      <c r="T847" s="463"/>
      <c r="U847" s="461"/>
      <c r="V847" s="463"/>
      <c r="W847" s="461"/>
      <c r="AC847" s="461"/>
    </row>
    <row r="848" spans="1:29">
      <c r="A848" s="461"/>
      <c r="B848" s="461"/>
      <c r="C848" s="461"/>
      <c r="D848" s="462"/>
      <c r="E848" s="461"/>
      <c r="F848" s="461"/>
      <c r="G848" s="461"/>
      <c r="H848" s="461"/>
      <c r="I848" s="461"/>
      <c r="J848" s="461"/>
      <c r="K848" s="461"/>
      <c r="L848" s="461"/>
      <c r="M848" s="461"/>
      <c r="N848" s="461"/>
      <c r="O848" s="461"/>
      <c r="P848" s="461"/>
      <c r="Q848" s="461"/>
      <c r="R848" s="463"/>
      <c r="S848" s="461"/>
      <c r="T848" s="463"/>
      <c r="U848" s="461"/>
      <c r="V848" s="463"/>
      <c r="W848" s="461"/>
      <c r="AC848" s="461"/>
    </row>
    <row r="849" spans="1:29">
      <c r="A849" s="461"/>
      <c r="B849" s="461"/>
      <c r="C849" s="461"/>
      <c r="D849" s="462"/>
      <c r="E849" s="461"/>
      <c r="F849" s="461"/>
      <c r="G849" s="461"/>
      <c r="H849" s="461"/>
      <c r="I849" s="461"/>
      <c r="J849" s="461"/>
      <c r="K849" s="461"/>
      <c r="L849" s="461"/>
      <c r="M849" s="461"/>
      <c r="N849" s="461"/>
      <c r="O849" s="461"/>
      <c r="P849" s="461"/>
      <c r="Q849" s="461"/>
      <c r="R849" s="463"/>
      <c r="S849" s="461"/>
      <c r="T849" s="463"/>
      <c r="U849" s="461"/>
      <c r="V849" s="463"/>
      <c r="W849" s="461"/>
      <c r="AC849" s="461"/>
    </row>
    <row r="850" spans="1:29">
      <c r="A850" s="461"/>
      <c r="B850" s="461"/>
      <c r="C850" s="461"/>
      <c r="D850" s="462"/>
      <c r="E850" s="461"/>
      <c r="F850" s="461"/>
      <c r="G850" s="461"/>
      <c r="H850" s="461"/>
      <c r="I850" s="461"/>
      <c r="J850" s="461"/>
      <c r="K850" s="461"/>
      <c r="L850" s="461"/>
      <c r="M850" s="461"/>
      <c r="N850" s="461"/>
      <c r="O850" s="461"/>
      <c r="P850" s="461"/>
      <c r="Q850" s="461"/>
      <c r="R850" s="463"/>
      <c r="S850" s="461"/>
      <c r="T850" s="463"/>
      <c r="U850" s="461"/>
      <c r="V850" s="463"/>
      <c r="W850" s="461"/>
      <c r="AC850" s="461"/>
    </row>
    <row r="851" spans="1:29">
      <c r="A851" s="461"/>
      <c r="B851" s="461"/>
      <c r="C851" s="461"/>
      <c r="D851" s="462"/>
      <c r="E851" s="461"/>
      <c r="F851" s="461"/>
      <c r="G851" s="461"/>
      <c r="H851" s="461"/>
      <c r="I851" s="461"/>
      <c r="J851" s="461"/>
      <c r="K851" s="461"/>
      <c r="L851" s="461"/>
      <c r="M851" s="461"/>
      <c r="N851" s="461"/>
      <c r="O851" s="461"/>
      <c r="P851" s="461"/>
      <c r="Q851" s="461"/>
      <c r="R851" s="463"/>
      <c r="S851" s="461"/>
      <c r="T851" s="463"/>
      <c r="U851" s="461"/>
      <c r="V851" s="463"/>
      <c r="W851" s="461"/>
      <c r="AC851" s="461"/>
    </row>
    <row r="852" spans="1:29">
      <c r="A852" s="461"/>
      <c r="B852" s="461"/>
      <c r="C852" s="461"/>
      <c r="D852" s="462"/>
      <c r="E852" s="461"/>
      <c r="F852" s="461"/>
      <c r="G852" s="461"/>
      <c r="H852" s="461"/>
      <c r="I852" s="461"/>
      <c r="J852" s="461"/>
      <c r="K852" s="461"/>
      <c r="L852" s="461"/>
      <c r="M852" s="461"/>
      <c r="N852" s="461"/>
      <c r="O852" s="461"/>
      <c r="P852" s="461"/>
      <c r="Q852" s="461"/>
      <c r="R852" s="463"/>
      <c r="S852" s="461"/>
      <c r="T852" s="463"/>
      <c r="U852" s="461"/>
      <c r="V852" s="463"/>
      <c r="W852" s="461"/>
      <c r="AC852" s="461"/>
    </row>
    <row r="853" spans="1:29">
      <c r="A853" s="461"/>
      <c r="B853" s="461"/>
      <c r="C853" s="461"/>
      <c r="D853" s="462"/>
      <c r="E853" s="461"/>
      <c r="F853" s="461"/>
      <c r="G853" s="461"/>
      <c r="H853" s="461"/>
      <c r="I853" s="461"/>
      <c r="J853" s="461"/>
      <c r="K853" s="461"/>
      <c r="L853" s="461"/>
      <c r="M853" s="461"/>
      <c r="N853" s="461"/>
      <c r="O853" s="461"/>
      <c r="P853" s="461"/>
      <c r="Q853" s="461"/>
      <c r="R853" s="463"/>
      <c r="S853" s="461"/>
      <c r="T853" s="463"/>
      <c r="U853" s="461"/>
      <c r="V853" s="463"/>
      <c r="W853" s="461"/>
      <c r="AC853" s="461"/>
    </row>
    <row r="854" spans="1:29">
      <c r="A854" s="461"/>
      <c r="B854" s="461"/>
      <c r="C854" s="461"/>
      <c r="D854" s="462"/>
      <c r="E854" s="461"/>
      <c r="F854" s="461"/>
      <c r="G854" s="461"/>
      <c r="H854" s="461"/>
      <c r="I854" s="461"/>
      <c r="J854" s="461"/>
      <c r="K854" s="461"/>
      <c r="L854" s="461"/>
      <c r="M854" s="461"/>
      <c r="N854" s="461"/>
      <c r="O854" s="461"/>
      <c r="P854" s="461"/>
      <c r="Q854" s="461"/>
      <c r="R854" s="463"/>
      <c r="S854" s="461"/>
      <c r="T854" s="463"/>
      <c r="U854" s="461"/>
      <c r="V854" s="463"/>
      <c r="W854" s="461"/>
      <c r="AC854" s="461"/>
    </row>
    <row r="855" spans="1:29">
      <c r="A855" s="461"/>
      <c r="B855" s="461"/>
      <c r="C855" s="461"/>
      <c r="D855" s="462"/>
      <c r="E855" s="461"/>
      <c r="F855" s="461"/>
      <c r="G855" s="461"/>
      <c r="H855" s="461"/>
      <c r="I855" s="461"/>
      <c r="J855" s="461"/>
      <c r="K855" s="461"/>
      <c r="L855" s="461"/>
      <c r="M855" s="461"/>
      <c r="N855" s="461"/>
      <c r="O855" s="461"/>
      <c r="P855" s="461"/>
      <c r="Q855" s="461"/>
      <c r="R855" s="463"/>
      <c r="S855" s="461"/>
      <c r="T855" s="463"/>
      <c r="U855" s="461"/>
      <c r="V855" s="463"/>
      <c r="W855" s="461"/>
      <c r="AC855" s="461"/>
    </row>
    <row r="856" spans="1:29">
      <c r="A856" s="461"/>
      <c r="B856" s="461"/>
      <c r="C856" s="461"/>
      <c r="D856" s="462"/>
      <c r="E856" s="461"/>
      <c r="F856" s="461"/>
      <c r="G856" s="461"/>
      <c r="H856" s="461"/>
      <c r="I856" s="461"/>
      <c r="J856" s="461"/>
      <c r="K856" s="461"/>
      <c r="L856" s="461"/>
      <c r="M856" s="461"/>
      <c r="N856" s="461"/>
      <c r="O856" s="461"/>
      <c r="P856" s="461"/>
      <c r="Q856" s="461"/>
      <c r="R856" s="463"/>
      <c r="S856" s="461"/>
      <c r="T856" s="463"/>
      <c r="U856" s="461"/>
      <c r="V856" s="463"/>
      <c r="W856" s="461"/>
      <c r="AC856" s="461"/>
    </row>
    <row r="857" spans="1:29">
      <c r="A857" s="461"/>
      <c r="B857" s="461"/>
      <c r="C857" s="461"/>
      <c r="D857" s="462"/>
      <c r="E857" s="461"/>
      <c r="F857" s="461"/>
      <c r="G857" s="461"/>
      <c r="H857" s="461"/>
      <c r="I857" s="461"/>
      <c r="J857" s="461"/>
      <c r="K857" s="461"/>
      <c r="L857" s="461"/>
      <c r="M857" s="461"/>
      <c r="N857" s="461"/>
      <c r="O857" s="461"/>
      <c r="P857" s="461"/>
      <c r="Q857" s="461"/>
      <c r="R857" s="463"/>
      <c r="S857" s="461"/>
      <c r="T857" s="463"/>
      <c r="U857" s="461"/>
      <c r="V857" s="463"/>
      <c r="W857" s="461"/>
      <c r="AC857" s="461"/>
    </row>
    <row r="858" spans="1:29">
      <c r="A858" s="461"/>
      <c r="B858" s="461"/>
      <c r="C858" s="461"/>
      <c r="D858" s="462"/>
      <c r="E858" s="461"/>
      <c r="F858" s="461"/>
      <c r="G858" s="461"/>
      <c r="H858" s="461"/>
      <c r="I858" s="461"/>
      <c r="J858" s="461"/>
      <c r="K858" s="461"/>
      <c r="L858" s="461"/>
      <c r="M858" s="461"/>
      <c r="N858" s="461"/>
      <c r="O858" s="461"/>
      <c r="P858" s="461"/>
      <c r="Q858" s="461"/>
      <c r="R858" s="463"/>
      <c r="S858" s="461"/>
      <c r="T858" s="463"/>
      <c r="U858" s="461"/>
      <c r="V858" s="463"/>
      <c r="W858" s="461"/>
      <c r="AC858" s="461"/>
    </row>
    <row r="859" spans="1:29">
      <c r="A859" s="461"/>
      <c r="B859" s="461"/>
      <c r="C859" s="461"/>
      <c r="D859" s="462"/>
      <c r="E859" s="461"/>
      <c r="F859" s="461"/>
      <c r="G859" s="461"/>
      <c r="H859" s="461"/>
      <c r="I859" s="461"/>
      <c r="J859" s="461"/>
      <c r="K859" s="461"/>
      <c r="L859" s="461"/>
      <c r="M859" s="461"/>
      <c r="N859" s="461"/>
      <c r="O859" s="461"/>
      <c r="P859" s="461"/>
      <c r="Q859" s="461"/>
      <c r="R859" s="463"/>
      <c r="S859" s="461"/>
      <c r="T859" s="463"/>
      <c r="U859" s="461"/>
      <c r="V859" s="463"/>
      <c r="W859" s="461"/>
      <c r="AC859" s="461"/>
    </row>
    <row r="860" spans="1:29">
      <c r="A860" s="461"/>
      <c r="B860" s="461"/>
      <c r="C860" s="461"/>
      <c r="D860" s="462"/>
      <c r="E860" s="461"/>
      <c r="F860" s="461"/>
      <c r="G860" s="461"/>
      <c r="H860" s="461"/>
      <c r="I860" s="461"/>
      <c r="J860" s="461"/>
      <c r="K860" s="461"/>
      <c r="L860" s="461"/>
      <c r="M860" s="461"/>
      <c r="N860" s="461"/>
      <c r="O860" s="461"/>
      <c r="P860" s="461"/>
      <c r="Q860" s="461"/>
      <c r="R860" s="463"/>
      <c r="S860" s="461"/>
      <c r="T860" s="463"/>
      <c r="U860" s="461"/>
      <c r="V860" s="463"/>
      <c r="W860" s="461"/>
      <c r="AC860" s="461"/>
    </row>
    <row r="861" spans="1:29">
      <c r="A861" s="461"/>
      <c r="B861" s="461"/>
      <c r="C861" s="461"/>
      <c r="D861" s="462"/>
      <c r="E861" s="461"/>
      <c r="F861" s="461"/>
      <c r="G861" s="461"/>
      <c r="H861" s="461"/>
      <c r="I861" s="461"/>
      <c r="J861" s="461"/>
      <c r="K861" s="461"/>
      <c r="L861" s="461"/>
      <c r="M861" s="461"/>
      <c r="N861" s="461"/>
      <c r="O861" s="461"/>
      <c r="P861" s="461"/>
      <c r="Q861" s="461"/>
      <c r="R861" s="463"/>
      <c r="S861" s="461"/>
      <c r="T861" s="463"/>
      <c r="U861" s="461"/>
      <c r="V861" s="463"/>
      <c r="W861" s="461"/>
      <c r="AC861" s="461"/>
    </row>
    <row r="862" spans="1:29">
      <c r="A862" s="461"/>
      <c r="B862" s="461"/>
      <c r="C862" s="461"/>
      <c r="D862" s="462"/>
      <c r="E862" s="461"/>
      <c r="F862" s="461"/>
      <c r="G862" s="461"/>
      <c r="H862" s="461"/>
      <c r="I862" s="461"/>
      <c r="J862" s="461"/>
      <c r="K862" s="461"/>
      <c r="L862" s="461"/>
      <c r="M862" s="461"/>
      <c r="N862" s="461"/>
      <c r="O862" s="461"/>
      <c r="P862" s="461"/>
      <c r="Q862" s="461"/>
      <c r="R862" s="463"/>
      <c r="S862" s="461"/>
      <c r="T862" s="463"/>
      <c r="U862" s="461"/>
      <c r="V862" s="463"/>
      <c r="W862" s="461"/>
      <c r="AC862" s="461"/>
    </row>
    <row r="863" spans="1:29">
      <c r="A863" s="461"/>
      <c r="B863" s="461"/>
      <c r="C863" s="461"/>
      <c r="D863" s="462"/>
      <c r="E863" s="461"/>
      <c r="F863" s="461"/>
      <c r="G863" s="461"/>
      <c r="H863" s="461"/>
      <c r="I863" s="461"/>
      <c r="J863" s="461"/>
      <c r="K863" s="461"/>
      <c r="L863" s="461"/>
      <c r="M863" s="461"/>
      <c r="N863" s="461"/>
      <c r="O863" s="461"/>
      <c r="P863" s="461"/>
      <c r="Q863" s="461"/>
      <c r="R863" s="463"/>
      <c r="S863" s="461"/>
      <c r="T863" s="463"/>
      <c r="U863" s="461"/>
      <c r="V863" s="463"/>
      <c r="W863" s="461"/>
      <c r="AC863" s="461"/>
    </row>
    <row r="864" spans="1:29">
      <c r="A864" s="461"/>
      <c r="B864" s="461"/>
      <c r="C864" s="461"/>
      <c r="D864" s="462"/>
      <c r="E864" s="461"/>
      <c r="F864" s="461"/>
      <c r="G864" s="461"/>
      <c r="H864" s="461"/>
      <c r="I864" s="461"/>
      <c r="J864" s="461"/>
      <c r="K864" s="461"/>
      <c r="L864" s="461"/>
      <c r="M864" s="461"/>
      <c r="N864" s="461"/>
      <c r="O864" s="461"/>
      <c r="P864" s="461"/>
      <c r="Q864" s="461"/>
      <c r="R864" s="463"/>
      <c r="S864" s="461"/>
      <c r="T864" s="463"/>
      <c r="U864" s="461"/>
      <c r="V864" s="463"/>
      <c r="W864" s="461"/>
      <c r="AC864" s="461"/>
    </row>
    <row r="865" spans="1:29">
      <c r="A865" s="461"/>
      <c r="B865" s="461"/>
      <c r="C865" s="461"/>
      <c r="D865" s="462"/>
      <c r="E865" s="461"/>
      <c r="F865" s="461"/>
      <c r="G865" s="461"/>
      <c r="H865" s="461"/>
      <c r="I865" s="461"/>
      <c r="J865" s="461"/>
      <c r="K865" s="461"/>
      <c r="L865" s="461"/>
      <c r="M865" s="461"/>
      <c r="N865" s="461"/>
      <c r="O865" s="461"/>
      <c r="P865" s="461"/>
      <c r="Q865" s="461"/>
      <c r="R865" s="463"/>
      <c r="S865" s="461"/>
      <c r="T865" s="463"/>
      <c r="U865" s="461"/>
      <c r="V865" s="463"/>
      <c r="W865" s="461"/>
      <c r="AC865" s="461"/>
    </row>
    <row r="866" spans="1:29">
      <c r="A866" s="461"/>
      <c r="B866" s="461"/>
      <c r="C866" s="461"/>
      <c r="D866" s="462"/>
      <c r="E866" s="461"/>
      <c r="F866" s="461"/>
      <c r="G866" s="461"/>
      <c r="H866" s="461"/>
      <c r="I866" s="461"/>
      <c r="J866" s="461"/>
      <c r="K866" s="461"/>
      <c r="L866" s="461"/>
      <c r="M866" s="461"/>
      <c r="N866" s="461"/>
      <c r="O866" s="461"/>
      <c r="P866" s="461"/>
      <c r="Q866" s="461"/>
      <c r="R866" s="463"/>
      <c r="S866" s="461"/>
      <c r="T866" s="463"/>
      <c r="U866" s="461"/>
      <c r="V866" s="463"/>
      <c r="W866" s="461"/>
      <c r="AC866" s="461"/>
    </row>
    <row r="867" spans="1:29">
      <c r="A867" s="461"/>
      <c r="B867" s="461"/>
      <c r="C867" s="461"/>
      <c r="D867" s="462"/>
      <c r="E867" s="461"/>
      <c r="F867" s="461"/>
      <c r="G867" s="461"/>
      <c r="H867" s="461"/>
      <c r="I867" s="461"/>
      <c r="J867" s="461"/>
      <c r="K867" s="461"/>
      <c r="L867" s="461"/>
      <c r="M867" s="461"/>
      <c r="N867" s="461"/>
      <c r="O867" s="461"/>
      <c r="P867" s="461"/>
      <c r="Q867" s="461"/>
      <c r="R867" s="463"/>
      <c r="S867" s="461"/>
      <c r="T867" s="463"/>
      <c r="U867" s="461"/>
      <c r="V867" s="463"/>
      <c r="W867" s="461"/>
      <c r="AC867" s="461"/>
    </row>
    <row r="868" spans="1:29">
      <c r="A868" s="461"/>
      <c r="B868" s="461"/>
      <c r="C868" s="461"/>
      <c r="D868" s="462"/>
      <c r="E868" s="461"/>
      <c r="F868" s="461"/>
      <c r="G868" s="461"/>
      <c r="H868" s="461"/>
      <c r="I868" s="461"/>
      <c r="J868" s="461"/>
      <c r="K868" s="461"/>
      <c r="L868" s="461"/>
      <c r="M868" s="461"/>
      <c r="N868" s="461"/>
      <c r="O868" s="461"/>
      <c r="P868" s="461"/>
      <c r="Q868" s="461"/>
      <c r="R868" s="463"/>
      <c r="S868" s="461"/>
      <c r="T868" s="463"/>
      <c r="U868" s="461"/>
      <c r="V868" s="463"/>
      <c r="W868" s="461"/>
      <c r="AC868" s="461"/>
    </row>
    <row r="869" spans="1:29">
      <c r="A869" s="461"/>
      <c r="B869" s="461"/>
      <c r="C869" s="461"/>
      <c r="D869" s="462"/>
      <c r="E869" s="461"/>
      <c r="F869" s="461"/>
      <c r="G869" s="461"/>
      <c r="H869" s="461"/>
      <c r="I869" s="461"/>
      <c r="J869" s="461"/>
      <c r="K869" s="461"/>
      <c r="L869" s="461"/>
      <c r="M869" s="461"/>
      <c r="N869" s="461"/>
      <c r="O869" s="461"/>
      <c r="P869" s="461"/>
      <c r="Q869" s="461"/>
      <c r="R869" s="463"/>
      <c r="S869" s="461"/>
      <c r="T869" s="463"/>
      <c r="U869" s="461"/>
      <c r="V869" s="463"/>
      <c r="W869" s="461"/>
      <c r="AC869" s="461"/>
    </row>
    <row r="870" spans="1:29">
      <c r="A870" s="461"/>
      <c r="B870" s="461"/>
      <c r="C870" s="461"/>
      <c r="D870" s="462"/>
      <c r="E870" s="461"/>
      <c r="F870" s="461"/>
      <c r="G870" s="461"/>
      <c r="H870" s="461"/>
      <c r="I870" s="461"/>
      <c r="J870" s="461"/>
      <c r="K870" s="461"/>
      <c r="L870" s="461"/>
      <c r="M870" s="461"/>
      <c r="N870" s="461"/>
      <c r="O870" s="461"/>
      <c r="P870" s="461"/>
      <c r="Q870" s="461"/>
      <c r="R870" s="463"/>
      <c r="S870" s="461"/>
      <c r="T870" s="463"/>
      <c r="U870" s="461"/>
      <c r="V870" s="463"/>
      <c r="W870" s="461"/>
      <c r="AC870" s="461"/>
    </row>
    <row r="871" spans="1:29">
      <c r="A871" s="461"/>
      <c r="B871" s="461"/>
      <c r="C871" s="461"/>
      <c r="D871" s="462"/>
      <c r="E871" s="461"/>
      <c r="F871" s="461"/>
      <c r="G871" s="461"/>
      <c r="H871" s="461"/>
      <c r="I871" s="461"/>
      <c r="J871" s="461"/>
      <c r="K871" s="461"/>
      <c r="L871" s="461"/>
      <c r="M871" s="461"/>
      <c r="N871" s="461"/>
      <c r="O871" s="461"/>
      <c r="P871" s="461"/>
      <c r="Q871" s="461"/>
      <c r="R871" s="463"/>
      <c r="S871" s="461"/>
      <c r="T871" s="463"/>
      <c r="U871" s="461"/>
      <c r="V871" s="463"/>
      <c r="W871" s="461"/>
      <c r="AC871" s="461"/>
    </row>
    <row r="872" spans="1:29">
      <c r="A872" s="461"/>
      <c r="B872" s="461"/>
      <c r="C872" s="461"/>
      <c r="D872" s="462"/>
      <c r="E872" s="461"/>
      <c r="F872" s="461"/>
      <c r="G872" s="461"/>
      <c r="H872" s="461"/>
      <c r="I872" s="461"/>
      <c r="J872" s="461"/>
      <c r="K872" s="461"/>
      <c r="L872" s="461"/>
      <c r="M872" s="461"/>
      <c r="N872" s="461"/>
      <c r="O872" s="461"/>
      <c r="P872" s="461"/>
      <c r="Q872" s="461"/>
      <c r="R872" s="463"/>
      <c r="S872" s="461"/>
      <c r="T872" s="463"/>
      <c r="U872" s="461"/>
      <c r="V872" s="463"/>
      <c r="W872" s="461"/>
      <c r="AC872" s="461"/>
    </row>
    <row r="873" spans="1:29">
      <c r="A873" s="461"/>
      <c r="B873" s="461"/>
      <c r="C873" s="461"/>
      <c r="D873" s="462"/>
      <c r="E873" s="461"/>
      <c r="F873" s="461"/>
      <c r="G873" s="461"/>
      <c r="H873" s="461"/>
      <c r="I873" s="461"/>
      <c r="J873" s="461"/>
      <c r="K873" s="461"/>
      <c r="L873" s="461"/>
      <c r="M873" s="461"/>
      <c r="N873" s="461"/>
      <c r="O873" s="461"/>
      <c r="P873" s="461"/>
      <c r="Q873" s="461"/>
      <c r="R873" s="463"/>
      <c r="S873" s="461"/>
      <c r="T873" s="463"/>
      <c r="U873" s="461"/>
      <c r="V873" s="463"/>
      <c r="W873" s="461"/>
      <c r="AC873" s="461"/>
    </row>
    <row r="874" spans="1:29">
      <c r="A874" s="461"/>
      <c r="B874" s="461"/>
      <c r="C874" s="461"/>
      <c r="D874" s="462"/>
      <c r="E874" s="461"/>
      <c r="F874" s="461"/>
      <c r="G874" s="461"/>
      <c r="H874" s="461"/>
      <c r="I874" s="461"/>
      <c r="J874" s="461"/>
      <c r="K874" s="461"/>
      <c r="L874" s="461"/>
      <c r="M874" s="461"/>
      <c r="N874" s="461"/>
      <c r="O874" s="461"/>
      <c r="P874" s="461"/>
      <c r="Q874" s="461"/>
      <c r="R874" s="463"/>
      <c r="S874" s="461"/>
      <c r="T874" s="463"/>
      <c r="U874" s="461"/>
      <c r="V874" s="463"/>
      <c r="W874" s="461"/>
      <c r="AC874" s="461"/>
    </row>
    <row r="875" spans="1:29">
      <c r="A875" s="461"/>
      <c r="B875" s="461"/>
      <c r="C875" s="461"/>
      <c r="D875" s="462"/>
      <c r="E875" s="461"/>
      <c r="F875" s="461"/>
      <c r="G875" s="461"/>
      <c r="H875" s="461"/>
      <c r="I875" s="461"/>
      <c r="J875" s="461"/>
      <c r="K875" s="461"/>
      <c r="L875" s="461"/>
      <c r="M875" s="461"/>
      <c r="N875" s="461"/>
      <c r="O875" s="461"/>
      <c r="P875" s="461"/>
      <c r="Q875" s="461"/>
      <c r="R875" s="463"/>
      <c r="S875" s="461"/>
      <c r="T875" s="463"/>
      <c r="U875" s="461"/>
      <c r="V875" s="463"/>
      <c r="W875" s="461"/>
      <c r="AC875" s="461"/>
    </row>
    <row r="876" spans="1:29">
      <c r="A876" s="461"/>
      <c r="B876" s="461"/>
      <c r="C876" s="461"/>
      <c r="D876" s="462"/>
      <c r="E876" s="461"/>
      <c r="F876" s="461"/>
      <c r="G876" s="461"/>
      <c r="H876" s="461"/>
      <c r="I876" s="461"/>
      <c r="J876" s="461"/>
      <c r="K876" s="461"/>
      <c r="L876" s="461"/>
      <c r="M876" s="461"/>
      <c r="N876" s="461"/>
      <c r="O876" s="461"/>
      <c r="P876" s="461"/>
      <c r="Q876" s="461"/>
      <c r="R876" s="463"/>
      <c r="S876" s="461"/>
      <c r="T876" s="463"/>
      <c r="U876" s="461"/>
      <c r="V876" s="463"/>
      <c r="W876" s="461"/>
      <c r="AC876" s="461"/>
    </row>
    <row r="877" spans="1:29">
      <c r="A877" s="461"/>
      <c r="B877" s="461"/>
      <c r="C877" s="461"/>
      <c r="D877" s="462"/>
      <c r="E877" s="461"/>
      <c r="F877" s="461"/>
      <c r="G877" s="461"/>
      <c r="H877" s="461"/>
      <c r="I877" s="461"/>
      <c r="J877" s="461"/>
      <c r="K877" s="461"/>
      <c r="L877" s="461"/>
      <c r="M877" s="461"/>
      <c r="N877" s="461"/>
      <c r="O877" s="461"/>
      <c r="P877" s="461"/>
      <c r="Q877" s="461"/>
      <c r="R877" s="463"/>
      <c r="S877" s="461"/>
      <c r="T877" s="463"/>
      <c r="U877" s="461"/>
      <c r="V877" s="463"/>
      <c r="W877" s="461"/>
      <c r="AC877" s="461"/>
    </row>
    <row r="878" spans="1:29">
      <c r="A878" s="461"/>
      <c r="B878" s="461"/>
      <c r="C878" s="461"/>
      <c r="D878" s="462"/>
      <c r="E878" s="461"/>
      <c r="F878" s="461"/>
      <c r="G878" s="461"/>
      <c r="H878" s="461"/>
      <c r="I878" s="461"/>
      <c r="J878" s="461"/>
      <c r="K878" s="461"/>
      <c r="L878" s="461"/>
      <c r="M878" s="461"/>
      <c r="N878" s="461"/>
      <c r="O878" s="461"/>
      <c r="P878" s="461"/>
      <c r="Q878" s="461"/>
      <c r="R878" s="463"/>
      <c r="S878" s="461"/>
      <c r="T878" s="463"/>
      <c r="U878" s="461"/>
      <c r="V878" s="463"/>
      <c r="W878" s="461"/>
      <c r="AC878" s="461"/>
    </row>
    <row r="879" spans="1:29">
      <c r="A879" s="461"/>
      <c r="B879" s="461"/>
      <c r="C879" s="461"/>
      <c r="D879" s="462"/>
      <c r="E879" s="461"/>
      <c r="F879" s="461"/>
      <c r="G879" s="461"/>
      <c r="H879" s="461"/>
      <c r="I879" s="461"/>
      <c r="J879" s="461"/>
      <c r="K879" s="461"/>
      <c r="L879" s="461"/>
      <c r="M879" s="461"/>
      <c r="N879" s="461"/>
      <c r="O879" s="461"/>
      <c r="P879" s="461"/>
      <c r="Q879" s="461"/>
      <c r="R879" s="463"/>
      <c r="S879" s="461"/>
      <c r="T879" s="463"/>
      <c r="U879" s="461"/>
      <c r="V879" s="463"/>
      <c r="W879" s="461"/>
      <c r="AC879" s="461"/>
    </row>
    <row r="880" spans="1:29">
      <c r="A880" s="461"/>
      <c r="B880" s="461"/>
      <c r="C880" s="461"/>
      <c r="D880" s="462"/>
      <c r="E880" s="461"/>
      <c r="F880" s="461"/>
      <c r="G880" s="461"/>
      <c r="H880" s="461"/>
      <c r="I880" s="461"/>
      <c r="J880" s="461"/>
      <c r="K880" s="461"/>
      <c r="L880" s="461"/>
      <c r="M880" s="461"/>
      <c r="N880" s="461"/>
      <c r="O880" s="461"/>
      <c r="P880" s="461"/>
      <c r="Q880" s="461"/>
      <c r="R880" s="463"/>
      <c r="S880" s="461"/>
      <c r="T880" s="463"/>
      <c r="U880" s="461"/>
      <c r="V880" s="463"/>
      <c r="W880" s="461"/>
      <c r="AC880" s="461"/>
    </row>
    <row r="881" spans="1:29">
      <c r="A881" s="461"/>
      <c r="B881" s="461"/>
      <c r="C881" s="461"/>
      <c r="D881" s="462"/>
      <c r="E881" s="461"/>
      <c r="F881" s="461"/>
      <c r="G881" s="461"/>
      <c r="H881" s="461"/>
      <c r="I881" s="461"/>
      <c r="J881" s="461"/>
      <c r="K881" s="461"/>
      <c r="L881" s="461"/>
      <c r="M881" s="461"/>
      <c r="N881" s="461"/>
      <c r="O881" s="461"/>
      <c r="P881" s="461"/>
      <c r="Q881" s="461"/>
      <c r="R881" s="463"/>
      <c r="S881" s="461"/>
      <c r="T881" s="463"/>
      <c r="U881" s="461"/>
      <c r="V881" s="463"/>
      <c r="W881" s="461"/>
      <c r="AC881" s="461"/>
    </row>
    <row r="882" spans="1:29">
      <c r="A882" s="461"/>
      <c r="B882" s="461"/>
      <c r="C882" s="461"/>
      <c r="D882" s="462"/>
      <c r="E882" s="461"/>
      <c r="F882" s="461"/>
      <c r="G882" s="461"/>
      <c r="H882" s="461"/>
      <c r="I882" s="461"/>
      <c r="J882" s="461"/>
      <c r="K882" s="461"/>
      <c r="L882" s="461"/>
      <c r="M882" s="461"/>
      <c r="N882" s="461"/>
      <c r="O882" s="461"/>
      <c r="P882" s="461"/>
      <c r="Q882" s="461"/>
      <c r="R882" s="463"/>
      <c r="S882" s="461"/>
      <c r="T882" s="463"/>
      <c r="U882" s="461"/>
      <c r="V882" s="463"/>
      <c r="W882" s="461"/>
      <c r="AC882" s="461"/>
    </row>
    <row r="883" spans="1:29">
      <c r="A883" s="461"/>
      <c r="B883" s="461"/>
      <c r="C883" s="461"/>
      <c r="D883" s="462"/>
      <c r="E883" s="461"/>
      <c r="F883" s="461"/>
      <c r="G883" s="461"/>
      <c r="H883" s="461"/>
      <c r="I883" s="461"/>
      <c r="J883" s="461"/>
      <c r="K883" s="461"/>
      <c r="L883" s="461"/>
      <c r="M883" s="461"/>
      <c r="N883" s="461"/>
      <c r="O883" s="461"/>
      <c r="P883" s="461"/>
      <c r="Q883" s="461"/>
      <c r="R883" s="463"/>
      <c r="S883" s="461"/>
      <c r="T883" s="463"/>
      <c r="U883" s="461"/>
      <c r="V883" s="463"/>
      <c r="W883" s="461"/>
      <c r="AC883" s="461"/>
    </row>
    <row r="884" spans="1:29">
      <c r="A884" s="461"/>
      <c r="B884" s="461"/>
      <c r="C884" s="461"/>
      <c r="D884" s="462"/>
      <c r="E884" s="461"/>
      <c r="F884" s="461"/>
      <c r="G884" s="461"/>
      <c r="H884" s="461"/>
      <c r="I884" s="461"/>
      <c r="J884" s="461"/>
      <c r="K884" s="461"/>
      <c r="L884" s="461"/>
      <c r="M884" s="461"/>
      <c r="N884" s="461"/>
      <c r="O884" s="461"/>
      <c r="P884" s="461"/>
      <c r="Q884" s="461"/>
      <c r="R884" s="463"/>
      <c r="S884" s="461"/>
      <c r="T884" s="463"/>
      <c r="U884" s="461"/>
      <c r="V884" s="463"/>
      <c r="W884" s="461"/>
      <c r="AC884" s="461"/>
    </row>
    <row r="885" spans="1:29">
      <c r="A885" s="461"/>
      <c r="B885" s="461"/>
      <c r="C885" s="461"/>
      <c r="D885" s="462"/>
      <c r="E885" s="461"/>
      <c r="F885" s="461"/>
      <c r="G885" s="461"/>
      <c r="H885" s="461"/>
      <c r="I885" s="461"/>
      <c r="J885" s="461"/>
      <c r="K885" s="461"/>
      <c r="L885" s="461"/>
      <c r="M885" s="461"/>
      <c r="N885" s="461"/>
      <c r="O885" s="461"/>
      <c r="P885" s="461"/>
      <c r="Q885" s="461"/>
      <c r="R885" s="463"/>
      <c r="S885" s="461"/>
      <c r="T885" s="463"/>
      <c r="U885" s="461"/>
      <c r="V885" s="463"/>
      <c r="W885" s="461"/>
      <c r="AC885" s="461"/>
    </row>
    <row r="886" spans="1:29">
      <c r="A886" s="461"/>
      <c r="B886" s="461"/>
      <c r="C886" s="461"/>
      <c r="D886" s="462"/>
      <c r="E886" s="461"/>
      <c r="F886" s="461"/>
      <c r="G886" s="461"/>
      <c r="H886" s="461"/>
      <c r="I886" s="461"/>
      <c r="J886" s="461"/>
      <c r="K886" s="461"/>
      <c r="L886" s="461"/>
      <c r="M886" s="461"/>
      <c r="N886" s="461"/>
      <c r="O886" s="461"/>
      <c r="P886" s="461"/>
      <c r="Q886" s="461"/>
      <c r="R886" s="463"/>
      <c r="S886" s="461"/>
      <c r="T886" s="463"/>
      <c r="U886" s="461"/>
      <c r="V886" s="463"/>
      <c r="W886" s="461"/>
      <c r="AC886" s="461"/>
    </row>
    <row r="887" spans="1:29">
      <c r="A887" s="461"/>
      <c r="B887" s="461"/>
      <c r="C887" s="461"/>
      <c r="D887" s="462"/>
      <c r="E887" s="461"/>
      <c r="F887" s="461"/>
      <c r="G887" s="461"/>
      <c r="H887" s="461"/>
      <c r="I887" s="461"/>
      <c r="J887" s="461"/>
      <c r="K887" s="461"/>
      <c r="L887" s="461"/>
      <c r="M887" s="461"/>
      <c r="N887" s="461"/>
      <c r="O887" s="461"/>
      <c r="P887" s="461"/>
      <c r="Q887" s="461"/>
      <c r="R887" s="463"/>
      <c r="S887" s="461"/>
      <c r="T887" s="463"/>
      <c r="U887" s="461"/>
      <c r="V887" s="463"/>
      <c r="W887" s="461"/>
      <c r="AC887" s="461"/>
    </row>
    <row r="888" spans="1:29">
      <c r="A888" s="461"/>
      <c r="B888" s="461"/>
      <c r="C888" s="461"/>
      <c r="D888" s="462"/>
      <c r="E888" s="461"/>
      <c r="F888" s="461"/>
      <c r="G888" s="461"/>
      <c r="H888" s="461"/>
      <c r="I888" s="461"/>
      <c r="J888" s="461"/>
      <c r="K888" s="461"/>
      <c r="L888" s="461"/>
      <c r="M888" s="461"/>
      <c r="N888" s="461"/>
      <c r="O888" s="461"/>
      <c r="P888" s="461"/>
      <c r="Q888" s="461"/>
      <c r="R888" s="463"/>
      <c r="S888" s="461"/>
      <c r="T888" s="463"/>
      <c r="U888" s="461"/>
      <c r="V888" s="463"/>
      <c r="W888" s="461"/>
      <c r="AC888" s="461"/>
    </row>
    <row r="889" spans="1:29">
      <c r="A889" s="461"/>
      <c r="B889" s="461"/>
      <c r="C889" s="461"/>
      <c r="D889" s="462"/>
      <c r="E889" s="461"/>
      <c r="F889" s="461"/>
      <c r="G889" s="461"/>
      <c r="H889" s="461"/>
      <c r="I889" s="461"/>
      <c r="J889" s="461"/>
      <c r="K889" s="461"/>
      <c r="L889" s="461"/>
      <c r="M889" s="461"/>
      <c r="N889" s="461"/>
      <c r="O889" s="461"/>
      <c r="P889" s="461"/>
      <c r="Q889" s="461"/>
      <c r="R889" s="463"/>
      <c r="S889" s="461"/>
      <c r="T889" s="463"/>
      <c r="U889" s="461"/>
      <c r="V889" s="463"/>
      <c r="W889" s="461"/>
      <c r="AC889" s="461"/>
    </row>
    <row r="890" spans="1:29">
      <c r="A890" s="461"/>
      <c r="B890" s="461"/>
      <c r="C890" s="461"/>
      <c r="D890" s="462"/>
      <c r="E890" s="461"/>
      <c r="F890" s="461"/>
      <c r="G890" s="461"/>
      <c r="H890" s="461"/>
      <c r="I890" s="461"/>
      <c r="J890" s="461"/>
      <c r="K890" s="461"/>
      <c r="L890" s="461"/>
      <c r="M890" s="461"/>
      <c r="N890" s="461"/>
      <c r="O890" s="461"/>
      <c r="P890" s="461"/>
      <c r="Q890" s="461"/>
      <c r="R890" s="463"/>
      <c r="S890" s="461"/>
      <c r="T890" s="463"/>
      <c r="U890" s="461"/>
      <c r="V890" s="463"/>
      <c r="W890" s="461"/>
      <c r="AC890" s="461"/>
    </row>
    <row r="891" spans="1:29">
      <c r="A891" s="461"/>
      <c r="B891" s="461"/>
      <c r="C891" s="461"/>
      <c r="D891" s="462"/>
      <c r="E891" s="461"/>
      <c r="F891" s="461"/>
      <c r="G891" s="461"/>
      <c r="H891" s="461"/>
      <c r="I891" s="461"/>
      <c r="J891" s="461"/>
      <c r="K891" s="461"/>
      <c r="L891" s="461"/>
      <c r="M891" s="461"/>
      <c r="N891" s="461"/>
      <c r="O891" s="461"/>
      <c r="P891" s="461"/>
      <c r="Q891" s="461"/>
      <c r="R891" s="463"/>
      <c r="S891" s="461"/>
      <c r="T891" s="463"/>
      <c r="U891" s="461"/>
      <c r="V891" s="463"/>
      <c r="W891" s="461"/>
      <c r="AC891" s="461"/>
    </row>
    <row r="892" spans="1:29">
      <c r="A892" s="461"/>
      <c r="B892" s="461"/>
      <c r="C892" s="461"/>
      <c r="D892" s="462"/>
      <c r="E892" s="461"/>
      <c r="F892" s="461"/>
      <c r="G892" s="461"/>
      <c r="H892" s="461"/>
      <c r="I892" s="461"/>
      <c r="J892" s="461"/>
      <c r="K892" s="461"/>
      <c r="L892" s="461"/>
      <c r="M892" s="461"/>
      <c r="N892" s="461"/>
      <c r="O892" s="461"/>
      <c r="P892" s="461"/>
      <c r="Q892" s="461"/>
      <c r="R892" s="463"/>
      <c r="S892" s="461"/>
      <c r="T892" s="463"/>
      <c r="U892" s="461"/>
      <c r="V892" s="463"/>
      <c r="W892" s="461"/>
      <c r="AC892" s="461"/>
    </row>
    <row r="893" spans="1:29">
      <c r="A893" s="461"/>
      <c r="B893" s="461"/>
      <c r="C893" s="461"/>
      <c r="D893" s="462"/>
      <c r="E893" s="461"/>
      <c r="F893" s="461"/>
      <c r="G893" s="461"/>
      <c r="H893" s="461"/>
      <c r="I893" s="461"/>
      <c r="J893" s="461"/>
      <c r="K893" s="461"/>
      <c r="L893" s="461"/>
      <c r="M893" s="461"/>
      <c r="N893" s="461"/>
      <c r="O893" s="461"/>
      <c r="P893" s="461"/>
      <c r="Q893" s="461"/>
      <c r="R893" s="463"/>
      <c r="S893" s="461"/>
      <c r="T893" s="463"/>
      <c r="U893" s="461"/>
      <c r="V893" s="463"/>
      <c r="W893" s="461"/>
      <c r="AC893" s="461"/>
    </row>
    <row r="894" spans="1:29">
      <c r="A894" s="461"/>
      <c r="B894" s="461"/>
      <c r="C894" s="461"/>
      <c r="D894" s="462"/>
      <c r="E894" s="461"/>
      <c r="F894" s="461"/>
      <c r="G894" s="461"/>
      <c r="H894" s="461"/>
      <c r="I894" s="461"/>
      <c r="J894" s="461"/>
      <c r="K894" s="461"/>
      <c r="L894" s="461"/>
      <c r="M894" s="461"/>
      <c r="N894" s="461"/>
      <c r="O894" s="461"/>
      <c r="P894" s="461"/>
      <c r="Q894" s="461"/>
      <c r="R894" s="463"/>
      <c r="S894" s="461"/>
      <c r="T894" s="463"/>
      <c r="U894" s="461"/>
      <c r="V894" s="463"/>
      <c r="W894" s="461"/>
      <c r="AC894" s="461"/>
    </row>
    <row r="895" spans="1:29">
      <c r="A895" s="461"/>
      <c r="B895" s="461"/>
      <c r="C895" s="461"/>
      <c r="D895" s="462"/>
      <c r="E895" s="461"/>
      <c r="F895" s="461"/>
      <c r="G895" s="461"/>
      <c r="H895" s="461"/>
      <c r="I895" s="461"/>
      <c r="J895" s="461"/>
      <c r="K895" s="461"/>
      <c r="L895" s="461"/>
      <c r="M895" s="461"/>
      <c r="N895" s="461"/>
      <c r="O895" s="461"/>
      <c r="P895" s="461"/>
      <c r="Q895" s="461"/>
      <c r="R895" s="463"/>
      <c r="S895" s="461"/>
      <c r="T895" s="463"/>
      <c r="U895" s="461"/>
      <c r="V895" s="463"/>
      <c r="W895" s="461"/>
      <c r="AC895" s="461"/>
    </row>
    <row r="896" spans="1:29">
      <c r="A896" s="461"/>
      <c r="B896" s="461"/>
      <c r="C896" s="461"/>
      <c r="D896" s="462"/>
      <c r="E896" s="461"/>
      <c r="F896" s="461"/>
      <c r="G896" s="461"/>
      <c r="H896" s="461"/>
      <c r="I896" s="461"/>
      <c r="J896" s="461"/>
      <c r="K896" s="461"/>
      <c r="L896" s="461"/>
      <c r="M896" s="461"/>
      <c r="N896" s="461"/>
      <c r="O896" s="461"/>
      <c r="P896" s="461"/>
      <c r="Q896" s="461"/>
      <c r="R896" s="463"/>
      <c r="S896" s="461"/>
      <c r="T896" s="463"/>
      <c r="U896" s="461"/>
      <c r="V896" s="463"/>
      <c r="W896" s="461"/>
      <c r="AC896" s="461"/>
    </row>
    <row r="897" spans="1:29">
      <c r="A897" s="461"/>
      <c r="B897" s="461"/>
      <c r="C897" s="461"/>
      <c r="D897" s="462"/>
      <c r="E897" s="461"/>
      <c r="F897" s="461"/>
      <c r="G897" s="461"/>
      <c r="H897" s="461"/>
      <c r="I897" s="461"/>
      <c r="J897" s="461"/>
      <c r="K897" s="461"/>
      <c r="L897" s="461"/>
      <c r="M897" s="461"/>
      <c r="N897" s="461"/>
      <c r="O897" s="461"/>
      <c r="P897" s="461"/>
      <c r="Q897" s="461"/>
      <c r="R897" s="463"/>
      <c r="S897" s="461"/>
      <c r="T897" s="463"/>
      <c r="U897" s="461"/>
      <c r="V897" s="463"/>
      <c r="W897" s="461"/>
      <c r="AC897" s="461"/>
    </row>
    <row r="898" spans="1:29">
      <c r="A898" s="461"/>
      <c r="B898" s="461"/>
      <c r="C898" s="461"/>
      <c r="D898" s="462"/>
      <c r="E898" s="461"/>
      <c r="F898" s="461"/>
      <c r="G898" s="461"/>
      <c r="H898" s="461"/>
      <c r="I898" s="461"/>
      <c r="J898" s="461"/>
      <c r="K898" s="461"/>
      <c r="L898" s="461"/>
      <c r="M898" s="461"/>
      <c r="N898" s="461"/>
      <c r="O898" s="461"/>
      <c r="P898" s="461"/>
      <c r="Q898" s="461"/>
      <c r="R898" s="463"/>
      <c r="S898" s="461"/>
      <c r="T898" s="463"/>
      <c r="U898" s="461"/>
      <c r="V898" s="463"/>
      <c r="W898" s="461"/>
      <c r="AC898" s="461"/>
    </row>
    <row r="899" spans="1:29">
      <c r="A899" s="461"/>
      <c r="B899" s="461"/>
      <c r="C899" s="461"/>
      <c r="D899" s="462"/>
      <c r="E899" s="461"/>
      <c r="F899" s="461"/>
      <c r="G899" s="461"/>
      <c r="H899" s="461"/>
      <c r="I899" s="461"/>
      <c r="J899" s="461"/>
      <c r="K899" s="461"/>
      <c r="L899" s="461"/>
      <c r="M899" s="461"/>
      <c r="N899" s="461"/>
      <c r="O899" s="461"/>
      <c r="P899" s="461"/>
      <c r="Q899" s="461"/>
      <c r="R899" s="463"/>
      <c r="S899" s="461"/>
      <c r="T899" s="463"/>
      <c r="U899" s="461"/>
      <c r="V899" s="463"/>
      <c r="W899" s="461"/>
      <c r="AC899" s="461"/>
    </row>
    <row r="900" spans="1:29">
      <c r="A900" s="461"/>
      <c r="B900" s="461"/>
      <c r="C900" s="461"/>
      <c r="D900" s="462"/>
      <c r="E900" s="461"/>
      <c r="F900" s="461"/>
      <c r="G900" s="461"/>
      <c r="H900" s="461"/>
      <c r="I900" s="461"/>
      <c r="J900" s="461"/>
      <c r="K900" s="461"/>
      <c r="L900" s="461"/>
      <c r="M900" s="461"/>
      <c r="N900" s="461"/>
      <c r="O900" s="461"/>
      <c r="P900" s="461"/>
      <c r="Q900" s="461"/>
      <c r="R900" s="463"/>
      <c r="S900" s="461"/>
      <c r="T900" s="463"/>
      <c r="U900" s="461"/>
      <c r="V900" s="463"/>
      <c r="W900" s="461"/>
      <c r="AC900" s="461"/>
    </row>
    <row r="901" spans="1:29">
      <c r="A901" s="461"/>
      <c r="B901" s="461"/>
      <c r="C901" s="461"/>
      <c r="D901" s="462"/>
      <c r="E901" s="461"/>
      <c r="F901" s="461"/>
      <c r="G901" s="461"/>
      <c r="H901" s="461"/>
      <c r="I901" s="461"/>
      <c r="J901" s="461"/>
      <c r="K901" s="461"/>
      <c r="L901" s="461"/>
      <c r="M901" s="461"/>
      <c r="N901" s="461"/>
      <c r="O901" s="461"/>
      <c r="P901" s="461"/>
      <c r="Q901" s="461"/>
      <c r="R901" s="463"/>
      <c r="S901" s="461"/>
      <c r="T901" s="463"/>
      <c r="U901" s="461"/>
      <c r="V901" s="463"/>
      <c r="W901" s="461"/>
      <c r="AC901" s="461"/>
    </row>
    <row r="902" spans="1:29">
      <c r="A902" s="461"/>
      <c r="B902" s="461"/>
      <c r="C902" s="461"/>
      <c r="D902" s="462"/>
      <c r="E902" s="461"/>
      <c r="F902" s="461"/>
      <c r="G902" s="461"/>
      <c r="H902" s="461"/>
      <c r="I902" s="461"/>
      <c r="J902" s="461"/>
      <c r="K902" s="461"/>
      <c r="L902" s="461"/>
      <c r="M902" s="461"/>
      <c r="N902" s="461"/>
      <c r="O902" s="461"/>
      <c r="P902" s="461"/>
      <c r="Q902" s="461"/>
      <c r="R902" s="463"/>
      <c r="S902" s="461"/>
      <c r="T902" s="463"/>
      <c r="U902" s="461"/>
      <c r="V902" s="463"/>
      <c r="W902" s="461"/>
      <c r="AC902" s="461"/>
    </row>
    <row r="903" spans="1:29">
      <c r="A903" s="461"/>
      <c r="B903" s="461"/>
      <c r="C903" s="461"/>
      <c r="D903" s="462"/>
      <c r="E903" s="461"/>
      <c r="F903" s="461"/>
      <c r="G903" s="461"/>
      <c r="H903" s="461"/>
      <c r="I903" s="461"/>
      <c r="J903" s="461"/>
      <c r="K903" s="461"/>
      <c r="L903" s="461"/>
      <c r="M903" s="461"/>
      <c r="N903" s="461"/>
      <c r="O903" s="461"/>
      <c r="P903" s="461"/>
      <c r="Q903" s="461"/>
      <c r="R903" s="463"/>
      <c r="S903" s="461"/>
      <c r="T903" s="463"/>
      <c r="U903" s="461"/>
      <c r="V903" s="463"/>
      <c r="W903" s="461"/>
      <c r="AC903" s="461"/>
    </row>
    <row r="904" spans="1:29">
      <c r="A904" s="461"/>
      <c r="B904" s="461"/>
      <c r="C904" s="461"/>
      <c r="D904" s="462"/>
      <c r="E904" s="461"/>
      <c r="F904" s="461"/>
      <c r="G904" s="461"/>
      <c r="H904" s="461"/>
      <c r="I904" s="461"/>
      <c r="J904" s="461"/>
      <c r="K904" s="461"/>
      <c r="L904" s="461"/>
      <c r="M904" s="461"/>
      <c r="N904" s="461"/>
      <c r="O904" s="461"/>
      <c r="P904" s="461"/>
      <c r="Q904" s="461"/>
      <c r="R904" s="463"/>
      <c r="S904" s="461"/>
      <c r="T904" s="463"/>
      <c r="U904" s="461"/>
      <c r="V904" s="463"/>
      <c r="W904" s="461"/>
      <c r="AC904" s="461"/>
    </row>
    <row r="905" spans="1:29">
      <c r="A905" s="461"/>
      <c r="B905" s="461"/>
      <c r="C905" s="461"/>
      <c r="D905" s="462"/>
      <c r="E905" s="461"/>
      <c r="F905" s="461"/>
      <c r="G905" s="461"/>
      <c r="H905" s="461"/>
      <c r="I905" s="461"/>
      <c r="J905" s="461"/>
      <c r="K905" s="461"/>
      <c r="L905" s="461"/>
      <c r="M905" s="461"/>
      <c r="N905" s="461"/>
      <c r="O905" s="461"/>
      <c r="P905" s="461"/>
      <c r="Q905" s="461"/>
      <c r="R905" s="463"/>
      <c r="S905" s="461"/>
      <c r="T905" s="463"/>
      <c r="U905" s="461"/>
      <c r="V905" s="463"/>
      <c r="W905" s="461"/>
      <c r="AC905" s="461"/>
    </row>
    <row r="906" spans="1:29">
      <c r="A906" s="461"/>
      <c r="B906" s="461"/>
      <c r="C906" s="461"/>
      <c r="D906" s="462"/>
      <c r="E906" s="461"/>
      <c r="F906" s="461"/>
      <c r="G906" s="461"/>
      <c r="H906" s="461"/>
      <c r="I906" s="461"/>
      <c r="J906" s="461"/>
      <c r="K906" s="461"/>
      <c r="L906" s="461"/>
      <c r="M906" s="461"/>
      <c r="N906" s="461"/>
      <c r="O906" s="461"/>
      <c r="P906" s="461"/>
      <c r="Q906" s="461"/>
      <c r="R906" s="463"/>
      <c r="S906" s="461"/>
      <c r="T906" s="463"/>
      <c r="U906" s="461"/>
      <c r="V906" s="463"/>
      <c r="W906" s="461"/>
      <c r="AC906" s="461"/>
    </row>
    <row r="907" spans="1:29">
      <c r="A907" s="461"/>
      <c r="B907" s="461"/>
      <c r="C907" s="461"/>
      <c r="D907" s="462"/>
      <c r="E907" s="461"/>
      <c r="F907" s="461"/>
      <c r="G907" s="461"/>
      <c r="H907" s="461"/>
      <c r="I907" s="461"/>
      <c r="J907" s="461"/>
      <c r="K907" s="461"/>
      <c r="L907" s="461"/>
      <c r="M907" s="461"/>
      <c r="N907" s="461"/>
      <c r="O907" s="461"/>
      <c r="P907" s="461"/>
      <c r="Q907" s="461"/>
      <c r="R907" s="463"/>
      <c r="S907" s="461"/>
      <c r="T907" s="463"/>
      <c r="U907" s="461"/>
      <c r="V907" s="463"/>
      <c r="W907" s="461"/>
      <c r="AC907" s="461"/>
    </row>
    <row r="908" spans="1:29">
      <c r="A908" s="461"/>
      <c r="B908" s="461"/>
      <c r="C908" s="461"/>
      <c r="D908" s="462"/>
      <c r="E908" s="461"/>
      <c r="F908" s="461"/>
      <c r="G908" s="461"/>
      <c r="H908" s="461"/>
      <c r="I908" s="461"/>
      <c r="J908" s="461"/>
      <c r="K908" s="461"/>
      <c r="L908" s="461"/>
      <c r="M908" s="461"/>
      <c r="N908" s="461"/>
      <c r="O908" s="461"/>
      <c r="P908" s="461"/>
      <c r="Q908" s="461"/>
      <c r="R908" s="463"/>
      <c r="S908" s="461"/>
      <c r="T908" s="463"/>
      <c r="U908" s="461"/>
      <c r="V908" s="463"/>
      <c r="W908" s="461"/>
      <c r="AC908" s="461"/>
    </row>
    <row r="909" spans="1:29">
      <c r="A909" s="461"/>
      <c r="B909" s="461"/>
      <c r="C909" s="461"/>
      <c r="D909" s="462"/>
      <c r="E909" s="461"/>
      <c r="F909" s="461"/>
      <c r="G909" s="461"/>
      <c r="H909" s="461"/>
      <c r="I909" s="461"/>
      <c r="J909" s="461"/>
      <c r="K909" s="461"/>
      <c r="L909" s="461"/>
      <c r="M909" s="461"/>
      <c r="N909" s="461"/>
      <c r="O909" s="461"/>
      <c r="P909" s="461"/>
      <c r="Q909" s="461"/>
      <c r="R909" s="463"/>
      <c r="S909" s="461"/>
      <c r="T909" s="463"/>
      <c r="U909" s="461"/>
      <c r="V909" s="463"/>
      <c r="W909" s="461"/>
      <c r="AC909" s="461"/>
    </row>
    <row r="910" spans="1:29">
      <c r="A910" s="461"/>
      <c r="B910" s="461"/>
      <c r="C910" s="461"/>
      <c r="D910" s="462"/>
      <c r="E910" s="461"/>
      <c r="F910" s="461"/>
      <c r="G910" s="461"/>
      <c r="H910" s="461"/>
      <c r="I910" s="461"/>
      <c r="J910" s="461"/>
      <c r="K910" s="461"/>
      <c r="L910" s="461"/>
      <c r="M910" s="461"/>
      <c r="N910" s="461"/>
      <c r="O910" s="461"/>
      <c r="P910" s="461"/>
      <c r="Q910" s="461"/>
      <c r="R910" s="463"/>
      <c r="S910" s="461"/>
      <c r="T910" s="463"/>
      <c r="U910" s="461"/>
      <c r="V910" s="463"/>
      <c r="W910" s="461"/>
      <c r="AC910" s="461"/>
    </row>
    <row r="911" spans="1:29">
      <c r="A911" s="461"/>
      <c r="B911" s="461"/>
      <c r="C911" s="461"/>
      <c r="D911" s="462"/>
      <c r="E911" s="461"/>
      <c r="F911" s="461"/>
      <c r="G911" s="461"/>
      <c r="H911" s="461"/>
      <c r="I911" s="461"/>
      <c r="J911" s="461"/>
      <c r="K911" s="461"/>
      <c r="L911" s="461"/>
      <c r="M911" s="461"/>
      <c r="N911" s="461"/>
      <c r="O911" s="461"/>
      <c r="P911" s="461"/>
      <c r="Q911" s="461"/>
      <c r="R911" s="463"/>
      <c r="S911" s="461"/>
      <c r="T911" s="463"/>
      <c r="U911" s="461"/>
      <c r="V911" s="463"/>
      <c r="W911" s="461"/>
      <c r="AC911" s="461"/>
    </row>
    <row r="912" spans="1:29">
      <c r="A912" s="461"/>
      <c r="B912" s="461"/>
      <c r="C912" s="461"/>
      <c r="D912" s="462"/>
      <c r="E912" s="461"/>
      <c r="F912" s="461"/>
      <c r="G912" s="461"/>
      <c r="H912" s="461"/>
      <c r="I912" s="461"/>
      <c r="J912" s="461"/>
      <c r="K912" s="461"/>
      <c r="L912" s="461"/>
      <c r="M912" s="461"/>
      <c r="N912" s="461"/>
      <c r="O912" s="461"/>
      <c r="P912" s="461"/>
      <c r="Q912" s="461"/>
      <c r="R912" s="463"/>
      <c r="S912" s="461"/>
      <c r="T912" s="463"/>
      <c r="U912" s="461"/>
      <c r="V912" s="463"/>
      <c r="W912" s="461"/>
      <c r="AC912" s="461"/>
    </row>
    <row r="913" spans="1:29">
      <c r="A913" s="461"/>
      <c r="B913" s="461"/>
      <c r="C913" s="461"/>
      <c r="D913" s="462"/>
      <c r="E913" s="461"/>
      <c r="F913" s="461"/>
      <c r="G913" s="461"/>
      <c r="H913" s="461"/>
      <c r="I913" s="461"/>
      <c r="J913" s="461"/>
      <c r="K913" s="461"/>
      <c r="L913" s="461"/>
      <c r="M913" s="461"/>
      <c r="N913" s="461"/>
      <c r="O913" s="461"/>
      <c r="P913" s="461"/>
      <c r="Q913" s="461"/>
      <c r="R913" s="463"/>
      <c r="S913" s="461"/>
      <c r="T913" s="463"/>
      <c r="U913" s="461"/>
      <c r="V913" s="463"/>
      <c r="W913" s="461"/>
      <c r="AC913" s="461"/>
    </row>
    <row r="914" spans="1:29">
      <c r="A914" s="461"/>
      <c r="B914" s="461"/>
      <c r="C914" s="461"/>
      <c r="D914" s="462"/>
      <c r="E914" s="461"/>
      <c r="F914" s="461"/>
      <c r="G914" s="461"/>
      <c r="H914" s="461"/>
      <c r="I914" s="461"/>
      <c r="J914" s="461"/>
      <c r="K914" s="461"/>
      <c r="L914" s="461"/>
      <c r="M914" s="461"/>
      <c r="N914" s="461"/>
      <c r="O914" s="461"/>
      <c r="P914" s="461"/>
      <c r="Q914" s="461"/>
      <c r="R914" s="463"/>
      <c r="S914" s="461"/>
      <c r="T914" s="463"/>
      <c r="U914" s="461"/>
      <c r="V914" s="463"/>
      <c r="W914" s="461"/>
      <c r="AC914" s="461"/>
    </row>
    <row r="915" spans="1:29">
      <c r="A915" s="461"/>
      <c r="B915" s="461"/>
      <c r="C915" s="461"/>
      <c r="D915" s="462"/>
      <c r="E915" s="461"/>
      <c r="F915" s="461"/>
      <c r="G915" s="461"/>
      <c r="H915" s="461"/>
      <c r="I915" s="461"/>
      <c r="J915" s="461"/>
      <c r="K915" s="461"/>
      <c r="L915" s="461"/>
      <c r="M915" s="461"/>
      <c r="N915" s="461"/>
      <c r="O915" s="461"/>
      <c r="P915" s="461"/>
      <c r="Q915" s="461"/>
      <c r="R915" s="463"/>
      <c r="S915" s="461"/>
      <c r="T915" s="463"/>
      <c r="U915" s="461"/>
      <c r="V915" s="463"/>
      <c r="W915" s="461"/>
      <c r="AC915" s="461"/>
    </row>
    <row r="916" spans="1:29">
      <c r="A916" s="461"/>
      <c r="B916" s="461"/>
      <c r="C916" s="461"/>
      <c r="D916" s="462"/>
      <c r="E916" s="461"/>
      <c r="F916" s="461"/>
      <c r="G916" s="461"/>
      <c r="H916" s="461"/>
      <c r="I916" s="461"/>
      <c r="J916" s="461"/>
      <c r="K916" s="461"/>
      <c r="L916" s="461"/>
      <c r="M916" s="461"/>
      <c r="N916" s="461"/>
      <c r="O916" s="461"/>
      <c r="P916" s="461"/>
      <c r="Q916" s="461"/>
      <c r="R916" s="463"/>
      <c r="S916" s="461"/>
      <c r="T916" s="463"/>
      <c r="U916" s="461"/>
      <c r="V916" s="463"/>
      <c r="W916" s="461"/>
      <c r="AC916" s="461"/>
    </row>
    <row r="917" spans="1:29">
      <c r="A917" s="461"/>
      <c r="B917" s="461"/>
      <c r="C917" s="461"/>
      <c r="D917" s="462"/>
      <c r="E917" s="461"/>
      <c r="F917" s="461"/>
      <c r="G917" s="461"/>
      <c r="H917" s="461"/>
      <c r="I917" s="461"/>
      <c r="J917" s="461"/>
      <c r="K917" s="461"/>
      <c r="L917" s="461"/>
      <c r="M917" s="461"/>
      <c r="N917" s="461"/>
      <c r="O917" s="461"/>
      <c r="P917" s="461"/>
      <c r="Q917" s="461"/>
      <c r="R917" s="463"/>
      <c r="S917" s="461"/>
      <c r="T917" s="463"/>
      <c r="U917" s="461"/>
      <c r="V917" s="463"/>
      <c r="W917" s="461"/>
      <c r="AC917" s="461"/>
    </row>
    <row r="918" spans="1:29">
      <c r="A918" s="461"/>
      <c r="B918" s="461"/>
      <c r="C918" s="461"/>
      <c r="D918" s="462"/>
      <c r="E918" s="461"/>
      <c r="F918" s="461"/>
      <c r="G918" s="461"/>
      <c r="H918" s="461"/>
      <c r="I918" s="461"/>
      <c r="J918" s="461"/>
      <c r="K918" s="461"/>
      <c r="L918" s="461"/>
      <c r="M918" s="461"/>
      <c r="N918" s="461"/>
      <c r="O918" s="461"/>
      <c r="P918" s="461"/>
      <c r="Q918" s="461"/>
      <c r="R918" s="463"/>
      <c r="S918" s="461"/>
      <c r="T918" s="463"/>
      <c r="U918" s="461"/>
      <c r="V918" s="463"/>
      <c r="W918" s="461"/>
      <c r="AC918" s="461"/>
    </row>
    <row r="919" spans="1:29">
      <c r="A919" s="461"/>
      <c r="B919" s="461"/>
      <c r="C919" s="461"/>
      <c r="D919" s="462"/>
      <c r="E919" s="461"/>
      <c r="F919" s="461"/>
      <c r="G919" s="461"/>
      <c r="H919" s="461"/>
      <c r="I919" s="461"/>
      <c r="J919" s="461"/>
      <c r="K919" s="461"/>
      <c r="L919" s="461"/>
      <c r="M919" s="461"/>
      <c r="N919" s="461"/>
      <c r="O919" s="461"/>
      <c r="P919" s="461"/>
      <c r="Q919" s="461"/>
      <c r="R919" s="463"/>
      <c r="S919" s="461"/>
      <c r="T919" s="463"/>
      <c r="U919" s="461"/>
      <c r="V919" s="463"/>
      <c r="W919" s="461"/>
      <c r="AC919" s="461"/>
    </row>
    <row r="920" spans="1:29">
      <c r="A920" s="461"/>
      <c r="B920" s="461"/>
      <c r="C920" s="461"/>
      <c r="D920" s="462"/>
      <c r="E920" s="461"/>
      <c r="F920" s="461"/>
      <c r="G920" s="461"/>
      <c r="H920" s="461"/>
      <c r="I920" s="461"/>
      <c r="J920" s="461"/>
      <c r="K920" s="461"/>
      <c r="L920" s="461"/>
      <c r="M920" s="461"/>
      <c r="N920" s="461"/>
      <c r="O920" s="461"/>
      <c r="P920" s="461"/>
      <c r="Q920" s="461"/>
      <c r="R920" s="463"/>
      <c r="S920" s="461"/>
      <c r="T920" s="463"/>
      <c r="U920" s="461"/>
      <c r="V920" s="463"/>
      <c r="W920" s="461"/>
      <c r="AC920" s="461"/>
    </row>
    <row r="921" spans="1:29">
      <c r="A921" s="461"/>
      <c r="B921" s="461"/>
      <c r="C921" s="461"/>
      <c r="D921" s="462"/>
      <c r="E921" s="461"/>
      <c r="F921" s="461"/>
      <c r="G921" s="461"/>
      <c r="H921" s="461"/>
      <c r="I921" s="461"/>
      <c r="J921" s="461"/>
      <c r="K921" s="461"/>
      <c r="L921" s="461"/>
      <c r="M921" s="461"/>
      <c r="N921" s="461"/>
      <c r="O921" s="461"/>
      <c r="P921" s="461"/>
      <c r="Q921" s="461"/>
      <c r="R921" s="463"/>
      <c r="S921" s="461"/>
      <c r="T921" s="463"/>
      <c r="U921" s="461"/>
      <c r="V921" s="463"/>
      <c r="W921" s="461"/>
      <c r="AC921" s="461"/>
    </row>
    <row r="922" spans="1:29">
      <c r="A922" s="461"/>
      <c r="B922" s="461"/>
      <c r="C922" s="461"/>
      <c r="D922" s="462"/>
      <c r="E922" s="461"/>
      <c r="F922" s="461"/>
      <c r="G922" s="461"/>
      <c r="H922" s="461"/>
      <c r="I922" s="461"/>
      <c r="J922" s="461"/>
      <c r="K922" s="461"/>
      <c r="L922" s="461"/>
      <c r="M922" s="461"/>
      <c r="N922" s="461"/>
      <c r="O922" s="461"/>
      <c r="P922" s="461"/>
      <c r="Q922" s="461"/>
      <c r="R922" s="463"/>
      <c r="S922" s="461"/>
      <c r="T922" s="463"/>
      <c r="U922" s="461"/>
      <c r="V922" s="463"/>
      <c r="W922" s="461"/>
      <c r="AC922" s="461"/>
    </row>
    <row r="923" spans="1:29">
      <c r="A923" s="461"/>
      <c r="B923" s="461"/>
      <c r="C923" s="461"/>
      <c r="D923" s="462"/>
      <c r="E923" s="461"/>
      <c r="F923" s="461"/>
      <c r="G923" s="461"/>
      <c r="H923" s="461"/>
      <c r="I923" s="461"/>
      <c r="J923" s="461"/>
      <c r="K923" s="461"/>
      <c r="L923" s="461"/>
      <c r="M923" s="461"/>
      <c r="N923" s="461"/>
      <c r="O923" s="461"/>
      <c r="P923" s="461"/>
      <c r="Q923" s="461"/>
      <c r="R923" s="463"/>
      <c r="S923" s="461"/>
      <c r="T923" s="463"/>
      <c r="U923" s="461"/>
      <c r="V923" s="463"/>
      <c r="W923" s="461"/>
      <c r="AC923" s="461"/>
    </row>
    <row r="924" spans="1:29">
      <c r="A924" s="461"/>
      <c r="B924" s="461"/>
      <c r="C924" s="461"/>
      <c r="D924" s="462"/>
      <c r="E924" s="461"/>
      <c r="F924" s="461"/>
      <c r="G924" s="461"/>
      <c r="H924" s="461"/>
      <c r="I924" s="461"/>
      <c r="J924" s="461"/>
      <c r="K924" s="461"/>
      <c r="L924" s="461"/>
      <c r="M924" s="461"/>
      <c r="N924" s="461"/>
      <c r="O924" s="461"/>
      <c r="P924" s="461"/>
      <c r="Q924" s="461"/>
      <c r="R924" s="463"/>
      <c r="S924" s="461"/>
      <c r="T924" s="463"/>
      <c r="U924" s="461"/>
      <c r="V924" s="463"/>
      <c r="W924" s="461"/>
      <c r="AC924" s="461"/>
    </row>
    <row r="925" spans="1:29">
      <c r="A925" s="461"/>
      <c r="B925" s="461"/>
      <c r="C925" s="461"/>
      <c r="D925" s="462"/>
      <c r="E925" s="461"/>
      <c r="F925" s="461"/>
      <c r="G925" s="461"/>
      <c r="H925" s="461"/>
      <c r="I925" s="461"/>
      <c r="J925" s="461"/>
      <c r="K925" s="461"/>
      <c r="L925" s="461"/>
      <c r="M925" s="461"/>
      <c r="N925" s="461"/>
      <c r="O925" s="461"/>
      <c r="P925" s="461"/>
      <c r="Q925" s="461"/>
      <c r="R925" s="463"/>
      <c r="S925" s="461"/>
      <c r="T925" s="463"/>
      <c r="U925" s="461"/>
      <c r="V925" s="463"/>
      <c r="W925" s="461"/>
      <c r="AC925" s="461"/>
    </row>
    <row r="926" spans="1:29">
      <c r="A926" s="461"/>
      <c r="B926" s="461"/>
      <c r="C926" s="461"/>
      <c r="D926" s="462"/>
      <c r="E926" s="461"/>
      <c r="F926" s="461"/>
      <c r="G926" s="461"/>
      <c r="H926" s="461"/>
      <c r="I926" s="461"/>
      <c r="J926" s="461"/>
      <c r="K926" s="461"/>
      <c r="L926" s="461"/>
      <c r="M926" s="461"/>
      <c r="N926" s="461"/>
      <c r="O926" s="461"/>
      <c r="P926" s="461"/>
      <c r="Q926" s="461"/>
      <c r="R926" s="463"/>
      <c r="S926" s="461"/>
      <c r="T926" s="463"/>
      <c r="U926" s="461"/>
      <c r="V926" s="463"/>
      <c r="W926" s="461"/>
      <c r="AC926" s="461"/>
    </row>
    <row r="927" spans="1:29">
      <c r="A927" s="461"/>
      <c r="B927" s="461"/>
      <c r="C927" s="461"/>
      <c r="D927" s="462"/>
      <c r="E927" s="461"/>
      <c r="F927" s="461"/>
      <c r="G927" s="461"/>
      <c r="H927" s="461"/>
      <c r="I927" s="461"/>
      <c r="J927" s="461"/>
      <c r="K927" s="461"/>
      <c r="L927" s="461"/>
      <c r="M927" s="461"/>
      <c r="N927" s="461"/>
      <c r="O927" s="461"/>
      <c r="P927" s="461"/>
      <c r="Q927" s="461"/>
      <c r="R927" s="463"/>
      <c r="S927" s="461"/>
      <c r="T927" s="463"/>
      <c r="U927" s="461"/>
      <c r="V927" s="463"/>
      <c r="W927" s="461"/>
      <c r="AC927" s="461"/>
    </row>
    <row r="928" spans="1:29">
      <c r="A928" s="461"/>
      <c r="B928" s="461"/>
      <c r="C928" s="461"/>
      <c r="D928" s="462"/>
      <c r="E928" s="461"/>
      <c r="F928" s="461"/>
      <c r="G928" s="461"/>
      <c r="H928" s="461"/>
      <c r="I928" s="461"/>
      <c r="J928" s="461"/>
      <c r="K928" s="461"/>
      <c r="L928" s="461"/>
      <c r="M928" s="461"/>
      <c r="N928" s="461"/>
      <c r="O928" s="461"/>
      <c r="P928" s="461"/>
      <c r="Q928" s="461"/>
      <c r="R928" s="463"/>
      <c r="S928" s="461"/>
      <c r="T928" s="463"/>
      <c r="U928" s="461"/>
      <c r="V928" s="463"/>
      <c r="W928" s="461"/>
      <c r="AC928" s="461"/>
    </row>
    <row r="929" spans="1:29">
      <c r="A929" s="461"/>
      <c r="B929" s="461"/>
      <c r="C929" s="461"/>
      <c r="D929" s="462"/>
      <c r="E929" s="461"/>
      <c r="F929" s="461"/>
      <c r="G929" s="461"/>
      <c r="H929" s="461"/>
      <c r="I929" s="461"/>
      <c r="J929" s="461"/>
      <c r="K929" s="461"/>
      <c r="L929" s="461"/>
      <c r="M929" s="461"/>
      <c r="N929" s="461"/>
      <c r="O929" s="461"/>
      <c r="P929" s="461"/>
      <c r="Q929" s="461"/>
      <c r="R929" s="463"/>
      <c r="S929" s="461"/>
      <c r="T929" s="463"/>
      <c r="U929" s="461"/>
      <c r="V929" s="463"/>
      <c r="W929" s="461"/>
      <c r="AC929" s="461"/>
    </row>
    <row r="930" spans="1:29">
      <c r="A930" s="461"/>
      <c r="B930" s="461"/>
      <c r="C930" s="461"/>
      <c r="D930" s="462"/>
      <c r="E930" s="461"/>
      <c r="F930" s="461"/>
      <c r="G930" s="461"/>
      <c r="H930" s="461"/>
      <c r="I930" s="461"/>
      <c r="J930" s="461"/>
      <c r="K930" s="461"/>
      <c r="L930" s="461"/>
      <c r="M930" s="461"/>
      <c r="N930" s="461"/>
      <c r="O930" s="461"/>
      <c r="P930" s="461"/>
      <c r="Q930" s="461"/>
      <c r="R930" s="463"/>
      <c r="S930" s="461"/>
      <c r="T930" s="463"/>
      <c r="U930" s="461"/>
      <c r="V930" s="463"/>
      <c r="W930" s="461"/>
      <c r="AC930" s="461"/>
    </row>
    <row r="931" spans="1:29">
      <c r="A931" s="461"/>
      <c r="B931" s="461"/>
      <c r="C931" s="461"/>
      <c r="D931" s="462"/>
      <c r="E931" s="461"/>
      <c r="F931" s="461"/>
      <c r="G931" s="461"/>
      <c r="H931" s="461"/>
      <c r="I931" s="461"/>
      <c r="J931" s="461"/>
      <c r="K931" s="461"/>
      <c r="L931" s="461"/>
      <c r="M931" s="461"/>
      <c r="N931" s="461"/>
      <c r="O931" s="461"/>
      <c r="P931" s="461"/>
      <c r="Q931" s="461"/>
      <c r="R931" s="463"/>
      <c r="S931" s="461"/>
      <c r="T931" s="463"/>
      <c r="U931" s="461"/>
      <c r="V931" s="463"/>
      <c r="W931" s="461"/>
      <c r="AC931" s="461"/>
    </row>
    <row r="932" spans="1:29">
      <c r="A932" s="461"/>
      <c r="B932" s="461"/>
      <c r="C932" s="461"/>
      <c r="D932" s="462"/>
      <c r="E932" s="461"/>
      <c r="F932" s="461"/>
      <c r="G932" s="461"/>
      <c r="H932" s="461"/>
      <c r="I932" s="461"/>
      <c r="J932" s="461"/>
      <c r="K932" s="461"/>
      <c r="L932" s="461"/>
      <c r="M932" s="461"/>
      <c r="N932" s="461"/>
      <c r="O932" s="461"/>
      <c r="P932" s="461"/>
      <c r="Q932" s="461"/>
      <c r="R932" s="463"/>
      <c r="S932" s="461"/>
      <c r="T932" s="463"/>
      <c r="U932" s="461"/>
      <c r="V932" s="463"/>
      <c r="W932" s="461"/>
      <c r="AC932" s="461"/>
    </row>
    <row r="933" spans="1:29">
      <c r="A933" s="461"/>
      <c r="B933" s="461"/>
      <c r="C933" s="461"/>
      <c r="D933" s="462"/>
      <c r="E933" s="461"/>
      <c r="F933" s="461"/>
      <c r="G933" s="461"/>
      <c r="H933" s="461"/>
      <c r="I933" s="461"/>
      <c r="J933" s="461"/>
      <c r="K933" s="461"/>
      <c r="L933" s="461"/>
      <c r="M933" s="461"/>
      <c r="N933" s="461"/>
      <c r="O933" s="461"/>
      <c r="P933" s="461"/>
      <c r="Q933" s="461"/>
      <c r="R933" s="463"/>
      <c r="S933" s="461"/>
      <c r="T933" s="463"/>
      <c r="U933" s="461"/>
      <c r="V933" s="463"/>
      <c r="W933" s="461"/>
      <c r="AC933" s="461"/>
    </row>
    <row r="934" spans="1:29">
      <c r="A934" s="461"/>
      <c r="B934" s="461"/>
      <c r="C934" s="461"/>
      <c r="D934" s="462"/>
      <c r="E934" s="461"/>
      <c r="F934" s="461"/>
      <c r="G934" s="461"/>
      <c r="H934" s="461"/>
      <c r="I934" s="461"/>
      <c r="J934" s="461"/>
      <c r="K934" s="461"/>
      <c r="L934" s="461"/>
      <c r="M934" s="461"/>
      <c r="N934" s="461"/>
      <c r="O934" s="461"/>
      <c r="P934" s="461"/>
      <c r="Q934" s="461"/>
      <c r="R934" s="463"/>
      <c r="S934" s="461"/>
      <c r="T934" s="463"/>
      <c r="U934" s="461"/>
      <c r="V934" s="463"/>
      <c r="W934" s="461"/>
      <c r="AC934" s="461"/>
    </row>
    <row r="935" spans="1:29">
      <c r="A935" s="461"/>
      <c r="B935" s="461"/>
      <c r="C935" s="461"/>
      <c r="D935" s="462"/>
      <c r="E935" s="461"/>
      <c r="F935" s="461"/>
      <c r="G935" s="461"/>
      <c r="H935" s="461"/>
      <c r="I935" s="461"/>
      <c r="J935" s="461"/>
      <c r="K935" s="461"/>
      <c r="L935" s="461"/>
      <c r="M935" s="461"/>
      <c r="N935" s="461"/>
      <c r="O935" s="461"/>
      <c r="P935" s="461"/>
      <c r="Q935" s="461"/>
      <c r="R935" s="463"/>
      <c r="S935" s="461"/>
      <c r="T935" s="463"/>
      <c r="U935" s="461"/>
      <c r="V935" s="463"/>
      <c r="W935" s="461"/>
      <c r="AC935" s="461"/>
    </row>
    <row r="936" spans="1:29">
      <c r="A936" s="461"/>
      <c r="B936" s="461"/>
      <c r="C936" s="461"/>
      <c r="D936" s="462"/>
      <c r="E936" s="461"/>
      <c r="F936" s="461"/>
      <c r="G936" s="461"/>
      <c r="H936" s="461"/>
      <c r="I936" s="461"/>
      <c r="J936" s="461"/>
      <c r="K936" s="461"/>
      <c r="L936" s="461"/>
      <c r="M936" s="461"/>
      <c r="N936" s="461"/>
      <c r="O936" s="461"/>
      <c r="P936" s="461"/>
      <c r="Q936" s="461"/>
      <c r="R936" s="463"/>
      <c r="S936" s="461"/>
      <c r="T936" s="463"/>
      <c r="U936" s="461"/>
      <c r="V936" s="463"/>
      <c r="W936" s="461"/>
      <c r="AC936" s="461"/>
    </row>
    <row r="937" spans="1:29">
      <c r="A937" s="461"/>
      <c r="B937" s="461"/>
      <c r="C937" s="461"/>
      <c r="D937" s="462"/>
      <c r="E937" s="461"/>
      <c r="F937" s="461"/>
      <c r="G937" s="461"/>
      <c r="H937" s="461"/>
      <c r="I937" s="461"/>
      <c r="J937" s="461"/>
      <c r="K937" s="461"/>
      <c r="L937" s="461"/>
      <c r="M937" s="461"/>
      <c r="N937" s="461"/>
      <c r="O937" s="461"/>
      <c r="P937" s="461"/>
      <c r="Q937" s="461"/>
      <c r="R937" s="463"/>
      <c r="S937" s="461"/>
      <c r="T937" s="463"/>
      <c r="U937" s="461"/>
      <c r="V937" s="463"/>
      <c r="W937" s="461"/>
      <c r="AC937" s="461"/>
    </row>
    <row r="938" spans="1:29">
      <c r="A938" s="461"/>
      <c r="B938" s="461"/>
      <c r="C938" s="461"/>
      <c r="D938" s="462"/>
      <c r="E938" s="461"/>
      <c r="F938" s="461"/>
      <c r="G938" s="461"/>
      <c r="H938" s="461"/>
      <c r="I938" s="461"/>
      <c r="J938" s="461"/>
      <c r="K938" s="461"/>
      <c r="L938" s="461"/>
      <c r="M938" s="461"/>
      <c r="N938" s="461"/>
      <c r="O938" s="461"/>
      <c r="P938" s="461"/>
      <c r="Q938" s="461"/>
      <c r="R938" s="463"/>
      <c r="S938" s="461"/>
      <c r="T938" s="463"/>
      <c r="U938" s="461"/>
      <c r="V938" s="463"/>
      <c r="W938" s="461"/>
      <c r="AC938" s="461"/>
    </row>
    <row r="939" spans="1:29">
      <c r="A939" s="461"/>
      <c r="B939" s="461"/>
      <c r="C939" s="461"/>
      <c r="D939" s="462"/>
      <c r="E939" s="461"/>
      <c r="F939" s="461"/>
      <c r="G939" s="461"/>
      <c r="H939" s="461"/>
      <c r="I939" s="461"/>
      <c r="J939" s="461"/>
      <c r="K939" s="461"/>
      <c r="L939" s="461"/>
      <c r="M939" s="461"/>
      <c r="N939" s="461"/>
      <c r="O939" s="461"/>
      <c r="P939" s="461"/>
      <c r="Q939" s="461"/>
      <c r="R939" s="463"/>
      <c r="S939" s="461"/>
      <c r="T939" s="463"/>
      <c r="U939" s="461"/>
      <c r="V939" s="463"/>
      <c r="W939" s="461"/>
      <c r="AC939" s="461"/>
    </row>
    <row r="940" spans="1:29">
      <c r="A940" s="461"/>
      <c r="B940" s="461"/>
      <c r="C940" s="461"/>
      <c r="D940" s="462"/>
      <c r="E940" s="461"/>
      <c r="F940" s="461"/>
      <c r="G940" s="461"/>
      <c r="H940" s="461"/>
      <c r="I940" s="461"/>
      <c r="J940" s="461"/>
      <c r="K940" s="461"/>
      <c r="L940" s="461"/>
      <c r="M940" s="461"/>
      <c r="N940" s="461"/>
      <c r="O940" s="461"/>
      <c r="P940" s="461"/>
      <c r="Q940" s="461"/>
      <c r="R940" s="463"/>
      <c r="S940" s="461"/>
      <c r="T940" s="463"/>
      <c r="U940" s="461"/>
      <c r="V940" s="463"/>
      <c r="W940" s="461"/>
      <c r="AC940" s="461"/>
    </row>
    <row r="941" spans="1:29">
      <c r="A941" s="461"/>
      <c r="B941" s="461"/>
      <c r="C941" s="461"/>
      <c r="D941" s="462"/>
      <c r="E941" s="461"/>
      <c r="F941" s="461"/>
      <c r="G941" s="461"/>
      <c r="H941" s="461"/>
      <c r="I941" s="461"/>
      <c r="J941" s="461"/>
      <c r="K941" s="461"/>
      <c r="L941" s="461"/>
      <c r="M941" s="461"/>
      <c r="N941" s="461"/>
      <c r="O941" s="461"/>
      <c r="P941" s="461"/>
      <c r="Q941" s="461"/>
      <c r="R941" s="463"/>
      <c r="S941" s="461"/>
      <c r="T941" s="463"/>
      <c r="U941" s="461"/>
      <c r="V941" s="463"/>
      <c r="W941" s="461"/>
      <c r="AC941" s="461"/>
    </row>
    <row r="942" spans="1:29">
      <c r="A942" s="461"/>
      <c r="B942" s="461"/>
      <c r="C942" s="461"/>
      <c r="D942" s="462"/>
      <c r="E942" s="461"/>
      <c r="F942" s="461"/>
      <c r="G942" s="461"/>
      <c r="H942" s="461"/>
      <c r="I942" s="461"/>
      <c r="J942" s="461"/>
      <c r="K942" s="461"/>
      <c r="L942" s="461"/>
      <c r="M942" s="461"/>
      <c r="N942" s="461"/>
      <c r="O942" s="461"/>
      <c r="P942" s="461"/>
      <c r="Q942" s="461"/>
      <c r="R942" s="463"/>
      <c r="S942" s="461"/>
      <c r="T942" s="463"/>
      <c r="U942" s="461"/>
      <c r="V942" s="463"/>
      <c r="W942" s="461"/>
      <c r="AC942" s="461"/>
    </row>
    <row r="943" spans="1:29">
      <c r="A943" s="461"/>
      <c r="B943" s="461"/>
      <c r="C943" s="461"/>
      <c r="D943" s="462"/>
      <c r="E943" s="461"/>
      <c r="F943" s="461"/>
      <c r="G943" s="461"/>
      <c r="H943" s="461"/>
      <c r="I943" s="461"/>
      <c r="J943" s="461"/>
      <c r="K943" s="461"/>
      <c r="L943" s="461"/>
      <c r="M943" s="461"/>
      <c r="N943" s="461"/>
      <c r="O943" s="461"/>
      <c r="P943" s="461"/>
      <c r="Q943" s="461"/>
      <c r="R943" s="463"/>
      <c r="S943" s="461"/>
      <c r="T943" s="463"/>
      <c r="U943" s="461"/>
      <c r="V943" s="463"/>
      <c r="W943" s="461"/>
      <c r="AC943" s="461"/>
    </row>
    <row r="944" spans="1:29">
      <c r="A944" s="461"/>
      <c r="B944" s="461"/>
      <c r="C944" s="461"/>
      <c r="D944" s="462"/>
      <c r="E944" s="461"/>
      <c r="F944" s="461"/>
      <c r="G944" s="461"/>
      <c r="H944" s="461"/>
      <c r="I944" s="461"/>
      <c r="J944" s="461"/>
      <c r="K944" s="461"/>
      <c r="L944" s="461"/>
      <c r="M944" s="461"/>
      <c r="N944" s="461"/>
      <c r="O944" s="461"/>
      <c r="P944" s="461"/>
      <c r="Q944" s="461"/>
      <c r="R944" s="463"/>
      <c r="S944" s="461"/>
      <c r="T944" s="463"/>
      <c r="U944" s="461"/>
      <c r="V944" s="463"/>
      <c r="W944" s="461"/>
      <c r="AC944" s="461"/>
    </row>
    <row r="945" spans="1:29">
      <c r="A945" s="461"/>
      <c r="B945" s="461"/>
      <c r="C945" s="461"/>
      <c r="D945" s="462"/>
      <c r="E945" s="461"/>
      <c r="F945" s="461"/>
      <c r="G945" s="461"/>
      <c r="H945" s="461"/>
      <c r="I945" s="461"/>
      <c r="J945" s="461"/>
      <c r="K945" s="461"/>
      <c r="L945" s="461"/>
      <c r="M945" s="461"/>
      <c r="N945" s="461"/>
      <c r="O945" s="461"/>
      <c r="P945" s="461"/>
      <c r="Q945" s="461"/>
      <c r="R945" s="463"/>
      <c r="S945" s="461"/>
      <c r="T945" s="463"/>
      <c r="U945" s="461"/>
      <c r="V945" s="463"/>
      <c r="W945" s="461"/>
      <c r="AC945" s="461"/>
    </row>
    <row r="946" spans="1:29">
      <c r="A946" s="461"/>
      <c r="B946" s="461"/>
      <c r="C946" s="461"/>
      <c r="D946" s="462"/>
      <c r="E946" s="461"/>
      <c r="F946" s="461"/>
      <c r="G946" s="461"/>
      <c r="H946" s="461"/>
      <c r="I946" s="461"/>
      <c r="J946" s="461"/>
      <c r="K946" s="461"/>
      <c r="L946" s="461"/>
      <c r="M946" s="461"/>
      <c r="N946" s="461"/>
      <c r="O946" s="461"/>
      <c r="P946" s="461"/>
      <c r="Q946" s="461"/>
      <c r="R946" s="463"/>
      <c r="S946" s="461"/>
      <c r="T946" s="463"/>
      <c r="U946" s="461"/>
      <c r="V946" s="463"/>
      <c r="W946" s="461"/>
      <c r="AC946" s="461"/>
    </row>
    <row r="947" spans="1:29">
      <c r="A947" s="461"/>
      <c r="B947" s="461"/>
      <c r="C947" s="461"/>
      <c r="D947" s="462"/>
      <c r="E947" s="461"/>
      <c r="F947" s="461"/>
      <c r="G947" s="461"/>
      <c r="H947" s="461"/>
      <c r="I947" s="461"/>
      <c r="J947" s="461"/>
      <c r="K947" s="461"/>
      <c r="L947" s="461"/>
      <c r="M947" s="461"/>
      <c r="N947" s="461"/>
      <c r="O947" s="461"/>
      <c r="P947" s="461"/>
      <c r="Q947" s="461"/>
      <c r="R947" s="463"/>
      <c r="S947" s="461"/>
      <c r="T947" s="463"/>
      <c r="U947" s="461"/>
      <c r="V947" s="463"/>
      <c r="W947" s="461"/>
      <c r="AC947" s="461"/>
    </row>
    <row r="948" spans="1:29">
      <c r="A948" s="461"/>
      <c r="B948" s="461"/>
      <c r="C948" s="461"/>
      <c r="D948" s="462"/>
      <c r="E948" s="461"/>
      <c r="F948" s="461"/>
      <c r="G948" s="461"/>
      <c r="H948" s="461"/>
      <c r="I948" s="461"/>
      <c r="J948" s="461"/>
      <c r="K948" s="461"/>
      <c r="L948" s="461"/>
      <c r="M948" s="461"/>
      <c r="N948" s="461"/>
      <c r="O948" s="461"/>
      <c r="P948" s="461"/>
      <c r="Q948" s="461"/>
      <c r="R948" s="463"/>
      <c r="S948" s="461"/>
      <c r="T948" s="463"/>
      <c r="U948" s="461"/>
      <c r="V948" s="463"/>
      <c r="W948" s="461"/>
      <c r="AC948" s="461"/>
    </row>
    <row r="949" spans="1:29">
      <c r="A949" s="461"/>
      <c r="B949" s="461"/>
      <c r="C949" s="461"/>
      <c r="D949" s="462"/>
      <c r="E949" s="461"/>
      <c r="F949" s="461"/>
      <c r="G949" s="461"/>
      <c r="H949" s="461"/>
      <c r="I949" s="461"/>
      <c r="J949" s="461"/>
      <c r="K949" s="461"/>
      <c r="L949" s="461"/>
      <c r="M949" s="461"/>
      <c r="N949" s="461"/>
      <c r="O949" s="461"/>
      <c r="P949" s="461"/>
      <c r="Q949" s="461"/>
      <c r="R949" s="463"/>
      <c r="S949" s="461"/>
      <c r="T949" s="463"/>
      <c r="U949" s="461"/>
      <c r="V949" s="463"/>
      <c r="W949" s="461"/>
      <c r="AC949" s="461"/>
    </row>
    <row r="950" spans="1:29">
      <c r="A950" s="461"/>
      <c r="B950" s="461"/>
      <c r="C950" s="461"/>
      <c r="D950" s="462"/>
      <c r="E950" s="461"/>
      <c r="F950" s="461"/>
      <c r="G950" s="461"/>
      <c r="H950" s="461"/>
      <c r="I950" s="461"/>
      <c r="J950" s="461"/>
      <c r="K950" s="461"/>
      <c r="L950" s="461"/>
      <c r="M950" s="461"/>
      <c r="N950" s="461"/>
      <c r="O950" s="461"/>
      <c r="P950" s="461"/>
      <c r="Q950" s="461"/>
      <c r="R950" s="463"/>
      <c r="S950" s="461"/>
      <c r="T950" s="463"/>
      <c r="U950" s="461"/>
      <c r="V950" s="463"/>
      <c r="W950" s="461"/>
      <c r="AC950" s="461"/>
    </row>
    <row r="951" spans="1:29">
      <c r="A951" s="461"/>
      <c r="B951" s="461"/>
      <c r="C951" s="461"/>
      <c r="D951" s="462"/>
      <c r="E951" s="461"/>
      <c r="F951" s="461"/>
      <c r="G951" s="461"/>
      <c r="H951" s="461"/>
      <c r="I951" s="461"/>
      <c r="J951" s="461"/>
      <c r="K951" s="461"/>
      <c r="L951" s="461"/>
      <c r="M951" s="461"/>
      <c r="N951" s="461"/>
      <c r="O951" s="461"/>
      <c r="P951" s="461"/>
      <c r="Q951" s="461"/>
      <c r="R951" s="463"/>
      <c r="S951" s="461"/>
      <c r="T951" s="463"/>
      <c r="U951" s="461"/>
      <c r="V951" s="463"/>
      <c r="W951" s="461"/>
      <c r="AC951" s="461"/>
    </row>
    <row r="952" spans="1:29">
      <c r="A952" s="461"/>
      <c r="B952" s="461"/>
      <c r="C952" s="461"/>
      <c r="D952" s="462"/>
      <c r="E952" s="461"/>
      <c r="F952" s="461"/>
      <c r="G952" s="461"/>
      <c r="H952" s="461"/>
      <c r="I952" s="461"/>
      <c r="J952" s="461"/>
      <c r="K952" s="461"/>
      <c r="L952" s="461"/>
      <c r="M952" s="461"/>
      <c r="N952" s="461"/>
      <c r="O952" s="461"/>
      <c r="P952" s="461"/>
      <c r="Q952" s="461"/>
      <c r="R952" s="463"/>
      <c r="S952" s="461"/>
      <c r="T952" s="463"/>
      <c r="U952" s="461"/>
      <c r="V952" s="463"/>
      <c r="W952" s="461"/>
      <c r="AC952" s="461"/>
    </row>
    <row r="953" spans="1:29">
      <c r="A953" s="461"/>
      <c r="B953" s="461"/>
      <c r="C953" s="461"/>
      <c r="D953" s="462"/>
      <c r="E953" s="461"/>
      <c r="F953" s="461"/>
      <c r="G953" s="461"/>
      <c r="H953" s="461"/>
      <c r="I953" s="461"/>
      <c r="J953" s="461"/>
      <c r="K953" s="461"/>
      <c r="L953" s="461"/>
      <c r="M953" s="461"/>
      <c r="N953" s="461"/>
      <c r="O953" s="461"/>
      <c r="P953" s="461"/>
      <c r="Q953" s="461"/>
      <c r="R953" s="463"/>
      <c r="S953" s="461"/>
      <c r="T953" s="463"/>
      <c r="U953" s="461"/>
      <c r="V953" s="463"/>
      <c r="W953" s="461"/>
      <c r="AC953" s="461"/>
    </row>
    <row r="954" spans="1:29">
      <c r="A954" s="461"/>
      <c r="B954" s="461"/>
      <c r="C954" s="461"/>
      <c r="D954" s="462"/>
      <c r="E954" s="461"/>
      <c r="F954" s="461"/>
      <c r="G954" s="461"/>
      <c r="H954" s="461"/>
      <c r="I954" s="461"/>
      <c r="J954" s="461"/>
      <c r="K954" s="461"/>
      <c r="L954" s="461"/>
      <c r="M954" s="461"/>
      <c r="N954" s="461"/>
      <c r="O954" s="461"/>
      <c r="P954" s="461"/>
      <c r="Q954" s="461"/>
      <c r="R954" s="463"/>
      <c r="S954" s="461"/>
      <c r="T954" s="463"/>
      <c r="U954" s="461"/>
      <c r="V954" s="463"/>
      <c r="W954" s="461"/>
      <c r="AC954" s="461"/>
    </row>
    <row r="955" spans="1:29">
      <c r="A955" s="461"/>
      <c r="B955" s="461"/>
      <c r="C955" s="461"/>
      <c r="D955" s="462"/>
      <c r="E955" s="461"/>
      <c r="F955" s="461"/>
      <c r="G955" s="461"/>
      <c r="H955" s="461"/>
      <c r="I955" s="461"/>
      <c r="J955" s="461"/>
      <c r="K955" s="461"/>
      <c r="L955" s="461"/>
      <c r="M955" s="461"/>
      <c r="N955" s="461"/>
      <c r="O955" s="461"/>
      <c r="P955" s="461"/>
      <c r="Q955" s="461"/>
      <c r="R955" s="463"/>
      <c r="S955" s="461"/>
      <c r="T955" s="463"/>
      <c r="U955" s="461"/>
      <c r="V955" s="463"/>
      <c r="W955" s="461"/>
      <c r="AC955" s="461"/>
    </row>
    <row r="956" spans="1:29">
      <c r="A956" s="461"/>
      <c r="B956" s="461"/>
      <c r="C956" s="461"/>
      <c r="D956" s="462"/>
      <c r="E956" s="461"/>
      <c r="F956" s="461"/>
      <c r="G956" s="461"/>
      <c r="H956" s="461"/>
      <c r="I956" s="461"/>
      <c r="J956" s="461"/>
      <c r="K956" s="461"/>
      <c r="L956" s="461"/>
      <c r="M956" s="461"/>
      <c r="N956" s="461"/>
      <c r="O956" s="461"/>
      <c r="P956" s="461"/>
      <c r="Q956" s="461"/>
      <c r="R956" s="463"/>
      <c r="S956" s="461"/>
      <c r="T956" s="463"/>
      <c r="U956" s="461"/>
      <c r="V956" s="463"/>
      <c r="W956" s="461"/>
      <c r="AC956" s="461"/>
    </row>
    <row r="957" spans="1:29">
      <c r="A957" s="461"/>
      <c r="B957" s="461"/>
      <c r="C957" s="461"/>
      <c r="D957" s="462"/>
      <c r="E957" s="461"/>
      <c r="F957" s="461"/>
      <c r="G957" s="461"/>
      <c r="H957" s="461"/>
      <c r="I957" s="461"/>
      <c r="J957" s="461"/>
      <c r="K957" s="461"/>
      <c r="L957" s="461"/>
      <c r="M957" s="461"/>
      <c r="N957" s="461"/>
      <c r="O957" s="461"/>
      <c r="P957" s="461"/>
      <c r="Q957" s="461"/>
      <c r="R957" s="463"/>
      <c r="S957" s="461"/>
      <c r="T957" s="463"/>
      <c r="U957" s="461"/>
      <c r="V957" s="463"/>
      <c r="W957" s="461"/>
      <c r="AC957" s="461"/>
    </row>
    <row r="958" spans="1:29">
      <c r="A958" s="461"/>
      <c r="B958" s="461"/>
      <c r="C958" s="461"/>
      <c r="D958" s="462"/>
      <c r="E958" s="461"/>
      <c r="F958" s="461"/>
      <c r="G958" s="461"/>
      <c r="H958" s="461"/>
      <c r="I958" s="461"/>
      <c r="J958" s="461"/>
      <c r="K958" s="461"/>
      <c r="L958" s="461"/>
      <c r="M958" s="461"/>
      <c r="N958" s="461"/>
      <c r="O958" s="461"/>
      <c r="P958" s="461"/>
      <c r="Q958" s="461"/>
      <c r="R958" s="463"/>
      <c r="S958" s="461"/>
      <c r="T958" s="463"/>
      <c r="U958" s="461"/>
      <c r="V958" s="463"/>
      <c r="W958" s="461"/>
      <c r="AC958" s="461"/>
    </row>
    <row r="959" spans="1:29">
      <c r="A959" s="461"/>
      <c r="B959" s="461"/>
      <c r="C959" s="461"/>
      <c r="D959" s="462"/>
      <c r="E959" s="461"/>
      <c r="F959" s="461"/>
      <c r="G959" s="461"/>
      <c r="H959" s="461"/>
      <c r="I959" s="461"/>
      <c r="J959" s="461"/>
      <c r="K959" s="461"/>
      <c r="L959" s="461"/>
      <c r="M959" s="461"/>
      <c r="N959" s="461"/>
      <c r="O959" s="461"/>
      <c r="P959" s="461"/>
      <c r="Q959" s="461"/>
      <c r="R959" s="463"/>
      <c r="S959" s="461"/>
      <c r="T959" s="463"/>
      <c r="U959" s="461"/>
      <c r="V959" s="463"/>
      <c r="W959" s="461"/>
      <c r="AC959" s="461"/>
    </row>
    <row r="960" spans="1:29">
      <c r="A960" s="461"/>
      <c r="B960" s="461"/>
      <c r="C960" s="461"/>
      <c r="D960" s="462"/>
      <c r="E960" s="461"/>
      <c r="F960" s="461"/>
      <c r="G960" s="461"/>
      <c r="H960" s="461"/>
      <c r="I960" s="461"/>
      <c r="J960" s="461"/>
      <c r="K960" s="461"/>
      <c r="L960" s="461"/>
      <c r="M960" s="461"/>
      <c r="N960" s="461"/>
      <c r="O960" s="461"/>
      <c r="P960" s="461"/>
      <c r="Q960" s="461"/>
      <c r="R960" s="463"/>
      <c r="S960" s="461"/>
      <c r="T960" s="463"/>
      <c r="U960" s="461"/>
      <c r="V960" s="463"/>
      <c r="W960" s="461"/>
      <c r="AC960" s="461"/>
    </row>
    <row r="961" spans="1:29">
      <c r="A961" s="461"/>
      <c r="B961" s="461"/>
      <c r="C961" s="461"/>
      <c r="D961" s="462"/>
      <c r="E961" s="461"/>
      <c r="F961" s="461"/>
      <c r="G961" s="461"/>
      <c r="H961" s="461"/>
      <c r="I961" s="461"/>
      <c r="J961" s="461"/>
      <c r="K961" s="461"/>
      <c r="L961" s="461"/>
      <c r="M961" s="461"/>
      <c r="N961" s="461"/>
      <c r="O961" s="461"/>
      <c r="P961" s="461"/>
      <c r="Q961" s="461"/>
      <c r="R961" s="463"/>
      <c r="S961" s="461"/>
      <c r="T961" s="463"/>
      <c r="U961" s="461"/>
      <c r="V961" s="463"/>
      <c r="W961" s="461"/>
      <c r="AC961" s="461"/>
    </row>
    <row r="962" spans="1:29">
      <c r="A962" s="461"/>
      <c r="B962" s="461"/>
      <c r="C962" s="461"/>
      <c r="D962" s="462"/>
      <c r="E962" s="461"/>
      <c r="F962" s="461"/>
      <c r="G962" s="461"/>
      <c r="H962" s="461"/>
      <c r="I962" s="461"/>
      <c r="J962" s="461"/>
      <c r="K962" s="461"/>
      <c r="L962" s="461"/>
      <c r="M962" s="461"/>
      <c r="N962" s="461"/>
      <c r="O962" s="461"/>
      <c r="P962" s="461"/>
      <c r="Q962" s="461"/>
      <c r="R962" s="463"/>
      <c r="S962" s="461"/>
      <c r="T962" s="463"/>
      <c r="U962" s="461"/>
      <c r="V962" s="463"/>
      <c r="W962" s="461"/>
      <c r="AC962" s="461"/>
    </row>
    <row r="963" spans="1:29">
      <c r="A963" s="461"/>
      <c r="B963" s="461"/>
      <c r="C963" s="461"/>
      <c r="D963" s="462"/>
      <c r="E963" s="461"/>
      <c r="F963" s="461"/>
      <c r="G963" s="461"/>
      <c r="H963" s="461"/>
      <c r="I963" s="461"/>
      <c r="J963" s="461"/>
      <c r="K963" s="461"/>
      <c r="L963" s="461"/>
      <c r="M963" s="461"/>
      <c r="N963" s="461"/>
      <c r="O963" s="461"/>
      <c r="P963" s="461"/>
      <c r="Q963" s="461"/>
      <c r="R963" s="463"/>
      <c r="S963" s="461"/>
      <c r="T963" s="463"/>
      <c r="U963" s="461"/>
      <c r="V963" s="463"/>
      <c r="W963" s="461"/>
      <c r="AC963" s="461"/>
    </row>
    <row r="964" spans="1:29">
      <c r="A964" s="461"/>
      <c r="B964" s="461"/>
      <c r="C964" s="461"/>
      <c r="D964" s="462"/>
      <c r="E964" s="461"/>
      <c r="F964" s="461"/>
      <c r="G964" s="461"/>
      <c r="H964" s="461"/>
      <c r="I964" s="461"/>
      <c r="J964" s="461"/>
      <c r="K964" s="461"/>
      <c r="L964" s="461"/>
      <c r="M964" s="461"/>
      <c r="N964" s="461"/>
      <c r="O964" s="461"/>
      <c r="P964" s="461"/>
      <c r="Q964" s="461"/>
      <c r="R964" s="463"/>
      <c r="S964" s="461"/>
      <c r="T964" s="463"/>
      <c r="U964" s="461"/>
      <c r="V964" s="463"/>
      <c r="W964" s="461"/>
      <c r="AC964" s="461"/>
    </row>
    <row r="965" spans="1:29">
      <c r="A965" s="461"/>
      <c r="B965" s="461"/>
      <c r="C965" s="461"/>
      <c r="D965" s="462"/>
      <c r="E965" s="461"/>
      <c r="F965" s="461"/>
      <c r="G965" s="461"/>
      <c r="H965" s="461"/>
      <c r="I965" s="461"/>
      <c r="J965" s="461"/>
      <c r="K965" s="461"/>
      <c r="L965" s="461"/>
      <c r="M965" s="461"/>
      <c r="N965" s="461"/>
      <c r="O965" s="461"/>
      <c r="P965" s="461"/>
      <c r="Q965" s="461"/>
      <c r="R965" s="463"/>
      <c r="S965" s="461"/>
      <c r="T965" s="463"/>
      <c r="U965" s="461"/>
      <c r="V965" s="463"/>
      <c r="W965" s="461"/>
      <c r="AC965" s="461"/>
    </row>
    <row r="966" spans="1:29">
      <c r="A966" s="461"/>
      <c r="B966" s="461"/>
      <c r="C966" s="461"/>
      <c r="D966" s="462"/>
      <c r="E966" s="461"/>
      <c r="F966" s="461"/>
      <c r="G966" s="461"/>
      <c r="H966" s="461"/>
      <c r="I966" s="461"/>
      <c r="J966" s="461"/>
      <c r="K966" s="461"/>
      <c r="L966" s="461"/>
      <c r="M966" s="461"/>
      <c r="N966" s="461"/>
      <c r="O966" s="461"/>
      <c r="P966" s="461"/>
      <c r="Q966" s="461"/>
      <c r="R966" s="463"/>
      <c r="S966" s="461"/>
      <c r="T966" s="463"/>
      <c r="U966" s="461"/>
      <c r="V966" s="463"/>
      <c r="W966" s="461"/>
      <c r="AC966" s="461"/>
    </row>
    <row r="967" spans="1:29">
      <c r="A967" s="461"/>
      <c r="B967" s="461"/>
      <c r="C967" s="461"/>
      <c r="D967" s="462"/>
      <c r="E967" s="461"/>
      <c r="F967" s="461"/>
      <c r="G967" s="461"/>
      <c r="H967" s="461"/>
      <c r="I967" s="461"/>
      <c r="J967" s="461"/>
      <c r="K967" s="461"/>
      <c r="L967" s="461"/>
      <c r="M967" s="461"/>
      <c r="N967" s="461"/>
      <c r="O967" s="461"/>
      <c r="P967" s="461"/>
      <c r="Q967" s="461"/>
      <c r="R967" s="463"/>
      <c r="S967" s="461"/>
      <c r="T967" s="463"/>
      <c r="U967" s="461"/>
      <c r="V967" s="463"/>
      <c r="W967" s="461"/>
      <c r="AC967" s="461"/>
    </row>
    <row r="968" spans="1:29">
      <c r="A968" s="461"/>
      <c r="B968" s="461"/>
      <c r="C968" s="461"/>
      <c r="D968" s="462"/>
      <c r="E968" s="461"/>
      <c r="F968" s="461"/>
      <c r="G968" s="461"/>
      <c r="H968" s="461"/>
      <c r="I968" s="461"/>
      <c r="J968" s="461"/>
      <c r="K968" s="461"/>
      <c r="L968" s="461"/>
      <c r="M968" s="461"/>
      <c r="N968" s="461"/>
      <c r="O968" s="461"/>
      <c r="P968" s="461"/>
      <c r="Q968" s="461"/>
      <c r="R968" s="463"/>
      <c r="S968" s="461"/>
      <c r="T968" s="463"/>
      <c r="U968" s="461"/>
      <c r="V968" s="463"/>
      <c r="W968" s="461"/>
      <c r="AC968" s="461"/>
    </row>
    <row r="969" spans="1:29">
      <c r="A969" s="461"/>
      <c r="B969" s="461"/>
      <c r="C969" s="461"/>
      <c r="D969" s="462"/>
      <c r="E969" s="461"/>
      <c r="F969" s="461"/>
      <c r="G969" s="461"/>
      <c r="H969" s="461"/>
      <c r="I969" s="461"/>
      <c r="J969" s="461"/>
      <c r="K969" s="461"/>
      <c r="L969" s="461"/>
      <c r="M969" s="461"/>
      <c r="N969" s="461"/>
      <c r="O969" s="461"/>
      <c r="P969" s="461"/>
      <c r="Q969" s="461"/>
      <c r="R969" s="463"/>
      <c r="S969" s="461"/>
      <c r="T969" s="463"/>
      <c r="U969" s="461"/>
      <c r="V969" s="463"/>
      <c r="W969" s="461"/>
      <c r="AC969" s="461"/>
    </row>
    <row r="970" spans="1:29">
      <c r="A970" s="461"/>
      <c r="B970" s="461"/>
      <c r="C970" s="461"/>
      <c r="D970" s="462"/>
      <c r="E970" s="461"/>
      <c r="F970" s="461"/>
      <c r="G970" s="461"/>
      <c r="H970" s="461"/>
      <c r="I970" s="461"/>
      <c r="J970" s="461"/>
      <c r="K970" s="461"/>
      <c r="L970" s="461"/>
      <c r="M970" s="461"/>
      <c r="N970" s="461"/>
      <c r="O970" s="461"/>
      <c r="P970" s="461"/>
      <c r="Q970" s="461"/>
      <c r="R970" s="463"/>
      <c r="S970" s="461"/>
      <c r="T970" s="463"/>
      <c r="U970" s="461"/>
      <c r="V970" s="463"/>
      <c r="W970" s="461"/>
      <c r="AC970" s="461"/>
    </row>
    <row r="971" spans="1:29">
      <c r="A971" s="461"/>
      <c r="B971" s="461"/>
      <c r="C971" s="461"/>
      <c r="D971" s="462"/>
      <c r="E971" s="461"/>
      <c r="F971" s="461"/>
      <c r="G971" s="461"/>
      <c r="H971" s="461"/>
      <c r="I971" s="461"/>
      <c r="J971" s="461"/>
      <c r="K971" s="461"/>
      <c r="L971" s="461"/>
      <c r="M971" s="461"/>
      <c r="N971" s="461"/>
      <c r="O971" s="461"/>
      <c r="P971" s="461"/>
      <c r="Q971" s="461"/>
      <c r="R971" s="463"/>
      <c r="S971" s="461"/>
      <c r="T971" s="463"/>
      <c r="U971" s="461"/>
      <c r="V971" s="463"/>
      <c r="W971" s="461"/>
      <c r="AC971" s="461"/>
    </row>
    <row r="972" spans="1:29">
      <c r="A972" s="461"/>
      <c r="B972" s="461"/>
      <c r="C972" s="461"/>
      <c r="D972" s="462"/>
      <c r="E972" s="461"/>
      <c r="F972" s="461"/>
      <c r="G972" s="461"/>
      <c r="H972" s="461"/>
      <c r="I972" s="461"/>
      <c r="J972" s="461"/>
      <c r="K972" s="461"/>
      <c r="L972" s="461"/>
      <c r="M972" s="461"/>
      <c r="N972" s="461"/>
      <c r="O972" s="461"/>
      <c r="P972" s="461"/>
      <c r="Q972" s="461"/>
      <c r="R972" s="463"/>
      <c r="S972" s="461"/>
      <c r="T972" s="463"/>
      <c r="U972" s="461"/>
      <c r="V972" s="463"/>
      <c r="W972" s="461"/>
      <c r="AC972" s="461"/>
    </row>
    <row r="973" spans="1:29">
      <c r="A973" s="461"/>
      <c r="B973" s="461"/>
      <c r="C973" s="461"/>
      <c r="D973" s="462"/>
      <c r="E973" s="461"/>
      <c r="F973" s="461"/>
      <c r="G973" s="461"/>
      <c r="H973" s="461"/>
      <c r="I973" s="461"/>
      <c r="J973" s="461"/>
      <c r="K973" s="461"/>
      <c r="L973" s="461"/>
      <c r="M973" s="461"/>
      <c r="N973" s="461"/>
      <c r="O973" s="461"/>
      <c r="P973" s="461"/>
      <c r="Q973" s="461"/>
      <c r="R973" s="463"/>
      <c r="S973" s="461"/>
      <c r="T973" s="463"/>
      <c r="U973" s="461"/>
      <c r="V973" s="463"/>
      <c r="W973" s="461"/>
      <c r="AC973" s="461"/>
    </row>
    <row r="974" spans="1:29">
      <c r="A974" s="461"/>
      <c r="B974" s="461"/>
      <c r="C974" s="461"/>
      <c r="D974" s="462"/>
      <c r="E974" s="461"/>
      <c r="F974" s="461"/>
      <c r="G974" s="461"/>
      <c r="H974" s="461"/>
      <c r="I974" s="461"/>
      <c r="J974" s="461"/>
      <c r="K974" s="461"/>
      <c r="L974" s="461"/>
      <c r="M974" s="461"/>
      <c r="N974" s="461"/>
      <c r="O974" s="461"/>
      <c r="P974" s="461"/>
      <c r="Q974" s="461"/>
      <c r="R974" s="463"/>
      <c r="S974" s="461"/>
      <c r="T974" s="463"/>
      <c r="U974" s="461"/>
      <c r="V974" s="463"/>
      <c r="W974" s="461"/>
      <c r="AC974" s="461"/>
    </row>
    <row r="975" spans="1:29">
      <c r="A975" s="461"/>
      <c r="B975" s="461"/>
      <c r="C975" s="461"/>
      <c r="D975" s="462"/>
      <c r="E975" s="461"/>
      <c r="F975" s="461"/>
      <c r="G975" s="461"/>
      <c r="H975" s="461"/>
      <c r="I975" s="461"/>
      <c r="J975" s="461"/>
      <c r="K975" s="461"/>
      <c r="L975" s="461"/>
      <c r="M975" s="461"/>
      <c r="N975" s="461"/>
      <c r="O975" s="461"/>
      <c r="P975" s="461"/>
      <c r="Q975" s="461"/>
      <c r="R975" s="463"/>
      <c r="S975" s="461"/>
      <c r="T975" s="463"/>
      <c r="U975" s="461"/>
      <c r="V975" s="463"/>
      <c r="W975" s="461"/>
      <c r="AC975" s="461"/>
    </row>
    <row r="976" spans="1:29">
      <c r="A976" s="461"/>
      <c r="B976" s="461"/>
      <c r="C976" s="461"/>
      <c r="D976" s="462"/>
      <c r="E976" s="461"/>
      <c r="F976" s="461"/>
      <c r="G976" s="461"/>
      <c r="H976" s="461"/>
      <c r="I976" s="461"/>
      <c r="J976" s="461"/>
      <c r="K976" s="461"/>
      <c r="L976" s="461"/>
      <c r="M976" s="461"/>
      <c r="N976" s="461"/>
      <c r="O976" s="461"/>
      <c r="P976" s="461"/>
      <c r="Q976" s="461"/>
      <c r="R976" s="463"/>
      <c r="S976" s="461"/>
      <c r="T976" s="463"/>
      <c r="U976" s="461"/>
      <c r="V976" s="463"/>
      <c r="W976" s="461"/>
      <c r="AC976" s="461"/>
    </row>
    <row r="977" spans="1:29">
      <c r="A977" s="461"/>
      <c r="B977" s="461"/>
      <c r="C977" s="461"/>
      <c r="D977" s="462"/>
      <c r="E977" s="461"/>
      <c r="F977" s="461"/>
      <c r="G977" s="461"/>
      <c r="H977" s="461"/>
      <c r="I977" s="461"/>
      <c r="J977" s="461"/>
      <c r="K977" s="461"/>
      <c r="L977" s="461"/>
      <c r="M977" s="461"/>
      <c r="N977" s="461"/>
      <c r="O977" s="461"/>
      <c r="P977" s="461"/>
      <c r="Q977" s="461"/>
      <c r="R977" s="463"/>
      <c r="S977" s="461"/>
      <c r="T977" s="463"/>
      <c r="U977" s="461"/>
      <c r="V977" s="463"/>
      <c r="W977" s="461"/>
      <c r="AC977" s="461"/>
    </row>
    <row r="978" spans="1:29">
      <c r="A978" s="461"/>
      <c r="B978" s="461"/>
      <c r="C978" s="461"/>
      <c r="D978" s="462"/>
      <c r="E978" s="461"/>
      <c r="F978" s="461"/>
      <c r="G978" s="461"/>
      <c r="H978" s="461"/>
      <c r="I978" s="461"/>
      <c r="J978" s="461"/>
      <c r="K978" s="461"/>
      <c r="L978" s="461"/>
      <c r="M978" s="461"/>
      <c r="N978" s="461"/>
      <c r="O978" s="461"/>
      <c r="P978" s="461"/>
      <c r="Q978" s="461"/>
      <c r="R978" s="463"/>
      <c r="S978" s="461"/>
      <c r="T978" s="463"/>
      <c r="U978" s="461"/>
      <c r="V978" s="463"/>
      <c r="W978" s="461"/>
      <c r="AC978" s="461"/>
    </row>
    <row r="979" spans="1:29">
      <c r="A979" s="461"/>
      <c r="B979" s="461"/>
      <c r="C979" s="461"/>
      <c r="D979" s="462"/>
      <c r="E979" s="461"/>
      <c r="F979" s="461"/>
      <c r="G979" s="461"/>
      <c r="H979" s="461"/>
      <c r="I979" s="461"/>
      <c r="J979" s="461"/>
      <c r="K979" s="461"/>
      <c r="L979" s="461"/>
      <c r="M979" s="461"/>
      <c r="N979" s="461"/>
      <c r="O979" s="461"/>
      <c r="P979" s="461"/>
      <c r="Q979" s="461"/>
      <c r="R979" s="463"/>
      <c r="S979" s="461"/>
      <c r="T979" s="463"/>
      <c r="U979" s="461"/>
      <c r="V979" s="463"/>
      <c r="W979" s="461"/>
      <c r="AC979" s="461"/>
    </row>
    <row r="980" spans="1:29">
      <c r="A980" s="461"/>
      <c r="B980" s="461"/>
      <c r="C980" s="461"/>
      <c r="D980" s="462"/>
      <c r="E980" s="461"/>
      <c r="F980" s="461"/>
      <c r="G980" s="461"/>
      <c r="H980" s="461"/>
      <c r="I980" s="461"/>
      <c r="J980" s="461"/>
      <c r="K980" s="461"/>
      <c r="L980" s="461"/>
      <c r="M980" s="461"/>
      <c r="N980" s="461"/>
      <c r="O980" s="461"/>
      <c r="P980" s="461"/>
      <c r="Q980" s="461"/>
      <c r="R980" s="463"/>
      <c r="S980" s="461"/>
      <c r="T980" s="463"/>
      <c r="U980" s="461"/>
      <c r="V980" s="463"/>
      <c r="W980" s="461"/>
      <c r="AC980" s="461"/>
    </row>
    <row r="981" spans="1:29">
      <c r="A981" s="461"/>
      <c r="B981" s="461"/>
      <c r="C981" s="461"/>
      <c r="D981" s="462"/>
      <c r="E981" s="461"/>
      <c r="F981" s="461"/>
      <c r="G981" s="461"/>
      <c r="H981" s="461"/>
      <c r="I981" s="461"/>
      <c r="J981" s="461"/>
      <c r="K981" s="461"/>
      <c r="L981" s="461"/>
      <c r="M981" s="461"/>
      <c r="N981" s="461"/>
      <c r="O981" s="461"/>
      <c r="P981" s="461"/>
      <c r="Q981" s="461"/>
      <c r="R981" s="463"/>
      <c r="S981" s="461"/>
      <c r="T981" s="463"/>
      <c r="U981" s="461"/>
      <c r="V981" s="463"/>
      <c r="W981" s="461"/>
      <c r="AC981" s="461"/>
    </row>
    <row r="982" spans="1:29">
      <c r="A982" s="461"/>
      <c r="B982" s="461"/>
      <c r="C982" s="461"/>
      <c r="D982" s="462"/>
      <c r="E982" s="461"/>
      <c r="F982" s="461"/>
      <c r="G982" s="461"/>
      <c r="H982" s="461"/>
      <c r="I982" s="461"/>
      <c r="J982" s="461"/>
      <c r="K982" s="461"/>
      <c r="L982" s="461"/>
      <c r="M982" s="461"/>
      <c r="N982" s="461"/>
      <c r="O982" s="461"/>
      <c r="P982" s="461"/>
      <c r="Q982" s="461"/>
      <c r="R982" s="463"/>
      <c r="S982" s="461"/>
      <c r="T982" s="463"/>
      <c r="U982" s="461"/>
      <c r="V982" s="463"/>
      <c r="W982" s="461"/>
      <c r="AC982" s="461"/>
    </row>
    <row r="983" spans="1:29">
      <c r="A983" s="461"/>
      <c r="B983" s="461"/>
      <c r="C983" s="461"/>
      <c r="D983" s="462"/>
      <c r="E983" s="461"/>
      <c r="F983" s="461"/>
      <c r="G983" s="461"/>
      <c r="H983" s="461"/>
      <c r="I983" s="461"/>
      <c r="J983" s="461"/>
      <c r="K983" s="461"/>
      <c r="L983" s="461"/>
      <c r="M983" s="461"/>
      <c r="N983" s="461"/>
      <c r="O983" s="461"/>
      <c r="P983" s="461"/>
      <c r="Q983" s="461"/>
      <c r="R983" s="463"/>
      <c r="S983" s="461"/>
      <c r="T983" s="463"/>
      <c r="U983" s="461"/>
      <c r="V983" s="463"/>
      <c r="W983" s="461"/>
      <c r="AC983" s="461"/>
    </row>
    <row r="984" spans="1:29">
      <c r="A984" s="461"/>
      <c r="B984" s="461"/>
      <c r="C984" s="461"/>
      <c r="D984" s="462"/>
      <c r="E984" s="461"/>
      <c r="F984" s="461"/>
      <c r="G984" s="461"/>
      <c r="H984" s="461"/>
      <c r="I984" s="461"/>
      <c r="J984" s="461"/>
      <c r="K984" s="461"/>
      <c r="L984" s="461"/>
      <c r="M984" s="461"/>
      <c r="N984" s="461"/>
      <c r="O984" s="461"/>
      <c r="P984" s="461"/>
      <c r="Q984" s="461"/>
      <c r="R984" s="463"/>
      <c r="S984" s="461"/>
      <c r="T984" s="463"/>
      <c r="U984" s="461"/>
      <c r="V984" s="463"/>
      <c r="W984" s="461"/>
      <c r="AC984" s="461"/>
    </row>
    <row r="985" spans="1:29">
      <c r="A985" s="461"/>
      <c r="B985" s="461"/>
      <c r="C985" s="461"/>
      <c r="D985" s="462"/>
      <c r="E985" s="461"/>
      <c r="F985" s="461"/>
      <c r="G985" s="461"/>
      <c r="H985" s="461"/>
      <c r="I985" s="461"/>
      <c r="J985" s="461"/>
      <c r="K985" s="461"/>
      <c r="L985" s="461"/>
      <c r="M985" s="461"/>
      <c r="N985" s="461"/>
      <c r="O985" s="461"/>
      <c r="P985" s="461"/>
      <c r="Q985" s="461"/>
      <c r="R985" s="463"/>
      <c r="S985" s="461"/>
      <c r="T985" s="463"/>
      <c r="U985" s="461"/>
      <c r="V985" s="463"/>
      <c r="W985" s="461"/>
      <c r="AC985" s="461"/>
    </row>
    <row r="986" spans="1:29">
      <c r="A986" s="461"/>
      <c r="B986" s="461"/>
      <c r="C986" s="461"/>
      <c r="D986" s="462"/>
      <c r="E986" s="461"/>
      <c r="F986" s="461"/>
      <c r="G986" s="461"/>
      <c r="H986" s="461"/>
      <c r="I986" s="461"/>
      <c r="J986" s="461"/>
      <c r="K986" s="461"/>
      <c r="L986" s="461"/>
      <c r="M986" s="461"/>
      <c r="N986" s="461"/>
      <c r="O986" s="461"/>
      <c r="P986" s="461"/>
      <c r="Q986" s="461"/>
      <c r="R986" s="463"/>
      <c r="S986" s="461"/>
      <c r="T986" s="463"/>
      <c r="U986" s="461"/>
      <c r="V986" s="463"/>
      <c r="W986" s="461"/>
      <c r="AC986" s="461"/>
    </row>
    <row r="987" spans="1:29">
      <c r="A987" s="461"/>
      <c r="B987" s="461"/>
      <c r="C987" s="461"/>
      <c r="D987" s="462"/>
      <c r="E987" s="461"/>
      <c r="F987" s="461"/>
      <c r="G987" s="461"/>
      <c r="H987" s="461"/>
      <c r="I987" s="461"/>
      <c r="J987" s="461"/>
      <c r="K987" s="461"/>
      <c r="L987" s="461"/>
      <c r="M987" s="461"/>
      <c r="N987" s="461"/>
      <c r="O987" s="461"/>
      <c r="P987" s="461"/>
      <c r="Q987" s="461"/>
      <c r="R987" s="463"/>
      <c r="S987" s="461"/>
      <c r="T987" s="463"/>
      <c r="U987" s="461"/>
      <c r="V987" s="463"/>
      <c r="W987" s="461"/>
      <c r="AC987" s="461"/>
    </row>
    <row r="988" spans="1:29">
      <c r="A988" s="461"/>
      <c r="B988" s="461"/>
      <c r="C988" s="461"/>
      <c r="D988" s="462"/>
      <c r="E988" s="461"/>
      <c r="F988" s="461"/>
      <c r="G988" s="461"/>
      <c r="H988" s="461"/>
      <c r="I988" s="461"/>
      <c r="J988" s="461"/>
      <c r="K988" s="461"/>
      <c r="L988" s="461"/>
      <c r="M988" s="461"/>
      <c r="N988" s="461"/>
      <c r="O988" s="461"/>
      <c r="P988" s="461"/>
      <c r="Q988" s="461"/>
      <c r="R988" s="463"/>
      <c r="S988" s="461"/>
      <c r="T988" s="463"/>
      <c r="U988" s="461"/>
      <c r="V988" s="463"/>
      <c r="W988" s="461"/>
      <c r="AC988" s="461"/>
    </row>
    <row r="989" spans="1:29">
      <c r="A989" s="461"/>
      <c r="B989" s="461"/>
      <c r="C989" s="461"/>
      <c r="D989" s="462"/>
      <c r="E989" s="461"/>
      <c r="F989" s="461"/>
      <c r="G989" s="461"/>
      <c r="H989" s="461"/>
      <c r="I989" s="461"/>
      <c r="J989" s="461"/>
      <c r="K989" s="461"/>
      <c r="L989" s="461"/>
      <c r="M989" s="461"/>
      <c r="N989" s="461"/>
      <c r="O989" s="461"/>
      <c r="P989" s="461"/>
      <c r="Q989" s="461"/>
      <c r="R989" s="463"/>
      <c r="S989" s="461"/>
      <c r="T989" s="463"/>
      <c r="U989" s="461"/>
      <c r="V989" s="463"/>
      <c r="W989" s="461"/>
      <c r="AC989" s="461"/>
    </row>
    <row r="990" spans="1:29">
      <c r="A990" s="461"/>
      <c r="B990" s="461"/>
      <c r="C990" s="461"/>
      <c r="D990" s="462"/>
      <c r="E990" s="461"/>
      <c r="F990" s="461"/>
      <c r="G990" s="461"/>
      <c r="H990" s="461"/>
      <c r="I990" s="461"/>
      <c r="J990" s="461"/>
      <c r="K990" s="461"/>
      <c r="L990" s="461"/>
      <c r="M990" s="461"/>
      <c r="N990" s="461"/>
      <c r="O990" s="461"/>
      <c r="P990" s="461"/>
      <c r="Q990" s="461"/>
      <c r="R990" s="463"/>
      <c r="S990" s="461"/>
      <c r="T990" s="463"/>
      <c r="U990" s="461"/>
      <c r="V990" s="463"/>
      <c r="W990" s="461"/>
      <c r="AC990" s="461"/>
    </row>
    <row r="991" spans="1:29">
      <c r="A991" s="461"/>
      <c r="B991" s="461"/>
      <c r="C991" s="461"/>
      <c r="D991" s="462"/>
      <c r="E991" s="461"/>
      <c r="F991" s="461"/>
      <c r="G991" s="461"/>
      <c r="H991" s="461"/>
      <c r="I991" s="461"/>
      <c r="J991" s="461"/>
      <c r="K991" s="461"/>
      <c r="L991" s="461"/>
      <c r="M991" s="461"/>
      <c r="N991" s="461"/>
      <c r="O991" s="461"/>
      <c r="P991" s="461"/>
      <c r="Q991" s="461"/>
      <c r="R991" s="463"/>
      <c r="S991" s="461"/>
      <c r="T991" s="463"/>
      <c r="U991" s="461"/>
      <c r="V991" s="463"/>
      <c r="W991" s="461"/>
      <c r="AC991" s="461"/>
    </row>
    <row r="992" spans="1:29">
      <c r="A992" s="461"/>
      <c r="B992" s="461"/>
      <c r="C992" s="461"/>
      <c r="D992" s="462"/>
      <c r="E992" s="461"/>
      <c r="F992" s="461"/>
      <c r="G992" s="461"/>
      <c r="H992" s="461"/>
      <c r="I992" s="461"/>
      <c r="J992" s="461"/>
      <c r="K992" s="461"/>
      <c r="L992" s="461"/>
      <c r="M992" s="461"/>
      <c r="N992" s="461"/>
      <c r="O992" s="461"/>
      <c r="P992" s="461"/>
      <c r="Q992" s="461"/>
      <c r="R992" s="463"/>
      <c r="S992" s="461"/>
      <c r="T992" s="463"/>
      <c r="U992" s="461"/>
      <c r="V992" s="463"/>
      <c r="W992" s="461"/>
      <c r="AC992" s="461"/>
    </row>
    <row r="993" spans="1:29">
      <c r="A993" s="461"/>
      <c r="B993" s="461"/>
      <c r="C993" s="461"/>
      <c r="D993" s="462"/>
      <c r="E993" s="461"/>
      <c r="F993" s="461"/>
      <c r="G993" s="461"/>
      <c r="H993" s="461"/>
      <c r="I993" s="461"/>
      <c r="J993" s="461"/>
      <c r="K993" s="461"/>
      <c r="L993" s="461"/>
      <c r="M993" s="461"/>
      <c r="N993" s="461"/>
      <c r="O993" s="461"/>
      <c r="P993" s="461"/>
      <c r="Q993" s="461"/>
      <c r="R993" s="463"/>
      <c r="S993" s="461"/>
      <c r="T993" s="463"/>
      <c r="U993" s="461"/>
      <c r="V993" s="463"/>
      <c r="W993" s="461"/>
      <c r="AC993" s="461"/>
    </row>
    <row r="994" spans="1:29">
      <c r="A994" s="461"/>
      <c r="B994" s="461"/>
      <c r="C994" s="461"/>
      <c r="D994" s="462"/>
      <c r="E994" s="461"/>
      <c r="F994" s="461"/>
      <c r="G994" s="461"/>
      <c r="H994" s="461"/>
      <c r="I994" s="461"/>
      <c r="J994" s="461"/>
      <c r="K994" s="461"/>
      <c r="L994" s="461"/>
      <c r="M994" s="461"/>
      <c r="N994" s="461"/>
      <c r="O994" s="461"/>
      <c r="P994" s="461"/>
      <c r="Q994" s="461"/>
      <c r="R994" s="463"/>
      <c r="S994" s="461"/>
      <c r="T994" s="463"/>
      <c r="U994" s="461"/>
      <c r="V994" s="463"/>
      <c r="W994" s="461"/>
      <c r="AC994" s="461"/>
    </row>
    <row r="995" spans="1:29">
      <c r="A995" s="461"/>
      <c r="B995" s="461"/>
      <c r="C995" s="461"/>
      <c r="D995" s="462"/>
      <c r="E995" s="461"/>
      <c r="F995" s="461"/>
      <c r="G995" s="461"/>
      <c r="H995" s="461"/>
      <c r="I995" s="461"/>
      <c r="J995" s="461"/>
      <c r="K995" s="461"/>
      <c r="L995" s="461"/>
      <c r="M995" s="461"/>
      <c r="N995" s="461"/>
      <c r="O995" s="461"/>
      <c r="P995" s="461"/>
      <c r="Q995" s="461"/>
      <c r="R995" s="463"/>
      <c r="S995" s="461"/>
      <c r="T995" s="463"/>
      <c r="U995" s="461"/>
      <c r="V995" s="463"/>
      <c r="W995" s="461"/>
      <c r="AC995" s="461"/>
    </row>
    <row r="996" spans="1:29">
      <c r="A996" s="461"/>
      <c r="B996" s="461"/>
      <c r="C996" s="461"/>
      <c r="D996" s="462"/>
      <c r="E996" s="461"/>
      <c r="F996" s="461"/>
      <c r="G996" s="461"/>
      <c r="H996" s="461"/>
      <c r="I996" s="461"/>
      <c r="J996" s="461"/>
      <c r="K996" s="461"/>
      <c r="L996" s="461"/>
      <c r="M996" s="461"/>
      <c r="N996" s="461"/>
      <c r="O996" s="461"/>
      <c r="P996" s="461"/>
      <c r="Q996" s="461"/>
      <c r="R996" s="463"/>
      <c r="S996" s="461"/>
      <c r="T996" s="463"/>
      <c r="U996" s="461"/>
      <c r="V996" s="463"/>
      <c r="W996" s="461"/>
      <c r="AC996" s="461"/>
    </row>
    <row r="997" spans="1:29">
      <c r="A997" s="461"/>
      <c r="B997" s="461"/>
      <c r="C997" s="461"/>
      <c r="D997" s="462"/>
      <c r="E997" s="461"/>
      <c r="F997" s="461"/>
      <c r="G997" s="461"/>
      <c r="H997" s="461"/>
      <c r="I997" s="461"/>
      <c r="J997" s="461"/>
      <c r="K997" s="461"/>
      <c r="L997" s="461"/>
      <c r="M997" s="461"/>
      <c r="N997" s="461"/>
      <c r="O997" s="461"/>
      <c r="P997" s="461"/>
      <c r="Q997" s="461"/>
      <c r="R997" s="463"/>
      <c r="S997" s="461"/>
      <c r="T997" s="463"/>
      <c r="U997" s="461"/>
      <c r="V997" s="463"/>
      <c r="W997" s="461"/>
      <c r="AC997" s="461"/>
    </row>
    <row r="998" spans="1:29">
      <c r="A998" s="461"/>
      <c r="B998" s="461"/>
      <c r="C998" s="461"/>
      <c r="D998" s="462"/>
      <c r="E998" s="461"/>
      <c r="F998" s="461"/>
      <c r="G998" s="461"/>
      <c r="H998" s="461"/>
      <c r="I998" s="461"/>
      <c r="J998" s="461"/>
      <c r="K998" s="461"/>
      <c r="L998" s="461"/>
      <c r="M998" s="461"/>
      <c r="N998" s="461"/>
      <c r="O998" s="461"/>
      <c r="P998" s="461"/>
      <c r="Q998" s="461"/>
      <c r="R998" s="463"/>
      <c r="S998" s="461"/>
      <c r="T998" s="463"/>
      <c r="U998" s="461"/>
      <c r="V998" s="463"/>
      <c r="W998" s="461"/>
      <c r="AC998" s="461"/>
    </row>
    <row r="999" spans="1:29">
      <c r="A999" s="461"/>
      <c r="B999" s="461"/>
      <c r="C999" s="461"/>
      <c r="D999" s="462"/>
      <c r="E999" s="461"/>
      <c r="F999" s="461"/>
      <c r="G999" s="461"/>
      <c r="H999" s="461"/>
      <c r="I999" s="461"/>
      <c r="J999" s="461"/>
      <c r="K999" s="461"/>
      <c r="L999" s="461"/>
      <c r="M999" s="461"/>
      <c r="N999" s="461"/>
      <c r="O999" s="461"/>
      <c r="P999" s="461"/>
      <c r="Q999" s="461"/>
      <c r="R999" s="463"/>
      <c r="S999" s="461"/>
      <c r="T999" s="463"/>
      <c r="U999" s="461"/>
      <c r="V999" s="463"/>
      <c r="W999" s="461"/>
      <c r="AC999" s="461"/>
    </row>
    <row r="1000" spans="1:29">
      <c r="A1000" s="461"/>
      <c r="B1000" s="461"/>
      <c r="C1000" s="461"/>
      <c r="D1000" s="462"/>
      <c r="E1000" s="461"/>
      <c r="F1000" s="461"/>
      <c r="G1000" s="461"/>
      <c r="H1000" s="461"/>
      <c r="I1000" s="461"/>
      <c r="J1000" s="461"/>
      <c r="K1000" s="461"/>
      <c r="L1000" s="461"/>
      <c r="M1000" s="461"/>
      <c r="N1000" s="461"/>
      <c r="O1000" s="461"/>
      <c r="P1000" s="461"/>
      <c r="Q1000" s="461"/>
      <c r="R1000" s="463"/>
      <c r="S1000" s="461"/>
      <c r="T1000" s="463"/>
      <c r="U1000" s="461"/>
      <c r="V1000" s="463"/>
      <c r="W1000" s="461"/>
      <c r="AC1000" s="461"/>
    </row>
    <row r="1001" spans="1:29">
      <c r="A1001" s="461"/>
      <c r="B1001" s="461"/>
      <c r="C1001" s="461"/>
      <c r="D1001" s="462"/>
      <c r="E1001" s="461"/>
      <c r="F1001" s="461"/>
      <c r="G1001" s="461"/>
      <c r="H1001" s="461"/>
      <c r="I1001" s="461"/>
      <c r="J1001" s="461"/>
      <c r="K1001" s="461"/>
      <c r="L1001" s="461"/>
      <c r="M1001" s="461"/>
      <c r="N1001" s="461"/>
      <c r="O1001" s="461"/>
      <c r="P1001" s="461"/>
      <c r="Q1001" s="461"/>
      <c r="R1001" s="463"/>
      <c r="S1001" s="461"/>
      <c r="T1001" s="463"/>
      <c r="U1001" s="461"/>
      <c r="V1001" s="463"/>
      <c r="W1001" s="461"/>
      <c r="AC1001" s="461"/>
    </row>
    <row r="1002" spans="1:29">
      <c r="A1002" s="461"/>
      <c r="B1002" s="461"/>
      <c r="C1002" s="461"/>
      <c r="D1002" s="462"/>
      <c r="E1002" s="461"/>
      <c r="F1002" s="461"/>
      <c r="G1002" s="461"/>
      <c r="H1002" s="461"/>
      <c r="I1002" s="461"/>
      <c r="J1002" s="461"/>
      <c r="K1002" s="461"/>
      <c r="L1002" s="461"/>
      <c r="M1002" s="461"/>
      <c r="N1002" s="461"/>
      <c r="O1002" s="461"/>
      <c r="P1002" s="461"/>
      <c r="Q1002" s="461"/>
      <c r="R1002" s="463"/>
      <c r="S1002" s="461"/>
      <c r="T1002" s="463"/>
      <c r="U1002" s="461"/>
      <c r="V1002" s="463"/>
      <c r="W1002" s="461"/>
      <c r="AC1002" s="461"/>
    </row>
    <row r="1003" spans="1:29">
      <c r="A1003" s="461"/>
      <c r="B1003" s="461"/>
      <c r="C1003" s="461"/>
      <c r="D1003" s="462"/>
      <c r="E1003" s="461"/>
      <c r="F1003" s="461"/>
      <c r="G1003" s="461"/>
      <c r="H1003" s="461"/>
      <c r="I1003" s="461"/>
      <c r="J1003" s="461"/>
      <c r="K1003" s="461"/>
      <c r="L1003" s="461"/>
      <c r="M1003" s="461"/>
      <c r="N1003" s="461"/>
      <c r="O1003" s="461"/>
      <c r="P1003" s="461"/>
      <c r="Q1003" s="461"/>
      <c r="R1003" s="463"/>
      <c r="S1003" s="461"/>
      <c r="T1003" s="463"/>
      <c r="U1003" s="461"/>
      <c r="V1003" s="463"/>
      <c r="W1003" s="461"/>
      <c r="AC1003" s="461"/>
    </row>
    <row r="1004" spans="1:29">
      <c r="A1004" s="461"/>
      <c r="B1004" s="461"/>
      <c r="C1004" s="461"/>
      <c r="D1004" s="462"/>
      <c r="E1004" s="461"/>
      <c r="F1004" s="461"/>
      <c r="G1004" s="461"/>
      <c r="H1004" s="461"/>
      <c r="I1004" s="461"/>
      <c r="J1004" s="461"/>
      <c r="K1004" s="461"/>
      <c r="L1004" s="461"/>
      <c r="M1004" s="461"/>
      <c r="N1004" s="461"/>
      <c r="O1004" s="461"/>
      <c r="P1004" s="461"/>
      <c r="Q1004" s="461"/>
      <c r="R1004" s="463"/>
      <c r="S1004" s="461"/>
      <c r="T1004" s="463"/>
      <c r="U1004" s="461"/>
      <c r="V1004" s="463"/>
      <c r="W1004" s="461"/>
      <c r="AC1004" s="461"/>
    </row>
    <row r="1005" spans="1:29">
      <c r="A1005" s="461"/>
      <c r="B1005" s="461"/>
      <c r="C1005" s="461"/>
      <c r="D1005" s="462"/>
      <c r="E1005" s="461"/>
      <c r="F1005" s="461"/>
      <c r="G1005" s="461"/>
      <c r="H1005" s="461"/>
      <c r="I1005" s="461"/>
      <c r="J1005" s="461"/>
      <c r="K1005" s="461"/>
      <c r="L1005" s="461"/>
      <c r="M1005" s="461"/>
      <c r="N1005" s="461"/>
      <c r="O1005" s="461"/>
      <c r="P1005" s="461"/>
      <c r="Q1005" s="461"/>
      <c r="R1005" s="463"/>
      <c r="S1005" s="461"/>
      <c r="T1005" s="463"/>
      <c r="U1005" s="461"/>
      <c r="V1005" s="463"/>
      <c r="W1005" s="461"/>
      <c r="AC1005" s="461"/>
    </row>
    <row r="1006" spans="1:29">
      <c r="A1006" s="461"/>
      <c r="B1006" s="461"/>
      <c r="C1006" s="461"/>
      <c r="D1006" s="462"/>
      <c r="E1006" s="461"/>
      <c r="F1006" s="461"/>
      <c r="G1006" s="461"/>
      <c r="H1006" s="461"/>
      <c r="I1006" s="461"/>
      <c r="J1006" s="461"/>
      <c r="K1006" s="461"/>
      <c r="L1006" s="461"/>
      <c r="M1006" s="461"/>
      <c r="N1006" s="461"/>
      <c r="O1006" s="461"/>
      <c r="P1006" s="461"/>
      <c r="Q1006" s="461"/>
      <c r="R1006" s="463"/>
      <c r="S1006" s="461"/>
      <c r="T1006" s="463"/>
      <c r="U1006" s="461"/>
      <c r="V1006" s="463"/>
      <c r="W1006" s="461"/>
      <c r="AC1006" s="461"/>
    </row>
    <row r="1007" spans="1:29">
      <c r="A1007" s="461"/>
      <c r="B1007" s="461"/>
      <c r="C1007" s="461"/>
      <c r="D1007" s="462"/>
      <c r="E1007" s="461"/>
      <c r="F1007" s="461"/>
      <c r="G1007" s="461"/>
      <c r="H1007" s="461"/>
      <c r="I1007" s="461"/>
      <c r="J1007" s="461"/>
      <c r="K1007" s="461"/>
      <c r="L1007" s="461"/>
      <c r="M1007" s="461"/>
      <c r="N1007" s="461"/>
      <c r="O1007" s="461"/>
      <c r="P1007" s="461"/>
      <c r="Q1007" s="461"/>
      <c r="R1007" s="463"/>
      <c r="S1007" s="461"/>
      <c r="T1007" s="463"/>
      <c r="U1007" s="461"/>
      <c r="V1007" s="463"/>
      <c r="W1007" s="461"/>
      <c r="AC1007" s="461"/>
    </row>
    <row r="1008" spans="1:29">
      <c r="A1008" s="461"/>
      <c r="B1008" s="461"/>
      <c r="C1008" s="461"/>
      <c r="D1008" s="462"/>
      <c r="E1008" s="461"/>
      <c r="F1008" s="461"/>
      <c r="G1008" s="461"/>
      <c r="H1008" s="461"/>
      <c r="I1008" s="461"/>
      <c r="J1008" s="461"/>
      <c r="K1008" s="461"/>
      <c r="L1008" s="461"/>
      <c r="M1008" s="461"/>
      <c r="N1008" s="461"/>
      <c r="O1008" s="461"/>
      <c r="P1008" s="461"/>
      <c r="Q1008" s="461"/>
      <c r="R1008" s="463"/>
      <c r="S1008" s="461"/>
      <c r="T1008" s="463"/>
      <c r="U1008" s="461"/>
      <c r="V1008" s="463"/>
      <c r="W1008" s="461"/>
      <c r="AC1008" s="461"/>
    </row>
  </sheetData>
  <mergeCells count="1">
    <mergeCell ref="F6:T6"/>
  </mergeCells>
  <pageMargins left="0.7" right="0.7" top="0.75" bottom="0.75" header="0.3" footer="0.3"/>
  <pageSetup paperSize="9" orientation="portrait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654C-CB3B-4D7F-8CAA-22AB0B3AA5BC}">
  <sheetPr>
    <tabColor theme="3" tint="0.39997558519241921"/>
  </sheetPr>
  <dimension ref="A1:AO82"/>
  <sheetViews>
    <sheetView showGridLines="0" workbookViewId="0">
      <pane xSplit="5" ySplit="7" topLeftCell="N8" activePane="bottomRight" state="frozen"/>
      <selection pane="bottomRight" activeCell="N2" sqref="N2"/>
      <selection pane="bottomLeft" activeCell="A10" sqref="A10"/>
      <selection pane="topRight" activeCell="C1" sqref="C1"/>
    </sheetView>
  </sheetViews>
  <sheetFormatPr defaultColWidth="18" defaultRowHeight="14.25" customHeight="1"/>
  <cols>
    <col min="1" max="1" width="5.5703125" style="2025" customWidth="1"/>
    <col min="2" max="3" width="2.5703125" style="2026" customWidth="1"/>
    <col min="4" max="4" width="54.42578125" style="2041" customWidth="1"/>
    <col min="5" max="39" width="15.5703125" style="2041" customWidth="1"/>
    <col min="40" max="40" width="9.42578125" style="2041" customWidth="1"/>
    <col min="41" max="41" width="12.5703125" style="2041" bestFit="1" customWidth="1"/>
    <col min="42" max="263" width="9.42578125" style="2041" customWidth="1"/>
    <col min="264" max="264" width="48.5703125" style="2041" customWidth="1"/>
    <col min="265" max="265" width="18" style="2041"/>
    <col min="266" max="266" width="48.5703125" style="2041" customWidth="1"/>
    <col min="267" max="267" width="18" style="2041"/>
    <col min="268" max="276" width="15.5703125" style="2041" customWidth="1"/>
    <col min="277" max="277" width="10.42578125" style="2041" customWidth="1"/>
    <col min="278" max="295" width="15.5703125" style="2041" customWidth="1"/>
    <col min="296" max="296" width="9.42578125" style="2041" customWidth="1"/>
    <col min="297" max="297" width="12.5703125" style="2041" bestFit="1" customWidth="1"/>
    <col min="298" max="519" width="9.42578125" style="2041" customWidth="1"/>
    <col min="520" max="520" width="48.5703125" style="2041" customWidth="1"/>
    <col min="521" max="521" width="18" style="2041"/>
    <col min="522" max="522" width="48.5703125" style="2041" customWidth="1"/>
    <col min="523" max="523" width="18" style="2041"/>
    <col min="524" max="532" width="15.5703125" style="2041" customWidth="1"/>
    <col min="533" max="533" width="10.42578125" style="2041" customWidth="1"/>
    <col min="534" max="551" width="15.5703125" style="2041" customWidth="1"/>
    <col min="552" max="552" width="9.42578125" style="2041" customWidth="1"/>
    <col min="553" max="553" width="12.5703125" style="2041" bestFit="1" customWidth="1"/>
    <col min="554" max="775" width="9.42578125" style="2041" customWidth="1"/>
    <col min="776" max="776" width="48.5703125" style="2041" customWidth="1"/>
    <col min="777" max="777" width="18" style="2041"/>
    <col min="778" max="778" width="48.5703125" style="2041" customWidth="1"/>
    <col min="779" max="779" width="18" style="2041"/>
    <col min="780" max="788" width="15.5703125" style="2041" customWidth="1"/>
    <col min="789" max="789" width="10.42578125" style="2041" customWidth="1"/>
    <col min="790" max="807" width="15.5703125" style="2041" customWidth="1"/>
    <col min="808" max="808" width="9.42578125" style="2041" customWidth="1"/>
    <col min="809" max="809" width="12.5703125" style="2041" bestFit="1" customWidth="1"/>
    <col min="810" max="1031" width="9.42578125" style="2041" customWidth="1"/>
    <col min="1032" max="1032" width="48.5703125" style="2041" customWidth="1"/>
    <col min="1033" max="1033" width="18" style="2041"/>
    <col min="1034" max="1034" width="48.5703125" style="2041" customWidth="1"/>
    <col min="1035" max="1035" width="18" style="2041"/>
    <col min="1036" max="1044" width="15.5703125" style="2041" customWidth="1"/>
    <col min="1045" max="1045" width="10.42578125" style="2041" customWidth="1"/>
    <col min="1046" max="1063" width="15.5703125" style="2041" customWidth="1"/>
    <col min="1064" max="1064" width="9.42578125" style="2041" customWidth="1"/>
    <col min="1065" max="1065" width="12.5703125" style="2041" bestFit="1" customWidth="1"/>
    <col min="1066" max="1287" width="9.42578125" style="2041" customWidth="1"/>
    <col min="1288" max="1288" width="48.5703125" style="2041" customWidth="1"/>
    <col min="1289" max="1289" width="18" style="2041"/>
    <col min="1290" max="1290" width="48.5703125" style="2041" customWidth="1"/>
    <col min="1291" max="1291" width="18" style="2041"/>
    <col min="1292" max="1300" width="15.5703125" style="2041" customWidth="1"/>
    <col min="1301" max="1301" width="10.42578125" style="2041" customWidth="1"/>
    <col min="1302" max="1319" width="15.5703125" style="2041" customWidth="1"/>
    <col min="1320" max="1320" width="9.42578125" style="2041" customWidth="1"/>
    <col min="1321" max="1321" width="12.5703125" style="2041" bestFit="1" customWidth="1"/>
    <col min="1322" max="1543" width="9.42578125" style="2041" customWidth="1"/>
    <col min="1544" max="1544" width="48.5703125" style="2041" customWidth="1"/>
    <col min="1545" max="1545" width="18" style="2041"/>
    <col min="1546" max="1546" width="48.5703125" style="2041" customWidth="1"/>
    <col min="1547" max="1547" width="18" style="2041"/>
    <col min="1548" max="1556" width="15.5703125" style="2041" customWidth="1"/>
    <col min="1557" max="1557" width="10.42578125" style="2041" customWidth="1"/>
    <col min="1558" max="1575" width="15.5703125" style="2041" customWidth="1"/>
    <col min="1576" max="1576" width="9.42578125" style="2041" customWidth="1"/>
    <col min="1577" max="1577" width="12.5703125" style="2041" bestFit="1" customWidth="1"/>
    <col min="1578" max="1799" width="9.42578125" style="2041" customWidth="1"/>
    <col min="1800" max="1800" width="48.5703125" style="2041" customWidth="1"/>
    <col min="1801" max="1801" width="18" style="2041"/>
    <col min="1802" max="1802" width="48.5703125" style="2041" customWidth="1"/>
    <col min="1803" max="1803" width="18" style="2041"/>
    <col min="1804" max="1812" width="15.5703125" style="2041" customWidth="1"/>
    <col min="1813" max="1813" width="10.42578125" style="2041" customWidth="1"/>
    <col min="1814" max="1831" width="15.5703125" style="2041" customWidth="1"/>
    <col min="1832" max="1832" width="9.42578125" style="2041" customWidth="1"/>
    <col min="1833" max="1833" width="12.5703125" style="2041" bestFit="1" customWidth="1"/>
    <col min="1834" max="2055" width="9.42578125" style="2041" customWidth="1"/>
    <col min="2056" max="2056" width="48.5703125" style="2041" customWidth="1"/>
    <col min="2057" max="2057" width="18" style="2041"/>
    <col min="2058" max="2058" width="48.5703125" style="2041" customWidth="1"/>
    <col min="2059" max="2059" width="18" style="2041"/>
    <col min="2060" max="2068" width="15.5703125" style="2041" customWidth="1"/>
    <col min="2069" max="2069" width="10.42578125" style="2041" customWidth="1"/>
    <col min="2070" max="2087" width="15.5703125" style="2041" customWidth="1"/>
    <col min="2088" max="2088" width="9.42578125" style="2041" customWidth="1"/>
    <col min="2089" max="2089" width="12.5703125" style="2041" bestFit="1" customWidth="1"/>
    <col min="2090" max="2311" width="9.42578125" style="2041" customWidth="1"/>
    <col min="2312" max="2312" width="48.5703125" style="2041" customWidth="1"/>
    <col min="2313" max="2313" width="18" style="2041"/>
    <col min="2314" max="2314" width="48.5703125" style="2041" customWidth="1"/>
    <col min="2315" max="2315" width="18" style="2041"/>
    <col min="2316" max="2324" width="15.5703125" style="2041" customWidth="1"/>
    <col min="2325" max="2325" width="10.42578125" style="2041" customWidth="1"/>
    <col min="2326" max="2343" width="15.5703125" style="2041" customWidth="1"/>
    <col min="2344" max="2344" width="9.42578125" style="2041" customWidth="1"/>
    <col min="2345" max="2345" width="12.5703125" style="2041" bestFit="1" customWidth="1"/>
    <col min="2346" max="2567" width="9.42578125" style="2041" customWidth="1"/>
    <col min="2568" max="2568" width="48.5703125" style="2041" customWidth="1"/>
    <col min="2569" max="2569" width="18" style="2041"/>
    <col min="2570" max="2570" width="48.5703125" style="2041" customWidth="1"/>
    <col min="2571" max="2571" width="18" style="2041"/>
    <col min="2572" max="2580" width="15.5703125" style="2041" customWidth="1"/>
    <col min="2581" max="2581" width="10.42578125" style="2041" customWidth="1"/>
    <col min="2582" max="2599" width="15.5703125" style="2041" customWidth="1"/>
    <col min="2600" max="2600" width="9.42578125" style="2041" customWidth="1"/>
    <col min="2601" max="2601" width="12.5703125" style="2041" bestFit="1" customWidth="1"/>
    <col min="2602" max="2823" width="9.42578125" style="2041" customWidth="1"/>
    <col min="2824" max="2824" width="48.5703125" style="2041" customWidth="1"/>
    <col min="2825" max="2825" width="18" style="2041"/>
    <col min="2826" max="2826" width="48.5703125" style="2041" customWidth="1"/>
    <col min="2827" max="2827" width="18" style="2041"/>
    <col min="2828" max="2836" width="15.5703125" style="2041" customWidth="1"/>
    <col min="2837" max="2837" width="10.42578125" style="2041" customWidth="1"/>
    <col min="2838" max="2855" width="15.5703125" style="2041" customWidth="1"/>
    <col min="2856" max="2856" width="9.42578125" style="2041" customWidth="1"/>
    <col min="2857" max="2857" width="12.5703125" style="2041" bestFit="1" customWidth="1"/>
    <col min="2858" max="3079" width="9.42578125" style="2041" customWidth="1"/>
    <col min="3080" max="3080" width="48.5703125" style="2041" customWidth="1"/>
    <col min="3081" max="3081" width="18" style="2041"/>
    <col min="3082" max="3082" width="48.5703125" style="2041" customWidth="1"/>
    <col min="3083" max="3083" width="18" style="2041"/>
    <col min="3084" max="3092" width="15.5703125" style="2041" customWidth="1"/>
    <col min="3093" max="3093" width="10.42578125" style="2041" customWidth="1"/>
    <col min="3094" max="3111" width="15.5703125" style="2041" customWidth="1"/>
    <col min="3112" max="3112" width="9.42578125" style="2041" customWidth="1"/>
    <col min="3113" max="3113" width="12.5703125" style="2041" bestFit="1" customWidth="1"/>
    <col min="3114" max="3335" width="9.42578125" style="2041" customWidth="1"/>
    <col min="3336" max="3336" width="48.5703125" style="2041" customWidth="1"/>
    <col min="3337" max="3337" width="18" style="2041"/>
    <col min="3338" max="3338" width="48.5703125" style="2041" customWidth="1"/>
    <col min="3339" max="3339" width="18" style="2041"/>
    <col min="3340" max="3348" width="15.5703125" style="2041" customWidth="1"/>
    <col min="3349" max="3349" width="10.42578125" style="2041" customWidth="1"/>
    <col min="3350" max="3367" width="15.5703125" style="2041" customWidth="1"/>
    <col min="3368" max="3368" width="9.42578125" style="2041" customWidth="1"/>
    <col min="3369" max="3369" width="12.5703125" style="2041" bestFit="1" customWidth="1"/>
    <col min="3370" max="3591" width="9.42578125" style="2041" customWidth="1"/>
    <col min="3592" max="3592" width="48.5703125" style="2041" customWidth="1"/>
    <col min="3593" max="3593" width="18" style="2041"/>
    <col min="3594" max="3594" width="48.5703125" style="2041" customWidth="1"/>
    <col min="3595" max="3595" width="18" style="2041"/>
    <col min="3596" max="3604" width="15.5703125" style="2041" customWidth="1"/>
    <col min="3605" max="3605" width="10.42578125" style="2041" customWidth="1"/>
    <col min="3606" max="3623" width="15.5703125" style="2041" customWidth="1"/>
    <col min="3624" max="3624" width="9.42578125" style="2041" customWidth="1"/>
    <col min="3625" max="3625" width="12.5703125" style="2041" bestFit="1" customWidth="1"/>
    <col min="3626" max="3847" width="9.42578125" style="2041" customWidth="1"/>
    <col min="3848" max="3848" width="48.5703125" style="2041" customWidth="1"/>
    <col min="3849" max="3849" width="18" style="2041"/>
    <col min="3850" max="3850" width="48.5703125" style="2041" customWidth="1"/>
    <col min="3851" max="3851" width="18" style="2041"/>
    <col min="3852" max="3860" width="15.5703125" style="2041" customWidth="1"/>
    <col min="3861" max="3861" width="10.42578125" style="2041" customWidth="1"/>
    <col min="3862" max="3879" width="15.5703125" style="2041" customWidth="1"/>
    <col min="3880" max="3880" width="9.42578125" style="2041" customWidth="1"/>
    <col min="3881" max="3881" width="12.5703125" style="2041" bestFit="1" customWidth="1"/>
    <col min="3882" max="4103" width="9.42578125" style="2041" customWidth="1"/>
    <col min="4104" max="4104" width="48.5703125" style="2041" customWidth="1"/>
    <col min="4105" max="4105" width="18" style="2041"/>
    <col min="4106" max="4106" width="48.5703125" style="2041" customWidth="1"/>
    <col min="4107" max="4107" width="18" style="2041"/>
    <col min="4108" max="4116" width="15.5703125" style="2041" customWidth="1"/>
    <col min="4117" max="4117" width="10.42578125" style="2041" customWidth="1"/>
    <col min="4118" max="4135" width="15.5703125" style="2041" customWidth="1"/>
    <col min="4136" max="4136" width="9.42578125" style="2041" customWidth="1"/>
    <col min="4137" max="4137" width="12.5703125" style="2041" bestFit="1" customWidth="1"/>
    <col min="4138" max="4359" width="9.42578125" style="2041" customWidth="1"/>
    <col min="4360" max="4360" width="48.5703125" style="2041" customWidth="1"/>
    <col min="4361" max="4361" width="18" style="2041"/>
    <col min="4362" max="4362" width="48.5703125" style="2041" customWidth="1"/>
    <col min="4363" max="4363" width="18" style="2041"/>
    <col min="4364" max="4372" width="15.5703125" style="2041" customWidth="1"/>
    <col min="4373" max="4373" width="10.42578125" style="2041" customWidth="1"/>
    <col min="4374" max="4391" width="15.5703125" style="2041" customWidth="1"/>
    <col min="4392" max="4392" width="9.42578125" style="2041" customWidth="1"/>
    <col min="4393" max="4393" width="12.5703125" style="2041" bestFit="1" customWidth="1"/>
    <col min="4394" max="4615" width="9.42578125" style="2041" customWidth="1"/>
    <col min="4616" max="4616" width="48.5703125" style="2041" customWidth="1"/>
    <col min="4617" max="4617" width="18" style="2041"/>
    <col min="4618" max="4618" width="48.5703125" style="2041" customWidth="1"/>
    <col min="4619" max="4619" width="18" style="2041"/>
    <col min="4620" max="4628" width="15.5703125" style="2041" customWidth="1"/>
    <col min="4629" max="4629" width="10.42578125" style="2041" customWidth="1"/>
    <col min="4630" max="4647" width="15.5703125" style="2041" customWidth="1"/>
    <col min="4648" max="4648" width="9.42578125" style="2041" customWidth="1"/>
    <col min="4649" max="4649" width="12.5703125" style="2041" bestFit="1" customWidth="1"/>
    <col min="4650" max="4871" width="9.42578125" style="2041" customWidth="1"/>
    <col min="4872" max="4872" width="48.5703125" style="2041" customWidth="1"/>
    <col min="4873" max="4873" width="18" style="2041"/>
    <col min="4874" max="4874" width="48.5703125" style="2041" customWidth="1"/>
    <col min="4875" max="4875" width="18" style="2041"/>
    <col min="4876" max="4884" width="15.5703125" style="2041" customWidth="1"/>
    <col min="4885" max="4885" width="10.42578125" style="2041" customWidth="1"/>
    <col min="4886" max="4903" width="15.5703125" style="2041" customWidth="1"/>
    <col min="4904" max="4904" width="9.42578125" style="2041" customWidth="1"/>
    <col min="4905" max="4905" width="12.5703125" style="2041" bestFit="1" customWidth="1"/>
    <col min="4906" max="5127" width="9.42578125" style="2041" customWidth="1"/>
    <col min="5128" max="5128" width="48.5703125" style="2041" customWidth="1"/>
    <col min="5129" max="5129" width="18" style="2041"/>
    <col min="5130" max="5130" width="48.5703125" style="2041" customWidth="1"/>
    <col min="5131" max="5131" width="18" style="2041"/>
    <col min="5132" max="5140" width="15.5703125" style="2041" customWidth="1"/>
    <col min="5141" max="5141" width="10.42578125" style="2041" customWidth="1"/>
    <col min="5142" max="5159" width="15.5703125" style="2041" customWidth="1"/>
    <col min="5160" max="5160" width="9.42578125" style="2041" customWidth="1"/>
    <col min="5161" max="5161" width="12.5703125" style="2041" bestFit="1" customWidth="1"/>
    <col min="5162" max="5383" width="9.42578125" style="2041" customWidth="1"/>
    <col min="5384" max="5384" width="48.5703125" style="2041" customWidth="1"/>
    <col min="5385" max="5385" width="18" style="2041"/>
    <col min="5386" max="5386" width="48.5703125" style="2041" customWidth="1"/>
    <col min="5387" max="5387" width="18" style="2041"/>
    <col min="5388" max="5396" width="15.5703125" style="2041" customWidth="1"/>
    <col min="5397" max="5397" width="10.42578125" style="2041" customWidth="1"/>
    <col min="5398" max="5415" width="15.5703125" style="2041" customWidth="1"/>
    <col min="5416" max="5416" width="9.42578125" style="2041" customWidth="1"/>
    <col min="5417" max="5417" width="12.5703125" style="2041" bestFit="1" customWidth="1"/>
    <col min="5418" max="5639" width="9.42578125" style="2041" customWidth="1"/>
    <col min="5640" max="5640" width="48.5703125" style="2041" customWidth="1"/>
    <col min="5641" max="5641" width="18" style="2041"/>
    <col min="5642" max="5642" width="48.5703125" style="2041" customWidth="1"/>
    <col min="5643" max="5643" width="18" style="2041"/>
    <col min="5644" max="5652" width="15.5703125" style="2041" customWidth="1"/>
    <col min="5653" max="5653" width="10.42578125" style="2041" customWidth="1"/>
    <col min="5654" max="5671" width="15.5703125" style="2041" customWidth="1"/>
    <col min="5672" max="5672" width="9.42578125" style="2041" customWidth="1"/>
    <col min="5673" max="5673" width="12.5703125" style="2041" bestFit="1" customWidth="1"/>
    <col min="5674" max="5895" width="9.42578125" style="2041" customWidth="1"/>
    <col min="5896" max="5896" width="48.5703125" style="2041" customWidth="1"/>
    <col min="5897" max="5897" width="18" style="2041"/>
    <col min="5898" max="5898" width="48.5703125" style="2041" customWidth="1"/>
    <col min="5899" max="5899" width="18" style="2041"/>
    <col min="5900" max="5908" width="15.5703125" style="2041" customWidth="1"/>
    <col min="5909" max="5909" width="10.42578125" style="2041" customWidth="1"/>
    <col min="5910" max="5927" width="15.5703125" style="2041" customWidth="1"/>
    <col min="5928" max="5928" width="9.42578125" style="2041" customWidth="1"/>
    <col min="5929" max="5929" width="12.5703125" style="2041" bestFit="1" customWidth="1"/>
    <col min="5930" max="6151" width="9.42578125" style="2041" customWidth="1"/>
    <col min="6152" max="6152" width="48.5703125" style="2041" customWidth="1"/>
    <col min="6153" max="6153" width="18" style="2041"/>
    <col min="6154" max="6154" width="48.5703125" style="2041" customWidth="1"/>
    <col min="6155" max="6155" width="18" style="2041"/>
    <col min="6156" max="6164" width="15.5703125" style="2041" customWidth="1"/>
    <col min="6165" max="6165" width="10.42578125" style="2041" customWidth="1"/>
    <col min="6166" max="6183" width="15.5703125" style="2041" customWidth="1"/>
    <col min="6184" max="6184" width="9.42578125" style="2041" customWidth="1"/>
    <col min="6185" max="6185" width="12.5703125" style="2041" bestFit="1" customWidth="1"/>
    <col min="6186" max="6407" width="9.42578125" style="2041" customWidth="1"/>
    <col min="6408" max="6408" width="48.5703125" style="2041" customWidth="1"/>
    <col min="6409" max="6409" width="18" style="2041"/>
    <col min="6410" max="6410" width="48.5703125" style="2041" customWidth="1"/>
    <col min="6411" max="6411" width="18" style="2041"/>
    <col min="6412" max="6420" width="15.5703125" style="2041" customWidth="1"/>
    <col min="6421" max="6421" width="10.42578125" style="2041" customWidth="1"/>
    <col min="6422" max="6439" width="15.5703125" style="2041" customWidth="1"/>
    <col min="6440" max="6440" width="9.42578125" style="2041" customWidth="1"/>
    <col min="6441" max="6441" width="12.5703125" style="2041" bestFit="1" customWidth="1"/>
    <col min="6442" max="6663" width="9.42578125" style="2041" customWidth="1"/>
    <col min="6664" max="6664" width="48.5703125" style="2041" customWidth="1"/>
    <col min="6665" max="6665" width="18" style="2041"/>
    <col min="6666" max="6666" width="48.5703125" style="2041" customWidth="1"/>
    <col min="6667" max="6667" width="18" style="2041"/>
    <col min="6668" max="6676" width="15.5703125" style="2041" customWidth="1"/>
    <col min="6677" max="6677" width="10.42578125" style="2041" customWidth="1"/>
    <col min="6678" max="6695" width="15.5703125" style="2041" customWidth="1"/>
    <col min="6696" max="6696" width="9.42578125" style="2041" customWidth="1"/>
    <col min="6697" max="6697" width="12.5703125" style="2041" bestFit="1" customWidth="1"/>
    <col min="6698" max="6919" width="9.42578125" style="2041" customWidth="1"/>
    <col min="6920" max="6920" width="48.5703125" style="2041" customWidth="1"/>
    <col min="6921" max="6921" width="18" style="2041"/>
    <col min="6922" max="6922" width="48.5703125" style="2041" customWidth="1"/>
    <col min="6923" max="6923" width="18" style="2041"/>
    <col min="6924" max="6932" width="15.5703125" style="2041" customWidth="1"/>
    <col min="6933" max="6933" width="10.42578125" style="2041" customWidth="1"/>
    <col min="6934" max="6951" width="15.5703125" style="2041" customWidth="1"/>
    <col min="6952" max="6952" width="9.42578125" style="2041" customWidth="1"/>
    <col min="6953" max="6953" width="12.5703125" style="2041" bestFit="1" customWidth="1"/>
    <col min="6954" max="7175" width="9.42578125" style="2041" customWidth="1"/>
    <col min="7176" max="7176" width="48.5703125" style="2041" customWidth="1"/>
    <col min="7177" max="7177" width="18" style="2041"/>
    <col min="7178" max="7178" width="48.5703125" style="2041" customWidth="1"/>
    <col min="7179" max="7179" width="18" style="2041"/>
    <col min="7180" max="7188" width="15.5703125" style="2041" customWidth="1"/>
    <col min="7189" max="7189" width="10.42578125" style="2041" customWidth="1"/>
    <col min="7190" max="7207" width="15.5703125" style="2041" customWidth="1"/>
    <col min="7208" max="7208" width="9.42578125" style="2041" customWidth="1"/>
    <col min="7209" max="7209" width="12.5703125" style="2041" bestFit="1" customWidth="1"/>
    <col min="7210" max="7431" width="9.42578125" style="2041" customWidth="1"/>
    <col min="7432" max="7432" width="48.5703125" style="2041" customWidth="1"/>
    <col min="7433" max="7433" width="18" style="2041"/>
    <col min="7434" max="7434" width="48.5703125" style="2041" customWidth="1"/>
    <col min="7435" max="7435" width="18" style="2041"/>
    <col min="7436" max="7444" width="15.5703125" style="2041" customWidth="1"/>
    <col min="7445" max="7445" width="10.42578125" style="2041" customWidth="1"/>
    <col min="7446" max="7463" width="15.5703125" style="2041" customWidth="1"/>
    <col min="7464" max="7464" width="9.42578125" style="2041" customWidth="1"/>
    <col min="7465" max="7465" width="12.5703125" style="2041" bestFit="1" customWidth="1"/>
    <col min="7466" max="7687" width="9.42578125" style="2041" customWidth="1"/>
    <col min="7688" max="7688" width="48.5703125" style="2041" customWidth="1"/>
    <col min="7689" max="7689" width="18" style="2041"/>
    <col min="7690" max="7690" width="48.5703125" style="2041" customWidth="1"/>
    <col min="7691" max="7691" width="18" style="2041"/>
    <col min="7692" max="7700" width="15.5703125" style="2041" customWidth="1"/>
    <col min="7701" max="7701" width="10.42578125" style="2041" customWidth="1"/>
    <col min="7702" max="7719" width="15.5703125" style="2041" customWidth="1"/>
    <col min="7720" max="7720" width="9.42578125" style="2041" customWidth="1"/>
    <col min="7721" max="7721" width="12.5703125" style="2041" bestFit="1" customWidth="1"/>
    <col min="7722" max="7943" width="9.42578125" style="2041" customWidth="1"/>
    <col min="7944" max="7944" width="48.5703125" style="2041" customWidth="1"/>
    <col min="7945" max="7945" width="18" style="2041"/>
    <col min="7946" max="7946" width="48.5703125" style="2041" customWidth="1"/>
    <col min="7947" max="7947" width="18" style="2041"/>
    <col min="7948" max="7956" width="15.5703125" style="2041" customWidth="1"/>
    <col min="7957" max="7957" width="10.42578125" style="2041" customWidth="1"/>
    <col min="7958" max="7975" width="15.5703125" style="2041" customWidth="1"/>
    <col min="7976" max="7976" width="9.42578125" style="2041" customWidth="1"/>
    <col min="7977" max="7977" width="12.5703125" style="2041" bestFit="1" customWidth="1"/>
    <col min="7978" max="8199" width="9.42578125" style="2041" customWidth="1"/>
    <col min="8200" max="8200" width="48.5703125" style="2041" customWidth="1"/>
    <col min="8201" max="8201" width="18" style="2041"/>
    <col min="8202" max="8202" width="48.5703125" style="2041" customWidth="1"/>
    <col min="8203" max="8203" width="18" style="2041"/>
    <col min="8204" max="8212" width="15.5703125" style="2041" customWidth="1"/>
    <col min="8213" max="8213" width="10.42578125" style="2041" customWidth="1"/>
    <col min="8214" max="8231" width="15.5703125" style="2041" customWidth="1"/>
    <col min="8232" max="8232" width="9.42578125" style="2041" customWidth="1"/>
    <col min="8233" max="8233" width="12.5703125" style="2041" bestFit="1" customWidth="1"/>
    <col min="8234" max="8455" width="9.42578125" style="2041" customWidth="1"/>
    <col min="8456" max="8456" width="48.5703125" style="2041" customWidth="1"/>
    <col min="8457" max="8457" width="18" style="2041"/>
    <col min="8458" max="8458" width="48.5703125" style="2041" customWidth="1"/>
    <col min="8459" max="8459" width="18" style="2041"/>
    <col min="8460" max="8468" width="15.5703125" style="2041" customWidth="1"/>
    <col min="8469" max="8469" width="10.42578125" style="2041" customWidth="1"/>
    <col min="8470" max="8487" width="15.5703125" style="2041" customWidth="1"/>
    <col min="8488" max="8488" width="9.42578125" style="2041" customWidth="1"/>
    <col min="8489" max="8489" width="12.5703125" style="2041" bestFit="1" customWidth="1"/>
    <col min="8490" max="8711" width="9.42578125" style="2041" customWidth="1"/>
    <col min="8712" max="8712" width="48.5703125" style="2041" customWidth="1"/>
    <col min="8713" max="8713" width="18" style="2041"/>
    <col min="8714" max="8714" width="48.5703125" style="2041" customWidth="1"/>
    <col min="8715" max="8715" width="18" style="2041"/>
    <col min="8716" max="8724" width="15.5703125" style="2041" customWidth="1"/>
    <col min="8725" max="8725" width="10.42578125" style="2041" customWidth="1"/>
    <col min="8726" max="8743" width="15.5703125" style="2041" customWidth="1"/>
    <col min="8744" max="8744" width="9.42578125" style="2041" customWidth="1"/>
    <col min="8745" max="8745" width="12.5703125" style="2041" bestFit="1" customWidth="1"/>
    <col min="8746" max="8967" width="9.42578125" style="2041" customWidth="1"/>
    <col min="8968" max="8968" width="48.5703125" style="2041" customWidth="1"/>
    <col min="8969" max="8969" width="18" style="2041"/>
    <col min="8970" max="8970" width="48.5703125" style="2041" customWidth="1"/>
    <col min="8971" max="8971" width="18" style="2041"/>
    <col min="8972" max="8980" width="15.5703125" style="2041" customWidth="1"/>
    <col min="8981" max="8981" width="10.42578125" style="2041" customWidth="1"/>
    <col min="8982" max="8999" width="15.5703125" style="2041" customWidth="1"/>
    <col min="9000" max="9000" width="9.42578125" style="2041" customWidth="1"/>
    <col min="9001" max="9001" width="12.5703125" style="2041" bestFit="1" customWidth="1"/>
    <col min="9002" max="9223" width="9.42578125" style="2041" customWidth="1"/>
    <col min="9224" max="9224" width="48.5703125" style="2041" customWidth="1"/>
    <col min="9225" max="9225" width="18" style="2041"/>
    <col min="9226" max="9226" width="48.5703125" style="2041" customWidth="1"/>
    <col min="9227" max="9227" width="18" style="2041"/>
    <col min="9228" max="9236" width="15.5703125" style="2041" customWidth="1"/>
    <col min="9237" max="9237" width="10.42578125" style="2041" customWidth="1"/>
    <col min="9238" max="9255" width="15.5703125" style="2041" customWidth="1"/>
    <col min="9256" max="9256" width="9.42578125" style="2041" customWidth="1"/>
    <col min="9257" max="9257" width="12.5703125" style="2041" bestFit="1" customWidth="1"/>
    <col min="9258" max="9479" width="9.42578125" style="2041" customWidth="1"/>
    <col min="9480" max="9480" width="48.5703125" style="2041" customWidth="1"/>
    <col min="9481" max="9481" width="18" style="2041"/>
    <col min="9482" max="9482" width="48.5703125" style="2041" customWidth="1"/>
    <col min="9483" max="9483" width="18" style="2041"/>
    <col min="9484" max="9492" width="15.5703125" style="2041" customWidth="1"/>
    <col min="9493" max="9493" width="10.42578125" style="2041" customWidth="1"/>
    <col min="9494" max="9511" width="15.5703125" style="2041" customWidth="1"/>
    <col min="9512" max="9512" width="9.42578125" style="2041" customWidth="1"/>
    <col min="9513" max="9513" width="12.5703125" style="2041" bestFit="1" customWidth="1"/>
    <col min="9514" max="9735" width="9.42578125" style="2041" customWidth="1"/>
    <col min="9736" max="9736" width="48.5703125" style="2041" customWidth="1"/>
    <col min="9737" max="9737" width="18" style="2041"/>
    <col min="9738" max="9738" width="48.5703125" style="2041" customWidth="1"/>
    <col min="9739" max="9739" width="18" style="2041"/>
    <col min="9740" max="9748" width="15.5703125" style="2041" customWidth="1"/>
    <col min="9749" max="9749" width="10.42578125" style="2041" customWidth="1"/>
    <col min="9750" max="9767" width="15.5703125" style="2041" customWidth="1"/>
    <col min="9768" max="9768" width="9.42578125" style="2041" customWidth="1"/>
    <col min="9769" max="9769" width="12.5703125" style="2041" bestFit="1" customWidth="1"/>
    <col min="9770" max="9991" width="9.42578125" style="2041" customWidth="1"/>
    <col min="9992" max="9992" width="48.5703125" style="2041" customWidth="1"/>
    <col min="9993" max="9993" width="18" style="2041"/>
    <col min="9994" max="9994" width="48.5703125" style="2041" customWidth="1"/>
    <col min="9995" max="9995" width="18" style="2041"/>
    <col min="9996" max="10004" width="15.5703125" style="2041" customWidth="1"/>
    <col min="10005" max="10005" width="10.42578125" style="2041" customWidth="1"/>
    <col min="10006" max="10023" width="15.5703125" style="2041" customWidth="1"/>
    <col min="10024" max="10024" width="9.42578125" style="2041" customWidth="1"/>
    <col min="10025" max="10025" width="12.5703125" style="2041" bestFit="1" customWidth="1"/>
    <col min="10026" max="10247" width="9.42578125" style="2041" customWidth="1"/>
    <col min="10248" max="10248" width="48.5703125" style="2041" customWidth="1"/>
    <col min="10249" max="10249" width="18" style="2041"/>
    <col min="10250" max="10250" width="48.5703125" style="2041" customWidth="1"/>
    <col min="10251" max="10251" width="18" style="2041"/>
    <col min="10252" max="10260" width="15.5703125" style="2041" customWidth="1"/>
    <col min="10261" max="10261" width="10.42578125" style="2041" customWidth="1"/>
    <col min="10262" max="10279" width="15.5703125" style="2041" customWidth="1"/>
    <col min="10280" max="10280" width="9.42578125" style="2041" customWidth="1"/>
    <col min="10281" max="10281" width="12.5703125" style="2041" bestFit="1" customWidth="1"/>
    <col min="10282" max="10503" width="9.42578125" style="2041" customWidth="1"/>
    <col min="10504" max="10504" width="48.5703125" style="2041" customWidth="1"/>
    <col min="10505" max="10505" width="18" style="2041"/>
    <col min="10506" max="10506" width="48.5703125" style="2041" customWidth="1"/>
    <col min="10507" max="10507" width="18" style="2041"/>
    <col min="10508" max="10516" width="15.5703125" style="2041" customWidth="1"/>
    <col min="10517" max="10517" width="10.42578125" style="2041" customWidth="1"/>
    <col min="10518" max="10535" width="15.5703125" style="2041" customWidth="1"/>
    <col min="10536" max="10536" width="9.42578125" style="2041" customWidth="1"/>
    <col min="10537" max="10537" width="12.5703125" style="2041" bestFit="1" customWidth="1"/>
    <col min="10538" max="10759" width="9.42578125" style="2041" customWidth="1"/>
    <col min="10760" max="10760" width="48.5703125" style="2041" customWidth="1"/>
    <col min="10761" max="10761" width="18" style="2041"/>
    <col min="10762" max="10762" width="48.5703125" style="2041" customWidth="1"/>
    <col min="10763" max="10763" width="18" style="2041"/>
    <col min="10764" max="10772" width="15.5703125" style="2041" customWidth="1"/>
    <col min="10773" max="10773" width="10.42578125" style="2041" customWidth="1"/>
    <col min="10774" max="10791" width="15.5703125" style="2041" customWidth="1"/>
    <col min="10792" max="10792" width="9.42578125" style="2041" customWidth="1"/>
    <col min="10793" max="10793" width="12.5703125" style="2041" bestFit="1" customWidth="1"/>
    <col min="10794" max="11015" width="9.42578125" style="2041" customWidth="1"/>
    <col min="11016" max="11016" width="48.5703125" style="2041" customWidth="1"/>
    <col min="11017" max="11017" width="18" style="2041"/>
    <col min="11018" max="11018" width="48.5703125" style="2041" customWidth="1"/>
    <col min="11019" max="11019" width="18" style="2041"/>
    <col min="11020" max="11028" width="15.5703125" style="2041" customWidth="1"/>
    <col min="11029" max="11029" width="10.42578125" style="2041" customWidth="1"/>
    <col min="11030" max="11047" width="15.5703125" style="2041" customWidth="1"/>
    <col min="11048" max="11048" width="9.42578125" style="2041" customWidth="1"/>
    <col min="11049" max="11049" width="12.5703125" style="2041" bestFit="1" customWidth="1"/>
    <col min="11050" max="11271" width="9.42578125" style="2041" customWidth="1"/>
    <col min="11272" max="11272" width="48.5703125" style="2041" customWidth="1"/>
    <col min="11273" max="11273" width="18" style="2041"/>
    <col min="11274" max="11274" width="48.5703125" style="2041" customWidth="1"/>
    <col min="11275" max="11275" width="18" style="2041"/>
    <col min="11276" max="11284" width="15.5703125" style="2041" customWidth="1"/>
    <col min="11285" max="11285" width="10.42578125" style="2041" customWidth="1"/>
    <col min="11286" max="11303" width="15.5703125" style="2041" customWidth="1"/>
    <col min="11304" max="11304" width="9.42578125" style="2041" customWidth="1"/>
    <col min="11305" max="11305" width="12.5703125" style="2041" bestFit="1" customWidth="1"/>
    <col min="11306" max="11527" width="9.42578125" style="2041" customWidth="1"/>
    <col min="11528" max="11528" width="48.5703125" style="2041" customWidth="1"/>
    <col min="11529" max="11529" width="18" style="2041"/>
    <col min="11530" max="11530" width="48.5703125" style="2041" customWidth="1"/>
    <col min="11531" max="11531" width="18" style="2041"/>
    <col min="11532" max="11540" width="15.5703125" style="2041" customWidth="1"/>
    <col min="11541" max="11541" width="10.42578125" style="2041" customWidth="1"/>
    <col min="11542" max="11559" width="15.5703125" style="2041" customWidth="1"/>
    <col min="11560" max="11560" width="9.42578125" style="2041" customWidth="1"/>
    <col min="11561" max="11561" width="12.5703125" style="2041" bestFit="1" customWidth="1"/>
    <col min="11562" max="11783" width="9.42578125" style="2041" customWidth="1"/>
    <col min="11784" max="11784" width="48.5703125" style="2041" customWidth="1"/>
    <col min="11785" max="11785" width="18" style="2041"/>
    <col min="11786" max="11786" width="48.5703125" style="2041" customWidth="1"/>
    <col min="11787" max="11787" width="18" style="2041"/>
    <col min="11788" max="11796" width="15.5703125" style="2041" customWidth="1"/>
    <col min="11797" max="11797" width="10.42578125" style="2041" customWidth="1"/>
    <col min="11798" max="11815" width="15.5703125" style="2041" customWidth="1"/>
    <col min="11816" max="11816" width="9.42578125" style="2041" customWidth="1"/>
    <col min="11817" max="11817" width="12.5703125" style="2041" bestFit="1" customWidth="1"/>
    <col min="11818" max="12039" width="9.42578125" style="2041" customWidth="1"/>
    <col min="12040" max="12040" width="48.5703125" style="2041" customWidth="1"/>
    <col min="12041" max="12041" width="18" style="2041"/>
    <col min="12042" max="12042" width="48.5703125" style="2041" customWidth="1"/>
    <col min="12043" max="12043" width="18" style="2041"/>
    <col min="12044" max="12052" width="15.5703125" style="2041" customWidth="1"/>
    <col min="12053" max="12053" width="10.42578125" style="2041" customWidth="1"/>
    <col min="12054" max="12071" width="15.5703125" style="2041" customWidth="1"/>
    <col min="12072" max="12072" width="9.42578125" style="2041" customWidth="1"/>
    <col min="12073" max="12073" width="12.5703125" style="2041" bestFit="1" customWidth="1"/>
    <col min="12074" max="12295" width="9.42578125" style="2041" customWidth="1"/>
    <col min="12296" max="12296" width="48.5703125" style="2041" customWidth="1"/>
    <col min="12297" max="12297" width="18" style="2041"/>
    <col min="12298" max="12298" width="48.5703125" style="2041" customWidth="1"/>
    <col min="12299" max="12299" width="18" style="2041"/>
    <col min="12300" max="12308" width="15.5703125" style="2041" customWidth="1"/>
    <col min="12309" max="12309" width="10.42578125" style="2041" customWidth="1"/>
    <col min="12310" max="12327" width="15.5703125" style="2041" customWidth="1"/>
    <col min="12328" max="12328" width="9.42578125" style="2041" customWidth="1"/>
    <col min="12329" max="12329" width="12.5703125" style="2041" bestFit="1" customWidth="1"/>
    <col min="12330" max="12551" width="9.42578125" style="2041" customWidth="1"/>
    <col min="12552" max="12552" width="48.5703125" style="2041" customWidth="1"/>
    <col min="12553" max="12553" width="18" style="2041"/>
    <col min="12554" max="12554" width="48.5703125" style="2041" customWidth="1"/>
    <col min="12555" max="12555" width="18" style="2041"/>
    <col min="12556" max="12564" width="15.5703125" style="2041" customWidth="1"/>
    <col min="12565" max="12565" width="10.42578125" style="2041" customWidth="1"/>
    <col min="12566" max="12583" width="15.5703125" style="2041" customWidth="1"/>
    <col min="12584" max="12584" width="9.42578125" style="2041" customWidth="1"/>
    <col min="12585" max="12585" width="12.5703125" style="2041" bestFit="1" customWidth="1"/>
    <col min="12586" max="12807" width="9.42578125" style="2041" customWidth="1"/>
    <col min="12808" max="12808" width="48.5703125" style="2041" customWidth="1"/>
    <col min="12809" max="12809" width="18" style="2041"/>
    <col min="12810" max="12810" width="48.5703125" style="2041" customWidth="1"/>
    <col min="12811" max="12811" width="18" style="2041"/>
    <col min="12812" max="12820" width="15.5703125" style="2041" customWidth="1"/>
    <col min="12821" max="12821" width="10.42578125" style="2041" customWidth="1"/>
    <col min="12822" max="12839" width="15.5703125" style="2041" customWidth="1"/>
    <col min="12840" max="12840" width="9.42578125" style="2041" customWidth="1"/>
    <col min="12841" max="12841" width="12.5703125" style="2041" bestFit="1" customWidth="1"/>
    <col min="12842" max="13063" width="9.42578125" style="2041" customWidth="1"/>
    <col min="13064" max="13064" width="48.5703125" style="2041" customWidth="1"/>
    <col min="13065" max="13065" width="18" style="2041"/>
    <col min="13066" max="13066" width="48.5703125" style="2041" customWidth="1"/>
    <col min="13067" max="13067" width="18" style="2041"/>
    <col min="13068" max="13076" width="15.5703125" style="2041" customWidth="1"/>
    <col min="13077" max="13077" width="10.42578125" style="2041" customWidth="1"/>
    <col min="13078" max="13095" width="15.5703125" style="2041" customWidth="1"/>
    <col min="13096" max="13096" width="9.42578125" style="2041" customWidth="1"/>
    <col min="13097" max="13097" width="12.5703125" style="2041" bestFit="1" customWidth="1"/>
    <col min="13098" max="13319" width="9.42578125" style="2041" customWidth="1"/>
    <col min="13320" max="13320" width="48.5703125" style="2041" customWidth="1"/>
    <col min="13321" max="13321" width="18" style="2041"/>
    <col min="13322" max="13322" width="48.5703125" style="2041" customWidth="1"/>
    <col min="13323" max="13323" width="18" style="2041"/>
    <col min="13324" max="13332" width="15.5703125" style="2041" customWidth="1"/>
    <col min="13333" max="13333" width="10.42578125" style="2041" customWidth="1"/>
    <col min="13334" max="13351" width="15.5703125" style="2041" customWidth="1"/>
    <col min="13352" max="13352" width="9.42578125" style="2041" customWidth="1"/>
    <col min="13353" max="13353" width="12.5703125" style="2041" bestFit="1" customWidth="1"/>
    <col min="13354" max="13575" width="9.42578125" style="2041" customWidth="1"/>
    <col min="13576" max="13576" width="48.5703125" style="2041" customWidth="1"/>
    <col min="13577" max="13577" width="18" style="2041"/>
    <col min="13578" max="13578" width="48.5703125" style="2041" customWidth="1"/>
    <col min="13579" max="13579" width="18" style="2041"/>
    <col min="13580" max="13588" width="15.5703125" style="2041" customWidth="1"/>
    <col min="13589" max="13589" width="10.42578125" style="2041" customWidth="1"/>
    <col min="13590" max="13607" width="15.5703125" style="2041" customWidth="1"/>
    <col min="13608" max="13608" width="9.42578125" style="2041" customWidth="1"/>
    <col min="13609" max="13609" width="12.5703125" style="2041" bestFit="1" customWidth="1"/>
    <col min="13610" max="13831" width="9.42578125" style="2041" customWidth="1"/>
    <col min="13832" max="13832" width="48.5703125" style="2041" customWidth="1"/>
    <col min="13833" max="13833" width="18" style="2041"/>
    <col min="13834" max="13834" width="48.5703125" style="2041" customWidth="1"/>
    <col min="13835" max="13835" width="18" style="2041"/>
    <col min="13836" max="13844" width="15.5703125" style="2041" customWidth="1"/>
    <col min="13845" max="13845" width="10.42578125" style="2041" customWidth="1"/>
    <col min="13846" max="13863" width="15.5703125" style="2041" customWidth="1"/>
    <col min="13864" max="13864" width="9.42578125" style="2041" customWidth="1"/>
    <col min="13865" max="13865" width="12.5703125" style="2041" bestFit="1" customWidth="1"/>
    <col min="13866" max="14087" width="9.42578125" style="2041" customWidth="1"/>
    <col min="14088" max="14088" width="48.5703125" style="2041" customWidth="1"/>
    <col min="14089" max="14089" width="18" style="2041"/>
    <col min="14090" max="14090" width="48.5703125" style="2041" customWidth="1"/>
    <col min="14091" max="14091" width="18" style="2041"/>
    <col min="14092" max="14100" width="15.5703125" style="2041" customWidth="1"/>
    <col min="14101" max="14101" width="10.42578125" style="2041" customWidth="1"/>
    <col min="14102" max="14119" width="15.5703125" style="2041" customWidth="1"/>
    <col min="14120" max="14120" width="9.42578125" style="2041" customWidth="1"/>
    <col min="14121" max="14121" width="12.5703125" style="2041" bestFit="1" customWidth="1"/>
    <col min="14122" max="14343" width="9.42578125" style="2041" customWidth="1"/>
    <col min="14344" max="14344" width="48.5703125" style="2041" customWidth="1"/>
    <col min="14345" max="14345" width="18" style="2041"/>
    <col min="14346" max="14346" width="48.5703125" style="2041" customWidth="1"/>
    <col min="14347" max="14347" width="18" style="2041"/>
    <col min="14348" max="14356" width="15.5703125" style="2041" customWidth="1"/>
    <col min="14357" max="14357" width="10.42578125" style="2041" customWidth="1"/>
    <col min="14358" max="14375" width="15.5703125" style="2041" customWidth="1"/>
    <col min="14376" max="14376" width="9.42578125" style="2041" customWidth="1"/>
    <col min="14377" max="14377" width="12.5703125" style="2041" bestFit="1" customWidth="1"/>
    <col min="14378" max="14599" width="9.42578125" style="2041" customWidth="1"/>
    <col min="14600" max="14600" width="48.5703125" style="2041" customWidth="1"/>
    <col min="14601" max="14601" width="18" style="2041"/>
    <col min="14602" max="14602" width="48.5703125" style="2041" customWidth="1"/>
    <col min="14603" max="14603" width="18" style="2041"/>
    <col min="14604" max="14612" width="15.5703125" style="2041" customWidth="1"/>
    <col min="14613" max="14613" width="10.42578125" style="2041" customWidth="1"/>
    <col min="14614" max="14631" width="15.5703125" style="2041" customWidth="1"/>
    <col min="14632" max="14632" width="9.42578125" style="2041" customWidth="1"/>
    <col min="14633" max="14633" width="12.5703125" style="2041" bestFit="1" customWidth="1"/>
    <col min="14634" max="14855" width="9.42578125" style="2041" customWidth="1"/>
    <col min="14856" max="14856" width="48.5703125" style="2041" customWidth="1"/>
    <col min="14857" max="14857" width="18" style="2041"/>
    <col min="14858" max="14858" width="48.5703125" style="2041" customWidth="1"/>
    <col min="14859" max="14859" width="18" style="2041"/>
    <col min="14860" max="14868" width="15.5703125" style="2041" customWidth="1"/>
    <col min="14869" max="14869" width="10.42578125" style="2041" customWidth="1"/>
    <col min="14870" max="14887" width="15.5703125" style="2041" customWidth="1"/>
    <col min="14888" max="14888" width="9.42578125" style="2041" customWidth="1"/>
    <col min="14889" max="14889" width="12.5703125" style="2041" bestFit="1" customWidth="1"/>
    <col min="14890" max="15111" width="9.42578125" style="2041" customWidth="1"/>
    <col min="15112" max="15112" width="48.5703125" style="2041" customWidth="1"/>
    <col min="15113" max="15113" width="18" style="2041"/>
    <col min="15114" max="15114" width="48.5703125" style="2041" customWidth="1"/>
    <col min="15115" max="15115" width="18" style="2041"/>
    <col min="15116" max="15124" width="15.5703125" style="2041" customWidth="1"/>
    <col min="15125" max="15125" width="10.42578125" style="2041" customWidth="1"/>
    <col min="15126" max="15143" width="15.5703125" style="2041" customWidth="1"/>
    <col min="15144" max="15144" width="9.42578125" style="2041" customWidth="1"/>
    <col min="15145" max="15145" width="12.5703125" style="2041" bestFit="1" customWidth="1"/>
    <col min="15146" max="15367" width="9.42578125" style="2041" customWidth="1"/>
    <col min="15368" max="15368" width="48.5703125" style="2041" customWidth="1"/>
    <col min="15369" max="15369" width="18" style="2041"/>
    <col min="15370" max="15370" width="48.5703125" style="2041" customWidth="1"/>
    <col min="15371" max="15371" width="18" style="2041"/>
    <col min="15372" max="15380" width="15.5703125" style="2041" customWidth="1"/>
    <col min="15381" max="15381" width="10.42578125" style="2041" customWidth="1"/>
    <col min="15382" max="15399" width="15.5703125" style="2041" customWidth="1"/>
    <col min="15400" max="15400" width="9.42578125" style="2041" customWidth="1"/>
    <col min="15401" max="15401" width="12.5703125" style="2041" bestFit="1" customWidth="1"/>
    <col min="15402" max="15623" width="9.42578125" style="2041" customWidth="1"/>
    <col min="15624" max="15624" width="48.5703125" style="2041" customWidth="1"/>
    <col min="15625" max="15625" width="18" style="2041"/>
    <col min="15626" max="15626" width="48.5703125" style="2041" customWidth="1"/>
    <col min="15627" max="15627" width="18" style="2041"/>
    <col min="15628" max="15636" width="15.5703125" style="2041" customWidth="1"/>
    <col min="15637" max="15637" width="10.42578125" style="2041" customWidth="1"/>
    <col min="15638" max="15655" width="15.5703125" style="2041" customWidth="1"/>
    <col min="15656" max="15656" width="9.42578125" style="2041" customWidth="1"/>
    <col min="15657" max="15657" width="12.5703125" style="2041" bestFit="1" customWidth="1"/>
    <col min="15658" max="15879" width="9.42578125" style="2041" customWidth="1"/>
    <col min="15880" max="15880" width="48.5703125" style="2041" customWidth="1"/>
    <col min="15881" max="15881" width="18" style="2041"/>
    <col min="15882" max="15882" width="48.5703125" style="2041" customWidth="1"/>
    <col min="15883" max="15883" width="18" style="2041"/>
    <col min="15884" max="15892" width="15.5703125" style="2041" customWidth="1"/>
    <col min="15893" max="15893" width="10.42578125" style="2041" customWidth="1"/>
    <col min="15894" max="15911" width="15.5703125" style="2041" customWidth="1"/>
    <col min="15912" max="15912" width="9.42578125" style="2041" customWidth="1"/>
    <col min="15913" max="15913" width="12.5703125" style="2041" bestFit="1" customWidth="1"/>
    <col min="15914" max="16135" width="9.42578125" style="2041" customWidth="1"/>
    <col min="16136" max="16136" width="48.5703125" style="2041" customWidth="1"/>
    <col min="16137" max="16137" width="18" style="2041"/>
    <col min="16138" max="16138" width="48.5703125" style="2041" customWidth="1"/>
    <col min="16139" max="16139" width="18" style="2041"/>
    <col min="16140" max="16148" width="15.5703125" style="2041" customWidth="1"/>
    <col min="16149" max="16149" width="10.42578125" style="2041" customWidth="1"/>
    <col min="16150" max="16167" width="15.5703125" style="2041" customWidth="1"/>
    <col min="16168" max="16168" width="9.42578125" style="2041" customWidth="1"/>
    <col min="16169" max="16169" width="12.5703125" style="2041" bestFit="1" customWidth="1"/>
    <col min="16170" max="16384" width="9.42578125" style="2041" customWidth="1"/>
  </cols>
  <sheetData>
    <row r="1" spans="1:41" s="2027" customFormat="1" ht="14.25" customHeight="1">
      <c r="A1" s="2025"/>
      <c r="B1" s="2026"/>
      <c r="C1" s="2026"/>
      <c r="E1" s="2028"/>
      <c r="F1" s="2029">
        <v>100</v>
      </c>
      <c r="G1" s="2030">
        <v>110</v>
      </c>
      <c r="H1" s="2030">
        <v>120</v>
      </c>
      <c r="I1" s="2030">
        <v>130</v>
      </c>
      <c r="J1" s="2030">
        <v>140</v>
      </c>
      <c r="K1" s="2030">
        <v>150</v>
      </c>
      <c r="L1" s="2030">
        <v>160</v>
      </c>
      <c r="M1" s="2030">
        <v>170</v>
      </c>
      <c r="N1" s="2030"/>
      <c r="O1" s="2030">
        <v>145</v>
      </c>
      <c r="P1" s="2030">
        <v>190</v>
      </c>
      <c r="Q1" s="2031"/>
      <c r="R1" s="2030">
        <v>200</v>
      </c>
      <c r="S1" s="2030">
        <v>280</v>
      </c>
      <c r="T1" s="2030">
        <v>270</v>
      </c>
      <c r="U1" s="2030">
        <v>240</v>
      </c>
      <c r="V1" s="2030">
        <v>230</v>
      </c>
      <c r="W1" s="2030">
        <v>220</v>
      </c>
      <c r="X1" s="2030">
        <v>210</v>
      </c>
      <c r="Y1" s="2030">
        <v>211</v>
      </c>
      <c r="Z1" s="2030">
        <v>250</v>
      </c>
      <c r="AA1" s="2030">
        <v>300</v>
      </c>
      <c r="AB1" s="2030">
        <v>330</v>
      </c>
      <c r="AC1" s="2030">
        <v>320</v>
      </c>
      <c r="AD1" s="2030">
        <v>310</v>
      </c>
      <c r="AE1" s="2030">
        <v>400</v>
      </c>
      <c r="AF1" s="2030">
        <v>500</v>
      </c>
      <c r="AG1" s="2030">
        <v>600</v>
      </c>
      <c r="AH1" s="2030">
        <v>650</v>
      </c>
      <c r="AI1" s="2030">
        <v>700</v>
      </c>
      <c r="AJ1" s="2030">
        <v>810</v>
      </c>
      <c r="AK1" s="2030">
        <v>800</v>
      </c>
      <c r="AL1" s="2030">
        <v>900</v>
      </c>
    </row>
    <row r="2" spans="1:41" ht="14.25" customHeight="1">
      <c r="B2" s="2032"/>
      <c r="C2" s="2033"/>
      <c r="D2" s="2034"/>
      <c r="E2" s="2035">
        <f>SUM(F5:P5)</f>
        <v>918209485</v>
      </c>
      <c r="F2" s="2422" t="s">
        <v>188</v>
      </c>
      <c r="G2" s="2419" t="s">
        <v>1449</v>
      </c>
      <c r="H2" s="2419" t="s">
        <v>57</v>
      </c>
      <c r="I2" s="2419" t="s">
        <v>59</v>
      </c>
      <c r="J2" s="2419" t="s">
        <v>1450</v>
      </c>
      <c r="K2" s="2419" t="s">
        <v>200</v>
      </c>
      <c r="L2" s="2036" t="s">
        <v>186</v>
      </c>
      <c r="M2" s="2036" t="s">
        <v>186</v>
      </c>
      <c r="N2" s="2036"/>
      <c r="O2" s="2036"/>
      <c r="P2" s="2036" t="s">
        <v>186</v>
      </c>
      <c r="Q2" s="2036"/>
      <c r="R2" s="2036" t="s">
        <v>1451</v>
      </c>
      <c r="S2" s="2036" t="s">
        <v>1452</v>
      </c>
      <c r="T2" s="2036" t="s">
        <v>186</v>
      </c>
      <c r="U2" s="2036" t="s">
        <v>1453</v>
      </c>
      <c r="V2" s="2036" t="s">
        <v>1451</v>
      </c>
      <c r="W2" s="2036" t="s">
        <v>1454</v>
      </c>
      <c r="X2" s="2036" t="s">
        <v>1455</v>
      </c>
      <c r="Y2" s="2036" t="s">
        <v>1456</v>
      </c>
      <c r="Z2" s="2036" t="s">
        <v>1457</v>
      </c>
      <c r="AA2" s="2417" t="s">
        <v>94</v>
      </c>
      <c r="AB2" s="2037" t="s">
        <v>1458</v>
      </c>
      <c r="AC2" s="2417" t="s">
        <v>221</v>
      </c>
      <c r="AD2" s="2417" t="s">
        <v>98</v>
      </c>
      <c r="AE2" s="2419" t="s">
        <v>163</v>
      </c>
      <c r="AF2" s="2419" t="s">
        <v>225</v>
      </c>
      <c r="AG2" s="2411" t="s">
        <v>226</v>
      </c>
      <c r="AH2" s="2411" t="s">
        <v>228</v>
      </c>
      <c r="AI2" s="2038" t="s">
        <v>1459</v>
      </c>
      <c r="AJ2" s="2413" t="s">
        <v>1039</v>
      </c>
      <c r="AK2" s="2039" t="s">
        <v>1460</v>
      </c>
      <c r="AL2" s="2415" t="s">
        <v>221</v>
      </c>
      <c r="AM2" s="2040"/>
    </row>
    <row r="3" spans="1:41" ht="14.25" customHeight="1">
      <c r="B3" s="2042"/>
      <c r="E3" s="2035">
        <f>-SUM(R5:AL5)</f>
        <v>0</v>
      </c>
      <c r="F3" s="2423"/>
      <c r="G3" s="2420"/>
      <c r="H3" s="2424"/>
      <c r="I3" s="2424"/>
      <c r="J3" s="2424"/>
      <c r="K3" s="2420"/>
      <c r="L3" s="2043" t="s">
        <v>1461</v>
      </c>
      <c r="M3" s="2043" t="s">
        <v>1462</v>
      </c>
      <c r="N3" s="2043"/>
      <c r="O3" s="2043" t="s">
        <v>63</v>
      </c>
      <c r="P3" s="2043" t="s">
        <v>1463</v>
      </c>
      <c r="Q3" s="2043"/>
      <c r="R3" s="2043" t="s">
        <v>1464</v>
      </c>
      <c r="S3" s="2043" t="s">
        <v>1465</v>
      </c>
      <c r="T3" s="2043" t="s">
        <v>1463</v>
      </c>
      <c r="U3" s="2043" t="s">
        <v>1466</v>
      </c>
      <c r="V3" s="2043" t="s">
        <v>1460</v>
      </c>
      <c r="W3" s="2043" t="s">
        <v>1467</v>
      </c>
      <c r="X3" s="2043" t="s">
        <v>1468</v>
      </c>
      <c r="Y3" s="2043" t="s">
        <v>1469</v>
      </c>
      <c r="Z3" s="2043" t="s">
        <v>1470</v>
      </c>
      <c r="AA3" s="2418"/>
      <c r="AB3" s="2044" t="s">
        <v>1471</v>
      </c>
      <c r="AC3" s="2418"/>
      <c r="AD3" s="2418"/>
      <c r="AE3" s="2420"/>
      <c r="AF3" s="2420"/>
      <c r="AG3" s="2421"/>
      <c r="AH3" s="2412"/>
      <c r="AI3" s="2045" t="s">
        <v>777</v>
      </c>
      <c r="AJ3" s="2414"/>
      <c r="AK3" s="2046" t="s">
        <v>1472</v>
      </c>
      <c r="AL3" s="2416"/>
    </row>
    <row r="4" spans="1:41" ht="14.25" customHeight="1">
      <c r="B4" s="2042"/>
      <c r="E4" s="2035">
        <f>E2-E3</f>
        <v>918209485</v>
      </c>
      <c r="F4" s="2047"/>
      <c r="G4" s="2047"/>
      <c r="H4" s="2047"/>
      <c r="I4" s="2047"/>
      <c r="J4" s="2047"/>
      <c r="K4" s="2047"/>
      <c r="L4" s="2047"/>
      <c r="M4" s="2047"/>
      <c r="N4" s="2047"/>
      <c r="O4" s="2047"/>
      <c r="P4" s="2047"/>
      <c r="Q4" s="2047"/>
      <c r="R4" s="2047"/>
      <c r="S4" s="2047"/>
      <c r="T4" s="2047"/>
      <c r="U4" s="2047"/>
      <c r="V4" s="2047"/>
      <c r="W4" s="2047"/>
      <c r="X4" s="2047"/>
      <c r="Y4" s="2047"/>
      <c r="Z4" s="2047"/>
      <c r="AA4" s="2047"/>
      <c r="AB4" s="2047"/>
      <c r="AC4" s="2047"/>
      <c r="AD4" s="2048"/>
      <c r="AE4" s="2048"/>
      <c r="AF4" s="2048"/>
      <c r="AG4" s="2048"/>
      <c r="AH4" s="2048"/>
      <c r="AI4" s="2048"/>
      <c r="AJ4" s="2048"/>
      <c r="AK4" s="2048"/>
      <c r="AL4" s="2049"/>
      <c r="AO4" s="2050"/>
    </row>
    <row r="5" spans="1:41" ht="14.25" customHeight="1">
      <c r="A5" s="2051"/>
      <c r="B5" s="2052"/>
      <c r="C5" s="2053"/>
      <c r="D5" s="2050"/>
      <c r="E5" s="2054">
        <v>45657</v>
      </c>
      <c r="F5" s="2055">
        <f>'BS Konsol-Des 24'!G11</f>
        <v>918209485</v>
      </c>
      <c r="G5" s="2055"/>
      <c r="H5" s="2055"/>
      <c r="I5" s="2055"/>
      <c r="J5" s="2055"/>
      <c r="K5" s="2055"/>
      <c r="L5" s="2055"/>
      <c r="M5" s="2055"/>
      <c r="N5" s="2055"/>
      <c r="O5" s="2055"/>
      <c r="P5" s="2055"/>
      <c r="Q5" s="2056"/>
      <c r="R5" s="2055"/>
      <c r="S5" s="2055"/>
      <c r="T5" s="2055"/>
      <c r="U5" s="2055"/>
      <c r="V5" s="2055"/>
      <c r="W5" s="2055"/>
      <c r="X5" s="2055"/>
      <c r="Y5" s="2055"/>
      <c r="Z5" s="2055"/>
      <c r="AA5" s="2055"/>
      <c r="AB5" s="2055"/>
      <c r="AC5" s="2057"/>
      <c r="AD5" s="2056"/>
      <c r="AE5" s="2055"/>
      <c r="AF5" s="2055"/>
      <c r="AG5" s="2055"/>
      <c r="AH5" s="2055"/>
      <c r="AI5" s="2055"/>
      <c r="AJ5" s="2055"/>
      <c r="AK5" s="2055"/>
      <c r="AL5" s="2055"/>
      <c r="AM5" s="2058">
        <f>SUM(F5:AL5)</f>
        <v>918209485</v>
      </c>
      <c r="AN5" s="2058"/>
    </row>
    <row r="6" spans="1:41" ht="14.25" customHeight="1">
      <c r="B6" s="2042"/>
      <c r="E6" s="2054">
        <v>45291</v>
      </c>
      <c r="F6" s="2055"/>
      <c r="G6" s="2055"/>
      <c r="H6" s="2055"/>
      <c r="I6" s="2055"/>
      <c r="J6" s="2055"/>
      <c r="K6" s="2055"/>
      <c r="L6" s="2055"/>
      <c r="M6" s="2055"/>
      <c r="N6" s="2055"/>
      <c r="O6" s="2055"/>
      <c r="P6" s="2055"/>
      <c r="Q6" s="2059"/>
      <c r="R6" s="2055"/>
      <c r="S6" s="2055"/>
      <c r="T6" s="2055"/>
      <c r="U6" s="2055"/>
      <c r="V6" s="2055"/>
      <c r="W6" s="2055"/>
      <c r="X6" s="2055"/>
      <c r="Y6" s="2055"/>
      <c r="Z6" s="2055"/>
      <c r="AA6" s="2055"/>
      <c r="AB6" s="2055"/>
      <c r="AC6" s="2057"/>
      <c r="AD6" s="2057"/>
      <c r="AE6" s="2056"/>
      <c r="AF6" s="2056"/>
      <c r="AG6" s="2056"/>
      <c r="AH6" s="2056"/>
      <c r="AI6" s="2056"/>
      <c r="AJ6" s="2056"/>
      <c r="AK6" s="2056"/>
      <c r="AL6" s="2056"/>
      <c r="AM6" s="2058">
        <f>SUM(F6:AL6)</f>
        <v>0</v>
      </c>
      <c r="AN6" s="2058"/>
    </row>
    <row r="7" spans="1:41" ht="14.25" customHeight="1">
      <c r="B7" s="2060"/>
      <c r="C7" s="2061"/>
      <c r="D7" s="2062"/>
      <c r="E7" s="2063" t="s">
        <v>1473</v>
      </c>
      <c r="F7" s="2064">
        <f t="shared" ref="F7:P7" si="0">F5-F6</f>
        <v>918209485</v>
      </c>
      <c r="G7" s="2064">
        <f t="shared" si="0"/>
        <v>0</v>
      </c>
      <c r="H7" s="2064">
        <f t="shared" si="0"/>
        <v>0</v>
      </c>
      <c r="I7" s="2064">
        <f t="shared" si="0"/>
        <v>0</v>
      </c>
      <c r="J7" s="2064">
        <f t="shared" si="0"/>
        <v>0</v>
      </c>
      <c r="K7" s="2064">
        <f t="shared" si="0"/>
        <v>0</v>
      </c>
      <c r="L7" s="2064">
        <f t="shared" si="0"/>
        <v>0</v>
      </c>
      <c r="M7" s="2064">
        <f t="shared" si="0"/>
        <v>0</v>
      </c>
      <c r="N7" s="2064"/>
      <c r="O7" s="2064">
        <f t="shared" si="0"/>
        <v>0</v>
      </c>
      <c r="P7" s="2064">
        <f t="shared" si="0"/>
        <v>0</v>
      </c>
      <c r="Q7" s="2064"/>
      <c r="R7" s="2064">
        <f t="shared" ref="R7:AM7" si="1">R5-R6</f>
        <v>0</v>
      </c>
      <c r="S7" s="2064">
        <f t="shared" si="1"/>
        <v>0</v>
      </c>
      <c r="T7" s="2064">
        <f t="shared" si="1"/>
        <v>0</v>
      </c>
      <c r="U7" s="2064">
        <f t="shared" si="1"/>
        <v>0</v>
      </c>
      <c r="V7" s="2064">
        <f t="shared" si="1"/>
        <v>0</v>
      </c>
      <c r="W7" s="2064">
        <f t="shared" si="1"/>
        <v>0</v>
      </c>
      <c r="X7" s="2064">
        <f t="shared" si="1"/>
        <v>0</v>
      </c>
      <c r="Y7" s="2064">
        <f t="shared" si="1"/>
        <v>0</v>
      </c>
      <c r="Z7" s="2064">
        <f t="shared" si="1"/>
        <v>0</v>
      </c>
      <c r="AA7" s="2064">
        <f t="shared" si="1"/>
        <v>0</v>
      </c>
      <c r="AB7" s="2064">
        <f t="shared" si="1"/>
        <v>0</v>
      </c>
      <c r="AC7" s="2064">
        <f t="shared" si="1"/>
        <v>0</v>
      </c>
      <c r="AD7" s="2064">
        <f t="shared" si="1"/>
        <v>0</v>
      </c>
      <c r="AE7" s="2064">
        <f t="shared" si="1"/>
        <v>0</v>
      </c>
      <c r="AF7" s="2064">
        <f t="shared" si="1"/>
        <v>0</v>
      </c>
      <c r="AG7" s="2064">
        <f t="shared" si="1"/>
        <v>0</v>
      </c>
      <c r="AH7" s="2064">
        <f t="shared" si="1"/>
        <v>0</v>
      </c>
      <c r="AI7" s="2064">
        <f t="shared" si="1"/>
        <v>0</v>
      </c>
      <c r="AJ7" s="2064">
        <f t="shared" si="1"/>
        <v>0</v>
      </c>
      <c r="AK7" s="2064">
        <f t="shared" si="1"/>
        <v>0</v>
      </c>
      <c r="AL7" s="2064">
        <f t="shared" si="1"/>
        <v>0</v>
      </c>
      <c r="AM7" s="2058">
        <f t="shared" si="1"/>
        <v>918209485</v>
      </c>
      <c r="AN7" s="2058"/>
    </row>
    <row r="8" spans="1:41" ht="14.25" customHeight="1">
      <c r="B8" s="2042"/>
      <c r="E8" s="2065" t="s">
        <v>234</v>
      </c>
      <c r="AL8" s="2066"/>
    </row>
    <row r="9" spans="1:41" ht="14.25" customHeight="1">
      <c r="B9" s="2067" t="s">
        <v>235</v>
      </c>
      <c r="E9" s="2066"/>
      <c r="F9" s="2068"/>
      <c r="AL9" s="2066"/>
    </row>
    <row r="10" spans="1:41" ht="14.25" customHeight="1">
      <c r="B10" s="2042"/>
      <c r="C10" s="2069" t="s">
        <v>1474</v>
      </c>
      <c r="E10" s="2070"/>
      <c r="F10" s="2068"/>
      <c r="AL10" s="2066"/>
    </row>
    <row r="11" spans="1:41" ht="14.25" customHeight="1">
      <c r="A11" s="2025">
        <v>100</v>
      </c>
      <c r="B11" s="2042"/>
      <c r="C11" s="2026" t="s">
        <v>1475</v>
      </c>
      <c r="D11" s="2071" t="s">
        <v>236</v>
      </c>
      <c r="E11" s="2070">
        <f>ROUND(SUM(G11:AL11),0)</f>
        <v>0</v>
      </c>
      <c r="F11" s="2068"/>
      <c r="G11" s="2072">
        <f>-G7</f>
        <v>0</v>
      </c>
      <c r="AE11" s="2072">
        <f>-AE7</f>
        <v>0</v>
      </c>
      <c r="AL11" s="2066"/>
    </row>
    <row r="12" spans="1:41" ht="14.25" customHeight="1">
      <c r="A12" s="2025">
        <v>100</v>
      </c>
      <c r="B12" s="2042"/>
      <c r="C12" s="2026" t="s">
        <v>1475</v>
      </c>
      <c r="D12" s="2071" t="s">
        <v>1476</v>
      </c>
      <c r="E12" s="2070">
        <f>SUM(G12:AL12)</f>
        <v>0</v>
      </c>
      <c r="F12" s="2068"/>
      <c r="G12" s="2050"/>
      <c r="AE12" s="2050"/>
      <c r="AF12" s="2050"/>
      <c r="AG12" s="2050"/>
      <c r="AH12" s="2050"/>
      <c r="AI12" s="2050"/>
      <c r="AL12" s="2066"/>
    </row>
    <row r="13" spans="1:41" ht="14.25" customHeight="1">
      <c r="B13" s="2042"/>
      <c r="C13" s="2071" t="s">
        <v>1477</v>
      </c>
      <c r="D13" s="2071"/>
      <c r="E13" s="2070"/>
      <c r="F13" s="2068"/>
      <c r="G13" s="2050"/>
      <c r="AE13" s="2050"/>
      <c r="AF13" s="2050"/>
      <c r="AG13" s="2050"/>
      <c r="AH13" s="2050"/>
      <c r="AI13" s="2050"/>
      <c r="AL13" s="2066"/>
    </row>
    <row r="14" spans="1:41" ht="14.25" customHeight="1">
      <c r="A14" s="2025">
        <v>102</v>
      </c>
      <c r="B14" s="2042"/>
      <c r="C14" s="2026" t="s">
        <v>1475</v>
      </c>
      <c r="D14" s="2073" t="s">
        <v>1478</v>
      </c>
      <c r="E14" s="2070">
        <f>ROUND(SUM(G14:AL14),0)</f>
        <v>5867331342</v>
      </c>
      <c r="F14" s="2068"/>
      <c r="G14" s="2050"/>
      <c r="I14" s="2072">
        <f>-I7</f>
        <v>0</v>
      </c>
      <c r="R14" s="2072">
        <f>-R7</f>
        <v>0</v>
      </c>
      <c r="AA14" s="2074"/>
      <c r="AC14" s="2074">
        <f>-AC7-AC53</f>
        <v>0</v>
      </c>
      <c r="AE14" s="2050"/>
      <c r="AF14" s="2072">
        <f>-AF7-AF15-AF16</f>
        <v>3054332885</v>
      </c>
      <c r="AG14" s="2072">
        <f>-AG7-AG15-AG16</f>
        <v>2812998457</v>
      </c>
      <c r="AI14" s="2050"/>
      <c r="AL14" s="2066"/>
    </row>
    <row r="15" spans="1:41" ht="14.25" customHeight="1">
      <c r="A15" s="2025">
        <v>103</v>
      </c>
      <c r="B15" s="2042"/>
      <c r="C15" s="2026" t="s">
        <v>1475</v>
      </c>
      <c r="D15" s="2071" t="s">
        <v>1479</v>
      </c>
      <c r="E15" s="2070">
        <f>ROUND(SUM(G15:AL15),0)</f>
        <v>-3807729601</v>
      </c>
      <c r="F15" s="2068"/>
      <c r="G15" s="2050"/>
      <c r="I15" s="2050"/>
      <c r="J15" s="2050"/>
      <c r="K15" s="2050"/>
      <c r="M15" s="2050"/>
      <c r="N15" s="2050"/>
      <c r="O15" s="2050"/>
      <c r="P15" s="2050"/>
      <c r="R15" s="2050"/>
      <c r="S15" s="2050"/>
      <c r="T15" s="2050"/>
      <c r="V15" s="2050"/>
      <c r="X15" s="2050"/>
      <c r="Y15" s="2050"/>
      <c r="Z15" s="2074">
        <f>-Z7</f>
        <v>0</v>
      </c>
      <c r="AF15" s="2072">
        <v>-1512779164</v>
      </c>
      <c r="AG15" s="2072">
        <v>-2294950437</v>
      </c>
      <c r="AH15" s="2050"/>
      <c r="AI15" s="2050"/>
      <c r="AL15" s="2066"/>
    </row>
    <row r="16" spans="1:41" ht="14.25" customHeight="1">
      <c r="A16" s="2025">
        <v>200</v>
      </c>
      <c r="B16" s="2042"/>
      <c r="C16" s="2026" t="s">
        <v>1475</v>
      </c>
      <c r="D16" s="2071" t="s">
        <v>239</v>
      </c>
      <c r="E16" s="2070">
        <f>ROUND(SUM(G16:AL16),0)</f>
        <v>-17882306442</v>
      </c>
      <c r="F16" s="2068"/>
      <c r="H16" s="2072">
        <f>-H7</f>
        <v>0</v>
      </c>
      <c r="J16" s="2072">
        <f>-J7</f>
        <v>0</v>
      </c>
      <c r="K16" s="2072">
        <f>-K7</f>
        <v>0</v>
      </c>
      <c r="L16" s="2072">
        <f>-L7-L28</f>
        <v>5215957180</v>
      </c>
      <c r="M16" s="2072">
        <f>-M7-M50</f>
        <v>0</v>
      </c>
      <c r="N16" s="2072"/>
      <c r="O16" s="2072">
        <f>-O7</f>
        <v>0</v>
      </c>
      <c r="P16" s="2072">
        <f>-P7</f>
        <v>0</v>
      </c>
      <c r="S16" s="2072">
        <f>-S7</f>
        <v>0</v>
      </c>
      <c r="T16" s="2072">
        <f>-T7</f>
        <v>0</v>
      </c>
      <c r="U16" s="2072">
        <f>-U7-U50</f>
        <v>150000000</v>
      </c>
      <c r="V16" s="2072">
        <f>-V7</f>
        <v>0</v>
      </c>
      <c r="X16" s="2072">
        <f>-X7-X57</f>
        <v>-1500000000</v>
      </c>
      <c r="Y16" s="2075">
        <f>-Y7</f>
        <v>0</v>
      </c>
      <c r="Z16" s="2050"/>
      <c r="AA16" s="2075">
        <f>-AA7-AA52</f>
        <v>-20000000000</v>
      </c>
      <c r="AD16" s="2074"/>
      <c r="AF16" s="2072">
        <v>-1541553721</v>
      </c>
      <c r="AG16" s="2072">
        <v>-518048020</v>
      </c>
      <c r="AH16" s="2050"/>
      <c r="AI16" s="2072">
        <f>-AI7-AI17</f>
        <v>0</v>
      </c>
      <c r="AJ16" s="2072">
        <f>-AJ7-AJ19</f>
        <v>311338119</v>
      </c>
      <c r="AK16" s="2072">
        <f>-AK7</f>
        <v>0</v>
      </c>
      <c r="AL16" s="2072">
        <f>-AL7</f>
        <v>0</v>
      </c>
    </row>
    <row r="17" spans="1:40" ht="14.25" customHeight="1">
      <c r="A17" s="2025">
        <v>102</v>
      </c>
      <c r="B17" s="2042"/>
      <c r="C17" s="2071" t="s">
        <v>1480</v>
      </c>
      <c r="D17" s="2071"/>
      <c r="E17" s="2070">
        <f>SUM(G17:AL17)</f>
        <v>0</v>
      </c>
      <c r="F17" s="2068"/>
      <c r="I17" s="2050"/>
      <c r="J17" s="2050"/>
      <c r="K17" s="2050"/>
      <c r="AF17" s="2050"/>
      <c r="AL17" s="2066"/>
    </row>
    <row r="18" spans="1:40" ht="14.25" customHeight="1">
      <c r="A18" s="2025">
        <v>105</v>
      </c>
      <c r="B18" s="2042"/>
      <c r="C18" s="2071" t="s">
        <v>1481</v>
      </c>
      <c r="E18" s="2070">
        <f>ROUND(SUM(G18:AL18),0)</f>
        <v>0</v>
      </c>
      <c r="F18" s="2068"/>
      <c r="I18" s="2050"/>
      <c r="J18" s="2050"/>
      <c r="K18" s="2050"/>
      <c r="AH18" s="2072">
        <f>-AH7</f>
        <v>0</v>
      </c>
      <c r="AJ18" s="2050"/>
      <c r="AL18" s="2066"/>
    </row>
    <row r="19" spans="1:40" ht="14.25" customHeight="1">
      <c r="A19" s="2025">
        <v>104</v>
      </c>
      <c r="B19" s="2042"/>
      <c r="C19" s="2071" t="s">
        <v>1482</v>
      </c>
      <c r="D19" s="2071"/>
      <c r="E19" s="2076">
        <f>SUM(G19:AL19)</f>
        <v>-311338119</v>
      </c>
      <c r="F19" s="2068"/>
      <c r="I19" s="2050"/>
      <c r="J19" s="2050"/>
      <c r="K19" s="2050"/>
      <c r="AJ19" s="2072">
        <v>-311338119</v>
      </c>
      <c r="AL19" s="2066"/>
    </row>
    <row r="20" spans="1:40" s="2077" customFormat="1" ht="4.5" customHeight="1">
      <c r="A20" s="2025"/>
      <c r="B20" s="2042"/>
      <c r="C20" s="2026"/>
      <c r="D20" s="2077" t="s">
        <v>1475</v>
      </c>
      <c r="E20" s="2078"/>
      <c r="F20" s="2079"/>
      <c r="H20" s="2080"/>
      <c r="J20" s="2081"/>
      <c r="L20" s="2081"/>
      <c r="O20" s="2081"/>
      <c r="P20" s="2081"/>
      <c r="R20" s="2082"/>
      <c r="AL20" s="2066"/>
      <c r="AN20" s="2041"/>
    </row>
    <row r="21" spans="1:40" ht="14.25" customHeight="1">
      <c r="B21" s="2067" t="s">
        <v>1483</v>
      </c>
      <c r="E21" s="2083">
        <f>SUM(E11:E19)</f>
        <v>-16134042820</v>
      </c>
      <c r="F21" s="2068"/>
      <c r="AL21" s="2066"/>
    </row>
    <row r="22" spans="1:40" ht="14.25" customHeight="1">
      <c r="B22" s="2042"/>
      <c r="D22" s="2069"/>
      <c r="E22" s="2070"/>
      <c r="F22" s="2068"/>
      <c r="AL22" s="2066"/>
    </row>
    <row r="23" spans="1:40" ht="14.25" customHeight="1">
      <c r="B23" s="2084" t="s">
        <v>253</v>
      </c>
      <c r="E23" s="2085"/>
      <c r="F23" s="2068"/>
      <c r="AL23" s="2066"/>
    </row>
    <row r="24" spans="1:40" ht="14.25" customHeight="1">
      <c r="B24" s="2042"/>
      <c r="C24" s="2086" t="s">
        <v>1484</v>
      </c>
      <c r="D24" s="2069"/>
      <c r="E24" s="2070">
        <f>SUM(G24:AL24)</f>
        <v>0</v>
      </c>
      <c r="F24" s="2068"/>
      <c r="AL24" s="2066"/>
    </row>
    <row r="25" spans="1:40" ht="14.25" customHeight="1">
      <c r="B25" s="2042"/>
      <c r="C25" s="2086" t="s">
        <v>1485</v>
      </c>
      <c r="D25" s="2087"/>
      <c r="E25" s="2070">
        <f>SUM(G25:AL25)</f>
        <v>0</v>
      </c>
      <c r="F25" s="2068"/>
      <c r="L25" s="2088"/>
      <c r="AL25" s="2066"/>
    </row>
    <row r="26" spans="1:40" ht="14.25" customHeight="1">
      <c r="B26" s="2042"/>
      <c r="C26" s="2086" t="s">
        <v>1486</v>
      </c>
      <c r="D26" s="2071"/>
      <c r="E26" s="2070">
        <f>SUM(G26:AL26)</f>
        <v>0</v>
      </c>
      <c r="F26" s="2068"/>
      <c r="L26" s="2088"/>
      <c r="Q26" s="2088"/>
      <c r="R26" s="2088"/>
      <c r="S26" s="2088"/>
      <c r="T26" s="2088"/>
      <c r="U26" s="2088"/>
      <c r="V26" s="2088"/>
      <c r="W26" s="2088"/>
      <c r="X26" s="2088"/>
      <c r="Y26" s="2088"/>
      <c r="Z26" s="2088"/>
      <c r="AG26" s="2081"/>
      <c r="AH26" s="2081"/>
      <c r="AI26" s="2081"/>
      <c r="AL26" s="2066"/>
    </row>
    <row r="27" spans="1:40" ht="14.25" customHeight="1">
      <c r="B27" s="2042"/>
      <c r="C27" s="2086" t="s">
        <v>1487</v>
      </c>
      <c r="D27" s="2071"/>
      <c r="E27" s="2070">
        <f>SUM(G27:AL27)</f>
        <v>0</v>
      </c>
      <c r="F27" s="2068"/>
      <c r="L27" s="2050"/>
      <c r="Y27" s="2088"/>
      <c r="AG27" s="2050"/>
      <c r="AH27" s="2081"/>
      <c r="AI27" s="2081"/>
      <c r="AL27" s="2066"/>
    </row>
    <row r="28" spans="1:40" ht="14.25" customHeight="1">
      <c r="A28" s="2025">
        <v>106</v>
      </c>
      <c r="B28" s="2042"/>
      <c r="C28" s="2086" t="s">
        <v>1488</v>
      </c>
      <c r="D28" s="2071"/>
      <c r="E28" s="2070">
        <f>ROUND(SUM(G28:AL28),0)</f>
        <v>-5215957180</v>
      </c>
      <c r="F28" s="2068"/>
      <c r="L28" s="2072">
        <v>-5215957180</v>
      </c>
      <c r="M28" s="2088"/>
      <c r="N28" s="2088"/>
      <c r="O28" s="2088"/>
      <c r="P28" s="2088"/>
      <c r="AG28" s="2089"/>
      <c r="AH28" s="2081"/>
      <c r="AI28" s="2081"/>
      <c r="AL28" s="2066"/>
    </row>
    <row r="29" spans="1:40" ht="14.25" customHeight="1">
      <c r="B29" s="2042"/>
      <c r="C29" s="2086" t="s">
        <v>1489</v>
      </c>
      <c r="D29" s="2071"/>
      <c r="E29" s="2070">
        <f t="shared" ref="E29:E40" si="2">SUM(G29:AL29)</f>
        <v>0</v>
      </c>
      <c r="F29" s="2068"/>
      <c r="AG29" s="2081"/>
      <c r="AH29" s="2081"/>
      <c r="AI29" s="2081"/>
      <c r="AL29" s="2066"/>
    </row>
    <row r="30" spans="1:40" ht="14.25" customHeight="1">
      <c r="B30" s="2042"/>
      <c r="C30" s="2086" t="s">
        <v>1490</v>
      </c>
      <c r="D30" s="2071"/>
      <c r="E30" s="2070">
        <f t="shared" si="2"/>
        <v>0</v>
      </c>
      <c r="F30" s="2068"/>
      <c r="AG30" s="2081"/>
      <c r="AH30" s="2081"/>
      <c r="AI30" s="2081"/>
      <c r="AL30" s="2066"/>
    </row>
    <row r="31" spans="1:40" ht="14.25" customHeight="1">
      <c r="B31" s="2042"/>
      <c r="C31" s="2086" t="s">
        <v>1491</v>
      </c>
      <c r="D31" s="2071"/>
      <c r="E31" s="2070">
        <f t="shared" si="2"/>
        <v>0</v>
      </c>
      <c r="F31" s="2068"/>
      <c r="AG31" s="2081"/>
      <c r="AH31" s="2081"/>
      <c r="AI31" s="2081"/>
      <c r="AL31" s="2066"/>
    </row>
    <row r="32" spans="1:40" ht="14.25" customHeight="1">
      <c r="B32" s="2042"/>
      <c r="C32" s="2086" t="s">
        <v>1492</v>
      </c>
      <c r="D32" s="2071"/>
      <c r="E32" s="2070">
        <f t="shared" si="2"/>
        <v>0</v>
      </c>
      <c r="F32" s="2068"/>
      <c r="S32" s="2050"/>
      <c r="T32" s="2050"/>
      <c r="U32" s="2050"/>
      <c r="V32" s="2050"/>
      <c r="W32" s="2050"/>
      <c r="X32" s="2050"/>
      <c r="Y32" s="2050"/>
      <c r="Z32" s="2050"/>
      <c r="AG32" s="2081"/>
      <c r="AH32" s="2081"/>
      <c r="AI32" s="2081"/>
      <c r="AL32" s="2066"/>
    </row>
    <row r="33" spans="1:40" ht="14.25" customHeight="1">
      <c r="B33" s="2042"/>
      <c r="C33" s="2086" t="s">
        <v>1493</v>
      </c>
      <c r="D33" s="2071"/>
      <c r="E33" s="2070">
        <f t="shared" si="2"/>
        <v>0</v>
      </c>
      <c r="F33" s="2068"/>
      <c r="S33" s="2050"/>
      <c r="T33" s="2050"/>
      <c r="U33" s="2050"/>
      <c r="V33" s="2050"/>
      <c r="W33" s="2050"/>
      <c r="X33" s="2050"/>
      <c r="Y33" s="2050"/>
      <c r="Z33" s="2050"/>
      <c r="AG33" s="2081"/>
      <c r="AH33" s="2081"/>
      <c r="AI33" s="2081"/>
      <c r="AL33" s="2066"/>
    </row>
    <row r="34" spans="1:40" ht="14.25" customHeight="1">
      <c r="B34" s="2042"/>
      <c r="C34" s="2086" t="s">
        <v>1494</v>
      </c>
      <c r="D34" s="2071"/>
      <c r="E34" s="2070">
        <f t="shared" si="2"/>
        <v>0</v>
      </c>
      <c r="F34" s="2068"/>
      <c r="S34" s="2050"/>
      <c r="T34" s="2050"/>
      <c r="U34" s="2050"/>
      <c r="V34" s="2050"/>
      <c r="W34" s="2050"/>
      <c r="X34" s="2050"/>
      <c r="Y34" s="2050"/>
      <c r="Z34" s="2050"/>
      <c r="AG34" s="2081"/>
      <c r="AH34" s="2081"/>
      <c r="AI34" s="2081"/>
      <c r="AL34" s="2066"/>
    </row>
    <row r="35" spans="1:40" ht="14.25" customHeight="1">
      <c r="B35" s="2042"/>
      <c r="C35" s="2086" t="s">
        <v>1495</v>
      </c>
      <c r="D35" s="2071"/>
      <c r="E35" s="2070">
        <f t="shared" si="2"/>
        <v>0</v>
      </c>
      <c r="F35" s="2068"/>
      <c r="S35" s="2050"/>
      <c r="T35" s="2050"/>
      <c r="U35" s="2050"/>
      <c r="V35" s="2050"/>
      <c r="W35" s="2050"/>
      <c r="X35" s="2050"/>
      <c r="Y35" s="2050"/>
      <c r="Z35" s="2050"/>
      <c r="AG35" s="2081"/>
      <c r="AH35" s="2081"/>
      <c r="AI35" s="2081"/>
      <c r="AL35" s="2066"/>
    </row>
    <row r="36" spans="1:40" ht="14.25" customHeight="1">
      <c r="B36" s="2042"/>
      <c r="C36" s="2086" t="s">
        <v>1496</v>
      </c>
      <c r="D36" s="2071"/>
      <c r="E36" s="2070">
        <f t="shared" si="2"/>
        <v>0</v>
      </c>
      <c r="F36" s="2068"/>
      <c r="S36" s="2050"/>
      <c r="T36" s="2050"/>
      <c r="U36" s="2050"/>
      <c r="V36" s="2050"/>
      <c r="W36" s="2050"/>
      <c r="X36" s="2050"/>
      <c r="Y36" s="2050"/>
      <c r="Z36" s="2050"/>
      <c r="AG36" s="2081"/>
      <c r="AH36" s="2081"/>
      <c r="AI36" s="2081"/>
      <c r="AL36" s="2066"/>
    </row>
    <row r="37" spans="1:40" ht="14.25" customHeight="1">
      <c r="B37" s="2042"/>
      <c r="C37" s="2086" t="s">
        <v>1497</v>
      </c>
      <c r="D37" s="2071"/>
      <c r="E37" s="2070">
        <f t="shared" si="2"/>
        <v>0</v>
      </c>
      <c r="F37" s="2068"/>
      <c r="G37" s="2050"/>
      <c r="H37" s="2050"/>
      <c r="I37" s="2050"/>
      <c r="J37" s="2050"/>
      <c r="K37" s="2050"/>
      <c r="L37" s="2050"/>
      <c r="M37" s="2050"/>
      <c r="N37" s="2050"/>
      <c r="O37" s="2050"/>
      <c r="P37" s="2050"/>
      <c r="Q37" s="2050"/>
      <c r="R37" s="2050"/>
      <c r="S37" s="2050"/>
      <c r="T37" s="2050"/>
      <c r="U37" s="2050"/>
      <c r="V37" s="2050"/>
      <c r="W37" s="2050"/>
      <c r="X37" s="2050"/>
      <c r="Y37" s="2050"/>
      <c r="Z37" s="2050"/>
      <c r="AG37" s="2081"/>
      <c r="AH37" s="2081"/>
      <c r="AI37" s="2081"/>
      <c r="AL37" s="2066"/>
    </row>
    <row r="38" spans="1:40" ht="14.25" customHeight="1">
      <c r="B38" s="2042"/>
      <c r="C38" s="2086" t="s">
        <v>1498</v>
      </c>
      <c r="D38" s="2071"/>
      <c r="E38" s="2070">
        <f t="shared" si="2"/>
        <v>0</v>
      </c>
      <c r="F38" s="2068"/>
      <c r="G38" s="2050"/>
      <c r="H38" s="2050"/>
      <c r="I38" s="2050"/>
      <c r="J38" s="2050"/>
      <c r="K38" s="2050"/>
      <c r="L38" s="2050"/>
      <c r="M38" s="2050"/>
      <c r="N38" s="2050"/>
      <c r="O38" s="2050"/>
      <c r="P38" s="2050"/>
      <c r="Q38" s="2050"/>
      <c r="R38" s="2050"/>
      <c r="S38" s="2050"/>
      <c r="T38" s="2050"/>
      <c r="U38" s="2050"/>
      <c r="V38" s="2050"/>
      <c r="W38" s="2050"/>
      <c r="X38" s="2050"/>
      <c r="Y38" s="2050"/>
      <c r="Z38" s="2050"/>
      <c r="AD38" s="2075"/>
      <c r="AG38" s="2081"/>
      <c r="AH38" s="2081"/>
      <c r="AI38" s="2081"/>
      <c r="AL38" s="2066"/>
    </row>
    <row r="39" spans="1:40" ht="14.25" customHeight="1">
      <c r="B39" s="2042"/>
      <c r="C39" s="2086" t="s">
        <v>1499</v>
      </c>
      <c r="D39" s="2071"/>
      <c r="E39" s="2070">
        <f t="shared" si="2"/>
        <v>0</v>
      </c>
      <c r="F39" s="2068"/>
      <c r="G39" s="2050"/>
      <c r="H39" s="2050"/>
      <c r="I39" s="2050"/>
      <c r="J39" s="2050"/>
      <c r="K39" s="2050"/>
      <c r="L39" s="2050"/>
      <c r="M39" s="2050"/>
      <c r="N39" s="2050"/>
      <c r="O39" s="2050"/>
      <c r="P39" s="2050"/>
      <c r="Q39" s="2050"/>
      <c r="R39" s="2050"/>
      <c r="S39" s="2050"/>
      <c r="T39" s="2050"/>
      <c r="U39" s="2050"/>
      <c r="V39" s="2050"/>
      <c r="W39" s="2050"/>
      <c r="X39" s="2050"/>
      <c r="Y39" s="2050"/>
      <c r="Z39" s="2050"/>
      <c r="AG39" s="2081"/>
      <c r="AH39" s="2081"/>
      <c r="AI39" s="2081"/>
      <c r="AL39" s="2066"/>
    </row>
    <row r="40" spans="1:40" ht="14.25" customHeight="1">
      <c r="B40" s="2042"/>
      <c r="C40" s="2086" t="s">
        <v>1500</v>
      </c>
      <c r="D40" s="2071"/>
      <c r="E40" s="2070">
        <f t="shared" si="2"/>
        <v>0</v>
      </c>
      <c r="F40" s="2068"/>
      <c r="G40" s="2050"/>
      <c r="H40" s="2050"/>
      <c r="I40" s="2050"/>
      <c r="J40" s="2050"/>
      <c r="K40" s="2050"/>
      <c r="L40" s="2050"/>
      <c r="M40" s="2050"/>
      <c r="N40" s="2050"/>
      <c r="O40" s="2050"/>
      <c r="P40" s="2050"/>
      <c r="Q40" s="2050"/>
      <c r="R40" s="2050"/>
      <c r="S40" s="2050"/>
      <c r="T40" s="2050"/>
      <c r="U40" s="2050"/>
      <c r="V40" s="2050"/>
      <c r="W40" s="2050"/>
      <c r="X40" s="2050"/>
      <c r="Y40" s="2050"/>
      <c r="Z40" s="2050"/>
      <c r="AG40" s="2081"/>
      <c r="AH40" s="2081"/>
      <c r="AI40" s="2081"/>
      <c r="AL40" s="2066"/>
    </row>
    <row r="41" spans="1:40" s="2077" customFormat="1" ht="4.5" customHeight="1">
      <c r="A41" s="2025"/>
      <c r="B41" s="2042"/>
      <c r="C41" s="2026" t="s">
        <v>1475</v>
      </c>
      <c r="D41" s="2077" t="s">
        <v>1475</v>
      </c>
      <c r="E41" s="2090"/>
      <c r="F41" s="2079"/>
      <c r="H41" s="2080"/>
      <c r="J41" s="2081"/>
      <c r="L41" s="2081"/>
      <c r="O41" s="2081"/>
      <c r="P41" s="2081"/>
      <c r="R41" s="2082"/>
      <c r="AL41" s="2066"/>
      <c r="AN41" s="2041"/>
    </row>
    <row r="42" spans="1:40" ht="14.25" customHeight="1">
      <c r="B42" s="2091" t="s">
        <v>1501</v>
      </c>
      <c r="D42" s="2071"/>
      <c r="E42" s="2076">
        <f>ROUND(SUM(E24:E41),0)</f>
        <v>-5215957180</v>
      </c>
      <c r="F42" s="2068"/>
      <c r="M42" s="2092"/>
      <c r="N42" s="2092"/>
      <c r="O42" s="2092"/>
      <c r="P42" s="2092"/>
      <c r="AL42" s="2066"/>
    </row>
    <row r="43" spans="1:40" ht="14.25" customHeight="1">
      <c r="B43" s="2042"/>
      <c r="D43" s="2071"/>
      <c r="E43" s="2070"/>
      <c r="F43" s="2068"/>
      <c r="M43" s="2092"/>
      <c r="N43" s="2092"/>
      <c r="O43" s="2092"/>
      <c r="P43" s="2092"/>
      <c r="AL43" s="2066"/>
    </row>
    <row r="44" spans="1:40" ht="14.25" customHeight="1">
      <c r="B44" s="2084" t="s">
        <v>265</v>
      </c>
      <c r="D44" s="2069"/>
      <c r="E44" s="2093"/>
      <c r="F44" s="2068"/>
      <c r="AL44" s="2066"/>
    </row>
    <row r="45" spans="1:40" ht="14.25" customHeight="1">
      <c r="A45" s="2025">
        <v>107</v>
      </c>
      <c r="B45" s="2042"/>
      <c r="C45" s="2086" t="s">
        <v>1502</v>
      </c>
      <c r="E45" s="2070">
        <f t="shared" ref="E45:E50" si="3">SUM(G45:AL45)</f>
        <v>0</v>
      </c>
      <c r="F45" s="2068"/>
      <c r="AL45" s="2066"/>
    </row>
    <row r="46" spans="1:40" ht="14.25" customHeight="1">
      <c r="A46" s="2025">
        <v>108</v>
      </c>
      <c r="B46" s="2042"/>
      <c r="C46" s="2086" t="s">
        <v>268</v>
      </c>
      <c r="D46" s="2071"/>
      <c r="E46" s="2070">
        <f t="shared" si="3"/>
        <v>0</v>
      </c>
      <c r="F46" s="2068"/>
      <c r="AL46" s="2066"/>
    </row>
    <row r="47" spans="1:40" ht="14.25" customHeight="1">
      <c r="A47" s="2025">
        <v>110</v>
      </c>
      <c r="B47" s="2042"/>
      <c r="C47" s="2086" t="s">
        <v>1503</v>
      </c>
      <c r="D47" s="2071"/>
      <c r="E47" s="2070">
        <f t="shared" si="3"/>
        <v>0</v>
      </c>
      <c r="F47" s="2068"/>
      <c r="G47" s="2050"/>
      <c r="H47" s="2050"/>
      <c r="I47" s="2050"/>
      <c r="J47" s="2050"/>
      <c r="K47" s="2050"/>
      <c r="L47" s="2050"/>
      <c r="M47" s="2050"/>
      <c r="N47" s="2050"/>
      <c r="O47" s="2050"/>
      <c r="P47" s="2050"/>
      <c r="Q47" s="2050"/>
      <c r="R47" s="2050"/>
      <c r="S47" s="2050"/>
      <c r="T47" s="2050"/>
      <c r="V47" s="2050"/>
      <c r="W47" s="2050"/>
      <c r="AL47" s="2066"/>
    </row>
    <row r="48" spans="1:40" ht="14.25" customHeight="1">
      <c r="B48" s="2042"/>
      <c r="C48" s="2086" t="s">
        <v>1504</v>
      </c>
      <c r="D48" s="2071"/>
      <c r="E48" s="2070">
        <f t="shared" si="3"/>
        <v>0</v>
      </c>
      <c r="F48" s="2068"/>
      <c r="G48" s="2050"/>
      <c r="H48" s="2050"/>
      <c r="I48" s="2050"/>
      <c r="J48" s="2050"/>
      <c r="K48" s="2050"/>
      <c r="L48" s="2050"/>
      <c r="M48" s="2050"/>
      <c r="N48" s="2050"/>
      <c r="O48" s="2050"/>
      <c r="P48" s="2050"/>
      <c r="Q48" s="2050"/>
      <c r="R48" s="2050"/>
      <c r="S48" s="2050"/>
      <c r="T48" s="2050"/>
      <c r="U48" s="2050"/>
      <c r="V48" s="2050"/>
      <c r="W48" s="2050"/>
      <c r="AL48" s="2066"/>
    </row>
    <row r="49" spans="1:38" ht="14.25" customHeight="1">
      <c r="B49" s="2042"/>
      <c r="C49" s="2086" t="s">
        <v>1505</v>
      </c>
      <c r="D49" s="2071"/>
      <c r="E49" s="2070">
        <f t="shared" si="3"/>
        <v>0</v>
      </c>
      <c r="F49" s="2068"/>
      <c r="G49" s="2050"/>
      <c r="H49" s="2050"/>
      <c r="I49" s="2050"/>
      <c r="J49" s="2050"/>
      <c r="K49" s="2050"/>
      <c r="L49" s="2050"/>
      <c r="M49" s="2050"/>
      <c r="N49" s="2050"/>
      <c r="O49" s="2050"/>
      <c r="P49" s="2050"/>
      <c r="Q49" s="2050"/>
      <c r="R49" s="2050"/>
      <c r="S49" s="2050"/>
      <c r="T49" s="2050"/>
      <c r="V49" s="2050"/>
      <c r="AL49" s="2066"/>
    </row>
    <row r="50" spans="1:38" ht="14.25" customHeight="1">
      <c r="A50" s="2025">
        <v>109</v>
      </c>
      <c r="B50" s="2042"/>
      <c r="C50" s="2086" t="s">
        <v>1506</v>
      </c>
      <c r="D50" s="2071"/>
      <c r="E50" s="2070">
        <f t="shared" si="3"/>
        <v>-150000000</v>
      </c>
      <c r="F50" s="2068"/>
      <c r="G50" s="2050"/>
      <c r="H50" s="2050"/>
      <c r="I50" s="2050"/>
      <c r="K50" s="2050"/>
      <c r="L50" s="2050"/>
      <c r="M50" s="2050"/>
      <c r="N50" s="2050"/>
      <c r="O50" s="2050"/>
      <c r="P50" s="2050"/>
      <c r="Q50" s="2050"/>
      <c r="R50" s="2050"/>
      <c r="S50" s="2050"/>
      <c r="T50" s="2050"/>
      <c r="U50" s="2075">
        <v>-150000000</v>
      </c>
      <c r="V50" s="2050"/>
      <c r="AL50" s="2066"/>
    </row>
    <row r="51" spans="1:38" ht="14.25" customHeight="1">
      <c r="A51" s="2025">
        <v>113</v>
      </c>
      <c r="B51" s="2042"/>
      <c r="C51" s="2086" t="s">
        <v>1507</v>
      </c>
      <c r="D51" s="2071"/>
      <c r="E51" s="2070">
        <f>ROUND(SUM(G51:AL51),)</f>
        <v>-20000000000</v>
      </c>
      <c r="F51" s="2068"/>
      <c r="G51" s="2050"/>
      <c r="H51" s="2050"/>
      <c r="I51" s="2050"/>
      <c r="K51" s="2050"/>
      <c r="L51" s="2050"/>
      <c r="M51" s="2050"/>
      <c r="N51" s="2050"/>
      <c r="O51" s="2050"/>
      <c r="P51" s="2050"/>
      <c r="Q51" s="2050"/>
      <c r="R51" s="2050"/>
      <c r="S51" s="2050"/>
      <c r="T51" s="2050"/>
      <c r="U51" s="2050"/>
      <c r="V51" s="2050"/>
      <c r="AB51" s="2050">
        <f>-(AB7+AB53)</f>
        <v>-20000000000</v>
      </c>
      <c r="AL51" s="2066"/>
    </row>
    <row r="52" spans="1:38" ht="14.25" customHeight="1">
      <c r="A52" s="2025">
        <v>111</v>
      </c>
      <c r="B52" s="2042"/>
      <c r="C52" s="2086" t="s">
        <v>1508</v>
      </c>
      <c r="D52" s="2071"/>
      <c r="E52" s="2070">
        <f>ROUND(SUM(G52:AL52),)</f>
        <v>20000000000</v>
      </c>
      <c r="F52" s="2068"/>
      <c r="G52" s="2050"/>
      <c r="H52" s="2050"/>
      <c r="I52" s="2050"/>
      <c r="K52" s="2050"/>
      <c r="L52" s="2050"/>
      <c r="M52" s="2050"/>
      <c r="N52" s="2050"/>
      <c r="O52" s="2050"/>
      <c r="P52" s="2050"/>
      <c r="Q52" s="2050"/>
      <c r="R52" s="2050"/>
      <c r="S52" s="2050"/>
      <c r="T52" s="2050"/>
      <c r="U52" s="2050"/>
      <c r="V52" s="2050"/>
      <c r="AA52" s="2050">
        <v>20000000000</v>
      </c>
      <c r="AD52" s="2094">
        <f>-AD7</f>
        <v>0</v>
      </c>
      <c r="AL52" s="2066"/>
    </row>
    <row r="53" spans="1:38" ht="14.25" customHeight="1">
      <c r="A53" s="2025">
        <v>114</v>
      </c>
      <c r="B53" s="2042"/>
      <c r="C53" s="2086" t="s">
        <v>1509</v>
      </c>
      <c r="D53" s="2071"/>
      <c r="E53" s="2070">
        <f>SUM(G53:AL53)</f>
        <v>20000000000</v>
      </c>
      <c r="F53" s="2068"/>
      <c r="G53" s="2050"/>
      <c r="H53" s="2050"/>
      <c r="I53" s="2050"/>
      <c r="K53" s="2050"/>
      <c r="L53" s="2050"/>
      <c r="M53" s="2050"/>
      <c r="N53" s="2050"/>
      <c r="O53" s="2050"/>
      <c r="P53" s="2050"/>
      <c r="Q53" s="2050"/>
      <c r="R53" s="2050"/>
      <c r="S53" s="2050"/>
      <c r="T53" s="2050"/>
      <c r="U53" s="2050"/>
      <c r="V53" s="2050"/>
      <c r="AB53" s="2050">
        <v>20000000000</v>
      </c>
      <c r="AL53" s="2066"/>
    </row>
    <row r="54" spans="1:38" ht="14.25" customHeight="1">
      <c r="A54" s="2025">
        <v>112</v>
      </c>
      <c r="B54" s="2042"/>
      <c r="C54" s="2086" t="s">
        <v>1510</v>
      </c>
      <c r="D54" s="2071"/>
      <c r="E54" s="2070">
        <f>SUM(G54:AL54)</f>
        <v>0</v>
      </c>
      <c r="F54" s="2068"/>
      <c r="G54" s="2050"/>
      <c r="H54" s="2050"/>
      <c r="I54" s="2050"/>
      <c r="K54" s="2050"/>
      <c r="L54" s="2050"/>
      <c r="M54" s="2050"/>
      <c r="N54" s="2050"/>
      <c r="O54" s="2050"/>
      <c r="P54" s="2050"/>
      <c r="Q54" s="2050"/>
      <c r="R54" s="2050"/>
      <c r="S54" s="2050"/>
      <c r="T54" s="2050"/>
      <c r="U54" s="2050"/>
      <c r="V54" s="2050"/>
      <c r="AB54" s="2050"/>
      <c r="AL54" s="2066"/>
    </row>
    <row r="55" spans="1:38" ht="14.25" customHeight="1">
      <c r="B55" s="2042"/>
      <c r="C55" s="2086" t="s">
        <v>1511</v>
      </c>
      <c r="D55" s="2071"/>
      <c r="E55" s="2070">
        <f>SUM(G55:AL55)</f>
        <v>0</v>
      </c>
      <c r="F55" s="2068"/>
      <c r="G55" s="2050"/>
      <c r="H55" s="2050"/>
      <c r="I55" s="2050"/>
      <c r="K55" s="2050"/>
      <c r="L55" s="2050"/>
      <c r="M55" s="2050"/>
      <c r="N55" s="2050"/>
      <c r="O55" s="2050"/>
      <c r="P55" s="2050"/>
      <c r="Q55" s="2050"/>
      <c r="R55" s="2050"/>
      <c r="S55" s="2050"/>
      <c r="T55" s="2050"/>
      <c r="U55" s="2050"/>
      <c r="V55" s="2050"/>
      <c r="AL55" s="2066"/>
    </row>
    <row r="56" spans="1:38" ht="14.25" customHeight="1">
      <c r="B56" s="2042"/>
      <c r="C56" s="2086" t="s">
        <v>1512</v>
      </c>
      <c r="D56" s="2071"/>
      <c r="E56" s="2070">
        <f>SUM(G56:AL56)</f>
        <v>0</v>
      </c>
      <c r="F56" s="2068"/>
      <c r="G56" s="2050"/>
      <c r="H56" s="2050"/>
      <c r="I56" s="2050"/>
      <c r="K56" s="2050"/>
      <c r="L56" s="2050"/>
      <c r="M56" s="2050"/>
      <c r="N56" s="2050"/>
      <c r="O56" s="2050"/>
      <c r="P56" s="2050"/>
      <c r="Q56" s="2050"/>
      <c r="R56" s="2050"/>
      <c r="S56" s="2050"/>
      <c r="T56" s="2050"/>
      <c r="U56" s="2050"/>
      <c r="V56" s="2050"/>
      <c r="AL56" s="2066"/>
    </row>
    <row r="57" spans="1:38" ht="14.25" customHeight="1">
      <c r="A57" s="2025">
        <v>115</v>
      </c>
      <c r="B57" s="2042"/>
      <c r="C57" s="2086" t="s">
        <v>1513</v>
      </c>
      <c r="D57" s="2071"/>
      <c r="E57" s="2070">
        <f>ROUND(SUM(G57:AL57),0)</f>
        <v>1500000000</v>
      </c>
      <c r="F57" s="2068"/>
      <c r="X57" s="2072">
        <v>1500000000</v>
      </c>
      <c r="AL57" s="2066"/>
    </row>
    <row r="58" spans="1:38" ht="14.25" customHeight="1">
      <c r="A58" s="2025">
        <v>116</v>
      </c>
      <c r="B58" s="2042"/>
      <c r="C58" s="2086" t="s">
        <v>1514</v>
      </c>
      <c r="D58" s="2071"/>
      <c r="E58" s="2070">
        <f>SUM(G58:AL58)</f>
        <v>0</v>
      </c>
      <c r="F58" s="2068"/>
      <c r="AL58" s="2066"/>
    </row>
    <row r="59" spans="1:38" ht="14.25" customHeight="1">
      <c r="A59" s="2025">
        <v>117</v>
      </c>
      <c r="B59" s="2042"/>
      <c r="C59" s="2095" t="s">
        <v>1515</v>
      </c>
      <c r="D59" s="2096"/>
      <c r="E59" s="2070">
        <f>SUM(G59:AL59)</f>
        <v>0</v>
      </c>
      <c r="F59" s="2068"/>
      <c r="AD59" s="2075"/>
      <c r="AL59" s="2066"/>
    </row>
    <row r="60" spans="1:38" ht="14.25" customHeight="1">
      <c r="B60" s="2042"/>
      <c r="C60" s="2086" t="s">
        <v>1516</v>
      </c>
      <c r="D60" s="2071"/>
      <c r="E60" s="2070">
        <f>SUM(G60:AL60)</f>
        <v>0</v>
      </c>
      <c r="F60" s="2068"/>
      <c r="AL60" s="2066"/>
    </row>
    <row r="61" spans="1:38" ht="14.25" customHeight="1">
      <c r="B61" s="2042"/>
      <c r="C61" s="2086" t="s">
        <v>1517</v>
      </c>
      <c r="D61" s="2071"/>
      <c r="E61" s="2076">
        <f>SUM(G61:AL61)</f>
        <v>0</v>
      </c>
      <c r="F61" s="2068"/>
      <c r="AL61" s="2066"/>
    </row>
    <row r="62" spans="1:38" s="2077" customFormat="1" ht="4.5" customHeight="1">
      <c r="A62" s="2025"/>
      <c r="B62" s="2042"/>
      <c r="C62" s="2026"/>
      <c r="D62" s="2077" t="s">
        <v>1475</v>
      </c>
      <c r="E62" s="2078"/>
      <c r="F62" s="2079"/>
      <c r="H62" s="2080"/>
      <c r="J62" s="2081"/>
      <c r="L62" s="2081"/>
      <c r="O62" s="2081"/>
      <c r="P62" s="2081"/>
      <c r="R62" s="2082"/>
      <c r="Y62" s="2041"/>
      <c r="Z62" s="2041"/>
      <c r="AA62" s="2041"/>
      <c r="AB62" s="2041"/>
      <c r="AC62" s="2041"/>
      <c r="AD62" s="2041"/>
      <c r="AE62" s="2041"/>
      <c r="AF62" s="2041"/>
      <c r="AG62" s="2041"/>
      <c r="AH62" s="2041"/>
      <c r="AI62" s="2041"/>
      <c r="AJ62" s="2041"/>
      <c r="AK62" s="2041"/>
      <c r="AL62" s="2066"/>
    </row>
    <row r="63" spans="1:38" ht="14.25" customHeight="1">
      <c r="B63" s="2091" t="s">
        <v>1518</v>
      </c>
      <c r="D63" s="2071"/>
      <c r="E63" s="2076">
        <f>SUM(E45:E62)</f>
        <v>21350000000</v>
      </c>
      <c r="F63" s="2068"/>
      <c r="AL63" s="2066"/>
    </row>
    <row r="64" spans="1:38" s="2077" customFormat="1" ht="4.5" customHeight="1">
      <c r="A64" s="2025"/>
      <c r="B64" s="2042"/>
      <c r="C64" s="2026"/>
      <c r="D64" s="2077" t="s">
        <v>1475</v>
      </c>
      <c r="E64" s="2078"/>
      <c r="F64" s="2079"/>
      <c r="H64" s="2080"/>
      <c r="J64" s="2081"/>
      <c r="L64" s="2081"/>
      <c r="O64" s="2081"/>
      <c r="P64" s="2081"/>
      <c r="R64" s="2082"/>
      <c r="Y64" s="2041"/>
      <c r="Z64" s="2041"/>
      <c r="AA64" s="2041"/>
      <c r="AB64" s="2041"/>
      <c r="AC64" s="2041"/>
      <c r="AD64" s="2041"/>
      <c r="AE64" s="2041"/>
      <c r="AF64" s="2041"/>
      <c r="AG64" s="2041"/>
      <c r="AH64" s="2041"/>
      <c r="AI64" s="2041"/>
      <c r="AJ64" s="2041"/>
      <c r="AK64" s="2041"/>
      <c r="AL64" s="2066"/>
    </row>
    <row r="65" spans="1:38" ht="14.25" customHeight="1">
      <c r="B65" s="2091" t="s">
        <v>1519</v>
      </c>
      <c r="D65" s="2097"/>
      <c r="E65" s="2098">
        <f>E63+E42+E21</f>
        <v>0</v>
      </c>
      <c r="F65" s="2079"/>
      <c r="AL65" s="2066"/>
    </row>
    <row r="66" spans="1:38" s="2077" customFormat="1" ht="4.5" customHeight="1">
      <c r="A66" s="2025"/>
      <c r="B66" s="2042"/>
      <c r="C66" s="2026"/>
      <c r="D66" s="2077" t="s">
        <v>1475</v>
      </c>
      <c r="E66" s="2078"/>
      <c r="F66" s="2079"/>
      <c r="H66" s="2080"/>
      <c r="J66" s="2081"/>
      <c r="L66" s="2081"/>
      <c r="O66" s="2081"/>
      <c r="P66" s="2081"/>
      <c r="R66" s="2082"/>
      <c r="Y66" s="2041"/>
      <c r="Z66" s="2041"/>
      <c r="AA66" s="2041"/>
      <c r="AB66" s="2041"/>
      <c r="AC66" s="2041"/>
      <c r="AD66" s="2041"/>
      <c r="AE66" s="2041"/>
      <c r="AF66" s="2041"/>
      <c r="AG66" s="2041"/>
      <c r="AH66" s="2041"/>
      <c r="AI66" s="2041"/>
      <c r="AJ66" s="2041"/>
      <c r="AK66" s="2041"/>
      <c r="AL66" s="2066"/>
    </row>
    <row r="67" spans="1:38" ht="14.25" customHeight="1">
      <c r="B67" s="2091" t="s">
        <v>1520</v>
      </c>
      <c r="D67" s="2097"/>
      <c r="E67" s="2098">
        <v>1491095704</v>
      </c>
      <c r="F67" s="2079"/>
      <c r="AL67" s="2066"/>
    </row>
    <row r="68" spans="1:38" s="2077" customFormat="1" ht="4.5" customHeight="1">
      <c r="A68" s="2025"/>
      <c r="B68" s="2042"/>
      <c r="C68" s="2026"/>
      <c r="D68" s="2077" t="s">
        <v>1475</v>
      </c>
      <c r="E68" s="2078"/>
      <c r="F68" s="2079"/>
      <c r="H68" s="2080"/>
      <c r="J68" s="2081"/>
      <c r="L68" s="2081"/>
      <c r="O68" s="2081"/>
      <c r="P68" s="2081"/>
      <c r="R68" s="2082"/>
      <c r="AL68" s="2066"/>
    </row>
    <row r="69" spans="1:38" ht="14.25" customHeight="1">
      <c r="B69" s="2099" t="s">
        <v>1521</v>
      </c>
      <c r="C69" s="2061"/>
      <c r="D69" s="2100"/>
      <c r="E69" s="2098">
        <f>E65+E67</f>
        <v>1491095704</v>
      </c>
      <c r="F69" s="2101">
        <f>SUM(F7:F68)</f>
        <v>918209485</v>
      </c>
      <c r="G69" s="2102">
        <f t="shared" ref="G69:AL69" si="4">SUM(G7:G68)</f>
        <v>0</v>
      </c>
      <c r="H69" s="2102">
        <f t="shared" si="4"/>
        <v>0</v>
      </c>
      <c r="I69" s="2102">
        <f t="shared" si="4"/>
        <v>0</v>
      </c>
      <c r="J69" s="2102">
        <f t="shared" si="4"/>
        <v>0</v>
      </c>
      <c r="K69" s="2102">
        <f t="shared" si="4"/>
        <v>0</v>
      </c>
      <c r="L69" s="2102">
        <f t="shared" si="4"/>
        <v>0</v>
      </c>
      <c r="M69" s="2102">
        <f t="shared" si="4"/>
        <v>0</v>
      </c>
      <c r="N69" s="2102"/>
      <c r="O69" s="2102">
        <f t="shared" si="4"/>
        <v>0</v>
      </c>
      <c r="P69" s="2102">
        <f t="shared" si="4"/>
        <v>0</v>
      </c>
      <c r="Q69" s="2102">
        <f t="shared" si="4"/>
        <v>0</v>
      </c>
      <c r="R69" s="2102">
        <f t="shared" si="4"/>
        <v>0</v>
      </c>
      <c r="S69" s="2102">
        <f t="shared" si="4"/>
        <v>0</v>
      </c>
      <c r="T69" s="2102">
        <f t="shared" si="4"/>
        <v>0</v>
      </c>
      <c r="U69" s="2102">
        <f t="shared" si="4"/>
        <v>0</v>
      </c>
      <c r="V69" s="2102">
        <f t="shared" si="4"/>
        <v>0</v>
      </c>
      <c r="W69" s="2102">
        <f t="shared" si="4"/>
        <v>0</v>
      </c>
      <c r="X69" s="2102">
        <f t="shared" si="4"/>
        <v>0</v>
      </c>
      <c r="Y69" s="2102">
        <f t="shared" si="4"/>
        <v>0</v>
      </c>
      <c r="Z69" s="2102">
        <f t="shared" si="4"/>
        <v>0</v>
      </c>
      <c r="AA69" s="2102">
        <f t="shared" si="4"/>
        <v>0</v>
      </c>
      <c r="AB69" s="2102">
        <f t="shared" si="4"/>
        <v>0</v>
      </c>
      <c r="AC69" s="2102">
        <f t="shared" si="4"/>
        <v>0</v>
      </c>
      <c r="AD69" s="2102">
        <f t="shared" si="4"/>
        <v>0</v>
      </c>
      <c r="AE69" s="2102">
        <f t="shared" si="4"/>
        <v>0</v>
      </c>
      <c r="AF69" s="2102">
        <f t="shared" si="4"/>
        <v>0</v>
      </c>
      <c r="AG69" s="2102">
        <f t="shared" si="4"/>
        <v>0</v>
      </c>
      <c r="AH69" s="2102">
        <f t="shared" si="4"/>
        <v>0</v>
      </c>
      <c r="AI69" s="2102">
        <f t="shared" si="4"/>
        <v>0</v>
      </c>
      <c r="AJ69" s="2102">
        <f t="shared" si="4"/>
        <v>0</v>
      </c>
      <c r="AK69" s="2102">
        <f t="shared" si="4"/>
        <v>0</v>
      </c>
      <c r="AL69" s="2103">
        <f t="shared" si="4"/>
        <v>0</v>
      </c>
    </row>
    <row r="70" spans="1:38" ht="14.25" customHeight="1">
      <c r="E70" s="2050"/>
    </row>
    <row r="71" spans="1:38" ht="14.25" customHeight="1">
      <c r="E71" s="2050"/>
    </row>
    <row r="72" spans="1:38" ht="14.25" customHeight="1">
      <c r="D72" s="2104" t="s">
        <v>279</v>
      </c>
      <c r="E72" s="2105">
        <v>24013978567</v>
      </c>
    </row>
    <row r="73" spans="1:38" ht="14.25" customHeight="1">
      <c r="D73" s="2104" t="s">
        <v>1522</v>
      </c>
      <c r="E73" s="2105">
        <f>E72-E69</f>
        <v>22522882863</v>
      </c>
      <c r="F73" s="2106"/>
    </row>
    <row r="74" spans="1:38" ht="14.25" customHeight="1">
      <c r="E74" s="2050"/>
    </row>
    <row r="75" spans="1:38" ht="14.25" customHeight="1">
      <c r="E75" s="2050"/>
    </row>
    <row r="76" spans="1:38" ht="14.25" customHeight="1">
      <c r="E76" s="2050"/>
    </row>
    <row r="77" spans="1:38" ht="14.25" customHeight="1">
      <c r="E77" s="2050"/>
    </row>
    <row r="78" spans="1:38" ht="14.25" customHeight="1">
      <c r="E78" s="2050"/>
    </row>
    <row r="79" spans="1:38" ht="14.25" customHeight="1">
      <c r="E79" s="2050"/>
    </row>
    <row r="80" spans="1:38" ht="14.25" customHeight="1">
      <c r="E80" s="2050"/>
    </row>
    <row r="81" spans="5:5" ht="14.25" customHeight="1">
      <c r="E81" s="2050"/>
    </row>
    <row r="82" spans="5:5" ht="10.5"/>
  </sheetData>
  <mergeCells count="15">
    <mergeCell ref="K2:K3"/>
    <mergeCell ref="F2:F3"/>
    <mergeCell ref="G2:G3"/>
    <mergeCell ref="H2:H3"/>
    <mergeCell ref="I2:I3"/>
    <mergeCell ref="J2:J3"/>
    <mergeCell ref="AH2:AH3"/>
    <mergeCell ref="AJ2:AJ3"/>
    <mergeCell ref="AL2:AL3"/>
    <mergeCell ref="AA2:AA3"/>
    <mergeCell ref="AC2:AC3"/>
    <mergeCell ref="AD2:AD3"/>
    <mergeCell ref="AE2:AE3"/>
    <mergeCell ref="AF2:AF3"/>
    <mergeCell ref="AG2:AG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EE94-626A-48B5-8D84-0030D4B81292}">
  <sheetPr>
    <tabColor rgb="FF0070C0"/>
  </sheetPr>
  <dimension ref="A1:AT1011"/>
  <sheetViews>
    <sheetView showGridLines="0" workbookViewId="0">
      <pane xSplit="4" ySplit="8" topLeftCell="E64" activePane="bottomRight" state="frozen"/>
      <selection pane="bottomRight" activeCell="D76" sqref="D76"/>
      <selection pane="bottomLeft" activeCell="A9" sqref="A9"/>
      <selection pane="topRight" activeCell="C1" sqref="C1"/>
    </sheetView>
  </sheetViews>
  <sheetFormatPr defaultColWidth="14.42578125" defaultRowHeight="12.6"/>
  <cols>
    <col min="1" max="1" width="3" style="519" customWidth="1"/>
    <col min="2" max="2" width="3" style="2071" customWidth="1"/>
    <col min="3" max="3" width="41" style="519" customWidth="1"/>
    <col min="4" max="4" width="17.5703125" style="519" customWidth="1"/>
    <col min="5" max="42" width="15.5703125" style="519" customWidth="1"/>
    <col min="43" max="43" width="16.42578125" style="519" customWidth="1"/>
    <col min="44" max="44" width="15.5703125" style="519" customWidth="1"/>
    <col min="45" max="46" width="13.5703125" style="519" bestFit="1" customWidth="1"/>
    <col min="47" max="16384" width="14.42578125" style="519"/>
  </cols>
  <sheetData>
    <row r="1" spans="1:46" ht="12.75" customHeight="1">
      <c r="C1" s="515"/>
      <c r="D1" s="516"/>
      <c r="E1" s="517">
        <f>SUM(E7:Q7)</f>
        <v>345325322996</v>
      </c>
      <c r="F1" s="517"/>
      <c r="G1" s="517"/>
      <c r="H1" s="517"/>
      <c r="I1" s="517">
        <v>153903160236</v>
      </c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8"/>
      <c r="AS1" s="518"/>
      <c r="AT1" s="518"/>
    </row>
    <row r="2" spans="1:46" ht="12.75" customHeight="1">
      <c r="C2" s="520"/>
      <c r="D2" s="515"/>
      <c r="E2" s="517">
        <f>SUM(S7:AH7)</f>
        <v>-345325322996</v>
      </c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517"/>
      <c r="AK2" s="517"/>
      <c r="AL2" s="517"/>
      <c r="AM2" s="517"/>
      <c r="AN2" s="517"/>
      <c r="AO2" s="517"/>
      <c r="AP2" s="517"/>
      <c r="AQ2" s="517"/>
      <c r="AR2" s="518"/>
      <c r="AS2" s="518"/>
      <c r="AT2" s="518"/>
    </row>
    <row r="3" spans="1:46" ht="12.75" customHeight="1">
      <c r="C3" s="515"/>
      <c r="D3" s="518"/>
      <c r="E3" s="521">
        <f>E1+E2</f>
        <v>0</v>
      </c>
      <c r="F3" s="521"/>
      <c r="G3" s="521"/>
      <c r="H3" s="521"/>
      <c r="I3" s="521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  <c r="AM3" s="517"/>
      <c r="AN3" s="517"/>
      <c r="AO3" s="517"/>
      <c r="AP3" s="517"/>
      <c r="AQ3" s="517"/>
      <c r="AR3" s="518"/>
      <c r="AS3" s="518"/>
      <c r="AT3" s="518"/>
    </row>
    <row r="4" spans="1:46" ht="12.75" customHeight="1">
      <c r="A4" s="2166"/>
      <c r="C4" s="2167"/>
      <c r="D4" s="2168"/>
      <c r="E4" s="2429" t="s">
        <v>188</v>
      </c>
      <c r="F4" s="2429" t="s">
        <v>189</v>
      </c>
      <c r="G4" s="2429" t="s">
        <v>190</v>
      </c>
      <c r="H4" s="2435" t="s">
        <v>1523</v>
      </c>
      <c r="I4" s="2435" t="s">
        <v>1524</v>
      </c>
      <c r="J4" s="2429" t="s">
        <v>59</v>
      </c>
      <c r="K4" s="2429" t="s">
        <v>60</v>
      </c>
      <c r="L4" s="2429" t="s">
        <v>200</v>
      </c>
      <c r="M4" s="2437" t="s">
        <v>1525</v>
      </c>
      <c r="N4" s="2435" t="s">
        <v>1526</v>
      </c>
      <c r="O4" s="2429" t="s">
        <v>201</v>
      </c>
      <c r="P4" s="2429" t="s">
        <v>204</v>
      </c>
      <c r="Q4" s="2429" t="s">
        <v>68</v>
      </c>
      <c r="R4" s="2435" t="s">
        <v>1527</v>
      </c>
      <c r="S4" s="2429" t="s">
        <v>206</v>
      </c>
      <c r="T4" s="2429" t="s">
        <v>207</v>
      </c>
      <c r="U4" s="2429" t="s">
        <v>208</v>
      </c>
      <c r="V4" s="2429" t="s">
        <v>209</v>
      </c>
      <c r="W4" s="2429" t="s">
        <v>211</v>
      </c>
      <c r="X4" s="2429" t="s">
        <v>212</v>
      </c>
      <c r="Y4" s="2429" t="s">
        <v>212</v>
      </c>
      <c r="Z4" s="2429" t="s">
        <v>214</v>
      </c>
      <c r="AA4" s="2429" t="s">
        <v>1528</v>
      </c>
      <c r="AB4" s="2429" t="s">
        <v>216</v>
      </c>
      <c r="AC4" s="2429" t="s">
        <v>217</v>
      </c>
      <c r="AD4" s="2429" t="s">
        <v>219</v>
      </c>
      <c r="AE4" s="2434" t="s">
        <v>94</v>
      </c>
      <c r="AF4" s="2434" t="s">
        <v>95</v>
      </c>
      <c r="AG4" s="2434" t="s">
        <v>221</v>
      </c>
      <c r="AH4" s="2430" t="s">
        <v>98</v>
      </c>
      <c r="AI4" s="2429" t="s">
        <v>163</v>
      </c>
      <c r="AJ4" s="2431" t="s">
        <v>225</v>
      </c>
      <c r="AK4" s="2431" t="s">
        <v>115</v>
      </c>
      <c r="AL4" s="2432" t="s">
        <v>226</v>
      </c>
      <c r="AM4" s="2433" t="s">
        <v>227</v>
      </c>
      <c r="AN4" s="2425" t="s">
        <v>228</v>
      </c>
      <c r="AO4" s="2427" t="s">
        <v>1039</v>
      </c>
      <c r="AP4" s="2427" t="s">
        <v>1039</v>
      </c>
      <c r="AQ4" s="2428" t="s">
        <v>231</v>
      </c>
      <c r="AR4" s="2169"/>
      <c r="AS4" s="2170"/>
      <c r="AT4" s="518"/>
    </row>
    <row r="5" spans="1:46" ht="12.75" customHeight="1">
      <c r="A5" s="2171"/>
      <c r="C5" s="2172"/>
      <c r="D5" s="518"/>
      <c r="E5" s="2498"/>
      <c r="F5" s="2498"/>
      <c r="G5" s="2498"/>
      <c r="H5" s="2436"/>
      <c r="I5" s="2436"/>
      <c r="J5" s="2498"/>
      <c r="K5" s="2498"/>
      <c r="L5" s="2435"/>
      <c r="M5" s="2438" t="s">
        <v>1525</v>
      </c>
      <c r="N5" s="2439"/>
      <c r="O5" s="2498"/>
      <c r="P5" s="2498"/>
      <c r="Q5" s="2498"/>
      <c r="R5" s="2435"/>
      <c r="S5" s="2435"/>
      <c r="T5" s="2435"/>
      <c r="U5" s="2498"/>
      <c r="V5" s="2498"/>
      <c r="W5" s="2498"/>
      <c r="X5" s="2498"/>
      <c r="Y5" s="2498"/>
      <c r="Z5" s="2498"/>
      <c r="AA5" s="2498"/>
      <c r="AB5" s="2498"/>
      <c r="AC5" s="2498"/>
      <c r="AD5" s="2498"/>
      <c r="AE5" s="2499"/>
      <c r="AF5" s="2499"/>
      <c r="AG5" s="2499"/>
      <c r="AH5" s="2499"/>
      <c r="AI5" s="2498"/>
      <c r="AJ5" s="2498"/>
      <c r="AK5" s="2498"/>
      <c r="AL5" s="2498"/>
      <c r="AM5" s="2498"/>
      <c r="AN5" s="2426"/>
      <c r="AO5" s="2498"/>
      <c r="AP5" s="2498"/>
      <c r="AQ5" s="2498"/>
      <c r="AR5" s="518"/>
      <c r="AS5" s="518"/>
      <c r="AT5" s="515"/>
    </row>
    <row r="6" spans="1:46" ht="12.75" customHeight="1">
      <c r="A6" s="2171"/>
      <c r="C6" s="2172"/>
      <c r="D6" s="2173" t="s">
        <v>1529</v>
      </c>
      <c r="E6" s="539">
        <f>'BS Konsol-Des 24'!G11</f>
        <v>918209485</v>
      </c>
      <c r="F6" s="539">
        <f>'BS Konsol-Des 24'!G14</f>
        <v>94399254849</v>
      </c>
      <c r="G6" s="539">
        <f>'BS Konsol-Des 24'!G13</f>
        <v>393935430</v>
      </c>
      <c r="H6" s="539">
        <f>'BS Konsol-Des 24'!G28</f>
        <v>0</v>
      </c>
      <c r="I6" s="539">
        <f>'BS Konsol-Des 24'!G15</f>
        <v>697232257</v>
      </c>
      <c r="J6" s="539">
        <f>'BS Konsol-Des 24'!G16</f>
        <v>217742151701</v>
      </c>
      <c r="K6" s="539">
        <f>'BS Konsol-Des 24'!G17</f>
        <v>913803984</v>
      </c>
      <c r="L6" s="539">
        <f>'BS Konsol-Des 24'!G18</f>
        <v>9035601705</v>
      </c>
      <c r="M6" s="539">
        <f>'BS Konsol-Des 24'!G20</f>
        <v>33893674735</v>
      </c>
      <c r="N6" s="539">
        <v>0</v>
      </c>
      <c r="O6" s="539">
        <f>'BS Konsol-Des 24'!G29</f>
        <v>66637513685</v>
      </c>
      <c r="P6" s="539">
        <f>'BS Konsol-Des 24'!G33</f>
        <v>7556618094</v>
      </c>
      <c r="Q6" s="539">
        <f>'BS Konsol-Des 24'!G37</f>
        <v>1848977778</v>
      </c>
      <c r="R6" s="539">
        <v>0</v>
      </c>
      <c r="S6" s="539">
        <f>-'BS Konsol-Des 24'!G55</f>
        <v>-231271837921</v>
      </c>
      <c r="T6" s="539">
        <v>0</v>
      </c>
      <c r="U6" s="539">
        <v>0</v>
      </c>
      <c r="V6" s="539">
        <f>-'BS Konsol-Des 24'!G52</f>
        <v>-10364486466</v>
      </c>
      <c r="W6" s="539">
        <f>-'BS Konsol-Des 24'!G56</f>
        <v>-4970839301</v>
      </c>
      <c r="X6" s="539">
        <f>-'BS Konsol-Des 24'!G72</f>
        <v>0</v>
      </c>
      <c r="Y6" s="539">
        <f>-'BS Konsol-Des 24'!G71</f>
        <v>0</v>
      </c>
      <c r="Z6" s="539"/>
      <c r="AA6" s="539">
        <f>-'BS Konsol-Des 24'!G61</f>
        <v>0</v>
      </c>
      <c r="AB6" s="539">
        <v>0</v>
      </c>
      <c r="AC6" s="539">
        <f>-'BS Konsol-Des 24'!G57</f>
        <v>-1467515499</v>
      </c>
      <c r="AD6" s="539">
        <f>-'BS Konsol-Des 24'!G76</f>
        <v>-10104541472</v>
      </c>
      <c r="AE6" s="539">
        <f>-'BS Konsol-Des 24'!G98</f>
        <v>-69500000000</v>
      </c>
      <c r="AF6" s="539">
        <f>-'BS Konsol-Des 24'!G99</f>
        <v>-104623471870</v>
      </c>
      <c r="AG6" s="539">
        <f>AG7</f>
        <v>377072852</v>
      </c>
      <c r="AH6" s="539">
        <f>AH7+15000000000</f>
        <v>-4931729837</v>
      </c>
      <c r="AI6" s="539">
        <f>-'PL Konsol'!M11</f>
        <v>-322560213288.07001</v>
      </c>
      <c r="AJ6" s="539">
        <f>-'PL Konsol'!M12</f>
        <v>246934738866.31</v>
      </c>
      <c r="AK6" s="539">
        <f>-'PL Konsol'!M16</f>
        <v>16258997299</v>
      </c>
      <c r="AL6" s="539">
        <f>-'PL Konsol'!M17</f>
        <v>36246687170</v>
      </c>
      <c r="AM6" s="539">
        <f>-'PL Konsol'!M18</f>
        <v>2610994654</v>
      </c>
      <c r="AN6" s="539">
        <f>-'PL Konsol'!M19</f>
        <v>18184572249</v>
      </c>
      <c r="AO6" s="539">
        <f>-'PL Konsol'!M26</f>
        <v>-76646095</v>
      </c>
      <c r="AP6" s="539">
        <f>-'PL Konsol'!M25</f>
        <v>2052132941</v>
      </c>
      <c r="AQ6" s="539">
        <f>-'PL Konsol'!M41-'PL Konsol'!M42</f>
        <v>-63287986</v>
      </c>
      <c r="AR6" s="515">
        <f>SUM(E6:AQ6)</f>
        <v>-3232400000.7600098</v>
      </c>
      <c r="AS6" s="518"/>
      <c r="AT6" s="518"/>
    </row>
    <row r="7" spans="1:46" ht="12.75" customHeight="1">
      <c r="A7" s="2171"/>
      <c r="C7" s="2174"/>
      <c r="D7" s="2173">
        <v>45291</v>
      </c>
      <c r="E7" s="539">
        <f>'BS Konsol-Des 24'!Q11</f>
        <v>2570121355</v>
      </c>
      <c r="F7" s="539">
        <f>'BS Konsol-Des 24'!Q14</f>
        <v>19981020112</v>
      </c>
      <c r="G7" s="539">
        <f>'BS Konsol-Des 24'!Q13</f>
        <v>211054410</v>
      </c>
      <c r="H7" s="539">
        <f>'BS Konsol-Des 24'!Q28</f>
        <v>7022707423</v>
      </c>
      <c r="I7" s="539">
        <f>'BS Konsol-Des 24'!Q15</f>
        <v>510634104</v>
      </c>
      <c r="J7" s="539">
        <f>'BS Konsol-Des 24'!Q16</f>
        <v>218071396362</v>
      </c>
      <c r="K7" s="539">
        <f>'BS Konsol-Des 24'!Q17</f>
        <v>2415719386</v>
      </c>
      <c r="L7" s="539">
        <f>'BS Konsol-Des 24'!Q18</f>
        <v>9663458887</v>
      </c>
      <c r="M7" s="539">
        <f>'BS Konsol-Des 24'!Q20</f>
        <v>1104447053</v>
      </c>
      <c r="N7" s="539">
        <v>0</v>
      </c>
      <c r="O7" s="539">
        <f>'BS Konsol-Des 24'!Q29</f>
        <v>74113104582</v>
      </c>
      <c r="P7" s="539">
        <f>'BS Konsol-Des 24'!Q33</f>
        <v>7871477182</v>
      </c>
      <c r="Q7" s="539">
        <f>'BS Konsol-Des 24'!Q37</f>
        <v>1790182140</v>
      </c>
      <c r="R7" s="539">
        <v>0</v>
      </c>
      <c r="S7" s="539">
        <f>-'BS Konsol-Des 24'!Q55</f>
        <v>-195441714689</v>
      </c>
      <c r="T7" s="539">
        <f>-'BS Konsol-Des 24'!Q64</f>
        <v>-3807894064</v>
      </c>
      <c r="U7" s="539">
        <v>0</v>
      </c>
      <c r="V7" s="539">
        <f>-'BS Konsol-Des 24'!Q52</f>
        <v>-20407901137</v>
      </c>
      <c r="W7" s="539">
        <f>-'BS Konsol-Des 24'!Q56</f>
        <v>-2870843989</v>
      </c>
      <c r="X7" s="539">
        <f>-'BS Konsol-Des 24'!Q72</f>
        <v>-41000000</v>
      </c>
      <c r="Y7" s="539">
        <f>-'BS Konsol-Des 24'!Q71</f>
        <v>-595676695</v>
      </c>
      <c r="Z7" s="539">
        <f>-'BS Konsol-Des 24'!Q63</f>
        <v>-624277457</v>
      </c>
      <c r="AA7" s="539">
        <f>-'BS Konsol-Des 24'!Q61</f>
        <v>-76360023</v>
      </c>
      <c r="AB7" s="539">
        <v>0</v>
      </c>
      <c r="AC7" s="539">
        <f>-'BS Konsol-Des 24'!Q57</f>
        <v>-2863697915</v>
      </c>
      <c r="AD7" s="539">
        <f>-'BS Konsol-Des 24'!Q76</f>
        <v>-9301883257</v>
      </c>
      <c r="AE7" s="539">
        <f>-'BS Konsol-Des 24'!Q98</f>
        <v>-40000000000</v>
      </c>
      <c r="AF7" s="539">
        <f>-'BS Konsol-Des 24'!Q99</f>
        <v>-49739416785</v>
      </c>
      <c r="AG7" s="539">
        <f>-'BS Konsol-Des 24'!Q102</f>
        <v>377072852</v>
      </c>
      <c r="AH7" s="539">
        <f>-'BS Konsol-Des 24'!Q105-'BS Konsol-Des 24'!Q104</f>
        <v>-19931729837</v>
      </c>
      <c r="AI7" s="539"/>
      <c r="AJ7" s="539"/>
      <c r="AK7" s="539"/>
      <c r="AL7" s="539"/>
      <c r="AM7" s="539"/>
      <c r="AN7" s="539"/>
      <c r="AO7" s="539"/>
      <c r="AP7" s="539"/>
      <c r="AQ7" s="539"/>
      <c r="AR7" s="515">
        <f>SUM(E7:AQ7)</f>
        <v>0</v>
      </c>
      <c r="AS7" s="535"/>
      <c r="AT7" s="2175"/>
    </row>
    <row r="8" spans="1:46" ht="12.75" customHeight="1">
      <c r="A8" s="2171"/>
      <c r="C8" s="2172"/>
      <c r="D8" s="2176" t="s">
        <v>233</v>
      </c>
      <c r="E8" s="541">
        <f>E6-E7</f>
        <v>-1651911870</v>
      </c>
      <c r="F8" s="541">
        <f t="shared" ref="F8:AQ8" si="0">F6-F7</f>
        <v>74418234737</v>
      </c>
      <c r="G8" s="541">
        <f t="shared" si="0"/>
        <v>182881020</v>
      </c>
      <c r="H8" s="541">
        <f t="shared" si="0"/>
        <v>-7022707423</v>
      </c>
      <c r="I8" s="541">
        <f t="shared" si="0"/>
        <v>186598153</v>
      </c>
      <c r="J8" s="541">
        <f t="shared" si="0"/>
        <v>-329244661</v>
      </c>
      <c r="K8" s="541">
        <f t="shared" si="0"/>
        <v>-1501915402</v>
      </c>
      <c r="L8" s="541">
        <f t="shared" si="0"/>
        <v>-627857182</v>
      </c>
      <c r="M8" s="541">
        <f t="shared" si="0"/>
        <v>32789227682</v>
      </c>
      <c r="N8" s="541">
        <f t="shared" si="0"/>
        <v>0</v>
      </c>
      <c r="O8" s="541">
        <f t="shared" si="0"/>
        <v>-7475590897</v>
      </c>
      <c r="P8" s="541">
        <f t="shared" si="0"/>
        <v>-314859088</v>
      </c>
      <c r="Q8" s="541">
        <f t="shared" si="0"/>
        <v>58795638</v>
      </c>
      <c r="R8" s="541">
        <f t="shared" si="0"/>
        <v>0</v>
      </c>
      <c r="S8" s="541">
        <f t="shared" si="0"/>
        <v>-35830123232</v>
      </c>
      <c r="T8" s="541">
        <f t="shared" si="0"/>
        <v>3807894064</v>
      </c>
      <c r="U8" s="541">
        <f t="shared" si="0"/>
        <v>0</v>
      </c>
      <c r="V8" s="541">
        <f t="shared" si="0"/>
        <v>10043414671</v>
      </c>
      <c r="W8" s="541">
        <f t="shared" si="0"/>
        <v>-2099995312</v>
      </c>
      <c r="X8" s="541">
        <f t="shared" si="0"/>
        <v>41000000</v>
      </c>
      <c r="Y8" s="541">
        <f t="shared" si="0"/>
        <v>595676695</v>
      </c>
      <c r="Z8" s="541">
        <f t="shared" si="0"/>
        <v>624277457</v>
      </c>
      <c r="AA8" s="541">
        <f t="shared" si="0"/>
        <v>76360023</v>
      </c>
      <c r="AB8" s="541">
        <f t="shared" si="0"/>
        <v>0</v>
      </c>
      <c r="AC8" s="541">
        <f t="shared" si="0"/>
        <v>1396182416</v>
      </c>
      <c r="AD8" s="541">
        <f t="shared" si="0"/>
        <v>-802658215</v>
      </c>
      <c r="AE8" s="541">
        <f t="shared" si="0"/>
        <v>-29500000000</v>
      </c>
      <c r="AF8" s="541">
        <f t="shared" si="0"/>
        <v>-54884055085</v>
      </c>
      <c r="AG8" s="541">
        <f t="shared" si="0"/>
        <v>0</v>
      </c>
      <c r="AH8" s="541">
        <f t="shared" si="0"/>
        <v>15000000000</v>
      </c>
      <c r="AI8" s="541">
        <f t="shared" si="0"/>
        <v>-322560213288.07001</v>
      </c>
      <c r="AJ8" s="541">
        <f t="shared" si="0"/>
        <v>246934738866.31</v>
      </c>
      <c r="AK8" s="541">
        <f t="shared" si="0"/>
        <v>16258997299</v>
      </c>
      <c r="AL8" s="541">
        <f t="shared" si="0"/>
        <v>36246687170</v>
      </c>
      <c r="AM8" s="541">
        <f t="shared" si="0"/>
        <v>2610994654</v>
      </c>
      <c r="AN8" s="541">
        <f t="shared" si="0"/>
        <v>18184572249</v>
      </c>
      <c r="AO8" s="541">
        <f t="shared" si="0"/>
        <v>-76646095</v>
      </c>
      <c r="AP8" s="541">
        <f t="shared" si="0"/>
        <v>2052132941</v>
      </c>
      <c r="AQ8" s="541">
        <f t="shared" si="0"/>
        <v>-63287986</v>
      </c>
      <c r="AR8" s="515">
        <f>SUM(E8:AQ8)</f>
        <v>-3232400000.7600098</v>
      </c>
      <c r="AS8" s="542">
        <f>AR8/2</f>
        <v>-1616200000.3800049</v>
      </c>
      <c r="AT8" s="520"/>
    </row>
    <row r="9" spans="1:46" ht="12.75" customHeight="1">
      <c r="A9" s="2171"/>
      <c r="C9" s="518"/>
      <c r="D9" s="2177" t="s">
        <v>234</v>
      </c>
      <c r="E9" s="518"/>
      <c r="F9" s="518"/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/>
      <c r="U9" s="518"/>
      <c r="V9" s="518"/>
      <c r="W9" s="518"/>
      <c r="X9" s="518"/>
      <c r="Y9" s="518"/>
      <c r="Z9" s="518"/>
      <c r="AA9" s="518"/>
      <c r="AB9" s="518"/>
      <c r="AC9" s="518"/>
      <c r="AD9" s="518"/>
      <c r="AE9" s="518"/>
      <c r="AF9" s="518"/>
      <c r="AG9" s="515"/>
      <c r="AH9" s="518"/>
      <c r="AI9" s="518"/>
      <c r="AJ9" s="518"/>
      <c r="AK9" s="518"/>
      <c r="AL9" s="518"/>
      <c r="AM9" s="518"/>
      <c r="AN9" s="518"/>
      <c r="AO9" s="518"/>
      <c r="AP9" s="518"/>
      <c r="AQ9" s="518"/>
      <c r="AR9" s="518"/>
      <c r="AS9" s="518"/>
      <c r="AT9" s="518"/>
    </row>
    <row r="10" spans="1:46" ht="12.75" customHeight="1">
      <c r="A10" s="2178" t="s">
        <v>235</v>
      </c>
      <c r="D10" s="2179"/>
      <c r="E10" s="518"/>
      <c r="F10" s="515"/>
      <c r="G10" s="515"/>
      <c r="H10" s="515"/>
      <c r="I10" s="515"/>
      <c r="J10" s="515"/>
      <c r="K10" s="515"/>
      <c r="L10" s="515"/>
      <c r="M10" s="515"/>
      <c r="N10" s="515"/>
      <c r="O10" s="518"/>
      <c r="P10" s="518"/>
      <c r="Q10" s="518"/>
      <c r="R10" s="518"/>
      <c r="S10" s="518"/>
      <c r="T10" s="518"/>
      <c r="U10" s="518"/>
      <c r="V10" s="518"/>
      <c r="W10" s="518"/>
      <c r="X10" s="518"/>
      <c r="Y10" s="518"/>
      <c r="Z10" s="518"/>
      <c r="AA10" s="518"/>
      <c r="AB10" s="518"/>
      <c r="AC10" s="518"/>
      <c r="AD10" s="518"/>
      <c r="AE10" s="518"/>
      <c r="AF10" s="518"/>
      <c r="AG10" s="515"/>
      <c r="AH10" s="515"/>
      <c r="AI10" s="518"/>
      <c r="AJ10" s="518"/>
      <c r="AK10" s="518"/>
      <c r="AL10" s="518"/>
      <c r="AM10" s="518"/>
      <c r="AN10" s="518"/>
      <c r="AO10" s="518"/>
      <c r="AP10" s="518"/>
      <c r="AQ10" s="518"/>
      <c r="AR10" s="518"/>
      <c r="AS10" s="518"/>
      <c r="AT10" s="518"/>
    </row>
    <row r="11" spans="1:46" ht="12.75" customHeight="1">
      <c r="A11" s="2171"/>
      <c r="B11" s="2071" t="s">
        <v>1474</v>
      </c>
      <c r="C11" s="2071"/>
      <c r="D11" s="2180"/>
      <c r="E11" s="518"/>
      <c r="F11" s="515"/>
      <c r="G11" s="515"/>
      <c r="H11" s="515"/>
      <c r="I11" s="515"/>
      <c r="J11" s="515"/>
      <c r="K11" s="515"/>
      <c r="L11" s="515"/>
      <c r="M11" s="515"/>
      <c r="N11" s="515"/>
      <c r="O11" s="518"/>
      <c r="P11" s="518"/>
      <c r="Q11" s="518"/>
      <c r="R11" s="518"/>
      <c r="S11" s="518"/>
      <c r="T11" s="518"/>
      <c r="U11" s="518"/>
      <c r="V11" s="518"/>
      <c r="W11" s="515"/>
      <c r="X11" s="515"/>
      <c r="Y11" s="515"/>
      <c r="Z11" s="515"/>
      <c r="AA11" s="515"/>
      <c r="AB11" s="515"/>
      <c r="AC11" s="518"/>
      <c r="AD11" s="518"/>
      <c r="AE11" s="515"/>
      <c r="AF11" s="518"/>
      <c r="AG11" s="518"/>
      <c r="AH11" s="518"/>
      <c r="AI11" s="515"/>
      <c r="AJ11" s="518"/>
      <c r="AK11" s="518"/>
      <c r="AL11" s="518"/>
      <c r="AM11" s="515"/>
      <c r="AN11" s="515"/>
      <c r="AO11" s="515"/>
      <c r="AP11" s="515"/>
      <c r="AQ11" s="518"/>
      <c r="AR11" s="551"/>
      <c r="AS11" s="518"/>
      <c r="AT11" s="518"/>
    </row>
    <row r="12" spans="1:46" ht="12.75" customHeight="1">
      <c r="A12" s="2171"/>
      <c r="C12" s="2071" t="s">
        <v>236</v>
      </c>
      <c r="D12" s="2180">
        <f>ROUND(SUM(F12:AQ12),0)</f>
        <v>254795206801</v>
      </c>
      <c r="E12" s="518"/>
      <c r="F12" s="515">
        <f>-F8</f>
        <v>-74418234737</v>
      </c>
      <c r="G12" s="515">
        <f>-G8</f>
        <v>-182881020</v>
      </c>
      <c r="H12" s="515">
        <f>-H8</f>
        <v>7022707423</v>
      </c>
      <c r="I12" s="515">
        <f>-I8</f>
        <v>-186598153</v>
      </c>
      <c r="J12" s="515"/>
      <c r="K12" s="515"/>
      <c r="L12" s="515"/>
      <c r="M12" s="515"/>
      <c r="N12" s="515"/>
      <c r="O12" s="515"/>
      <c r="P12" s="515"/>
      <c r="Q12" s="515"/>
      <c r="R12" s="515"/>
      <c r="S12" s="515"/>
      <c r="T12" s="515"/>
      <c r="U12" s="515"/>
      <c r="V12" s="515"/>
      <c r="W12" s="515"/>
      <c r="X12" s="1045"/>
      <c r="Y12" s="1045"/>
      <c r="Z12" s="1045"/>
      <c r="AA12" s="515"/>
      <c r="AB12" s="515"/>
      <c r="AC12" s="515"/>
      <c r="AD12" s="515"/>
      <c r="AE12" s="515"/>
      <c r="AF12" s="515"/>
      <c r="AG12" s="515"/>
      <c r="AH12" s="515"/>
      <c r="AI12" s="515">
        <f>-AI8</f>
        <v>322560213288.07001</v>
      </c>
      <c r="AJ12" s="515"/>
      <c r="AK12" s="515"/>
      <c r="AL12" s="515"/>
      <c r="AM12" s="515"/>
      <c r="AN12" s="515"/>
      <c r="AO12" s="551"/>
      <c r="AP12" s="551"/>
      <c r="AQ12" s="551"/>
      <c r="AR12" s="551"/>
      <c r="AS12" s="518"/>
      <c r="AT12" s="518"/>
    </row>
    <row r="13" spans="1:46" ht="12.75" customHeight="1">
      <c r="A13" s="2171"/>
      <c r="C13" s="2071" t="s">
        <v>1476</v>
      </c>
      <c r="D13" s="2180">
        <f>SUM(F13:AQ13)</f>
        <v>0</v>
      </c>
      <c r="E13" s="515"/>
      <c r="F13" s="518"/>
      <c r="G13" s="518"/>
      <c r="H13" s="518"/>
      <c r="I13" s="515"/>
      <c r="J13" s="518"/>
      <c r="K13" s="518"/>
      <c r="L13" s="518"/>
      <c r="M13" s="518"/>
      <c r="N13" s="518"/>
      <c r="O13" s="515"/>
      <c r="P13" s="515"/>
      <c r="Q13" s="515"/>
      <c r="R13" s="515"/>
      <c r="S13" s="515"/>
      <c r="T13" s="515"/>
      <c r="U13" s="515"/>
      <c r="V13" s="515"/>
      <c r="W13" s="515"/>
      <c r="X13" s="518"/>
      <c r="Y13" s="518"/>
      <c r="Z13" s="518"/>
      <c r="AA13" s="518"/>
      <c r="AB13" s="515"/>
      <c r="AC13" s="515"/>
      <c r="AD13" s="515"/>
      <c r="AE13" s="515"/>
      <c r="AF13" s="515"/>
      <c r="AG13" s="515"/>
      <c r="AH13" s="515"/>
      <c r="AI13" s="515"/>
      <c r="AJ13" s="515"/>
      <c r="AK13" s="515"/>
      <c r="AL13" s="515"/>
      <c r="AM13" s="515"/>
      <c r="AN13" s="515"/>
      <c r="AO13" s="518"/>
      <c r="AP13" s="518"/>
      <c r="AQ13" s="518"/>
      <c r="AR13" s="551"/>
      <c r="AS13" s="518"/>
      <c r="AT13" s="518"/>
    </row>
    <row r="14" spans="1:46" ht="12.75" customHeight="1">
      <c r="A14" s="2171"/>
      <c r="B14" s="2071" t="s">
        <v>1477</v>
      </c>
      <c r="C14" s="2071"/>
      <c r="D14" s="2180">
        <f>ROUND(SUM(F14:AQ14),0)</f>
        <v>0</v>
      </c>
      <c r="E14" s="515"/>
      <c r="F14" s="518"/>
      <c r="G14" s="518"/>
      <c r="H14" s="518"/>
      <c r="I14" s="515"/>
      <c r="J14" s="518"/>
      <c r="K14" s="518"/>
      <c r="L14" s="515"/>
      <c r="M14" s="518"/>
      <c r="N14" s="515"/>
      <c r="O14" s="515"/>
      <c r="P14" s="515"/>
      <c r="Q14" s="515"/>
      <c r="R14" s="515"/>
      <c r="S14" s="515"/>
      <c r="T14" s="515"/>
      <c r="U14" s="515"/>
      <c r="V14" s="515"/>
      <c r="W14" s="515"/>
      <c r="X14" s="518"/>
      <c r="Y14" s="518"/>
      <c r="Z14" s="518"/>
      <c r="AA14" s="518"/>
      <c r="AB14" s="515"/>
      <c r="AC14" s="515"/>
      <c r="AD14" s="515"/>
      <c r="AE14" s="515"/>
      <c r="AF14" s="515"/>
      <c r="AG14" s="515"/>
      <c r="AH14" s="515"/>
      <c r="AI14" s="515"/>
      <c r="AJ14" s="515"/>
      <c r="AK14" s="515"/>
      <c r="AL14" s="515"/>
      <c r="AM14" s="515"/>
      <c r="AN14" s="515"/>
      <c r="AO14" s="515"/>
      <c r="AP14" s="518"/>
      <c r="AQ14" s="515"/>
      <c r="AR14" s="551"/>
      <c r="AS14" s="518"/>
      <c r="AT14" s="518"/>
    </row>
    <row r="15" spans="1:46" ht="12.75" customHeight="1">
      <c r="A15" s="2171"/>
      <c r="C15" s="2071" t="s">
        <v>1478</v>
      </c>
      <c r="D15" s="2180">
        <f>SUM(F15:AQ15)</f>
        <v>-310267802505.33398</v>
      </c>
      <c r="E15" s="518"/>
      <c r="F15" s="518"/>
      <c r="G15" s="518"/>
      <c r="H15" s="518"/>
      <c r="I15" s="518"/>
      <c r="J15" s="515">
        <f>-J8</f>
        <v>329244661</v>
      </c>
      <c r="K15" s="515"/>
      <c r="L15" s="518"/>
      <c r="M15" s="515">
        <f>-M8</f>
        <v>-32789227682</v>
      </c>
      <c r="N15" s="518"/>
      <c r="O15" s="515"/>
      <c r="P15" s="515"/>
      <c r="Q15" s="515"/>
      <c r="R15" s="515"/>
      <c r="S15" s="515"/>
      <c r="T15" s="515"/>
      <c r="U15" s="515">
        <f>-U8</f>
        <v>0</v>
      </c>
      <c r="V15" s="515">
        <f>-V8</f>
        <v>-10043414671</v>
      </c>
      <c r="W15" s="515"/>
      <c r="X15" s="515">
        <f>-X8</f>
        <v>-41000000</v>
      </c>
      <c r="Y15" s="515"/>
      <c r="Z15" s="515">
        <f>-Z8</f>
        <v>-624277457</v>
      </c>
      <c r="AA15" s="518"/>
      <c r="AB15" s="515"/>
      <c r="AC15" s="515"/>
      <c r="AD15" s="515"/>
      <c r="AE15" s="515"/>
      <c r="AF15" s="515"/>
      <c r="AG15" s="515"/>
      <c r="AH15" s="515"/>
      <c r="AI15" s="515"/>
      <c r="AJ15" s="515">
        <f>-AJ8-AJ16-AJ17</f>
        <v>-235903522535.33395</v>
      </c>
      <c r="AL15" s="515">
        <f>-AL8-AL16-AL17</f>
        <v>-31195604821</v>
      </c>
      <c r="AN15" s="515"/>
      <c r="AO15" s="518"/>
      <c r="AP15" s="518"/>
      <c r="AQ15" s="518"/>
      <c r="AR15" s="551"/>
      <c r="AS15" s="518"/>
      <c r="AT15" s="518"/>
    </row>
    <row r="16" spans="1:46" ht="12.75" customHeight="1">
      <c r="A16" s="2171"/>
      <c r="C16" s="2071" t="s">
        <v>1479</v>
      </c>
      <c r="D16" s="2180">
        <f>SUM(F16:AQ16)+1</f>
        <v>-13803217955</v>
      </c>
      <c r="E16" s="518"/>
      <c r="F16" s="518"/>
      <c r="G16" s="518"/>
      <c r="H16" s="518"/>
      <c r="I16" s="518"/>
      <c r="J16" s="518"/>
      <c r="K16" s="518"/>
      <c r="L16" s="518"/>
      <c r="M16" s="518"/>
      <c r="N16" s="518"/>
      <c r="O16" s="515"/>
      <c r="P16" s="515"/>
      <c r="R16" s="515"/>
      <c r="S16" s="515"/>
      <c r="T16" s="515"/>
      <c r="U16" s="515"/>
      <c r="V16" s="515"/>
      <c r="W16" s="515"/>
      <c r="X16" s="518"/>
      <c r="Y16" s="518"/>
      <c r="Z16" s="518"/>
      <c r="AA16" s="518"/>
      <c r="AB16" s="515"/>
      <c r="AC16" s="515"/>
      <c r="AD16" s="515"/>
      <c r="AE16" s="515"/>
      <c r="AF16" s="515"/>
      <c r="AG16" s="515"/>
      <c r="AH16" s="515"/>
      <c r="AI16" s="515"/>
      <c r="AJ16" s="515">
        <f>-([189]WS!Q381+[189]WS!Q382+[189]WS!Q384+[189]WS!Q387+[189]WS!Q388)</f>
        <v>-8762247857</v>
      </c>
      <c r="AL16" s="515">
        <f>-([189]WS!Q420+[189]WS!Q421+[189]WS!Q422+[189]WS!Q423)</f>
        <v>-5040970099</v>
      </c>
      <c r="AM16" s="515"/>
      <c r="AN16" s="515"/>
      <c r="AO16" s="518"/>
      <c r="AP16" s="518"/>
      <c r="AQ16" s="2175"/>
      <c r="AR16" s="551"/>
      <c r="AS16" s="518"/>
      <c r="AT16" s="518"/>
    </row>
    <row r="17" spans="1:46" ht="12.75" customHeight="1">
      <c r="A17" s="2171"/>
      <c r="C17" s="2071" t="s">
        <v>239</v>
      </c>
      <c r="D17" s="2180">
        <f>SUM(F17:AQ17)</f>
        <v>-4245324414.9760418</v>
      </c>
      <c r="E17" s="518"/>
      <c r="F17" s="518"/>
      <c r="G17" s="518"/>
      <c r="H17" s="518"/>
      <c r="I17" s="518"/>
      <c r="J17" s="518"/>
      <c r="K17" s="515">
        <f>-K8</f>
        <v>1501915402</v>
      </c>
      <c r="L17" s="515">
        <f>-L8</f>
        <v>627857182</v>
      </c>
      <c r="M17" s="518"/>
      <c r="N17" s="518"/>
      <c r="O17" s="515"/>
      <c r="P17" s="515">
        <f>-P8</f>
        <v>314859088</v>
      </c>
      <c r="Q17" s="515">
        <f>-Q8</f>
        <v>-58795638</v>
      </c>
      <c r="R17" s="515"/>
      <c r="S17" s="515"/>
      <c r="T17" s="515"/>
      <c r="U17" s="515"/>
      <c r="V17" s="515"/>
      <c r="W17" s="515">
        <f>-W8</f>
        <v>2099995312</v>
      </c>
      <c r="X17" s="518"/>
      <c r="Y17" s="518"/>
      <c r="Z17" s="518"/>
      <c r="AA17" s="515">
        <f>-AA8</f>
        <v>-76360023</v>
      </c>
      <c r="AB17" s="515"/>
      <c r="AC17" s="515">
        <f>-AC8</f>
        <v>-1396182416</v>
      </c>
      <c r="AD17" s="515">
        <f>-AD8</f>
        <v>802658215</v>
      </c>
      <c r="AE17" s="515">
        <f>-AE8-AE54</f>
        <v>15000000000</v>
      </c>
      <c r="AF17" s="515"/>
      <c r="AG17" s="515"/>
      <c r="AH17" s="515"/>
      <c r="AI17" s="515"/>
      <c r="AJ17" s="515">
        <f>-[189]WS!Q391</f>
        <v>-2268968473.9760413</v>
      </c>
      <c r="AK17" s="515">
        <f>-AK8</f>
        <v>-16258997299</v>
      </c>
      <c r="AL17" s="515">
        <f>-SUM([189]WS!Q457:Q465)</f>
        <v>-10112250</v>
      </c>
      <c r="AM17" s="515">
        <f>-AM8</f>
        <v>-2610994654</v>
      </c>
      <c r="AN17" s="515"/>
      <c r="AO17" s="515">
        <f>-AO8</f>
        <v>76646095</v>
      </c>
      <c r="AP17" s="515">
        <f>-AP8</f>
        <v>-2052132941</v>
      </c>
      <c r="AQ17" s="2175">
        <f>-AQ8</f>
        <v>63287986</v>
      </c>
      <c r="AR17" s="551"/>
      <c r="AS17" s="518"/>
      <c r="AT17" s="518"/>
    </row>
    <row r="18" spans="1:46" ht="12.75" customHeight="1">
      <c r="A18" s="2171"/>
      <c r="B18" s="2071" t="s">
        <v>1480</v>
      </c>
      <c r="C18" s="2071"/>
      <c r="D18" s="2180">
        <f>SUM(F18:AQ18)</f>
        <v>0</v>
      </c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5"/>
      <c r="P18" s="515"/>
      <c r="Q18" s="515"/>
      <c r="R18" s="515"/>
      <c r="S18" s="515"/>
      <c r="T18" s="515"/>
      <c r="U18" s="515"/>
      <c r="V18" s="515"/>
      <c r="W18" s="515"/>
      <c r="X18" s="518"/>
      <c r="Y18" s="518"/>
      <c r="Z18" s="518"/>
      <c r="AA18" s="518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515"/>
      <c r="AN18" s="515"/>
      <c r="AO18" s="518"/>
      <c r="AP18" s="518"/>
      <c r="AQ18" s="518"/>
      <c r="AR18" s="551"/>
      <c r="AS18" s="518"/>
      <c r="AT18" s="518"/>
    </row>
    <row r="19" spans="1:46" ht="12.75" customHeight="1">
      <c r="A19" s="2171"/>
      <c r="B19" s="2071" t="s">
        <v>1481</v>
      </c>
      <c r="C19" s="2071"/>
      <c r="D19" s="2180">
        <f>ROUND(SUM(F19:AQ19),0)</f>
        <v>-18184572249</v>
      </c>
      <c r="E19" s="518"/>
      <c r="F19" s="518"/>
      <c r="G19" s="518"/>
      <c r="H19" s="518"/>
      <c r="I19" s="518"/>
      <c r="J19" s="518"/>
      <c r="K19" s="518"/>
      <c r="L19" s="518"/>
      <c r="M19" s="518"/>
      <c r="N19" s="518"/>
      <c r="O19" s="515"/>
      <c r="P19" s="515"/>
      <c r="Q19" s="515"/>
      <c r="R19" s="515"/>
      <c r="S19" s="515"/>
      <c r="T19" s="515"/>
      <c r="U19" s="515"/>
      <c r="V19" s="515"/>
      <c r="W19" s="515"/>
      <c r="X19" s="518"/>
      <c r="Y19" s="518"/>
      <c r="Z19" s="518"/>
      <c r="AA19" s="518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515"/>
      <c r="AN19" s="515">
        <f>-AN8</f>
        <v>-18184572249</v>
      </c>
      <c r="AO19" s="518"/>
      <c r="AP19" s="518"/>
      <c r="AQ19" s="515"/>
      <c r="AR19" s="551"/>
      <c r="AS19" s="518"/>
      <c r="AT19" s="518"/>
    </row>
    <row r="20" spans="1:46" ht="12.75" customHeight="1">
      <c r="A20" s="2171"/>
      <c r="B20" s="2071" t="s">
        <v>1482</v>
      </c>
      <c r="C20" s="2071"/>
      <c r="D20" s="2180">
        <f>SUM(F20:AQ20)</f>
        <v>0</v>
      </c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  <c r="U20" s="518"/>
      <c r="V20" s="518"/>
      <c r="W20" s="515"/>
      <c r="X20" s="518"/>
      <c r="Y20" s="518"/>
      <c r="Z20" s="518"/>
      <c r="AA20" s="518"/>
      <c r="AB20" s="518"/>
      <c r="AD20" s="551"/>
      <c r="AE20" s="518"/>
      <c r="AF20" s="518"/>
      <c r="AG20" s="518"/>
      <c r="AH20" s="518"/>
      <c r="AI20" s="518"/>
      <c r="AJ20" s="518"/>
      <c r="AK20" s="518"/>
      <c r="AL20" s="560"/>
      <c r="AM20" s="518"/>
      <c r="AP20" s="551"/>
      <c r="AQ20" s="515"/>
      <c r="AR20" s="515"/>
      <c r="AS20" s="518"/>
      <c r="AT20" s="518"/>
    </row>
    <row r="21" spans="1:46" ht="12.75" customHeight="1">
      <c r="A21" s="2181" t="s">
        <v>1483</v>
      </c>
      <c r="C21" s="2071"/>
      <c r="D21" s="2182">
        <f>SUM(D11:D20)</f>
        <v>-91705710323.310028</v>
      </c>
      <c r="E21" s="518"/>
      <c r="F21" s="518"/>
      <c r="G21" s="518"/>
      <c r="H21" s="518"/>
      <c r="I21" s="518"/>
      <c r="J21" s="518"/>
      <c r="K21" s="518"/>
      <c r="L21" s="518"/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  <c r="Z21" s="518"/>
      <c r="AA21" s="518"/>
      <c r="AB21" s="518"/>
      <c r="AC21" s="518"/>
      <c r="AD21" s="518"/>
      <c r="AE21" s="518"/>
      <c r="AF21" s="518"/>
      <c r="AG21" s="518"/>
      <c r="AH21" s="518"/>
      <c r="AI21" s="518"/>
      <c r="AJ21" s="518"/>
      <c r="AK21" s="518"/>
      <c r="AL21" s="518"/>
      <c r="AM21" s="518"/>
      <c r="AN21" s="518"/>
      <c r="AO21" s="518"/>
      <c r="AP21" s="518"/>
      <c r="AQ21" s="518"/>
      <c r="AR21" s="518"/>
      <c r="AS21" s="518"/>
      <c r="AT21" s="518"/>
    </row>
    <row r="22" spans="1:46" ht="12.75" customHeight="1">
      <c r="A22" s="2183"/>
      <c r="C22" s="2071"/>
      <c r="D22" s="2184"/>
      <c r="E22" s="518"/>
      <c r="F22" s="518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</row>
    <row r="23" spans="1:46" ht="12.75" customHeight="1">
      <c r="A23" s="2181" t="s">
        <v>253</v>
      </c>
      <c r="C23" s="2071"/>
      <c r="D23" s="2184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  <c r="AA23" s="518"/>
      <c r="AB23" s="518"/>
      <c r="AC23" s="518"/>
      <c r="AD23" s="518"/>
      <c r="AE23" s="518"/>
      <c r="AF23" s="518"/>
      <c r="AG23" s="518"/>
      <c r="AH23" s="518"/>
      <c r="AI23" s="518"/>
      <c r="AJ23" s="518"/>
      <c r="AK23" s="518"/>
      <c r="AL23" s="518"/>
      <c r="AM23" s="518"/>
      <c r="AN23" s="518"/>
      <c r="AO23" s="518"/>
      <c r="AP23" s="518"/>
      <c r="AQ23" s="518"/>
      <c r="AR23" s="518"/>
      <c r="AS23" s="518"/>
      <c r="AT23" s="518"/>
    </row>
    <row r="24" spans="1:46" ht="12.75" customHeight="1">
      <c r="A24" s="2183"/>
      <c r="B24" s="2185" t="s">
        <v>1484</v>
      </c>
      <c r="C24" s="2071"/>
      <c r="D24" s="2184">
        <v>0</v>
      </c>
      <c r="E24" s="518"/>
      <c r="F24" s="518"/>
      <c r="G24" s="518"/>
      <c r="H24" s="518"/>
      <c r="I24" s="518"/>
      <c r="J24" s="518"/>
      <c r="K24" s="518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8"/>
      <c r="Z24" s="518"/>
      <c r="AA24" s="518"/>
      <c r="AB24" s="518"/>
      <c r="AC24" s="518"/>
      <c r="AD24" s="518"/>
      <c r="AE24" s="518"/>
      <c r="AF24" s="518"/>
      <c r="AG24" s="518"/>
      <c r="AH24" s="518"/>
      <c r="AI24" s="518"/>
      <c r="AJ24" s="518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</row>
    <row r="25" spans="1:46" ht="12.75" customHeight="1">
      <c r="A25" s="2183"/>
      <c r="B25" s="2185" t="s">
        <v>1485</v>
      </c>
      <c r="C25" s="2071"/>
      <c r="D25" s="2184">
        <v>0</v>
      </c>
      <c r="E25" s="518"/>
      <c r="F25" s="518"/>
      <c r="G25" s="51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8"/>
      <c r="Z25" s="518"/>
      <c r="AA25" s="518"/>
      <c r="AB25" s="518"/>
      <c r="AC25" s="518"/>
      <c r="AD25" s="518"/>
      <c r="AE25" s="518"/>
      <c r="AF25" s="518"/>
      <c r="AG25" s="518"/>
      <c r="AH25" s="518"/>
      <c r="AI25" s="518"/>
      <c r="AJ25" s="518"/>
      <c r="AK25" s="518"/>
      <c r="AL25" s="518"/>
      <c r="AM25" s="518"/>
      <c r="AN25" s="518"/>
      <c r="AO25" s="518"/>
      <c r="AP25" s="518"/>
      <c r="AQ25" s="518"/>
      <c r="AR25" s="518"/>
      <c r="AS25" s="518"/>
      <c r="AT25" s="518"/>
    </row>
    <row r="26" spans="1:46" ht="12.75" customHeight="1">
      <c r="A26" s="2183"/>
      <c r="B26" s="2185" t="s">
        <v>1486</v>
      </c>
      <c r="C26" s="2071"/>
      <c r="D26" s="2184">
        <v>0</v>
      </c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  <c r="AA26" s="518"/>
      <c r="AB26" s="518"/>
      <c r="AC26" s="518"/>
      <c r="AD26" s="518"/>
      <c r="AE26" s="518"/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S26" s="518"/>
      <c r="AT26" s="518"/>
    </row>
    <row r="27" spans="1:46" ht="12.75" customHeight="1">
      <c r="A27" s="2183"/>
      <c r="B27" s="2185" t="s">
        <v>1487</v>
      </c>
      <c r="C27" s="2071"/>
      <c r="D27" s="2180">
        <f>SUM(F27:AQ27)</f>
        <v>0</v>
      </c>
      <c r="E27" s="518"/>
      <c r="F27" s="518"/>
      <c r="G27" s="518"/>
      <c r="H27" s="518"/>
      <c r="I27" s="518"/>
      <c r="J27" s="518"/>
      <c r="K27" s="518"/>
      <c r="L27" s="518"/>
      <c r="M27" s="518"/>
      <c r="N27" s="518"/>
      <c r="O27" s="515"/>
      <c r="P27" s="515"/>
      <c r="Q27" s="515"/>
      <c r="R27" s="515"/>
      <c r="S27" s="515"/>
      <c r="T27" s="515"/>
      <c r="U27" s="518"/>
      <c r="V27" s="518"/>
      <c r="W27" s="518"/>
      <c r="X27" s="518"/>
      <c r="Y27" s="518"/>
      <c r="Z27" s="518"/>
      <c r="AA27" s="518"/>
      <c r="AB27" s="518"/>
      <c r="AC27" s="518"/>
      <c r="AD27" s="518"/>
      <c r="AE27" s="518"/>
      <c r="AF27" s="518"/>
      <c r="AG27" s="518"/>
      <c r="AH27" s="515"/>
      <c r="AI27" s="518"/>
      <c r="AJ27" s="518"/>
      <c r="AK27" s="518"/>
      <c r="AL27" s="551"/>
      <c r="AM27" s="551"/>
      <c r="AN27" s="551"/>
      <c r="AO27" s="518"/>
      <c r="AP27" s="518"/>
      <c r="AQ27" s="518"/>
      <c r="AR27" s="518"/>
      <c r="AS27" s="518"/>
      <c r="AT27" s="518"/>
    </row>
    <row r="28" spans="1:46" ht="12.75" customHeight="1">
      <c r="A28" s="2183"/>
      <c r="B28" s="2185" t="s">
        <v>1488</v>
      </c>
      <c r="C28" s="2071"/>
      <c r="D28" s="2184">
        <f>SUM(F28:AQ28)</f>
        <v>2279080722.9760413</v>
      </c>
      <c r="E28" s="518"/>
      <c r="F28" s="518"/>
      <c r="G28" s="518"/>
      <c r="H28" s="518"/>
      <c r="I28" s="518"/>
      <c r="J28" s="518"/>
      <c r="K28" s="518"/>
      <c r="L28" s="518"/>
      <c r="M28" s="518"/>
      <c r="N28" s="515"/>
      <c r="O28" s="515">
        <f>[189]WS!R134-1</f>
        <v>2279080722.9760413</v>
      </c>
      <c r="P28" s="515"/>
      <c r="Q28" s="515"/>
      <c r="R28" s="515"/>
      <c r="S28" s="515"/>
      <c r="T28" s="515"/>
      <c r="U28" s="518"/>
      <c r="V28" s="518"/>
      <c r="W28" s="518"/>
      <c r="X28" s="518"/>
      <c r="Y28" s="518"/>
      <c r="Z28" s="518"/>
      <c r="AA28" s="518"/>
      <c r="AB28" s="518"/>
      <c r="AC28" s="518"/>
      <c r="AD28" s="518"/>
      <c r="AE28" s="518"/>
      <c r="AF28" s="518"/>
      <c r="AG28" s="518"/>
      <c r="AH28" s="518"/>
      <c r="AI28" s="518"/>
      <c r="AJ28" s="518"/>
      <c r="AK28" s="518"/>
      <c r="AL28" s="551"/>
      <c r="AM28" s="551"/>
      <c r="AN28" s="551"/>
      <c r="AO28" s="518"/>
      <c r="AP28" s="518"/>
      <c r="AQ28" s="518"/>
      <c r="AR28" s="518"/>
      <c r="AS28" s="518"/>
      <c r="AT28" s="515"/>
    </row>
    <row r="29" spans="1:46" ht="12.75" customHeight="1">
      <c r="A29" s="2183"/>
      <c r="B29" s="2185" t="s">
        <v>1489</v>
      </c>
      <c r="C29" s="2071"/>
      <c r="D29" s="2186">
        <f>SUM(F29:AQ29)</f>
        <v>0</v>
      </c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5"/>
      <c r="P29" s="515"/>
      <c r="Q29" s="515"/>
      <c r="R29" s="515"/>
      <c r="S29" s="515"/>
      <c r="T29" s="515"/>
      <c r="U29" s="518"/>
      <c r="V29" s="518"/>
      <c r="W29" s="518"/>
      <c r="X29" s="518"/>
      <c r="Y29" s="518"/>
      <c r="Z29" s="518"/>
      <c r="AA29" s="518"/>
      <c r="AB29" s="518"/>
      <c r="AC29" s="518"/>
      <c r="AD29" s="518"/>
      <c r="AE29" s="518"/>
      <c r="AF29" s="518"/>
      <c r="AG29" s="518"/>
      <c r="AH29" s="518"/>
      <c r="AI29" s="518"/>
      <c r="AJ29" s="518"/>
      <c r="AK29" s="518"/>
      <c r="AL29" s="551"/>
      <c r="AM29" s="551"/>
      <c r="AN29" s="551"/>
      <c r="AO29" s="518"/>
      <c r="AP29" s="518"/>
      <c r="AQ29" s="518"/>
      <c r="AR29" s="518"/>
      <c r="AS29" s="518"/>
      <c r="AT29" s="551"/>
    </row>
    <row r="30" spans="1:46" ht="12.75" customHeight="1">
      <c r="A30" s="2183"/>
      <c r="B30" s="2185" t="s">
        <v>1490</v>
      </c>
      <c r="C30" s="2071"/>
      <c r="D30" s="2186">
        <f>SUM(F30:AQ30)</f>
        <v>0</v>
      </c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5"/>
      <c r="P30" s="515"/>
      <c r="Q30" s="515"/>
      <c r="R30" s="515"/>
      <c r="S30" s="515"/>
      <c r="T30" s="515"/>
      <c r="U30" s="518"/>
      <c r="V30" s="518"/>
      <c r="W30" s="518"/>
      <c r="X30" s="518"/>
      <c r="Y30" s="51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51"/>
      <c r="AM30" s="515"/>
      <c r="AN30" s="515"/>
      <c r="AO30" s="518"/>
      <c r="AP30" s="518"/>
      <c r="AQ30" s="518"/>
      <c r="AR30" s="518"/>
      <c r="AS30" s="518"/>
      <c r="AT30" s="551"/>
    </row>
    <row r="31" spans="1:46" ht="12.75" customHeight="1">
      <c r="A31" s="2183"/>
      <c r="B31" s="2185" t="s">
        <v>1491</v>
      </c>
      <c r="C31" s="2071"/>
      <c r="D31" s="2186">
        <f>SUM(F31:AQ31)</f>
        <v>0</v>
      </c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5"/>
      <c r="P31" s="515"/>
      <c r="Q31" s="515"/>
      <c r="R31" s="515"/>
      <c r="S31" s="515"/>
      <c r="T31" s="515"/>
      <c r="U31" s="518"/>
      <c r="V31" s="518"/>
      <c r="W31" s="518"/>
      <c r="X31" s="518"/>
      <c r="Y31" s="518"/>
      <c r="Z31" s="518"/>
      <c r="AA31" s="518"/>
      <c r="AB31" s="518"/>
      <c r="AC31" s="518"/>
      <c r="AD31" s="518"/>
      <c r="AE31" s="518"/>
      <c r="AF31" s="518"/>
      <c r="AG31" s="518"/>
      <c r="AH31" s="518"/>
      <c r="AI31" s="518"/>
      <c r="AJ31" s="518"/>
      <c r="AK31" s="518"/>
      <c r="AL31" s="551"/>
      <c r="AM31" s="515"/>
      <c r="AN31" s="515"/>
      <c r="AO31" s="518"/>
      <c r="AP31" s="518"/>
      <c r="AQ31" s="518"/>
      <c r="AR31" s="518"/>
      <c r="AS31" s="518"/>
      <c r="AT31" s="518"/>
    </row>
    <row r="32" spans="1:46" ht="12.75" customHeight="1">
      <c r="A32" s="2183"/>
      <c r="B32" s="2185" t="s">
        <v>1492</v>
      </c>
      <c r="C32" s="2071"/>
      <c r="D32" s="2186">
        <f t="shared" ref="D32:D41" si="1">SUM(F32:AQ32)</f>
        <v>0</v>
      </c>
      <c r="E32" s="518"/>
      <c r="F32" s="515"/>
      <c r="G32" s="515"/>
      <c r="H32" s="515"/>
      <c r="I32" s="515"/>
      <c r="J32" s="515"/>
      <c r="K32" s="515"/>
      <c r="L32" s="515"/>
      <c r="M32" s="515"/>
      <c r="N32" s="515"/>
      <c r="O32" s="515"/>
      <c r="P32" s="515"/>
      <c r="Q32" s="515"/>
      <c r="R32" s="515"/>
      <c r="S32" s="515"/>
      <c r="T32" s="515"/>
      <c r="U32" s="518"/>
      <c r="V32" s="518"/>
      <c r="W32" s="518"/>
      <c r="X32" s="515"/>
      <c r="Y32" s="515"/>
      <c r="Z32" s="515"/>
      <c r="AA32" s="515"/>
      <c r="AB32" s="518"/>
      <c r="AC32" s="518"/>
      <c r="AD32" s="518"/>
      <c r="AE32" s="518"/>
      <c r="AF32" s="518"/>
      <c r="AG32" s="518"/>
      <c r="AH32" s="518"/>
      <c r="AI32" s="518"/>
      <c r="AJ32" s="518"/>
      <c r="AK32" s="518"/>
      <c r="AL32" s="551"/>
      <c r="AM32" s="551"/>
      <c r="AN32" s="551"/>
      <c r="AO32" s="518"/>
      <c r="AP32" s="518"/>
      <c r="AQ32" s="518"/>
      <c r="AR32" s="518"/>
      <c r="AS32" s="518"/>
      <c r="AT32" s="518"/>
    </row>
    <row r="33" spans="1:46" ht="12.75" customHeight="1">
      <c r="A33" s="2183"/>
      <c r="B33" s="2185" t="s">
        <v>1493</v>
      </c>
      <c r="C33" s="2071"/>
      <c r="D33" s="2186">
        <f t="shared" si="1"/>
        <v>0</v>
      </c>
      <c r="E33" s="518"/>
      <c r="F33" s="518"/>
      <c r="G33" s="518"/>
      <c r="H33" s="518"/>
      <c r="I33" s="518"/>
      <c r="J33" s="518"/>
      <c r="K33" s="518"/>
      <c r="L33" s="518"/>
      <c r="M33" s="518"/>
      <c r="N33" s="518"/>
      <c r="O33" s="518"/>
      <c r="P33" s="518"/>
      <c r="Q33" s="518"/>
      <c r="R33" s="518"/>
      <c r="S33" s="518"/>
      <c r="T33" s="518"/>
      <c r="U33" s="518"/>
      <c r="V33" s="518"/>
      <c r="W33" s="518"/>
      <c r="X33" s="518"/>
      <c r="Y33" s="518"/>
      <c r="Z33" s="518"/>
      <c r="AA33" s="518"/>
      <c r="AB33" s="518"/>
      <c r="AC33" s="518"/>
      <c r="AD33" s="518"/>
      <c r="AE33" s="518"/>
      <c r="AF33" s="518"/>
      <c r="AG33" s="518"/>
      <c r="AH33" s="518"/>
      <c r="AI33" s="518"/>
      <c r="AJ33" s="518"/>
      <c r="AK33" s="518"/>
      <c r="AL33" s="518"/>
      <c r="AM33" s="518"/>
      <c r="AN33" s="518"/>
      <c r="AO33" s="518"/>
      <c r="AP33" s="518"/>
      <c r="AQ33" s="518"/>
      <c r="AR33" s="518"/>
      <c r="AS33" s="518"/>
      <c r="AT33" s="518"/>
    </row>
    <row r="34" spans="1:46" ht="12.75" customHeight="1">
      <c r="A34" s="2183"/>
      <c r="B34" s="2185" t="s">
        <v>1494</v>
      </c>
      <c r="C34" s="2071"/>
      <c r="D34" s="2186">
        <f t="shared" si="1"/>
        <v>0</v>
      </c>
      <c r="E34" s="518"/>
      <c r="F34" s="518"/>
      <c r="G34" s="518"/>
      <c r="H34" s="518"/>
      <c r="I34" s="518"/>
      <c r="J34" s="518"/>
      <c r="K34" s="518"/>
      <c r="L34" s="518"/>
      <c r="M34" s="518"/>
      <c r="N34" s="518"/>
      <c r="O34" s="518"/>
      <c r="P34" s="518"/>
      <c r="Q34" s="518"/>
      <c r="R34" s="518"/>
      <c r="S34" s="518"/>
      <c r="T34" s="518"/>
      <c r="U34" s="518"/>
      <c r="V34" s="518"/>
      <c r="W34" s="518"/>
      <c r="X34" s="518"/>
      <c r="Y34" s="518"/>
      <c r="Z34" s="518"/>
      <c r="AA34" s="518"/>
      <c r="AB34" s="518"/>
      <c r="AC34" s="518"/>
      <c r="AD34" s="518"/>
      <c r="AE34" s="518"/>
      <c r="AF34" s="518"/>
      <c r="AG34" s="518"/>
      <c r="AH34" s="518"/>
      <c r="AI34" s="518"/>
      <c r="AJ34" s="518"/>
      <c r="AK34" s="518"/>
      <c r="AL34" s="518"/>
      <c r="AM34" s="518"/>
      <c r="AN34" s="518"/>
      <c r="AO34" s="518"/>
      <c r="AP34" s="518"/>
      <c r="AQ34" s="518"/>
      <c r="AR34" s="518"/>
      <c r="AS34" s="518"/>
      <c r="AT34" s="518"/>
    </row>
    <row r="35" spans="1:46" ht="12.75" customHeight="1">
      <c r="A35" s="2183"/>
      <c r="B35" s="2185" t="s">
        <v>1495</v>
      </c>
      <c r="C35" s="2071"/>
      <c r="D35" s="2186">
        <f t="shared" si="1"/>
        <v>0</v>
      </c>
      <c r="E35" s="518"/>
      <c r="F35" s="518"/>
      <c r="G35" s="518"/>
      <c r="H35" s="518"/>
      <c r="I35" s="518"/>
      <c r="J35" s="518"/>
      <c r="K35" s="518"/>
      <c r="L35" s="518"/>
      <c r="M35" s="518"/>
      <c r="N35" s="518"/>
      <c r="O35" s="518"/>
      <c r="P35" s="518"/>
      <c r="Q35" s="518"/>
      <c r="R35" s="518"/>
      <c r="S35" s="518"/>
      <c r="T35" s="518"/>
      <c r="U35" s="518"/>
      <c r="V35" s="518"/>
      <c r="W35" s="518"/>
      <c r="X35" s="518"/>
      <c r="Y35" s="518"/>
      <c r="Z35" s="518"/>
      <c r="AA35" s="518"/>
      <c r="AB35" s="518"/>
      <c r="AC35" s="518"/>
      <c r="AD35" s="518"/>
      <c r="AE35" s="518"/>
      <c r="AF35" s="518"/>
      <c r="AG35" s="518"/>
      <c r="AH35" s="518"/>
      <c r="AI35" s="518"/>
      <c r="AJ35" s="518"/>
      <c r="AK35" s="518"/>
      <c r="AL35" s="518"/>
      <c r="AM35" s="518"/>
      <c r="AN35" s="518"/>
      <c r="AO35" s="518"/>
      <c r="AP35" s="518"/>
      <c r="AQ35" s="518"/>
      <c r="AR35" s="518"/>
      <c r="AS35" s="518"/>
      <c r="AT35" s="518"/>
    </row>
    <row r="36" spans="1:46" ht="12.75" customHeight="1">
      <c r="A36" s="2183"/>
      <c r="B36" s="2185" t="s">
        <v>1496</v>
      </c>
      <c r="C36" s="2071"/>
      <c r="D36" s="2186">
        <f t="shared" si="1"/>
        <v>0</v>
      </c>
      <c r="E36" s="518"/>
      <c r="F36" s="518"/>
      <c r="G36" s="518"/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5"/>
      <c r="T36" s="515"/>
      <c r="U36" s="518"/>
      <c r="V36" s="518"/>
      <c r="W36" s="551"/>
      <c r="X36" s="515"/>
      <c r="Y36" s="515"/>
      <c r="Z36" s="515"/>
      <c r="AA36" s="515"/>
      <c r="AB36" s="515"/>
      <c r="AC36" s="518"/>
      <c r="AD36" s="515"/>
      <c r="AE36" s="518"/>
      <c r="AF36" s="518"/>
      <c r="AG36" s="518"/>
      <c r="AH36" s="518"/>
      <c r="AI36" s="518"/>
      <c r="AJ36" s="518"/>
      <c r="AK36" s="518"/>
      <c r="AL36" s="518"/>
      <c r="AM36" s="518"/>
      <c r="AN36" s="518"/>
      <c r="AO36" s="518"/>
      <c r="AP36" s="518"/>
      <c r="AQ36" s="518"/>
      <c r="AR36" s="518"/>
      <c r="AS36" s="518"/>
      <c r="AT36" s="518"/>
    </row>
    <row r="37" spans="1:46" ht="12.75" customHeight="1">
      <c r="A37" s="2183"/>
      <c r="B37" s="2185" t="s">
        <v>1497</v>
      </c>
      <c r="C37" s="2071"/>
      <c r="D37" s="2186">
        <f t="shared" si="1"/>
        <v>0</v>
      </c>
      <c r="E37" s="518"/>
      <c r="F37" s="518"/>
      <c r="G37" s="518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51"/>
      <c r="X37" s="515"/>
      <c r="Y37" s="515"/>
      <c r="Z37" s="515"/>
      <c r="AA37" s="515"/>
      <c r="AB37" s="515"/>
      <c r="AC37" s="518"/>
      <c r="AD37" s="515"/>
      <c r="AE37" s="518"/>
      <c r="AF37" s="518"/>
      <c r="AG37" s="518"/>
      <c r="AH37" s="518"/>
      <c r="AI37" s="518"/>
      <c r="AJ37" s="518"/>
      <c r="AK37" s="518"/>
      <c r="AL37" s="518"/>
      <c r="AM37" s="518"/>
      <c r="AN37" s="518"/>
      <c r="AO37" s="518"/>
      <c r="AP37" s="518"/>
      <c r="AQ37" s="518"/>
      <c r="AR37" s="518"/>
      <c r="AS37" s="518"/>
      <c r="AT37" s="518"/>
    </row>
    <row r="38" spans="1:46" ht="12.75" customHeight="1">
      <c r="A38" s="2183"/>
      <c r="B38" s="2205" t="s">
        <v>273</v>
      </c>
      <c r="C38" s="2071"/>
      <c r="D38" s="2186">
        <f t="shared" si="1"/>
        <v>-595676695</v>
      </c>
      <c r="E38" s="518"/>
      <c r="F38" s="518"/>
      <c r="G38" s="518"/>
      <c r="H38" s="518"/>
      <c r="I38" s="518"/>
      <c r="J38" s="518"/>
      <c r="K38" s="518"/>
      <c r="L38" s="518"/>
      <c r="M38" s="518"/>
      <c r="N38" s="518"/>
      <c r="O38" s="518"/>
      <c r="P38" s="518"/>
      <c r="Q38" s="518"/>
      <c r="R38" s="518"/>
      <c r="S38" s="518"/>
      <c r="T38" s="518"/>
      <c r="U38" s="518"/>
      <c r="V38" s="518"/>
      <c r="W38" s="551"/>
      <c r="X38" s="515"/>
      <c r="Y38" s="515">
        <f>-Y8</f>
        <v>-595676695</v>
      </c>
      <c r="Z38" s="515"/>
      <c r="AA38" s="515"/>
      <c r="AB38" s="515"/>
      <c r="AC38" s="518"/>
      <c r="AD38" s="515"/>
      <c r="AE38" s="518"/>
      <c r="AF38" s="518"/>
      <c r="AG38" s="518"/>
      <c r="AH38" s="518"/>
      <c r="AI38" s="518"/>
      <c r="AJ38" s="518"/>
      <c r="AK38" s="518"/>
      <c r="AL38" s="518"/>
      <c r="AM38" s="518"/>
      <c r="AN38" s="518"/>
      <c r="AO38" s="518"/>
      <c r="AP38" s="518"/>
      <c r="AQ38" s="518"/>
      <c r="AR38" s="518"/>
      <c r="AS38" s="518"/>
      <c r="AT38" s="518"/>
    </row>
    <row r="39" spans="1:46" ht="12.75" customHeight="1">
      <c r="A39" s="2183"/>
      <c r="B39" s="2185" t="s">
        <v>1498</v>
      </c>
      <c r="C39" s="2071"/>
      <c r="D39" s="2186">
        <f t="shared" si="1"/>
        <v>0</v>
      </c>
      <c r="E39" s="518"/>
      <c r="F39" s="518"/>
      <c r="G39" s="518"/>
      <c r="H39" s="518"/>
      <c r="I39" s="518"/>
      <c r="J39" s="518"/>
      <c r="K39" s="518"/>
      <c r="L39" s="518"/>
      <c r="M39" s="518"/>
      <c r="N39" s="518"/>
      <c r="O39" s="518"/>
      <c r="P39" s="518"/>
      <c r="Q39" s="518"/>
      <c r="R39" s="518"/>
      <c r="S39" s="518"/>
      <c r="T39" s="518"/>
      <c r="U39" s="518"/>
      <c r="V39" s="518"/>
      <c r="W39" s="551"/>
      <c r="X39" s="515"/>
      <c r="Y39" s="515"/>
      <c r="Z39" s="515"/>
      <c r="AA39" s="515"/>
      <c r="AB39" s="515"/>
      <c r="AC39" s="518"/>
      <c r="AD39" s="515"/>
      <c r="AE39" s="518"/>
      <c r="AF39" s="518"/>
      <c r="AG39" s="518"/>
      <c r="AH39" s="518"/>
      <c r="AI39" s="518"/>
      <c r="AJ39" s="518"/>
      <c r="AK39" s="518"/>
      <c r="AL39" s="518"/>
      <c r="AM39" s="518"/>
      <c r="AN39" s="518"/>
      <c r="AO39" s="518"/>
      <c r="AP39" s="518"/>
      <c r="AQ39" s="518"/>
      <c r="AR39" s="518"/>
      <c r="AS39" s="518"/>
      <c r="AT39" s="518"/>
    </row>
    <row r="40" spans="1:46" ht="12.75" customHeight="1">
      <c r="A40" s="2183"/>
      <c r="B40" s="2185" t="s">
        <v>1499</v>
      </c>
      <c r="C40" s="2071"/>
      <c r="D40" s="2186">
        <f t="shared" si="1"/>
        <v>0</v>
      </c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518"/>
      <c r="Q40" s="518"/>
      <c r="R40" s="518"/>
      <c r="S40" s="518"/>
      <c r="T40" s="518"/>
      <c r="U40" s="518"/>
      <c r="V40" s="518"/>
      <c r="W40" s="551"/>
      <c r="X40" s="515"/>
      <c r="Y40" s="515"/>
      <c r="Z40" s="515"/>
      <c r="AA40" s="515"/>
      <c r="AB40" s="515"/>
      <c r="AC40" s="518"/>
      <c r="AD40" s="515"/>
      <c r="AE40" s="518"/>
      <c r="AF40" s="518"/>
      <c r="AG40" s="518"/>
      <c r="AH40" s="518"/>
      <c r="AI40" s="518"/>
      <c r="AJ40" s="518"/>
      <c r="AK40" s="518"/>
      <c r="AL40" s="518"/>
      <c r="AM40" s="518"/>
      <c r="AN40" s="518"/>
      <c r="AO40" s="518"/>
      <c r="AP40" s="518"/>
      <c r="AQ40" s="518"/>
      <c r="AR40" s="518"/>
      <c r="AS40" s="518"/>
      <c r="AT40" s="518"/>
    </row>
    <row r="41" spans="1:46" ht="12.75" customHeight="1">
      <c r="A41" s="2183"/>
      <c r="B41" s="2185" t="s">
        <v>1500</v>
      </c>
      <c r="C41" s="2071"/>
      <c r="D41" s="2187">
        <f t="shared" si="1"/>
        <v>0</v>
      </c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518"/>
      <c r="Q41" s="518"/>
      <c r="R41" s="518"/>
      <c r="S41" s="518"/>
      <c r="T41" s="518"/>
      <c r="U41" s="518"/>
      <c r="V41" s="518"/>
      <c r="W41" s="551"/>
      <c r="X41" s="515"/>
      <c r="Y41" s="515"/>
      <c r="Z41" s="515"/>
      <c r="AA41" s="515"/>
      <c r="AB41" s="515"/>
      <c r="AC41" s="518"/>
      <c r="AD41" s="515"/>
      <c r="AE41" s="515"/>
      <c r="AF41" s="518"/>
      <c r="AG41" s="518"/>
      <c r="AH41" s="515"/>
      <c r="AI41" s="518"/>
      <c r="AJ41" s="518"/>
      <c r="AK41" s="518"/>
      <c r="AL41" s="518"/>
      <c r="AM41" s="518"/>
      <c r="AN41" s="518"/>
      <c r="AO41" s="518"/>
      <c r="AP41" s="518"/>
      <c r="AQ41" s="518"/>
      <c r="AR41" s="518"/>
      <c r="AS41" s="518"/>
      <c r="AT41" s="518"/>
    </row>
    <row r="42" spans="1:46" ht="3.6" customHeight="1">
      <c r="A42" s="2183"/>
      <c r="B42" s="2185"/>
      <c r="C42" s="2071"/>
      <c r="D42" s="2186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8"/>
      <c r="T42" s="518"/>
      <c r="U42" s="518"/>
      <c r="V42" s="518"/>
      <c r="W42" s="551"/>
      <c r="X42" s="515"/>
      <c r="Y42" s="515"/>
      <c r="Z42" s="515"/>
      <c r="AA42" s="515"/>
      <c r="AB42" s="515"/>
      <c r="AC42" s="518"/>
      <c r="AD42" s="515"/>
      <c r="AE42" s="515"/>
      <c r="AF42" s="518"/>
      <c r="AG42" s="518"/>
      <c r="AH42" s="515"/>
      <c r="AI42" s="518"/>
      <c r="AJ42" s="518"/>
      <c r="AK42" s="518"/>
      <c r="AL42" s="518"/>
      <c r="AM42" s="518"/>
      <c r="AN42" s="518"/>
      <c r="AO42" s="518"/>
      <c r="AP42" s="518"/>
      <c r="AQ42" s="518"/>
      <c r="AR42" s="518"/>
      <c r="AS42" s="518"/>
      <c r="AT42" s="518"/>
    </row>
    <row r="43" spans="1:46" ht="12.75" customHeight="1">
      <c r="A43" s="2188" t="s">
        <v>1501</v>
      </c>
      <c r="C43" s="2071"/>
      <c r="D43" s="2189">
        <f>SUM(D24:D41)</f>
        <v>1683404027.9760413</v>
      </c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518"/>
      <c r="P43" s="518"/>
      <c r="Q43" s="518"/>
      <c r="R43" s="518"/>
      <c r="S43" s="518"/>
      <c r="T43" s="518"/>
      <c r="U43" s="518"/>
      <c r="V43" s="518"/>
      <c r="W43" s="551"/>
      <c r="X43" s="515"/>
      <c r="Y43" s="515"/>
      <c r="Z43" s="515"/>
      <c r="AA43" s="515"/>
      <c r="AB43" s="518"/>
      <c r="AC43" s="518"/>
      <c r="AD43" s="515"/>
      <c r="AE43" s="518"/>
      <c r="AF43" s="518"/>
      <c r="AG43" s="518"/>
      <c r="AH43" s="518"/>
      <c r="AI43" s="518"/>
      <c r="AJ43" s="518"/>
      <c r="AK43" s="518"/>
      <c r="AL43" s="518"/>
      <c r="AM43" s="518"/>
      <c r="AN43" s="518"/>
      <c r="AO43" s="518"/>
      <c r="AP43" s="518"/>
      <c r="AQ43" s="518"/>
      <c r="AR43" s="518"/>
      <c r="AS43" s="518"/>
      <c r="AT43" s="518"/>
    </row>
    <row r="44" spans="1:46" ht="12.75" customHeight="1">
      <c r="A44" s="2183"/>
      <c r="C44" s="2071"/>
      <c r="D44" s="2180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518"/>
      <c r="Q44" s="518"/>
      <c r="R44" s="518"/>
      <c r="S44" s="518"/>
      <c r="T44" s="518"/>
      <c r="U44" s="518"/>
      <c r="V44" s="518"/>
      <c r="W44" s="551"/>
      <c r="X44" s="515"/>
      <c r="Y44" s="515"/>
      <c r="Z44" s="515"/>
      <c r="AA44" s="515"/>
      <c r="AB44" s="518"/>
      <c r="AC44" s="518"/>
      <c r="AD44" s="515"/>
      <c r="AE44" s="518"/>
      <c r="AF44" s="518"/>
      <c r="AG44" s="518"/>
      <c r="AH44" s="518"/>
      <c r="AI44" s="518"/>
      <c r="AJ44" s="518"/>
      <c r="AK44" s="518"/>
      <c r="AL44" s="518"/>
      <c r="AM44" s="518"/>
      <c r="AN44" s="518"/>
      <c r="AO44" s="518"/>
      <c r="AP44" s="518"/>
      <c r="AQ44" s="518"/>
      <c r="AR44" s="518"/>
      <c r="AS44" s="518"/>
      <c r="AT44" s="518"/>
    </row>
    <row r="45" spans="1:46" ht="12.75" customHeight="1">
      <c r="A45" s="2183"/>
      <c r="C45" s="2071"/>
      <c r="D45" s="2180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518"/>
      <c r="P45" s="518"/>
      <c r="Q45" s="518"/>
      <c r="R45" s="518"/>
      <c r="S45" s="518"/>
      <c r="T45" s="518"/>
      <c r="U45" s="518"/>
      <c r="V45" s="518"/>
      <c r="W45" s="551"/>
      <c r="X45" s="515"/>
      <c r="Y45" s="515"/>
      <c r="Z45" s="515"/>
      <c r="AA45" s="515"/>
      <c r="AB45" s="518"/>
      <c r="AC45" s="518"/>
      <c r="AD45" s="515"/>
      <c r="AE45" s="518"/>
      <c r="AF45" s="518"/>
      <c r="AG45" s="518"/>
      <c r="AH45" s="518"/>
      <c r="AI45" s="518"/>
      <c r="AJ45" s="518"/>
      <c r="AK45" s="518"/>
      <c r="AL45" s="518"/>
      <c r="AM45" s="518"/>
      <c r="AN45" s="518"/>
      <c r="AO45" s="518"/>
      <c r="AP45" s="518"/>
      <c r="AQ45" s="518"/>
      <c r="AR45" s="518"/>
      <c r="AS45" s="518"/>
      <c r="AT45" s="518"/>
    </row>
    <row r="46" spans="1:46" ht="12.75" customHeight="1">
      <c r="A46" s="2181" t="s">
        <v>265</v>
      </c>
      <c r="C46" s="2071"/>
      <c r="D46" s="2180"/>
      <c r="E46" s="518"/>
      <c r="F46" s="518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518"/>
      <c r="S46" s="518"/>
      <c r="T46" s="518"/>
      <c r="U46" s="518"/>
      <c r="V46" s="518"/>
      <c r="W46" s="551"/>
      <c r="X46" s="515"/>
      <c r="Y46" s="515"/>
      <c r="Z46" s="515"/>
      <c r="AA46" s="515"/>
      <c r="AB46" s="518"/>
      <c r="AC46" s="518"/>
      <c r="AD46" s="515"/>
      <c r="AE46" s="518"/>
      <c r="AF46" s="518"/>
      <c r="AG46" s="518"/>
      <c r="AH46" s="518"/>
      <c r="AI46" s="518"/>
      <c r="AJ46" s="518"/>
      <c r="AK46" s="518"/>
      <c r="AL46" s="518"/>
      <c r="AM46" s="518"/>
      <c r="AN46" s="518"/>
      <c r="AO46" s="518"/>
      <c r="AP46" s="518"/>
      <c r="AQ46" s="518"/>
      <c r="AR46" s="518"/>
      <c r="AS46" s="518"/>
      <c r="AT46" s="518"/>
    </row>
    <row r="47" spans="1:46" ht="12.75" customHeight="1">
      <c r="A47" s="2183"/>
      <c r="B47" s="2185" t="s">
        <v>1502</v>
      </c>
      <c r="C47" s="2071"/>
      <c r="D47" s="2180">
        <f>SUM(F47:AQ47)</f>
        <v>0</v>
      </c>
      <c r="E47" s="518"/>
      <c r="F47" s="518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518"/>
      <c r="S47" s="515"/>
      <c r="T47" s="518"/>
      <c r="U47" s="518"/>
      <c r="V47" s="518"/>
      <c r="W47" s="551"/>
      <c r="X47" s="515"/>
      <c r="Y47" s="515"/>
      <c r="Z47" s="515"/>
      <c r="AA47" s="515"/>
      <c r="AB47" s="518"/>
      <c r="AC47" s="518"/>
      <c r="AD47" s="515"/>
      <c r="AE47" s="518"/>
      <c r="AF47" s="515"/>
      <c r="AG47" s="518"/>
      <c r="AH47" s="518"/>
      <c r="AI47" s="518"/>
      <c r="AJ47" s="518"/>
      <c r="AK47" s="518"/>
      <c r="AL47" s="518"/>
      <c r="AM47" s="518"/>
      <c r="AN47" s="518"/>
      <c r="AO47" s="518"/>
      <c r="AP47" s="518"/>
      <c r="AQ47" s="518"/>
      <c r="AR47" s="518"/>
      <c r="AS47" s="518"/>
      <c r="AT47" s="518"/>
    </row>
    <row r="48" spans="1:46" ht="12.75" customHeight="1">
      <c r="A48" s="2183"/>
      <c r="B48" s="2185" t="s">
        <v>268</v>
      </c>
      <c r="C48" s="2071"/>
      <c r="D48" s="2180">
        <f>SUM(F48:AQ48)</f>
        <v>32022229168</v>
      </c>
      <c r="E48" s="518"/>
      <c r="F48" s="518"/>
      <c r="G48" s="518"/>
      <c r="H48" s="518"/>
      <c r="I48" s="518"/>
      <c r="J48" s="518"/>
      <c r="K48" s="518"/>
      <c r="L48" s="518"/>
      <c r="M48" s="518"/>
      <c r="N48" s="518"/>
      <c r="O48" s="518"/>
      <c r="P48" s="518"/>
      <c r="Q48" s="518"/>
      <c r="R48" s="518"/>
      <c r="S48" s="515">
        <f>-S8</f>
        <v>35830123232</v>
      </c>
      <c r="T48" s="515">
        <f>-T8</f>
        <v>-3807894064</v>
      </c>
      <c r="U48" s="518"/>
      <c r="V48" s="518"/>
      <c r="W48" s="551"/>
      <c r="X48" s="515"/>
      <c r="Y48" s="515"/>
      <c r="Z48" s="515"/>
      <c r="AA48" s="515"/>
      <c r="AB48" s="518"/>
      <c r="AC48" s="518"/>
      <c r="AD48" s="515"/>
      <c r="AE48" s="518"/>
      <c r="AF48" s="518"/>
      <c r="AG48" s="518"/>
      <c r="AH48" s="518"/>
      <c r="AI48" s="518"/>
      <c r="AJ48" s="518"/>
      <c r="AK48" s="518"/>
      <c r="AL48" s="518"/>
      <c r="AM48" s="518"/>
      <c r="AN48" s="518"/>
      <c r="AO48" s="518"/>
      <c r="AP48" s="518"/>
      <c r="AQ48" s="518"/>
      <c r="AR48" s="518"/>
      <c r="AS48" s="518"/>
      <c r="AT48" s="518"/>
    </row>
    <row r="49" spans="1:46" ht="12.75" customHeight="1">
      <c r="A49" s="2183"/>
      <c r="B49" s="2185" t="s">
        <v>1503</v>
      </c>
      <c r="C49" s="2071"/>
      <c r="D49" s="2180">
        <f>SUM(F49:AQ49)</f>
        <v>0</v>
      </c>
      <c r="E49" s="518"/>
      <c r="F49" s="518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518"/>
      <c r="S49" s="518"/>
      <c r="T49" s="518"/>
      <c r="U49" s="515"/>
      <c r="V49" s="515"/>
      <c r="W49" s="515"/>
      <c r="X49" s="515"/>
      <c r="Y49" s="515"/>
      <c r="Z49" s="515"/>
      <c r="AA49" s="518"/>
      <c r="AB49" s="518"/>
      <c r="AC49" s="518"/>
      <c r="AD49" s="518"/>
      <c r="AE49" s="515"/>
      <c r="AF49" s="515"/>
      <c r="AG49" s="515"/>
      <c r="AH49" s="518"/>
      <c r="AI49" s="518"/>
      <c r="AJ49" s="518"/>
      <c r="AK49" s="518"/>
      <c r="AL49" s="518"/>
      <c r="AM49" s="518"/>
      <c r="AN49" s="518"/>
      <c r="AO49" s="518"/>
      <c r="AP49" s="518"/>
      <c r="AQ49" s="518"/>
      <c r="AR49" s="518"/>
      <c r="AS49" s="518"/>
      <c r="AT49" s="518"/>
    </row>
    <row r="50" spans="1:46" ht="12.75" customHeight="1">
      <c r="B50" s="2185" t="s">
        <v>1504</v>
      </c>
      <c r="C50" s="2071"/>
      <c r="D50" s="2180">
        <f t="shared" ref="D50:D63" si="2">SUM(F50:AQ50)</f>
        <v>0</v>
      </c>
      <c r="E50" s="518"/>
      <c r="F50" s="518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18"/>
      <c r="Z50" s="518"/>
      <c r="AA50" s="518"/>
      <c r="AB50" s="518"/>
      <c r="AC50" s="518"/>
      <c r="AD50" s="518"/>
      <c r="AE50" s="518"/>
      <c r="AF50" s="518"/>
      <c r="AG50" s="518"/>
      <c r="AH50" s="518"/>
      <c r="AI50" s="518"/>
      <c r="AJ50" s="518"/>
      <c r="AK50" s="518"/>
      <c r="AL50" s="518"/>
      <c r="AM50" s="518"/>
      <c r="AN50" s="518"/>
      <c r="AO50" s="518"/>
      <c r="AP50" s="518"/>
      <c r="AQ50" s="518"/>
      <c r="AR50" s="518"/>
      <c r="AS50" s="518"/>
      <c r="AT50" s="518"/>
    </row>
    <row r="51" spans="1:46" ht="12.75" customHeight="1">
      <c r="A51" s="2183"/>
      <c r="B51" s="2185" t="s">
        <v>1505</v>
      </c>
      <c r="C51" s="2071"/>
      <c r="D51" s="2180">
        <f t="shared" si="2"/>
        <v>0</v>
      </c>
      <c r="E51" s="518"/>
      <c r="F51" s="518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518"/>
      <c r="S51" s="518"/>
      <c r="T51" s="518"/>
      <c r="U51" s="518"/>
      <c r="V51" s="518"/>
      <c r="W51" s="518"/>
      <c r="X51" s="518"/>
      <c r="Y51" s="518"/>
      <c r="Z51" s="518"/>
      <c r="AA51" s="518"/>
      <c r="AB51" s="518"/>
      <c r="AC51" s="518"/>
      <c r="AD51" s="518"/>
      <c r="AE51" s="518"/>
      <c r="AF51" s="518"/>
      <c r="AG51" s="518"/>
      <c r="AH51" s="518"/>
      <c r="AI51" s="518"/>
      <c r="AJ51" s="518"/>
      <c r="AK51" s="518"/>
      <c r="AL51" s="518"/>
      <c r="AM51" s="518"/>
      <c r="AN51" s="518"/>
      <c r="AO51" s="518"/>
      <c r="AP51" s="518"/>
      <c r="AQ51" s="518"/>
      <c r="AR51" s="518"/>
      <c r="AS51" s="518"/>
      <c r="AT51" s="518"/>
    </row>
    <row r="52" spans="1:46" ht="12.75" customHeight="1">
      <c r="A52" s="2183"/>
      <c r="B52" s="2185" t="s">
        <v>1506</v>
      </c>
      <c r="C52" s="2071"/>
      <c r="D52" s="2180">
        <f t="shared" si="2"/>
        <v>0</v>
      </c>
      <c r="E52" s="518"/>
      <c r="F52" s="518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18"/>
      <c r="S52" s="518"/>
      <c r="T52" s="518"/>
      <c r="U52" s="518"/>
      <c r="V52" s="518"/>
      <c r="W52" s="518"/>
      <c r="X52" s="518"/>
      <c r="Y52" s="518"/>
      <c r="Z52" s="518"/>
      <c r="AA52" s="518"/>
      <c r="AB52" s="518"/>
      <c r="AC52" s="518"/>
      <c r="AD52" s="518"/>
      <c r="AE52" s="518"/>
      <c r="AF52" s="518"/>
      <c r="AG52" s="518"/>
      <c r="AH52" s="518"/>
      <c r="AI52" s="518"/>
      <c r="AJ52" s="518"/>
      <c r="AK52" s="518"/>
      <c r="AL52" s="518"/>
      <c r="AM52" s="518"/>
      <c r="AN52" s="518"/>
      <c r="AO52" s="518"/>
      <c r="AP52" s="518"/>
      <c r="AQ52" s="518"/>
      <c r="AR52" s="518"/>
      <c r="AS52" s="518"/>
      <c r="AT52" s="518"/>
    </row>
    <row r="53" spans="1:46" ht="12.75" customHeight="1">
      <c r="A53" s="2183"/>
      <c r="B53" s="2185" t="s">
        <v>1507</v>
      </c>
      <c r="C53" s="2071"/>
      <c r="D53" s="2180">
        <f t="shared" si="2"/>
        <v>-3115944915</v>
      </c>
      <c r="E53" s="518"/>
      <c r="F53" s="518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518"/>
      <c r="S53" s="518"/>
      <c r="T53" s="518"/>
      <c r="U53" s="518"/>
      <c r="V53" s="518"/>
      <c r="W53" s="518"/>
      <c r="X53" s="518"/>
      <c r="Y53" s="518"/>
      <c r="Z53" s="518"/>
      <c r="AA53" s="518"/>
      <c r="AB53" s="518"/>
      <c r="AC53" s="518"/>
      <c r="AD53" s="518"/>
      <c r="AE53" s="518"/>
      <c r="AF53" s="515">
        <f>-(AF8+AF55)</f>
        <v>-3115944915</v>
      </c>
      <c r="AG53" s="518"/>
      <c r="AH53" s="518"/>
      <c r="AI53" s="518"/>
      <c r="AJ53" s="518"/>
      <c r="AK53" s="518"/>
      <c r="AL53" s="518"/>
      <c r="AM53" s="518"/>
      <c r="AN53" s="518"/>
      <c r="AO53" s="518"/>
      <c r="AP53" s="518"/>
      <c r="AQ53" s="518"/>
      <c r="AR53" s="518"/>
      <c r="AS53" s="518"/>
      <c r="AT53" s="518"/>
    </row>
    <row r="54" spans="1:46" ht="12.75" customHeight="1">
      <c r="A54" s="2183"/>
      <c r="B54" s="2185" t="s">
        <v>1508</v>
      </c>
      <c r="C54" s="2071"/>
      <c r="D54" s="2180">
        <f t="shared" si="2"/>
        <v>-500000000</v>
      </c>
      <c r="E54" s="518"/>
      <c r="F54" s="518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518"/>
      <c r="S54" s="518"/>
      <c r="T54" s="518"/>
      <c r="U54" s="518"/>
      <c r="V54" s="518"/>
      <c r="W54" s="518"/>
      <c r="X54" s="518"/>
      <c r="Y54" s="518"/>
      <c r="Z54" s="518"/>
      <c r="AA54" s="518"/>
      <c r="AB54" s="518"/>
      <c r="AC54" s="518"/>
      <c r="AD54" s="518"/>
      <c r="AE54" s="2190">
        <f>[189]LPE!F65</f>
        <v>14500000000</v>
      </c>
      <c r="AF54" s="518"/>
      <c r="AG54" s="518"/>
      <c r="AH54" s="515">
        <f>-AH8</f>
        <v>-15000000000</v>
      </c>
      <c r="AI54" s="518"/>
      <c r="AJ54" s="518"/>
      <c r="AK54" s="518"/>
      <c r="AL54" s="518"/>
      <c r="AM54" s="518"/>
      <c r="AN54" s="518"/>
      <c r="AO54" s="518"/>
      <c r="AP54" s="518"/>
      <c r="AQ54" s="518"/>
      <c r="AR54" s="518"/>
      <c r="AS54" s="518"/>
      <c r="AT54" s="518"/>
    </row>
    <row r="55" spans="1:46" ht="12.75" customHeight="1">
      <c r="A55" s="2183"/>
      <c r="B55" s="2185" t="s">
        <v>1509</v>
      </c>
      <c r="C55" s="2071"/>
      <c r="D55" s="2180">
        <f t="shared" si="2"/>
        <v>58000000000</v>
      </c>
      <c r="E55" s="515"/>
      <c r="F55" s="518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518"/>
      <c r="S55" s="518"/>
      <c r="T55" s="518"/>
      <c r="U55" s="518"/>
      <c r="V55" s="518"/>
      <c r="W55" s="518"/>
      <c r="X55" s="518"/>
      <c r="Y55" s="518"/>
      <c r="Z55" s="518"/>
      <c r="AA55" s="518"/>
      <c r="AB55" s="518"/>
      <c r="AC55" s="518"/>
      <c r="AD55" s="518"/>
      <c r="AE55" s="518"/>
      <c r="AF55" s="2190">
        <f>[189]LPE!I67</f>
        <v>58000000000</v>
      </c>
      <c r="AG55" s="518"/>
      <c r="AH55" s="518"/>
      <c r="AI55" s="518"/>
      <c r="AJ55" s="518"/>
      <c r="AK55" s="518"/>
      <c r="AL55" s="518"/>
      <c r="AM55" s="518"/>
      <c r="AN55" s="518"/>
      <c r="AO55" s="518"/>
      <c r="AP55" s="518"/>
      <c r="AQ55" s="518"/>
      <c r="AR55" s="518"/>
      <c r="AS55" s="518"/>
      <c r="AT55" s="518"/>
    </row>
    <row r="56" spans="1:46" ht="12.75" customHeight="1">
      <c r="A56" s="2183"/>
      <c r="B56" s="2185" t="s">
        <v>1510</v>
      </c>
      <c r="C56" s="2071"/>
      <c r="D56" s="2180">
        <f t="shared" si="2"/>
        <v>0</v>
      </c>
      <c r="E56" s="518"/>
      <c r="F56" s="518"/>
      <c r="G56" s="518"/>
      <c r="H56" s="518"/>
      <c r="I56" s="518"/>
      <c r="J56" s="518"/>
      <c r="K56" s="518"/>
      <c r="L56" s="518"/>
      <c r="M56" s="518"/>
      <c r="N56" s="518"/>
      <c r="O56" s="518"/>
      <c r="P56" s="518"/>
      <c r="Q56" s="518"/>
      <c r="R56" s="518"/>
      <c r="S56" s="518"/>
      <c r="T56" s="518"/>
      <c r="U56" s="518"/>
      <c r="V56" s="518"/>
      <c r="W56" s="518"/>
      <c r="X56" s="518"/>
      <c r="Y56" s="518"/>
      <c r="Z56" s="518"/>
      <c r="AA56" s="518"/>
      <c r="AB56" s="518"/>
      <c r="AC56" s="518"/>
      <c r="AD56" s="518"/>
      <c r="AE56" s="518"/>
      <c r="AF56" s="518"/>
      <c r="AG56" s="518"/>
      <c r="AH56" s="518"/>
      <c r="AI56" s="518"/>
      <c r="AJ56" s="518"/>
      <c r="AK56" s="518"/>
      <c r="AL56" s="518"/>
      <c r="AM56" s="518"/>
      <c r="AN56" s="518"/>
      <c r="AO56" s="518"/>
      <c r="AP56" s="518"/>
      <c r="AQ56" s="518"/>
      <c r="AR56" s="518"/>
      <c r="AS56" s="518"/>
      <c r="AT56" s="518"/>
    </row>
    <row r="57" spans="1:46" ht="12.75" customHeight="1">
      <c r="A57" s="2183"/>
      <c r="B57" s="2185" t="s">
        <v>1511</v>
      </c>
      <c r="C57" s="2071"/>
      <c r="D57" s="2180">
        <f t="shared" si="2"/>
        <v>0</v>
      </c>
      <c r="E57" s="518"/>
      <c r="F57" s="518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8"/>
      <c r="AB57" s="518"/>
      <c r="AC57" s="518"/>
      <c r="AD57" s="518"/>
      <c r="AE57" s="518"/>
      <c r="AF57" s="518"/>
      <c r="AG57" s="518"/>
      <c r="AH57" s="518"/>
      <c r="AI57" s="518"/>
      <c r="AJ57" s="518"/>
      <c r="AK57" s="518"/>
      <c r="AL57" s="518"/>
      <c r="AM57" s="518"/>
      <c r="AN57" s="518"/>
      <c r="AO57" s="518"/>
      <c r="AP57" s="518"/>
      <c r="AQ57" s="518"/>
      <c r="AR57" s="518"/>
      <c r="AS57" s="518"/>
      <c r="AT57" s="518"/>
    </row>
    <row r="58" spans="1:46" ht="12.75" customHeight="1">
      <c r="A58" s="2183"/>
      <c r="B58" s="2185" t="s">
        <v>1512</v>
      </c>
      <c r="C58" s="2071"/>
      <c r="D58" s="2180">
        <f t="shared" si="2"/>
        <v>0</v>
      </c>
      <c r="E58" s="518"/>
      <c r="F58" s="518"/>
      <c r="G58" s="518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8"/>
      <c r="AB58" s="518"/>
      <c r="AC58" s="518"/>
      <c r="AD58" s="518"/>
      <c r="AE58" s="518"/>
      <c r="AF58" s="518"/>
      <c r="AG58" s="518"/>
      <c r="AH58" s="518"/>
      <c r="AI58" s="518"/>
      <c r="AJ58" s="518"/>
      <c r="AK58" s="518"/>
      <c r="AL58" s="518"/>
      <c r="AM58" s="518"/>
      <c r="AN58" s="518"/>
      <c r="AO58" s="518"/>
      <c r="AP58" s="518"/>
      <c r="AQ58" s="518"/>
      <c r="AR58" s="518"/>
      <c r="AS58" s="518"/>
      <c r="AT58" s="518"/>
    </row>
    <row r="59" spans="1:46" ht="12.75" customHeight="1">
      <c r="A59" s="2191"/>
      <c r="B59" s="2185" t="s">
        <v>1513</v>
      </c>
      <c r="C59" s="2071"/>
      <c r="D59" s="2180">
        <f t="shared" si="2"/>
        <v>0</v>
      </c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8"/>
      <c r="AB59" s="518"/>
      <c r="AC59" s="518"/>
      <c r="AD59" s="518"/>
      <c r="AE59" s="518"/>
      <c r="AF59" s="518"/>
      <c r="AG59" s="518"/>
      <c r="AH59" s="518"/>
      <c r="AI59" s="518"/>
      <c r="AJ59" s="518"/>
      <c r="AK59" s="518"/>
      <c r="AL59" s="518"/>
      <c r="AM59" s="518"/>
      <c r="AN59" s="518"/>
      <c r="AO59" s="518"/>
      <c r="AP59" s="518"/>
      <c r="AQ59" s="518"/>
      <c r="AR59" s="518"/>
      <c r="AS59" s="518"/>
      <c r="AT59" s="518"/>
    </row>
    <row r="60" spans="1:46" ht="12.75" customHeight="1">
      <c r="A60" s="2191"/>
      <c r="B60" s="2185" t="s">
        <v>1514</v>
      </c>
      <c r="C60" s="2192"/>
      <c r="D60" s="2180">
        <f t="shared" si="2"/>
        <v>0</v>
      </c>
      <c r="E60" s="517"/>
      <c r="F60" s="517"/>
      <c r="G60" s="517"/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7"/>
      <c r="AB60" s="517"/>
      <c r="AC60" s="517"/>
      <c r="AD60" s="517"/>
      <c r="AE60" s="517"/>
      <c r="AF60" s="517"/>
      <c r="AG60" s="517"/>
      <c r="AH60" s="517"/>
      <c r="AI60" s="517"/>
      <c r="AJ60" s="517"/>
      <c r="AK60" s="517"/>
      <c r="AL60" s="517"/>
      <c r="AM60" s="517"/>
      <c r="AN60" s="517"/>
      <c r="AO60" s="517"/>
      <c r="AP60" s="517"/>
      <c r="AQ60" s="517"/>
      <c r="AR60" s="515"/>
      <c r="AS60" s="518"/>
      <c r="AT60" s="518"/>
    </row>
    <row r="61" spans="1:46" ht="12.75" customHeight="1">
      <c r="A61" s="2191"/>
      <c r="B61" s="2185" t="s">
        <v>1515</v>
      </c>
      <c r="C61" s="2193"/>
      <c r="D61" s="2180">
        <f t="shared" si="2"/>
        <v>0</v>
      </c>
      <c r="E61" s="518"/>
      <c r="F61" s="518"/>
      <c r="G61" s="518"/>
      <c r="H61" s="518"/>
      <c r="I61" s="518"/>
      <c r="J61" s="518"/>
      <c r="K61" s="518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8"/>
      <c r="AB61" s="518"/>
      <c r="AC61" s="518"/>
      <c r="AD61" s="518"/>
      <c r="AE61" s="518"/>
      <c r="AF61" s="518"/>
      <c r="AG61" s="518"/>
      <c r="AH61" s="518"/>
      <c r="AI61" s="518"/>
      <c r="AJ61" s="518"/>
      <c r="AK61" s="518"/>
      <c r="AL61" s="518"/>
      <c r="AM61" s="518"/>
      <c r="AN61" s="518"/>
      <c r="AO61" s="518"/>
      <c r="AP61" s="518"/>
      <c r="AQ61" s="518"/>
      <c r="AR61" s="518"/>
      <c r="AS61" s="518"/>
      <c r="AT61" s="518"/>
    </row>
    <row r="62" spans="1:46" ht="12.75" customHeight="1">
      <c r="A62" s="2191"/>
      <c r="B62" s="2185" t="s">
        <v>1516</v>
      </c>
      <c r="C62" s="2193"/>
      <c r="D62" s="2180">
        <f t="shared" si="2"/>
        <v>0</v>
      </c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8"/>
      <c r="AB62" s="518"/>
      <c r="AC62" s="518"/>
      <c r="AD62" s="518"/>
      <c r="AE62" s="518"/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</row>
    <row r="63" spans="1:46" ht="12.75" customHeight="1">
      <c r="A63" s="2191"/>
      <c r="B63" s="2185" t="s">
        <v>1517</v>
      </c>
      <c r="C63" s="2193"/>
      <c r="D63" s="2194">
        <f t="shared" si="2"/>
        <v>0</v>
      </c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/>
      <c r="AC63" s="518"/>
      <c r="AD63" s="518"/>
      <c r="AE63" s="518"/>
      <c r="AF63" s="518"/>
      <c r="AG63" s="518"/>
      <c r="AH63" s="518"/>
      <c r="AI63" s="518"/>
      <c r="AJ63" s="518"/>
      <c r="AK63" s="518"/>
      <c r="AL63" s="518"/>
      <c r="AM63" s="518"/>
      <c r="AN63" s="518"/>
      <c r="AO63" s="518"/>
      <c r="AP63" s="518"/>
      <c r="AQ63" s="518"/>
      <c r="AR63" s="518"/>
      <c r="AS63" s="518"/>
      <c r="AT63" s="518"/>
    </row>
    <row r="64" spans="1:46" ht="6" customHeight="1">
      <c r="A64" s="2191"/>
      <c r="C64" s="2193"/>
      <c r="D64" s="2195"/>
      <c r="E64" s="518"/>
      <c r="F64" s="518"/>
      <c r="G64" s="518"/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518"/>
      <c r="AF64" s="518"/>
      <c r="AG64" s="518"/>
      <c r="AH64" s="518"/>
      <c r="AI64" s="518"/>
      <c r="AJ64" s="518"/>
      <c r="AK64" s="518"/>
      <c r="AL64" s="518"/>
      <c r="AM64" s="518"/>
      <c r="AN64" s="518"/>
      <c r="AO64" s="518"/>
      <c r="AP64" s="518"/>
      <c r="AQ64" s="518"/>
      <c r="AR64" s="518"/>
      <c r="AS64" s="518"/>
      <c r="AT64" s="518"/>
    </row>
    <row r="65" spans="1:46" ht="12.75" customHeight="1">
      <c r="A65" s="2196" t="s">
        <v>1518</v>
      </c>
      <c r="C65" s="518"/>
      <c r="D65" s="2197">
        <f>SUM(D47:D63)</f>
        <v>86406284253</v>
      </c>
      <c r="E65" s="518"/>
      <c r="F65" s="518"/>
      <c r="G65" s="518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18"/>
      <c r="AM65" s="518"/>
      <c r="AN65" s="518"/>
      <c r="AO65" s="518"/>
      <c r="AP65" s="518"/>
      <c r="AQ65" s="518"/>
      <c r="AR65" s="518"/>
      <c r="AS65" s="518"/>
      <c r="AT65" s="518"/>
    </row>
    <row r="66" spans="1:46" ht="4.3499999999999996" customHeight="1">
      <c r="C66" s="518"/>
      <c r="D66" s="219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</row>
    <row r="67" spans="1:46" ht="12.75" customHeight="1">
      <c r="A67" s="2196" t="s">
        <v>1519</v>
      </c>
      <c r="C67" s="518"/>
      <c r="D67" s="2197">
        <f>D65+D43+D21</f>
        <v>-3616022042.3339844</v>
      </c>
      <c r="E67" s="518"/>
      <c r="F67" s="518"/>
      <c r="G67" s="518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8"/>
      <c r="AB67" s="518"/>
      <c r="AC67" s="518"/>
      <c r="AD67" s="518"/>
      <c r="AE67" s="518"/>
      <c r="AF67" s="518"/>
      <c r="AG67" s="518"/>
      <c r="AH67" s="518"/>
      <c r="AI67" s="518"/>
      <c r="AJ67" s="518"/>
      <c r="AK67" s="518"/>
      <c r="AL67" s="518"/>
      <c r="AM67" s="518"/>
      <c r="AN67" s="518"/>
      <c r="AO67" s="518"/>
      <c r="AP67" s="518"/>
      <c r="AQ67" s="518"/>
      <c r="AR67" s="518"/>
      <c r="AS67" s="518"/>
      <c r="AT67" s="518"/>
    </row>
    <row r="68" spans="1:46" ht="6.6" customHeight="1">
      <c r="C68" s="518"/>
      <c r="D68" s="2199"/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8"/>
      <c r="AB68" s="518"/>
      <c r="AC68" s="518"/>
      <c r="AD68" s="518"/>
      <c r="AE68" s="518"/>
      <c r="AF68" s="518"/>
      <c r="AG68" s="518"/>
      <c r="AH68" s="518"/>
      <c r="AI68" s="518"/>
      <c r="AJ68" s="518"/>
      <c r="AK68" s="518"/>
      <c r="AL68" s="518"/>
      <c r="AM68" s="518"/>
      <c r="AN68" s="518"/>
      <c r="AO68" s="518"/>
      <c r="AP68" s="518"/>
      <c r="AQ68" s="518"/>
      <c r="AR68" s="518"/>
      <c r="AS68" s="518"/>
      <c r="AT68" s="518"/>
    </row>
    <row r="69" spans="1:46" ht="12.75" customHeight="1">
      <c r="A69" s="2196" t="s">
        <v>1520</v>
      </c>
      <c r="C69" s="518"/>
      <c r="D69" s="2197">
        <f>E7</f>
        <v>2570121355</v>
      </c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18"/>
      <c r="AM69" s="518"/>
      <c r="AN69" s="518"/>
      <c r="AO69" s="518"/>
      <c r="AP69" s="518"/>
      <c r="AQ69" s="518"/>
      <c r="AR69" s="518"/>
      <c r="AS69" s="518"/>
      <c r="AT69" s="518"/>
    </row>
    <row r="70" spans="1:46" ht="3" customHeight="1">
      <c r="C70" s="518"/>
      <c r="D70" s="2199"/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8"/>
      <c r="AB70" s="518"/>
      <c r="AC70" s="518"/>
      <c r="AD70" s="518"/>
      <c r="AE70" s="518"/>
      <c r="AF70" s="518"/>
      <c r="AG70" s="518"/>
      <c r="AH70" s="518"/>
      <c r="AI70" s="518"/>
      <c r="AJ70" s="518"/>
      <c r="AK70" s="518"/>
      <c r="AL70" s="518"/>
      <c r="AM70" s="518"/>
      <c r="AN70" s="518"/>
      <c r="AO70" s="518"/>
      <c r="AP70" s="518"/>
      <c r="AQ70" s="518"/>
      <c r="AR70" s="518"/>
      <c r="AS70" s="518"/>
      <c r="AT70" s="518"/>
    </row>
    <row r="71" spans="1:46" ht="12.75" customHeight="1">
      <c r="A71" s="2196" t="s">
        <v>1521</v>
      </c>
      <c r="C71" s="518"/>
      <c r="D71" s="2197">
        <f>D67+D69</f>
        <v>-1045900687.3339844</v>
      </c>
      <c r="E71" s="2200">
        <f>SUM(E8:E69)</f>
        <v>-1651911870</v>
      </c>
      <c r="F71" s="2201">
        <f t="shared" ref="F71:AQ71" si="3">SUM(F8:F69)</f>
        <v>0</v>
      </c>
      <c r="G71" s="2201">
        <f t="shared" si="3"/>
        <v>0</v>
      </c>
      <c r="H71" s="2201"/>
      <c r="I71" s="2201">
        <f t="shared" si="3"/>
        <v>0</v>
      </c>
      <c r="J71" s="2201">
        <f t="shared" si="3"/>
        <v>0</v>
      </c>
      <c r="K71" s="2201"/>
      <c r="L71" s="2201">
        <f t="shared" si="3"/>
        <v>0</v>
      </c>
      <c r="M71" s="2201">
        <f t="shared" si="3"/>
        <v>0</v>
      </c>
      <c r="N71" s="2201">
        <f t="shared" si="3"/>
        <v>0</v>
      </c>
      <c r="O71" s="2201">
        <f t="shared" si="3"/>
        <v>-5196510174.0239582</v>
      </c>
      <c r="P71" s="2201"/>
      <c r="Q71" s="2201">
        <f t="shared" si="3"/>
        <v>0</v>
      </c>
      <c r="R71" s="2201">
        <f t="shared" si="3"/>
        <v>0</v>
      </c>
      <c r="S71" s="2201">
        <f t="shared" si="3"/>
        <v>0</v>
      </c>
      <c r="T71" s="2201">
        <f t="shared" si="3"/>
        <v>0</v>
      </c>
      <c r="U71" s="2201">
        <f t="shared" si="3"/>
        <v>0</v>
      </c>
      <c r="V71" s="2201">
        <f t="shared" si="3"/>
        <v>0</v>
      </c>
      <c r="W71" s="2201">
        <f t="shared" si="3"/>
        <v>0</v>
      </c>
      <c r="X71" s="2201">
        <f t="shared" si="3"/>
        <v>0</v>
      </c>
      <c r="Y71" s="2201"/>
      <c r="Z71" s="2201"/>
      <c r="AA71" s="2201">
        <f t="shared" si="3"/>
        <v>0</v>
      </c>
      <c r="AB71" s="2201">
        <f t="shared" si="3"/>
        <v>0</v>
      </c>
      <c r="AC71" s="2201">
        <f t="shared" si="3"/>
        <v>0</v>
      </c>
      <c r="AD71" s="2201">
        <f t="shared" si="3"/>
        <v>0</v>
      </c>
      <c r="AE71" s="2201">
        <f t="shared" si="3"/>
        <v>0</v>
      </c>
      <c r="AF71" s="2201">
        <f t="shared" si="3"/>
        <v>0</v>
      </c>
      <c r="AG71" s="2201">
        <f t="shared" si="3"/>
        <v>0</v>
      </c>
      <c r="AH71" s="2201">
        <f t="shared" si="3"/>
        <v>0</v>
      </c>
      <c r="AI71" s="2201">
        <f t="shared" si="3"/>
        <v>0</v>
      </c>
      <c r="AJ71" s="2201">
        <f t="shared" si="3"/>
        <v>0</v>
      </c>
      <c r="AK71" s="2201">
        <f t="shared" si="3"/>
        <v>0</v>
      </c>
      <c r="AL71" s="2201">
        <f t="shared" si="3"/>
        <v>0</v>
      </c>
      <c r="AM71" s="2201">
        <f t="shared" si="3"/>
        <v>0</v>
      </c>
      <c r="AN71" s="2201">
        <f t="shared" si="3"/>
        <v>0</v>
      </c>
      <c r="AO71" s="2201">
        <f t="shared" si="3"/>
        <v>0</v>
      </c>
      <c r="AP71" s="2201">
        <f t="shared" si="3"/>
        <v>0</v>
      </c>
      <c r="AQ71" s="2201">
        <f t="shared" si="3"/>
        <v>0</v>
      </c>
      <c r="AR71" s="518"/>
      <c r="AS71" s="518"/>
      <c r="AT71" s="518"/>
    </row>
    <row r="72" spans="1:46" ht="12.75" customHeight="1">
      <c r="C72" s="518"/>
      <c r="D72" s="515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8"/>
      <c r="AB72" s="518"/>
      <c r="AC72" s="518"/>
      <c r="AD72" s="518"/>
      <c r="AE72" s="518"/>
      <c r="AF72" s="518"/>
      <c r="AG72" s="518"/>
      <c r="AH72" s="518"/>
      <c r="AI72" s="518"/>
      <c r="AJ72" s="518"/>
      <c r="AK72" s="518"/>
      <c r="AL72" s="518"/>
      <c r="AM72" s="518"/>
      <c r="AN72" s="518"/>
      <c r="AO72" s="518"/>
      <c r="AP72" s="518"/>
      <c r="AQ72" s="518"/>
      <c r="AR72" s="518"/>
      <c r="AS72" s="518"/>
      <c r="AT72" s="518"/>
    </row>
    <row r="73" spans="1:46" ht="12.75" customHeight="1">
      <c r="C73" s="518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</row>
    <row r="74" spans="1:46" ht="12.75" customHeight="1">
      <c r="C74" s="2202" t="s">
        <v>1167</v>
      </c>
      <c r="D74" s="2203">
        <f>'BS Konsol-Des 24'!G11</f>
        <v>918209485</v>
      </c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8"/>
      <c r="AB74" s="518"/>
      <c r="AC74" s="518"/>
      <c r="AD74" s="518"/>
      <c r="AE74" s="518"/>
      <c r="AF74" s="518"/>
      <c r="AG74" s="518"/>
      <c r="AH74" s="518"/>
      <c r="AI74" s="518"/>
      <c r="AJ74" s="518"/>
      <c r="AK74" s="518"/>
      <c r="AL74" s="518"/>
      <c r="AM74" s="518"/>
      <c r="AN74" s="518"/>
      <c r="AO74" s="518"/>
      <c r="AP74" s="518"/>
      <c r="AQ74" s="518"/>
      <c r="AR74" s="518"/>
      <c r="AS74" s="518"/>
      <c r="AT74" s="518"/>
    </row>
    <row r="75" spans="1:46" ht="12.75" customHeight="1">
      <c r="C75" s="2202" t="s">
        <v>233</v>
      </c>
      <c r="D75" s="2204">
        <f>D74-D71</f>
        <v>1964110172.3339844</v>
      </c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8"/>
      <c r="AB75" s="518"/>
      <c r="AC75" s="518"/>
      <c r="AD75" s="518"/>
      <c r="AE75" s="518"/>
      <c r="AF75" s="518"/>
      <c r="AG75" s="518"/>
      <c r="AH75" s="518"/>
      <c r="AI75" s="518"/>
      <c r="AJ75" s="518"/>
      <c r="AK75" s="518"/>
      <c r="AL75" s="518"/>
      <c r="AM75" s="518"/>
      <c r="AN75" s="518"/>
      <c r="AO75" s="518"/>
      <c r="AP75" s="518"/>
      <c r="AQ75" s="518"/>
      <c r="AR75" s="518"/>
      <c r="AS75" s="518"/>
      <c r="AT75" s="518"/>
    </row>
    <row r="76" spans="1:46" ht="12.75" customHeight="1">
      <c r="C76" s="518"/>
      <c r="D76" s="518"/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  <c r="AC76" s="518"/>
      <c r="AD76" s="518"/>
      <c r="AE76" s="518"/>
      <c r="AF76" s="518"/>
      <c r="AG76" s="518"/>
      <c r="AH76" s="518"/>
      <c r="AI76" s="518"/>
      <c r="AJ76" s="518"/>
      <c r="AK76" s="518"/>
      <c r="AL76" s="518"/>
      <c r="AM76" s="518"/>
      <c r="AN76" s="518"/>
      <c r="AO76" s="518"/>
      <c r="AP76" s="518"/>
      <c r="AQ76" s="518"/>
      <c r="AR76" s="518"/>
      <c r="AS76" s="518"/>
      <c r="AT76" s="518"/>
    </row>
    <row r="77" spans="1:46" ht="12.75" customHeight="1">
      <c r="C77" s="518"/>
      <c r="D77" s="518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8"/>
      <c r="AB77" s="518"/>
      <c r="AC77" s="518"/>
      <c r="AD77" s="518"/>
      <c r="AE77" s="518"/>
      <c r="AF77" s="518"/>
      <c r="AG77" s="518"/>
      <c r="AH77" s="518"/>
      <c r="AI77" s="518"/>
      <c r="AJ77" s="518"/>
      <c r="AK77" s="518"/>
      <c r="AL77" s="518"/>
      <c r="AM77" s="518"/>
      <c r="AN77" s="518"/>
      <c r="AO77" s="518"/>
      <c r="AP77" s="518"/>
      <c r="AQ77" s="518"/>
      <c r="AR77" s="518"/>
      <c r="AS77" s="518"/>
      <c r="AT77" s="518"/>
    </row>
    <row r="78" spans="1:46" ht="12.75" customHeight="1">
      <c r="C78" s="518"/>
      <c r="D78" s="518"/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  <c r="AC78" s="518"/>
      <c r="AD78" s="518"/>
      <c r="AE78" s="518"/>
      <c r="AF78" s="518"/>
      <c r="AG78" s="518"/>
      <c r="AH78" s="518"/>
      <c r="AI78" s="518"/>
      <c r="AJ78" s="518"/>
      <c r="AK78" s="518"/>
      <c r="AL78" s="518"/>
      <c r="AM78" s="518"/>
      <c r="AN78" s="518"/>
      <c r="AO78" s="518"/>
      <c r="AP78" s="518"/>
      <c r="AQ78" s="518"/>
      <c r="AR78" s="518"/>
      <c r="AS78" s="518"/>
      <c r="AT78" s="518"/>
    </row>
    <row r="79" spans="1:46" ht="12.75" customHeight="1">
      <c r="C79" s="518"/>
      <c r="D79" s="518"/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  <c r="AC79" s="518"/>
      <c r="AD79" s="518"/>
      <c r="AE79" s="518"/>
      <c r="AF79" s="518"/>
      <c r="AG79" s="518"/>
      <c r="AH79" s="518"/>
      <c r="AI79" s="518"/>
      <c r="AJ79" s="518"/>
      <c r="AK79" s="518"/>
      <c r="AL79" s="518"/>
      <c r="AM79" s="518"/>
      <c r="AN79" s="518"/>
      <c r="AO79" s="518"/>
      <c r="AP79" s="518"/>
      <c r="AQ79" s="518"/>
      <c r="AR79" s="518"/>
      <c r="AS79" s="518"/>
      <c r="AT79" s="518"/>
    </row>
    <row r="80" spans="1:46" ht="12.75" customHeight="1">
      <c r="C80" s="518"/>
      <c r="D80" s="518"/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8"/>
      <c r="AB80" s="518"/>
      <c r="AC80" s="518"/>
      <c r="AD80" s="518"/>
      <c r="AE80" s="518"/>
      <c r="AF80" s="518"/>
      <c r="AG80" s="518"/>
      <c r="AH80" s="518"/>
      <c r="AI80" s="518"/>
      <c r="AJ80" s="518"/>
      <c r="AK80" s="518"/>
      <c r="AL80" s="518"/>
      <c r="AM80" s="518"/>
      <c r="AN80" s="518"/>
      <c r="AO80" s="518"/>
      <c r="AP80" s="518"/>
      <c r="AQ80" s="518"/>
      <c r="AR80" s="518"/>
      <c r="AS80" s="518"/>
      <c r="AT80" s="518"/>
    </row>
    <row r="81" spans="3:46" ht="12.75" customHeight="1"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8"/>
      <c r="AB81" s="518"/>
      <c r="AC81" s="518"/>
      <c r="AD81" s="518"/>
      <c r="AE81" s="518"/>
      <c r="AF81" s="518"/>
      <c r="AG81" s="518"/>
      <c r="AH81" s="518"/>
      <c r="AI81" s="518"/>
      <c r="AJ81" s="518"/>
      <c r="AK81" s="518"/>
      <c r="AL81" s="518"/>
      <c r="AM81" s="518"/>
      <c r="AN81" s="518"/>
      <c r="AO81" s="518"/>
      <c r="AP81" s="518"/>
      <c r="AQ81" s="518"/>
      <c r="AR81" s="518"/>
      <c r="AS81" s="518"/>
      <c r="AT81" s="518"/>
    </row>
    <row r="82" spans="3:46" ht="12.75" customHeight="1">
      <c r="C82" s="518"/>
      <c r="D82" s="518"/>
      <c r="E82" s="518"/>
      <c r="F82" s="518"/>
      <c r="G82" s="518"/>
      <c r="H82" s="518"/>
      <c r="I82" s="518"/>
      <c r="J82" s="518"/>
      <c r="K82" s="518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8"/>
      <c r="AB82" s="518"/>
      <c r="AC82" s="518"/>
      <c r="AD82" s="518"/>
      <c r="AE82" s="518"/>
      <c r="AF82" s="518"/>
      <c r="AG82" s="518"/>
      <c r="AH82" s="518"/>
      <c r="AI82" s="518"/>
      <c r="AJ82" s="518"/>
      <c r="AK82" s="518"/>
      <c r="AL82" s="518"/>
      <c r="AM82" s="518"/>
      <c r="AN82" s="518"/>
      <c r="AO82" s="518"/>
      <c r="AP82" s="518"/>
      <c r="AQ82" s="518"/>
      <c r="AR82" s="518"/>
      <c r="AS82" s="518"/>
      <c r="AT82" s="518"/>
    </row>
    <row r="83" spans="3:46" ht="12.75" customHeight="1">
      <c r="C83" s="518"/>
      <c r="D83" s="518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8"/>
      <c r="AB83" s="518"/>
      <c r="AC83" s="518"/>
      <c r="AD83" s="518"/>
      <c r="AE83" s="518"/>
      <c r="AF83" s="518"/>
      <c r="AG83" s="518"/>
      <c r="AH83" s="518"/>
      <c r="AI83" s="518"/>
      <c r="AJ83" s="518"/>
      <c r="AK83" s="518"/>
      <c r="AL83" s="518"/>
      <c r="AM83" s="518"/>
      <c r="AN83" s="518"/>
      <c r="AO83" s="518"/>
      <c r="AP83" s="518"/>
      <c r="AQ83" s="518"/>
      <c r="AR83" s="518"/>
      <c r="AS83" s="518"/>
      <c r="AT83" s="518"/>
    </row>
    <row r="84" spans="3:46" ht="12.75" customHeight="1">
      <c r="C84" s="518"/>
      <c r="D84" s="518"/>
      <c r="E84" s="518"/>
      <c r="F84" s="518"/>
      <c r="G84" s="518"/>
      <c r="H84" s="518"/>
      <c r="I84" s="518"/>
      <c r="J84" s="518"/>
      <c r="K84" s="518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8"/>
      <c r="AB84" s="518"/>
      <c r="AC84" s="518"/>
      <c r="AD84" s="518"/>
      <c r="AE84" s="518"/>
      <c r="AF84" s="518"/>
      <c r="AG84" s="518"/>
      <c r="AH84" s="518"/>
      <c r="AI84" s="518"/>
      <c r="AJ84" s="518"/>
      <c r="AK84" s="518"/>
      <c r="AL84" s="518"/>
      <c r="AM84" s="518"/>
      <c r="AN84" s="518"/>
      <c r="AO84" s="518"/>
      <c r="AP84" s="518"/>
      <c r="AQ84" s="518"/>
      <c r="AR84" s="518"/>
      <c r="AS84" s="518"/>
      <c r="AT84" s="518"/>
    </row>
    <row r="85" spans="3:46" ht="12.75" customHeight="1">
      <c r="C85" s="518"/>
      <c r="D85" s="518"/>
      <c r="E85" s="518"/>
      <c r="F85" s="518"/>
      <c r="G85" s="518"/>
      <c r="H85" s="518"/>
      <c r="I85" s="518"/>
      <c r="J85" s="518"/>
      <c r="K85" s="518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8"/>
      <c r="AB85" s="518"/>
      <c r="AC85" s="518"/>
      <c r="AD85" s="518"/>
      <c r="AE85" s="518"/>
      <c r="AF85" s="518"/>
      <c r="AG85" s="518"/>
      <c r="AH85" s="518"/>
      <c r="AI85" s="518"/>
      <c r="AJ85" s="518"/>
      <c r="AK85" s="518"/>
      <c r="AL85" s="518"/>
      <c r="AM85" s="518"/>
      <c r="AN85" s="518"/>
      <c r="AO85" s="518"/>
      <c r="AP85" s="518"/>
      <c r="AQ85" s="518"/>
      <c r="AR85" s="518"/>
      <c r="AS85" s="518"/>
      <c r="AT85" s="518"/>
    </row>
    <row r="86" spans="3:46" ht="12.75" customHeight="1">
      <c r="C86" s="518"/>
      <c r="D86" s="518"/>
      <c r="E86" s="518"/>
      <c r="F86" s="518"/>
      <c r="G86" s="518"/>
      <c r="H86" s="518"/>
      <c r="I86" s="518"/>
      <c r="J86" s="518"/>
      <c r="K86" s="518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8"/>
      <c r="AB86" s="518"/>
      <c r="AC86" s="518"/>
      <c r="AD86" s="518"/>
      <c r="AE86" s="518"/>
      <c r="AF86" s="518"/>
      <c r="AG86" s="518"/>
      <c r="AH86" s="518"/>
      <c r="AI86" s="518"/>
      <c r="AJ86" s="518"/>
      <c r="AK86" s="518"/>
      <c r="AL86" s="518"/>
      <c r="AM86" s="518"/>
      <c r="AN86" s="518"/>
      <c r="AO86" s="518"/>
      <c r="AP86" s="518"/>
      <c r="AQ86" s="518"/>
      <c r="AR86" s="518"/>
      <c r="AS86" s="518"/>
      <c r="AT86" s="518"/>
    </row>
    <row r="87" spans="3:46" ht="12.75" customHeight="1">
      <c r="C87" s="518"/>
      <c r="D87" s="518"/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8"/>
      <c r="AB87" s="518"/>
      <c r="AC87" s="518"/>
      <c r="AD87" s="518"/>
      <c r="AE87" s="518"/>
      <c r="AF87" s="518"/>
      <c r="AG87" s="518"/>
      <c r="AH87" s="518"/>
      <c r="AI87" s="518"/>
      <c r="AJ87" s="518"/>
      <c r="AK87" s="518"/>
      <c r="AL87" s="518"/>
      <c r="AM87" s="518"/>
      <c r="AN87" s="518"/>
      <c r="AO87" s="518"/>
      <c r="AP87" s="518"/>
      <c r="AQ87" s="518"/>
      <c r="AR87" s="518"/>
      <c r="AS87" s="518"/>
      <c r="AT87" s="518"/>
    </row>
    <row r="88" spans="3:46" ht="12.75" customHeight="1">
      <c r="C88" s="518"/>
      <c r="D88" s="518"/>
      <c r="E88" s="518"/>
      <c r="F88" s="518"/>
      <c r="G88" s="518"/>
      <c r="H88" s="518"/>
      <c r="I88" s="518"/>
      <c r="J88" s="518"/>
      <c r="K88" s="518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  <c r="AC88" s="518"/>
      <c r="AD88" s="518"/>
      <c r="AE88" s="518"/>
      <c r="AF88" s="518"/>
      <c r="AG88" s="518"/>
      <c r="AH88" s="518"/>
      <c r="AI88" s="518"/>
      <c r="AJ88" s="518"/>
      <c r="AK88" s="518"/>
      <c r="AL88" s="518"/>
      <c r="AM88" s="518"/>
      <c r="AN88" s="518"/>
      <c r="AO88" s="518"/>
      <c r="AP88" s="518"/>
      <c r="AQ88" s="518"/>
      <c r="AR88" s="518"/>
      <c r="AS88" s="518"/>
      <c r="AT88" s="518"/>
    </row>
    <row r="89" spans="3:46" ht="12.75" customHeight="1">
      <c r="C89" s="518"/>
      <c r="D89" s="518"/>
      <c r="E89" s="518"/>
      <c r="F89" s="518"/>
      <c r="G89" s="518"/>
      <c r="H89" s="518"/>
      <c r="I89" s="518"/>
      <c r="J89" s="518"/>
      <c r="K89" s="518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  <c r="AC89" s="518"/>
      <c r="AD89" s="518"/>
      <c r="AE89" s="518"/>
      <c r="AF89" s="518"/>
      <c r="AG89" s="518"/>
      <c r="AH89" s="518"/>
      <c r="AI89" s="518"/>
      <c r="AJ89" s="518"/>
      <c r="AK89" s="518"/>
      <c r="AL89" s="518"/>
      <c r="AM89" s="518"/>
      <c r="AN89" s="518"/>
      <c r="AO89" s="518"/>
      <c r="AP89" s="518"/>
      <c r="AQ89" s="518"/>
      <c r="AR89" s="518"/>
      <c r="AS89" s="518"/>
      <c r="AT89" s="518"/>
    </row>
    <row r="90" spans="3:46" ht="12.75" customHeight="1"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  <c r="AC90" s="518"/>
      <c r="AD90" s="518"/>
      <c r="AE90" s="518"/>
      <c r="AF90" s="518"/>
      <c r="AG90" s="518"/>
      <c r="AH90" s="518"/>
      <c r="AI90" s="518"/>
      <c r="AJ90" s="518"/>
      <c r="AK90" s="518"/>
      <c r="AL90" s="518"/>
      <c r="AM90" s="518"/>
      <c r="AN90" s="518"/>
      <c r="AO90" s="518"/>
      <c r="AP90" s="518"/>
      <c r="AQ90" s="518"/>
      <c r="AR90" s="518"/>
      <c r="AS90" s="518"/>
      <c r="AT90" s="518"/>
    </row>
    <row r="91" spans="3:46" ht="12.75" customHeight="1"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  <c r="AC91" s="518"/>
      <c r="AD91" s="518"/>
      <c r="AE91" s="518"/>
      <c r="AF91" s="518"/>
      <c r="AG91" s="518"/>
      <c r="AH91" s="518"/>
      <c r="AI91" s="518"/>
      <c r="AJ91" s="518"/>
      <c r="AK91" s="518"/>
      <c r="AL91" s="518"/>
      <c r="AM91" s="518"/>
      <c r="AN91" s="518"/>
      <c r="AO91" s="518"/>
      <c r="AP91" s="518"/>
      <c r="AQ91" s="518"/>
      <c r="AR91" s="518"/>
      <c r="AS91" s="518"/>
      <c r="AT91" s="518"/>
    </row>
    <row r="92" spans="3:46" ht="12.75" customHeight="1">
      <c r="C92" s="518"/>
      <c r="D92" s="518"/>
      <c r="E92" s="518"/>
      <c r="F92" s="518"/>
      <c r="G92" s="518"/>
      <c r="H92" s="518"/>
      <c r="I92" s="518"/>
      <c r="J92" s="518"/>
      <c r="K92" s="518"/>
      <c r="L92" s="51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  <c r="AB92" s="518"/>
      <c r="AC92" s="518"/>
      <c r="AD92" s="518"/>
      <c r="AE92" s="518"/>
      <c r="AF92" s="518"/>
      <c r="AG92" s="518"/>
      <c r="AH92" s="518"/>
      <c r="AI92" s="518"/>
      <c r="AJ92" s="518"/>
      <c r="AK92" s="518"/>
      <c r="AL92" s="518"/>
      <c r="AM92" s="518"/>
      <c r="AN92" s="518"/>
      <c r="AO92" s="518"/>
      <c r="AP92" s="518"/>
      <c r="AQ92" s="518"/>
      <c r="AR92" s="518"/>
      <c r="AS92" s="518"/>
      <c r="AT92" s="518"/>
    </row>
    <row r="93" spans="3:46" ht="12.75" customHeight="1">
      <c r="C93" s="518"/>
      <c r="D93" s="518"/>
      <c r="E93" s="518"/>
      <c r="F93" s="518"/>
      <c r="G93" s="518"/>
      <c r="H93" s="518"/>
      <c r="I93" s="518"/>
      <c r="J93" s="518"/>
      <c r="K93" s="518"/>
      <c r="L93" s="518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518"/>
      <c r="AF93" s="518"/>
      <c r="AG93" s="518"/>
      <c r="AH93" s="518"/>
      <c r="AI93" s="518"/>
      <c r="AJ93" s="518"/>
      <c r="AK93" s="518"/>
      <c r="AL93" s="518"/>
      <c r="AM93" s="518"/>
      <c r="AN93" s="518"/>
      <c r="AO93" s="518"/>
      <c r="AP93" s="518"/>
      <c r="AQ93" s="518"/>
      <c r="AR93" s="518"/>
      <c r="AS93" s="518"/>
      <c r="AT93" s="518"/>
    </row>
    <row r="94" spans="3:46" ht="12.75" customHeight="1">
      <c r="C94" s="518"/>
      <c r="D94" s="518"/>
      <c r="E94" s="518"/>
      <c r="F94" s="518"/>
      <c r="G94" s="518"/>
      <c r="H94" s="518"/>
      <c r="I94" s="518"/>
      <c r="J94" s="518"/>
      <c r="K94" s="518"/>
      <c r="L94" s="518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  <c r="AB94" s="518"/>
      <c r="AC94" s="518"/>
      <c r="AD94" s="518"/>
      <c r="AE94" s="518"/>
      <c r="AF94" s="518"/>
      <c r="AG94" s="518"/>
      <c r="AH94" s="518"/>
      <c r="AI94" s="518"/>
      <c r="AJ94" s="518"/>
      <c r="AK94" s="518"/>
      <c r="AL94" s="518"/>
      <c r="AM94" s="518"/>
      <c r="AN94" s="518"/>
      <c r="AO94" s="518"/>
      <c r="AP94" s="518"/>
      <c r="AQ94" s="518"/>
      <c r="AR94" s="518"/>
      <c r="AS94" s="518"/>
      <c r="AT94" s="518"/>
    </row>
    <row r="95" spans="3:46" ht="12.75" customHeight="1">
      <c r="C95" s="518"/>
      <c r="D95" s="518"/>
      <c r="E95" s="518"/>
      <c r="F95" s="518"/>
      <c r="G95" s="518"/>
      <c r="H95" s="518"/>
      <c r="I95" s="518"/>
      <c r="J95" s="518"/>
      <c r="K95" s="518"/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  <c r="AB95" s="518"/>
      <c r="AC95" s="518"/>
      <c r="AD95" s="518"/>
      <c r="AE95" s="518"/>
      <c r="AF95" s="518"/>
      <c r="AG95" s="518"/>
      <c r="AH95" s="518"/>
      <c r="AI95" s="518"/>
      <c r="AJ95" s="518"/>
      <c r="AK95" s="518"/>
      <c r="AL95" s="518"/>
      <c r="AM95" s="518"/>
      <c r="AN95" s="518"/>
      <c r="AO95" s="518"/>
      <c r="AP95" s="518"/>
      <c r="AQ95" s="518"/>
      <c r="AR95" s="518"/>
      <c r="AS95" s="518"/>
      <c r="AT95" s="518"/>
    </row>
    <row r="96" spans="3:46" ht="12.75" customHeight="1"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  <c r="R96" s="518"/>
      <c r="S96" s="518"/>
      <c r="T96" s="518"/>
      <c r="U96" s="518"/>
      <c r="V96" s="518"/>
      <c r="W96" s="518"/>
      <c r="X96" s="518"/>
      <c r="Y96" s="518"/>
      <c r="Z96" s="518"/>
      <c r="AA96" s="518"/>
      <c r="AB96" s="518"/>
      <c r="AC96" s="518"/>
      <c r="AD96" s="518"/>
      <c r="AE96" s="518"/>
      <c r="AF96" s="518"/>
      <c r="AG96" s="518"/>
      <c r="AH96" s="518"/>
      <c r="AI96" s="518"/>
      <c r="AJ96" s="518"/>
      <c r="AK96" s="518"/>
      <c r="AL96" s="518"/>
      <c r="AM96" s="518"/>
      <c r="AN96" s="518"/>
      <c r="AO96" s="518"/>
      <c r="AP96" s="518"/>
      <c r="AQ96" s="518"/>
      <c r="AR96" s="518"/>
      <c r="AS96" s="518"/>
      <c r="AT96" s="518"/>
    </row>
    <row r="97" spans="3:46" ht="12.75" customHeight="1">
      <c r="C97" s="518"/>
      <c r="D97" s="518"/>
      <c r="E97" s="518"/>
      <c r="F97" s="518"/>
      <c r="G97" s="518"/>
      <c r="H97" s="518"/>
      <c r="I97" s="518"/>
      <c r="J97" s="518"/>
      <c r="K97" s="518"/>
      <c r="L97" s="518"/>
      <c r="M97" s="518"/>
      <c r="N97" s="518"/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  <c r="Z97" s="518"/>
      <c r="AA97" s="518"/>
      <c r="AB97" s="518"/>
      <c r="AC97" s="518"/>
      <c r="AD97" s="518"/>
      <c r="AE97" s="518"/>
      <c r="AF97" s="518"/>
      <c r="AG97" s="518"/>
      <c r="AH97" s="518"/>
      <c r="AI97" s="518"/>
      <c r="AJ97" s="518"/>
      <c r="AK97" s="518"/>
      <c r="AL97" s="518"/>
      <c r="AM97" s="518"/>
      <c r="AN97" s="518"/>
      <c r="AO97" s="518"/>
      <c r="AP97" s="518"/>
      <c r="AQ97" s="518"/>
      <c r="AR97" s="518"/>
      <c r="AS97" s="518"/>
      <c r="AT97" s="518"/>
    </row>
    <row r="98" spans="3:46" ht="12.75" customHeight="1"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8"/>
      <c r="O98" s="518"/>
      <c r="P98" s="518"/>
      <c r="Q98" s="518"/>
      <c r="R98" s="518"/>
      <c r="S98" s="518"/>
      <c r="T98" s="518"/>
      <c r="U98" s="518"/>
      <c r="V98" s="518"/>
      <c r="W98" s="518"/>
      <c r="X98" s="518"/>
      <c r="Y98" s="518"/>
      <c r="Z98" s="518"/>
      <c r="AA98" s="518"/>
      <c r="AB98" s="518"/>
      <c r="AC98" s="518"/>
      <c r="AD98" s="518"/>
      <c r="AE98" s="518"/>
      <c r="AF98" s="518"/>
      <c r="AG98" s="518"/>
      <c r="AH98" s="518"/>
      <c r="AI98" s="518"/>
      <c r="AJ98" s="518"/>
      <c r="AK98" s="518"/>
      <c r="AL98" s="518"/>
      <c r="AM98" s="518"/>
      <c r="AN98" s="518"/>
      <c r="AO98" s="518"/>
      <c r="AP98" s="518"/>
      <c r="AQ98" s="518"/>
      <c r="AR98" s="518"/>
      <c r="AS98" s="518"/>
      <c r="AT98" s="518"/>
    </row>
    <row r="99" spans="3:46" ht="12.75" customHeight="1"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518"/>
      <c r="U99" s="518"/>
      <c r="V99" s="518"/>
      <c r="W99" s="518"/>
      <c r="X99" s="518"/>
      <c r="Y99" s="518"/>
      <c r="Z99" s="518"/>
      <c r="AA99" s="518"/>
      <c r="AB99" s="518"/>
      <c r="AC99" s="518"/>
      <c r="AD99" s="518"/>
      <c r="AE99" s="518"/>
      <c r="AF99" s="518"/>
      <c r="AG99" s="518"/>
      <c r="AH99" s="518"/>
      <c r="AI99" s="518"/>
      <c r="AJ99" s="518"/>
      <c r="AK99" s="518"/>
      <c r="AL99" s="518"/>
      <c r="AM99" s="518"/>
      <c r="AN99" s="518"/>
      <c r="AO99" s="518"/>
      <c r="AP99" s="518"/>
      <c r="AQ99" s="518"/>
      <c r="AR99" s="518"/>
      <c r="AS99" s="518"/>
      <c r="AT99" s="518"/>
    </row>
    <row r="100" spans="3:46" ht="12.75" customHeight="1">
      <c r="C100" s="518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  <c r="AC100" s="518"/>
      <c r="AD100" s="518"/>
      <c r="AE100" s="518"/>
      <c r="AF100" s="518"/>
      <c r="AG100" s="518"/>
      <c r="AH100" s="518"/>
      <c r="AI100" s="518"/>
      <c r="AJ100" s="518"/>
      <c r="AK100" s="518"/>
      <c r="AL100" s="518"/>
      <c r="AM100" s="518"/>
      <c r="AN100" s="518"/>
      <c r="AO100" s="518"/>
      <c r="AP100" s="518"/>
      <c r="AQ100" s="518"/>
      <c r="AR100" s="518"/>
      <c r="AS100" s="518"/>
      <c r="AT100" s="518"/>
    </row>
    <row r="101" spans="3:46" ht="12.75" customHeight="1">
      <c r="C101" s="518"/>
      <c r="D101" s="518"/>
      <c r="E101" s="518"/>
      <c r="F101" s="518"/>
      <c r="G101" s="518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  <c r="AA101" s="518"/>
      <c r="AB101" s="518"/>
      <c r="AC101" s="518"/>
      <c r="AD101" s="518"/>
      <c r="AE101" s="518"/>
      <c r="AF101" s="518"/>
      <c r="AG101" s="518"/>
      <c r="AH101" s="518"/>
      <c r="AI101" s="518"/>
      <c r="AJ101" s="518"/>
      <c r="AK101" s="518"/>
      <c r="AL101" s="518"/>
      <c r="AM101" s="518"/>
      <c r="AN101" s="518"/>
      <c r="AO101" s="518"/>
      <c r="AP101" s="518"/>
      <c r="AQ101" s="518"/>
      <c r="AR101" s="518"/>
      <c r="AS101" s="518"/>
      <c r="AT101" s="518"/>
    </row>
    <row r="102" spans="3:46" ht="12.75" customHeight="1">
      <c r="C102" s="518"/>
      <c r="D102" s="518"/>
      <c r="E102" s="518"/>
      <c r="F102" s="518"/>
      <c r="G102" s="518"/>
      <c r="H102" s="518"/>
      <c r="I102" s="518"/>
      <c r="J102" s="518"/>
      <c r="K102" s="518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  <c r="AA102" s="518"/>
      <c r="AB102" s="518"/>
      <c r="AC102" s="518"/>
      <c r="AD102" s="518"/>
      <c r="AE102" s="518"/>
      <c r="AF102" s="518"/>
      <c r="AG102" s="518"/>
      <c r="AH102" s="518"/>
      <c r="AI102" s="518"/>
      <c r="AJ102" s="518"/>
      <c r="AK102" s="518"/>
      <c r="AL102" s="518"/>
      <c r="AM102" s="518"/>
      <c r="AN102" s="518"/>
      <c r="AO102" s="518"/>
      <c r="AP102" s="518"/>
      <c r="AQ102" s="518"/>
      <c r="AR102" s="518"/>
      <c r="AS102" s="518"/>
      <c r="AT102" s="518"/>
    </row>
    <row r="103" spans="3:46" ht="12.75" customHeight="1">
      <c r="C103" s="518"/>
      <c r="D103" s="518"/>
      <c r="E103" s="518"/>
      <c r="F103" s="518"/>
      <c r="G103" s="518"/>
      <c r="H103" s="518"/>
      <c r="I103" s="518"/>
      <c r="J103" s="518"/>
      <c r="K103" s="518"/>
      <c r="L103" s="518"/>
      <c r="M103" s="518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8"/>
      <c r="Y103" s="518"/>
      <c r="Z103" s="518"/>
      <c r="AA103" s="518"/>
      <c r="AB103" s="518"/>
      <c r="AC103" s="518"/>
      <c r="AD103" s="518"/>
      <c r="AE103" s="518"/>
      <c r="AF103" s="518"/>
      <c r="AG103" s="518"/>
      <c r="AH103" s="518"/>
      <c r="AI103" s="518"/>
      <c r="AJ103" s="518"/>
      <c r="AK103" s="518"/>
      <c r="AL103" s="518"/>
      <c r="AM103" s="518"/>
      <c r="AN103" s="518"/>
      <c r="AO103" s="518"/>
      <c r="AP103" s="518"/>
      <c r="AQ103" s="518"/>
      <c r="AR103" s="518"/>
      <c r="AS103" s="518"/>
      <c r="AT103" s="518"/>
    </row>
    <row r="104" spans="3:46" ht="12.75" customHeight="1">
      <c r="C104" s="518"/>
      <c r="D104" s="518"/>
      <c r="E104" s="518"/>
      <c r="F104" s="518"/>
      <c r="G104" s="518"/>
      <c r="H104" s="518"/>
      <c r="I104" s="518"/>
      <c r="J104" s="518"/>
      <c r="K104" s="518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  <c r="AA104" s="518"/>
      <c r="AB104" s="518"/>
      <c r="AC104" s="518"/>
      <c r="AD104" s="518"/>
      <c r="AE104" s="518"/>
      <c r="AF104" s="518"/>
      <c r="AG104" s="518"/>
      <c r="AH104" s="518"/>
      <c r="AI104" s="518"/>
      <c r="AJ104" s="518"/>
      <c r="AK104" s="518"/>
      <c r="AL104" s="518"/>
      <c r="AM104" s="518"/>
      <c r="AN104" s="518"/>
      <c r="AO104" s="518"/>
      <c r="AP104" s="518"/>
      <c r="AQ104" s="518"/>
      <c r="AR104" s="518"/>
      <c r="AS104" s="518"/>
      <c r="AT104" s="518"/>
    </row>
    <row r="105" spans="3:46" ht="12.75" customHeight="1">
      <c r="C105" s="518"/>
      <c r="D105" s="518"/>
      <c r="E105" s="518"/>
      <c r="F105" s="518"/>
      <c r="G105" s="518"/>
      <c r="H105" s="518"/>
      <c r="I105" s="518"/>
      <c r="J105" s="518"/>
      <c r="K105" s="518"/>
      <c r="L105" s="518"/>
      <c r="M105" s="518"/>
      <c r="N105" s="518"/>
      <c r="O105" s="518"/>
      <c r="P105" s="518"/>
      <c r="Q105" s="518"/>
      <c r="R105" s="518"/>
      <c r="S105" s="518"/>
      <c r="T105" s="518"/>
      <c r="U105" s="518"/>
      <c r="V105" s="518"/>
      <c r="W105" s="518"/>
      <c r="X105" s="518"/>
      <c r="Y105" s="518"/>
      <c r="Z105" s="518"/>
      <c r="AA105" s="518"/>
      <c r="AB105" s="518"/>
      <c r="AC105" s="518"/>
      <c r="AD105" s="518"/>
      <c r="AE105" s="518"/>
      <c r="AF105" s="518"/>
      <c r="AG105" s="518"/>
      <c r="AH105" s="518"/>
      <c r="AI105" s="518"/>
      <c r="AJ105" s="518"/>
      <c r="AK105" s="518"/>
      <c r="AL105" s="518"/>
      <c r="AM105" s="518"/>
      <c r="AN105" s="518"/>
      <c r="AO105" s="518"/>
      <c r="AP105" s="518"/>
      <c r="AQ105" s="518"/>
      <c r="AR105" s="518"/>
      <c r="AS105" s="518"/>
      <c r="AT105" s="518"/>
    </row>
    <row r="106" spans="3:46" ht="12.75" customHeight="1"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518"/>
      <c r="T106" s="518"/>
      <c r="U106" s="518"/>
      <c r="V106" s="518"/>
      <c r="W106" s="518"/>
      <c r="X106" s="518"/>
      <c r="Y106" s="518"/>
      <c r="Z106" s="518"/>
      <c r="AA106" s="518"/>
      <c r="AB106" s="518"/>
      <c r="AC106" s="518"/>
      <c r="AD106" s="518"/>
      <c r="AE106" s="518"/>
      <c r="AF106" s="518"/>
      <c r="AG106" s="518"/>
      <c r="AH106" s="518"/>
      <c r="AI106" s="518"/>
      <c r="AJ106" s="518"/>
      <c r="AK106" s="518"/>
      <c r="AL106" s="518"/>
      <c r="AM106" s="518"/>
      <c r="AN106" s="518"/>
      <c r="AO106" s="518"/>
      <c r="AP106" s="518"/>
      <c r="AQ106" s="518"/>
      <c r="AR106" s="518"/>
      <c r="AS106" s="518"/>
      <c r="AT106" s="518"/>
    </row>
    <row r="107" spans="3:46" ht="12.75" customHeight="1">
      <c r="C107" s="518"/>
      <c r="D107" s="518"/>
      <c r="E107" s="518"/>
      <c r="F107" s="518"/>
      <c r="G107" s="518"/>
      <c r="H107" s="518"/>
      <c r="I107" s="518"/>
      <c r="J107" s="518"/>
      <c r="K107" s="518"/>
      <c r="L107" s="518"/>
      <c r="M107" s="518"/>
      <c r="N107" s="518"/>
      <c r="O107" s="518"/>
      <c r="P107" s="518"/>
      <c r="Q107" s="518"/>
      <c r="R107" s="518"/>
      <c r="S107" s="518"/>
      <c r="T107" s="518"/>
      <c r="U107" s="518"/>
      <c r="V107" s="518"/>
      <c r="W107" s="518"/>
      <c r="X107" s="518"/>
      <c r="Y107" s="518"/>
      <c r="Z107" s="518"/>
      <c r="AA107" s="518"/>
      <c r="AB107" s="518"/>
      <c r="AC107" s="518"/>
      <c r="AD107" s="518"/>
      <c r="AE107" s="518"/>
      <c r="AF107" s="518"/>
      <c r="AG107" s="518"/>
      <c r="AH107" s="518"/>
      <c r="AI107" s="518"/>
      <c r="AJ107" s="518"/>
      <c r="AK107" s="518"/>
      <c r="AL107" s="518"/>
      <c r="AM107" s="518"/>
      <c r="AN107" s="518"/>
      <c r="AO107" s="518"/>
      <c r="AP107" s="518"/>
      <c r="AQ107" s="518"/>
      <c r="AR107" s="518"/>
      <c r="AS107" s="518"/>
      <c r="AT107" s="518"/>
    </row>
    <row r="108" spans="3:46" ht="12.75" customHeight="1">
      <c r="C108" s="518"/>
      <c r="D108" s="518"/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518"/>
      <c r="P108" s="518"/>
      <c r="Q108" s="518"/>
      <c r="R108" s="518"/>
      <c r="S108" s="518"/>
      <c r="T108" s="518"/>
      <c r="U108" s="518"/>
      <c r="V108" s="518"/>
      <c r="W108" s="518"/>
      <c r="X108" s="518"/>
      <c r="Y108" s="518"/>
      <c r="Z108" s="518"/>
      <c r="AA108" s="518"/>
      <c r="AB108" s="518"/>
      <c r="AC108" s="518"/>
      <c r="AD108" s="518"/>
      <c r="AE108" s="518"/>
      <c r="AF108" s="518"/>
      <c r="AG108" s="518"/>
      <c r="AH108" s="518"/>
      <c r="AI108" s="518"/>
      <c r="AJ108" s="518"/>
      <c r="AK108" s="518"/>
      <c r="AL108" s="518"/>
      <c r="AM108" s="518"/>
      <c r="AN108" s="518"/>
      <c r="AO108" s="518"/>
      <c r="AP108" s="518"/>
      <c r="AQ108" s="518"/>
      <c r="AR108" s="518"/>
      <c r="AS108" s="518"/>
      <c r="AT108" s="518"/>
    </row>
    <row r="109" spans="3:46" ht="12.75" customHeight="1"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518"/>
      <c r="R109" s="518"/>
      <c r="S109" s="518"/>
      <c r="T109" s="518"/>
      <c r="U109" s="518"/>
      <c r="V109" s="518"/>
      <c r="W109" s="518"/>
      <c r="X109" s="518"/>
      <c r="Y109" s="518"/>
      <c r="Z109" s="518"/>
      <c r="AA109" s="518"/>
      <c r="AB109" s="518"/>
      <c r="AC109" s="518"/>
      <c r="AD109" s="518"/>
      <c r="AE109" s="518"/>
      <c r="AF109" s="518"/>
      <c r="AG109" s="518"/>
      <c r="AH109" s="518"/>
      <c r="AI109" s="518"/>
      <c r="AJ109" s="518"/>
      <c r="AK109" s="518"/>
      <c r="AL109" s="518"/>
      <c r="AM109" s="518"/>
      <c r="AN109" s="518"/>
      <c r="AO109" s="518"/>
      <c r="AP109" s="518"/>
      <c r="AQ109" s="518"/>
      <c r="AR109" s="518"/>
      <c r="AS109" s="518"/>
      <c r="AT109" s="518"/>
    </row>
    <row r="110" spans="3:46" ht="12.75" customHeight="1">
      <c r="C110" s="518"/>
      <c r="D110" s="518"/>
      <c r="E110" s="518"/>
      <c r="F110" s="518"/>
      <c r="G110" s="518"/>
      <c r="H110" s="518"/>
      <c r="I110" s="518"/>
      <c r="J110" s="518"/>
      <c r="K110" s="518"/>
      <c r="L110" s="518"/>
      <c r="M110" s="518"/>
      <c r="N110" s="518"/>
      <c r="O110" s="518"/>
      <c r="P110" s="518"/>
      <c r="Q110" s="518"/>
      <c r="R110" s="518"/>
      <c r="S110" s="518"/>
      <c r="T110" s="518"/>
      <c r="U110" s="518"/>
      <c r="V110" s="518"/>
      <c r="W110" s="518"/>
      <c r="X110" s="518"/>
      <c r="Y110" s="518"/>
      <c r="Z110" s="518"/>
      <c r="AA110" s="518"/>
      <c r="AB110" s="518"/>
      <c r="AC110" s="518"/>
      <c r="AD110" s="518"/>
      <c r="AE110" s="518"/>
      <c r="AF110" s="518"/>
      <c r="AG110" s="518"/>
      <c r="AH110" s="518"/>
      <c r="AI110" s="518"/>
      <c r="AJ110" s="518"/>
      <c r="AK110" s="518"/>
      <c r="AL110" s="518"/>
      <c r="AM110" s="518"/>
      <c r="AN110" s="518"/>
      <c r="AO110" s="518"/>
      <c r="AP110" s="518"/>
      <c r="AQ110" s="518"/>
      <c r="AR110" s="518"/>
      <c r="AS110" s="518"/>
      <c r="AT110" s="518"/>
    </row>
    <row r="111" spans="3:46" ht="12.75" customHeight="1">
      <c r="C111" s="518"/>
      <c r="D111" s="518"/>
      <c r="E111" s="518"/>
      <c r="F111" s="518"/>
      <c r="G111" s="518"/>
      <c r="H111" s="518"/>
      <c r="I111" s="518"/>
      <c r="J111" s="518"/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8"/>
      <c r="V111" s="518"/>
      <c r="W111" s="518"/>
      <c r="X111" s="518"/>
      <c r="Y111" s="518"/>
      <c r="Z111" s="518"/>
      <c r="AA111" s="518"/>
      <c r="AB111" s="518"/>
      <c r="AC111" s="518"/>
      <c r="AD111" s="518"/>
      <c r="AE111" s="518"/>
      <c r="AF111" s="518"/>
      <c r="AG111" s="518"/>
      <c r="AH111" s="518"/>
      <c r="AI111" s="518"/>
      <c r="AJ111" s="518"/>
      <c r="AK111" s="518"/>
      <c r="AL111" s="518"/>
      <c r="AM111" s="518"/>
      <c r="AN111" s="518"/>
      <c r="AO111" s="518"/>
      <c r="AP111" s="518"/>
      <c r="AQ111" s="518"/>
      <c r="AR111" s="518"/>
      <c r="AS111" s="518"/>
      <c r="AT111" s="518"/>
    </row>
    <row r="112" spans="3:46" ht="12.75" customHeight="1">
      <c r="C112" s="518"/>
      <c r="D112" s="518"/>
      <c r="E112" s="518"/>
      <c r="F112" s="518"/>
      <c r="G112" s="518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8"/>
      <c r="V112" s="518"/>
      <c r="W112" s="518"/>
      <c r="X112" s="518"/>
      <c r="Y112" s="518"/>
      <c r="Z112" s="518"/>
      <c r="AA112" s="518"/>
      <c r="AB112" s="518"/>
      <c r="AC112" s="518"/>
      <c r="AD112" s="518"/>
      <c r="AE112" s="518"/>
      <c r="AF112" s="518"/>
      <c r="AG112" s="518"/>
      <c r="AH112" s="518"/>
      <c r="AI112" s="518"/>
      <c r="AJ112" s="518"/>
      <c r="AK112" s="518"/>
      <c r="AL112" s="518"/>
      <c r="AM112" s="518"/>
      <c r="AN112" s="518"/>
      <c r="AO112" s="518"/>
      <c r="AP112" s="518"/>
      <c r="AQ112" s="518"/>
      <c r="AR112" s="518"/>
      <c r="AS112" s="518"/>
      <c r="AT112" s="518"/>
    </row>
    <row r="113" spans="3:46" ht="12.75" customHeight="1">
      <c r="C113" s="518"/>
      <c r="D113" s="518"/>
      <c r="E113" s="518"/>
      <c r="F113" s="518"/>
      <c r="G113" s="518"/>
      <c r="H113" s="518"/>
      <c r="I113" s="518"/>
      <c r="J113" s="518"/>
      <c r="K113" s="518"/>
      <c r="L113" s="518"/>
      <c r="M113" s="518"/>
      <c r="N113" s="518"/>
      <c r="O113" s="518"/>
      <c r="P113" s="518"/>
      <c r="Q113" s="518"/>
      <c r="R113" s="518"/>
      <c r="S113" s="518"/>
      <c r="T113" s="518"/>
      <c r="U113" s="518"/>
      <c r="V113" s="518"/>
      <c r="W113" s="518"/>
      <c r="X113" s="518"/>
      <c r="Y113" s="518"/>
      <c r="Z113" s="518"/>
      <c r="AA113" s="518"/>
      <c r="AB113" s="518"/>
      <c r="AC113" s="518"/>
      <c r="AD113" s="518"/>
      <c r="AE113" s="518"/>
      <c r="AF113" s="518"/>
      <c r="AG113" s="518"/>
      <c r="AH113" s="518"/>
      <c r="AI113" s="518"/>
      <c r="AJ113" s="518"/>
      <c r="AK113" s="518"/>
      <c r="AL113" s="518"/>
      <c r="AM113" s="518"/>
      <c r="AN113" s="518"/>
      <c r="AO113" s="518"/>
      <c r="AP113" s="518"/>
      <c r="AQ113" s="518"/>
      <c r="AR113" s="518"/>
      <c r="AS113" s="518"/>
      <c r="AT113" s="518"/>
    </row>
    <row r="114" spans="3:46" ht="12.75" customHeight="1">
      <c r="C114" s="518"/>
      <c r="D114" s="518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8"/>
      <c r="V114" s="518"/>
      <c r="W114" s="518"/>
      <c r="X114" s="518"/>
      <c r="Y114" s="518"/>
      <c r="Z114" s="518"/>
      <c r="AA114" s="518"/>
      <c r="AB114" s="518"/>
      <c r="AC114" s="518"/>
      <c r="AD114" s="518"/>
      <c r="AE114" s="518"/>
      <c r="AF114" s="518"/>
      <c r="AG114" s="518"/>
      <c r="AH114" s="518"/>
      <c r="AI114" s="518"/>
      <c r="AJ114" s="518"/>
      <c r="AK114" s="518"/>
      <c r="AL114" s="518"/>
      <c r="AM114" s="518"/>
      <c r="AN114" s="518"/>
      <c r="AO114" s="518"/>
      <c r="AP114" s="518"/>
      <c r="AQ114" s="518"/>
      <c r="AR114" s="518"/>
      <c r="AS114" s="518"/>
      <c r="AT114" s="518"/>
    </row>
    <row r="115" spans="3:46" ht="12.75" customHeight="1"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  <c r="AA115" s="518"/>
      <c r="AB115" s="518"/>
      <c r="AC115" s="518"/>
      <c r="AD115" s="518"/>
      <c r="AE115" s="518"/>
      <c r="AF115" s="518"/>
      <c r="AG115" s="518"/>
      <c r="AH115" s="518"/>
      <c r="AI115" s="518"/>
      <c r="AJ115" s="518"/>
      <c r="AK115" s="518"/>
      <c r="AL115" s="518"/>
      <c r="AM115" s="518"/>
      <c r="AN115" s="518"/>
      <c r="AO115" s="518"/>
      <c r="AP115" s="518"/>
      <c r="AQ115" s="518"/>
      <c r="AR115" s="518"/>
      <c r="AS115" s="518"/>
      <c r="AT115" s="518"/>
    </row>
    <row r="116" spans="3:46" ht="12.75" customHeight="1">
      <c r="C116" s="518"/>
      <c r="D116" s="518"/>
      <c r="E116" s="518"/>
      <c r="F116" s="518"/>
      <c r="G116" s="518"/>
      <c r="H116" s="518"/>
      <c r="I116" s="518"/>
      <c r="J116" s="518"/>
      <c r="K116" s="518"/>
      <c r="L116" s="518"/>
      <c r="M116" s="518"/>
      <c r="N116" s="518"/>
      <c r="O116" s="518"/>
      <c r="P116" s="518"/>
      <c r="Q116" s="518"/>
      <c r="R116" s="518"/>
      <c r="S116" s="518"/>
      <c r="T116" s="518"/>
      <c r="U116" s="518"/>
      <c r="V116" s="518"/>
      <c r="W116" s="518"/>
      <c r="X116" s="518"/>
      <c r="Y116" s="518"/>
      <c r="Z116" s="518"/>
      <c r="AA116" s="518"/>
      <c r="AB116" s="518"/>
      <c r="AC116" s="518"/>
      <c r="AD116" s="518"/>
      <c r="AE116" s="518"/>
      <c r="AF116" s="518"/>
      <c r="AG116" s="518"/>
      <c r="AH116" s="518"/>
      <c r="AI116" s="518"/>
      <c r="AJ116" s="518"/>
      <c r="AK116" s="518"/>
      <c r="AL116" s="518"/>
      <c r="AM116" s="518"/>
      <c r="AN116" s="518"/>
      <c r="AO116" s="518"/>
      <c r="AP116" s="518"/>
      <c r="AQ116" s="518"/>
      <c r="AR116" s="518"/>
      <c r="AS116" s="518"/>
      <c r="AT116" s="518"/>
    </row>
    <row r="117" spans="3:46" ht="12.75" customHeight="1">
      <c r="C117" s="518"/>
      <c r="D117" s="518"/>
      <c r="E117" s="518"/>
      <c r="F117" s="518"/>
      <c r="G117" s="518"/>
      <c r="H117" s="518"/>
      <c r="I117" s="518"/>
      <c r="J117" s="518"/>
      <c r="K117" s="518"/>
      <c r="L117" s="518"/>
      <c r="M117" s="518"/>
      <c r="N117" s="518"/>
      <c r="O117" s="518"/>
      <c r="P117" s="518"/>
      <c r="Q117" s="518"/>
      <c r="R117" s="518"/>
      <c r="S117" s="518"/>
      <c r="T117" s="518"/>
      <c r="U117" s="518"/>
      <c r="V117" s="518"/>
      <c r="W117" s="518"/>
      <c r="X117" s="518"/>
      <c r="Y117" s="518"/>
      <c r="Z117" s="518"/>
      <c r="AA117" s="518"/>
      <c r="AB117" s="518"/>
      <c r="AC117" s="518"/>
      <c r="AD117" s="518"/>
      <c r="AE117" s="518"/>
      <c r="AF117" s="518"/>
      <c r="AG117" s="518"/>
      <c r="AH117" s="518"/>
      <c r="AI117" s="518"/>
      <c r="AJ117" s="518"/>
      <c r="AK117" s="518"/>
      <c r="AL117" s="518"/>
      <c r="AM117" s="518"/>
      <c r="AN117" s="518"/>
      <c r="AO117" s="518"/>
      <c r="AP117" s="518"/>
      <c r="AQ117" s="518"/>
      <c r="AR117" s="518"/>
      <c r="AS117" s="518"/>
      <c r="AT117" s="518"/>
    </row>
    <row r="118" spans="3:46" ht="12.75" customHeight="1">
      <c r="C118" s="518"/>
      <c r="D118" s="518"/>
      <c r="E118" s="518"/>
      <c r="F118" s="518"/>
      <c r="G118" s="518"/>
      <c r="H118" s="518"/>
      <c r="I118" s="518"/>
      <c r="J118" s="518"/>
      <c r="K118" s="518"/>
      <c r="L118" s="518"/>
      <c r="M118" s="518"/>
      <c r="N118" s="518"/>
      <c r="O118" s="518"/>
      <c r="P118" s="518"/>
      <c r="Q118" s="518"/>
      <c r="R118" s="518"/>
      <c r="S118" s="518"/>
      <c r="T118" s="518"/>
      <c r="U118" s="518"/>
      <c r="V118" s="518"/>
      <c r="W118" s="518"/>
      <c r="X118" s="518"/>
      <c r="Y118" s="518"/>
      <c r="Z118" s="518"/>
      <c r="AA118" s="518"/>
      <c r="AB118" s="518"/>
      <c r="AC118" s="518"/>
      <c r="AD118" s="518"/>
      <c r="AE118" s="518"/>
      <c r="AF118" s="518"/>
      <c r="AG118" s="518"/>
      <c r="AH118" s="518"/>
      <c r="AI118" s="518"/>
      <c r="AJ118" s="518"/>
      <c r="AK118" s="518"/>
      <c r="AL118" s="518"/>
      <c r="AM118" s="518"/>
      <c r="AN118" s="518"/>
      <c r="AO118" s="518"/>
      <c r="AP118" s="518"/>
      <c r="AQ118" s="518"/>
      <c r="AR118" s="518"/>
      <c r="AS118" s="518"/>
      <c r="AT118" s="518"/>
    </row>
    <row r="119" spans="3:46" ht="12.75" customHeight="1">
      <c r="C119" s="518"/>
      <c r="D119" s="518"/>
      <c r="E119" s="518"/>
      <c r="F119" s="518"/>
      <c r="G119" s="518"/>
      <c r="H119" s="518"/>
      <c r="I119" s="518"/>
      <c r="J119" s="518"/>
      <c r="K119" s="518"/>
      <c r="L119" s="518"/>
      <c r="M119" s="518"/>
      <c r="N119" s="518"/>
      <c r="O119" s="518"/>
      <c r="P119" s="518"/>
      <c r="Q119" s="518"/>
      <c r="R119" s="518"/>
      <c r="S119" s="518"/>
      <c r="T119" s="518"/>
      <c r="U119" s="518"/>
      <c r="V119" s="518"/>
      <c r="W119" s="518"/>
      <c r="X119" s="518"/>
      <c r="Y119" s="518"/>
      <c r="Z119" s="518"/>
      <c r="AA119" s="518"/>
      <c r="AB119" s="518"/>
      <c r="AC119" s="518"/>
      <c r="AD119" s="518"/>
      <c r="AE119" s="518"/>
      <c r="AF119" s="518"/>
      <c r="AG119" s="518"/>
      <c r="AH119" s="518"/>
      <c r="AI119" s="518"/>
      <c r="AJ119" s="518"/>
      <c r="AK119" s="518"/>
      <c r="AL119" s="518"/>
      <c r="AM119" s="518"/>
      <c r="AN119" s="518"/>
      <c r="AO119" s="518"/>
      <c r="AP119" s="518"/>
      <c r="AQ119" s="518"/>
      <c r="AR119" s="518"/>
      <c r="AS119" s="518"/>
      <c r="AT119" s="518"/>
    </row>
    <row r="120" spans="3:46" ht="12.75" customHeight="1">
      <c r="C120" s="518"/>
      <c r="D120" s="518"/>
      <c r="E120" s="518"/>
      <c r="F120" s="518"/>
      <c r="G120" s="518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18"/>
      <c r="T120" s="518"/>
      <c r="U120" s="518"/>
      <c r="V120" s="518"/>
      <c r="W120" s="518"/>
      <c r="X120" s="518"/>
      <c r="Y120" s="518"/>
      <c r="Z120" s="518"/>
      <c r="AA120" s="518"/>
      <c r="AB120" s="518"/>
      <c r="AC120" s="518"/>
      <c r="AD120" s="518"/>
      <c r="AE120" s="518"/>
      <c r="AF120" s="518"/>
      <c r="AG120" s="518"/>
      <c r="AH120" s="518"/>
      <c r="AI120" s="518"/>
      <c r="AJ120" s="518"/>
      <c r="AK120" s="518"/>
      <c r="AL120" s="518"/>
      <c r="AM120" s="518"/>
      <c r="AN120" s="518"/>
      <c r="AO120" s="518"/>
      <c r="AP120" s="518"/>
      <c r="AQ120" s="518"/>
      <c r="AR120" s="518"/>
      <c r="AS120" s="518"/>
      <c r="AT120" s="518"/>
    </row>
    <row r="121" spans="3:46" ht="12.75" customHeight="1">
      <c r="C121" s="518"/>
      <c r="D121" s="518"/>
      <c r="E121" s="518"/>
      <c r="F121" s="518"/>
      <c r="G121" s="518"/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8"/>
      <c r="V121" s="518"/>
      <c r="W121" s="518"/>
      <c r="X121" s="518"/>
      <c r="Y121" s="518"/>
      <c r="Z121" s="518"/>
      <c r="AA121" s="518"/>
      <c r="AB121" s="518"/>
      <c r="AC121" s="518"/>
      <c r="AD121" s="518"/>
      <c r="AE121" s="518"/>
      <c r="AF121" s="518"/>
      <c r="AG121" s="518"/>
      <c r="AH121" s="518"/>
      <c r="AI121" s="518"/>
      <c r="AJ121" s="518"/>
      <c r="AK121" s="518"/>
      <c r="AL121" s="518"/>
      <c r="AM121" s="518"/>
      <c r="AN121" s="518"/>
      <c r="AO121" s="518"/>
      <c r="AP121" s="518"/>
      <c r="AQ121" s="518"/>
      <c r="AR121" s="518"/>
      <c r="AS121" s="518"/>
      <c r="AT121" s="518"/>
    </row>
    <row r="122" spans="3:46" ht="12.75" customHeight="1">
      <c r="C122" s="518"/>
      <c r="D122" s="518"/>
      <c r="E122" s="518"/>
      <c r="F122" s="518"/>
      <c r="G122" s="518"/>
      <c r="H122" s="518"/>
      <c r="I122" s="518"/>
      <c r="J122" s="518"/>
      <c r="K122" s="518"/>
      <c r="L122" s="518"/>
      <c r="M122" s="518"/>
      <c r="N122" s="518"/>
      <c r="O122" s="518"/>
      <c r="P122" s="518"/>
      <c r="Q122" s="518"/>
      <c r="R122" s="518"/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518"/>
      <c r="AF122" s="518"/>
      <c r="AG122" s="518"/>
      <c r="AH122" s="518"/>
      <c r="AI122" s="518"/>
      <c r="AJ122" s="518"/>
      <c r="AK122" s="518"/>
      <c r="AL122" s="518"/>
      <c r="AM122" s="518"/>
      <c r="AN122" s="518"/>
      <c r="AO122" s="518"/>
      <c r="AP122" s="518"/>
      <c r="AQ122" s="518"/>
      <c r="AR122" s="518"/>
      <c r="AS122" s="518"/>
      <c r="AT122" s="518"/>
    </row>
    <row r="123" spans="3:46" ht="12.75" customHeight="1">
      <c r="C123" s="518"/>
      <c r="D123" s="518"/>
      <c r="E123" s="518"/>
      <c r="F123" s="518"/>
      <c r="G123" s="518"/>
      <c r="H123" s="518"/>
      <c r="I123" s="518"/>
      <c r="J123" s="518"/>
      <c r="K123" s="518"/>
      <c r="L123" s="518"/>
      <c r="M123" s="518"/>
      <c r="N123" s="518"/>
      <c r="O123" s="518"/>
      <c r="P123" s="518"/>
      <c r="Q123" s="518"/>
      <c r="R123" s="518"/>
      <c r="S123" s="518"/>
      <c r="T123" s="518"/>
      <c r="U123" s="518"/>
      <c r="V123" s="518"/>
      <c r="W123" s="518"/>
      <c r="X123" s="518"/>
      <c r="Y123" s="518"/>
      <c r="Z123" s="518"/>
      <c r="AA123" s="518"/>
      <c r="AB123" s="518"/>
      <c r="AC123" s="518"/>
      <c r="AD123" s="518"/>
      <c r="AE123" s="518"/>
      <c r="AF123" s="518"/>
      <c r="AG123" s="518"/>
      <c r="AH123" s="518"/>
      <c r="AI123" s="518"/>
      <c r="AJ123" s="518"/>
      <c r="AK123" s="518"/>
      <c r="AL123" s="518"/>
      <c r="AM123" s="518"/>
      <c r="AN123" s="518"/>
      <c r="AO123" s="518"/>
      <c r="AP123" s="518"/>
      <c r="AQ123" s="518"/>
      <c r="AR123" s="518"/>
      <c r="AS123" s="518"/>
      <c r="AT123" s="518"/>
    </row>
    <row r="124" spans="3:46" ht="12.75" customHeight="1">
      <c r="C124" s="518"/>
      <c r="D124" s="518"/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518"/>
      <c r="P124" s="518"/>
      <c r="Q124" s="518"/>
      <c r="R124" s="518"/>
      <c r="S124" s="518"/>
      <c r="T124" s="518"/>
      <c r="U124" s="518"/>
      <c r="V124" s="518"/>
      <c r="W124" s="518"/>
      <c r="X124" s="518"/>
      <c r="Y124" s="518"/>
      <c r="Z124" s="518"/>
      <c r="AA124" s="518"/>
      <c r="AB124" s="518"/>
      <c r="AC124" s="518"/>
      <c r="AD124" s="518"/>
      <c r="AE124" s="518"/>
      <c r="AF124" s="518"/>
      <c r="AG124" s="518"/>
      <c r="AH124" s="518"/>
      <c r="AI124" s="518"/>
      <c r="AJ124" s="518"/>
      <c r="AK124" s="518"/>
      <c r="AL124" s="518"/>
      <c r="AM124" s="518"/>
      <c r="AN124" s="518"/>
      <c r="AO124" s="518"/>
      <c r="AP124" s="518"/>
      <c r="AQ124" s="518"/>
      <c r="AR124" s="518"/>
      <c r="AS124" s="518"/>
      <c r="AT124" s="518"/>
    </row>
    <row r="125" spans="3:46" ht="12.75" customHeight="1">
      <c r="C125" s="518"/>
      <c r="D125" s="518"/>
      <c r="E125" s="518"/>
      <c r="F125" s="518"/>
      <c r="G125" s="518"/>
      <c r="H125" s="518"/>
      <c r="I125" s="518"/>
      <c r="J125" s="518"/>
      <c r="K125" s="518"/>
      <c r="L125" s="518"/>
      <c r="M125" s="518"/>
      <c r="N125" s="518"/>
      <c r="O125" s="518"/>
      <c r="P125" s="518"/>
      <c r="Q125" s="518"/>
      <c r="R125" s="518"/>
      <c r="S125" s="518"/>
      <c r="T125" s="518"/>
      <c r="U125" s="518"/>
      <c r="V125" s="518"/>
      <c r="W125" s="518"/>
      <c r="X125" s="518"/>
      <c r="Y125" s="518"/>
      <c r="Z125" s="518"/>
      <c r="AA125" s="518"/>
      <c r="AB125" s="518"/>
      <c r="AC125" s="518"/>
      <c r="AD125" s="518"/>
      <c r="AE125" s="518"/>
      <c r="AF125" s="518"/>
      <c r="AG125" s="518"/>
      <c r="AH125" s="518"/>
      <c r="AI125" s="518"/>
      <c r="AJ125" s="518"/>
      <c r="AK125" s="518"/>
      <c r="AL125" s="518"/>
      <c r="AM125" s="518"/>
      <c r="AN125" s="518"/>
      <c r="AO125" s="518"/>
      <c r="AP125" s="518"/>
      <c r="AQ125" s="518"/>
      <c r="AR125" s="518"/>
      <c r="AS125" s="518"/>
      <c r="AT125" s="518"/>
    </row>
    <row r="126" spans="3:46" ht="12.75" customHeight="1">
      <c r="C126" s="518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</row>
    <row r="127" spans="3:46" ht="12.75" customHeight="1">
      <c r="C127" s="518"/>
      <c r="D127" s="518"/>
      <c r="E127" s="518"/>
      <c r="F127" s="518"/>
      <c r="G127" s="518"/>
      <c r="H127" s="518"/>
      <c r="I127" s="518"/>
      <c r="J127" s="518"/>
      <c r="K127" s="518"/>
      <c r="L127" s="518"/>
      <c r="M127" s="518"/>
      <c r="N127" s="518"/>
      <c r="O127" s="518"/>
      <c r="P127" s="518"/>
      <c r="Q127" s="518"/>
      <c r="R127" s="518"/>
      <c r="S127" s="518"/>
      <c r="T127" s="518"/>
      <c r="U127" s="518"/>
      <c r="V127" s="518"/>
      <c r="W127" s="518"/>
      <c r="X127" s="518"/>
      <c r="Y127" s="518"/>
      <c r="Z127" s="518"/>
      <c r="AA127" s="518"/>
      <c r="AB127" s="518"/>
      <c r="AC127" s="518"/>
      <c r="AD127" s="518"/>
      <c r="AE127" s="518"/>
      <c r="AF127" s="518"/>
      <c r="AG127" s="518"/>
      <c r="AH127" s="518"/>
      <c r="AI127" s="518"/>
      <c r="AJ127" s="518"/>
      <c r="AK127" s="518"/>
      <c r="AL127" s="518"/>
      <c r="AM127" s="518"/>
      <c r="AN127" s="518"/>
      <c r="AO127" s="518"/>
      <c r="AP127" s="518"/>
      <c r="AQ127" s="518"/>
      <c r="AR127" s="518"/>
      <c r="AS127" s="518"/>
      <c r="AT127" s="518"/>
    </row>
    <row r="128" spans="3:46" ht="12.75" customHeight="1">
      <c r="C128" s="518"/>
      <c r="D128" s="518"/>
      <c r="E128" s="518"/>
      <c r="F128" s="518"/>
      <c r="G128" s="518"/>
      <c r="H128" s="518"/>
      <c r="I128" s="518"/>
      <c r="J128" s="518"/>
      <c r="K128" s="518"/>
      <c r="L128" s="518"/>
      <c r="M128" s="518"/>
      <c r="N128" s="518"/>
      <c r="O128" s="518"/>
      <c r="P128" s="518"/>
      <c r="Q128" s="518"/>
      <c r="R128" s="518"/>
      <c r="S128" s="518"/>
      <c r="T128" s="518"/>
      <c r="U128" s="518"/>
      <c r="V128" s="518"/>
      <c r="W128" s="518"/>
      <c r="X128" s="518"/>
      <c r="Y128" s="518"/>
      <c r="Z128" s="518"/>
      <c r="AA128" s="518"/>
      <c r="AB128" s="518"/>
      <c r="AC128" s="518"/>
      <c r="AD128" s="518"/>
      <c r="AE128" s="518"/>
      <c r="AF128" s="518"/>
      <c r="AG128" s="518"/>
      <c r="AH128" s="518"/>
      <c r="AI128" s="518"/>
      <c r="AJ128" s="518"/>
      <c r="AK128" s="518"/>
      <c r="AL128" s="518"/>
      <c r="AM128" s="518"/>
      <c r="AN128" s="518"/>
      <c r="AO128" s="518"/>
      <c r="AP128" s="518"/>
      <c r="AQ128" s="518"/>
      <c r="AR128" s="518"/>
      <c r="AS128" s="518"/>
      <c r="AT128" s="518"/>
    </row>
    <row r="129" spans="3:46" ht="12.75" customHeight="1">
      <c r="C129" s="518"/>
      <c r="D129" s="518"/>
      <c r="E129" s="518"/>
      <c r="F129" s="518"/>
      <c r="G129" s="518"/>
      <c r="H129" s="518"/>
      <c r="I129" s="518"/>
      <c r="J129" s="518"/>
      <c r="K129" s="518"/>
      <c r="L129" s="518"/>
      <c r="M129" s="518"/>
      <c r="N129" s="518"/>
      <c r="O129" s="518"/>
      <c r="P129" s="518"/>
      <c r="Q129" s="518"/>
      <c r="R129" s="518"/>
      <c r="S129" s="518"/>
      <c r="T129" s="518"/>
      <c r="U129" s="518"/>
      <c r="V129" s="518"/>
      <c r="W129" s="518"/>
      <c r="X129" s="518"/>
      <c r="Y129" s="518"/>
      <c r="Z129" s="518"/>
      <c r="AA129" s="518"/>
      <c r="AB129" s="518"/>
      <c r="AC129" s="518"/>
      <c r="AD129" s="518"/>
      <c r="AE129" s="518"/>
      <c r="AF129" s="518"/>
      <c r="AG129" s="518"/>
      <c r="AH129" s="518"/>
      <c r="AI129" s="518"/>
      <c r="AJ129" s="518"/>
      <c r="AK129" s="518"/>
      <c r="AL129" s="518"/>
      <c r="AM129" s="518"/>
      <c r="AN129" s="518"/>
      <c r="AO129" s="518"/>
      <c r="AP129" s="518"/>
      <c r="AQ129" s="518"/>
      <c r="AR129" s="518"/>
      <c r="AS129" s="518"/>
      <c r="AT129" s="518"/>
    </row>
    <row r="130" spans="3:46" ht="12.75" customHeight="1">
      <c r="C130" s="518"/>
      <c r="D130" s="518"/>
      <c r="E130" s="518"/>
      <c r="F130" s="518"/>
      <c r="G130" s="518"/>
      <c r="H130" s="518"/>
      <c r="I130" s="518"/>
      <c r="J130" s="518"/>
      <c r="K130" s="518"/>
      <c r="L130" s="518"/>
      <c r="M130" s="518"/>
      <c r="N130" s="518"/>
      <c r="O130" s="518"/>
      <c r="P130" s="518"/>
      <c r="Q130" s="518"/>
      <c r="R130" s="518"/>
      <c r="S130" s="518"/>
      <c r="T130" s="518"/>
      <c r="U130" s="518"/>
      <c r="V130" s="518"/>
      <c r="W130" s="518"/>
      <c r="X130" s="518"/>
      <c r="Y130" s="518"/>
      <c r="Z130" s="518"/>
      <c r="AA130" s="518"/>
      <c r="AB130" s="518"/>
      <c r="AC130" s="518"/>
      <c r="AD130" s="518"/>
      <c r="AE130" s="518"/>
      <c r="AF130" s="518"/>
      <c r="AG130" s="518"/>
      <c r="AH130" s="518"/>
      <c r="AI130" s="518"/>
      <c r="AJ130" s="518"/>
      <c r="AK130" s="518"/>
      <c r="AL130" s="518"/>
      <c r="AM130" s="518"/>
      <c r="AN130" s="518"/>
      <c r="AO130" s="518"/>
      <c r="AP130" s="518"/>
      <c r="AQ130" s="518"/>
      <c r="AR130" s="518"/>
      <c r="AS130" s="518"/>
      <c r="AT130" s="518"/>
    </row>
    <row r="131" spans="3:46" ht="12.75" customHeight="1">
      <c r="C131" s="518"/>
      <c r="D131" s="518"/>
      <c r="E131" s="518"/>
      <c r="F131" s="518"/>
      <c r="G131" s="518"/>
      <c r="H131" s="518"/>
      <c r="I131" s="518"/>
      <c r="J131" s="518"/>
      <c r="K131" s="518"/>
      <c r="L131" s="518"/>
      <c r="M131" s="518"/>
      <c r="N131" s="518"/>
      <c r="O131" s="518"/>
      <c r="P131" s="518"/>
      <c r="Q131" s="518"/>
      <c r="R131" s="518"/>
      <c r="S131" s="518"/>
      <c r="T131" s="518"/>
      <c r="U131" s="518"/>
      <c r="V131" s="518"/>
      <c r="W131" s="518"/>
      <c r="X131" s="518"/>
      <c r="Y131" s="518"/>
      <c r="Z131" s="518"/>
      <c r="AA131" s="518"/>
      <c r="AB131" s="518"/>
      <c r="AC131" s="518"/>
      <c r="AD131" s="518"/>
      <c r="AE131" s="518"/>
      <c r="AF131" s="518"/>
      <c r="AG131" s="518"/>
      <c r="AH131" s="518"/>
      <c r="AI131" s="518"/>
      <c r="AJ131" s="518"/>
      <c r="AK131" s="518"/>
      <c r="AL131" s="518"/>
      <c r="AM131" s="518"/>
      <c r="AN131" s="518"/>
      <c r="AO131" s="518"/>
      <c r="AP131" s="518"/>
      <c r="AQ131" s="518"/>
      <c r="AR131" s="518"/>
      <c r="AS131" s="518"/>
      <c r="AT131" s="518"/>
    </row>
    <row r="132" spans="3:46" ht="12.75" customHeight="1">
      <c r="C132" s="518"/>
      <c r="D132" s="518"/>
      <c r="E132" s="518"/>
      <c r="F132" s="518"/>
      <c r="G132" s="518"/>
      <c r="H132" s="518"/>
      <c r="I132" s="518"/>
      <c r="J132" s="518"/>
      <c r="K132" s="518"/>
      <c r="L132" s="518"/>
      <c r="M132" s="518"/>
      <c r="N132" s="518"/>
      <c r="O132" s="518"/>
      <c r="P132" s="518"/>
      <c r="Q132" s="518"/>
      <c r="R132" s="518"/>
      <c r="S132" s="518"/>
      <c r="T132" s="518"/>
      <c r="U132" s="518"/>
      <c r="V132" s="518"/>
      <c r="W132" s="518"/>
      <c r="X132" s="518"/>
      <c r="Y132" s="518"/>
      <c r="Z132" s="518"/>
      <c r="AA132" s="518"/>
      <c r="AB132" s="518"/>
      <c r="AC132" s="518"/>
      <c r="AD132" s="518"/>
      <c r="AE132" s="518"/>
      <c r="AF132" s="518"/>
      <c r="AG132" s="518"/>
      <c r="AH132" s="518"/>
      <c r="AI132" s="518"/>
      <c r="AJ132" s="518"/>
      <c r="AK132" s="518"/>
      <c r="AL132" s="518"/>
      <c r="AM132" s="518"/>
      <c r="AN132" s="518"/>
      <c r="AO132" s="518"/>
      <c r="AP132" s="518"/>
      <c r="AQ132" s="518"/>
      <c r="AR132" s="518"/>
      <c r="AS132" s="518"/>
      <c r="AT132" s="518"/>
    </row>
    <row r="133" spans="3:46" ht="12.75" customHeight="1">
      <c r="C133" s="518"/>
      <c r="D133" s="518"/>
      <c r="E133" s="518"/>
      <c r="F133" s="518"/>
      <c r="G133" s="518"/>
      <c r="H133" s="518"/>
      <c r="I133" s="518"/>
      <c r="J133" s="518"/>
      <c r="K133" s="518"/>
      <c r="L133" s="518"/>
      <c r="M133" s="518"/>
      <c r="N133" s="518"/>
      <c r="O133" s="518"/>
      <c r="P133" s="518"/>
      <c r="Q133" s="518"/>
      <c r="R133" s="518"/>
      <c r="S133" s="518"/>
      <c r="T133" s="518"/>
      <c r="U133" s="518"/>
      <c r="V133" s="518"/>
      <c r="W133" s="518"/>
      <c r="X133" s="518"/>
      <c r="Y133" s="518"/>
      <c r="Z133" s="518"/>
      <c r="AA133" s="518"/>
      <c r="AB133" s="518"/>
      <c r="AC133" s="518"/>
      <c r="AD133" s="518"/>
      <c r="AE133" s="518"/>
      <c r="AF133" s="518"/>
      <c r="AG133" s="518"/>
      <c r="AH133" s="518"/>
      <c r="AI133" s="518"/>
      <c r="AJ133" s="518"/>
      <c r="AK133" s="518"/>
      <c r="AL133" s="518"/>
      <c r="AM133" s="518"/>
      <c r="AN133" s="518"/>
      <c r="AO133" s="518"/>
      <c r="AP133" s="518"/>
      <c r="AQ133" s="518"/>
      <c r="AR133" s="518"/>
      <c r="AS133" s="518"/>
      <c r="AT133" s="518"/>
    </row>
    <row r="134" spans="3:46" ht="12.75" customHeight="1">
      <c r="C134" s="518"/>
      <c r="D134" s="518"/>
      <c r="E134" s="518"/>
      <c r="F134" s="518"/>
      <c r="G134" s="518"/>
      <c r="H134" s="518"/>
      <c r="I134" s="518"/>
      <c r="J134" s="518"/>
      <c r="K134" s="518"/>
      <c r="L134" s="518"/>
      <c r="M134" s="518"/>
      <c r="N134" s="518"/>
      <c r="O134" s="518"/>
      <c r="P134" s="518"/>
      <c r="Q134" s="518"/>
      <c r="R134" s="518"/>
      <c r="S134" s="518"/>
      <c r="T134" s="518"/>
      <c r="U134" s="518"/>
      <c r="V134" s="518"/>
      <c r="W134" s="518"/>
      <c r="X134" s="518"/>
      <c r="Y134" s="518"/>
      <c r="Z134" s="518"/>
      <c r="AA134" s="518"/>
      <c r="AB134" s="518"/>
      <c r="AC134" s="518"/>
      <c r="AD134" s="518"/>
      <c r="AE134" s="518"/>
      <c r="AF134" s="518"/>
      <c r="AG134" s="518"/>
      <c r="AH134" s="518"/>
      <c r="AI134" s="518"/>
      <c r="AJ134" s="518"/>
      <c r="AK134" s="518"/>
      <c r="AL134" s="518"/>
      <c r="AM134" s="518"/>
      <c r="AN134" s="518"/>
      <c r="AO134" s="518"/>
      <c r="AP134" s="518"/>
      <c r="AQ134" s="518"/>
      <c r="AR134" s="518"/>
      <c r="AS134" s="518"/>
      <c r="AT134" s="518"/>
    </row>
    <row r="135" spans="3:46" ht="12.75" customHeight="1">
      <c r="C135" s="518"/>
      <c r="D135" s="518"/>
      <c r="E135" s="518"/>
      <c r="F135" s="518"/>
      <c r="G135" s="518"/>
      <c r="H135" s="518"/>
      <c r="I135" s="518"/>
      <c r="J135" s="518"/>
      <c r="K135" s="518"/>
      <c r="L135" s="518"/>
      <c r="M135" s="518"/>
      <c r="N135" s="518"/>
      <c r="O135" s="518"/>
      <c r="P135" s="518"/>
      <c r="Q135" s="518"/>
      <c r="R135" s="518"/>
      <c r="S135" s="518"/>
      <c r="T135" s="518"/>
      <c r="U135" s="518"/>
      <c r="V135" s="518"/>
      <c r="W135" s="518"/>
      <c r="X135" s="518"/>
      <c r="Y135" s="518"/>
      <c r="Z135" s="518"/>
      <c r="AA135" s="518"/>
      <c r="AB135" s="518"/>
      <c r="AC135" s="518"/>
      <c r="AD135" s="518"/>
      <c r="AE135" s="518"/>
      <c r="AF135" s="518"/>
      <c r="AG135" s="518"/>
      <c r="AH135" s="518"/>
      <c r="AI135" s="518"/>
      <c r="AJ135" s="518"/>
      <c r="AK135" s="518"/>
      <c r="AL135" s="518"/>
      <c r="AM135" s="518"/>
      <c r="AN135" s="518"/>
      <c r="AO135" s="518"/>
      <c r="AP135" s="518"/>
      <c r="AQ135" s="518"/>
      <c r="AR135" s="518"/>
      <c r="AS135" s="518"/>
      <c r="AT135" s="518"/>
    </row>
    <row r="136" spans="3:46" ht="12.75" customHeight="1">
      <c r="C136" s="518"/>
      <c r="D136" s="518"/>
      <c r="E136" s="518"/>
      <c r="F136" s="518"/>
      <c r="G136" s="518"/>
      <c r="H136" s="518"/>
      <c r="I136" s="518"/>
      <c r="J136" s="518"/>
      <c r="K136" s="518"/>
      <c r="L136" s="518"/>
      <c r="M136" s="518"/>
      <c r="N136" s="518"/>
      <c r="O136" s="518"/>
      <c r="P136" s="518"/>
      <c r="Q136" s="518"/>
      <c r="R136" s="518"/>
      <c r="S136" s="518"/>
      <c r="T136" s="518"/>
      <c r="U136" s="518"/>
      <c r="V136" s="518"/>
      <c r="W136" s="518"/>
      <c r="X136" s="518"/>
      <c r="Y136" s="518"/>
      <c r="Z136" s="518"/>
      <c r="AA136" s="518"/>
      <c r="AB136" s="518"/>
      <c r="AC136" s="518"/>
      <c r="AD136" s="518"/>
      <c r="AE136" s="518"/>
      <c r="AF136" s="518"/>
      <c r="AG136" s="518"/>
      <c r="AH136" s="518"/>
      <c r="AI136" s="518"/>
      <c r="AJ136" s="518"/>
      <c r="AK136" s="518"/>
      <c r="AL136" s="518"/>
      <c r="AM136" s="518"/>
      <c r="AN136" s="518"/>
      <c r="AO136" s="518"/>
      <c r="AP136" s="518"/>
      <c r="AQ136" s="518"/>
      <c r="AR136" s="518"/>
      <c r="AS136" s="518"/>
      <c r="AT136" s="518"/>
    </row>
    <row r="137" spans="3:46" ht="12.75" customHeight="1">
      <c r="C137" s="518"/>
      <c r="D137" s="518"/>
      <c r="E137" s="518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Q137" s="518"/>
      <c r="R137" s="518"/>
      <c r="S137" s="518"/>
      <c r="T137" s="518"/>
      <c r="U137" s="518"/>
      <c r="V137" s="518"/>
      <c r="W137" s="518"/>
      <c r="X137" s="518"/>
      <c r="Y137" s="518"/>
      <c r="Z137" s="518"/>
      <c r="AA137" s="518"/>
      <c r="AB137" s="518"/>
      <c r="AC137" s="518"/>
      <c r="AD137" s="518"/>
      <c r="AE137" s="518"/>
      <c r="AF137" s="518"/>
      <c r="AG137" s="518"/>
      <c r="AH137" s="518"/>
      <c r="AI137" s="518"/>
      <c r="AJ137" s="518"/>
      <c r="AK137" s="518"/>
      <c r="AL137" s="518"/>
      <c r="AM137" s="518"/>
      <c r="AN137" s="518"/>
      <c r="AO137" s="518"/>
      <c r="AP137" s="518"/>
      <c r="AQ137" s="518"/>
      <c r="AR137" s="518"/>
      <c r="AS137" s="518"/>
      <c r="AT137" s="518"/>
    </row>
    <row r="138" spans="3:46" ht="12.75" customHeight="1">
      <c r="C138" s="518"/>
      <c r="D138" s="518"/>
      <c r="E138" s="518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Q138" s="518"/>
      <c r="R138" s="518"/>
      <c r="S138" s="518"/>
      <c r="T138" s="518"/>
      <c r="U138" s="518"/>
      <c r="V138" s="518"/>
      <c r="W138" s="518"/>
      <c r="X138" s="518"/>
      <c r="Y138" s="518"/>
      <c r="Z138" s="518"/>
      <c r="AA138" s="518"/>
      <c r="AB138" s="518"/>
      <c r="AC138" s="518"/>
      <c r="AD138" s="518"/>
      <c r="AE138" s="518"/>
      <c r="AF138" s="518"/>
      <c r="AG138" s="518"/>
      <c r="AH138" s="518"/>
      <c r="AI138" s="518"/>
      <c r="AJ138" s="518"/>
      <c r="AK138" s="518"/>
      <c r="AL138" s="518"/>
      <c r="AM138" s="518"/>
      <c r="AN138" s="518"/>
      <c r="AO138" s="518"/>
      <c r="AP138" s="518"/>
      <c r="AQ138" s="518"/>
      <c r="AR138" s="518"/>
      <c r="AS138" s="518"/>
      <c r="AT138" s="518"/>
    </row>
    <row r="139" spans="3:46" ht="12.75" customHeight="1">
      <c r="C139" s="518"/>
      <c r="D139" s="518"/>
      <c r="E139" s="518"/>
      <c r="F139" s="518"/>
      <c r="G139" s="518"/>
      <c r="H139" s="518"/>
      <c r="I139" s="518"/>
      <c r="J139" s="518"/>
      <c r="K139" s="518"/>
      <c r="L139" s="518"/>
      <c r="M139" s="518"/>
      <c r="N139" s="518"/>
      <c r="O139" s="518"/>
      <c r="P139" s="518"/>
      <c r="Q139" s="518"/>
      <c r="R139" s="518"/>
      <c r="S139" s="518"/>
      <c r="T139" s="518"/>
      <c r="U139" s="518"/>
      <c r="V139" s="518"/>
      <c r="W139" s="518"/>
      <c r="X139" s="518"/>
      <c r="Y139" s="518"/>
      <c r="Z139" s="518"/>
      <c r="AA139" s="518"/>
      <c r="AB139" s="518"/>
      <c r="AC139" s="518"/>
      <c r="AD139" s="518"/>
      <c r="AE139" s="518"/>
      <c r="AF139" s="518"/>
      <c r="AG139" s="518"/>
      <c r="AH139" s="518"/>
      <c r="AI139" s="518"/>
      <c r="AJ139" s="518"/>
      <c r="AK139" s="518"/>
      <c r="AL139" s="518"/>
      <c r="AM139" s="518"/>
      <c r="AN139" s="518"/>
      <c r="AO139" s="518"/>
      <c r="AP139" s="518"/>
      <c r="AQ139" s="518"/>
      <c r="AR139" s="518"/>
      <c r="AS139" s="518"/>
      <c r="AT139" s="518"/>
    </row>
    <row r="140" spans="3:46" ht="12.75" customHeight="1">
      <c r="C140" s="518"/>
      <c r="D140" s="518"/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518"/>
      <c r="P140" s="518"/>
      <c r="Q140" s="518"/>
      <c r="R140" s="518"/>
      <c r="S140" s="518"/>
      <c r="T140" s="518"/>
      <c r="U140" s="518"/>
      <c r="V140" s="518"/>
      <c r="W140" s="518"/>
      <c r="X140" s="518"/>
      <c r="Y140" s="518"/>
      <c r="Z140" s="518"/>
      <c r="AA140" s="518"/>
      <c r="AB140" s="518"/>
      <c r="AC140" s="518"/>
      <c r="AD140" s="518"/>
      <c r="AE140" s="518"/>
      <c r="AF140" s="518"/>
      <c r="AG140" s="518"/>
      <c r="AH140" s="518"/>
      <c r="AI140" s="518"/>
      <c r="AJ140" s="518"/>
      <c r="AK140" s="518"/>
      <c r="AL140" s="518"/>
      <c r="AM140" s="518"/>
      <c r="AN140" s="518"/>
      <c r="AO140" s="518"/>
      <c r="AP140" s="518"/>
      <c r="AQ140" s="518"/>
      <c r="AR140" s="518"/>
      <c r="AS140" s="518"/>
      <c r="AT140" s="518"/>
    </row>
    <row r="141" spans="3:46" ht="12.75" customHeight="1">
      <c r="C141" s="518"/>
      <c r="D141" s="518"/>
      <c r="E141" s="518"/>
      <c r="F141" s="518"/>
      <c r="G141" s="518"/>
      <c r="H141" s="518"/>
      <c r="I141" s="518"/>
      <c r="J141" s="518"/>
      <c r="K141" s="518"/>
      <c r="L141" s="518"/>
      <c r="M141" s="518"/>
      <c r="N141" s="518"/>
      <c r="O141" s="518"/>
      <c r="P141" s="518"/>
      <c r="Q141" s="518"/>
      <c r="R141" s="518"/>
      <c r="S141" s="518"/>
      <c r="T141" s="518"/>
      <c r="U141" s="518"/>
      <c r="V141" s="518"/>
      <c r="W141" s="518"/>
      <c r="X141" s="518"/>
      <c r="Y141" s="518"/>
      <c r="Z141" s="518"/>
      <c r="AA141" s="518"/>
      <c r="AB141" s="518"/>
      <c r="AC141" s="518"/>
      <c r="AD141" s="518"/>
      <c r="AE141" s="518"/>
      <c r="AF141" s="518"/>
      <c r="AG141" s="518"/>
      <c r="AH141" s="518"/>
      <c r="AI141" s="518"/>
      <c r="AJ141" s="518"/>
      <c r="AK141" s="518"/>
      <c r="AL141" s="518"/>
      <c r="AM141" s="518"/>
      <c r="AN141" s="518"/>
      <c r="AO141" s="518"/>
      <c r="AP141" s="518"/>
      <c r="AQ141" s="518"/>
      <c r="AR141" s="518"/>
      <c r="AS141" s="518"/>
      <c r="AT141" s="518"/>
    </row>
    <row r="142" spans="3:46" ht="12.75" customHeight="1">
      <c r="C142" s="518"/>
      <c r="D142" s="518"/>
      <c r="E142" s="518"/>
      <c r="F142" s="518"/>
      <c r="G142" s="518"/>
      <c r="H142" s="518"/>
      <c r="I142" s="518"/>
      <c r="J142" s="518"/>
      <c r="K142" s="518"/>
      <c r="L142" s="518"/>
      <c r="M142" s="518"/>
      <c r="N142" s="518"/>
      <c r="O142" s="518"/>
      <c r="P142" s="518"/>
      <c r="Q142" s="518"/>
      <c r="R142" s="518"/>
      <c r="S142" s="518"/>
      <c r="T142" s="518"/>
      <c r="U142" s="518"/>
      <c r="V142" s="518"/>
      <c r="W142" s="518"/>
      <c r="X142" s="518"/>
      <c r="Y142" s="518"/>
      <c r="Z142" s="518"/>
      <c r="AA142" s="518"/>
      <c r="AB142" s="518"/>
      <c r="AC142" s="518"/>
      <c r="AD142" s="518"/>
      <c r="AE142" s="518"/>
      <c r="AF142" s="518"/>
      <c r="AG142" s="518"/>
      <c r="AH142" s="518"/>
      <c r="AI142" s="518"/>
      <c r="AJ142" s="518"/>
      <c r="AK142" s="518"/>
      <c r="AL142" s="518"/>
      <c r="AM142" s="518"/>
      <c r="AN142" s="518"/>
      <c r="AO142" s="518"/>
      <c r="AP142" s="518"/>
      <c r="AQ142" s="518"/>
      <c r="AR142" s="518"/>
      <c r="AS142" s="518"/>
      <c r="AT142" s="518"/>
    </row>
    <row r="143" spans="3:46" ht="12.75" customHeight="1">
      <c r="C143" s="518"/>
      <c r="D143" s="518"/>
      <c r="E143" s="518"/>
      <c r="F143" s="518"/>
      <c r="G143" s="518"/>
      <c r="H143" s="518"/>
      <c r="I143" s="518"/>
      <c r="J143" s="518"/>
      <c r="K143" s="518"/>
      <c r="L143" s="518"/>
      <c r="M143" s="518"/>
      <c r="N143" s="518"/>
      <c r="O143" s="518"/>
      <c r="P143" s="518"/>
      <c r="Q143" s="518"/>
      <c r="R143" s="518"/>
      <c r="S143" s="518"/>
      <c r="T143" s="518"/>
      <c r="U143" s="518"/>
      <c r="V143" s="518"/>
      <c r="W143" s="518"/>
      <c r="X143" s="518"/>
      <c r="Y143" s="518"/>
      <c r="Z143" s="518"/>
      <c r="AA143" s="518"/>
      <c r="AB143" s="518"/>
      <c r="AC143" s="518"/>
      <c r="AD143" s="518"/>
      <c r="AE143" s="518"/>
      <c r="AF143" s="518"/>
      <c r="AG143" s="518"/>
      <c r="AH143" s="518"/>
      <c r="AI143" s="518"/>
      <c r="AJ143" s="518"/>
      <c r="AK143" s="518"/>
      <c r="AL143" s="518"/>
      <c r="AM143" s="518"/>
      <c r="AN143" s="518"/>
      <c r="AO143" s="518"/>
      <c r="AP143" s="518"/>
      <c r="AQ143" s="518"/>
      <c r="AR143" s="518"/>
      <c r="AS143" s="518"/>
      <c r="AT143" s="518"/>
    </row>
    <row r="144" spans="3:46" ht="12.75" customHeight="1">
      <c r="C144" s="518"/>
      <c r="D144" s="518"/>
      <c r="E144" s="518"/>
      <c r="F144" s="518"/>
      <c r="G144" s="518"/>
      <c r="H144" s="518"/>
      <c r="I144" s="518"/>
      <c r="J144" s="518"/>
      <c r="K144" s="518"/>
      <c r="L144" s="518"/>
      <c r="M144" s="518"/>
      <c r="N144" s="518"/>
      <c r="O144" s="518"/>
      <c r="P144" s="518"/>
      <c r="Q144" s="518"/>
      <c r="R144" s="518"/>
      <c r="S144" s="518"/>
      <c r="T144" s="518"/>
      <c r="U144" s="518"/>
      <c r="V144" s="518"/>
      <c r="W144" s="518"/>
      <c r="X144" s="518"/>
      <c r="Y144" s="518"/>
      <c r="Z144" s="518"/>
      <c r="AA144" s="518"/>
      <c r="AB144" s="518"/>
      <c r="AC144" s="518"/>
      <c r="AD144" s="518"/>
      <c r="AE144" s="518"/>
      <c r="AF144" s="518"/>
      <c r="AG144" s="518"/>
      <c r="AH144" s="518"/>
      <c r="AI144" s="518"/>
      <c r="AJ144" s="518"/>
      <c r="AK144" s="518"/>
      <c r="AL144" s="518"/>
      <c r="AM144" s="518"/>
      <c r="AN144" s="518"/>
      <c r="AO144" s="518"/>
      <c r="AP144" s="518"/>
      <c r="AQ144" s="518"/>
      <c r="AR144" s="518"/>
      <c r="AS144" s="518"/>
      <c r="AT144" s="518"/>
    </row>
    <row r="145" spans="3:46" ht="12.75" customHeight="1">
      <c r="C145" s="518"/>
      <c r="D145" s="518"/>
      <c r="E145" s="518"/>
      <c r="F145" s="518"/>
      <c r="G145" s="518"/>
      <c r="H145" s="518"/>
      <c r="I145" s="518"/>
      <c r="J145" s="518"/>
      <c r="K145" s="518"/>
      <c r="L145" s="518"/>
      <c r="M145" s="518"/>
      <c r="N145" s="518"/>
      <c r="O145" s="518"/>
      <c r="P145" s="518"/>
      <c r="Q145" s="518"/>
      <c r="R145" s="518"/>
      <c r="S145" s="518"/>
      <c r="T145" s="518"/>
      <c r="U145" s="518"/>
      <c r="V145" s="518"/>
      <c r="W145" s="518"/>
      <c r="X145" s="518"/>
      <c r="Y145" s="518"/>
      <c r="Z145" s="518"/>
      <c r="AA145" s="518"/>
      <c r="AB145" s="518"/>
      <c r="AC145" s="518"/>
      <c r="AD145" s="518"/>
      <c r="AE145" s="518"/>
      <c r="AF145" s="518"/>
      <c r="AG145" s="518"/>
      <c r="AH145" s="518"/>
      <c r="AI145" s="518"/>
      <c r="AJ145" s="518"/>
      <c r="AK145" s="518"/>
      <c r="AL145" s="518"/>
      <c r="AM145" s="518"/>
      <c r="AN145" s="518"/>
      <c r="AO145" s="518"/>
      <c r="AP145" s="518"/>
      <c r="AQ145" s="518"/>
      <c r="AR145" s="518"/>
      <c r="AS145" s="518"/>
      <c r="AT145" s="518"/>
    </row>
    <row r="146" spans="3:46" ht="12.75" customHeight="1">
      <c r="C146" s="518"/>
      <c r="D146" s="518"/>
      <c r="E146" s="518"/>
      <c r="F146" s="518"/>
      <c r="G146" s="518"/>
      <c r="H146" s="518"/>
      <c r="I146" s="518"/>
      <c r="J146" s="518"/>
      <c r="K146" s="518"/>
      <c r="L146" s="518"/>
      <c r="M146" s="518"/>
      <c r="N146" s="518"/>
      <c r="O146" s="518"/>
      <c r="P146" s="518"/>
      <c r="Q146" s="518"/>
      <c r="R146" s="518"/>
      <c r="S146" s="518"/>
      <c r="T146" s="518"/>
      <c r="U146" s="518"/>
      <c r="V146" s="518"/>
      <c r="W146" s="518"/>
      <c r="X146" s="518"/>
      <c r="Y146" s="518"/>
      <c r="Z146" s="518"/>
      <c r="AA146" s="518"/>
      <c r="AB146" s="518"/>
      <c r="AC146" s="518"/>
      <c r="AD146" s="518"/>
      <c r="AE146" s="518"/>
      <c r="AF146" s="518"/>
      <c r="AG146" s="518"/>
      <c r="AH146" s="518"/>
      <c r="AI146" s="518"/>
      <c r="AJ146" s="518"/>
      <c r="AK146" s="518"/>
      <c r="AL146" s="518"/>
      <c r="AM146" s="518"/>
      <c r="AN146" s="518"/>
      <c r="AO146" s="518"/>
      <c r="AP146" s="518"/>
      <c r="AQ146" s="518"/>
      <c r="AR146" s="518"/>
      <c r="AS146" s="518"/>
      <c r="AT146" s="518"/>
    </row>
    <row r="147" spans="3:46" ht="12.75" customHeight="1">
      <c r="C147" s="518"/>
      <c r="D147" s="518"/>
      <c r="E147" s="518"/>
      <c r="F147" s="518"/>
      <c r="G147" s="518"/>
      <c r="H147" s="518"/>
      <c r="I147" s="518"/>
      <c r="J147" s="518"/>
      <c r="K147" s="518"/>
      <c r="L147" s="518"/>
      <c r="M147" s="518"/>
      <c r="N147" s="518"/>
      <c r="O147" s="518"/>
      <c r="P147" s="518"/>
      <c r="Q147" s="518"/>
      <c r="R147" s="518"/>
      <c r="S147" s="518"/>
      <c r="T147" s="518"/>
      <c r="U147" s="518"/>
      <c r="V147" s="518"/>
      <c r="W147" s="518"/>
      <c r="X147" s="518"/>
      <c r="Y147" s="518"/>
      <c r="Z147" s="518"/>
      <c r="AA147" s="518"/>
      <c r="AB147" s="518"/>
      <c r="AC147" s="518"/>
      <c r="AD147" s="518"/>
      <c r="AE147" s="518"/>
      <c r="AF147" s="518"/>
      <c r="AG147" s="518"/>
      <c r="AH147" s="518"/>
      <c r="AI147" s="518"/>
      <c r="AJ147" s="518"/>
      <c r="AK147" s="518"/>
      <c r="AL147" s="518"/>
      <c r="AM147" s="518"/>
      <c r="AN147" s="518"/>
      <c r="AO147" s="518"/>
      <c r="AP147" s="518"/>
      <c r="AQ147" s="518"/>
      <c r="AR147" s="518"/>
      <c r="AS147" s="518"/>
      <c r="AT147" s="518"/>
    </row>
    <row r="148" spans="3:46" ht="12.75" customHeight="1">
      <c r="C148" s="518"/>
      <c r="D148" s="518"/>
      <c r="E148" s="518"/>
      <c r="F148" s="518"/>
      <c r="G148" s="518"/>
      <c r="H148" s="518"/>
      <c r="I148" s="518"/>
      <c r="J148" s="518"/>
      <c r="K148" s="518"/>
      <c r="L148" s="518"/>
      <c r="M148" s="518"/>
      <c r="N148" s="518"/>
      <c r="O148" s="518"/>
      <c r="P148" s="518"/>
      <c r="Q148" s="518"/>
      <c r="R148" s="518"/>
      <c r="S148" s="518"/>
      <c r="T148" s="518"/>
      <c r="U148" s="518"/>
      <c r="V148" s="518"/>
      <c r="W148" s="518"/>
      <c r="X148" s="518"/>
      <c r="Y148" s="518"/>
      <c r="Z148" s="518"/>
      <c r="AA148" s="518"/>
      <c r="AB148" s="518"/>
      <c r="AC148" s="518"/>
      <c r="AD148" s="518"/>
      <c r="AE148" s="518"/>
      <c r="AF148" s="518"/>
      <c r="AG148" s="518"/>
      <c r="AH148" s="518"/>
      <c r="AI148" s="518"/>
      <c r="AJ148" s="518"/>
      <c r="AK148" s="518"/>
      <c r="AL148" s="518"/>
      <c r="AM148" s="518"/>
      <c r="AN148" s="518"/>
      <c r="AO148" s="518"/>
      <c r="AP148" s="518"/>
      <c r="AQ148" s="518"/>
      <c r="AR148" s="518"/>
      <c r="AS148" s="518"/>
      <c r="AT148" s="518"/>
    </row>
    <row r="149" spans="3:46" ht="12.75" customHeight="1">
      <c r="C149" s="518"/>
      <c r="D149" s="518"/>
      <c r="E149" s="518"/>
      <c r="F149" s="518"/>
      <c r="G149" s="518"/>
      <c r="H149" s="518"/>
      <c r="I149" s="518"/>
      <c r="J149" s="518"/>
      <c r="K149" s="518"/>
      <c r="L149" s="518"/>
      <c r="M149" s="518"/>
      <c r="N149" s="518"/>
      <c r="O149" s="518"/>
      <c r="P149" s="518"/>
      <c r="Q149" s="518"/>
      <c r="R149" s="518"/>
      <c r="S149" s="518"/>
      <c r="T149" s="518"/>
      <c r="U149" s="518"/>
      <c r="V149" s="518"/>
      <c r="W149" s="518"/>
      <c r="X149" s="518"/>
      <c r="Y149" s="518"/>
      <c r="Z149" s="518"/>
      <c r="AA149" s="518"/>
      <c r="AB149" s="518"/>
      <c r="AC149" s="518"/>
      <c r="AD149" s="518"/>
      <c r="AE149" s="518"/>
      <c r="AF149" s="518"/>
      <c r="AG149" s="518"/>
      <c r="AH149" s="518"/>
      <c r="AI149" s="518"/>
      <c r="AJ149" s="518"/>
      <c r="AK149" s="518"/>
      <c r="AL149" s="518"/>
      <c r="AM149" s="518"/>
      <c r="AN149" s="518"/>
      <c r="AO149" s="518"/>
      <c r="AP149" s="518"/>
      <c r="AQ149" s="518"/>
      <c r="AR149" s="518"/>
      <c r="AS149" s="518"/>
      <c r="AT149" s="518"/>
    </row>
    <row r="150" spans="3:46" ht="12.75" customHeight="1">
      <c r="C150" s="518"/>
      <c r="D150" s="518"/>
      <c r="E150" s="518"/>
      <c r="F150" s="518"/>
      <c r="G150" s="518"/>
      <c r="H150" s="518"/>
      <c r="I150" s="518"/>
      <c r="J150" s="518"/>
      <c r="K150" s="518"/>
      <c r="L150" s="518"/>
      <c r="M150" s="518"/>
      <c r="N150" s="518"/>
      <c r="O150" s="518"/>
      <c r="P150" s="518"/>
      <c r="Q150" s="518"/>
      <c r="R150" s="518"/>
      <c r="S150" s="518"/>
      <c r="T150" s="518"/>
      <c r="U150" s="518"/>
      <c r="V150" s="518"/>
      <c r="W150" s="518"/>
      <c r="X150" s="518"/>
      <c r="Y150" s="518"/>
      <c r="Z150" s="518"/>
      <c r="AA150" s="518"/>
      <c r="AB150" s="518"/>
      <c r="AC150" s="518"/>
      <c r="AD150" s="518"/>
      <c r="AE150" s="518"/>
      <c r="AF150" s="518"/>
      <c r="AG150" s="518"/>
      <c r="AH150" s="518"/>
      <c r="AI150" s="518"/>
      <c r="AJ150" s="518"/>
      <c r="AK150" s="518"/>
      <c r="AL150" s="518"/>
      <c r="AM150" s="518"/>
      <c r="AN150" s="518"/>
      <c r="AO150" s="518"/>
      <c r="AP150" s="518"/>
      <c r="AQ150" s="518"/>
      <c r="AR150" s="518"/>
      <c r="AS150" s="518"/>
      <c r="AT150" s="518"/>
    </row>
    <row r="151" spans="3:46" ht="12.75" customHeight="1">
      <c r="C151" s="518"/>
      <c r="D151" s="518"/>
      <c r="E151" s="518"/>
      <c r="F151" s="518"/>
      <c r="G151" s="518"/>
      <c r="H151" s="518"/>
      <c r="I151" s="518"/>
      <c r="J151" s="518"/>
      <c r="K151" s="518"/>
      <c r="L151" s="518"/>
      <c r="M151" s="518"/>
      <c r="N151" s="518"/>
      <c r="O151" s="518"/>
      <c r="P151" s="518"/>
      <c r="Q151" s="518"/>
      <c r="R151" s="518"/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518"/>
      <c r="AF151" s="518"/>
      <c r="AG151" s="518"/>
      <c r="AH151" s="518"/>
      <c r="AI151" s="518"/>
      <c r="AJ151" s="518"/>
      <c r="AK151" s="518"/>
      <c r="AL151" s="518"/>
      <c r="AM151" s="518"/>
      <c r="AN151" s="518"/>
      <c r="AO151" s="518"/>
      <c r="AP151" s="518"/>
      <c r="AQ151" s="518"/>
      <c r="AR151" s="518"/>
      <c r="AS151" s="518"/>
      <c r="AT151" s="518"/>
    </row>
    <row r="152" spans="3:46" ht="12.75" customHeight="1"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8"/>
      <c r="O152" s="518"/>
      <c r="P152" s="518"/>
      <c r="Q152" s="518"/>
      <c r="R152" s="518"/>
      <c r="S152" s="518"/>
      <c r="T152" s="518"/>
      <c r="U152" s="518"/>
      <c r="V152" s="518"/>
      <c r="W152" s="518"/>
      <c r="X152" s="518"/>
      <c r="Y152" s="518"/>
      <c r="Z152" s="518"/>
      <c r="AA152" s="518"/>
      <c r="AB152" s="518"/>
      <c r="AC152" s="518"/>
      <c r="AD152" s="518"/>
      <c r="AE152" s="518"/>
      <c r="AF152" s="518"/>
      <c r="AG152" s="518"/>
      <c r="AH152" s="518"/>
      <c r="AI152" s="518"/>
      <c r="AJ152" s="518"/>
      <c r="AK152" s="518"/>
      <c r="AL152" s="518"/>
      <c r="AM152" s="518"/>
      <c r="AN152" s="518"/>
      <c r="AO152" s="518"/>
      <c r="AP152" s="518"/>
      <c r="AQ152" s="518"/>
      <c r="AR152" s="518"/>
      <c r="AS152" s="518"/>
      <c r="AT152" s="518"/>
    </row>
    <row r="153" spans="3:46" ht="12.75" customHeight="1">
      <c r="C153" s="518"/>
      <c r="D153" s="518"/>
      <c r="E153" s="518"/>
      <c r="F153" s="518"/>
      <c r="G153" s="518"/>
      <c r="H153" s="518"/>
      <c r="I153" s="518"/>
      <c r="J153" s="518"/>
      <c r="K153" s="518"/>
      <c r="L153" s="518"/>
      <c r="M153" s="518"/>
      <c r="N153" s="518"/>
      <c r="O153" s="518"/>
      <c r="P153" s="518"/>
      <c r="Q153" s="518"/>
      <c r="R153" s="518"/>
      <c r="S153" s="518"/>
      <c r="T153" s="518"/>
      <c r="U153" s="518"/>
      <c r="V153" s="518"/>
      <c r="W153" s="518"/>
      <c r="X153" s="518"/>
      <c r="Y153" s="518"/>
      <c r="Z153" s="518"/>
      <c r="AA153" s="518"/>
      <c r="AB153" s="518"/>
      <c r="AC153" s="518"/>
      <c r="AD153" s="518"/>
      <c r="AE153" s="518"/>
      <c r="AF153" s="518"/>
      <c r="AG153" s="518"/>
      <c r="AH153" s="518"/>
      <c r="AI153" s="518"/>
      <c r="AJ153" s="518"/>
      <c r="AK153" s="518"/>
      <c r="AL153" s="518"/>
      <c r="AM153" s="518"/>
      <c r="AN153" s="518"/>
      <c r="AO153" s="518"/>
      <c r="AP153" s="518"/>
      <c r="AQ153" s="518"/>
      <c r="AR153" s="518"/>
      <c r="AS153" s="518"/>
      <c r="AT153" s="518"/>
    </row>
    <row r="154" spans="3:46" ht="12.75" customHeight="1">
      <c r="C154" s="518"/>
      <c r="D154" s="518"/>
      <c r="E154" s="518"/>
      <c r="F154" s="518"/>
      <c r="G154" s="518"/>
      <c r="H154" s="518"/>
      <c r="I154" s="518"/>
      <c r="J154" s="518"/>
      <c r="K154" s="518"/>
      <c r="L154" s="518"/>
      <c r="M154" s="518"/>
      <c r="N154" s="518"/>
      <c r="O154" s="518"/>
      <c r="P154" s="518"/>
      <c r="Q154" s="518"/>
      <c r="R154" s="518"/>
      <c r="S154" s="518"/>
      <c r="T154" s="518"/>
      <c r="U154" s="518"/>
      <c r="V154" s="518"/>
      <c r="W154" s="518"/>
      <c r="X154" s="518"/>
      <c r="Y154" s="518"/>
      <c r="Z154" s="518"/>
      <c r="AA154" s="518"/>
      <c r="AB154" s="518"/>
      <c r="AC154" s="518"/>
      <c r="AD154" s="518"/>
      <c r="AE154" s="518"/>
      <c r="AF154" s="518"/>
      <c r="AG154" s="518"/>
      <c r="AH154" s="518"/>
      <c r="AI154" s="518"/>
      <c r="AJ154" s="518"/>
      <c r="AK154" s="518"/>
      <c r="AL154" s="518"/>
      <c r="AM154" s="518"/>
      <c r="AN154" s="518"/>
      <c r="AO154" s="518"/>
      <c r="AP154" s="518"/>
      <c r="AQ154" s="518"/>
      <c r="AR154" s="518"/>
      <c r="AS154" s="518"/>
      <c r="AT154" s="518"/>
    </row>
    <row r="155" spans="3:46" ht="12.75" customHeight="1">
      <c r="C155" s="518"/>
      <c r="D155" s="518"/>
      <c r="E155" s="518"/>
      <c r="F155" s="518"/>
      <c r="G155" s="518"/>
      <c r="H155" s="518"/>
      <c r="I155" s="518"/>
      <c r="J155" s="518"/>
      <c r="K155" s="518"/>
      <c r="L155" s="518"/>
      <c r="M155" s="518"/>
      <c r="N155" s="518"/>
      <c r="O155" s="518"/>
      <c r="P155" s="518"/>
      <c r="Q155" s="518"/>
      <c r="R155" s="518"/>
      <c r="S155" s="518"/>
      <c r="T155" s="518"/>
      <c r="U155" s="518"/>
      <c r="V155" s="518"/>
      <c r="W155" s="518"/>
      <c r="X155" s="518"/>
      <c r="Y155" s="518"/>
      <c r="Z155" s="518"/>
      <c r="AA155" s="518"/>
      <c r="AB155" s="518"/>
      <c r="AC155" s="518"/>
      <c r="AD155" s="518"/>
      <c r="AE155" s="518"/>
      <c r="AF155" s="518"/>
      <c r="AG155" s="518"/>
      <c r="AH155" s="518"/>
      <c r="AI155" s="518"/>
      <c r="AJ155" s="518"/>
      <c r="AK155" s="518"/>
      <c r="AL155" s="518"/>
      <c r="AM155" s="518"/>
      <c r="AN155" s="518"/>
      <c r="AO155" s="518"/>
      <c r="AP155" s="518"/>
      <c r="AQ155" s="518"/>
      <c r="AR155" s="518"/>
      <c r="AS155" s="518"/>
      <c r="AT155" s="518"/>
    </row>
    <row r="156" spans="3:46" ht="12.75" customHeight="1">
      <c r="C156" s="518"/>
      <c r="D156" s="518"/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518"/>
      <c r="P156" s="518"/>
      <c r="Q156" s="518"/>
      <c r="R156" s="518"/>
      <c r="S156" s="518"/>
      <c r="T156" s="518"/>
      <c r="U156" s="518"/>
      <c r="V156" s="518"/>
      <c r="W156" s="518"/>
      <c r="X156" s="518"/>
      <c r="Y156" s="518"/>
      <c r="Z156" s="518"/>
      <c r="AA156" s="518"/>
      <c r="AB156" s="518"/>
      <c r="AC156" s="518"/>
      <c r="AD156" s="518"/>
      <c r="AE156" s="518"/>
      <c r="AF156" s="518"/>
      <c r="AG156" s="518"/>
      <c r="AH156" s="518"/>
      <c r="AI156" s="518"/>
      <c r="AJ156" s="518"/>
      <c r="AK156" s="518"/>
      <c r="AL156" s="518"/>
      <c r="AM156" s="518"/>
      <c r="AN156" s="518"/>
      <c r="AO156" s="518"/>
      <c r="AP156" s="518"/>
      <c r="AQ156" s="518"/>
      <c r="AR156" s="518"/>
      <c r="AS156" s="518"/>
      <c r="AT156" s="518"/>
    </row>
    <row r="157" spans="3:46" ht="12.75" customHeight="1">
      <c r="C157" s="518"/>
      <c r="D157" s="518"/>
      <c r="E157" s="518"/>
      <c r="F157" s="518"/>
      <c r="G157" s="518"/>
      <c r="H157" s="518"/>
      <c r="I157" s="518"/>
      <c r="J157" s="518"/>
      <c r="K157" s="518"/>
      <c r="L157" s="518"/>
      <c r="M157" s="518"/>
      <c r="N157" s="518"/>
      <c r="O157" s="518"/>
      <c r="P157" s="518"/>
      <c r="Q157" s="518"/>
      <c r="R157" s="518"/>
      <c r="S157" s="518"/>
      <c r="T157" s="518"/>
      <c r="U157" s="518"/>
      <c r="V157" s="518"/>
      <c r="W157" s="518"/>
      <c r="X157" s="518"/>
      <c r="Y157" s="518"/>
      <c r="Z157" s="518"/>
      <c r="AA157" s="518"/>
      <c r="AB157" s="518"/>
      <c r="AC157" s="518"/>
      <c r="AD157" s="518"/>
      <c r="AE157" s="518"/>
      <c r="AF157" s="518"/>
      <c r="AG157" s="518"/>
      <c r="AH157" s="518"/>
      <c r="AI157" s="518"/>
      <c r="AJ157" s="518"/>
      <c r="AK157" s="518"/>
      <c r="AL157" s="518"/>
      <c r="AM157" s="518"/>
      <c r="AN157" s="518"/>
      <c r="AO157" s="518"/>
      <c r="AP157" s="518"/>
      <c r="AQ157" s="518"/>
      <c r="AR157" s="518"/>
      <c r="AS157" s="518"/>
      <c r="AT157" s="518"/>
    </row>
    <row r="158" spans="3:46" ht="12.75" customHeight="1">
      <c r="C158" s="518"/>
      <c r="D158" s="518"/>
      <c r="E158" s="518"/>
      <c r="F158" s="518"/>
      <c r="G158" s="518"/>
      <c r="H158" s="518"/>
      <c r="I158" s="518"/>
      <c r="J158" s="518"/>
      <c r="K158" s="518"/>
      <c r="L158" s="518"/>
      <c r="M158" s="518"/>
      <c r="N158" s="518"/>
      <c r="O158" s="518"/>
      <c r="P158" s="518"/>
      <c r="Q158" s="518"/>
      <c r="R158" s="518"/>
      <c r="S158" s="518"/>
      <c r="T158" s="518"/>
      <c r="U158" s="518"/>
      <c r="V158" s="518"/>
      <c r="W158" s="518"/>
      <c r="X158" s="518"/>
      <c r="Y158" s="518"/>
      <c r="Z158" s="518"/>
      <c r="AA158" s="518"/>
      <c r="AB158" s="518"/>
      <c r="AC158" s="518"/>
      <c r="AD158" s="518"/>
      <c r="AE158" s="518"/>
      <c r="AF158" s="518"/>
      <c r="AG158" s="518"/>
      <c r="AH158" s="518"/>
      <c r="AI158" s="518"/>
      <c r="AJ158" s="518"/>
      <c r="AK158" s="518"/>
      <c r="AL158" s="518"/>
      <c r="AM158" s="518"/>
      <c r="AN158" s="518"/>
      <c r="AO158" s="518"/>
      <c r="AP158" s="518"/>
      <c r="AQ158" s="518"/>
      <c r="AR158" s="518"/>
      <c r="AS158" s="518"/>
      <c r="AT158" s="518"/>
    </row>
    <row r="159" spans="3:46" ht="12.75" customHeight="1">
      <c r="C159" s="518"/>
      <c r="D159" s="518"/>
      <c r="E159" s="518"/>
      <c r="F159" s="518"/>
      <c r="G159" s="518"/>
      <c r="H159" s="518"/>
      <c r="I159" s="518"/>
      <c r="J159" s="518"/>
      <c r="K159" s="518"/>
      <c r="L159" s="518"/>
      <c r="M159" s="518"/>
      <c r="N159" s="518"/>
      <c r="O159" s="518"/>
      <c r="P159" s="518"/>
      <c r="Q159" s="518"/>
      <c r="R159" s="518"/>
      <c r="S159" s="518"/>
      <c r="T159" s="518"/>
      <c r="U159" s="518"/>
      <c r="V159" s="518"/>
      <c r="W159" s="518"/>
      <c r="X159" s="518"/>
      <c r="Y159" s="518"/>
      <c r="Z159" s="518"/>
      <c r="AA159" s="518"/>
      <c r="AB159" s="518"/>
      <c r="AC159" s="518"/>
      <c r="AD159" s="518"/>
      <c r="AE159" s="518"/>
      <c r="AF159" s="518"/>
      <c r="AG159" s="518"/>
      <c r="AH159" s="518"/>
      <c r="AI159" s="518"/>
      <c r="AJ159" s="518"/>
      <c r="AK159" s="518"/>
      <c r="AL159" s="518"/>
      <c r="AM159" s="518"/>
      <c r="AN159" s="518"/>
      <c r="AO159" s="518"/>
      <c r="AP159" s="518"/>
      <c r="AQ159" s="518"/>
      <c r="AR159" s="518"/>
      <c r="AS159" s="518"/>
      <c r="AT159" s="518"/>
    </row>
    <row r="160" spans="3:46" ht="12.75" customHeight="1"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P160" s="518"/>
      <c r="Q160" s="518"/>
      <c r="R160" s="518"/>
      <c r="S160" s="518"/>
      <c r="T160" s="518"/>
      <c r="U160" s="518"/>
      <c r="V160" s="518"/>
      <c r="W160" s="518"/>
      <c r="X160" s="518"/>
      <c r="Y160" s="518"/>
      <c r="Z160" s="518"/>
      <c r="AA160" s="518"/>
      <c r="AB160" s="518"/>
      <c r="AC160" s="518"/>
      <c r="AD160" s="518"/>
      <c r="AE160" s="518"/>
      <c r="AF160" s="518"/>
      <c r="AG160" s="518"/>
      <c r="AH160" s="518"/>
      <c r="AI160" s="518"/>
      <c r="AJ160" s="518"/>
      <c r="AK160" s="518"/>
      <c r="AL160" s="518"/>
      <c r="AM160" s="518"/>
      <c r="AN160" s="518"/>
      <c r="AO160" s="518"/>
      <c r="AP160" s="518"/>
      <c r="AQ160" s="518"/>
      <c r="AR160" s="518"/>
      <c r="AS160" s="518"/>
      <c r="AT160" s="518"/>
    </row>
    <row r="161" spans="3:46" ht="12.75" customHeight="1">
      <c r="C161" s="518"/>
      <c r="D161" s="518"/>
      <c r="E161" s="518"/>
      <c r="F161" s="518"/>
      <c r="G161" s="518"/>
      <c r="H161" s="518"/>
      <c r="I161" s="518"/>
      <c r="J161" s="518"/>
      <c r="K161" s="518"/>
      <c r="L161" s="518"/>
      <c r="M161" s="518"/>
      <c r="N161" s="518"/>
      <c r="O161" s="518"/>
      <c r="P161" s="518"/>
      <c r="Q161" s="518"/>
      <c r="R161" s="518"/>
      <c r="S161" s="518"/>
      <c r="T161" s="518"/>
      <c r="U161" s="518"/>
      <c r="V161" s="518"/>
      <c r="W161" s="518"/>
      <c r="X161" s="518"/>
      <c r="Y161" s="518"/>
      <c r="Z161" s="518"/>
      <c r="AA161" s="518"/>
      <c r="AB161" s="518"/>
      <c r="AC161" s="518"/>
      <c r="AD161" s="518"/>
      <c r="AE161" s="518"/>
      <c r="AF161" s="518"/>
      <c r="AG161" s="518"/>
      <c r="AH161" s="518"/>
      <c r="AI161" s="518"/>
      <c r="AJ161" s="518"/>
      <c r="AK161" s="518"/>
      <c r="AL161" s="518"/>
      <c r="AM161" s="518"/>
      <c r="AN161" s="518"/>
      <c r="AO161" s="518"/>
      <c r="AP161" s="518"/>
      <c r="AQ161" s="518"/>
      <c r="AR161" s="518"/>
      <c r="AS161" s="518"/>
      <c r="AT161" s="518"/>
    </row>
    <row r="162" spans="3:46" ht="12.75" customHeight="1">
      <c r="C162" s="518"/>
      <c r="D162" s="518"/>
      <c r="E162" s="518"/>
      <c r="F162" s="518"/>
      <c r="G162" s="518"/>
      <c r="H162" s="518"/>
      <c r="I162" s="518"/>
      <c r="J162" s="518"/>
      <c r="K162" s="518"/>
      <c r="L162" s="518"/>
      <c r="M162" s="518"/>
      <c r="N162" s="518"/>
      <c r="O162" s="518"/>
      <c r="P162" s="518"/>
      <c r="Q162" s="518"/>
      <c r="R162" s="518"/>
      <c r="S162" s="518"/>
      <c r="T162" s="518"/>
      <c r="U162" s="518"/>
      <c r="V162" s="518"/>
      <c r="W162" s="518"/>
      <c r="X162" s="518"/>
      <c r="Y162" s="518"/>
      <c r="Z162" s="518"/>
      <c r="AA162" s="518"/>
      <c r="AB162" s="518"/>
      <c r="AC162" s="518"/>
      <c r="AD162" s="518"/>
      <c r="AE162" s="518"/>
      <c r="AF162" s="518"/>
      <c r="AG162" s="518"/>
      <c r="AH162" s="518"/>
      <c r="AI162" s="518"/>
      <c r="AJ162" s="518"/>
      <c r="AK162" s="518"/>
      <c r="AL162" s="518"/>
      <c r="AM162" s="518"/>
      <c r="AN162" s="518"/>
      <c r="AO162" s="518"/>
      <c r="AP162" s="518"/>
      <c r="AQ162" s="518"/>
      <c r="AR162" s="518"/>
      <c r="AS162" s="518"/>
      <c r="AT162" s="518"/>
    </row>
    <row r="163" spans="3:46" ht="12.75" customHeight="1">
      <c r="C163" s="518"/>
      <c r="D163" s="518"/>
      <c r="E163" s="518"/>
      <c r="F163" s="518"/>
      <c r="G163" s="518"/>
      <c r="H163" s="518"/>
      <c r="I163" s="518"/>
      <c r="J163" s="518"/>
      <c r="K163" s="518"/>
      <c r="L163" s="518"/>
      <c r="M163" s="518"/>
      <c r="N163" s="518"/>
      <c r="O163" s="518"/>
      <c r="P163" s="518"/>
      <c r="Q163" s="518"/>
      <c r="R163" s="518"/>
      <c r="S163" s="518"/>
      <c r="T163" s="518"/>
      <c r="U163" s="518"/>
      <c r="V163" s="518"/>
      <c r="W163" s="518"/>
      <c r="X163" s="518"/>
      <c r="Y163" s="518"/>
      <c r="Z163" s="518"/>
      <c r="AA163" s="518"/>
      <c r="AB163" s="518"/>
      <c r="AC163" s="518"/>
      <c r="AD163" s="518"/>
      <c r="AE163" s="518"/>
      <c r="AF163" s="518"/>
      <c r="AG163" s="518"/>
      <c r="AH163" s="518"/>
      <c r="AI163" s="518"/>
      <c r="AJ163" s="518"/>
      <c r="AK163" s="518"/>
      <c r="AL163" s="518"/>
      <c r="AM163" s="518"/>
      <c r="AN163" s="518"/>
      <c r="AO163" s="518"/>
      <c r="AP163" s="518"/>
      <c r="AQ163" s="518"/>
      <c r="AR163" s="518"/>
      <c r="AS163" s="518"/>
      <c r="AT163" s="518"/>
    </row>
    <row r="164" spans="3:46" ht="12.75" customHeight="1">
      <c r="C164" s="518"/>
      <c r="D164" s="518"/>
      <c r="E164" s="518"/>
      <c r="F164" s="518"/>
      <c r="G164" s="518"/>
      <c r="H164" s="518"/>
      <c r="I164" s="518"/>
      <c r="J164" s="518"/>
      <c r="K164" s="518"/>
      <c r="L164" s="518"/>
      <c r="M164" s="518"/>
      <c r="N164" s="518"/>
      <c r="O164" s="518"/>
      <c r="P164" s="518"/>
      <c r="Q164" s="518"/>
      <c r="R164" s="518"/>
      <c r="S164" s="518"/>
      <c r="T164" s="518"/>
      <c r="U164" s="518"/>
      <c r="V164" s="518"/>
      <c r="W164" s="518"/>
      <c r="X164" s="518"/>
      <c r="Y164" s="518"/>
      <c r="Z164" s="518"/>
      <c r="AA164" s="518"/>
      <c r="AB164" s="518"/>
      <c r="AC164" s="518"/>
      <c r="AD164" s="518"/>
      <c r="AE164" s="518"/>
      <c r="AF164" s="518"/>
      <c r="AG164" s="518"/>
      <c r="AH164" s="518"/>
      <c r="AI164" s="518"/>
      <c r="AJ164" s="518"/>
      <c r="AK164" s="518"/>
      <c r="AL164" s="518"/>
      <c r="AM164" s="518"/>
      <c r="AN164" s="518"/>
      <c r="AO164" s="518"/>
      <c r="AP164" s="518"/>
      <c r="AQ164" s="518"/>
      <c r="AR164" s="518"/>
      <c r="AS164" s="518"/>
      <c r="AT164" s="518"/>
    </row>
    <row r="165" spans="3:46" ht="12.75" customHeight="1">
      <c r="C165" s="518"/>
      <c r="D165" s="518"/>
      <c r="E165" s="518"/>
      <c r="F165" s="518"/>
      <c r="G165" s="518"/>
      <c r="H165" s="518"/>
      <c r="I165" s="518"/>
      <c r="J165" s="518"/>
      <c r="K165" s="518"/>
      <c r="L165" s="518"/>
      <c r="M165" s="518"/>
      <c r="N165" s="518"/>
      <c r="O165" s="518"/>
      <c r="P165" s="518"/>
      <c r="Q165" s="518"/>
      <c r="R165" s="518"/>
      <c r="S165" s="518"/>
      <c r="T165" s="518"/>
      <c r="U165" s="518"/>
      <c r="V165" s="518"/>
      <c r="W165" s="518"/>
      <c r="X165" s="518"/>
      <c r="Y165" s="518"/>
      <c r="Z165" s="518"/>
      <c r="AA165" s="518"/>
      <c r="AB165" s="518"/>
      <c r="AC165" s="518"/>
      <c r="AD165" s="518"/>
      <c r="AE165" s="518"/>
      <c r="AF165" s="518"/>
      <c r="AG165" s="518"/>
      <c r="AH165" s="518"/>
      <c r="AI165" s="518"/>
      <c r="AJ165" s="518"/>
      <c r="AK165" s="518"/>
      <c r="AL165" s="518"/>
      <c r="AM165" s="518"/>
      <c r="AN165" s="518"/>
      <c r="AO165" s="518"/>
      <c r="AP165" s="518"/>
      <c r="AQ165" s="518"/>
      <c r="AR165" s="518"/>
      <c r="AS165" s="518"/>
      <c r="AT165" s="518"/>
    </row>
    <row r="166" spans="3:46" ht="12.75" customHeight="1">
      <c r="C166" s="518"/>
      <c r="D166" s="518"/>
      <c r="E166" s="518"/>
      <c r="F166" s="518"/>
      <c r="G166" s="518"/>
      <c r="H166" s="518"/>
      <c r="I166" s="518"/>
      <c r="J166" s="518"/>
      <c r="K166" s="518"/>
      <c r="L166" s="518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  <c r="AB166" s="518"/>
      <c r="AC166" s="518"/>
      <c r="AD166" s="518"/>
      <c r="AE166" s="518"/>
      <c r="AF166" s="518"/>
      <c r="AG166" s="518"/>
      <c r="AH166" s="518"/>
      <c r="AI166" s="518"/>
      <c r="AJ166" s="518"/>
      <c r="AK166" s="518"/>
      <c r="AL166" s="518"/>
      <c r="AM166" s="518"/>
      <c r="AN166" s="518"/>
      <c r="AO166" s="518"/>
      <c r="AP166" s="518"/>
      <c r="AQ166" s="518"/>
      <c r="AR166" s="518"/>
      <c r="AS166" s="518"/>
      <c r="AT166" s="518"/>
    </row>
    <row r="167" spans="3:46" ht="12.75" customHeight="1">
      <c r="C167" s="518"/>
      <c r="D167" s="518"/>
      <c r="E167" s="518"/>
      <c r="F167" s="518"/>
      <c r="G167" s="518"/>
      <c r="H167" s="518"/>
      <c r="I167" s="518"/>
      <c r="J167" s="518"/>
      <c r="K167" s="518"/>
      <c r="L167" s="518"/>
      <c r="M167" s="518"/>
      <c r="N167" s="518"/>
      <c r="O167" s="518"/>
      <c r="P167" s="518"/>
      <c r="Q167" s="518"/>
      <c r="R167" s="518"/>
      <c r="S167" s="518"/>
      <c r="T167" s="518"/>
      <c r="U167" s="518"/>
      <c r="V167" s="518"/>
      <c r="W167" s="518"/>
      <c r="X167" s="518"/>
      <c r="Y167" s="518"/>
      <c r="Z167" s="518"/>
      <c r="AA167" s="518"/>
      <c r="AB167" s="518"/>
      <c r="AC167" s="518"/>
      <c r="AD167" s="518"/>
      <c r="AE167" s="518"/>
      <c r="AF167" s="518"/>
      <c r="AG167" s="518"/>
      <c r="AH167" s="518"/>
      <c r="AI167" s="518"/>
      <c r="AJ167" s="518"/>
      <c r="AK167" s="518"/>
      <c r="AL167" s="518"/>
      <c r="AM167" s="518"/>
      <c r="AN167" s="518"/>
      <c r="AO167" s="518"/>
      <c r="AP167" s="518"/>
      <c r="AQ167" s="518"/>
      <c r="AR167" s="518"/>
      <c r="AS167" s="518"/>
      <c r="AT167" s="518"/>
    </row>
    <row r="168" spans="3:46" ht="12.75" customHeight="1">
      <c r="C168" s="518"/>
      <c r="D168" s="518"/>
      <c r="E168" s="518"/>
      <c r="F168" s="518"/>
      <c r="G168" s="518"/>
      <c r="H168" s="518"/>
      <c r="I168" s="518"/>
      <c r="J168" s="518"/>
      <c r="K168" s="518"/>
      <c r="L168" s="518"/>
      <c r="M168" s="518"/>
      <c r="N168" s="518"/>
      <c r="O168" s="518"/>
      <c r="P168" s="518"/>
      <c r="Q168" s="518"/>
      <c r="R168" s="518"/>
      <c r="S168" s="518"/>
      <c r="T168" s="518"/>
      <c r="U168" s="518"/>
      <c r="V168" s="518"/>
      <c r="W168" s="518"/>
      <c r="X168" s="518"/>
      <c r="Y168" s="518"/>
      <c r="Z168" s="518"/>
      <c r="AA168" s="518"/>
      <c r="AB168" s="518"/>
      <c r="AC168" s="518"/>
      <c r="AD168" s="518"/>
      <c r="AE168" s="518"/>
      <c r="AF168" s="518"/>
      <c r="AG168" s="518"/>
      <c r="AH168" s="518"/>
      <c r="AI168" s="518"/>
      <c r="AJ168" s="518"/>
      <c r="AK168" s="518"/>
      <c r="AL168" s="518"/>
      <c r="AM168" s="518"/>
      <c r="AN168" s="518"/>
      <c r="AO168" s="518"/>
      <c r="AP168" s="518"/>
      <c r="AQ168" s="518"/>
      <c r="AR168" s="518"/>
      <c r="AS168" s="518"/>
      <c r="AT168" s="518"/>
    </row>
    <row r="169" spans="3:46" ht="12.75" customHeight="1">
      <c r="C169" s="518"/>
      <c r="D169" s="518"/>
      <c r="E169" s="518"/>
      <c r="F169" s="518"/>
      <c r="G169" s="518"/>
      <c r="H169" s="518"/>
      <c r="I169" s="518"/>
      <c r="J169" s="518"/>
      <c r="K169" s="518"/>
      <c r="L169" s="518"/>
      <c r="M169" s="518"/>
      <c r="N169" s="518"/>
      <c r="O169" s="518"/>
      <c r="P169" s="518"/>
      <c r="Q169" s="518"/>
      <c r="R169" s="518"/>
      <c r="S169" s="518"/>
      <c r="T169" s="518"/>
      <c r="U169" s="518"/>
      <c r="V169" s="518"/>
      <c r="W169" s="518"/>
      <c r="X169" s="518"/>
      <c r="Y169" s="518"/>
      <c r="Z169" s="518"/>
      <c r="AA169" s="518"/>
      <c r="AB169" s="518"/>
      <c r="AC169" s="518"/>
      <c r="AD169" s="518"/>
      <c r="AE169" s="518"/>
      <c r="AF169" s="518"/>
      <c r="AG169" s="518"/>
      <c r="AH169" s="518"/>
      <c r="AI169" s="518"/>
      <c r="AJ169" s="518"/>
      <c r="AK169" s="518"/>
      <c r="AL169" s="518"/>
      <c r="AM169" s="518"/>
      <c r="AN169" s="518"/>
      <c r="AO169" s="518"/>
      <c r="AP169" s="518"/>
      <c r="AQ169" s="518"/>
      <c r="AR169" s="518"/>
      <c r="AS169" s="518"/>
      <c r="AT169" s="518"/>
    </row>
    <row r="170" spans="3:46" ht="12.75" customHeight="1">
      <c r="C170" s="518"/>
      <c r="D170" s="518"/>
      <c r="E170" s="518"/>
      <c r="F170" s="518"/>
      <c r="G170" s="518"/>
      <c r="H170" s="518"/>
      <c r="I170" s="518"/>
      <c r="J170" s="518"/>
      <c r="K170" s="518"/>
      <c r="L170" s="518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  <c r="AB170" s="518"/>
      <c r="AC170" s="518"/>
      <c r="AD170" s="518"/>
      <c r="AE170" s="518"/>
      <c r="AF170" s="518"/>
      <c r="AG170" s="518"/>
      <c r="AH170" s="518"/>
      <c r="AI170" s="518"/>
      <c r="AJ170" s="518"/>
      <c r="AK170" s="518"/>
      <c r="AL170" s="518"/>
      <c r="AM170" s="518"/>
      <c r="AN170" s="518"/>
      <c r="AO170" s="518"/>
      <c r="AP170" s="518"/>
      <c r="AQ170" s="518"/>
      <c r="AR170" s="518"/>
      <c r="AS170" s="518"/>
      <c r="AT170" s="518"/>
    </row>
    <row r="171" spans="3:46" ht="12.75" customHeight="1">
      <c r="C171" s="518"/>
      <c r="D171" s="518"/>
      <c r="E171" s="518"/>
      <c r="F171" s="518"/>
      <c r="G171" s="518"/>
      <c r="H171" s="518"/>
      <c r="I171" s="518"/>
      <c r="J171" s="518"/>
      <c r="K171" s="518"/>
      <c r="L171" s="518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  <c r="AB171" s="518"/>
      <c r="AC171" s="518"/>
      <c r="AD171" s="518"/>
      <c r="AE171" s="518"/>
      <c r="AF171" s="518"/>
      <c r="AG171" s="518"/>
      <c r="AH171" s="518"/>
      <c r="AI171" s="518"/>
      <c r="AJ171" s="518"/>
      <c r="AK171" s="518"/>
      <c r="AL171" s="518"/>
      <c r="AM171" s="518"/>
      <c r="AN171" s="518"/>
      <c r="AO171" s="518"/>
      <c r="AP171" s="518"/>
      <c r="AQ171" s="518"/>
      <c r="AR171" s="518"/>
      <c r="AS171" s="518"/>
      <c r="AT171" s="518"/>
    </row>
    <row r="172" spans="3:46" ht="12.75" customHeight="1">
      <c r="C172" s="518"/>
      <c r="D172" s="518"/>
      <c r="E172" s="518"/>
      <c r="F172" s="518"/>
      <c r="G172" s="518"/>
      <c r="H172" s="518"/>
      <c r="I172" s="518"/>
      <c r="J172" s="518"/>
      <c r="K172" s="518"/>
      <c r="L172" s="518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  <c r="AB172" s="518"/>
      <c r="AC172" s="518"/>
      <c r="AD172" s="518"/>
      <c r="AE172" s="518"/>
      <c r="AF172" s="518"/>
      <c r="AG172" s="518"/>
      <c r="AH172" s="518"/>
      <c r="AI172" s="518"/>
      <c r="AJ172" s="518"/>
      <c r="AK172" s="518"/>
      <c r="AL172" s="518"/>
      <c r="AM172" s="518"/>
      <c r="AN172" s="518"/>
      <c r="AO172" s="518"/>
      <c r="AP172" s="518"/>
      <c r="AQ172" s="518"/>
      <c r="AR172" s="518"/>
      <c r="AS172" s="518"/>
      <c r="AT172" s="518"/>
    </row>
    <row r="173" spans="3:46" ht="12.75" customHeight="1">
      <c r="C173" s="518"/>
      <c r="D173" s="518"/>
      <c r="E173" s="518"/>
      <c r="F173" s="518"/>
      <c r="G173" s="518"/>
      <c r="H173" s="518"/>
      <c r="I173" s="518"/>
      <c r="J173" s="518"/>
      <c r="K173" s="518"/>
      <c r="L173" s="518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  <c r="AB173" s="518"/>
      <c r="AC173" s="518"/>
      <c r="AD173" s="518"/>
      <c r="AE173" s="518"/>
      <c r="AF173" s="518"/>
      <c r="AG173" s="518"/>
      <c r="AH173" s="518"/>
      <c r="AI173" s="518"/>
      <c r="AJ173" s="518"/>
      <c r="AK173" s="518"/>
      <c r="AL173" s="518"/>
      <c r="AM173" s="518"/>
      <c r="AN173" s="518"/>
      <c r="AO173" s="518"/>
      <c r="AP173" s="518"/>
      <c r="AQ173" s="518"/>
      <c r="AR173" s="518"/>
      <c r="AS173" s="518"/>
      <c r="AT173" s="518"/>
    </row>
    <row r="174" spans="3:46" ht="12.75" customHeight="1">
      <c r="C174" s="518"/>
      <c r="D174" s="518"/>
      <c r="E174" s="518"/>
      <c r="F174" s="518"/>
      <c r="G174" s="518"/>
      <c r="H174" s="518"/>
      <c r="I174" s="518"/>
      <c r="J174" s="518"/>
      <c r="K174" s="518"/>
      <c r="L174" s="518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  <c r="AB174" s="518"/>
      <c r="AC174" s="518"/>
      <c r="AD174" s="518"/>
      <c r="AE174" s="518"/>
      <c r="AF174" s="518"/>
      <c r="AG174" s="518"/>
      <c r="AH174" s="518"/>
      <c r="AI174" s="518"/>
      <c r="AJ174" s="518"/>
      <c r="AK174" s="518"/>
      <c r="AL174" s="518"/>
      <c r="AM174" s="518"/>
      <c r="AN174" s="518"/>
      <c r="AO174" s="518"/>
      <c r="AP174" s="518"/>
      <c r="AQ174" s="518"/>
      <c r="AR174" s="518"/>
      <c r="AS174" s="518"/>
      <c r="AT174" s="518"/>
    </row>
    <row r="175" spans="3:46" ht="12.75" customHeight="1">
      <c r="C175" s="518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  <c r="AB175" s="518"/>
      <c r="AC175" s="518"/>
      <c r="AD175" s="518"/>
      <c r="AE175" s="518"/>
      <c r="AF175" s="518"/>
      <c r="AG175" s="518"/>
      <c r="AH175" s="518"/>
      <c r="AI175" s="518"/>
      <c r="AJ175" s="518"/>
      <c r="AK175" s="518"/>
      <c r="AL175" s="518"/>
      <c r="AM175" s="518"/>
      <c r="AN175" s="518"/>
      <c r="AO175" s="518"/>
      <c r="AP175" s="518"/>
      <c r="AQ175" s="518"/>
      <c r="AR175" s="518"/>
      <c r="AS175" s="518"/>
      <c r="AT175" s="518"/>
    </row>
    <row r="176" spans="3:46" ht="12.75" customHeight="1">
      <c r="C176" s="518"/>
      <c r="D176" s="518"/>
      <c r="E176" s="518"/>
      <c r="F176" s="518"/>
      <c r="G176" s="518"/>
      <c r="H176" s="518"/>
      <c r="I176" s="518"/>
      <c r="J176" s="518"/>
      <c r="K176" s="518"/>
      <c r="L176" s="518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  <c r="AB176" s="518"/>
      <c r="AC176" s="518"/>
      <c r="AD176" s="518"/>
      <c r="AE176" s="518"/>
      <c r="AF176" s="518"/>
      <c r="AG176" s="518"/>
      <c r="AH176" s="518"/>
      <c r="AI176" s="518"/>
      <c r="AJ176" s="518"/>
      <c r="AK176" s="518"/>
      <c r="AL176" s="518"/>
      <c r="AM176" s="518"/>
      <c r="AN176" s="518"/>
      <c r="AO176" s="518"/>
      <c r="AP176" s="518"/>
      <c r="AQ176" s="518"/>
      <c r="AR176" s="518"/>
      <c r="AS176" s="518"/>
      <c r="AT176" s="518"/>
    </row>
    <row r="177" spans="3:46" ht="12.75" customHeight="1">
      <c r="C177" s="518"/>
      <c r="D177" s="518"/>
      <c r="E177" s="518"/>
      <c r="F177" s="518"/>
      <c r="G177" s="518"/>
      <c r="H177" s="518"/>
      <c r="I177" s="518"/>
      <c r="J177" s="518"/>
      <c r="K177" s="518"/>
      <c r="L177" s="518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  <c r="AB177" s="518"/>
      <c r="AC177" s="518"/>
      <c r="AD177" s="518"/>
      <c r="AE177" s="518"/>
      <c r="AF177" s="518"/>
      <c r="AG177" s="518"/>
      <c r="AH177" s="518"/>
      <c r="AI177" s="518"/>
      <c r="AJ177" s="518"/>
      <c r="AK177" s="518"/>
      <c r="AL177" s="518"/>
      <c r="AM177" s="518"/>
      <c r="AN177" s="518"/>
      <c r="AO177" s="518"/>
      <c r="AP177" s="518"/>
      <c r="AQ177" s="518"/>
      <c r="AR177" s="518"/>
      <c r="AS177" s="518"/>
      <c r="AT177" s="518"/>
    </row>
    <row r="178" spans="3:46" ht="12.75" customHeight="1">
      <c r="C178" s="518"/>
      <c r="D178" s="518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  <c r="AB178" s="518"/>
      <c r="AC178" s="518"/>
      <c r="AD178" s="518"/>
      <c r="AE178" s="518"/>
      <c r="AF178" s="518"/>
      <c r="AG178" s="518"/>
      <c r="AH178" s="518"/>
      <c r="AI178" s="518"/>
      <c r="AJ178" s="518"/>
      <c r="AK178" s="518"/>
      <c r="AL178" s="518"/>
      <c r="AM178" s="518"/>
      <c r="AN178" s="518"/>
      <c r="AO178" s="518"/>
      <c r="AP178" s="518"/>
      <c r="AQ178" s="518"/>
      <c r="AR178" s="518"/>
      <c r="AS178" s="518"/>
      <c r="AT178" s="518"/>
    </row>
    <row r="179" spans="3:46" ht="12.75" customHeight="1">
      <c r="C179" s="518"/>
      <c r="D179" s="518"/>
      <c r="E179" s="518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  <c r="AB179" s="518"/>
      <c r="AC179" s="518"/>
      <c r="AD179" s="518"/>
      <c r="AE179" s="518"/>
      <c r="AF179" s="518"/>
      <c r="AG179" s="518"/>
      <c r="AH179" s="518"/>
      <c r="AI179" s="518"/>
      <c r="AJ179" s="518"/>
      <c r="AK179" s="518"/>
      <c r="AL179" s="518"/>
      <c r="AM179" s="518"/>
      <c r="AN179" s="518"/>
      <c r="AO179" s="518"/>
      <c r="AP179" s="518"/>
      <c r="AQ179" s="518"/>
      <c r="AR179" s="518"/>
      <c r="AS179" s="518"/>
      <c r="AT179" s="518"/>
    </row>
    <row r="180" spans="3:46" ht="12.75" customHeight="1">
      <c r="C180" s="518"/>
      <c r="D180" s="518"/>
      <c r="E180" s="518"/>
      <c r="F180" s="518"/>
      <c r="G180" s="518"/>
      <c r="H180" s="518"/>
      <c r="I180" s="518"/>
      <c r="J180" s="518"/>
      <c r="K180" s="518"/>
      <c r="L180" s="518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  <c r="AB180" s="518"/>
      <c r="AC180" s="518"/>
      <c r="AD180" s="518"/>
      <c r="AE180" s="518"/>
      <c r="AF180" s="518"/>
      <c r="AG180" s="518"/>
      <c r="AH180" s="518"/>
      <c r="AI180" s="518"/>
      <c r="AJ180" s="518"/>
      <c r="AK180" s="518"/>
      <c r="AL180" s="518"/>
      <c r="AM180" s="518"/>
      <c r="AN180" s="518"/>
      <c r="AO180" s="518"/>
      <c r="AP180" s="518"/>
      <c r="AQ180" s="518"/>
      <c r="AR180" s="518"/>
      <c r="AS180" s="518"/>
      <c r="AT180" s="518"/>
    </row>
    <row r="181" spans="3:46" ht="12.75" customHeight="1"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  <c r="AB181" s="518"/>
      <c r="AC181" s="518"/>
      <c r="AD181" s="518"/>
      <c r="AE181" s="518"/>
      <c r="AF181" s="518"/>
      <c r="AG181" s="518"/>
      <c r="AH181" s="518"/>
      <c r="AI181" s="518"/>
      <c r="AJ181" s="518"/>
      <c r="AK181" s="518"/>
      <c r="AL181" s="518"/>
      <c r="AM181" s="518"/>
      <c r="AN181" s="518"/>
      <c r="AO181" s="518"/>
      <c r="AP181" s="518"/>
      <c r="AQ181" s="518"/>
      <c r="AR181" s="518"/>
      <c r="AS181" s="518"/>
      <c r="AT181" s="518"/>
    </row>
    <row r="182" spans="3:46" ht="12.75" customHeight="1">
      <c r="C182" s="518"/>
      <c r="D182" s="518"/>
      <c r="E182" s="518"/>
      <c r="F182" s="518"/>
      <c r="G182" s="518"/>
      <c r="H182" s="518"/>
      <c r="I182" s="518"/>
      <c r="J182" s="518"/>
      <c r="K182" s="518"/>
      <c r="L182" s="518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  <c r="AB182" s="518"/>
      <c r="AC182" s="518"/>
      <c r="AD182" s="518"/>
      <c r="AE182" s="518"/>
      <c r="AF182" s="518"/>
      <c r="AG182" s="518"/>
      <c r="AH182" s="518"/>
      <c r="AI182" s="518"/>
      <c r="AJ182" s="518"/>
      <c r="AK182" s="518"/>
      <c r="AL182" s="518"/>
      <c r="AM182" s="518"/>
      <c r="AN182" s="518"/>
      <c r="AO182" s="518"/>
      <c r="AP182" s="518"/>
      <c r="AQ182" s="518"/>
      <c r="AR182" s="518"/>
      <c r="AS182" s="518"/>
      <c r="AT182" s="518"/>
    </row>
    <row r="183" spans="3:46" ht="12.75" customHeight="1">
      <c r="C183" s="518"/>
      <c r="D183" s="518"/>
      <c r="E183" s="518"/>
      <c r="F183" s="518"/>
      <c r="G183" s="518"/>
      <c r="H183" s="518"/>
      <c r="I183" s="518"/>
      <c r="J183" s="518"/>
      <c r="K183" s="518"/>
      <c r="L183" s="518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  <c r="AB183" s="518"/>
      <c r="AC183" s="518"/>
      <c r="AD183" s="518"/>
      <c r="AE183" s="518"/>
      <c r="AF183" s="518"/>
      <c r="AG183" s="518"/>
      <c r="AH183" s="518"/>
      <c r="AI183" s="518"/>
      <c r="AJ183" s="518"/>
      <c r="AK183" s="518"/>
      <c r="AL183" s="518"/>
      <c r="AM183" s="518"/>
      <c r="AN183" s="518"/>
      <c r="AO183" s="518"/>
      <c r="AP183" s="518"/>
      <c r="AQ183" s="518"/>
      <c r="AR183" s="518"/>
      <c r="AS183" s="518"/>
      <c r="AT183" s="518"/>
    </row>
    <row r="184" spans="3:46" ht="12.75" customHeight="1">
      <c r="C184" s="518"/>
      <c r="D184" s="518"/>
      <c r="E184" s="518"/>
      <c r="F184" s="518"/>
      <c r="G184" s="518"/>
      <c r="H184" s="518"/>
      <c r="I184" s="518"/>
      <c r="J184" s="518"/>
      <c r="K184" s="518"/>
      <c r="L184" s="518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  <c r="AB184" s="518"/>
      <c r="AC184" s="518"/>
      <c r="AD184" s="518"/>
      <c r="AE184" s="518"/>
      <c r="AF184" s="518"/>
      <c r="AG184" s="518"/>
      <c r="AH184" s="518"/>
      <c r="AI184" s="518"/>
      <c r="AJ184" s="518"/>
      <c r="AK184" s="518"/>
      <c r="AL184" s="518"/>
      <c r="AM184" s="518"/>
      <c r="AN184" s="518"/>
      <c r="AO184" s="518"/>
      <c r="AP184" s="518"/>
      <c r="AQ184" s="518"/>
      <c r="AR184" s="518"/>
      <c r="AS184" s="518"/>
      <c r="AT184" s="518"/>
    </row>
    <row r="185" spans="3:46" ht="12.75" customHeight="1">
      <c r="C185" s="518"/>
      <c r="D185" s="518"/>
      <c r="E185" s="518"/>
      <c r="F185" s="518"/>
      <c r="G185" s="518"/>
      <c r="H185" s="518"/>
      <c r="I185" s="518"/>
      <c r="J185" s="518"/>
      <c r="K185" s="518"/>
      <c r="L185" s="518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  <c r="AB185" s="518"/>
      <c r="AC185" s="518"/>
      <c r="AD185" s="518"/>
      <c r="AE185" s="518"/>
      <c r="AF185" s="518"/>
      <c r="AG185" s="518"/>
      <c r="AH185" s="518"/>
      <c r="AI185" s="518"/>
      <c r="AJ185" s="518"/>
      <c r="AK185" s="518"/>
      <c r="AL185" s="518"/>
      <c r="AM185" s="518"/>
      <c r="AN185" s="518"/>
      <c r="AO185" s="518"/>
      <c r="AP185" s="518"/>
      <c r="AQ185" s="518"/>
      <c r="AR185" s="518"/>
      <c r="AS185" s="518"/>
      <c r="AT185" s="518"/>
    </row>
    <row r="186" spans="3:46" ht="12.75" customHeight="1">
      <c r="C186" s="518"/>
      <c r="D186" s="518"/>
      <c r="E186" s="518"/>
      <c r="F186" s="518"/>
      <c r="G186" s="518"/>
      <c r="H186" s="518"/>
      <c r="I186" s="518"/>
      <c r="J186" s="518"/>
      <c r="K186" s="518"/>
      <c r="L186" s="518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  <c r="AB186" s="518"/>
      <c r="AC186" s="518"/>
      <c r="AD186" s="518"/>
      <c r="AE186" s="518"/>
      <c r="AF186" s="518"/>
      <c r="AG186" s="518"/>
      <c r="AH186" s="518"/>
      <c r="AI186" s="518"/>
      <c r="AJ186" s="518"/>
      <c r="AK186" s="518"/>
      <c r="AL186" s="518"/>
      <c r="AM186" s="518"/>
      <c r="AN186" s="518"/>
      <c r="AO186" s="518"/>
      <c r="AP186" s="518"/>
      <c r="AQ186" s="518"/>
      <c r="AR186" s="518"/>
      <c r="AS186" s="518"/>
      <c r="AT186" s="518"/>
    </row>
    <row r="187" spans="3:46" ht="12.75" customHeight="1">
      <c r="C187" s="518"/>
      <c r="D187" s="518"/>
      <c r="E187" s="518"/>
      <c r="F187" s="518"/>
      <c r="G187" s="518"/>
      <c r="H187" s="518"/>
      <c r="I187" s="518"/>
      <c r="J187" s="518"/>
      <c r="K187" s="518"/>
      <c r="L187" s="518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  <c r="AB187" s="518"/>
      <c r="AC187" s="518"/>
      <c r="AD187" s="518"/>
      <c r="AE187" s="518"/>
      <c r="AF187" s="518"/>
      <c r="AG187" s="518"/>
      <c r="AH187" s="518"/>
      <c r="AI187" s="518"/>
      <c r="AJ187" s="518"/>
      <c r="AK187" s="518"/>
      <c r="AL187" s="518"/>
      <c r="AM187" s="518"/>
      <c r="AN187" s="518"/>
      <c r="AO187" s="518"/>
      <c r="AP187" s="518"/>
      <c r="AQ187" s="518"/>
      <c r="AR187" s="518"/>
      <c r="AS187" s="518"/>
      <c r="AT187" s="518"/>
    </row>
    <row r="188" spans="3:46" ht="12.75" customHeight="1">
      <c r="C188" s="518"/>
      <c r="D188" s="518"/>
      <c r="E188" s="518"/>
      <c r="F188" s="518"/>
      <c r="G188" s="518"/>
      <c r="H188" s="518"/>
      <c r="I188" s="518"/>
      <c r="J188" s="518"/>
      <c r="K188" s="518"/>
      <c r="L188" s="518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  <c r="AB188" s="518"/>
      <c r="AC188" s="518"/>
      <c r="AD188" s="518"/>
      <c r="AE188" s="518"/>
      <c r="AF188" s="518"/>
      <c r="AG188" s="518"/>
      <c r="AH188" s="518"/>
      <c r="AI188" s="518"/>
      <c r="AJ188" s="518"/>
      <c r="AK188" s="518"/>
      <c r="AL188" s="518"/>
      <c r="AM188" s="518"/>
      <c r="AN188" s="518"/>
      <c r="AO188" s="518"/>
      <c r="AP188" s="518"/>
      <c r="AQ188" s="518"/>
      <c r="AR188" s="518"/>
      <c r="AS188" s="518"/>
      <c r="AT188" s="518"/>
    </row>
    <row r="189" spans="3:46" ht="12.75" customHeight="1">
      <c r="C189" s="518"/>
      <c r="D189" s="518"/>
      <c r="E189" s="518"/>
      <c r="F189" s="518"/>
      <c r="G189" s="518"/>
      <c r="H189" s="518"/>
      <c r="I189" s="518"/>
      <c r="J189" s="518"/>
      <c r="K189" s="518"/>
      <c r="L189" s="518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  <c r="AB189" s="518"/>
      <c r="AC189" s="518"/>
      <c r="AD189" s="518"/>
      <c r="AE189" s="518"/>
      <c r="AF189" s="518"/>
      <c r="AG189" s="518"/>
      <c r="AH189" s="518"/>
      <c r="AI189" s="518"/>
      <c r="AJ189" s="518"/>
      <c r="AK189" s="518"/>
      <c r="AL189" s="518"/>
      <c r="AM189" s="518"/>
      <c r="AN189" s="518"/>
      <c r="AO189" s="518"/>
      <c r="AP189" s="518"/>
      <c r="AQ189" s="518"/>
      <c r="AR189" s="518"/>
      <c r="AS189" s="518"/>
      <c r="AT189" s="518"/>
    </row>
    <row r="190" spans="3:46" ht="12.75" customHeight="1">
      <c r="C190" s="518"/>
      <c r="D190" s="518"/>
      <c r="E190" s="518"/>
      <c r="F190" s="518"/>
      <c r="G190" s="518"/>
      <c r="H190" s="518"/>
      <c r="I190" s="518"/>
      <c r="J190" s="518"/>
      <c r="K190" s="518"/>
      <c r="L190" s="518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  <c r="AB190" s="518"/>
      <c r="AC190" s="518"/>
      <c r="AD190" s="518"/>
      <c r="AE190" s="518"/>
      <c r="AF190" s="518"/>
      <c r="AG190" s="518"/>
      <c r="AH190" s="518"/>
      <c r="AI190" s="518"/>
      <c r="AJ190" s="518"/>
      <c r="AK190" s="518"/>
      <c r="AL190" s="518"/>
      <c r="AM190" s="518"/>
      <c r="AN190" s="518"/>
      <c r="AO190" s="518"/>
      <c r="AP190" s="518"/>
      <c r="AQ190" s="518"/>
      <c r="AR190" s="518"/>
      <c r="AS190" s="518"/>
      <c r="AT190" s="518"/>
    </row>
    <row r="191" spans="3:46" ht="12.75" customHeight="1">
      <c r="C191" s="518"/>
      <c r="D191" s="518"/>
      <c r="E191" s="518"/>
      <c r="F191" s="518"/>
      <c r="G191" s="518"/>
      <c r="H191" s="518"/>
      <c r="I191" s="518"/>
      <c r="J191" s="518"/>
      <c r="K191" s="518"/>
      <c r="L191" s="518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  <c r="AB191" s="518"/>
      <c r="AC191" s="518"/>
      <c r="AD191" s="518"/>
      <c r="AE191" s="518"/>
      <c r="AF191" s="518"/>
      <c r="AG191" s="518"/>
      <c r="AH191" s="518"/>
      <c r="AI191" s="518"/>
      <c r="AJ191" s="518"/>
      <c r="AK191" s="518"/>
      <c r="AL191" s="518"/>
      <c r="AM191" s="518"/>
      <c r="AN191" s="518"/>
      <c r="AO191" s="518"/>
      <c r="AP191" s="518"/>
      <c r="AQ191" s="518"/>
      <c r="AR191" s="518"/>
      <c r="AS191" s="518"/>
      <c r="AT191" s="518"/>
    </row>
    <row r="192" spans="3:46" ht="12.75" customHeight="1">
      <c r="C192" s="518"/>
      <c r="D192" s="518"/>
      <c r="E192" s="518"/>
      <c r="F192" s="518"/>
      <c r="G192" s="518"/>
      <c r="H192" s="518"/>
      <c r="I192" s="518"/>
      <c r="J192" s="518"/>
      <c r="K192" s="518"/>
      <c r="L192" s="518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  <c r="AB192" s="518"/>
      <c r="AC192" s="518"/>
      <c r="AD192" s="518"/>
      <c r="AE192" s="518"/>
      <c r="AF192" s="518"/>
      <c r="AG192" s="518"/>
      <c r="AH192" s="518"/>
      <c r="AI192" s="518"/>
      <c r="AJ192" s="518"/>
      <c r="AK192" s="518"/>
      <c r="AL192" s="518"/>
      <c r="AM192" s="518"/>
      <c r="AN192" s="518"/>
      <c r="AO192" s="518"/>
      <c r="AP192" s="518"/>
      <c r="AQ192" s="518"/>
      <c r="AR192" s="518"/>
      <c r="AS192" s="518"/>
      <c r="AT192" s="518"/>
    </row>
    <row r="193" spans="3:46" ht="12.75" customHeight="1">
      <c r="C193" s="518"/>
      <c r="D193" s="518"/>
      <c r="E193" s="518"/>
      <c r="F193" s="518"/>
      <c r="G193" s="518"/>
      <c r="H193" s="518"/>
      <c r="I193" s="518"/>
      <c r="J193" s="518"/>
      <c r="K193" s="518"/>
      <c r="L193" s="518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  <c r="AB193" s="518"/>
      <c r="AC193" s="518"/>
      <c r="AD193" s="518"/>
      <c r="AE193" s="518"/>
      <c r="AF193" s="518"/>
      <c r="AG193" s="518"/>
      <c r="AH193" s="518"/>
      <c r="AI193" s="518"/>
      <c r="AJ193" s="518"/>
      <c r="AK193" s="518"/>
      <c r="AL193" s="518"/>
      <c r="AM193" s="518"/>
      <c r="AN193" s="518"/>
      <c r="AO193" s="518"/>
      <c r="AP193" s="518"/>
      <c r="AQ193" s="518"/>
      <c r="AR193" s="518"/>
      <c r="AS193" s="518"/>
      <c r="AT193" s="518"/>
    </row>
    <row r="194" spans="3:46" ht="12.75" customHeight="1">
      <c r="C194" s="518"/>
      <c r="D194" s="518"/>
      <c r="E194" s="518"/>
      <c r="F194" s="518"/>
      <c r="G194" s="518"/>
      <c r="H194" s="518"/>
      <c r="I194" s="518"/>
      <c r="J194" s="518"/>
      <c r="K194" s="518"/>
      <c r="L194" s="518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  <c r="AB194" s="518"/>
      <c r="AC194" s="518"/>
      <c r="AD194" s="518"/>
      <c r="AE194" s="518"/>
      <c r="AF194" s="518"/>
      <c r="AG194" s="518"/>
      <c r="AH194" s="518"/>
      <c r="AI194" s="518"/>
      <c r="AJ194" s="518"/>
      <c r="AK194" s="518"/>
      <c r="AL194" s="518"/>
      <c r="AM194" s="518"/>
      <c r="AN194" s="518"/>
      <c r="AO194" s="518"/>
      <c r="AP194" s="518"/>
      <c r="AQ194" s="518"/>
      <c r="AR194" s="518"/>
      <c r="AS194" s="518"/>
      <c r="AT194" s="518"/>
    </row>
    <row r="195" spans="3:46" ht="12.75" customHeight="1">
      <c r="C195" s="518"/>
      <c r="D195" s="518"/>
      <c r="E195" s="518"/>
      <c r="F195" s="518"/>
      <c r="G195" s="518"/>
      <c r="H195" s="518"/>
      <c r="I195" s="518"/>
      <c r="J195" s="518"/>
      <c r="K195" s="518"/>
      <c r="L195" s="518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  <c r="AB195" s="518"/>
      <c r="AC195" s="518"/>
      <c r="AD195" s="518"/>
      <c r="AE195" s="518"/>
      <c r="AF195" s="518"/>
      <c r="AG195" s="518"/>
      <c r="AH195" s="518"/>
      <c r="AI195" s="518"/>
      <c r="AJ195" s="518"/>
      <c r="AK195" s="518"/>
      <c r="AL195" s="518"/>
      <c r="AM195" s="518"/>
      <c r="AN195" s="518"/>
      <c r="AO195" s="518"/>
      <c r="AP195" s="518"/>
      <c r="AQ195" s="518"/>
      <c r="AR195" s="518"/>
      <c r="AS195" s="518"/>
      <c r="AT195" s="518"/>
    </row>
    <row r="196" spans="3:46" ht="12.75" customHeight="1">
      <c r="C196" s="518"/>
      <c r="D196" s="518"/>
      <c r="E196" s="518"/>
      <c r="F196" s="518"/>
      <c r="G196" s="518"/>
      <c r="H196" s="518"/>
      <c r="I196" s="518"/>
      <c r="J196" s="518"/>
      <c r="K196" s="518"/>
      <c r="L196" s="518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  <c r="AB196" s="518"/>
      <c r="AC196" s="518"/>
      <c r="AD196" s="518"/>
      <c r="AE196" s="518"/>
      <c r="AF196" s="518"/>
      <c r="AG196" s="518"/>
      <c r="AH196" s="518"/>
      <c r="AI196" s="518"/>
      <c r="AJ196" s="518"/>
      <c r="AK196" s="518"/>
      <c r="AL196" s="518"/>
      <c r="AM196" s="518"/>
      <c r="AN196" s="518"/>
      <c r="AO196" s="518"/>
      <c r="AP196" s="518"/>
      <c r="AQ196" s="518"/>
      <c r="AR196" s="518"/>
      <c r="AS196" s="518"/>
      <c r="AT196" s="518"/>
    </row>
    <row r="197" spans="3:46" ht="12.75" customHeight="1">
      <c r="C197" s="518"/>
      <c r="D197" s="518"/>
      <c r="E197" s="518"/>
      <c r="F197" s="518"/>
      <c r="G197" s="518"/>
      <c r="H197" s="518"/>
      <c r="I197" s="518"/>
      <c r="J197" s="518"/>
      <c r="K197" s="518"/>
      <c r="L197" s="518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  <c r="AB197" s="518"/>
      <c r="AC197" s="518"/>
      <c r="AD197" s="518"/>
      <c r="AE197" s="518"/>
      <c r="AF197" s="518"/>
      <c r="AG197" s="518"/>
      <c r="AH197" s="518"/>
      <c r="AI197" s="518"/>
      <c r="AJ197" s="518"/>
      <c r="AK197" s="518"/>
      <c r="AL197" s="518"/>
      <c r="AM197" s="518"/>
      <c r="AN197" s="518"/>
      <c r="AO197" s="518"/>
      <c r="AP197" s="518"/>
      <c r="AQ197" s="518"/>
      <c r="AR197" s="518"/>
      <c r="AS197" s="518"/>
      <c r="AT197" s="518"/>
    </row>
    <row r="198" spans="3:46" ht="12.75" customHeight="1">
      <c r="C198" s="518"/>
      <c r="D198" s="518"/>
      <c r="E198" s="518"/>
      <c r="F198" s="518"/>
      <c r="G198" s="518"/>
      <c r="H198" s="518"/>
      <c r="I198" s="518"/>
      <c r="J198" s="518"/>
      <c r="K198" s="518"/>
      <c r="L198" s="518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  <c r="AB198" s="518"/>
      <c r="AC198" s="518"/>
      <c r="AD198" s="518"/>
      <c r="AE198" s="518"/>
      <c r="AF198" s="518"/>
      <c r="AG198" s="518"/>
      <c r="AH198" s="518"/>
      <c r="AI198" s="518"/>
      <c r="AJ198" s="518"/>
      <c r="AK198" s="518"/>
      <c r="AL198" s="518"/>
      <c r="AM198" s="518"/>
      <c r="AN198" s="518"/>
      <c r="AO198" s="518"/>
      <c r="AP198" s="518"/>
      <c r="AQ198" s="518"/>
      <c r="AR198" s="518"/>
      <c r="AS198" s="518"/>
      <c r="AT198" s="518"/>
    </row>
    <row r="199" spans="3:46" ht="12.75" customHeight="1">
      <c r="C199" s="518"/>
      <c r="D199" s="518"/>
      <c r="E199" s="518"/>
      <c r="F199" s="518"/>
      <c r="G199" s="518"/>
      <c r="H199" s="518"/>
      <c r="I199" s="518"/>
      <c r="J199" s="518"/>
      <c r="K199" s="518"/>
      <c r="L199" s="518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  <c r="AB199" s="518"/>
      <c r="AC199" s="518"/>
      <c r="AD199" s="518"/>
      <c r="AE199" s="518"/>
      <c r="AF199" s="518"/>
      <c r="AG199" s="518"/>
      <c r="AH199" s="518"/>
      <c r="AI199" s="518"/>
      <c r="AJ199" s="518"/>
      <c r="AK199" s="518"/>
      <c r="AL199" s="518"/>
      <c r="AM199" s="518"/>
      <c r="AN199" s="518"/>
      <c r="AO199" s="518"/>
      <c r="AP199" s="518"/>
      <c r="AQ199" s="518"/>
      <c r="AR199" s="518"/>
      <c r="AS199" s="518"/>
      <c r="AT199" s="518"/>
    </row>
    <row r="200" spans="3:46" ht="12.75" customHeight="1">
      <c r="C200" s="518"/>
      <c r="D200" s="518"/>
      <c r="E200" s="518"/>
      <c r="F200" s="518"/>
      <c r="G200" s="518"/>
      <c r="H200" s="518"/>
      <c r="I200" s="518"/>
      <c r="J200" s="518"/>
      <c r="K200" s="518"/>
      <c r="L200" s="518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  <c r="AB200" s="518"/>
      <c r="AC200" s="518"/>
      <c r="AD200" s="518"/>
      <c r="AE200" s="518"/>
      <c r="AF200" s="518"/>
      <c r="AG200" s="518"/>
      <c r="AH200" s="518"/>
      <c r="AI200" s="518"/>
      <c r="AJ200" s="518"/>
      <c r="AK200" s="518"/>
      <c r="AL200" s="518"/>
      <c r="AM200" s="518"/>
      <c r="AN200" s="518"/>
      <c r="AO200" s="518"/>
      <c r="AP200" s="518"/>
      <c r="AQ200" s="518"/>
      <c r="AR200" s="518"/>
      <c r="AS200" s="518"/>
      <c r="AT200" s="518"/>
    </row>
    <row r="201" spans="3:46" ht="12.75" customHeight="1">
      <c r="C201" s="518"/>
      <c r="D201" s="518"/>
      <c r="E201" s="518"/>
      <c r="F201" s="518"/>
      <c r="G201" s="518"/>
      <c r="H201" s="518"/>
      <c r="I201" s="518"/>
      <c r="J201" s="518"/>
      <c r="K201" s="518"/>
      <c r="L201" s="518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  <c r="AB201" s="518"/>
      <c r="AC201" s="518"/>
      <c r="AD201" s="518"/>
      <c r="AE201" s="518"/>
      <c r="AF201" s="518"/>
      <c r="AG201" s="518"/>
      <c r="AH201" s="518"/>
      <c r="AI201" s="518"/>
      <c r="AJ201" s="518"/>
      <c r="AK201" s="518"/>
      <c r="AL201" s="518"/>
      <c r="AM201" s="518"/>
      <c r="AN201" s="518"/>
      <c r="AO201" s="518"/>
      <c r="AP201" s="518"/>
      <c r="AQ201" s="518"/>
      <c r="AR201" s="518"/>
      <c r="AS201" s="518"/>
      <c r="AT201" s="518"/>
    </row>
    <row r="202" spans="3:46" ht="12.75" customHeight="1">
      <c r="C202" s="518"/>
      <c r="D202" s="518"/>
      <c r="E202" s="518"/>
      <c r="F202" s="518"/>
      <c r="G202" s="518"/>
      <c r="H202" s="518"/>
      <c r="I202" s="518"/>
      <c r="J202" s="518"/>
      <c r="K202" s="518"/>
      <c r="L202" s="518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  <c r="AB202" s="518"/>
      <c r="AC202" s="518"/>
      <c r="AD202" s="518"/>
      <c r="AE202" s="518"/>
      <c r="AF202" s="518"/>
      <c r="AG202" s="518"/>
      <c r="AH202" s="518"/>
      <c r="AI202" s="518"/>
      <c r="AJ202" s="518"/>
      <c r="AK202" s="518"/>
      <c r="AL202" s="518"/>
      <c r="AM202" s="518"/>
      <c r="AN202" s="518"/>
      <c r="AO202" s="518"/>
      <c r="AP202" s="518"/>
      <c r="AQ202" s="518"/>
      <c r="AR202" s="518"/>
      <c r="AS202" s="518"/>
      <c r="AT202" s="518"/>
    </row>
    <row r="203" spans="3:46" ht="12.75" customHeight="1">
      <c r="C203" s="518"/>
      <c r="D203" s="518"/>
      <c r="E203" s="518"/>
      <c r="F203" s="518"/>
      <c r="G203" s="518"/>
      <c r="H203" s="518"/>
      <c r="I203" s="518"/>
      <c r="J203" s="518"/>
      <c r="K203" s="518"/>
      <c r="L203" s="518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  <c r="AB203" s="518"/>
      <c r="AC203" s="518"/>
      <c r="AD203" s="518"/>
      <c r="AE203" s="518"/>
      <c r="AF203" s="518"/>
      <c r="AG203" s="518"/>
      <c r="AH203" s="518"/>
      <c r="AI203" s="518"/>
      <c r="AJ203" s="518"/>
      <c r="AK203" s="518"/>
      <c r="AL203" s="518"/>
      <c r="AM203" s="518"/>
      <c r="AN203" s="518"/>
      <c r="AO203" s="518"/>
      <c r="AP203" s="518"/>
      <c r="AQ203" s="518"/>
      <c r="AR203" s="518"/>
      <c r="AS203" s="518"/>
      <c r="AT203" s="518"/>
    </row>
    <row r="204" spans="3:46" ht="12.75" customHeight="1">
      <c r="C204" s="518"/>
      <c r="D204" s="518"/>
      <c r="E204" s="518"/>
      <c r="F204" s="518"/>
      <c r="G204" s="518"/>
      <c r="H204" s="518"/>
      <c r="I204" s="518"/>
      <c r="J204" s="518"/>
      <c r="K204" s="518"/>
      <c r="L204" s="518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  <c r="AB204" s="518"/>
      <c r="AC204" s="518"/>
      <c r="AD204" s="518"/>
      <c r="AE204" s="518"/>
      <c r="AF204" s="518"/>
      <c r="AG204" s="518"/>
      <c r="AH204" s="518"/>
      <c r="AI204" s="518"/>
      <c r="AJ204" s="518"/>
      <c r="AK204" s="518"/>
      <c r="AL204" s="518"/>
      <c r="AM204" s="518"/>
      <c r="AN204" s="518"/>
      <c r="AO204" s="518"/>
      <c r="AP204" s="518"/>
      <c r="AQ204" s="518"/>
      <c r="AR204" s="518"/>
      <c r="AS204" s="518"/>
      <c r="AT204" s="518"/>
    </row>
    <row r="205" spans="3:46" ht="12.75" customHeight="1">
      <c r="C205" s="518"/>
      <c r="D205" s="518"/>
      <c r="E205" s="518"/>
      <c r="F205" s="518"/>
      <c r="G205" s="518"/>
      <c r="H205" s="518"/>
      <c r="I205" s="518"/>
      <c r="J205" s="518"/>
      <c r="K205" s="518"/>
      <c r="L205" s="518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  <c r="AB205" s="518"/>
      <c r="AC205" s="518"/>
      <c r="AD205" s="518"/>
      <c r="AE205" s="518"/>
      <c r="AF205" s="518"/>
      <c r="AG205" s="518"/>
      <c r="AH205" s="518"/>
      <c r="AI205" s="518"/>
      <c r="AJ205" s="518"/>
      <c r="AK205" s="518"/>
      <c r="AL205" s="518"/>
      <c r="AM205" s="518"/>
      <c r="AN205" s="518"/>
      <c r="AO205" s="518"/>
      <c r="AP205" s="518"/>
      <c r="AQ205" s="518"/>
      <c r="AR205" s="518"/>
      <c r="AS205" s="518"/>
      <c r="AT205" s="518"/>
    </row>
    <row r="206" spans="3:46" ht="12.75" customHeight="1">
      <c r="C206" s="518"/>
      <c r="D206" s="518"/>
      <c r="E206" s="518"/>
      <c r="F206" s="518"/>
      <c r="G206" s="518"/>
      <c r="H206" s="518"/>
      <c r="I206" s="518"/>
      <c r="J206" s="518"/>
      <c r="K206" s="518"/>
      <c r="L206" s="518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  <c r="AB206" s="518"/>
      <c r="AC206" s="518"/>
      <c r="AD206" s="518"/>
      <c r="AE206" s="518"/>
      <c r="AF206" s="518"/>
      <c r="AG206" s="518"/>
      <c r="AH206" s="518"/>
      <c r="AI206" s="518"/>
      <c r="AJ206" s="518"/>
      <c r="AK206" s="518"/>
      <c r="AL206" s="518"/>
      <c r="AM206" s="518"/>
      <c r="AN206" s="518"/>
      <c r="AO206" s="518"/>
      <c r="AP206" s="518"/>
      <c r="AQ206" s="518"/>
      <c r="AR206" s="518"/>
      <c r="AS206" s="518"/>
      <c r="AT206" s="518"/>
    </row>
    <row r="207" spans="3:46" ht="12.75" customHeight="1">
      <c r="C207" s="518"/>
      <c r="D207" s="518"/>
      <c r="E207" s="518"/>
      <c r="F207" s="518"/>
      <c r="G207" s="518"/>
      <c r="H207" s="518"/>
      <c r="I207" s="518"/>
      <c r="J207" s="518"/>
      <c r="K207" s="518"/>
      <c r="L207" s="518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  <c r="AB207" s="518"/>
      <c r="AC207" s="518"/>
      <c r="AD207" s="518"/>
      <c r="AE207" s="518"/>
      <c r="AF207" s="518"/>
      <c r="AG207" s="518"/>
      <c r="AH207" s="518"/>
      <c r="AI207" s="518"/>
      <c r="AJ207" s="518"/>
      <c r="AK207" s="518"/>
      <c r="AL207" s="518"/>
      <c r="AM207" s="518"/>
      <c r="AN207" s="518"/>
      <c r="AO207" s="518"/>
      <c r="AP207" s="518"/>
      <c r="AQ207" s="518"/>
      <c r="AR207" s="518"/>
      <c r="AS207" s="518"/>
      <c r="AT207" s="518"/>
    </row>
    <row r="208" spans="3:46" ht="12.75" customHeight="1">
      <c r="C208" s="518"/>
      <c r="D208" s="518"/>
      <c r="E208" s="518"/>
      <c r="F208" s="518"/>
      <c r="G208" s="518"/>
      <c r="H208" s="518"/>
      <c r="I208" s="518"/>
      <c r="J208" s="518"/>
      <c r="K208" s="518"/>
      <c r="L208" s="518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  <c r="AB208" s="518"/>
      <c r="AC208" s="518"/>
      <c r="AD208" s="518"/>
      <c r="AE208" s="518"/>
      <c r="AF208" s="518"/>
      <c r="AG208" s="518"/>
      <c r="AH208" s="518"/>
      <c r="AI208" s="518"/>
      <c r="AJ208" s="518"/>
      <c r="AK208" s="518"/>
      <c r="AL208" s="518"/>
      <c r="AM208" s="518"/>
      <c r="AN208" s="518"/>
      <c r="AO208" s="518"/>
      <c r="AP208" s="518"/>
      <c r="AQ208" s="518"/>
      <c r="AR208" s="518"/>
      <c r="AS208" s="518"/>
      <c r="AT208" s="518"/>
    </row>
    <row r="209" spans="3:46" ht="12.75" customHeight="1">
      <c r="C209" s="518"/>
      <c r="D209" s="518"/>
      <c r="E209" s="518"/>
      <c r="F209" s="518"/>
      <c r="G209" s="518"/>
      <c r="H209" s="518"/>
      <c r="I209" s="518"/>
      <c r="J209" s="518"/>
      <c r="K209" s="518"/>
      <c r="L209" s="518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  <c r="AB209" s="518"/>
      <c r="AC209" s="518"/>
      <c r="AD209" s="518"/>
      <c r="AE209" s="518"/>
      <c r="AF209" s="518"/>
      <c r="AG209" s="518"/>
      <c r="AH209" s="518"/>
      <c r="AI209" s="518"/>
      <c r="AJ209" s="518"/>
      <c r="AK209" s="518"/>
      <c r="AL209" s="518"/>
      <c r="AM209" s="518"/>
      <c r="AN209" s="518"/>
      <c r="AO209" s="518"/>
      <c r="AP209" s="518"/>
      <c r="AQ209" s="518"/>
      <c r="AR209" s="518"/>
      <c r="AS209" s="518"/>
      <c r="AT209" s="518"/>
    </row>
    <row r="210" spans="3:46" ht="12.75" customHeight="1">
      <c r="C210" s="518"/>
      <c r="D210" s="518"/>
      <c r="E210" s="518"/>
      <c r="F210" s="518"/>
      <c r="G210" s="518"/>
      <c r="H210" s="518"/>
      <c r="I210" s="518"/>
      <c r="J210" s="518"/>
      <c r="K210" s="518"/>
      <c r="L210" s="518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  <c r="AB210" s="518"/>
      <c r="AC210" s="518"/>
      <c r="AD210" s="518"/>
      <c r="AE210" s="518"/>
      <c r="AF210" s="518"/>
      <c r="AG210" s="518"/>
      <c r="AH210" s="518"/>
      <c r="AI210" s="518"/>
      <c r="AJ210" s="518"/>
      <c r="AK210" s="518"/>
      <c r="AL210" s="518"/>
      <c r="AM210" s="518"/>
      <c r="AN210" s="518"/>
      <c r="AO210" s="518"/>
      <c r="AP210" s="518"/>
      <c r="AQ210" s="518"/>
      <c r="AR210" s="518"/>
      <c r="AS210" s="518"/>
      <c r="AT210" s="518"/>
    </row>
    <row r="211" spans="3:46" ht="12.75" customHeight="1">
      <c r="C211" s="518"/>
      <c r="D211" s="518"/>
      <c r="E211" s="518"/>
      <c r="F211" s="518"/>
      <c r="G211" s="518"/>
      <c r="H211" s="518"/>
      <c r="I211" s="518"/>
      <c r="J211" s="518"/>
      <c r="K211" s="518"/>
      <c r="L211" s="518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  <c r="AB211" s="518"/>
      <c r="AC211" s="518"/>
      <c r="AD211" s="518"/>
      <c r="AE211" s="518"/>
      <c r="AF211" s="518"/>
      <c r="AG211" s="518"/>
      <c r="AH211" s="518"/>
      <c r="AI211" s="518"/>
      <c r="AJ211" s="518"/>
      <c r="AK211" s="518"/>
      <c r="AL211" s="518"/>
      <c r="AM211" s="518"/>
      <c r="AN211" s="518"/>
      <c r="AO211" s="518"/>
      <c r="AP211" s="518"/>
      <c r="AQ211" s="518"/>
      <c r="AR211" s="518"/>
      <c r="AS211" s="518"/>
      <c r="AT211" s="518"/>
    </row>
    <row r="212" spans="3:46" ht="12.75" customHeight="1">
      <c r="C212" s="518"/>
      <c r="D212" s="518"/>
      <c r="E212" s="518"/>
      <c r="F212" s="518"/>
      <c r="G212" s="518"/>
      <c r="H212" s="518"/>
      <c r="I212" s="518"/>
      <c r="J212" s="518"/>
      <c r="K212" s="518"/>
      <c r="L212" s="518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  <c r="AB212" s="518"/>
      <c r="AC212" s="518"/>
      <c r="AD212" s="518"/>
      <c r="AE212" s="518"/>
      <c r="AF212" s="518"/>
      <c r="AG212" s="518"/>
      <c r="AH212" s="518"/>
      <c r="AI212" s="518"/>
      <c r="AJ212" s="518"/>
      <c r="AK212" s="518"/>
      <c r="AL212" s="518"/>
      <c r="AM212" s="518"/>
      <c r="AN212" s="518"/>
      <c r="AO212" s="518"/>
      <c r="AP212" s="518"/>
      <c r="AQ212" s="518"/>
      <c r="AR212" s="518"/>
      <c r="AS212" s="518"/>
      <c r="AT212" s="518"/>
    </row>
    <row r="213" spans="3:46" ht="12.75" customHeight="1">
      <c r="C213" s="518"/>
      <c r="D213" s="518"/>
      <c r="E213" s="518"/>
      <c r="F213" s="518"/>
      <c r="G213" s="518"/>
      <c r="H213" s="518"/>
      <c r="I213" s="518"/>
      <c r="J213" s="518"/>
      <c r="K213" s="518"/>
      <c r="L213" s="518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  <c r="AB213" s="518"/>
      <c r="AC213" s="518"/>
      <c r="AD213" s="518"/>
      <c r="AE213" s="518"/>
      <c r="AF213" s="518"/>
      <c r="AG213" s="518"/>
      <c r="AH213" s="518"/>
      <c r="AI213" s="518"/>
      <c r="AJ213" s="518"/>
      <c r="AK213" s="518"/>
      <c r="AL213" s="518"/>
      <c r="AM213" s="518"/>
      <c r="AN213" s="518"/>
      <c r="AO213" s="518"/>
      <c r="AP213" s="518"/>
      <c r="AQ213" s="518"/>
      <c r="AR213" s="518"/>
      <c r="AS213" s="518"/>
      <c r="AT213" s="518"/>
    </row>
    <row r="214" spans="3:46" ht="12.75" customHeight="1">
      <c r="C214" s="518"/>
      <c r="D214" s="518"/>
      <c r="E214" s="518"/>
      <c r="F214" s="518"/>
      <c r="G214" s="518"/>
      <c r="H214" s="518"/>
      <c r="I214" s="518"/>
      <c r="J214" s="518"/>
      <c r="K214" s="518"/>
      <c r="L214" s="518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  <c r="AB214" s="518"/>
      <c r="AC214" s="518"/>
      <c r="AD214" s="518"/>
      <c r="AE214" s="518"/>
      <c r="AF214" s="518"/>
      <c r="AG214" s="518"/>
      <c r="AH214" s="518"/>
      <c r="AI214" s="518"/>
      <c r="AJ214" s="518"/>
      <c r="AK214" s="518"/>
      <c r="AL214" s="518"/>
      <c r="AM214" s="518"/>
      <c r="AN214" s="518"/>
      <c r="AO214" s="518"/>
      <c r="AP214" s="518"/>
      <c r="AQ214" s="518"/>
      <c r="AR214" s="518"/>
      <c r="AS214" s="518"/>
      <c r="AT214" s="518"/>
    </row>
    <row r="215" spans="3:46" ht="12.75" customHeight="1">
      <c r="C215" s="518"/>
      <c r="D215" s="518"/>
      <c r="E215" s="518"/>
      <c r="F215" s="518"/>
      <c r="G215" s="518"/>
      <c r="H215" s="518"/>
      <c r="I215" s="518"/>
      <c r="J215" s="518"/>
      <c r="K215" s="518"/>
      <c r="L215" s="518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  <c r="AB215" s="518"/>
      <c r="AC215" s="518"/>
      <c r="AD215" s="518"/>
      <c r="AE215" s="518"/>
      <c r="AF215" s="518"/>
      <c r="AG215" s="518"/>
      <c r="AH215" s="518"/>
      <c r="AI215" s="518"/>
      <c r="AJ215" s="518"/>
      <c r="AK215" s="518"/>
      <c r="AL215" s="518"/>
      <c r="AM215" s="518"/>
      <c r="AN215" s="518"/>
      <c r="AO215" s="518"/>
      <c r="AP215" s="518"/>
      <c r="AQ215" s="518"/>
      <c r="AR215" s="518"/>
      <c r="AS215" s="518"/>
      <c r="AT215" s="518"/>
    </row>
    <row r="216" spans="3:46" ht="12.75" customHeight="1">
      <c r="C216" s="518"/>
      <c r="D216" s="518"/>
      <c r="E216" s="518"/>
      <c r="F216" s="518"/>
      <c r="G216" s="518"/>
      <c r="H216" s="518"/>
      <c r="I216" s="518"/>
      <c r="J216" s="518"/>
      <c r="K216" s="518"/>
      <c r="L216" s="518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  <c r="AB216" s="518"/>
      <c r="AC216" s="518"/>
      <c r="AD216" s="518"/>
      <c r="AE216" s="518"/>
      <c r="AF216" s="518"/>
      <c r="AG216" s="518"/>
      <c r="AH216" s="518"/>
      <c r="AI216" s="518"/>
      <c r="AJ216" s="518"/>
      <c r="AK216" s="518"/>
      <c r="AL216" s="518"/>
      <c r="AM216" s="518"/>
      <c r="AN216" s="518"/>
      <c r="AO216" s="518"/>
      <c r="AP216" s="518"/>
      <c r="AQ216" s="518"/>
      <c r="AR216" s="518"/>
      <c r="AS216" s="518"/>
      <c r="AT216" s="518"/>
    </row>
    <row r="217" spans="3:46" ht="12.75" customHeight="1">
      <c r="C217" s="518"/>
      <c r="D217" s="518"/>
      <c r="E217" s="518"/>
      <c r="F217" s="518"/>
      <c r="G217" s="518"/>
      <c r="H217" s="518"/>
      <c r="I217" s="518"/>
      <c r="J217" s="518"/>
      <c r="K217" s="518"/>
      <c r="L217" s="518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  <c r="AB217" s="518"/>
      <c r="AC217" s="518"/>
      <c r="AD217" s="518"/>
      <c r="AE217" s="518"/>
      <c r="AF217" s="518"/>
      <c r="AG217" s="518"/>
      <c r="AH217" s="518"/>
      <c r="AI217" s="518"/>
      <c r="AJ217" s="518"/>
      <c r="AK217" s="518"/>
      <c r="AL217" s="518"/>
      <c r="AM217" s="518"/>
      <c r="AN217" s="518"/>
      <c r="AO217" s="518"/>
      <c r="AP217" s="518"/>
      <c r="AQ217" s="518"/>
      <c r="AR217" s="518"/>
      <c r="AS217" s="518"/>
      <c r="AT217" s="518"/>
    </row>
    <row r="218" spans="3:46" ht="12.75" customHeight="1">
      <c r="C218" s="518"/>
      <c r="D218" s="518"/>
      <c r="E218" s="518"/>
      <c r="F218" s="518"/>
      <c r="G218" s="518"/>
      <c r="H218" s="518"/>
      <c r="I218" s="518"/>
      <c r="J218" s="518"/>
      <c r="K218" s="518"/>
      <c r="L218" s="518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  <c r="AB218" s="518"/>
      <c r="AC218" s="518"/>
      <c r="AD218" s="518"/>
      <c r="AE218" s="518"/>
      <c r="AF218" s="518"/>
      <c r="AG218" s="518"/>
      <c r="AH218" s="518"/>
      <c r="AI218" s="518"/>
      <c r="AJ218" s="518"/>
      <c r="AK218" s="518"/>
      <c r="AL218" s="518"/>
      <c r="AM218" s="518"/>
      <c r="AN218" s="518"/>
      <c r="AO218" s="518"/>
      <c r="AP218" s="518"/>
      <c r="AQ218" s="518"/>
      <c r="AR218" s="518"/>
      <c r="AS218" s="518"/>
      <c r="AT218" s="518"/>
    </row>
    <row r="219" spans="3:46" ht="12.75" customHeight="1">
      <c r="C219" s="518"/>
      <c r="D219" s="518"/>
      <c r="E219" s="518"/>
      <c r="F219" s="518"/>
      <c r="G219" s="518"/>
      <c r="H219" s="518"/>
      <c r="I219" s="518"/>
      <c r="J219" s="518"/>
      <c r="K219" s="518"/>
      <c r="L219" s="518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  <c r="AB219" s="518"/>
      <c r="AC219" s="518"/>
      <c r="AD219" s="518"/>
      <c r="AE219" s="518"/>
      <c r="AF219" s="518"/>
      <c r="AG219" s="518"/>
      <c r="AH219" s="518"/>
      <c r="AI219" s="518"/>
      <c r="AJ219" s="518"/>
      <c r="AK219" s="518"/>
      <c r="AL219" s="518"/>
      <c r="AM219" s="518"/>
      <c r="AN219" s="518"/>
      <c r="AO219" s="518"/>
      <c r="AP219" s="518"/>
      <c r="AQ219" s="518"/>
      <c r="AR219" s="518"/>
      <c r="AS219" s="518"/>
      <c r="AT219" s="518"/>
    </row>
    <row r="220" spans="3:46" ht="12.75" customHeight="1">
      <c r="C220" s="518"/>
      <c r="D220" s="518"/>
      <c r="E220" s="518"/>
      <c r="F220" s="518"/>
      <c r="G220" s="518"/>
      <c r="H220" s="518"/>
      <c r="I220" s="518"/>
      <c r="J220" s="518"/>
      <c r="K220" s="518"/>
      <c r="L220" s="518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  <c r="AB220" s="518"/>
      <c r="AC220" s="518"/>
      <c r="AD220" s="518"/>
      <c r="AE220" s="518"/>
      <c r="AF220" s="518"/>
      <c r="AG220" s="518"/>
      <c r="AH220" s="518"/>
      <c r="AI220" s="518"/>
      <c r="AJ220" s="518"/>
      <c r="AK220" s="518"/>
      <c r="AL220" s="518"/>
      <c r="AM220" s="518"/>
      <c r="AN220" s="518"/>
      <c r="AO220" s="518"/>
      <c r="AP220" s="518"/>
      <c r="AQ220" s="518"/>
      <c r="AR220" s="518"/>
      <c r="AS220" s="518"/>
      <c r="AT220" s="518"/>
    </row>
    <row r="221" spans="3:46" ht="12.75" customHeight="1">
      <c r="C221" s="518"/>
      <c r="D221" s="518"/>
      <c r="E221" s="518"/>
      <c r="F221" s="518"/>
      <c r="G221" s="518"/>
      <c r="H221" s="518"/>
      <c r="I221" s="518"/>
      <c r="J221" s="518"/>
      <c r="K221" s="518"/>
      <c r="L221" s="518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  <c r="AB221" s="518"/>
      <c r="AC221" s="518"/>
      <c r="AD221" s="518"/>
      <c r="AE221" s="518"/>
      <c r="AF221" s="518"/>
      <c r="AG221" s="518"/>
      <c r="AH221" s="518"/>
      <c r="AI221" s="518"/>
      <c r="AJ221" s="518"/>
      <c r="AK221" s="518"/>
      <c r="AL221" s="518"/>
      <c r="AM221" s="518"/>
      <c r="AN221" s="518"/>
      <c r="AO221" s="518"/>
      <c r="AP221" s="518"/>
      <c r="AQ221" s="518"/>
      <c r="AR221" s="518"/>
      <c r="AS221" s="518"/>
      <c r="AT221" s="518"/>
    </row>
    <row r="222" spans="3:46" ht="12.75" customHeight="1">
      <c r="C222" s="518"/>
      <c r="D222" s="518"/>
      <c r="E222" s="518"/>
      <c r="F222" s="518"/>
      <c r="G222" s="518"/>
      <c r="H222" s="518"/>
      <c r="I222" s="518"/>
      <c r="J222" s="518"/>
      <c r="K222" s="518"/>
      <c r="L222" s="518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  <c r="AB222" s="518"/>
      <c r="AC222" s="518"/>
      <c r="AD222" s="518"/>
      <c r="AE222" s="518"/>
      <c r="AF222" s="518"/>
      <c r="AG222" s="518"/>
      <c r="AH222" s="518"/>
      <c r="AI222" s="518"/>
      <c r="AJ222" s="518"/>
      <c r="AK222" s="518"/>
      <c r="AL222" s="518"/>
      <c r="AM222" s="518"/>
      <c r="AN222" s="518"/>
      <c r="AO222" s="518"/>
      <c r="AP222" s="518"/>
      <c r="AQ222" s="518"/>
      <c r="AR222" s="518"/>
      <c r="AS222" s="518"/>
      <c r="AT222" s="518"/>
    </row>
    <row r="223" spans="3:46" ht="12.75" customHeight="1">
      <c r="C223" s="518"/>
      <c r="D223" s="518"/>
      <c r="E223" s="518"/>
      <c r="F223" s="518"/>
      <c r="G223" s="518"/>
      <c r="H223" s="518"/>
      <c r="I223" s="518"/>
      <c r="J223" s="518"/>
      <c r="K223" s="518"/>
      <c r="L223" s="518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  <c r="AB223" s="518"/>
      <c r="AC223" s="518"/>
      <c r="AD223" s="518"/>
      <c r="AE223" s="518"/>
      <c r="AF223" s="518"/>
      <c r="AG223" s="518"/>
      <c r="AH223" s="518"/>
      <c r="AI223" s="518"/>
      <c r="AJ223" s="518"/>
      <c r="AK223" s="518"/>
      <c r="AL223" s="518"/>
      <c r="AM223" s="518"/>
      <c r="AN223" s="518"/>
      <c r="AO223" s="518"/>
      <c r="AP223" s="518"/>
      <c r="AQ223" s="518"/>
      <c r="AR223" s="518"/>
      <c r="AS223" s="518"/>
      <c r="AT223" s="518"/>
    </row>
    <row r="224" spans="3:46" ht="12.75" customHeight="1">
      <c r="C224" s="518"/>
      <c r="D224" s="518"/>
      <c r="E224" s="518"/>
      <c r="F224" s="518"/>
      <c r="G224" s="518"/>
      <c r="H224" s="518"/>
      <c r="I224" s="518"/>
      <c r="J224" s="518"/>
      <c r="K224" s="518"/>
      <c r="L224" s="518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  <c r="AB224" s="518"/>
      <c r="AC224" s="518"/>
      <c r="AD224" s="518"/>
      <c r="AE224" s="518"/>
      <c r="AF224" s="518"/>
      <c r="AG224" s="518"/>
      <c r="AH224" s="518"/>
      <c r="AI224" s="518"/>
      <c r="AJ224" s="518"/>
      <c r="AK224" s="518"/>
      <c r="AL224" s="518"/>
      <c r="AM224" s="518"/>
      <c r="AN224" s="518"/>
      <c r="AO224" s="518"/>
      <c r="AP224" s="518"/>
      <c r="AQ224" s="518"/>
      <c r="AR224" s="518"/>
      <c r="AS224" s="518"/>
      <c r="AT224" s="518"/>
    </row>
    <row r="225" spans="3:46" ht="12.75" customHeight="1">
      <c r="C225" s="518"/>
      <c r="D225" s="518"/>
      <c r="E225" s="518"/>
      <c r="F225" s="518"/>
      <c r="G225" s="518"/>
      <c r="H225" s="518"/>
      <c r="I225" s="518"/>
      <c r="J225" s="518"/>
      <c r="K225" s="518"/>
      <c r="L225" s="518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  <c r="AB225" s="518"/>
      <c r="AC225" s="518"/>
      <c r="AD225" s="518"/>
      <c r="AE225" s="518"/>
      <c r="AF225" s="518"/>
      <c r="AG225" s="518"/>
      <c r="AH225" s="518"/>
      <c r="AI225" s="518"/>
      <c r="AJ225" s="518"/>
      <c r="AK225" s="518"/>
      <c r="AL225" s="518"/>
      <c r="AM225" s="518"/>
      <c r="AN225" s="518"/>
      <c r="AO225" s="518"/>
      <c r="AP225" s="518"/>
      <c r="AQ225" s="518"/>
      <c r="AR225" s="518"/>
      <c r="AS225" s="518"/>
      <c r="AT225" s="518"/>
    </row>
    <row r="226" spans="3:46" ht="12.75" customHeight="1">
      <c r="C226" s="518"/>
      <c r="D226" s="518"/>
      <c r="E226" s="518"/>
      <c r="F226" s="518"/>
      <c r="G226" s="518"/>
      <c r="H226" s="518"/>
      <c r="I226" s="518"/>
      <c r="J226" s="518"/>
      <c r="K226" s="518"/>
      <c r="L226" s="518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  <c r="AB226" s="518"/>
      <c r="AC226" s="518"/>
      <c r="AD226" s="518"/>
      <c r="AE226" s="518"/>
      <c r="AF226" s="518"/>
      <c r="AG226" s="518"/>
      <c r="AH226" s="518"/>
      <c r="AI226" s="518"/>
      <c r="AJ226" s="518"/>
      <c r="AK226" s="518"/>
      <c r="AL226" s="518"/>
      <c r="AM226" s="518"/>
      <c r="AN226" s="518"/>
      <c r="AO226" s="518"/>
      <c r="AP226" s="518"/>
      <c r="AQ226" s="518"/>
      <c r="AR226" s="518"/>
      <c r="AS226" s="518"/>
      <c r="AT226" s="518"/>
    </row>
    <row r="227" spans="3:46" ht="12.75" customHeight="1">
      <c r="C227" s="518"/>
      <c r="D227" s="518"/>
      <c r="E227" s="518"/>
      <c r="F227" s="518"/>
      <c r="G227" s="518"/>
      <c r="H227" s="518"/>
      <c r="I227" s="518"/>
      <c r="J227" s="518"/>
      <c r="K227" s="518"/>
      <c r="L227" s="518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  <c r="AB227" s="518"/>
      <c r="AC227" s="518"/>
      <c r="AD227" s="518"/>
      <c r="AE227" s="518"/>
      <c r="AF227" s="518"/>
      <c r="AG227" s="518"/>
      <c r="AH227" s="518"/>
      <c r="AI227" s="518"/>
      <c r="AJ227" s="518"/>
      <c r="AK227" s="518"/>
      <c r="AL227" s="518"/>
      <c r="AM227" s="518"/>
      <c r="AN227" s="518"/>
      <c r="AO227" s="518"/>
      <c r="AP227" s="518"/>
      <c r="AQ227" s="518"/>
      <c r="AR227" s="518"/>
      <c r="AS227" s="518"/>
      <c r="AT227" s="518"/>
    </row>
    <row r="228" spans="3:46" ht="12.75" customHeight="1">
      <c r="C228" s="518"/>
      <c r="D228" s="518"/>
      <c r="E228" s="518"/>
      <c r="F228" s="518"/>
      <c r="G228" s="518"/>
      <c r="H228" s="518"/>
      <c r="I228" s="518"/>
      <c r="J228" s="518"/>
      <c r="K228" s="518"/>
      <c r="L228" s="518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  <c r="AB228" s="518"/>
      <c r="AC228" s="518"/>
      <c r="AD228" s="518"/>
      <c r="AE228" s="518"/>
      <c r="AF228" s="518"/>
      <c r="AG228" s="518"/>
      <c r="AH228" s="518"/>
      <c r="AI228" s="518"/>
      <c r="AJ228" s="518"/>
      <c r="AK228" s="518"/>
      <c r="AL228" s="518"/>
      <c r="AM228" s="518"/>
      <c r="AN228" s="518"/>
      <c r="AO228" s="518"/>
      <c r="AP228" s="518"/>
      <c r="AQ228" s="518"/>
      <c r="AR228" s="518"/>
      <c r="AS228" s="518"/>
      <c r="AT228" s="518"/>
    </row>
    <row r="229" spans="3:46" ht="12.75" customHeight="1">
      <c r="C229" s="518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  <c r="AB229" s="518"/>
      <c r="AC229" s="518"/>
      <c r="AD229" s="518"/>
      <c r="AE229" s="518"/>
      <c r="AF229" s="518"/>
      <c r="AG229" s="518"/>
      <c r="AH229" s="518"/>
      <c r="AI229" s="518"/>
      <c r="AJ229" s="518"/>
      <c r="AK229" s="518"/>
      <c r="AL229" s="518"/>
      <c r="AM229" s="518"/>
      <c r="AN229" s="518"/>
      <c r="AO229" s="518"/>
      <c r="AP229" s="518"/>
      <c r="AQ229" s="518"/>
      <c r="AR229" s="518"/>
      <c r="AS229" s="518"/>
      <c r="AT229" s="518"/>
    </row>
    <row r="230" spans="3:46" ht="12.75" customHeight="1">
      <c r="C230" s="518"/>
      <c r="D230" s="518"/>
      <c r="E230" s="518"/>
      <c r="F230" s="518"/>
      <c r="G230" s="518"/>
      <c r="H230" s="518"/>
      <c r="I230" s="518"/>
      <c r="J230" s="518"/>
      <c r="K230" s="518"/>
      <c r="L230" s="518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  <c r="AB230" s="518"/>
      <c r="AC230" s="518"/>
      <c r="AD230" s="518"/>
      <c r="AE230" s="518"/>
      <c r="AF230" s="518"/>
      <c r="AG230" s="518"/>
      <c r="AH230" s="518"/>
      <c r="AI230" s="518"/>
      <c r="AJ230" s="518"/>
      <c r="AK230" s="518"/>
      <c r="AL230" s="518"/>
      <c r="AM230" s="518"/>
      <c r="AN230" s="518"/>
      <c r="AO230" s="518"/>
      <c r="AP230" s="518"/>
      <c r="AQ230" s="518"/>
      <c r="AR230" s="518"/>
      <c r="AS230" s="518"/>
      <c r="AT230" s="518"/>
    </row>
    <row r="231" spans="3:46" ht="12.75" customHeight="1">
      <c r="C231" s="518"/>
      <c r="D231" s="518"/>
      <c r="E231" s="518"/>
      <c r="F231" s="518"/>
      <c r="G231" s="518"/>
      <c r="H231" s="518"/>
      <c r="I231" s="518"/>
      <c r="J231" s="518"/>
      <c r="K231" s="518"/>
      <c r="L231" s="518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  <c r="AB231" s="518"/>
      <c r="AC231" s="518"/>
      <c r="AD231" s="518"/>
      <c r="AE231" s="518"/>
      <c r="AF231" s="518"/>
      <c r="AG231" s="518"/>
      <c r="AH231" s="518"/>
      <c r="AI231" s="518"/>
      <c r="AJ231" s="518"/>
      <c r="AK231" s="518"/>
      <c r="AL231" s="518"/>
      <c r="AM231" s="518"/>
      <c r="AN231" s="518"/>
      <c r="AO231" s="518"/>
      <c r="AP231" s="518"/>
      <c r="AQ231" s="518"/>
      <c r="AR231" s="518"/>
      <c r="AS231" s="518"/>
      <c r="AT231" s="518"/>
    </row>
    <row r="232" spans="3:46" ht="12.75" customHeight="1">
      <c r="C232" s="518"/>
      <c r="D232" s="518"/>
      <c r="E232" s="518"/>
      <c r="F232" s="518"/>
      <c r="G232" s="518"/>
      <c r="H232" s="518"/>
      <c r="I232" s="518"/>
      <c r="J232" s="518"/>
      <c r="K232" s="518"/>
      <c r="L232" s="518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  <c r="AB232" s="518"/>
      <c r="AC232" s="518"/>
      <c r="AD232" s="518"/>
      <c r="AE232" s="518"/>
      <c r="AF232" s="518"/>
      <c r="AG232" s="518"/>
      <c r="AH232" s="518"/>
      <c r="AI232" s="518"/>
      <c r="AJ232" s="518"/>
      <c r="AK232" s="518"/>
      <c r="AL232" s="518"/>
      <c r="AM232" s="518"/>
      <c r="AN232" s="518"/>
      <c r="AO232" s="518"/>
      <c r="AP232" s="518"/>
      <c r="AQ232" s="518"/>
      <c r="AR232" s="518"/>
      <c r="AS232" s="518"/>
      <c r="AT232" s="518"/>
    </row>
    <row r="233" spans="3:46" ht="12.75" customHeight="1">
      <c r="C233" s="518"/>
      <c r="D233" s="518"/>
      <c r="E233" s="518"/>
      <c r="F233" s="518"/>
      <c r="G233" s="518"/>
      <c r="H233" s="518"/>
      <c r="I233" s="518"/>
      <c r="J233" s="518"/>
      <c r="K233" s="518"/>
      <c r="L233" s="518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  <c r="AB233" s="518"/>
      <c r="AC233" s="518"/>
      <c r="AD233" s="518"/>
      <c r="AE233" s="518"/>
      <c r="AF233" s="518"/>
      <c r="AG233" s="518"/>
      <c r="AH233" s="518"/>
      <c r="AI233" s="518"/>
      <c r="AJ233" s="518"/>
      <c r="AK233" s="518"/>
      <c r="AL233" s="518"/>
      <c r="AM233" s="518"/>
      <c r="AN233" s="518"/>
      <c r="AO233" s="518"/>
      <c r="AP233" s="518"/>
      <c r="AQ233" s="518"/>
      <c r="AR233" s="518"/>
      <c r="AS233" s="518"/>
      <c r="AT233" s="518"/>
    </row>
    <row r="234" spans="3:46" ht="12.75" customHeight="1">
      <c r="C234" s="518"/>
      <c r="D234" s="518"/>
      <c r="E234" s="518"/>
      <c r="F234" s="518"/>
      <c r="G234" s="518"/>
      <c r="H234" s="518"/>
      <c r="I234" s="518"/>
      <c r="J234" s="518"/>
      <c r="K234" s="518"/>
      <c r="L234" s="518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  <c r="AB234" s="518"/>
      <c r="AC234" s="518"/>
      <c r="AD234" s="518"/>
      <c r="AE234" s="518"/>
      <c r="AF234" s="518"/>
      <c r="AG234" s="518"/>
      <c r="AH234" s="518"/>
      <c r="AI234" s="518"/>
      <c r="AJ234" s="518"/>
      <c r="AK234" s="518"/>
      <c r="AL234" s="518"/>
      <c r="AM234" s="518"/>
      <c r="AN234" s="518"/>
      <c r="AO234" s="518"/>
      <c r="AP234" s="518"/>
      <c r="AQ234" s="518"/>
      <c r="AR234" s="518"/>
      <c r="AS234" s="518"/>
      <c r="AT234" s="518"/>
    </row>
    <row r="235" spans="3:46" ht="12.75" customHeight="1">
      <c r="C235" s="518"/>
      <c r="D235" s="518"/>
      <c r="E235" s="518"/>
      <c r="F235" s="518"/>
      <c r="G235" s="518"/>
      <c r="H235" s="518"/>
      <c r="I235" s="518"/>
      <c r="J235" s="518"/>
      <c r="K235" s="518"/>
      <c r="L235" s="518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  <c r="AB235" s="518"/>
      <c r="AC235" s="518"/>
      <c r="AD235" s="518"/>
      <c r="AE235" s="518"/>
      <c r="AF235" s="518"/>
      <c r="AG235" s="518"/>
      <c r="AH235" s="518"/>
      <c r="AI235" s="518"/>
      <c r="AJ235" s="518"/>
      <c r="AK235" s="518"/>
      <c r="AL235" s="518"/>
      <c r="AM235" s="518"/>
      <c r="AN235" s="518"/>
      <c r="AO235" s="518"/>
      <c r="AP235" s="518"/>
      <c r="AQ235" s="518"/>
      <c r="AR235" s="518"/>
      <c r="AS235" s="518"/>
      <c r="AT235" s="518"/>
    </row>
    <row r="236" spans="3:46" ht="12.75" customHeight="1">
      <c r="C236" s="518"/>
      <c r="D236" s="518"/>
      <c r="E236" s="518"/>
      <c r="F236" s="518"/>
      <c r="G236" s="518"/>
      <c r="H236" s="518"/>
      <c r="I236" s="518"/>
      <c r="J236" s="518"/>
      <c r="K236" s="518"/>
      <c r="L236" s="518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  <c r="AB236" s="518"/>
      <c r="AC236" s="518"/>
      <c r="AD236" s="518"/>
      <c r="AE236" s="518"/>
      <c r="AF236" s="518"/>
      <c r="AG236" s="518"/>
      <c r="AH236" s="518"/>
      <c r="AI236" s="518"/>
      <c r="AJ236" s="518"/>
      <c r="AK236" s="518"/>
      <c r="AL236" s="518"/>
      <c r="AM236" s="518"/>
      <c r="AN236" s="518"/>
      <c r="AO236" s="518"/>
      <c r="AP236" s="518"/>
      <c r="AQ236" s="518"/>
      <c r="AR236" s="518"/>
      <c r="AS236" s="518"/>
      <c r="AT236" s="518"/>
    </row>
    <row r="237" spans="3:46" ht="12.75" customHeight="1">
      <c r="C237" s="518"/>
      <c r="D237" s="518"/>
      <c r="E237" s="518"/>
      <c r="F237" s="518"/>
      <c r="G237" s="518"/>
      <c r="H237" s="518"/>
      <c r="I237" s="518"/>
      <c r="J237" s="518"/>
      <c r="K237" s="518"/>
      <c r="L237" s="518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  <c r="AB237" s="518"/>
      <c r="AC237" s="518"/>
      <c r="AD237" s="518"/>
      <c r="AE237" s="518"/>
      <c r="AF237" s="518"/>
      <c r="AG237" s="518"/>
      <c r="AH237" s="518"/>
      <c r="AI237" s="518"/>
      <c r="AJ237" s="518"/>
      <c r="AK237" s="518"/>
      <c r="AL237" s="518"/>
      <c r="AM237" s="518"/>
      <c r="AN237" s="518"/>
      <c r="AO237" s="518"/>
      <c r="AP237" s="518"/>
      <c r="AQ237" s="518"/>
      <c r="AR237" s="518"/>
      <c r="AS237" s="518"/>
      <c r="AT237" s="518"/>
    </row>
    <row r="238" spans="3:46" ht="12.75" customHeight="1">
      <c r="C238" s="518"/>
      <c r="D238" s="518"/>
      <c r="E238" s="518"/>
      <c r="F238" s="518"/>
      <c r="G238" s="518"/>
      <c r="H238" s="518"/>
      <c r="I238" s="518"/>
      <c r="J238" s="518"/>
      <c r="K238" s="518"/>
      <c r="L238" s="518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  <c r="AB238" s="518"/>
      <c r="AC238" s="518"/>
      <c r="AD238" s="518"/>
      <c r="AE238" s="518"/>
      <c r="AF238" s="518"/>
      <c r="AG238" s="518"/>
      <c r="AH238" s="518"/>
      <c r="AI238" s="518"/>
      <c r="AJ238" s="518"/>
      <c r="AK238" s="518"/>
      <c r="AL238" s="518"/>
      <c r="AM238" s="518"/>
      <c r="AN238" s="518"/>
      <c r="AO238" s="518"/>
      <c r="AP238" s="518"/>
      <c r="AQ238" s="518"/>
      <c r="AR238" s="518"/>
      <c r="AS238" s="518"/>
      <c r="AT238" s="518"/>
    </row>
    <row r="239" spans="3:46" ht="12.75" customHeight="1">
      <c r="C239" s="518"/>
      <c r="D239" s="518"/>
      <c r="E239" s="518"/>
      <c r="F239" s="518"/>
      <c r="G239" s="518"/>
      <c r="H239" s="518"/>
      <c r="I239" s="518"/>
      <c r="J239" s="518"/>
      <c r="K239" s="518"/>
      <c r="L239" s="518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  <c r="AB239" s="518"/>
      <c r="AC239" s="518"/>
      <c r="AD239" s="518"/>
      <c r="AE239" s="518"/>
      <c r="AF239" s="518"/>
      <c r="AG239" s="518"/>
      <c r="AH239" s="518"/>
      <c r="AI239" s="518"/>
      <c r="AJ239" s="518"/>
      <c r="AK239" s="518"/>
      <c r="AL239" s="518"/>
      <c r="AM239" s="518"/>
      <c r="AN239" s="518"/>
      <c r="AO239" s="518"/>
      <c r="AP239" s="518"/>
      <c r="AQ239" s="518"/>
      <c r="AR239" s="518"/>
      <c r="AS239" s="518"/>
      <c r="AT239" s="518"/>
    </row>
    <row r="240" spans="3:46" ht="12.75" customHeight="1">
      <c r="C240" s="518"/>
      <c r="D240" s="518"/>
      <c r="E240" s="518"/>
      <c r="F240" s="518"/>
      <c r="G240" s="518"/>
      <c r="H240" s="518"/>
      <c r="I240" s="518"/>
      <c r="J240" s="518"/>
      <c r="K240" s="518"/>
      <c r="L240" s="518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  <c r="AB240" s="518"/>
      <c r="AC240" s="518"/>
      <c r="AD240" s="518"/>
      <c r="AE240" s="518"/>
      <c r="AF240" s="518"/>
      <c r="AG240" s="518"/>
      <c r="AH240" s="518"/>
      <c r="AI240" s="518"/>
      <c r="AJ240" s="518"/>
      <c r="AK240" s="518"/>
      <c r="AL240" s="518"/>
      <c r="AM240" s="518"/>
      <c r="AN240" s="518"/>
      <c r="AO240" s="518"/>
      <c r="AP240" s="518"/>
      <c r="AQ240" s="518"/>
      <c r="AR240" s="518"/>
      <c r="AS240" s="518"/>
      <c r="AT240" s="518"/>
    </row>
    <row r="241" spans="3:46" ht="12.75" customHeight="1">
      <c r="C241" s="518"/>
      <c r="D241" s="518"/>
      <c r="E241" s="518"/>
      <c r="F241" s="518"/>
      <c r="G241" s="518"/>
      <c r="H241" s="518"/>
      <c r="I241" s="518"/>
      <c r="J241" s="518"/>
      <c r="K241" s="518"/>
      <c r="L241" s="518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  <c r="AB241" s="518"/>
      <c r="AC241" s="518"/>
      <c r="AD241" s="518"/>
      <c r="AE241" s="518"/>
      <c r="AF241" s="518"/>
      <c r="AG241" s="518"/>
      <c r="AH241" s="518"/>
      <c r="AI241" s="518"/>
      <c r="AJ241" s="518"/>
      <c r="AK241" s="518"/>
      <c r="AL241" s="518"/>
      <c r="AM241" s="518"/>
      <c r="AN241" s="518"/>
      <c r="AO241" s="518"/>
      <c r="AP241" s="518"/>
      <c r="AQ241" s="518"/>
      <c r="AR241" s="518"/>
      <c r="AS241" s="518"/>
      <c r="AT241" s="518"/>
    </row>
    <row r="242" spans="3:46" ht="12.75" customHeight="1"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  <c r="AB242" s="518"/>
      <c r="AC242" s="518"/>
      <c r="AD242" s="518"/>
      <c r="AE242" s="518"/>
      <c r="AF242" s="518"/>
      <c r="AG242" s="518"/>
      <c r="AH242" s="518"/>
      <c r="AI242" s="518"/>
      <c r="AJ242" s="518"/>
      <c r="AK242" s="518"/>
      <c r="AL242" s="518"/>
      <c r="AM242" s="518"/>
      <c r="AN242" s="518"/>
      <c r="AO242" s="518"/>
      <c r="AP242" s="518"/>
      <c r="AQ242" s="518"/>
      <c r="AR242" s="518"/>
      <c r="AS242" s="518"/>
      <c r="AT242" s="518"/>
    </row>
    <row r="243" spans="3:46" ht="12.75" customHeight="1">
      <c r="C243" s="518"/>
      <c r="D243" s="518"/>
      <c r="E243" s="518"/>
      <c r="F243" s="518"/>
      <c r="G243" s="518"/>
      <c r="H243" s="518"/>
      <c r="I243" s="518"/>
      <c r="J243" s="518"/>
      <c r="K243" s="518"/>
      <c r="L243" s="518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  <c r="AB243" s="518"/>
      <c r="AC243" s="518"/>
      <c r="AD243" s="518"/>
      <c r="AE243" s="518"/>
      <c r="AF243" s="518"/>
      <c r="AG243" s="518"/>
      <c r="AH243" s="518"/>
      <c r="AI243" s="518"/>
      <c r="AJ243" s="518"/>
      <c r="AK243" s="518"/>
      <c r="AL243" s="518"/>
      <c r="AM243" s="518"/>
      <c r="AN243" s="518"/>
      <c r="AO243" s="518"/>
      <c r="AP243" s="518"/>
      <c r="AQ243" s="518"/>
      <c r="AR243" s="518"/>
      <c r="AS243" s="518"/>
      <c r="AT243" s="518"/>
    </row>
    <row r="244" spans="3:46" ht="12.75" customHeight="1">
      <c r="C244" s="518"/>
      <c r="D244" s="518"/>
      <c r="E244" s="518"/>
      <c r="F244" s="518"/>
      <c r="G244" s="518"/>
      <c r="H244" s="518"/>
      <c r="I244" s="518"/>
      <c r="J244" s="518"/>
      <c r="K244" s="518"/>
      <c r="L244" s="518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  <c r="AB244" s="518"/>
      <c r="AC244" s="518"/>
      <c r="AD244" s="518"/>
      <c r="AE244" s="518"/>
      <c r="AF244" s="518"/>
      <c r="AG244" s="518"/>
      <c r="AH244" s="518"/>
      <c r="AI244" s="518"/>
      <c r="AJ244" s="518"/>
      <c r="AK244" s="518"/>
      <c r="AL244" s="518"/>
      <c r="AM244" s="518"/>
      <c r="AN244" s="518"/>
      <c r="AO244" s="518"/>
      <c r="AP244" s="518"/>
      <c r="AQ244" s="518"/>
      <c r="AR244" s="518"/>
      <c r="AS244" s="518"/>
      <c r="AT244" s="518"/>
    </row>
    <row r="245" spans="3:46" ht="12.75" customHeight="1">
      <c r="C245" s="518"/>
      <c r="D245" s="518"/>
      <c r="E245" s="518"/>
      <c r="F245" s="518"/>
      <c r="G245" s="518"/>
      <c r="H245" s="518"/>
      <c r="I245" s="518"/>
      <c r="J245" s="518"/>
      <c r="K245" s="518"/>
      <c r="L245" s="518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  <c r="AB245" s="518"/>
      <c r="AC245" s="518"/>
      <c r="AD245" s="518"/>
      <c r="AE245" s="518"/>
      <c r="AF245" s="518"/>
      <c r="AG245" s="518"/>
      <c r="AH245" s="518"/>
      <c r="AI245" s="518"/>
      <c r="AJ245" s="518"/>
      <c r="AK245" s="518"/>
      <c r="AL245" s="518"/>
      <c r="AM245" s="518"/>
      <c r="AN245" s="518"/>
      <c r="AO245" s="518"/>
      <c r="AP245" s="518"/>
      <c r="AQ245" s="518"/>
      <c r="AR245" s="518"/>
      <c r="AS245" s="518"/>
      <c r="AT245" s="518"/>
    </row>
    <row r="246" spans="3:46" ht="12.75" customHeight="1">
      <c r="C246" s="518"/>
      <c r="D246" s="518"/>
      <c r="E246" s="518"/>
      <c r="F246" s="518"/>
      <c r="G246" s="518"/>
      <c r="H246" s="518"/>
      <c r="I246" s="518"/>
      <c r="J246" s="518"/>
      <c r="K246" s="518"/>
      <c r="L246" s="518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  <c r="AB246" s="518"/>
      <c r="AC246" s="518"/>
      <c r="AD246" s="518"/>
      <c r="AE246" s="518"/>
      <c r="AF246" s="518"/>
      <c r="AG246" s="518"/>
      <c r="AH246" s="518"/>
      <c r="AI246" s="518"/>
      <c r="AJ246" s="518"/>
      <c r="AK246" s="518"/>
      <c r="AL246" s="518"/>
      <c r="AM246" s="518"/>
      <c r="AN246" s="518"/>
      <c r="AO246" s="518"/>
      <c r="AP246" s="518"/>
      <c r="AQ246" s="518"/>
      <c r="AR246" s="518"/>
      <c r="AS246" s="518"/>
      <c r="AT246" s="518"/>
    </row>
    <row r="247" spans="3:46" ht="12.75" customHeight="1">
      <c r="C247" s="518"/>
      <c r="D247" s="518"/>
      <c r="E247" s="518"/>
      <c r="F247" s="518"/>
      <c r="G247" s="518"/>
      <c r="H247" s="518"/>
      <c r="I247" s="518"/>
      <c r="J247" s="518"/>
      <c r="K247" s="518"/>
      <c r="L247" s="518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  <c r="AB247" s="518"/>
      <c r="AC247" s="518"/>
      <c r="AD247" s="518"/>
      <c r="AE247" s="518"/>
      <c r="AF247" s="518"/>
      <c r="AG247" s="518"/>
      <c r="AH247" s="518"/>
      <c r="AI247" s="518"/>
      <c r="AJ247" s="518"/>
      <c r="AK247" s="518"/>
      <c r="AL247" s="518"/>
      <c r="AM247" s="518"/>
      <c r="AN247" s="518"/>
      <c r="AO247" s="518"/>
      <c r="AP247" s="518"/>
      <c r="AQ247" s="518"/>
      <c r="AR247" s="518"/>
      <c r="AS247" s="518"/>
      <c r="AT247" s="518"/>
    </row>
    <row r="248" spans="3:46" ht="12.75" customHeight="1">
      <c r="C248" s="518"/>
      <c r="D248" s="518"/>
      <c r="E248" s="518"/>
      <c r="F248" s="518"/>
      <c r="G248" s="518"/>
      <c r="H248" s="518"/>
      <c r="I248" s="518"/>
      <c r="J248" s="518"/>
      <c r="K248" s="518"/>
      <c r="L248" s="518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  <c r="AB248" s="518"/>
      <c r="AC248" s="518"/>
      <c r="AD248" s="518"/>
      <c r="AE248" s="518"/>
      <c r="AF248" s="518"/>
      <c r="AG248" s="518"/>
      <c r="AH248" s="518"/>
      <c r="AI248" s="518"/>
      <c r="AJ248" s="518"/>
      <c r="AK248" s="518"/>
      <c r="AL248" s="518"/>
      <c r="AM248" s="518"/>
      <c r="AN248" s="518"/>
      <c r="AO248" s="518"/>
      <c r="AP248" s="518"/>
      <c r="AQ248" s="518"/>
      <c r="AR248" s="518"/>
      <c r="AS248" s="518"/>
      <c r="AT248" s="518"/>
    </row>
    <row r="249" spans="3:46" ht="12.75" customHeight="1">
      <c r="C249" s="518"/>
      <c r="D249" s="518"/>
      <c r="E249" s="518"/>
      <c r="F249" s="518"/>
      <c r="G249" s="518"/>
      <c r="H249" s="518"/>
      <c r="I249" s="518"/>
      <c r="J249" s="518"/>
      <c r="K249" s="518"/>
      <c r="L249" s="518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  <c r="AB249" s="518"/>
      <c r="AC249" s="518"/>
      <c r="AD249" s="518"/>
      <c r="AE249" s="518"/>
      <c r="AF249" s="518"/>
      <c r="AG249" s="518"/>
      <c r="AH249" s="518"/>
      <c r="AI249" s="518"/>
      <c r="AJ249" s="518"/>
      <c r="AK249" s="518"/>
      <c r="AL249" s="518"/>
      <c r="AM249" s="518"/>
      <c r="AN249" s="518"/>
      <c r="AO249" s="518"/>
      <c r="AP249" s="518"/>
      <c r="AQ249" s="518"/>
      <c r="AR249" s="518"/>
      <c r="AS249" s="518"/>
      <c r="AT249" s="518"/>
    </row>
    <row r="250" spans="3:46" ht="12.75" customHeight="1">
      <c r="C250" s="518"/>
      <c r="D250" s="518"/>
      <c r="E250" s="518"/>
      <c r="F250" s="518"/>
      <c r="G250" s="518"/>
      <c r="H250" s="518"/>
      <c r="I250" s="518"/>
      <c r="J250" s="518"/>
      <c r="K250" s="518"/>
      <c r="L250" s="518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  <c r="AB250" s="518"/>
      <c r="AC250" s="518"/>
      <c r="AD250" s="518"/>
      <c r="AE250" s="518"/>
      <c r="AF250" s="518"/>
      <c r="AG250" s="518"/>
      <c r="AH250" s="518"/>
      <c r="AI250" s="518"/>
      <c r="AJ250" s="518"/>
      <c r="AK250" s="518"/>
      <c r="AL250" s="518"/>
      <c r="AM250" s="518"/>
      <c r="AN250" s="518"/>
      <c r="AO250" s="518"/>
      <c r="AP250" s="518"/>
      <c r="AQ250" s="518"/>
      <c r="AR250" s="518"/>
      <c r="AS250" s="518"/>
      <c r="AT250" s="518"/>
    </row>
    <row r="251" spans="3:46" ht="12.75" customHeight="1">
      <c r="C251" s="518"/>
      <c r="D251" s="518"/>
      <c r="E251" s="518"/>
      <c r="F251" s="518"/>
      <c r="G251" s="518"/>
      <c r="H251" s="518"/>
      <c r="I251" s="518"/>
      <c r="J251" s="518"/>
      <c r="K251" s="518"/>
      <c r="L251" s="518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  <c r="AB251" s="518"/>
      <c r="AC251" s="518"/>
      <c r="AD251" s="518"/>
      <c r="AE251" s="518"/>
      <c r="AF251" s="518"/>
      <c r="AG251" s="518"/>
      <c r="AH251" s="518"/>
      <c r="AI251" s="518"/>
      <c r="AJ251" s="518"/>
      <c r="AK251" s="518"/>
      <c r="AL251" s="518"/>
      <c r="AM251" s="518"/>
      <c r="AN251" s="518"/>
      <c r="AO251" s="518"/>
      <c r="AP251" s="518"/>
      <c r="AQ251" s="518"/>
      <c r="AR251" s="518"/>
      <c r="AS251" s="518"/>
      <c r="AT251" s="518"/>
    </row>
    <row r="252" spans="3:46" ht="12.75" customHeight="1">
      <c r="C252" s="518"/>
      <c r="D252" s="518"/>
      <c r="E252" s="518"/>
      <c r="F252" s="518"/>
      <c r="G252" s="518"/>
      <c r="H252" s="518"/>
      <c r="I252" s="518"/>
      <c r="J252" s="518"/>
      <c r="K252" s="518"/>
      <c r="L252" s="518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  <c r="AB252" s="518"/>
      <c r="AC252" s="518"/>
      <c r="AD252" s="518"/>
      <c r="AE252" s="518"/>
      <c r="AF252" s="518"/>
      <c r="AG252" s="518"/>
      <c r="AH252" s="518"/>
      <c r="AI252" s="518"/>
      <c r="AJ252" s="518"/>
      <c r="AK252" s="518"/>
      <c r="AL252" s="518"/>
      <c r="AM252" s="518"/>
      <c r="AN252" s="518"/>
      <c r="AO252" s="518"/>
      <c r="AP252" s="518"/>
      <c r="AQ252" s="518"/>
      <c r="AR252" s="518"/>
      <c r="AS252" s="518"/>
      <c r="AT252" s="518"/>
    </row>
    <row r="253" spans="3:46" ht="12.75" customHeight="1">
      <c r="C253" s="518"/>
      <c r="D253" s="518"/>
      <c r="E253" s="518"/>
      <c r="F253" s="518"/>
      <c r="G253" s="518"/>
      <c r="H253" s="518"/>
      <c r="I253" s="518"/>
      <c r="J253" s="518"/>
      <c r="K253" s="518"/>
      <c r="L253" s="518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  <c r="AB253" s="518"/>
      <c r="AC253" s="518"/>
      <c r="AD253" s="518"/>
      <c r="AE253" s="518"/>
      <c r="AF253" s="518"/>
      <c r="AG253" s="518"/>
      <c r="AH253" s="518"/>
      <c r="AI253" s="518"/>
      <c r="AJ253" s="518"/>
      <c r="AK253" s="518"/>
      <c r="AL253" s="518"/>
      <c r="AM253" s="518"/>
      <c r="AN253" s="518"/>
      <c r="AO253" s="518"/>
      <c r="AP253" s="518"/>
      <c r="AQ253" s="518"/>
      <c r="AR253" s="518"/>
      <c r="AS253" s="518"/>
      <c r="AT253" s="518"/>
    </row>
    <row r="254" spans="3:46" ht="12.75" customHeight="1">
      <c r="C254" s="518"/>
      <c r="D254" s="518"/>
      <c r="E254" s="518"/>
      <c r="F254" s="518"/>
      <c r="G254" s="518"/>
      <c r="H254" s="518"/>
      <c r="I254" s="518"/>
      <c r="J254" s="518"/>
      <c r="K254" s="518"/>
      <c r="L254" s="518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  <c r="AB254" s="518"/>
      <c r="AC254" s="518"/>
      <c r="AD254" s="518"/>
      <c r="AE254" s="518"/>
      <c r="AF254" s="518"/>
      <c r="AG254" s="518"/>
      <c r="AH254" s="518"/>
      <c r="AI254" s="518"/>
      <c r="AJ254" s="518"/>
      <c r="AK254" s="518"/>
      <c r="AL254" s="518"/>
      <c r="AM254" s="518"/>
      <c r="AN254" s="518"/>
      <c r="AO254" s="518"/>
      <c r="AP254" s="518"/>
      <c r="AQ254" s="518"/>
      <c r="AR254" s="518"/>
      <c r="AS254" s="518"/>
      <c r="AT254" s="518"/>
    </row>
    <row r="255" spans="3:46" ht="12.75" customHeight="1">
      <c r="C255" s="518"/>
      <c r="D255" s="518"/>
      <c r="E255" s="518"/>
      <c r="F255" s="518"/>
      <c r="G255" s="518"/>
      <c r="H255" s="518"/>
      <c r="I255" s="518"/>
      <c r="J255" s="518"/>
      <c r="K255" s="518"/>
      <c r="L255" s="518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  <c r="AB255" s="518"/>
      <c r="AC255" s="518"/>
      <c r="AD255" s="518"/>
      <c r="AE255" s="518"/>
      <c r="AF255" s="518"/>
      <c r="AG255" s="518"/>
      <c r="AH255" s="518"/>
      <c r="AI255" s="518"/>
      <c r="AJ255" s="518"/>
      <c r="AK255" s="518"/>
      <c r="AL255" s="518"/>
      <c r="AM255" s="518"/>
      <c r="AN255" s="518"/>
      <c r="AO255" s="518"/>
      <c r="AP255" s="518"/>
      <c r="AQ255" s="518"/>
      <c r="AR255" s="518"/>
      <c r="AS255" s="518"/>
      <c r="AT255" s="518"/>
    </row>
    <row r="256" spans="3:46" ht="12.75" customHeight="1">
      <c r="C256" s="518"/>
      <c r="D256" s="518"/>
      <c r="E256" s="518"/>
      <c r="F256" s="518"/>
      <c r="G256" s="518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  <c r="AB256" s="518"/>
      <c r="AC256" s="518"/>
      <c r="AD256" s="518"/>
      <c r="AE256" s="518"/>
      <c r="AF256" s="518"/>
      <c r="AG256" s="518"/>
      <c r="AH256" s="518"/>
      <c r="AI256" s="518"/>
      <c r="AJ256" s="518"/>
      <c r="AK256" s="518"/>
      <c r="AL256" s="518"/>
      <c r="AM256" s="518"/>
      <c r="AN256" s="518"/>
      <c r="AO256" s="518"/>
      <c r="AP256" s="518"/>
      <c r="AQ256" s="518"/>
      <c r="AR256" s="518"/>
      <c r="AS256" s="518"/>
      <c r="AT256" s="518"/>
    </row>
    <row r="257" spans="3:46" ht="12.75" customHeight="1">
      <c r="C257" s="518"/>
      <c r="D257" s="518"/>
      <c r="E257" s="518"/>
      <c r="F257" s="518"/>
      <c r="G257" s="518"/>
      <c r="H257" s="518"/>
      <c r="I257" s="518"/>
      <c r="J257" s="518"/>
      <c r="K257" s="518"/>
      <c r="L257" s="518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  <c r="AB257" s="518"/>
      <c r="AC257" s="518"/>
      <c r="AD257" s="518"/>
      <c r="AE257" s="518"/>
      <c r="AF257" s="518"/>
      <c r="AG257" s="518"/>
      <c r="AH257" s="518"/>
      <c r="AI257" s="518"/>
      <c r="AJ257" s="518"/>
      <c r="AK257" s="518"/>
      <c r="AL257" s="518"/>
      <c r="AM257" s="518"/>
      <c r="AN257" s="518"/>
      <c r="AO257" s="518"/>
      <c r="AP257" s="518"/>
      <c r="AQ257" s="518"/>
      <c r="AR257" s="518"/>
      <c r="AS257" s="518"/>
      <c r="AT257" s="518"/>
    </row>
    <row r="258" spans="3:46" ht="12.75" customHeight="1">
      <c r="C258" s="518"/>
      <c r="D258" s="518"/>
      <c r="E258" s="518"/>
      <c r="F258" s="518"/>
      <c r="G258" s="518"/>
      <c r="H258" s="518"/>
      <c r="I258" s="518"/>
      <c r="J258" s="518"/>
      <c r="K258" s="518"/>
      <c r="L258" s="518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  <c r="AB258" s="518"/>
      <c r="AC258" s="518"/>
      <c r="AD258" s="518"/>
      <c r="AE258" s="518"/>
      <c r="AF258" s="518"/>
      <c r="AG258" s="518"/>
      <c r="AH258" s="518"/>
      <c r="AI258" s="518"/>
      <c r="AJ258" s="518"/>
      <c r="AK258" s="518"/>
      <c r="AL258" s="518"/>
      <c r="AM258" s="518"/>
      <c r="AN258" s="518"/>
      <c r="AO258" s="518"/>
      <c r="AP258" s="518"/>
      <c r="AQ258" s="518"/>
      <c r="AR258" s="518"/>
      <c r="AS258" s="518"/>
      <c r="AT258" s="518"/>
    </row>
    <row r="259" spans="3:46" ht="12.75" customHeight="1">
      <c r="C259" s="518"/>
      <c r="D259" s="518"/>
      <c r="E259" s="518"/>
      <c r="F259" s="518"/>
      <c r="G259" s="518"/>
      <c r="H259" s="518"/>
      <c r="I259" s="518"/>
      <c r="J259" s="518"/>
      <c r="K259" s="518"/>
      <c r="L259" s="518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  <c r="AB259" s="518"/>
      <c r="AC259" s="518"/>
      <c r="AD259" s="518"/>
      <c r="AE259" s="518"/>
      <c r="AF259" s="518"/>
      <c r="AG259" s="518"/>
      <c r="AH259" s="518"/>
      <c r="AI259" s="518"/>
      <c r="AJ259" s="518"/>
      <c r="AK259" s="518"/>
      <c r="AL259" s="518"/>
      <c r="AM259" s="518"/>
      <c r="AN259" s="518"/>
      <c r="AO259" s="518"/>
      <c r="AP259" s="518"/>
      <c r="AQ259" s="518"/>
      <c r="AR259" s="518"/>
      <c r="AS259" s="518"/>
      <c r="AT259" s="518"/>
    </row>
    <row r="260" spans="3:46" ht="12.75" customHeight="1">
      <c r="C260" s="518"/>
      <c r="D260" s="518"/>
      <c r="E260" s="518"/>
      <c r="F260" s="518"/>
      <c r="G260" s="518"/>
      <c r="H260" s="518"/>
      <c r="I260" s="518"/>
      <c r="J260" s="518"/>
      <c r="K260" s="518"/>
      <c r="L260" s="518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  <c r="AB260" s="518"/>
      <c r="AC260" s="518"/>
      <c r="AD260" s="518"/>
      <c r="AE260" s="518"/>
      <c r="AF260" s="518"/>
      <c r="AG260" s="518"/>
      <c r="AH260" s="518"/>
      <c r="AI260" s="518"/>
      <c r="AJ260" s="518"/>
      <c r="AK260" s="518"/>
      <c r="AL260" s="518"/>
      <c r="AM260" s="518"/>
      <c r="AN260" s="518"/>
      <c r="AO260" s="518"/>
      <c r="AP260" s="518"/>
      <c r="AQ260" s="518"/>
      <c r="AR260" s="518"/>
      <c r="AS260" s="518"/>
      <c r="AT260" s="518"/>
    </row>
    <row r="261" spans="3:46" ht="12.75" customHeight="1">
      <c r="C261" s="518"/>
      <c r="D261" s="518"/>
      <c r="E261" s="518"/>
      <c r="F261" s="518"/>
      <c r="G261" s="518"/>
      <c r="H261" s="518"/>
      <c r="I261" s="518"/>
      <c r="J261" s="518"/>
      <c r="K261" s="518"/>
      <c r="L261" s="518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  <c r="AB261" s="518"/>
      <c r="AC261" s="518"/>
      <c r="AD261" s="518"/>
      <c r="AE261" s="518"/>
      <c r="AF261" s="518"/>
      <c r="AG261" s="518"/>
      <c r="AH261" s="518"/>
      <c r="AI261" s="518"/>
      <c r="AJ261" s="518"/>
      <c r="AK261" s="518"/>
      <c r="AL261" s="518"/>
      <c r="AM261" s="518"/>
      <c r="AN261" s="518"/>
      <c r="AO261" s="518"/>
      <c r="AP261" s="518"/>
      <c r="AQ261" s="518"/>
      <c r="AR261" s="518"/>
      <c r="AS261" s="518"/>
      <c r="AT261" s="518"/>
    </row>
    <row r="262" spans="3:46" ht="12.75" customHeight="1">
      <c r="C262" s="518"/>
      <c r="D262" s="518"/>
      <c r="E262" s="518"/>
      <c r="F262" s="518"/>
      <c r="G262" s="518"/>
      <c r="H262" s="518"/>
      <c r="I262" s="518"/>
      <c r="J262" s="518"/>
      <c r="K262" s="518"/>
      <c r="L262" s="518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  <c r="AB262" s="518"/>
      <c r="AC262" s="518"/>
      <c r="AD262" s="518"/>
      <c r="AE262" s="518"/>
      <c r="AF262" s="518"/>
      <c r="AG262" s="518"/>
      <c r="AH262" s="518"/>
      <c r="AI262" s="518"/>
      <c r="AJ262" s="518"/>
      <c r="AK262" s="518"/>
      <c r="AL262" s="518"/>
      <c r="AM262" s="518"/>
      <c r="AN262" s="518"/>
      <c r="AO262" s="518"/>
      <c r="AP262" s="518"/>
      <c r="AQ262" s="518"/>
      <c r="AR262" s="518"/>
      <c r="AS262" s="518"/>
      <c r="AT262" s="518"/>
    </row>
    <row r="263" spans="3:46" ht="12.75" customHeight="1">
      <c r="C263" s="518"/>
      <c r="D263" s="518"/>
      <c r="E263" s="518"/>
      <c r="F263" s="518"/>
      <c r="G263" s="518"/>
      <c r="H263" s="518"/>
      <c r="I263" s="518"/>
      <c r="J263" s="518"/>
      <c r="K263" s="518"/>
      <c r="L263" s="518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  <c r="AB263" s="518"/>
      <c r="AC263" s="518"/>
      <c r="AD263" s="518"/>
      <c r="AE263" s="518"/>
      <c r="AF263" s="518"/>
      <c r="AG263" s="518"/>
      <c r="AH263" s="518"/>
      <c r="AI263" s="518"/>
      <c r="AJ263" s="518"/>
      <c r="AK263" s="518"/>
      <c r="AL263" s="518"/>
      <c r="AM263" s="518"/>
      <c r="AN263" s="518"/>
      <c r="AO263" s="518"/>
      <c r="AP263" s="518"/>
      <c r="AQ263" s="518"/>
      <c r="AR263" s="518"/>
      <c r="AS263" s="518"/>
      <c r="AT263" s="518"/>
    </row>
    <row r="264" spans="3:46" ht="12.75" customHeight="1">
      <c r="C264" s="518"/>
      <c r="D264" s="518"/>
      <c r="E264" s="518"/>
      <c r="F264" s="518"/>
      <c r="G264" s="518"/>
      <c r="H264" s="518"/>
      <c r="I264" s="518"/>
      <c r="J264" s="518"/>
      <c r="K264" s="518"/>
      <c r="L264" s="518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  <c r="AB264" s="518"/>
      <c r="AC264" s="518"/>
      <c r="AD264" s="518"/>
      <c r="AE264" s="518"/>
      <c r="AF264" s="518"/>
      <c r="AG264" s="518"/>
      <c r="AH264" s="518"/>
      <c r="AI264" s="518"/>
      <c r="AJ264" s="518"/>
      <c r="AK264" s="518"/>
      <c r="AL264" s="518"/>
      <c r="AM264" s="518"/>
      <c r="AN264" s="518"/>
      <c r="AO264" s="518"/>
      <c r="AP264" s="518"/>
      <c r="AQ264" s="518"/>
      <c r="AR264" s="518"/>
      <c r="AS264" s="518"/>
      <c r="AT264" s="518"/>
    </row>
    <row r="265" spans="3:46" ht="12.75" customHeight="1">
      <c r="C265" s="518"/>
      <c r="D265" s="518"/>
      <c r="E265" s="518"/>
      <c r="F265" s="518"/>
      <c r="G265" s="518"/>
      <c r="H265" s="518"/>
      <c r="I265" s="518"/>
      <c r="J265" s="518"/>
      <c r="K265" s="518"/>
      <c r="L265" s="518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  <c r="AB265" s="518"/>
      <c r="AC265" s="518"/>
      <c r="AD265" s="518"/>
      <c r="AE265" s="518"/>
      <c r="AF265" s="518"/>
      <c r="AG265" s="518"/>
      <c r="AH265" s="518"/>
      <c r="AI265" s="518"/>
      <c r="AJ265" s="518"/>
      <c r="AK265" s="518"/>
      <c r="AL265" s="518"/>
      <c r="AM265" s="518"/>
      <c r="AN265" s="518"/>
      <c r="AO265" s="518"/>
      <c r="AP265" s="518"/>
      <c r="AQ265" s="518"/>
      <c r="AR265" s="518"/>
      <c r="AS265" s="518"/>
      <c r="AT265" s="518"/>
    </row>
    <row r="266" spans="3:46" ht="12.75" customHeight="1">
      <c r="C266" s="518"/>
      <c r="D266" s="518"/>
      <c r="E266" s="518"/>
      <c r="F266" s="518"/>
      <c r="G266" s="518"/>
      <c r="H266" s="518"/>
      <c r="I266" s="518"/>
      <c r="J266" s="518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  <c r="AB266" s="518"/>
      <c r="AC266" s="518"/>
      <c r="AD266" s="518"/>
      <c r="AE266" s="518"/>
      <c r="AF266" s="518"/>
      <c r="AG266" s="518"/>
      <c r="AH266" s="518"/>
      <c r="AI266" s="518"/>
      <c r="AJ266" s="518"/>
      <c r="AK266" s="518"/>
      <c r="AL266" s="518"/>
      <c r="AM266" s="518"/>
      <c r="AN266" s="518"/>
      <c r="AO266" s="518"/>
      <c r="AP266" s="518"/>
      <c r="AQ266" s="518"/>
      <c r="AR266" s="518"/>
      <c r="AS266" s="518"/>
      <c r="AT266" s="518"/>
    </row>
    <row r="267" spans="3:46" ht="12.75" customHeight="1">
      <c r="C267" s="518"/>
      <c r="D267" s="518"/>
      <c r="E267" s="518"/>
      <c r="F267" s="518"/>
      <c r="G267" s="518"/>
      <c r="H267" s="518"/>
      <c r="I267" s="518"/>
      <c r="J267" s="518"/>
      <c r="K267" s="518"/>
      <c r="L267" s="518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  <c r="AB267" s="518"/>
      <c r="AC267" s="518"/>
      <c r="AD267" s="518"/>
      <c r="AE267" s="518"/>
      <c r="AF267" s="518"/>
      <c r="AG267" s="518"/>
      <c r="AH267" s="518"/>
      <c r="AI267" s="518"/>
      <c r="AJ267" s="518"/>
      <c r="AK267" s="518"/>
      <c r="AL267" s="518"/>
      <c r="AM267" s="518"/>
      <c r="AN267" s="518"/>
      <c r="AO267" s="518"/>
      <c r="AP267" s="518"/>
      <c r="AQ267" s="518"/>
      <c r="AR267" s="518"/>
      <c r="AS267" s="518"/>
      <c r="AT267" s="518"/>
    </row>
    <row r="268" spans="3:46" ht="12.75" customHeight="1">
      <c r="C268" s="518"/>
      <c r="D268" s="518"/>
      <c r="E268" s="518"/>
      <c r="F268" s="518"/>
      <c r="G268" s="518"/>
      <c r="H268" s="518"/>
      <c r="I268" s="518"/>
      <c r="J268" s="518"/>
      <c r="K268" s="518"/>
      <c r="L268" s="518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  <c r="AB268" s="518"/>
      <c r="AC268" s="518"/>
      <c r="AD268" s="518"/>
      <c r="AE268" s="518"/>
      <c r="AF268" s="518"/>
      <c r="AG268" s="518"/>
      <c r="AH268" s="518"/>
      <c r="AI268" s="518"/>
      <c r="AJ268" s="518"/>
      <c r="AK268" s="518"/>
      <c r="AL268" s="518"/>
      <c r="AM268" s="518"/>
      <c r="AN268" s="518"/>
      <c r="AO268" s="518"/>
      <c r="AP268" s="518"/>
      <c r="AQ268" s="518"/>
      <c r="AR268" s="518"/>
      <c r="AS268" s="518"/>
      <c r="AT268" s="518"/>
    </row>
    <row r="269" spans="3:46" ht="12.75" customHeight="1">
      <c r="C269" s="518"/>
      <c r="D269" s="518"/>
      <c r="E269" s="518"/>
      <c r="F269" s="518"/>
      <c r="G269" s="518"/>
      <c r="H269" s="518"/>
      <c r="I269" s="518"/>
      <c r="J269" s="518"/>
      <c r="K269" s="518"/>
      <c r="L269" s="518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  <c r="AB269" s="518"/>
      <c r="AC269" s="518"/>
      <c r="AD269" s="518"/>
      <c r="AE269" s="518"/>
      <c r="AF269" s="518"/>
      <c r="AG269" s="518"/>
      <c r="AH269" s="518"/>
      <c r="AI269" s="518"/>
      <c r="AJ269" s="518"/>
      <c r="AK269" s="518"/>
      <c r="AL269" s="518"/>
      <c r="AM269" s="518"/>
      <c r="AN269" s="518"/>
      <c r="AO269" s="518"/>
      <c r="AP269" s="518"/>
      <c r="AQ269" s="518"/>
      <c r="AR269" s="518"/>
      <c r="AS269" s="518"/>
      <c r="AT269" s="518"/>
    </row>
    <row r="270" spans="3:46" ht="12.75" customHeight="1">
      <c r="C270" s="518"/>
      <c r="D270" s="518"/>
      <c r="E270" s="518"/>
      <c r="F270" s="518"/>
      <c r="G270" s="518"/>
      <c r="H270" s="518"/>
      <c r="I270" s="518"/>
      <c r="J270" s="518"/>
      <c r="K270" s="518"/>
      <c r="L270" s="518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  <c r="AB270" s="518"/>
      <c r="AC270" s="518"/>
      <c r="AD270" s="518"/>
      <c r="AE270" s="518"/>
      <c r="AF270" s="518"/>
      <c r="AG270" s="518"/>
      <c r="AH270" s="518"/>
      <c r="AI270" s="518"/>
      <c r="AJ270" s="518"/>
      <c r="AK270" s="518"/>
      <c r="AL270" s="518"/>
      <c r="AM270" s="518"/>
      <c r="AN270" s="518"/>
      <c r="AO270" s="518"/>
      <c r="AP270" s="518"/>
      <c r="AQ270" s="518"/>
      <c r="AR270" s="518"/>
      <c r="AS270" s="518"/>
      <c r="AT270" s="518"/>
    </row>
    <row r="271" spans="3:46" ht="12.75" customHeight="1">
      <c r="C271" s="518"/>
      <c r="D271" s="518"/>
      <c r="E271" s="518"/>
      <c r="F271" s="518"/>
      <c r="G271" s="518"/>
      <c r="H271" s="518"/>
      <c r="I271" s="518"/>
      <c r="J271" s="518"/>
      <c r="K271" s="518"/>
      <c r="L271" s="518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  <c r="AB271" s="518"/>
      <c r="AC271" s="518"/>
      <c r="AD271" s="518"/>
      <c r="AE271" s="518"/>
      <c r="AF271" s="518"/>
      <c r="AG271" s="518"/>
      <c r="AH271" s="518"/>
      <c r="AI271" s="518"/>
      <c r="AJ271" s="518"/>
      <c r="AK271" s="518"/>
      <c r="AL271" s="518"/>
      <c r="AM271" s="518"/>
      <c r="AN271" s="518"/>
      <c r="AO271" s="518"/>
      <c r="AP271" s="518"/>
      <c r="AQ271" s="518"/>
      <c r="AR271" s="518"/>
      <c r="AS271" s="518"/>
      <c r="AT271" s="518"/>
    </row>
    <row r="272" spans="3:46" ht="12.75" customHeight="1">
      <c r="C272" s="518"/>
      <c r="D272" s="518"/>
      <c r="E272" s="518"/>
      <c r="F272" s="518"/>
      <c r="G272" s="518"/>
      <c r="H272" s="518"/>
      <c r="I272" s="518"/>
      <c r="J272" s="518"/>
      <c r="K272" s="518"/>
      <c r="L272" s="518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  <c r="AB272" s="518"/>
      <c r="AC272" s="518"/>
      <c r="AD272" s="518"/>
      <c r="AE272" s="518"/>
      <c r="AF272" s="518"/>
      <c r="AG272" s="518"/>
      <c r="AH272" s="518"/>
      <c r="AI272" s="518"/>
      <c r="AJ272" s="518"/>
      <c r="AK272" s="518"/>
      <c r="AL272" s="518"/>
      <c r="AM272" s="518"/>
      <c r="AN272" s="518"/>
      <c r="AO272" s="518"/>
      <c r="AP272" s="518"/>
      <c r="AQ272" s="518"/>
      <c r="AR272" s="518"/>
      <c r="AS272" s="518"/>
      <c r="AT272" s="518"/>
    </row>
    <row r="273" spans="3:46" ht="12.75" customHeight="1">
      <c r="C273" s="518"/>
      <c r="D273" s="518"/>
      <c r="E273" s="518"/>
      <c r="F273" s="518"/>
      <c r="G273" s="518"/>
      <c r="H273" s="518"/>
      <c r="I273" s="518"/>
      <c r="J273" s="518"/>
      <c r="K273" s="518"/>
      <c r="L273" s="518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  <c r="AB273" s="518"/>
      <c r="AC273" s="518"/>
      <c r="AD273" s="518"/>
      <c r="AE273" s="518"/>
      <c r="AF273" s="518"/>
      <c r="AG273" s="518"/>
      <c r="AH273" s="518"/>
      <c r="AI273" s="518"/>
      <c r="AJ273" s="518"/>
      <c r="AK273" s="518"/>
      <c r="AL273" s="518"/>
      <c r="AM273" s="518"/>
      <c r="AN273" s="518"/>
      <c r="AO273" s="518"/>
      <c r="AP273" s="518"/>
      <c r="AQ273" s="518"/>
      <c r="AR273" s="518"/>
      <c r="AS273" s="518"/>
      <c r="AT273" s="518"/>
    </row>
    <row r="274" spans="3:46" ht="12.75" customHeight="1">
      <c r="C274" s="518"/>
      <c r="D274" s="518"/>
      <c r="E274" s="518"/>
      <c r="F274" s="518"/>
      <c r="G274" s="518"/>
      <c r="H274" s="518"/>
      <c r="I274" s="518"/>
      <c r="J274" s="518"/>
      <c r="K274" s="518"/>
      <c r="L274" s="518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  <c r="AB274" s="518"/>
      <c r="AC274" s="518"/>
      <c r="AD274" s="518"/>
      <c r="AE274" s="518"/>
      <c r="AF274" s="518"/>
      <c r="AG274" s="518"/>
      <c r="AH274" s="518"/>
      <c r="AI274" s="518"/>
      <c r="AJ274" s="518"/>
      <c r="AK274" s="518"/>
      <c r="AL274" s="518"/>
      <c r="AM274" s="518"/>
      <c r="AN274" s="518"/>
      <c r="AO274" s="518"/>
      <c r="AP274" s="518"/>
      <c r="AQ274" s="518"/>
      <c r="AR274" s="518"/>
      <c r="AS274" s="518"/>
      <c r="AT274" s="518"/>
    </row>
    <row r="275" spans="3:46" ht="12.75" customHeight="1">
      <c r="C275" s="518"/>
      <c r="D275" s="518"/>
      <c r="E275" s="518"/>
      <c r="F275" s="518"/>
      <c r="G275" s="518"/>
      <c r="H275" s="518"/>
      <c r="I275" s="518"/>
      <c r="J275" s="518"/>
      <c r="K275" s="518"/>
      <c r="L275" s="518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  <c r="AB275" s="518"/>
      <c r="AC275" s="518"/>
      <c r="AD275" s="518"/>
      <c r="AE275" s="518"/>
      <c r="AF275" s="518"/>
      <c r="AG275" s="518"/>
      <c r="AH275" s="518"/>
      <c r="AI275" s="518"/>
      <c r="AJ275" s="518"/>
      <c r="AK275" s="518"/>
      <c r="AL275" s="518"/>
      <c r="AM275" s="518"/>
      <c r="AN275" s="518"/>
      <c r="AO275" s="518"/>
      <c r="AP275" s="518"/>
      <c r="AQ275" s="518"/>
      <c r="AR275" s="518"/>
      <c r="AS275" s="518"/>
      <c r="AT275" s="518"/>
    </row>
    <row r="276" spans="3:46" ht="12.75" customHeight="1">
      <c r="C276" s="518"/>
      <c r="D276" s="518"/>
      <c r="E276" s="518"/>
      <c r="F276" s="518"/>
      <c r="G276" s="518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  <c r="AB276" s="518"/>
      <c r="AC276" s="518"/>
      <c r="AD276" s="518"/>
      <c r="AE276" s="518"/>
      <c r="AF276" s="518"/>
      <c r="AG276" s="518"/>
      <c r="AH276" s="518"/>
      <c r="AI276" s="518"/>
      <c r="AJ276" s="518"/>
      <c r="AK276" s="518"/>
      <c r="AL276" s="518"/>
      <c r="AM276" s="518"/>
      <c r="AN276" s="518"/>
      <c r="AO276" s="518"/>
      <c r="AP276" s="518"/>
      <c r="AQ276" s="518"/>
      <c r="AR276" s="518"/>
      <c r="AS276" s="518"/>
      <c r="AT276" s="518"/>
    </row>
    <row r="277" spans="3:46" ht="12.75" customHeight="1">
      <c r="C277" s="518"/>
      <c r="D277" s="518"/>
      <c r="E277" s="518"/>
      <c r="F277" s="518"/>
      <c r="G277" s="518"/>
      <c r="H277" s="518"/>
      <c r="I277" s="518"/>
      <c r="J277" s="518"/>
      <c r="K277" s="518"/>
      <c r="L277" s="518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  <c r="AB277" s="518"/>
      <c r="AC277" s="518"/>
      <c r="AD277" s="518"/>
      <c r="AE277" s="518"/>
      <c r="AF277" s="518"/>
      <c r="AG277" s="518"/>
      <c r="AH277" s="518"/>
      <c r="AI277" s="518"/>
      <c r="AJ277" s="518"/>
      <c r="AK277" s="518"/>
      <c r="AL277" s="518"/>
      <c r="AM277" s="518"/>
      <c r="AN277" s="518"/>
      <c r="AO277" s="518"/>
      <c r="AP277" s="518"/>
      <c r="AQ277" s="518"/>
      <c r="AR277" s="518"/>
      <c r="AS277" s="518"/>
      <c r="AT277" s="518"/>
    </row>
    <row r="278" spans="3:46" ht="12.75" customHeight="1">
      <c r="C278" s="518"/>
      <c r="D278" s="518"/>
      <c r="E278" s="518"/>
      <c r="F278" s="518"/>
      <c r="G278" s="518"/>
      <c r="H278" s="518"/>
      <c r="I278" s="518"/>
      <c r="J278" s="518"/>
      <c r="K278" s="518"/>
      <c r="L278" s="518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  <c r="AB278" s="518"/>
      <c r="AC278" s="518"/>
      <c r="AD278" s="518"/>
      <c r="AE278" s="518"/>
      <c r="AF278" s="518"/>
      <c r="AG278" s="518"/>
      <c r="AH278" s="518"/>
      <c r="AI278" s="518"/>
      <c r="AJ278" s="518"/>
      <c r="AK278" s="518"/>
      <c r="AL278" s="518"/>
      <c r="AM278" s="518"/>
      <c r="AN278" s="518"/>
      <c r="AO278" s="518"/>
      <c r="AP278" s="518"/>
      <c r="AQ278" s="518"/>
      <c r="AR278" s="518"/>
      <c r="AS278" s="518"/>
      <c r="AT278" s="518"/>
    </row>
    <row r="279" spans="3:46" ht="12.75" customHeight="1">
      <c r="C279" s="518"/>
      <c r="D279" s="518"/>
      <c r="E279" s="518"/>
      <c r="F279" s="518"/>
      <c r="G279" s="518"/>
      <c r="H279" s="518"/>
      <c r="I279" s="518"/>
      <c r="J279" s="518"/>
      <c r="K279" s="518"/>
      <c r="L279" s="518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  <c r="AB279" s="518"/>
      <c r="AC279" s="518"/>
      <c r="AD279" s="518"/>
      <c r="AE279" s="518"/>
      <c r="AF279" s="518"/>
      <c r="AG279" s="518"/>
      <c r="AH279" s="518"/>
      <c r="AI279" s="518"/>
      <c r="AJ279" s="518"/>
      <c r="AK279" s="518"/>
      <c r="AL279" s="518"/>
      <c r="AM279" s="518"/>
      <c r="AN279" s="518"/>
      <c r="AO279" s="518"/>
      <c r="AP279" s="518"/>
      <c r="AQ279" s="518"/>
      <c r="AR279" s="518"/>
      <c r="AS279" s="518"/>
      <c r="AT279" s="518"/>
    </row>
    <row r="280" spans="3:46" ht="12.75" customHeight="1">
      <c r="C280" s="518"/>
      <c r="D280" s="518"/>
      <c r="E280" s="518"/>
      <c r="F280" s="518"/>
      <c r="G280" s="518"/>
      <c r="H280" s="518"/>
      <c r="I280" s="518"/>
      <c r="J280" s="518"/>
      <c r="K280" s="518"/>
      <c r="L280" s="518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  <c r="AB280" s="518"/>
      <c r="AC280" s="518"/>
      <c r="AD280" s="518"/>
      <c r="AE280" s="518"/>
      <c r="AF280" s="518"/>
      <c r="AG280" s="518"/>
      <c r="AH280" s="518"/>
      <c r="AI280" s="518"/>
      <c r="AJ280" s="518"/>
      <c r="AK280" s="518"/>
      <c r="AL280" s="518"/>
      <c r="AM280" s="518"/>
      <c r="AN280" s="518"/>
      <c r="AO280" s="518"/>
      <c r="AP280" s="518"/>
      <c r="AQ280" s="518"/>
      <c r="AR280" s="518"/>
      <c r="AS280" s="518"/>
      <c r="AT280" s="518"/>
    </row>
    <row r="281" spans="3:46" ht="12.75" customHeight="1">
      <c r="C281" s="518"/>
      <c r="D281" s="518"/>
      <c r="E281" s="518"/>
      <c r="F281" s="518"/>
      <c r="G281" s="518"/>
      <c r="H281" s="518"/>
      <c r="I281" s="518"/>
      <c r="J281" s="518"/>
      <c r="K281" s="518"/>
      <c r="L281" s="518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  <c r="AB281" s="518"/>
      <c r="AC281" s="518"/>
      <c r="AD281" s="518"/>
      <c r="AE281" s="518"/>
      <c r="AF281" s="518"/>
      <c r="AG281" s="518"/>
      <c r="AH281" s="518"/>
      <c r="AI281" s="518"/>
      <c r="AJ281" s="518"/>
      <c r="AK281" s="518"/>
      <c r="AL281" s="518"/>
      <c r="AM281" s="518"/>
      <c r="AN281" s="518"/>
      <c r="AO281" s="518"/>
      <c r="AP281" s="518"/>
      <c r="AQ281" s="518"/>
      <c r="AR281" s="518"/>
      <c r="AS281" s="518"/>
      <c r="AT281" s="518"/>
    </row>
    <row r="282" spans="3:46" ht="12.75" customHeight="1">
      <c r="C282" s="518"/>
      <c r="D282" s="518"/>
      <c r="E282" s="518"/>
      <c r="F282" s="518"/>
      <c r="G282" s="518"/>
      <c r="H282" s="518"/>
      <c r="I282" s="518"/>
      <c r="J282" s="518"/>
      <c r="K282" s="518"/>
      <c r="L282" s="518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  <c r="AB282" s="518"/>
      <c r="AC282" s="518"/>
      <c r="AD282" s="518"/>
      <c r="AE282" s="518"/>
      <c r="AF282" s="518"/>
      <c r="AG282" s="518"/>
      <c r="AH282" s="518"/>
      <c r="AI282" s="518"/>
      <c r="AJ282" s="518"/>
      <c r="AK282" s="518"/>
      <c r="AL282" s="518"/>
      <c r="AM282" s="518"/>
      <c r="AN282" s="518"/>
      <c r="AO282" s="518"/>
      <c r="AP282" s="518"/>
      <c r="AQ282" s="518"/>
      <c r="AR282" s="518"/>
      <c r="AS282" s="518"/>
      <c r="AT282" s="518"/>
    </row>
    <row r="283" spans="3:46" ht="12.75" customHeight="1">
      <c r="C283" s="518"/>
      <c r="D283" s="518"/>
      <c r="E283" s="518"/>
      <c r="F283" s="518"/>
      <c r="G283" s="518"/>
      <c r="H283" s="518"/>
      <c r="I283" s="518"/>
      <c r="J283" s="518"/>
      <c r="K283" s="518"/>
      <c r="L283" s="518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  <c r="AB283" s="518"/>
      <c r="AC283" s="518"/>
      <c r="AD283" s="518"/>
      <c r="AE283" s="518"/>
      <c r="AF283" s="518"/>
      <c r="AG283" s="518"/>
      <c r="AH283" s="518"/>
      <c r="AI283" s="518"/>
      <c r="AJ283" s="518"/>
      <c r="AK283" s="518"/>
      <c r="AL283" s="518"/>
      <c r="AM283" s="518"/>
      <c r="AN283" s="518"/>
      <c r="AO283" s="518"/>
      <c r="AP283" s="518"/>
      <c r="AQ283" s="518"/>
      <c r="AR283" s="518"/>
      <c r="AS283" s="518"/>
      <c r="AT283" s="518"/>
    </row>
    <row r="284" spans="3:46" ht="12.75" customHeight="1">
      <c r="C284" s="518"/>
      <c r="D284" s="518"/>
      <c r="E284" s="518"/>
      <c r="F284" s="518"/>
      <c r="G284" s="518"/>
      <c r="H284" s="518"/>
      <c r="I284" s="518"/>
      <c r="J284" s="518"/>
      <c r="K284" s="518"/>
      <c r="L284" s="518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  <c r="AB284" s="518"/>
      <c r="AC284" s="518"/>
      <c r="AD284" s="518"/>
      <c r="AE284" s="518"/>
      <c r="AF284" s="518"/>
      <c r="AG284" s="518"/>
      <c r="AH284" s="518"/>
      <c r="AI284" s="518"/>
      <c r="AJ284" s="518"/>
      <c r="AK284" s="518"/>
      <c r="AL284" s="518"/>
      <c r="AM284" s="518"/>
      <c r="AN284" s="518"/>
      <c r="AO284" s="518"/>
      <c r="AP284" s="518"/>
      <c r="AQ284" s="518"/>
      <c r="AR284" s="518"/>
      <c r="AS284" s="518"/>
      <c r="AT284" s="518"/>
    </row>
    <row r="285" spans="3:46" ht="12.75" customHeight="1">
      <c r="C285" s="518"/>
      <c r="D285" s="518"/>
      <c r="E285" s="518"/>
      <c r="F285" s="518"/>
      <c r="G285" s="518"/>
      <c r="H285" s="518"/>
      <c r="I285" s="518"/>
      <c r="J285" s="518"/>
      <c r="K285" s="518"/>
      <c r="L285" s="518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  <c r="AB285" s="518"/>
      <c r="AC285" s="518"/>
      <c r="AD285" s="518"/>
      <c r="AE285" s="518"/>
      <c r="AF285" s="518"/>
      <c r="AG285" s="518"/>
      <c r="AH285" s="518"/>
      <c r="AI285" s="518"/>
      <c r="AJ285" s="518"/>
      <c r="AK285" s="518"/>
      <c r="AL285" s="518"/>
      <c r="AM285" s="518"/>
      <c r="AN285" s="518"/>
      <c r="AO285" s="518"/>
      <c r="AP285" s="518"/>
      <c r="AQ285" s="518"/>
      <c r="AR285" s="518"/>
      <c r="AS285" s="518"/>
      <c r="AT285" s="518"/>
    </row>
    <row r="286" spans="3:46" ht="12.75" customHeight="1">
      <c r="C286" s="518"/>
      <c r="D286" s="518"/>
      <c r="E286" s="518"/>
      <c r="F286" s="518"/>
      <c r="G286" s="518"/>
      <c r="H286" s="518"/>
      <c r="I286" s="518"/>
      <c r="J286" s="518"/>
      <c r="K286" s="518"/>
      <c r="L286" s="518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  <c r="AB286" s="518"/>
      <c r="AC286" s="518"/>
      <c r="AD286" s="518"/>
      <c r="AE286" s="518"/>
      <c r="AF286" s="518"/>
      <c r="AG286" s="518"/>
      <c r="AH286" s="518"/>
      <c r="AI286" s="518"/>
      <c r="AJ286" s="518"/>
      <c r="AK286" s="518"/>
      <c r="AL286" s="518"/>
      <c r="AM286" s="518"/>
      <c r="AN286" s="518"/>
      <c r="AO286" s="518"/>
      <c r="AP286" s="518"/>
      <c r="AQ286" s="518"/>
      <c r="AR286" s="518"/>
      <c r="AS286" s="518"/>
      <c r="AT286" s="518"/>
    </row>
    <row r="287" spans="3:46" ht="12.75" customHeight="1">
      <c r="C287" s="518"/>
      <c r="D287" s="518"/>
      <c r="E287" s="518"/>
      <c r="F287" s="518"/>
      <c r="G287" s="518"/>
      <c r="H287" s="518"/>
      <c r="I287" s="518"/>
      <c r="J287" s="518"/>
      <c r="K287" s="518"/>
      <c r="L287" s="518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  <c r="AB287" s="518"/>
      <c r="AC287" s="518"/>
      <c r="AD287" s="518"/>
      <c r="AE287" s="518"/>
      <c r="AF287" s="518"/>
      <c r="AG287" s="518"/>
      <c r="AH287" s="518"/>
      <c r="AI287" s="518"/>
      <c r="AJ287" s="518"/>
      <c r="AK287" s="518"/>
      <c r="AL287" s="518"/>
      <c r="AM287" s="518"/>
      <c r="AN287" s="518"/>
      <c r="AO287" s="518"/>
      <c r="AP287" s="518"/>
      <c r="AQ287" s="518"/>
      <c r="AR287" s="518"/>
      <c r="AS287" s="518"/>
      <c r="AT287" s="518"/>
    </row>
    <row r="288" spans="3:46" ht="12.75" customHeight="1">
      <c r="C288" s="518"/>
      <c r="D288" s="518"/>
      <c r="E288" s="518"/>
      <c r="F288" s="518"/>
      <c r="G288" s="518"/>
      <c r="H288" s="518"/>
      <c r="I288" s="518"/>
      <c r="J288" s="518"/>
      <c r="K288" s="518"/>
      <c r="L288" s="518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  <c r="AB288" s="518"/>
      <c r="AC288" s="518"/>
      <c r="AD288" s="518"/>
      <c r="AE288" s="518"/>
      <c r="AF288" s="518"/>
      <c r="AG288" s="518"/>
      <c r="AH288" s="518"/>
      <c r="AI288" s="518"/>
      <c r="AJ288" s="518"/>
      <c r="AK288" s="518"/>
      <c r="AL288" s="518"/>
      <c r="AM288" s="518"/>
      <c r="AN288" s="518"/>
      <c r="AO288" s="518"/>
      <c r="AP288" s="518"/>
      <c r="AQ288" s="518"/>
      <c r="AR288" s="518"/>
      <c r="AS288" s="518"/>
      <c r="AT288" s="518"/>
    </row>
    <row r="289" spans="3:46" ht="12.75" customHeight="1">
      <c r="C289" s="518"/>
      <c r="D289" s="518"/>
      <c r="E289" s="518"/>
      <c r="F289" s="518"/>
      <c r="G289" s="518"/>
      <c r="H289" s="518"/>
      <c r="I289" s="518"/>
      <c r="J289" s="518"/>
      <c r="K289" s="518"/>
      <c r="L289" s="518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  <c r="AB289" s="518"/>
      <c r="AC289" s="518"/>
      <c r="AD289" s="518"/>
      <c r="AE289" s="518"/>
      <c r="AF289" s="518"/>
      <c r="AG289" s="518"/>
      <c r="AH289" s="518"/>
      <c r="AI289" s="518"/>
      <c r="AJ289" s="518"/>
      <c r="AK289" s="518"/>
      <c r="AL289" s="518"/>
      <c r="AM289" s="518"/>
      <c r="AN289" s="518"/>
      <c r="AO289" s="518"/>
      <c r="AP289" s="518"/>
      <c r="AQ289" s="518"/>
      <c r="AR289" s="518"/>
      <c r="AS289" s="518"/>
      <c r="AT289" s="518"/>
    </row>
    <row r="290" spans="3:46" ht="12.75" customHeight="1">
      <c r="C290" s="518"/>
      <c r="D290" s="518"/>
      <c r="E290" s="518"/>
      <c r="F290" s="518"/>
      <c r="G290" s="518"/>
      <c r="H290" s="518"/>
      <c r="I290" s="518"/>
      <c r="J290" s="518"/>
      <c r="K290" s="518"/>
      <c r="L290" s="518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  <c r="AB290" s="518"/>
      <c r="AC290" s="518"/>
      <c r="AD290" s="518"/>
      <c r="AE290" s="518"/>
      <c r="AF290" s="518"/>
      <c r="AG290" s="518"/>
      <c r="AH290" s="518"/>
      <c r="AI290" s="518"/>
      <c r="AJ290" s="518"/>
      <c r="AK290" s="518"/>
      <c r="AL290" s="518"/>
      <c r="AM290" s="518"/>
      <c r="AN290" s="518"/>
      <c r="AO290" s="518"/>
      <c r="AP290" s="518"/>
      <c r="AQ290" s="518"/>
      <c r="AR290" s="518"/>
      <c r="AS290" s="518"/>
      <c r="AT290" s="518"/>
    </row>
    <row r="291" spans="3:46" ht="12.75" customHeight="1">
      <c r="C291" s="518"/>
      <c r="D291" s="518"/>
      <c r="E291" s="518"/>
      <c r="F291" s="518"/>
      <c r="G291" s="518"/>
      <c r="H291" s="518"/>
      <c r="I291" s="518"/>
      <c r="J291" s="518"/>
      <c r="K291" s="518"/>
      <c r="L291" s="518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  <c r="AB291" s="518"/>
      <c r="AC291" s="518"/>
      <c r="AD291" s="518"/>
      <c r="AE291" s="518"/>
      <c r="AF291" s="518"/>
      <c r="AG291" s="518"/>
      <c r="AH291" s="518"/>
      <c r="AI291" s="518"/>
      <c r="AJ291" s="518"/>
      <c r="AK291" s="518"/>
      <c r="AL291" s="518"/>
      <c r="AM291" s="518"/>
      <c r="AN291" s="518"/>
      <c r="AO291" s="518"/>
      <c r="AP291" s="518"/>
      <c r="AQ291" s="518"/>
      <c r="AR291" s="518"/>
      <c r="AS291" s="518"/>
      <c r="AT291" s="518"/>
    </row>
    <row r="292" spans="3:46" ht="12.75" customHeight="1">
      <c r="C292" s="518"/>
      <c r="D292" s="518"/>
      <c r="E292" s="518"/>
      <c r="F292" s="518"/>
      <c r="G292" s="518"/>
      <c r="H292" s="518"/>
      <c r="I292" s="518"/>
      <c r="J292" s="518"/>
      <c r="K292" s="518"/>
      <c r="L292" s="518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  <c r="AB292" s="518"/>
      <c r="AC292" s="518"/>
      <c r="AD292" s="518"/>
      <c r="AE292" s="518"/>
      <c r="AF292" s="518"/>
      <c r="AG292" s="518"/>
      <c r="AH292" s="518"/>
      <c r="AI292" s="518"/>
      <c r="AJ292" s="518"/>
      <c r="AK292" s="518"/>
      <c r="AL292" s="518"/>
      <c r="AM292" s="518"/>
      <c r="AN292" s="518"/>
      <c r="AO292" s="518"/>
      <c r="AP292" s="518"/>
      <c r="AQ292" s="518"/>
      <c r="AR292" s="518"/>
      <c r="AS292" s="518"/>
      <c r="AT292" s="518"/>
    </row>
    <row r="293" spans="3:46" ht="12.75" customHeight="1">
      <c r="C293" s="518"/>
      <c r="D293" s="518"/>
      <c r="E293" s="518"/>
      <c r="F293" s="518"/>
      <c r="G293" s="518"/>
      <c r="H293" s="518"/>
      <c r="I293" s="518"/>
      <c r="J293" s="518"/>
      <c r="K293" s="518"/>
      <c r="L293" s="518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  <c r="AB293" s="518"/>
      <c r="AC293" s="518"/>
      <c r="AD293" s="518"/>
      <c r="AE293" s="518"/>
      <c r="AF293" s="518"/>
      <c r="AG293" s="518"/>
      <c r="AH293" s="518"/>
      <c r="AI293" s="518"/>
      <c r="AJ293" s="518"/>
      <c r="AK293" s="518"/>
      <c r="AL293" s="518"/>
      <c r="AM293" s="518"/>
      <c r="AN293" s="518"/>
      <c r="AO293" s="518"/>
      <c r="AP293" s="518"/>
      <c r="AQ293" s="518"/>
      <c r="AR293" s="518"/>
      <c r="AS293" s="518"/>
      <c r="AT293" s="518"/>
    </row>
    <row r="294" spans="3:46" ht="12.75" customHeight="1">
      <c r="C294" s="518"/>
      <c r="D294" s="518"/>
      <c r="E294" s="518"/>
      <c r="F294" s="518"/>
      <c r="G294" s="518"/>
      <c r="H294" s="518"/>
      <c r="I294" s="518"/>
      <c r="J294" s="518"/>
      <c r="K294" s="518"/>
      <c r="L294" s="518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  <c r="AB294" s="518"/>
      <c r="AC294" s="518"/>
      <c r="AD294" s="518"/>
      <c r="AE294" s="518"/>
      <c r="AF294" s="518"/>
      <c r="AG294" s="518"/>
      <c r="AH294" s="518"/>
      <c r="AI294" s="518"/>
      <c r="AJ294" s="518"/>
      <c r="AK294" s="518"/>
      <c r="AL294" s="518"/>
      <c r="AM294" s="518"/>
      <c r="AN294" s="518"/>
      <c r="AO294" s="518"/>
      <c r="AP294" s="518"/>
      <c r="AQ294" s="518"/>
      <c r="AR294" s="518"/>
      <c r="AS294" s="518"/>
      <c r="AT294" s="518"/>
    </row>
    <row r="295" spans="3:46" ht="12.75" customHeight="1">
      <c r="C295" s="518"/>
      <c r="D295" s="518"/>
      <c r="E295" s="518"/>
      <c r="F295" s="518"/>
      <c r="G295" s="518"/>
      <c r="H295" s="518"/>
      <c r="I295" s="518"/>
      <c r="J295" s="518"/>
      <c r="K295" s="518"/>
      <c r="L295" s="518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  <c r="AB295" s="518"/>
      <c r="AC295" s="518"/>
      <c r="AD295" s="518"/>
      <c r="AE295" s="518"/>
      <c r="AF295" s="518"/>
      <c r="AG295" s="518"/>
      <c r="AH295" s="518"/>
      <c r="AI295" s="518"/>
      <c r="AJ295" s="518"/>
      <c r="AK295" s="518"/>
      <c r="AL295" s="518"/>
      <c r="AM295" s="518"/>
      <c r="AN295" s="518"/>
      <c r="AO295" s="518"/>
      <c r="AP295" s="518"/>
      <c r="AQ295" s="518"/>
      <c r="AR295" s="518"/>
      <c r="AS295" s="518"/>
      <c r="AT295" s="518"/>
    </row>
    <row r="296" spans="3:46" ht="12.75" customHeight="1">
      <c r="C296" s="518"/>
      <c r="D296" s="518"/>
      <c r="E296" s="518"/>
      <c r="F296" s="518"/>
      <c r="G296" s="518"/>
      <c r="H296" s="518"/>
      <c r="I296" s="518"/>
      <c r="J296" s="518"/>
      <c r="K296" s="518"/>
      <c r="L296" s="518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  <c r="AB296" s="518"/>
      <c r="AC296" s="518"/>
      <c r="AD296" s="518"/>
      <c r="AE296" s="518"/>
      <c r="AF296" s="518"/>
      <c r="AG296" s="518"/>
      <c r="AH296" s="518"/>
      <c r="AI296" s="518"/>
      <c r="AJ296" s="518"/>
      <c r="AK296" s="518"/>
      <c r="AL296" s="518"/>
      <c r="AM296" s="518"/>
      <c r="AN296" s="518"/>
      <c r="AO296" s="518"/>
      <c r="AP296" s="518"/>
      <c r="AQ296" s="518"/>
      <c r="AR296" s="518"/>
      <c r="AS296" s="518"/>
      <c r="AT296" s="518"/>
    </row>
    <row r="297" spans="3:46" ht="12.75" customHeight="1">
      <c r="C297" s="518"/>
      <c r="D297" s="518"/>
      <c r="E297" s="518"/>
      <c r="F297" s="518"/>
      <c r="G297" s="518"/>
      <c r="H297" s="518"/>
      <c r="I297" s="518"/>
      <c r="J297" s="518"/>
      <c r="K297" s="518"/>
      <c r="L297" s="518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  <c r="AB297" s="518"/>
      <c r="AC297" s="518"/>
      <c r="AD297" s="518"/>
      <c r="AE297" s="518"/>
      <c r="AF297" s="518"/>
      <c r="AG297" s="518"/>
      <c r="AH297" s="518"/>
      <c r="AI297" s="518"/>
      <c r="AJ297" s="518"/>
      <c r="AK297" s="518"/>
      <c r="AL297" s="518"/>
      <c r="AM297" s="518"/>
      <c r="AN297" s="518"/>
      <c r="AO297" s="518"/>
      <c r="AP297" s="518"/>
      <c r="AQ297" s="518"/>
      <c r="AR297" s="518"/>
      <c r="AS297" s="518"/>
      <c r="AT297" s="518"/>
    </row>
    <row r="298" spans="3:46" ht="12.75" customHeight="1">
      <c r="C298" s="518"/>
      <c r="D298" s="518"/>
      <c r="E298" s="518"/>
      <c r="F298" s="518"/>
      <c r="G298" s="518"/>
      <c r="H298" s="518"/>
      <c r="I298" s="518"/>
      <c r="J298" s="518"/>
      <c r="K298" s="518"/>
      <c r="L298" s="518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  <c r="AB298" s="518"/>
      <c r="AC298" s="518"/>
      <c r="AD298" s="518"/>
      <c r="AE298" s="518"/>
      <c r="AF298" s="518"/>
      <c r="AG298" s="518"/>
      <c r="AH298" s="518"/>
      <c r="AI298" s="518"/>
      <c r="AJ298" s="518"/>
      <c r="AK298" s="518"/>
      <c r="AL298" s="518"/>
      <c r="AM298" s="518"/>
      <c r="AN298" s="518"/>
      <c r="AO298" s="518"/>
      <c r="AP298" s="518"/>
      <c r="AQ298" s="518"/>
      <c r="AR298" s="518"/>
      <c r="AS298" s="518"/>
      <c r="AT298" s="518"/>
    </row>
    <row r="299" spans="3:46" ht="12.75" customHeight="1">
      <c r="C299" s="518"/>
      <c r="D299" s="518"/>
      <c r="E299" s="518"/>
      <c r="F299" s="518"/>
      <c r="G299" s="518"/>
      <c r="H299" s="518"/>
      <c r="I299" s="518"/>
      <c r="J299" s="518"/>
      <c r="K299" s="518"/>
      <c r="L299" s="518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  <c r="AB299" s="518"/>
      <c r="AC299" s="518"/>
      <c r="AD299" s="518"/>
      <c r="AE299" s="518"/>
      <c r="AF299" s="518"/>
      <c r="AG299" s="518"/>
      <c r="AH299" s="518"/>
      <c r="AI299" s="518"/>
      <c r="AJ299" s="518"/>
      <c r="AK299" s="518"/>
      <c r="AL299" s="518"/>
      <c r="AM299" s="518"/>
      <c r="AN299" s="518"/>
      <c r="AO299" s="518"/>
      <c r="AP299" s="518"/>
      <c r="AQ299" s="518"/>
      <c r="AR299" s="518"/>
      <c r="AS299" s="518"/>
      <c r="AT299" s="518"/>
    </row>
    <row r="300" spans="3:46" ht="12.75" customHeight="1">
      <c r="C300" s="518"/>
      <c r="D300" s="518"/>
      <c r="E300" s="518"/>
      <c r="F300" s="518"/>
      <c r="G300" s="518"/>
      <c r="H300" s="518"/>
      <c r="I300" s="518"/>
      <c r="J300" s="518"/>
      <c r="K300" s="518"/>
      <c r="L300" s="518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  <c r="AB300" s="518"/>
      <c r="AC300" s="518"/>
      <c r="AD300" s="518"/>
      <c r="AE300" s="518"/>
      <c r="AF300" s="518"/>
      <c r="AG300" s="518"/>
      <c r="AH300" s="518"/>
      <c r="AI300" s="518"/>
      <c r="AJ300" s="518"/>
      <c r="AK300" s="518"/>
      <c r="AL300" s="518"/>
      <c r="AM300" s="518"/>
      <c r="AN300" s="518"/>
      <c r="AO300" s="518"/>
      <c r="AP300" s="518"/>
      <c r="AQ300" s="518"/>
      <c r="AR300" s="518"/>
      <c r="AS300" s="518"/>
      <c r="AT300" s="518"/>
    </row>
    <row r="301" spans="3:46" ht="12.75" customHeight="1">
      <c r="C301" s="518"/>
      <c r="D301" s="518"/>
      <c r="E301" s="518"/>
      <c r="F301" s="518"/>
      <c r="G301" s="518"/>
      <c r="H301" s="518"/>
      <c r="I301" s="518"/>
      <c r="J301" s="518"/>
      <c r="K301" s="518"/>
      <c r="L301" s="518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  <c r="AB301" s="518"/>
      <c r="AC301" s="518"/>
      <c r="AD301" s="518"/>
      <c r="AE301" s="518"/>
      <c r="AF301" s="518"/>
      <c r="AG301" s="518"/>
      <c r="AH301" s="518"/>
      <c r="AI301" s="518"/>
      <c r="AJ301" s="518"/>
      <c r="AK301" s="518"/>
      <c r="AL301" s="518"/>
      <c r="AM301" s="518"/>
      <c r="AN301" s="518"/>
      <c r="AO301" s="518"/>
      <c r="AP301" s="518"/>
      <c r="AQ301" s="518"/>
      <c r="AR301" s="518"/>
      <c r="AS301" s="518"/>
      <c r="AT301" s="518"/>
    </row>
    <row r="302" spans="3:46" ht="12.75" customHeight="1">
      <c r="C302" s="518"/>
      <c r="D302" s="518"/>
      <c r="E302" s="518"/>
      <c r="F302" s="518"/>
      <c r="G302" s="518"/>
      <c r="H302" s="518"/>
      <c r="I302" s="518"/>
      <c r="J302" s="518"/>
      <c r="K302" s="518"/>
      <c r="L302" s="518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  <c r="AB302" s="518"/>
      <c r="AC302" s="518"/>
      <c r="AD302" s="518"/>
      <c r="AE302" s="518"/>
      <c r="AF302" s="518"/>
      <c r="AG302" s="518"/>
      <c r="AH302" s="518"/>
      <c r="AI302" s="518"/>
      <c r="AJ302" s="518"/>
      <c r="AK302" s="518"/>
      <c r="AL302" s="518"/>
      <c r="AM302" s="518"/>
      <c r="AN302" s="518"/>
      <c r="AO302" s="518"/>
      <c r="AP302" s="518"/>
      <c r="AQ302" s="518"/>
      <c r="AR302" s="518"/>
      <c r="AS302" s="518"/>
      <c r="AT302" s="518"/>
    </row>
    <row r="303" spans="3:46" ht="12.75" customHeight="1">
      <c r="C303" s="518"/>
      <c r="D303" s="518"/>
      <c r="E303" s="518"/>
      <c r="F303" s="518"/>
      <c r="G303" s="518"/>
      <c r="H303" s="518"/>
      <c r="I303" s="518"/>
      <c r="J303" s="518"/>
      <c r="K303" s="518"/>
      <c r="L303" s="518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  <c r="AB303" s="518"/>
      <c r="AC303" s="518"/>
      <c r="AD303" s="518"/>
      <c r="AE303" s="518"/>
      <c r="AF303" s="518"/>
      <c r="AG303" s="518"/>
      <c r="AH303" s="518"/>
      <c r="AI303" s="518"/>
      <c r="AJ303" s="518"/>
      <c r="AK303" s="518"/>
      <c r="AL303" s="518"/>
      <c r="AM303" s="518"/>
      <c r="AN303" s="518"/>
      <c r="AO303" s="518"/>
      <c r="AP303" s="518"/>
      <c r="AQ303" s="518"/>
      <c r="AR303" s="518"/>
      <c r="AS303" s="518"/>
      <c r="AT303" s="518"/>
    </row>
    <row r="304" spans="3:46" ht="12.75" customHeight="1">
      <c r="C304" s="518"/>
      <c r="D304" s="518"/>
      <c r="E304" s="518"/>
      <c r="F304" s="518"/>
      <c r="G304" s="518"/>
      <c r="H304" s="518"/>
      <c r="I304" s="518"/>
      <c r="J304" s="518"/>
      <c r="K304" s="518"/>
      <c r="L304" s="518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  <c r="AB304" s="518"/>
      <c r="AC304" s="518"/>
      <c r="AD304" s="518"/>
      <c r="AE304" s="518"/>
      <c r="AF304" s="518"/>
      <c r="AG304" s="518"/>
      <c r="AH304" s="518"/>
      <c r="AI304" s="518"/>
      <c r="AJ304" s="518"/>
      <c r="AK304" s="518"/>
      <c r="AL304" s="518"/>
      <c r="AM304" s="518"/>
      <c r="AN304" s="518"/>
      <c r="AO304" s="518"/>
      <c r="AP304" s="518"/>
      <c r="AQ304" s="518"/>
      <c r="AR304" s="518"/>
      <c r="AS304" s="518"/>
      <c r="AT304" s="518"/>
    </row>
    <row r="305" spans="3:46" ht="12.75" customHeight="1">
      <c r="C305" s="518"/>
      <c r="D305" s="518"/>
      <c r="E305" s="518"/>
      <c r="F305" s="518"/>
      <c r="G305" s="518"/>
      <c r="H305" s="518"/>
      <c r="I305" s="518"/>
      <c r="J305" s="518"/>
      <c r="K305" s="518"/>
      <c r="L305" s="518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  <c r="AB305" s="518"/>
      <c r="AC305" s="518"/>
      <c r="AD305" s="518"/>
      <c r="AE305" s="518"/>
      <c r="AF305" s="518"/>
      <c r="AG305" s="518"/>
      <c r="AH305" s="518"/>
      <c r="AI305" s="518"/>
      <c r="AJ305" s="518"/>
      <c r="AK305" s="518"/>
      <c r="AL305" s="518"/>
      <c r="AM305" s="518"/>
      <c r="AN305" s="518"/>
      <c r="AO305" s="518"/>
      <c r="AP305" s="518"/>
      <c r="AQ305" s="518"/>
      <c r="AR305" s="518"/>
      <c r="AS305" s="518"/>
      <c r="AT305" s="518"/>
    </row>
    <row r="306" spans="3:46" ht="12.75" customHeight="1">
      <c r="C306" s="518"/>
      <c r="D306" s="518"/>
      <c r="E306" s="518"/>
      <c r="F306" s="518"/>
      <c r="G306" s="518"/>
      <c r="H306" s="518"/>
      <c r="I306" s="518"/>
      <c r="J306" s="518"/>
      <c r="K306" s="518"/>
      <c r="L306" s="518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  <c r="AB306" s="518"/>
      <c r="AC306" s="518"/>
      <c r="AD306" s="518"/>
      <c r="AE306" s="518"/>
      <c r="AF306" s="518"/>
      <c r="AG306" s="518"/>
      <c r="AH306" s="518"/>
      <c r="AI306" s="518"/>
      <c r="AJ306" s="518"/>
      <c r="AK306" s="518"/>
      <c r="AL306" s="518"/>
      <c r="AM306" s="518"/>
      <c r="AN306" s="518"/>
      <c r="AO306" s="518"/>
      <c r="AP306" s="518"/>
      <c r="AQ306" s="518"/>
      <c r="AR306" s="518"/>
      <c r="AS306" s="518"/>
      <c r="AT306" s="518"/>
    </row>
    <row r="307" spans="3:46" ht="12.75" customHeight="1">
      <c r="C307" s="518"/>
      <c r="D307" s="518"/>
      <c r="E307" s="518"/>
      <c r="F307" s="518"/>
      <c r="G307" s="518"/>
      <c r="H307" s="518"/>
      <c r="I307" s="518"/>
      <c r="J307" s="518"/>
      <c r="K307" s="518"/>
      <c r="L307" s="518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  <c r="AB307" s="518"/>
      <c r="AC307" s="518"/>
      <c r="AD307" s="518"/>
      <c r="AE307" s="518"/>
      <c r="AF307" s="518"/>
      <c r="AG307" s="518"/>
      <c r="AH307" s="518"/>
      <c r="AI307" s="518"/>
      <c r="AJ307" s="518"/>
      <c r="AK307" s="518"/>
      <c r="AL307" s="518"/>
      <c r="AM307" s="518"/>
      <c r="AN307" s="518"/>
      <c r="AO307" s="518"/>
      <c r="AP307" s="518"/>
      <c r="AQ307" s="518"/>
      <c r="AR307" s="518"/>
      <c r="AS307" s="518"/>
      <c r="AT307" s="518"/>
    </row>
    <row r="308" spans="3:46" ht="12.75" customHeight="1">
      <c r="C308" s="518"/>
      <c r="D308" s="518"/>
      <c r="E308" s="518"/>
      <c r="F308" s="518"/>
      <c r="G308" s="518"/>
      <c r="H308" s="518"/>
      <c r="I308" s="518"/>
      <c r="J308" s="518"/>
      <c r="K308" s="518"/>
      <c r="L308" s="518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  <c r="AB308" s="518"/>
      <c r="AC308" s="518"/>
      <c r="AD308" s="518"/>
      <c r="AE308" s="518"/>
      <c r="AF308" s="518"/>
      <c r="AG308" s="518"/>
      <c r="AH308" s="518"/>
      <c r="AI308" s="518"/>
      <c r="AJ308" s="518"/>
      <c r="AK308" s="518"/>
      <c r="AL308" s="518"/>
      <c r="AM308" s="518"/>
      <c r="AN308" s="518"/>
      <c r="AO308" s="518"/>
      <c r="AP308" s="518"/>
      <c r="AQ308" s="518"/>
      <c r="AR308" s="518"/>
      <c r="AS308" s="518"/>
      <c r="AT308" s="518"/>
    </row>
    <row r="309" spans="3:46" ht="12.75" customHeight="1">
      <c r="C309" s="518"/>
      <c r="D309" s="518"/>
      <c r="E309" s="518"/>
      <c r="F309" s="518"/>
      <c r="G309" s="518"/>
      <c r="H309" s="518"/>
      <c r="I309" s="518"/>
      <c r="J309" s="518"/>
      <c r="K309" s="518"/>
      <c r="L309" s="518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  <c r="AB309" s="518"/>
      <c r="AC309" s="518"/>
      <c r="AD309" s="518"/>
      <c r="AE309" s="518"/>
      <c r="AF309" s="518"/>
      <c r="AG309" s="518"/>
      <c r="AH309" s="518"/>
      <c r="AI309" s="518"/>
      <c r="AJ309" s="518"/>
      <c r="AK309" s="518"/>
      <c r="AL309" s="518"/>
      <c r="AM309" s="518"/>
      <c r="AN309" s="518"/>
      <c r="AO309" s="518"/>
      <c r="AP309" s="518"/>
      <c r="AQ309" s="518"/>
      <c r="AR309" s="518"/>
      <c r="AS309" s="518"/>
      <c r="AT309" s="518"/>
    </row>
    <row r="310" spans="3:46" ht="12.75" customHeight="1">
      <c r="C310" s="518"/>
      <c r="D310" s="518"/>
      <c r="E310" s="518"/>
      <c r="F310" s="518"/>
      <c r="G310" s="518"/>
      <c r="H310" s="518"/>
      <c r="I310" s="518"/>
      <c r="J310" s="518"/>
      <c r="K310" s="518"/>
      <c r="L310" s="518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  <c r="AB310" s="518"/>
      <c r="AC310" s="518"/>
      <c r="AD310" s="518"/>
      <c r="AE310" s="518"/>
      <c r="AF310" s="518"/>
      <c r="AG310" s="518"/>
      <c r="AH310" s="518"/>
      <c r="AI310" s="518"/>
      <c r="AJ310" s="518"/>
      <c r="AK310" s="518"/>
      <c r="AL310" s="518"/>
      <c r="AM310" s="518"/>
      <c r="AN310" s="518"/>
      <c r="AO310" s="518"/>
      <c r="AP310" s="518"/>
      <c r="AQ310" s="518"/>
      <c r="AR310" s="518"/>
      <c r="AS310" s="518"/>
      <c r="AT310" s="518"/>
    </row>
    <row r="311" spans="3:46" ht="12.75" customHeight="1">
      <c r="C311" s="518"/>
      <c r="D311" s="518"/>
      <c r="E311" s="518"/>
      <c r="F311" s="518"/>
      <c r="G311" s="518"/>
      <c r="H311" s="518"/>
      <c r="I311" s="518"/>
      <c r="J311" s="518"/>
      <c r="K311" s="518"/>
      <c r="L311" s="518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  <c r="AB311" s="518"/>
      <c r="AC311" s="518"/>
      <c r="AD311" s="518"/>
      <c r="AE311" s="518"/>
      <c r="AF311" s="518"/>
      <c r="AG311" s="518"/>
      <c r="AH311" s="518"/>
      <c r="AI311" s="518"/>
      <c r="AJ311" s="518"/>
      <c r="AK311" s="518"/>
      <c r="AL311" s="518"/>
      <c r="AM311" s="518"/>
      <c r="AN311" s="518"/>
      <c r="AO311" s="518"/>
      <c r="AP311" s="518"/>
      <c r="AQ311" s="518"/>
      <c r="AR311" s="518"/>
      <c r="AS311" s="518"/>
      <c r="AT311" s="518"/>
    </row>
    <row r="312" spans="3:46" ht="12.75" customHeight="1">
      <c r="C312" s="518"/>
      <c r="D312" s="518"/>
      <c r="E312" s="518"/>
      <c r="F312" s="518"/>
      <c r="G312" s="518"/>
      <c r="H312" s="518"/>
      <c r="I312" s="518"/>
      <c r="J312" s="518"/>
      <c r="K312" s="518"/>
      <c r="L312" s="518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  <c r="AB312" s="518"/>
      <c r="AC312" s="518"/>
      <c r="AD312" s="518"/>
      <c r="AE312" s="518"/>
      <c r="AF312" s="518"/>
      <c r="AG312" s="518"/>
      <c r="AH312" s="518"/>
      <c r="AI312" s="518"/>
      <c r="AJ312" s="518"/>
      <c r="AK312" s="518"/>
      <c r="AL312" s="518"/>
      <c r="AM312" s="518"/>
      <c r="AN312" s="518"/>
      <c r="AO312" s="518"/>
      <c r="AP312" s="518"/>
      <c r="AQ312" s="518"/>
      <c r="AR312" s="518"/>
      <c r="AS312" s="518"/>
      <c r="AT312" s="518"/>
    </row>
    <row r="313" spans="3:46" ht="12.75" customHeight="1">
      <c r="C313" s="518"/>
      <c r="D313" s="518"/>
      <c r="E313" s="518"/>
      <c r="F313" s="518"/>
      <c r="G313" s="518"/>
      <c r="H313" s="518"/>
      <c r="I313" s="518"/>
      <c r="J313" s="518"/>
      <c r="K313" s="518"/>
      <c r="L313" s="518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  <c r="AB313" s="518"/>
      <c r="AC313" s="518"/>
      <c r="AD313" s="518"/>
      <c r="AE313" s="518"/>
      <c r="AF313" s="518"/>
      <c r="AG313" s="518"/>
      <c r="AH313" s="518"/>
      <c r="AI313" s="518"/>
      <c r="AJ313" s="518"/>
      <c r="AK313" s="518"/>
      <c r="AL313" s="518"/>
      <c r="AM313" s="518"/>
      <c r="AN313" s="518"/>
      <c r="AO313" s="518"/>
      <c r="AP313" s="518"/>
      <c r="AQ313" s="518"/>
      <c r="AR313" s="518"/>
      <c r="AS313" s="518"/>
      <c r="AT313" s="518"/>
    </row>
    <row r="314" spans="3:46" ht="12.75" customHeight="1">
      <c r="C314" s="518"/>
      <c r="D314" s="518"/>
      <c r="E314" s="518"/>
      <c r="F314" s="518"/>
      <c r="G314" s="518"/>
      <c r="H314" s="518"/>
      <c r="I314" s="518"/>
      <c r="J314" s="518"/>
      <c r="K314" s="518"/>
      <c r="L314" s="518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  <c r="AB314" s="518"/>
      <c r="AC314" s="518"/>
      <c r="AD314" s="518"/>
      <c r="AE314" s="518"/>
      <c r="AF314" s="518"/>
      <c r="AG314" s="518"/>
      <c r="AH314" s="518"/>
      <c r="AI314" s="518"/>
      <c r="AJ314" s="518"/>
      <c r="AK314" s="518"/>
      <c r="AL314" s="518"/>
      <c r="AM314" s="518"/>
      <c r="AN314" s="518"/>
      <c r="AO314" s="518"/>
      <c r="AP314" s="518"/>
      <c r="AQ314" s="518"/>
      <c r="AR314" s="518"/>
      <c r="AS314" s="518"/>
      <c r="AT314" s="518"/>
    </row>
    <row r="315" spans="3:46" ht="12.75" customHeight="1">
      <c r="C315" s="518"/>
      <c r="D315" s="518"/>
      <c r="E315" s="518"/>
      <c r="F315" s="518"/>
      <c r="G315" s="518"/>
      <c r="H315" s="518"/>
      <c r="I315" s="518"/>
      <c r="J315" s="518"/>
      <c r="K315" s="518"/>
      <c r="L315" s="518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  <c r="AB315" s="518"/>
      <c r="AC315" s="518"/>
      <c r="AD315" s="518"/>
      <c r="AE315" s="518"/>
      <c r="AF315" s="518"/>
      <c r="AG315" s="518"/>
      <c r="AH315" s="518"/>
      <c r="AI315" s="518"/>
      <c r="AJ315" s="518"/>
      <c r="AK315" s="518"/>
      <c r="AL315" s="518"/>
      <c r="AM315" s="518"/>
      <c r="AN315" s="518"/>
      <c r="AO315" s="518"/>
      <c r="AP315" s="518"/>
      <c r="AQ315" s="518"/>
      <c r="AR315" s="518"/>
      <c r="AS315" s="518"/>
      <c r="AT315" s="518"/>
    </row>
    <row r="316" spans="3:46" ht="12.75" customHeight="1">
      <c r="C316" s="518"/>
      <c r="D316" s="518"/>
      <c r="E316" s="518"/>
      <c r="F316" s="518"/>
      <c r="G316" s="518"/>
      <c r="H316" s="518"/>
      <c r="I316" s="518"/>
      <c r="J316" s="518"/>
      <c r="K316" s="518"/>
      <c r="L316" s="518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  <c r="AB316" s="518"/>
      <c r="AC316" s="518"/>
      <c r="AD316" s="518"/>
      <c r="AE316" s="518"/>
      <c r="AF316" s="518"/>
      <c r="AG316" s="518"/>
      <c r="AH316" s="518"/>
      <c r="AI316" s="518"/>
      <c r="AJ316" s="518"/>
      <c r="AK316" s="518"/>
      <c r="AL316" s="518"/>
      <c r="AM316" s="518"/>
      <c r="AN316" s="518"/>
      <c r="AO316" s="518"/>
      <c r="AP316" s="518"/>
      <c r="AQ316" s="518"/>
      <c r="AR316" s="518"/>
      <c r="AS316" s="518"/>
      <c r="AT316" s="518"/>
    </row>
    <row r="317" spans="3:46" ht="12.75" customHeight="1">
      <c r="C317" s="518"/>
      <c r="D317" s="518"/>
      <c r="E317" s="518"/>
      <c r="F317" s="518"/>
      <c r="G317" s="518"/>
      <c r="H317" s="518"/>
      <c r="I317" s="518"/>
      <c r="J317" s="518"/>
      <c r="K317" s="518"/>
      <c r="L317" s="518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  <c r="AB317" s="518"/>
      <c r="AC317" s="518"/>
      <c r="AD317" s="518"/>
      <c r="AE317" s="518"/>
      <c r="AF317" s="518"/>
      <c r="AG317" s="518"/>
      <c r="AH317" s="518"/>
      <c r="AI317" s="518"/>
      <c r="AJ317" s="518"/>
      <c r="AK317" s="518"/>
      <c r="AL317" s="518"/>
      <c r="AM317" s="518"/>
      <c r="AN317" s="518"/>
      <c r="AO317" s="518"/>
      <c r="AP317" s="518"/>
      <c r="AQ317" s="518"/>
      <c r="AR317" s="518"/>
      <c r="AS317" s="518"/>
      <c r="AT317" s="518"/>
    </row>
    <row r="318" spans="3:46" ht="12.75" customHeight="1">
      <c r="C318" s="518"/>
      <c r="D318" s="518"/>
      <c r="E318" s="518"/>
      <c r="F318" s="518"/>
      <c r="G318" s="518"/>
      <c r="H318" s="518"/>
      <c r="I318" s="518"/>
      <c r="J318" s="518"/>
      <c r="K318" s="518"/>
      <c r="L318" s="518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  <c r="AB318" s="518"/>
      <c r="AC318" s="518"/>
      <c r="AD318" s="518"/>
      <c r="AE318" s="518"/>
      <c r="AF318" s="518"/>
      <c r="AG318" s="518"/>
      <c r="AH318" s="518"/>
      <c r="AI318" s="518"/>
      <c r="AJ318" s="518"/>
      <c r="AK318" s="518"/>
      <c r="AL318" s="518"/>
      <c r="AM318" s="518"/>
      <c r="AN318" s="518"/>
      <c r="AO318" s="518"/>
      <c r="AP318" s="518"/>
      <c r="AQ318" s="518"/>
      <c r="AR318" s="518"/>
      <c r="AS318" s="518"/>
      <c r="AT318" s="518"/>
    </row>
    <row r="319" spans="3:46" ht="12.75" customHeight="1">
      <c r="C319" s="518"/>
      <c r="D319" s="518"/>
      <c r="E319" s="518"/>
      <c r="F319" s="518"/>
      <c r="G319" s="518"/>
      <c r="H319" s="518"/>
      <c r="I319" s="518"/>
      <c r="J319" s="518"/>
      <c r="K319" s="518"/>
      <c r="L319" s="518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  <c r="AB319" s="518"/>
      <c r="AC319" s="518"/>
      <c r="AD319" s="518"/>
      <c r="AE319" s="518"/>
      <c r="AF319" s="518"/>
      <c r="AG319" s="518"/>
      <c r="AH319" s="518"/>
      <c r="AI319" s="518"/>
      <c r="AJ319" s="518"/>
      <c r="AK319" s="518"/>
      <c r="AL319" s="518"/>
      <c r="AM319" s="518"/>
      <c r="AN319" s="518"/>
      <c r="AO319" s="518"/>
      <c r="AP319" s="518"/>
      <c r="AQ319" s="518"/>
      <c r="AR319" s="518"/>
      <c r="AS319" s="518"/>
      <c r="AT319" s="518"/>
    </row>
    <row r="320" spans="3:46" ht="12.75" customHeight="1">
      <c r="C320" s="518"/>
      <c r="D320" s="518"/>
      <c r="E320" s="518"/>
      <c r="F320" s="518"/>
      <c r="G320" s="518"/>
      <c r="H320" s="518"/>
      <c r="I320" s="518"/>
      <c r="J320" s="518"/>
      <c r="K320" s="518"/>
      <c r="L320" s="518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  <c r="AB320" s="518"/>
      <c r="AC320" s="518"/>
      <c r="AD320" s="518"/>
      <c r="AE320" s="518"/>
      <c r="AF320" s="518"/>
      <c r="AG320" s="518"/>
      <c r="AH320" s="518"/>
      <c r="AI320" s="518"/>
      <c r="AJ320" s="518"/>
      <c r="AK320" s="518"/>
      <c r="AL320" s="518"/>
      <c r="AM320" s="518"/>
      <c r="AN320" s="518"/>
      <c r="AO320" s="518"/>
      <c r="AP320" s="518"/>
      <c r="AQ320" s="518"/>
      <c r="AR320" s="518"/>
      <c r="AS320" s="518"/>
      <c r="AT320" s="518"/>
    </row>
    <row r="321" spans="3:46" ht="12.75" customHeight="1">
      <c r="C321" s="518"/>
      <c r="D321" s="518"/>
      <c r="E321" s="518"/>
      <c r="F321" s="518"/>
      <c r="G321" s="518"/>
      <c r="H321" s="518"/>
      <c r="I321" s="518"/>
      <c r="J321" s="518"/>
      <c r="K321" s="518"/>
      <c r="L321" s="518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  <c r="AB321" s="518"/>
      <c r="AC321" s="518"/>
      <c r="AD321" s="518"/>
      <c r="AE321" s="518"/>
      <c r="AF321" s="518"/>
      <c r="AG321" s="518"/>
      <c r="AH321" s="518"/>
      <c r="AI321" s="518"/>
      <c r="AJ321" s="518"/>
      <c r="AK321" s="518"/>
      <c r="AL321" s="518"/>
      <c r="AM321" s="518"/>
      <c r="AN321" s="518"/>
      <c r="AO321" s="518"/>
      <c r="AP321" s="518"/>
      <c r="AQ321" s="518"/>
      <c r="AR321" s="518"/>
      <c r="AS321" s="518"/>
      <c r="AT321" s="518"/>
    </row>
    <row r="322" spans="3:46" ht="12.75" customHeight="1">
      <c r="C322" s="518"/>
      <c r="D322" s="518"/>
      <c r="E322" s="518"/>
      <c r="F322" s="518"/>
      <c r="G322" s="518"/>
      <c r="H322" s="518"/>
      <c r="I322" s="518"/>
      <c r="J322" s="518"/>
      <c r="K322" s="518"/>
      <c r="L322" s="518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  <c r="AB322" s="518"/>
      <c r="AC322" s="518"/>
      <c r="AD322" s="518"/>
      <c r="AE322" s="518"/>
      <c r="AF322" s="518"/>
      <c r="AG322" s="518"/>
      <c r="AH322" s="518"/>
      <c r="AI322" s="518"/>
      <c r="AJ322" s="518"/>
      <c r="AK322" s="518"/>
      <c r="AL322" s="518"/>
      <c r="AM322" s="518"/>
      <c r="AN322" s="518"/>
      <c r="AO322" s="518"/>
      <c r="AP322" s="518"/>
      <c r="AQ322" s="518"/>
      <c r="AR322" s="518"/>
      <c r="AS322" s="518"/>
      <c r="AT322" s="518"/>
    </row>
    <row r="323" spans="3:46" ht="12.75" customHeight="1">
      <c r="C323" s="518"/>
      <c r="D323" s="518"/>
      <c r="E323" s="518"/>
      <c r="F323" s="518"/>
      <c r="G323" s="518"/>
      <c r="H323" s="518"/>
      <c r="I323" s="518"/>
      <c r="J323" s="518"/>
      <c r="K323" s="518"/>
      <c r="L323" s="518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  <c r="AB323" s="518"/>
      <c r="AC323" s="518"/>
      <c r="AD323" s="518"/>
      <c r="AE323" s="518"/>
      <c r="AF323" s="518"/>
      <c r="AG323" s="518"/>
      <c r="AH323" s="518"/>
      <c r="AI323" s="518"/>
      <c r="AJ323" s="518"/>
      <c r="AK323" s="518"/>
      <c r="AL323" s="518"/>
      <c r="AM323" s="518"/>
      <c r="AN323" s="518"/>
      <c r="AO323" s="518"/>
      <c r="AP323" s="518"/>
      <c r="AQ323" s="518"/>
      <c r="AR323" s="518"/>
      <c r="AS323" s="518"/>
      <c r="AT323" s="518"/>
    </row>
    <row r="324" spans="3:46" ht="12.75" customHeight="1">
      <c r="C324" s="518"/>
      <c r="D324" s="518"/>
      <c r="E324" s="518"/>
      <c r="F324" s="518"/>
      <c r="G324" s="518"/>
      <c r="H324" s="518"/>
      <c r="I324" s="518"/>
      <c r="J324" s="518"/>
      <c r="K324" s="518"/>
      <c r="L324" s="518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  <c r="AB324" s="518"/>
      <c r="AC324" s="518"/>
      <c r="AD324" s="518"/>
      <c r="AE324" s="518"/>
      <c r="AF324" s="518"/>
      <c r="AG324" s="518"/>
      <c r="AH324" s="518"/>
      <c r="AI324" s="518"/>
      <c r="AJ324" s="518"/>
      <c r="AK324" s="518"/>
      <c r="AL324" s="518"/>
      <c r="AM324" s="518"/>
      <c r="AN324" s="518"/>
      <c r="AO324" s="518"/>
      <c r="AP324" s="518"/>
      <c r="AQ324" s="518"/>
      <c r="AR324" s="518"/>
      <c r="AS324" s="518"/>
      <c r="AT324" s="518"/>
    </row>
    <row r="325" spans="3:46" ht="12.75" customHeight="1">
      <c r="C325" s="518"/>
      <c r="D325" s="518"/>
      <c r="E325" s="518"/>
      <c r="F325" s="518"/>
      <c r="G325" s="518"/>
      <c r="H325" s="518"/>
      <c r="I325" s="518"/>
      <c r="J325" s="518"/>
      <c r="K325" s="518"/>
      <c r="L325" s="518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  <c r="AB325" s="518"/>
      <c r="AC325" s="518"/>
      <c r="AD325" s="518"/>
      <c r="AE325" s="518"/>
      <c r="AF325" s="518"/>
      <c r="AG325" s="518"/>
      <c r="AH325" s="518"/>
      <c r="AI325" s="518"/>
      <c r="AJ325" s="518"/>
      <c r="AK325" s="518"/>
      <c r="AL325" s="518"/>
      <c r="AM325" s="518"/>
      <c r="AN325" s="518"/>
      <c r="AO325" s="518"/>
      <c r="AP325" s="518"/>
      <c r="AQ325" s="518"/>
      <c r="AR325" s="518"/>
      <c r="AS325" s="518"/>
      <c r="AT325" s="518"/>
    </row>
    <row r="326" spans="3:46" ht="12.75" customHeight="1">
      <c r="C326" s="518"/>
      <c r="D326" s="518"/>
      <c r="E326" s="518"/>
      <c r="F326" s="518"/>
      <c r="G326" s="518"/>
      <c r="H326" s="518"/>
      <c r="I326" s="518"/>
      <c r="J326" s="518"/>
      <c r="K326" s="518"/>
      <c r="L326" s="518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  <c r="AB326" s="518"/>
      <c r="AC326" s="518"/>
      <c r="AD326" s="518"/>
      <c r="AE326" s="518"/>
      <c r="AF326" s="518"/>
      <c r="AG326" s="518"/>
      <c r="AH326" s="518"/>
      <c r="AI326" s="518"/>
      <c r="AJ326" s="518"/>
      <c r="AK326" s="518"/>
      <c r="AL326" s="518"/>
      <c r="AM326" s="518"/>
      <c r="AN326" s="518"/>
      <c r="AO326" s="518"/>
      <c r="AP326" s="518"/>
      <c r="AQ326" s="518"/>
      <c r="AR326" s="518"/>
      <c r="AS326" s="518"/>
      <c r="AT326" s="518"/>
    </row>
    <row r="327" spans="3:46" ht="12.75" customHeight="1">
      <c r="C327" s="518"/>
      <c r="D327" s="518"/>
      <c r="E327" s="518"/>
      <c r="F327" s="518"/>
      <c r="G327" s="518"/>
      <c r="H327" s="518"/>
      <c r="I327" s="518"/>
      <c r="J327" s="518"/>
      <c r="K327" s="518"/>
      <c r="L327" s="518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  <c r="AB327" s="518"/>
      <c r="AC327" s="518"/>
      <c r="AD327" s="518"/>
      <c r="AE327" s="518"/>
      <c r="AF327" s="518"/>
      <c r="AG327" s="518"/>
      <c r="AH327" s="518"/>
      <c r="AI327" s="518"/>
      <c r="AJ327" s="518"/>
      <c r="AK327" s="518"/>
      <c r="AL327" s="518"/>
      <c r="AM327" s="518"/>
      <c r="AN327" s="518"/>
      <c r="AO327" s="518"/>
      <c r="AP327" s="518"/>
      <c r="AQ327" s="518"/>
      <c r="AR327" s="518"/>
      <c r="AS327" s="518"/>
      <c r="AT327" s="518"/>
    </row>
    <row r="328" spans="3:46" ht="12.75" customHeight="1">
      <c r="C328" s="518"/>
      <c r="D328" s="518"/>
      <c r="E328" s="518"/>
      <c r="F328" s="518"/>
      <c r="G328" s="518"/>
      <c r="H328" s="518"/>
      <c r="I328" s="518"/>
      <c r="J328" s="518"/>
      <c r="K328" s="518"/>
      <c r="L328" s="518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  <c r="AB328" s="518"/>
      <c r="AC328" s="518"/>
      <c r="AD328" s="518"/>
      <c r="AE328" s="518"/>
      <c r="AF328" s="518"/>
      <c r="AG328" s="518"/>
      <c r="AH328" s="518"/>
      <c r="AI328" s="518"/>
      <c r="AJ328" s="518"/>
      <c r="AK328" s="518"/>
      <c r="AL328" s="518"/>
      <c r="AM328" s="518"/>
      <c r="AN328" s="518"/>
      <c r="AO328" s="518"/>
      <c r="AP328" s="518"/>
      <c r="AQ328" s="518"/>
      <c r="AR328" s="518"/>
      <c r="AS328" s="518"/>
      <c r="AT328" s="518"/>
    </row>
    <row r="329" spans="3:46" ht="12.75" customHeight="1">
      <c r="C329" s="518"/>
      <c r="D329" s="518"/>
      <c r="E329" s="518"/>
      <c r="F329" s="518"/>
      <c r="G329" s="518"/>
      <c r="H329" s="518"/>
      <c r="I329" s="518"/>
      <c r="J329" s="518"/>
      <c r="K329" s="518"/>
      <c r="L329" s="518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  <c r="AB329" s="518"/>
      <c r="AC329" s="518"/>
      <c r="AD329" s="518"/>
      <c r="AE329" s="518"/>
      <c r="AF329" s="518"/>
      <c r="AG329" s="518"/>
      <c r="AH329" s="518"/>
      <c r="AI329" s="518"/>
      <c r="AJ329" s="518"/>
      <c r="AK329" s="518"/>
      <c r="AL329" s="518"/>
      <c r="AM329" s="518"/>
      <c r="AN329" s="518"/>
      <c r="AO329" s="518"/>
      <c r="AP329" s="518"/>
      <c r="AQ329" s="518"/>
      <c r="AR329" s="518"/>
      <c r="AS329" s="518"/>
      <c r="AT329" s="518"/>
    </row>
    <row r="330" spans="3:46" ht="12.75" customHeight="1">
      <c r="C330" s="518"/>
      <c r="D330" s="518"/>
      <c r="E330" s="518"/>
      <c r="F330" s="518"/>
      <c r="G330" s="518"/>
      <c r="H330" s="518"/>
      <c r="I330" s="518"/>
      <c r="J330" s="518"/>
      <c r="K330" s="518"/>
      <c r="L330" s="518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  <c r="AB330" s="518"/>
      <c r="AC330" s="518"/>
      <c r="AD330" s="518"/>
      <c r="AE330" s="518"/>
      <c r="AF330" s="518"/>
      <c r="AG330" s="518"/>
      <c r="AH330" s="518"/>
      <c r="AI330" s="518"/>
      <c r="AJ330" s="518"/>
      <c r="AK330" s="518"/>
      <c r="AL330" s="518"/>
      <c r="AM330" s="518"/>
      <c r="AN330" s="518"/>
      <c r="AO330" s="518"/>
      <c r="AP330" s="518"/>
      <c r="AQ330" s="518"/>
      <c r="AR330" s="518"/>
      <c r="AS330" s="518"/>
      <c r="AT330" s="518"/>
    </row>
    <row r="331" spans="3:46" ht="12.75" customHeight="1">
      <c r="C331" s="518"/>
      <c r="D331" s="518"/>
      <c r="E331" s="518"/>
      <c r="F331" s="518"/>
      <c r="G331" s="518"/>
      <c r="H331" s="518"/>
      <c r="I331" s="518"/>
      <c r="J331" s="518"/>
      <c r="K331" s="518"/>
      <c r="L331" s="518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  <c r="AB331" s="518"/>
      <c r="AC331" s="518"/>
      <c r="AD331" s="518"/>
      <c r="AE331" s="518"/>
      <c r="AF331" s="518"/>
      <c r="AG331" s="518"/>
      <c r="AH331" s="518"/>
      <c r="AI331" s="518"/>
      <c r="AJ331" s="518"/>
      <c r="AK331" s="518"/>
      <c r="AL331" s="518"/>
      <c r="AM331" s="518"/>
      <c r="AN331" s="518"/>
      <c r="AO331" s="518"/>
      <c r="AP331" s="518"/>
      <c r="AQ331" s="518"/>
      <c r="AR331" s="518"/>
      <c r="AS331" s="518"/>
      <c r="AT331" s="518"/>
    </row>
    <row r="332" spans="3:46" ht="12.75" customHeight="1">
      <c r="C332" s="518"/>
      <c r="D332" s="518"/>
      <c r="E332" s="518"/>
      <c r="F332" s="518"/>
      <c r="G332" s="518"/>
      <c r="H332" s="518"/>
      <c r="I332" s="518"/>
      <c r="J332" s="518"/>
      <c r="K332" s="518"/>
      <c r="L332" s="518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  <c r="AB332" s="518"/>
      <c r="AC332" s="518"/>
      <c r="AD332" s="518"/>
      <c r="AE332" s="518"/>
      <c r="AF332" s="518"/>
      <c r="AG332" s="518"/>
      <c r="AH332" s="518"/>
      <c r="AI332" s="518"/>
      <c r="AJ332" s="518"/>
      <c r="AK332" s="518"/>
      <c r="AL332" s="518"/>
      <c r="AM332" s="518"/>
      <c r="AN332" s="518"/>
      <c r="AO332" s="518"/>
      <c r="AP332" s="518"/>
      <c r="AQ332" s="518"/>
      <c r="AR332" s="518"/>
      <c r="AS332" s="518"/>
      <c r="AT332" s="518"/>
    </row>
    <row r="333" spans="3:46" ht="12.75" customHeight="1">
      <c r="C333" s="518"/>
      <c r="D333" s="518"/>
      <c r="E333" s="518"/>
      <c r="F333" s="518"/>
      <c r="G333" s="518"/>
      <c r="H333" s="518"/>
      <c r="I333" s="518"/>
      <c r="J333" s="518"/>
      <c r="K333" s="518"/>
      <c r="L333" s="518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  <c r="AB333" s="518"/>
      <c r="AC333" s="518"/>
      <c r="AD333" s="518"/>
      <c r="AE333" s="518"/>
      <c r="AF333" s="518"/>
      <c r="AG333" s="518"/>
      <c r="AH333" s="518"/>
      <c r="AI333" s="518"/>
      <c r="AJ333" s="518"/>
      <c r="AK333" s="518"/>
      <c r="AL333" s="518"/>
      <c r="AM333" s="518"/>
      <c r="AN333" s="518"/>
      <c r="AO333" s="518"/>
      <c r="AP333" s="518"/>
      <c r="AQ333" s="518"/>
      <c r="AR333" s="518"/>
      <c r="AS333" s="518"/>
      <c r="AT333" s="518"/>
    </row>
    <row r="334" spans="3:46" ht="12.75" customHeight="1">
      <c r="C334" s="518"/>
      <c r="D334" s="518"/>
      <c r="E334" s="518"/>
      <c r="F334" s="518"/>
      <c r="G334" s="518"/>
      <c r="H334" s="518"/>
      <c r="I334" s="518"/>
      <c r="J334" s="518"/>
      <c r="K334" s="518"/>
      <c r="L334" s="518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  <c r="AB334" s="518"/>
      <c r="AC334" s="518"/>
      <c r="AD334" s="518"/>
      <c r="AE334" s="518"/>
      <c r="AF334" s="518"/>
      <c r="AG334" s="518"/>
      <c r="AH334" s="518"/>
      <c r="AI334" s="518"/>
      <c r="AJ334" s="518"/>
      <c r="AK334" s="518"/>
      <c r="AL334" s="518"/>
      <c r="AM334" s="518"/>
      <c r="AN334" s="518"/>
      <c r="AO334" s="518"/>
      <c r="AP334" s="518"/>
      <c r="AQ334" s="518"/>
      <c r="AR334" s="518"/>
      <c r="AS334" s="518"/>
      <c r="AT334" s="518"/>
    </row>
    <row r="335" spans="3:46" ht="12.75" customHeight="1">
      <c r="C335" s="518"/>
      <c r="D335" s="518"/>
      <c r="E335" s="518"/>
      <c r="F335" s="518"/>
      <c r="G335" s="518"/>
      <c r="H335" s="518"/>
      <c r="I335" s="518"/>
      <c r="J335" s="518"/>
      <c r="K335" s="518"/>
      <c r="L335" s="518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  <c r="AB335" s="518"/>
      <c r="AC335" s="518"/>
      <c r="AD335" s="518"/>
      <c r="AE335" s="518"/>
      <c r="AF335" s="518"/>
      <c r="AG335" s="518"/>
      <c r="AH335" s="518"/>
      <c r="AI335" s="518"/>
      <c r="AJ335" s="518"/>
      <c r="AK335" s="518"/>
      <c r="AL335" s="518"/>
      <c r="AM335" s="518"/>
      <c r="AN335" s="518"/>
      <c r="AO335" s="518"/>
      <c r="AP335" s="518"/>
      <c r="AQ335" s="518"/>
      <c r="AR335" s="518"/>
      <c r="AS335" s="518"/>
      <c r="AT335" s="518"/>
    </row>
    <row r="336" spans="3:46" ht="12.75" customHeight="1">
      <c r="C336" s="518"/>
      <c r="D336" s="518"/>
      <c r="E336" s="518"/>
      <c r="F336" s="518"/>
      <c r="G336" s="518"/>
      <c r="H336" s="518"/>
      <c r="I336" s="518"/>
      <c r="J336" s="518"/>
      <c r="K336" s="518"/>
      <c r="L336" s="518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  <c r="AB336" s="518"/>
      <c r="AC336" s="518"/>
      <c r="AD336" s="518"/>
      <c r="AE336" s="518"/>
      <c r="AF336" s="518"/>
      <c r="AG336" s="518"/>
      <c r="AH336" s="518"/>
      <c r="AI336" s="518"/>
      <c r="AJ336" s="518"/>
      <c r="AK336" s="518"/>
      <c r="AL336" s="518"/>
      <c r="AM336" s="518"/>
      <c r="AN336" s="518"/>
      <c r="AO336" s="518"/>
      <c r="AP336" s="518"/>
      <c r="AQ336" s="518"/>
      <c r="AR336" s="518"/>
      <c r="AS336" s="518"/>
      <c r="AT336" s="518"/>
    </row>
    <row r="337" spans="3:46" ht="12.75" customHeight="1">
      <c r="C337" s="518"/>
      <c r="D337" s="518"/>
      <c r="E337" s="518"/>
      <c r="F337" s="518"/>
      <c r="G337" s="518"/>
      <c r="H337" s="518"/>
      <c r="I337" s="518"/>
      <c r="J337" s="518"/>
      <c r="K337" s="518"/>
      <c r="L337" s="518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  <c r="AB337" s="518"/>
      <c r="AC337" s="518"/>
      <c r="AD337" s="518"/>
      <c r="AE337" s="518"/>
      <c r="AF337" s="518"/>
      <c r="AG337" s="518"/>
      <c r="AH337" s="518"/>
      <c r="AI337" s="518"/>
      <c r="AJ337" s="518"/>
      <c r="AK337" s="518"/>
      <c r="AL337" s="518"/>
      <c r="AM337" s="518"/>
      <c r="AN337" s="518"/>
      <c r="AO337" s="518"/>
      <c r="AP337" s="518"/>
      <c r="AQ337" s="518"/>
      <c r="AR337" s="518"/>
      <c r="AS337" s="518"/>
      <c r="AT337" s="518"/>
    </row>
    <row r="338" spans="3:46" ht="12.75" customHeight="1">
      <c r="C338" s="518"/>
      <c r="D338" s="518"/>
      <c r="E338" s="518"/>
      <c r="F338" s="518"/>
      <c r="G338" s="518"/>
      <c r="H338" s="518"/>
      <c r="I338" s="518"/>
      <c r="J338" s="518"/>
      <c r="K338" s="518"/>
      <c r="L338" s="518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  <c r="AB338" s="518"/>
      <c r="AC338" s="518"/>
      <c r="AD338" s="518"/>
      <c r="AE338" s="518"/>
      <c r="AF338" s="518"/>
      <c r="AG338" s="518"/>
      <c r="AH338" s="518"/>
      <c r="AI338" s="518"/>
      <c r="AJ338" s="518"/>
      <c r="AK338" s="518"/>
      <c r="AL338" s="518"/>
      <c r="AM338" s="518"/>
      <c r="AN338" s="518"/>
      <c r="AO338" s="518"/>
      <c r="AP338" s="518"/>
      <c r="AQ338" s="518"/>
      <c r="AR338" s="518"/>
      <c r="AS338" s="518"/>
      <c r="AT338" s="518"/>
    </row>
    <row r="339" spans="3:46" ht="12.75" customHeight="1">
      <c r="C339" s="518"/>
      <c r="D339" s="518"/>
      <c r="E339" s="518"/>
      <c r="F339" s="518"/>
      <c r="G339" s="518"/>
      <c r="H339" s="518"/>
      <c r="I339" s="518"/>
      <c r="J339" s="518"/>
      <c r="K339" s="518"/>
      <c r="L339" s="518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  <c r="AB339" s="518"/>
      <c r="AC339" s="518"/>
      <c r="AD339" s="518"/>
      <c r="AE339" s="518"/>
      <c r="AF339" s="518"/>
      <c r="AG339" s="518"/>
      <c r="AH339" s="518"/>
      <c r="AI339" s="518"/>
      <c r="AJ339" s="518"/>
      <c r="AK339" s="518"/>
      <c r="AL339" s="518"/>
      <c r="AM339" s="518"/>
      <c r="AN339" s="518"/>
      <c r="AO339" s="518"/>
      <c r="AP339" s="518"/>
      <c r="AQ339" s="518"/>
      <c r="AR339" s="518"/>
      <c r="AS339" s="518"/>
      <c r="AT339" s="518"/>
    </row>
    <row r="340" spans="3:46" ht="12.75" customHeight="1">
      <c r="C340" s="518"/>
      <c r="D340" s="518"/>
      <c r="E340" s="518"/>
      <c r="F340" s="518"/>
      <c r="G340" s="518"/>
      <c r="H340" s="518"/>
      <c r="I340" s="518"/>
      <c r="J340" s="518"/>
      <c r="K340" s="518"/>
      <c r="L340" s="518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  <c r="AB340" s="518"/>
      <c r="AC340" s="518"/>
      <c r="AD340" s="518"/>
      <c r="AE340" s="518"/>
      <c r="AF340" s="518"/>
      <c r="AG340" s="518"/>
      <c r="AH340" s="518"/>
      <c r="AI340" s="518"/>
      <c r="AJ340" s="518"/>
      <c r="AK340" s="518"/>
      <c r="AL340" s="518"/>
      <c r="AM340" s="518"/>
      <c r="AN340" s="518"/>
      <c r="AO340" s="518"/>
      <c r="AP340" s="518"/>
      <c r="AQ340" s="518"/>
      <c r="AR340" s="518"/>
      <c r="AS340" s="518"/>
      <c r="AT340" s="518"/>
    </row>
    <row r="341" spans="3:46" ht="12.75" customHeight="1">
      <c r="C341" s="518"/>
      <c r="D341" s="518"/>
      <c r="E341" s="518"/>
      <c r="F341" s="518"/>
      <c r="G341" s="518"/>
      <c r="H341" s="518"/>
      <c r="I341" s="518"/>
      <c r="J341" s="518"/>
      <c r="K341" s="518"/>
      <c r="L341" s="518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  <c r="AB341" s="518"/>
      <c r="AC341" s="518"/>
      <c r="AD341" s="518"/>
      <c r="AE341" s="518"/>
      <c r="AF341" s="518"/>
      <c r="AG341" s="518"/>
      <c r="AH341" s="518"/>
      <c r="AI341" s="518"/>
      <c r="AJ341" s="518"/>
      <c r="AK341" s="518"/>
      <c r="AL341" s="518"/>
      <c r="AM341" s="518"/>
      <c r="AN341" s="518"/>
      <c r="AO341" s="518"/>
      <c r="AP341" s="518"/>
      <c r="AQ341" s="518"/>
      <c r="AR341" s="518"/>
      <c r="AS341" s="518"/>
      <c r="AT341" s="518"/>
    </row>
    <row r="342" spans="3:46" ht="12.75" customHeight="1">
      <c r="C342" s="518"/>
      <c r="D342" s="518"/>
      <c r="E342" s="518"/>
      <c r="F342" s="518"/>
      <c r="G342" s="518"/>
      <c r="H342" s="518"/>
      <c r="I342" s="518"/>
      <c r="J342" s="518"/>
      <c r="K342" s="518"/>
      <c r="L342" s="518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  <c r="AB342" s="518"/>
      <c r="AC342" s="518"/>
      <c r="AD342" s="518"/>
      <c r="AE342" s="518"/>
      <c r="AF342" s="518"/>
      <c r="AG342" s="518"/>
      <c r="AH342" s="518"/>
      <c r="AI342" s="518"/>
      <c r="AJ342" s="518"/>
      <c r="AK342" s="518"/>
      <c r="AL342" s="518"/>
      <c r="AM342" s="518"/>
      <c r="AN342" s="518"/>
      <c r="AO342" s="518"/>
      <c r="AP342" s="518"/>
      <c r="AQ342" s="518"/>
      <c r="AR342" s="518"/>
      <c r="AS342" s="518"/>
      <c r="AT342" s="518"/>
    </row>
    <row r="343" spans="3:46" ht="12.75" customHeight="1">
      <c r="C343" s="518"/>
      <c r="D343" s="518"/>
      <c r="E343" s="518"/>
      <c r="F343" s="518"/>
      <c r="G343" s="518"/>
      <c r="H343" s="518"/>
      <c r="I343" s="518"/>
      <c r="J343" s="518"/>
      <c r="K343" s="518"/>
      <c r="L343" s="518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  <c r="AB343" s="518"/>
      <c r="AC343" s="518"/>
      <c r="AD343" s="518"/>
      <c r="AE343" s="518"/>
      <c r="AF343" s="518"/>
      <c r="AG343" s="518"/>
      <c r="AH343" s="518"/>
      <c r="AI343" s="518"/>
      <c r="AJ343" s="518"/>
      <c r="AK343" s="518"/>
      <c r="AL343" s="518"/>
      <c r="AM343" s="518"/>
      <c r="AN343" s="518"/>
      <c r="AO343" s="518"/>
      <c r="AP343" s="518"/>
      <c r="AQ343" s="518"/>
      <c r="AR343" s="518"/>
      <c r="AS343" s="518"/>
      <c r="AT343" s="518"/>
    </row>
    <row r="344" spans="3:46" ht="12.75" customHeight="1">
      <c r="C344" s="518"/>
      <c r="D344" s="518"/>
      <c r="E344" s="518"/>
      <c r="F344" s="518"/>
      <c r="G344" s="518"/>
      <c r="H344" s="518"/>
      <c r="I344" s="518"/>
      <c r="J344" s="518"/>
      <c r="K344" s="518"/>
      <c r="L344" s="518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  <c r="AB344" s="518"/>
      <c r="AC344" s="518"/>
      <c r="AD344" s="518"/>
      <c r="AE344" s="518"/>
      <c r="AF344" s="518"/>
      <c r="AG344" s="518"/>
      <c r="AH344" s="518"/>
      <c r="AI344" s="518"/>
      <c r="AJ344" s="518"/>
      <c r="AK344" s="518"/>
      <c r="AL344" s="518"/>
      <c r="AM344" s="518"/>
      <c r="AN344" s="518"/>
      <c r="AO344" s="518"/>
      <c r="AP344" s="518"/>
      <c r="AQ344" s="518"/>
      <c r="AR344" s="518"/>
      <c r="AS344" s="518"/>
      <c r="AT344" s="518"/>
    </row>
    <row r="345" spans="3:46" ht="12.75" customHeight="1">
      <c r="C345" s="518"/>
      <c r="D345" s="518"/>
      <c r="E345" s="518"/>
      <c r="F345" s="518"/>
      <c r="G345" s="518"/>
      <c r="H345" s="518"/>
      <c r="I345" s="518"/>
      <c r="J345" s="518"/>
      <c r="K345" s="518"/>
      <c r="L345" s="518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  <c r="AB345" s="518"/>
      <c r="AC345" s="518"/>
      <c r="AD345" s="518"/>
      <c r="AE345" s="518"/>
      <c r="AF345" s="518"/>
      <c r="AG345" s="518"/>
      <c r="AH345" s="518"/>
      <c r="AI345" s="518"/>
      <c r="AJ345" s="518"/>
      <c r="AK345" s="518"/>
      <c r="AL345" s="518"/>
      <c r="AM345" s="518"/>
      <c r="AN345" s="518"/>
      <c r="AO345" s="518"/>
      <c r="AP345" s="518"/>
      <c r="AQ345" s="518"/>
      <c r="AR345" s="518"/>
      <c r="AS345" s="518"/>
      <c r="AT345" s="518"/>
    </row>
    <row r="346" spans="3:46" ht="12.75" customHeight="1">
      <c r="C346" s="518"/>
      <c r="D346" s="518"/>
      <c r="E346" s="518"/>
      <c r="F346" s="518"/>
      <c r="G346" s="518"/>
      <c r="H346" s="518"/>
      <c r="I346" s="518"/>
      <c r="J346" s="518"/>
      <c r="K346" s="518"/>
      <c r="L346" s="518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  <c r="AB346" s="518"/>
      <c r="AC346" s="518"/>
      <c r="AD346" s="518"/>
      <c r="AE346" s="518"/>
      <c r="AF346" s="518"/>
      <c r="AG346" s="518"/>
      <c r="AH346" s="518"/>
      <c r="AI346" s="518"/>
      <c r="AJ346" s="518"/>
      <c r="AK346" s="518"/>
      <c r="AL346" s="518"/>
      <c r="AM346" s="518"/>
      <c r="AN346" s="518"/>
      <c r="AO346" s="518"/>
      <c r="AP346" s="518"/>
      <c r="AQ346" s="518"/>
      <c r="AR346" s="518"/>
      <c r="AS346" s="518"/>
      <c r="AT346" s="518"/>
    </row>
    <row r="347" spans="3:46" ht="12.75" customHeight="1">
      <c r="C347" s="518"/>
      <c r="D347" s="518"/>
      <c r="E347" s="518"/>
      <c r="F347" s="518"/>
      <c r="G347" s="518"/>
      <c r="H347" s="518"/>
      <c r="I347" s="518"/>
      <c r="J347" s="518"/>
      <c r="K347" s="518"/>
      <c r="L347" s="518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  <c r="AB347" s="518"/>
      <c r="AC347" s="518"/>
      <c r="AD347" s="518"/>
      <c r="AE347" s="518"/>
      <c r="AF347" s="518"/>
      <c r="AG347" s="518"/>
      <c r="AH347" s="518"/>
      <c r="AI347" s="518"/>
      <c r="AJ347" s="518"/>
      <c r="AK347" s="518"/>
      <c r="AL347" s="518"/>
      <c r="AM347" s="518"/>
      <c r="AN347" s="518"/>
      <c r="AO347" s="518"/>
      <c r="AP347" s="518"/>
      <c r="AQ347" s="518"/>
      <c r="AR347" s="518"/>
      <c r="AS347" s="518"/>
      <c r="AT347" s="518"/>
    </row>
    <row r="348" spans="3:46" ht="12.75" customHeight="1">
      <c r="C348" s="518"/>
      <c r="D348" s="518"/>
      <c r="E348" s="518"/>
      <c r="F348" s="518"/>
      <c r="G348" s="518"/>
      <c r="H348" s="518"/>
      <c r="I348" s="518"/>
      <c r="J348" s="518"/>
      <c r="K348" s="518"/>
      <c r="L348" s="518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  <c r="AB348" s="518"/>
      <c r="AC348" s="518"/>
      <c r="AD348" s="518"/>
      <c r="AE348" s="518"/>
      <c r="AF348" s="518"/>
      <c r="AG348" s="518"/>
      <c r="AH348" s="518"/>
      <c r="AI348" s="518"/>
      <c r="AJ348" s="518"/>
      <c r="AK348" s="518"/>
      <c r="AL348" s="518"/>
      <c r="AM348" s="518"/>
      <c r="AN348" s="518"/>
      <c r="AO348" s="518"/>
      <c r="AP348" s="518"/>
      <c r="AQ348" s="518"/>
      <c r="AR348" s="518"/>
      <c r="AS348" s="518"/>
      <c r="AT348" s="518"/>
    </row>
    <row r="349" spans="3:46" ht="12.75" customHeight="1">
      <c r="C349" s="518"/>
      <c r="D349" s="518"/>
      <c r="E349" s="518"/>
      <c r="F349" s="518"/>
      <c r="G349" s="518"/>
      <c r="H349" s="518"/>
      <c r="I349" s="518"/>
      <c r="J349" s="518"/>
      <c r="K349" s="518"/>
      <c r="L349" s="518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  <c r="AB349" s="518"/>
      <c r="AC349" s="518"/>
      <c r="AD349" s="518"/>
      <c r="AE349" s="518"/>
      <c r="AF349" s="518"/>
      <c r="AG349" s="518"/>
      <c r="AH349" s="518"/>
      <c r="AI349" s="518"/>
      <c r="AJ349" s="518"/>
      <c r="AK349" s="518"/>
      <c r="AL349" s="518"/>
      <c r="AM349" s="518"/>
      <c r="AN349" s="518"/>
      <c r="AO349" s="518"/>
      <c r="AP349" s="518"/>
      <c r="AQ349" s="518"/>
      <c r="AR349" s="518"/>
      <c r="AS349" s="518"/>
      <c r="AT349" s="518"/>
    </row>
    <row r="350" spans="3:46" ht="12.75" customHeight="1">
      <c r="C350" s="518"/>
      <c r="D350" s="518"/>
      <c r="E350" s="518"/>
      <c r="F350" s="518"/>
      <c r="G350" s="518"/>
      <c r="H350" s="518"/>
      <c r="I350" s="518"/>
      <c r="J350" s="518"/>
      <c r="K350" s="518"/>
      <c r="L350" s="518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  <c r="AB350" s="518"/>
      <c r="AC350" s="518"/>
      <c r="AD350" s="518"/>
      <c r="AE350" s="518"/>
      <c r="AF350" s="518"/>
      <c r="AG350" s="518"/>
      <c r="AH350" s="518"/>
      <c r="AI350" s="518"/>
      <c r="AJ350" s="518"/>
      <c r="AK350" s="518"/>
      <c r="AL350" s="518"/>
      <c r="AM350" s="518"/>
      <c r="AN350" s="518"/>
      <c r="AO350" s="518"/>
      <c r="AP350" s="518"/>
      <c r="AQ350" s="518"/>
      <c r="AR350" s="518"/>
      <c r="AS350" s="518"/>
      <c r="AT350" s="518"/>
    </row>
    <row r="351" spans="3:46" ht="12.75" customHeight="1">
      <c r="C351" s="518"/>
      <c r="D351" s="518"/>
      <c r="E351" s="518"/>
      <c r="F351" s="518"/>
      <c r="G351" s="518"/>
      <c r="H351" s="518"/>
      <c r="I351" s="518"/>
      <c r="J351" s="518"/>
      <c r="K351" s="518"/>
      <c r="L351" s="518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  <c r="AB351" s="518"/>
      <c r="AC351" s="518"/>
      <c r="AD351" s="518"/>
      <c r="AE351" s="518"/>
      <c r="AF351" s="518"/>
      <c r="AG351" s="518"/>
      <c r="AH351" s="518"/>
      <c r="AI351" s="518"/>
      <c r="AJ351" s="518"/>
      <c r="AK351" s="518"/>
      <c r="AL351" s="518"/>
      <c r="AM351" s="518"/>
      <c r="AN351" s="518"/>
      <c r="AO351" s="518"/>
      <c r="AP351" s="518"/>
      <c r="AQ351" s="518"/>
      <c r="AR351" s="518"/>
      <c r="AS351" s="518"/>
      <c r="AT351" s="518"/>
    </row>
    <row r="352" spans="3:46" ht="12.75" customHeight="1">
      <c r="C352" s="518"/>
      <c r="D352" s="518"/>
      <c r="E352" s="518"/>
      <c r="F352" s="518"/>
      <c r="G352" s="518"/>
      <c r="H352" s="518"/>
      <c r="I352" s="518"/>
      <c r="J352" s="518"/>
      <c r="K352" s="518"/>
      <c r="L352" s="518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  <c r="AB352" s="518"/>
      <c r="AC352" s="518"/>
      <c r="AD352" s="518"/>
      <c r="AE352" s="518"/>
      <c r="AF352" s="518"/>
      <c r="AG352" s="518"/>
      <c r="AH352" s="518"/>
      <c r="AI352" s="518"/>
      <c r="AJ352" s="518"/>
      <c r="AK352" s="518"/>
      <c r="AL352" s="518"/>
      <c r="AM352" s="518"/>
      <c r="AN352" s="518"/>
      <c r="AO352" s="518"/>
      <c r="AP352" s="518"/>
      <c r="AQ352" s="518"/>
      <c r="AR352" s="518"/>
      <c r="AS352" s="518"/>
      <c r="AT352" s="518"/>
    </row>
    <row r="353" spans="3:46" ht="12.75" customHeight="1">
      <c r="C353" s="518"/>
      <c r="D353" s="518"/>
      <c r="E353" s="518"/>
      <c r="F353" s="518"/>
      <c r="G353" s="518"/>
      <c r="H353" s="518"/>
      <c r="I353" s="518"/>
      <c r="J353" s="518"/>
      <c r="K353" s="518"/>
      <c r="L353" s="518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  <c r="AB353" s="518"/>
      <c r="AC353" s="518"/>
      <c r="AD353" s="518"/>
      <c r="AE353" s="518"/>
      <c r="AF353" s="518"/>
      <c r="AG353" s="518"/>
      <c r="AH353" s="518"/>
      <c r="AI353" s="518"/>
      <c r="AJ353" s="518"/>
      <c r="AK353" s="518"/>
      <c r="AL353" s="518"/>
      <c r="AM353" s="518"/>
      <c r="AN353" s="518"/>
      <c r="AO353" s="518"/>
      <c r="AP353" s="518"/>
      <c r="AQ353" s="518"/>
      <c r="AR353" s="518"/>
      <c r="AS353" s="518"/>
      <c r="AT353" s="518"/>
    </row>
    <row r="354" spans="3:46" ht="12.75" customHeight="1">
      <c r="C354" s="518"/>
      <c r="D354" s="518"/>
      <c r="E354" s="518"/>
      <c r="F354" s="518"/>
      <c r="G354" s="518"/>
      <c r="H354" s="518"/>
      <c r="I354" s="518"/>
      <c r="J354" s="518"/>
      <c r="K354" s="518"/>
      <c r="L354" s="518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  <c r="AB354" s="518"/>
      <c r="AC354" s="518"/>
      <c r="AD354" s="518"/>
      <c r="AE354" s="518"/>
      <c r="AF354" s="518"/>
      <c r="AG354" s="518"/>
      <c r="AH354" s="518"/>
      <c r="AI354" s="518"/>
      <c r="AJ354" s="518"/>
      <c r="AK354" s="518"/>
      <c r="AL354" s="518"/>
      <c r="AM354" s="518"/>
      <c r="AN354" s="518"/>
      <c r="AO354" s="518"/>
      <c r="AP354" s="518"/>
      <c r="AQ354" s="518"/>
      <c r="AR354" s="518"/>
      <c r="AS354" s="518"/>
      <c r="AT354" s="518"/>
    </row>
    <row r="355" spans="3:46" ht="12.75" customHeight="1">
      <c r="C355" s="518"/>
      <c r="D355" s="518"/>
      <c r="E355" s="518"/>
      <c r="F355" s="518"/>
      <c r="G355" s="518"/>
      <c r="H355" s="518"/>
      <c r="I355" s="518"/>
      <c r="J355" s="518"/>
      <c r="K355" s="518"/>
      <c r="L355" s="518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  <c r="AB355" s="518"/>
      <c r="AC355" s="518"/>
      <c r="AD355" s="518"/>
      <c r="AE355" s="518"/>
      <c r="AF355" s="518"/>
      <c r="AG355" s="518"/>
      <c r="AH355" s="518"/>
      <c r="AI355" s="518"/>
      <c r="AJ355" s="518"/>
      <c r="AK355" s="518"/>
      <c r="AL355" s="518"/>
      <c r="AM355" s="518"/>
      <c r="AN355" s="518"/>
      <c r="AO355" s="518"/>
      <c r="AP355" s="518"/>
      <c r="AQ355" s="518"/>
      <c r="AR355" s="518"/>
      <c r="AS355" s="518"/>
      <c r="AT355" s="518"/>
    </row>
    <row r="356" spans="3:46" ht="12.75" customHeight="1">
      <c r="C356" s="518"/>
      <c r="D356" s="518"/>
      <c r="E356" s="518"/>
      <c r="F356" s="518"/>
      <c r="G356" s="518"/>
      <c r="H356" s="518"/>
      <c r="I356" s="518"/>
      <c r="J356" s="518"/>
      <c r="K356" s="518"/>
      <c r="L356" s="518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  <c r="AB356" s="518"/>
      <c r="AC356" s="518"/>
      <c r="AD356" s="518"/>
      <c r="AE356" s="518"/>
      <c r="AF356" s="518"/>
      <c r="AG356" s="518"/>
      <c r="AH356" s="518"/>
      <c r="AI356" s="518"/>
      <c r="AJ356" s="518"/>
      <c r="AK356" s="518"/>
      <c r="AL356" s="518"/>
      <c r="AM356" s="518"/>
      <c r="AN356" s="518"/>
      <c r="AO356" s="518"/>
      <c r="AP356" s="518"/>
      <c r="AQ356" s="518"/>
      <c r="AR356" s="518"/>
      <c r="AS356" s="518"/>
      <c r="AT356" s="518"/>
    </row>
    <row r="357" spans="3:46" ht="12.75" customHeight="1">
      <c r="C357" s="518"/>
      <c r="D357" s="518"/>
      <c r="E357" s="518"/>
      <c r="F357" s="518"/>
      <c r="G357" s="518"/>
      <c r="H357" s="518"/>
      <c r="I357" s="518"/>
      <c r="J357" s="518"/>
      <c r="K357" s="518"/>
      <c r="L357" s="518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  <c r="AB357" s="518"/>
      <c r="AC357" s="518"/>
      <c r="AD357" s="518"/>
      <c r="AE357" s="518"/>
      <c r="AF357" s="518"/>
      <c r="AG357" s="518"/>
      <c r="AH357" s="518"/>
      <c r="AI357" s="518"/>
      <c r="AJ357" s="518"/>
      <c r="AK357" s="518"/>
      <c r="AL357" s="518"/>
      <c r="AM357" s="518"/>
      <c r="AN357" s="518"/>
      <c r="AO357" s="518"/>
      <c r="AP357" s="518"/>
      <c r="AQ357" s="518"/>
      <c r="AR357" s="518"/>
      <c r="AS357" s="518"/>
      <c r="AT357" s="518"/>
    </row>
    <row r="358" spans="3:46" ht="12.75" customHeight="1">
      <c r="C358" s="518"/>
      <c r="D358" s="518"/>
      <c r="E358" s="518"/>
      <c r="F358" s="518"/>
      <c r="G358" s="518"/>
      <c r="H358" s="518"/>
      <c r="I358" s="518"/>
      <c r="J358" s="518"/>
      <c r="K358" s="518"/>
      <c r="L358" s="518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  <c r="AB358" s="518"/>
      <c r="AC358" s="518"/>
      <c r="AD358" s="518"/>
      <c r="AE358" s="518"/>
      <c r="AF358" s="518"/>
      <c r="AG358" s="518"/>
      <c r="AH358" s="518"/>
      <c r="AI358" s="518"/>
      <c r="AJ358" s="518"/>
      <c r="AK358" s="518"/>
      <c r="AL358" s="518"/>
      <c r="AM358" s="518"/>
      <c r="AN358" s="518"/>
      <c r="AO358" s="518"/>
      <c r="AP358" s="518"/>
      <c r="AQ358" s="518"/>
      <c r="AR358" s="518"/>
      <c r="AS358" s="518"/>
      <c r="AT358" s="518"/>
    </row>
    <row r="359" spans="3:46" ht="12.75" customHeight="1">
      <c r="C359" s="518"/>
      <c r="D359" s="518"/>
      <c r="E359" s="518"/>
      <c r="F359" s="518"/>
      <c r="G359" s="518"/>
      <c r="H359" s="518"/>
      <c r="I359" s="518"/>
      <c r="J359" s="518"/>
      <c r="K359" s="518"/>
      <c r="L359" s="518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  <c r="AB359" s="518"/>
      <c r="AC359" s="518"/>
      <c r="AD359" s="518"/>
      <c r="AE359" s="518"/>
      <c r="AF359" s="518"/>
      <c r="AG359" s="518"/>
      <c r="AH359" s="518"/>
      <c r="AI359" s="518"/>
      <c r="AJ359" s="518"/>
      <c r="AK359" s="518"/>
      <c r="AL359" s="518"/>
      <c r="AM359" s="518"/>
      <c r="AN359" s="518"/>
      <c r="AO359" s="518"/>
      <c r="AP359" s="518"/>
      <c r="AQ359" s="518"/>
      <c r="AR359" s="518"/>
      <c r="AS359" s="518"/>
      <c r="AT359" s="518"/>
    </row>
    <row r="360" spans="3:46" ht="12.75" customHeight="1">
      <c r="C360" s="518"/>
      <c r="D360" s="518"/>
      <c r="E360" s="518"/>
      <c r="F360" s="518"/>
      <c r="G360" s="518"/>
      <c r="H360" s="518"/>
      <c r="I360" s="518"/>
      <c r="J360" s="518"/>
      <c r="K360" s="518"/>
      <c r="L360" s="518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  <c r="AB360" s="518"/>
      <c r="AC360" s="518"/>
      <c r="AD360" s="518"/>
      <c r="AE360" s="518"/>
      <c r="AF360" s="518"/>
      <c r="AG360" s="518"/>
      <c r="AH360" s="518"/>
      <c r="AI360" s="518"/>
      <c r="AJ360" s="518"/>
      <c r="AK360" s="518"/>
      <c r="AL360" s="518"/>
      <c r="AM360" s="518"/>
      <c r="AN360" s="518"/>
      <c r="AO360" s="518"/>
      <c r="AP360" s="518"/>
      <c r="AQ360" s="518"/>
      <c r="AR360" s="518"/>
      <c r="AS360" s="518"/>
      <c r="AT360" s="518"/>
    </row>
    <row r="361" spans="3:46" ht="12.75" customHeight="1">
      <c r="C361" s="518"/>
      <c r="D361" s="518"/>
      <c r="E361" s="518"/>
      <c r="F361" s="518"/>
      <c r="G361" s="518"/>
      <c r="H361" s="518"/>
      <c r="I361" s="518"/>
      <c r="J361" s="518"/>
      <c r="K361" s="518"/>
      <c r="L361" s="518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  <c r="AB361" s="518"/>
      <c r="AC361" s="518"/>
      <c r="AD361" s="518"/>
      <c r="AE361" s="518"/>
      <c r="AF361" s="518"/>
      <c r="AG361" s="518"/>
      <c r="AH361" s="518"/>
      <c r="AI361" s="518"/>
      <c r="AJ361" s="518"/>
      <c r="AK361" s="518"/>
      <c r="AL361" s="518"/>
      <c r="AM361" s="518"/>
      <c r="AN361" s="518"/>
      <c r="AO361" s="518"/>
      <c r="AP361" s="518"/>
      <c r="AQ361" s="518"/>
      <c r="AR361" s="518"/>
      <c r="AS361" s="518"/>
      <c r="AT361" s="518"/>
    </row>
    <row r="362" spans="3:46" ht="12.75" customHeight="1">
      <c r="C362" s="518"/>
      <c r="D362" s="518"/>
      <c r="E362" s="518"/>
      <c r="F362" s="518"/>
      <c r="G362" s="518"/>
      <c r="H362" s="518"/>
      <c r="I362" s="518"/>
      <c r="J362" s="518"/>
      <c r="K362" s="518"/>
      <c r="L362" s="518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  <c r="AB362" s="518"/>
      <c r="AC362" s="518"/>
      <c r="AD362" s="518"/>
      <c r="AE362" s="518"/>
      <c r="AF362" s="518"/>
      <c r="AG362" s="518"/>
      <c r="AH362" s="518"/>
      <c r="AI362" s="518"/>
      <c r="AJ362" s="518"/>
      <c r="AK362" s="518"/>
      <c r="AL362" s="518"/>
      <c r="AM362" s="518"/>
      <c r="AN362" s="518"/>
      <c r="AO362" s="518"/>
      <c r="AP362" s="518"/>
      <c r="AQ362" s="518"/>
      <c r="AR362" s="518"/>
      <c r="AS362" s="518"/>
      <c r="AT362" s="518"/>
    </row>
    <row r="363" spans="3:46" ht="12.75" customHeight="1">
      <c r="C363" s="518"/>
      <c r="D363" s="518"/>
      <c r="E363" s="518"/>
      <c r="F363" s="518"/>
      <c r="G363" s="518"/>
      <c r="H363" s="518"/>
      <c r="I363" s="518"/>
      <c r="J363" s="518"/>
      <c r="K363" s="518"/>
      <c r="L363" s="518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  <c r="AB363" s="518"/>
      <c r="AC363" s="518"/>
      <c r="AD363" s="518"/>
      <c r="AE363" s="518"/>
      <c r="AF363" s="518"/>
      <c r="AG363" s="518"/>
      <c r="AH363" s="518"/>
      <c r="AI363" s="518"/>
      <c r="AJ363" s="518"/>
      <c r="AK363" s="518"/>
      <c r="AL363" s="518"/>
      <c r="AM363" s="518"/>
      <c r="AN363" s="518"/>
      <c r="AO363" s="518"/>
      <c r="AP363" s="518"/>
      <c r="AQ363" s="518"/>
      <c r="AR363" s="518"/>
      <c r="AS363" s="518"/>
      <c r="AT363" s="518"/>
    </row>
    <row r="364" spans="3:46" ht="12.75" customHeight="1"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  <c r="AB364" s="518"/>
      <c r="AC364" s="518"/>
      <c r="AD364" s="518"/>
      <c r="AE364" s="518"/>
      <c r="AF364" s="518"/>
      <c r="AG364" s="518"/>
      <c r="AH364" s="518"/>
      <c r="AI364" s="518"/>
      <c r="AJ364" s="518"/>
      <c r="AK364" s="518"/>
      <c r="AL364" s="518"/>
      <c r="AM364" s="518"/>
      <c r="AN364" s="518"/>
      <c r="AO364" s="518"/>
      <c r="AP364" s="518"/>
      <c r="AQ364" s="518"/>
      <c r="AR364" s="518"/>
      <c r="AS364" s="518"/>
      <c r="AT364" s="518"/>
    </row>
    <row r="365" spans="3:46" ht="12.75" customHeight="1">
      <c r="C365" s="518"/>
      <c r="D365" s="518"/>
      <c r="E365" s="518"/>
      <c r="F365" s="518"/>
      <c r="G365" s="518"/>
      <c r="H365" s="518"/>
      <c r="I365" s="518"/>
      <c r="J365" s="518"/>
      <c r="K365" s="518"/>
      <c r="L365" s="518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  <c r="AB365" s="518"/>
      <c r="AC365" s="518"/>
      <c r="AD365" s="518"/>
      <c r="AE365" s="518"/>
      <c r="AF365" s="518"/>
      <c r="AG365" s="518"/>
      <c r="AH365" s="518"/>
      <c r="AI365" s="518"/>
      <c r="AJ365" s="518"/>
      <c r="AK365" s="518"/>
      <c r="AL365" s="518"/>
      <c r="AM365" s="518"/>
      <c r="AN365" s="518"/>
      <c r="AO365" s="518"/>
      <c r="AP365" s="518"/>
      <c r="AQ365" s="518"/>
      <c r="AR365" s="518"/>
      <c r="AS365" s="518"/>
      <c r="AT365" s="518"/>
    </row>
    <row r="366" spans="3:46" ht="12.75" customHeight="1">
      <c r="C366" s="518"/>
      <c r="D366" s="518"/>
      <c r="E366" s="518"/>
      <c r="F366" s="518"/>
      <c r="G366" s="518"/>
      <c r="H366" s="518"/>
      <c r="I366" s="518"/>
      <c r="J366" s="518"/>
      <c r="K366" s="518"/>
      <c r="L366" s="518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  <c r="AB366" s="518"/>
      <c r="AC366" s="518"/>
      <c r="AD366" s="518"/>
      <c r="AE366" s="518"/>
      <c r="AF366" s="518"/>
      <c r="AG366" s="518"/>
      <c r="AH366" s="518"/>
      <c r="AI366" s="518"/>
      <c r="AJ366" s="518"/>
      <c r="AK366" s="518"/>
      <c r="AL366" s="518"/>
      <c r="AM366" s="518"/>
      <c r="AN366" s="518"/>
      <c r="AO366" s="518"/>
      <c r="AP366" s="518"/>
      <c r="AQ366" s="518"/>
      <c r="AR366" s="518"/>
      <c r="AS366" s="518"/>
      <c r="AT366" s="518"/>
    </row>
    <row r="367" spans="3:46" ht="12.75" customHeight="1">
      <c r="C367" s="518"/>
      <c r="D367" s="518"/>
      <c r="E367" s="518"/>
      <c r="F367" s="518"/>
      <c r="G367" s="518"/>
      <c r="H367" s="518"/>
      <c r="I367" s="518"/>
      <c r="J367" s="518"/>
      <c r="K367" s="518"/>
      <c r="L367" s="518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  <c r="AB367" s="518"/>
      <c r="AC367" s="518"/>
      <c r="AD367" s="518"/>
      <c r="AE367" s="518"/>
      <c r="AF367" s="518"/>
      <c r="AG367" s="518"/>
      <c r="AH367" s="518"/>
      <c r="AI367" s="518"/>
      <c r="AJ367" s="518"/>
      <c r="AK367" s="518"/>
      <c r="AL367" s="518"/>
      <c r="AM367" s="518"/>
      <c r="AN367" s="518"/>
      <c r="AO367" s="518"/>
      <c r="AP367" s="518"/>
      <c r="AQ367" s="518"/>
      <c r="AR367" s="518"/>
      <c r="AS367" s="518"/>
      <c r="AT367" s="518"/>
    </row>
    <row r="368" spans="3:46" ht="12.75" customHeight="1">
      <c r="C368" s="518"/>
      <c r="D368" s="518"/>
      <c r="E368" s="518"/>
      <c r="F368" s="518"/>
      <c r="G368" s="518"/>
      <c r="H368" s="518"/>
      <c r="I368" s="518"/>
      <c r="J368" s="518"/>
      <c r="K368" s="518"/>
      <c r="L368" s="518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  <c r="AB368" s="518"/>
      <c r="AC368" s="518"/>
      <c r="AD368" s="518"/>
      <c r="AE368" s="518"/>
      <c r="AF368" s="518"/>
      <c r="AG368" s="518"/>
      <c r="AH368" s="518"/>
      <c r="AI368" s="518"/>
      <c r="AJ368" s="518"/>
      <c r="AK368" s="518"/>
      <c r="AL368" s="518"/>
      <c r="AM368" s="518"/>
      <c r="AN368" s="518"/>
      <c r="AO368" s="518"/>
      <c r="AP368" s="518"/>
      <c r="AQ368" s="518"/>
      <c r="AR368" s="518"/>
      <c r="AS368" s="518"/>
      <c r="AT368" s="518"/>
    </row>
    <row r="369" spans="3:46" ht="12.75" customHeight="1">
      <c r="C369" s="518"/>
      <c r="D369" s="518"/>
      <c r="E369" s="518"/>
      <c r="F369" s="518"/>
      <c r="G369" s="518"/>
      <c r="H369" s="518"/>
      <c r="I369" s="518"/>
      <c r="J369" s="518"/>
      <c r="K369" s="518"/>
      <c r="L369" s="518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  <c r="AB369" s="518"/>
      <c r="AC369" s="518"/>
      <c r="AD369" s="518"/>
      <c r="AE369" s="518"/>
      <c r="AF369" s="518"/>
      <c r="AG369" s="518"/>
      <c r="AH369" s="518"/>
      <c r="AI369" s="518"/>
      <c r="AJ369" s="518"/>
      <c r="AK369" s="518"/>
      <c r="AL369" s="518"/>
      <c r="AM369" s="518"/>
      <c r="AN369" s="518"/>
      <c r="AO369" s="518"/>
      <c r="AP369" s="518"/>
      <c r="AQ369" s="518"/>
      <c r="AR369" s="518"/>
      <c r="AS369" s="518"/>
      <c r="AT369" s="518"/>
    </row>
    <row r="370" spans="3:46" ht="12.75" customHeight="1">
      <c r="C370" s="518"/>
      <c r="D370" s="518"/>
      <c r="E370" s="518"/>
      <c r="F370" s="518"/>
      <c r="G370" s="518"/>
      <c r="H370" s="518"/>
      <c r="I370" s="518"/>
      <c r="J370" s="518"/>
      <c r="K370" s="518"/>
      <c r="L370" s="518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  <c r="AB370" s="518"/>
      <c r="AC370" s="518"/>
      <c r="AD370" s="518"/>
      <c r="AE370" s="518"/>
      <c r="AF370" s="518"/>
      <c r="AG370" s="518"/>
      <c r="AH370" s="518"/>
      <c r="AI370" s="518"/>
      <c r="AJ370" s="518"/>
      <c r="AK370" s="518"/>
      <c r="AL370" s="518"/>
      <c r="AM370" s="518"/>
      <c r="AN370" s="518"/>
      <c r="AO370" s="518"/>
      <c r="AP370" s="518"/>
      <c r="AQ370" s="518"/>
      <c r="AR370" s="518"/>
      <c r="AS370" s="518"/>
      <c r="AT370" s="518"/>
    </row>
    <row r="371" spans="3:46" ht="12.75" customHeight="1">
      <c r="C371" s="518"/>
      <c r="D371" s="518"/>
      <c r="E371" s="518"/>
      <c r="F371" s="518"/>
      <c r="G371" s="518"/>
      <c r="H371" s="518"/>
      <c r="I371" s="518"/>
      <c r="J371" s="518"/>
      <c r="K371" s="518"/>
      <c r="L371" s="518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  <c r="AB371" s="518"/>
      <c r="AC371" s="518"/>
      <c r="AD371" s="518"/>
      <c r="AE371" s="518"/>
      <c r="AF371" s="518"/>
      <c r="AG371" s="518"/>
      <c r="AH371" s="518"/>
      <c r="AI371" s="518"/>
      <c r="AJ371" s="518"/>
      <c r="AK371" s="518"/>
      <c r="AL371" s="518"/>
      <c r="AM371" s="518"/>
      <c r="AN371" s="518"/>
      <c r="AO371" s="518"/>
      <c r="AP371" s="518"/>
      <c r="AQ371" s="518"/>
      <c r="AR371" s="518"/>
      <c r="AS371" s="518"/>
      <c r="AT371" s="518"/>
    </row>
    <row r="372" spans="3:46" ht="12.75" customHeight="1">
      <c r="C372" s="518"/>
      <c r="D372" s="518"/>
      <c r="E372" s="518"/>
      <c r="F372" s="518"/>
      <c r="G372" s="518"/>
      <c r="H372" s="518"/>
      <c r="I372" s="518"/>
      <c r="J372" s="518"/>
      <c r="K372" s="518"/>
      <c r="L372" s="518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  <c r="AB372" s="518"/>
      <c r="AC372" s="518"/>
      <c r="AD372" s="518"/>
      <c r="AE372" s="518"/>
      <c r="AF372" s="518"/>
      <c r="AG372" s="518"/>
      <c r="AH372" s="518"/>
      <c r="AI372" s="518"/>
      <c r="AJ372" s="518"/>
      <c r="AK372" s="518"/>
      <c r="AL372" s="518"/>
      <c r="AM372" s="518"/>
      <c r="AN372" s="518"/>
      <c r="AO372" s="518"/>
      <c r="AP372" s="518"/>
      <c r="AQ372" s="518"/>
      <c r="AR372" s="518"/>
      <c r="AS372" s="518"/>
      <c r="AT372" s="518"/>
    </row>
    <row r="373" spans="3:46" ht="12.75" customHeight="1">
      <c r="C373" s="518"/>
      <c r="D373" s="518"/>
      <c r="E373" s="518"/>
      <c r="F373" s="518"/>
      <c r="G373" s="518"/>
      <c r="H373" s="518"/>
      <c r="I373" s="518"/>
      <c r="J373" s="518"/>
      <c r="K373" s="518"/>
      <c r="L373" s="518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  <c r="AB373" s="518"/>
      <c r="AC373" s="518"/>
      <c r="AD373" s="518"/>
      <c r="AE373" s="518"/>
      <c r="AF373" s="518"/>
      <c r="AG373" s="518"/>
      <c r="AH373" s="518"/>
      <c r="AI373" s="518"/>
      <c r="AJ373" s="518"/>
      <c r="AK373" s="518"/>
      <c r="AL373" s="518"/>
      <c r="AM373" s="518"/>
      <c r="AN373" s="518"/>
      <c r="AO373" s="518"/>
      <c r="AP373" s="518"/>
      <c r="AQ373" s="518"/>
      <c r="AR373" s="518"/>
      <c r="AS373" s="518"/>
      <c r="AT373" s="518"/>
    </row>
    <row r="374" spans="3:46" ht="12.75" customHeight="1">
      <c r="C374" s="518"/>
      <c r="D374" s="518"/>
      <c r="E374" s="518"/>
      <c r="F374" s="518"/>
      <c r="G374" s="518"/>
      <c r="H374" s="518"/>
      <c r="I374" s="518"/>
      <c r="J374" s="518"/>
      <c r="K374" s="518"/>
      <c r="L374" s="518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  <c r="AB374" s="518"/>
      <c r="AC374" s="518"/>
      <c r="AD374" s="518"/>
      <c r="AE374" s="518"/>
      <c r="AF374" s="518"/>
      <c r="AG374" s="518"/>
      <c r="AH374" s="518"/>
      <c r="AI374" s="518"/>
      <c r="AJ374" s="518"/>
      <c r="AK374" s="518"/>
      <c r="AL374" s="518"/>
      <c r="AM374" s="518"/>
      <c r="AN374" s="518"/>
      <c r="AO374" s="518"/>
      <c r="AP374" s="518"/>
      <c r="AQ374" s="518"/>
      <c r="AR374" s="518"/>
      <c r="AS374" s="518"/>
      <c r="AT374" s="518"/>
    </row>
    <row r="375" spans="3:46" ht="12.75" customHeight="1">
      <c r="C375" s="518"/>
      <c r="D375" s="518"/>
      <c r="E375" s="518"/>
      <c r="F375" s="518"/>
      <c r="G375" s="518"/>
      <c r="H375" s="518"/>
      <c r="I375" s="518"/>
      <c r="J375" s="518"/>
      <c r="K375" s="518"/>
      <c r="L375" s="518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  <c r="AB375" s="518"/>
      <c r="AC375" s="518"/>
      <c r="AD375" s="518"/>
      <c r="AE375" s="518"/>
      <c r="AF375" s="518"/>
      <c r="AG375" s="518"/>
      <c r="AH375" s="518"/>
      <c r="AI375" s="518"/>
      <c r="AJ375" s="518"/>
      <c r="AK375" s="518"/>
      <c r="AL375" s="518"/>
      <c r="AM375" s="518"/>
      <c r="AN375" s="518"/>
      <c r="AO375" s="518"/>
      <c r="AP375" s="518"/>
      <c r="AQ375" s="518"/>
      <c r="AR375" s="518"/>
      <c r="AS375" s="518"/>
      <c r="AT375" s="518"/>
    </row>
    <row r="376" spans="3:46" ht="12.75" customHeight="1">
      <c r="C376" s="518"/>
      <c r="D376" s="518"/>
      <c r="E376" s="518"/>
      <c r="F376" s="518"/>
      <c r="G376" s="518"/>
      <c r="H376" s="518"/>
      <c r="I376" s="518"/>
      <c r="J376" s="518"/>
      <c r="K376" s="518"/>
      <c r="L376" s="518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  <c r="AB376" s="518"/>
      <c r="AC376" s="518"/>
      <c r="AD376" s="518"/>
      <c r="AE376" s="518"/>
      <c r="AF376" s="518"/>
      <c r="AG376" s="518"/>
      <c r="AH376" s="518"/>
      <c r="AI376" s="518"/>
      <c r="AJ376" s="518"/>
      <c r="AK376" s="518"/>
      <c r="AL376" s="518"/>
      <c r="AM376" s="518"/>
      <c r="AN376" s="518"/>
      <c r="AO376" s="518"/>
      <c r="AP376" s="518"/>
      <c r="AQ376" s="518"/>
      <c r="AR376" s="518"/>
      <c r="AS376" s="518"/>
      <c r="AT376" s="518"/>
    </row>
    <row r="377" spans="3:46" ht="12.75" customHeight="1">
      <c r="C377" s="518"/>
      <c r="D377" s="518"/>
      <c r="E377" s="518"/>
      <c r="F377" s="518"/>
      <c r="G377" s="518"/>
      <c r="H377" s="518"/>
      <c r="I377" s="518"/>
      <c r="J377" s="518"/>
      <c r="K377" s="518"/>
      <c r="L377" s="518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  <c r="AB377" s="518"/>
      <c r="AC377" s="518"/>
      <c r="AD377" s="518"/>
      <c r="AE377" s="518"/>
      <c r="AF377" s="518"/>
      <c r="AG377" s="518"/>
      <c r="AH377" s="518"/>
      <c r="AI377" s="518"/>
      <c r="AJ377" s="518"/>
      <c r="AK377" s="518"/>
      <c r="AL377" s="518"/>
      <c r="AM377" s="518"/>
      <c r="AN377" s="518"/>
      <c r="AO377" s="518"/>
      <c r="AP377" s="518"/>
      <c r="AQ377" s="518"/>
      <c r="AR377" s="518"/>
      <c r="AS377" s="518"/>
      <c r="AT377" s="518"/>
    </row>
    <row r="378" spans="3:46" ht="12.75" customHeight="1">
      <c r="C378" s="518"/>
      <c r="D378" s="518"/>
      <c r="E378" s="518"/>
      <c r="F378" s="518"/>
      <c r="G378" s="518"/>
      <c r="H378" s="518"/>
      <c r="I378" s="518"/>
      <c r="J378" s="518"/>
      <c r="K378" s="518"/>
      <c r="L378" s="518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  <c r="AB378" s="518"/>
      <c r="AC378" s="518"/>
      <c r="AD378" s="518"/>
      <c r="AE378" s="518"/>
      <c r="AF378" s="518"/>
      <c r="AG378" s="518"/>
      <c r="AH378" s="518"/>
      <c r="AI378" s="518"/>
      <c r="AJ378" s="518"/>
      <c r="AK378" s="518"/>
      <c r="AL378" s="518"/>
      <c r="AM378" s="518"/>
      <c r="AN378" s="518"/>
      <c r="AO378" s="518"/>
      <c r="AP378" s="518"/>
      <c r="AQ378" s="518"/>
      <c r="AR378" s="518"/>
      <c r="AS378" s="518"/>
      <c r="AT378" s="518"/>
    </row>
    <row r="379" spans="3:46" ht="12.75" customHeight="1">
      <c r="C379" s="518"/>
      <c r="D379" s="518"/>
      <c r="E379" s="518"/>
      <c r="F379" s="518"/>
      <c r="G379" s="518"/>
      <c r="H379" s="518"/>
      <c r="I379" s="518"/>
      <c r="J379" s="518"/>
      <c r="K379" s="518"/>
      <c r="L379" s="518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  <c r="AB379" s="518"/>
      <c r="AC379" s="518"/>
      <c r="AD379" s="518"/>
      <c r="AE379" s="518"/>
      <c r="AF379" s="518"/>
      <c r="AG379" s="518"/>
      <c r="AH379" s="518"/>
      <c r="AI379" s="518"/>
      <c r="AJ379" s="518"/>
      <c r="AK379" s="518"/>
      <c r="AL379" s="518"/>
      <c r="AM379" s="518"/>
      <c r="AN379" s="518"/>
      <c r="AO379" s="518"/>
      <c r="AP379" s="518"/>
      <c r="AQ379" s="518"/>
      <c r="AR379" s="518"/>
      <c r="AS379" s="518"/>
      <c r="AT379" s="518"/>
    </row>
    <row r="380" spans="3:46" ht="12.75" customHeight="1">
      <c r="C380" s="518"/>
      <c r="D380" s="518"/>
      <c r="E380" s="518"/>
      <c r="F380" s="518"/>
      <c r="G380" s="518"/>
      <c r="H380" s="518"/>
      <c r="I380" s="518"/>
      <c r="J380" s="518"/>
      <c r="K380" s="518"/>
      <c r="L380" s="518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  <c r="AB380" s="518"/>
      <c r="AC380" s="518"/>
      <c r="AD380" s="518"/>
      <c r="AE380" s="518"/>
      <c r="AF380" s="518"/>
      <c r="AG380" s="518"/>
      <c r="AH380" s="518"/>
      <c r="AI380" s="518"/>
      <c r="AJ380" s="518"/>
      <c r="AK380" s="518"/>
      <c r="AL380" s="518"/>
      <c r="AM380" s="518"/>
      <c r="AN380" s="518"/>
      <c r="AO380" s="518"/>
      <c r="AP380" s="518"/>
      <c r="AQ380" s="518"/>
      <c r="AR380" s="518"/>
      <c r="AS380" s="518"/>
      <c r="AT380" s="518"/>
    </row>
    <row r="381" spans="3:46" ht="12.75" customHeight="1">
      <c r="C381" s="518"/>
      <c r="D381" s="518"/>
      <c r="E381" s="518"/>
      <c r="F381" s="518"/>
      <c r="G381" s="518"/>
      <c r="H381" s="518"/>
      <c r="I381" s="518"/>
      <c r="J381" s="518"/>
      <c r="K381" s="518"/>
      <c r="L381" s="518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  <c r="AB381" s="518"/>
      <c r="AC381" s="518"/>
      <c r="AD381" s="518"/>
      <c r="AE381" s="518"/>
      <c r="AF381" s="518"/>
      <c r="AG381" s="518"/>
      <c r="AH381" s="518"/>
      <c r="AI381" s="518"/>
      <c r="AJ381" s="518"/>
      <c r="AK381" s="518"/>
      <c r="AL381" s="518"/>
      <c r="AM381" s="518"/>
      <c r="AN381" s="518"/>
      <c r="AO381" s="518"/>
      <c r="AP381" s="518"/>
      <c r="AQ381" s="518"/>
      <c r="AR381" s="518"/>
      <c r="AS381" s="518"/>
      <c r="AT381" s="518"/>
    </row>
    <row r="382" spans="3:46" ht="12.75" customHeight="1">
      <c r="C382" s="518"/>
      <c r="D382" s="518"/>
      <c r="E382" s="518"/>
      <c r="F382" s="518"/>
      <c r="G382" s="518"/>
      <c r="H382" s="518"/>
      <c r="I382" s="518"/>
      <c r="J382" s="518"/>
      <c r="K382" s="518"/>
      <c r="L382" s="518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  <c r="AB382" s="518"/>
      <c r="AC382" s="518"/>
      <c r="AD382" s="518"/>
      <c r="AE382" s="518"/>
      <c r="AF382" s="518"/>
      <c r="AG382" s="518"/>
      <c r="AH382" s="518"/>
      <c r="AI382" s="518"/>
      <c r="AJ382" s="518"/>
      <c r="AK382" s="518"/>
      <c r="AL382" s="518"/>
      <c r="AM382" s="518"/>
      <c r="AN382" s="518"/>
      <c r="AO382" s="518"/>
      <c r="AP382" s="518"/>
      <c r="AQ382" s="518"/>
      <c r="AR382" s="518"/>
      <c r="AS382" s="518"/>
      <c r="AT382" s="518"/>
    </row>
    <row r="383" spans="3:46" ht="12.75" customHeight="1">
      <c r="C383" s="518"/>
      <c r="D383" s="518"/>
      <c r="E383" s="518"/>
      <c r="F383" s="518"/>
      <c r="G383" s="518"/>
      <c r="H383" s="518"/>
      <c r="I383" s="518"/>
      <c r="J383" s="518"/>
      <c r="K383" s="518"/>
      <c r="L383" s="518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  <c r="AB383" s="518"/>
      <c r="AC383" s="518"/>
      <c r="AD383" s="518"/>
      <c r="AE383" s="518"/>
      <c r="AF383" s="518"/>
      <c r="AG383" s="518"/>
      <c r="AH383" s="518"/>
      <c r="AI383" s="518"/>
      <c r="AJ383" s="518"/>
      <c r="AK383" s="518"/>
      <c r="AL383" s="518"/>
      <c r="AM383" s="518"/>
      <c r="AN383" s="518"/>
      <c r="AO383" s="518"/>
      <c r="AP383" s="518"/>
      <c r="AQ383" s="518"/>
      <c r="AR383" s="518"/>
      <c r="AS383" s="518"/>
      <c r="AT383" s="518"/>
    </row>
    <row r="384" spans="3:46" ht="12.75" customHeight="1">
      <c r="C384" s="518"/>
      <c r="D384" s="518"/>
      <c r="E384" s="518"/>
      <c r="F384" s="518"/>
      <c r="G384" s="518"/>
      <c r="H384" s="518"/>
      <c r="I384" s="518"/>
      <c r="J384" s="518"/>
      <c r="K384" s="518"/>
      <c r="L384" s="518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  <c r="AB384" s="518"/>
      <c r="AC384" s="518"/>
      <c r="AD384" s="518"/>
      <c r="AE384" s="518"/>
      <c r="AF384" s="518"/>
      <c r="AG384" s="518"/>
      <c r="AH384" s="518"/>
      <c r="AI384" s="518"/>
      <c r="AJ384" s="518"/>
      <c r="AK384" s="518"/>
      <c r="AL384" s="518"/>
      <c r="AM384" s="518"/>
      <c r="AN384" s="518"/>
      <c r="AO384" s="518"/>
      <c r="AP384" s="518"/>
      <c r="AQ384" s="518"/>
      <c r="AR384" s="518"/>
      <c r="AS384" s="518"/>
      <c r="AT384" s="518"/>
    </row>
    <row r="385" spans="3:46" ht="12.75" customHeight="1">
      <c r="C385" s="518"/>
      <c r="D385" s="518"/>
      <c r="E385" s="518"/>
      <c r="F385" s="518"/>
      <c r="G385" s="518"/>
      <c r="H385" s="518"/>
      <c r="I385" s="518"/>
      <c r="J385" s="518"/>
      <c r="K385" s="518"/>
      <c r="L385" s="518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  <c r="AB385" s="518"/>
      <c r="AC385" s="518"/>
      <c r="AD385" s="518"/>
      <c r="AE385" s="518"/>
      <c r="AF385" s="518"/>
      <c r="AG385" s="518"/>
      <c r="AH385" s="518"/>
      <c r="AI385" s="518"/>
      <c r="AJ385" s="518"/>
      <c r="AK385" s="518"/>
      <c r="AL385" s="518"/>
      <c r="AM385" s="518"/>
      <c r="AN385" s="518"/>
      <c r="AO385" s="518"/>
      <c r="AP385" s="518"/>
      <c r="AQ385" s="518"/>
      <c r="AR385" s="518"/>
      <c r="AS385" s="518"/>
      <c r="AT385" s="518"/>
    </row>
    <row r="386" spans="3:46" ht="12.75" customHeight="1">
      <c r="C386" s="518"/>
      <c r="D386" s="518"/>
      <c r="E386" s="518"/>
      <c r="F386" s="518"/>
      <c r="G386" s="518"/>
      <c r="H386" s="518"/>
      <c r="I386" s="518"/>
      <c r="J386" s="518"/>
      <c r="K386" s="518"/>
      <c r="L386" s="518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  <c r="AB386" s="518"/>
      <c r="AC386" s="518"/>
      <c r="AD386" s="518"/>
      <c r="AE386" s="518"/>
      <c r="AF386" s="518"/>
      <c r="AG386" s="518"/>
      <c r="AH386" s="518"/>
      <c r="AI386" s="518"/>
      <c r="AJ386" s="518"/>
      <c r="AK386" s="518"/>
      <c r="AL386" s="518"/>
      <c r="AM386" s="518"/>
      <c r="AN386" s="518"/>
      <c r="AO386" s="518"/>
      <c r="AP386" s="518"/>
      <c r="AQ386" s="518"/>
      <c r="AR386" s="518"/>
      <c r="AS386" s="518"/>
      <c r="AT386" s="518"/>
    </row>
    <row r="387" spans="3:46" ht="12.75" customHeight="1">
      <c r="C387" s="518"/>
      <c r="D387" s="518"/>
      <c r="E387" s="518"/>
      <c r="F387" s="518"/>
      <c r="G387" s="518"/>
      <c r="H387" s="518"/>
      <c r="I387" s="518"/>
      <c r="J387" s="518"/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  <c r="AB387" s="518"/>
      <c r="AC387" s="518"/>
      <c r="AD387" s="518"/>
      <c r="AE387" s="518"/>
      <c r="AF387" s="518"/>
      <c r="AG387" s="518"/>
      <c r="AH387" s="518"/>
      <c r="AI387" s="518"/>
      <c r="AJ387" s="518"/>
      <c r="AK387" s="518"/>
      <c r="AL387" s="518"/>
      <c r="AM387" s="518"/>
      <c r="AN387" s="518"/>
      <c r="AO387" s="518"/>
      <c r="AP387" s="518"/>
      <c r="AQ387" s="518"/>
      <c r="AR387" s="518"/>
      <c r="AS387" s="518"/>
      <c r="AT387" s="518"/>
    </row>
    <row r="388" spans="3:46" ht="12.75" customHeight="1">
      <c r="C388" s="518"/>
      <c r="D388" s="518"/>
      <c r="E388" s="518"/>
      <c r="F388" s="518"/>
      <c r="G388" s="518"/>
      <c r="H388" s="518"/>
      <c r="I388" s="518"/>
      <c r="J388" s="518"/>
      <c r="K388" s="518"/>
      <c r="L388" s="518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  <c r="AB388" s="518"/>
      <c r="AC388" s="518"/>
      <c r="AD388" s="518"/>
      <c r="AE388" s="518"/>
      <c r="AF388" s="518"/>
      <c r="AG388" s="518"/>
      <c r="AH388" s="518"/>
      <c r="AI388" s="518"/>
      <c r="AJ388" s="518"/>
      <c r="AK388" s="518"/>
      <c r="AL388" s="518"/>
      <c r="AM388" s="518"/>
      <c r="AN388" s="518"/>
      <c r="AO388" s="518"/>
      <c r="AP388" s="518"/>
      <c r="AQ388" s="518"/>
      <c r="AR388" s="518"/>
      <c r="AS388" s="518"/>
      <c r="AT388" s="518"/>
    </row>
    <row r="389" spans="3:46" ht="12.75" customHeight="1">
      <c r="C389" s="518"/>
      <c r="D389" s="518"/>
      <c r="E389" s="518"/>
      <c r="F389" s="518"/>
      <c r="G389" s="518"/>
      <c r="H389" s="518"/>
      <c r="I389" s="518"/>
      <c r="J389" s="518"/>
      <c r="K389" s="518"/>
      <c r="L389" s="518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  <c r="AB389" s="518"/>
      <c r="AC389" s="518"/>
      <c r="AD389" s="518"/>
      <c r="AE389" s="518"/>
      <c r="AF389" s="518"/>
      <c r="AG389" s="518"/>
      <c r="AH389" s="518"/>
      <c r="AI389" s="518"/>
      <c r="AJ389" s="518"/>
      <c r="AK389" s="518"/>
      <c r="AL389" s="518"/>
      <c r="AM389" s="518"/>
      <c r="AN389" s="518"/>
      <c r="AO389" s="518"/>
      <c r="AP389" s="518"/>
      <c r="AQ389" s="518"/>
      <c r="AR389" s="518"/>
      <c r="AS389" s="518"/>
      <c r="AT389" s="518"/>
    </row>
    <row r="390" spans="3:46" ht="12.75" customHeight="1">
      <c r="C390" s="518"/>
      <c r="D390" s="518"/>
      <c r="E390" s="518"/>
      <c r="F390" s="518"/>
      <c r="G390" s="518"/>
      <c r="H390" s="518"/>
      <c r="I390" s="518"/>
      <c r="J390" s="518"/>
      <c r="K390" s="518"/>
      <c r="L390" s="518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  <c r="AB390" s="518"/>
      <c r="AC390" s="518"/>
      <c r="AD390" s="518"/>
      <c r="AE390" s="518"/>
      <c r="AF390" s="518"/>
      <c r="AG390" s="518"/>
      <c r="AH390" s="518"/>
      <c r="AI390" s="518"/>
      <c r="AJ390" s="518"/>
      <c r="AK390" s="518"/>
      <c r="AL390" s="518"/>
      <c r="AM390" s="518"/>
      <c r="AN390" s="518"/>
      <c r="AO390" s="518"/>
      <c r="AP390" s="518"/>
      <c r="AQ390" s="518"/>
      <c r="AR390" s="518"/>
      <c r="AS390" s="518"/>
      <c r="AT390" s="518"/>
    </row>
    <row r="391" spans="3:46" ht="12.75" customHeight="1">
      <c r="C391" s="518"/>
      <c r="D391" s="518"/>
      <c r="E391" s="518"/>
      <c r="F391" s="518"/>
      <c r="G391" s="518"/>
      <c r="H391" s="518"/>
      <c r="I391" s="518"/>
      <c r="J391" s="518"/>
      <c r="K391" s="518"/>
      <c r="L391" s="518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  <c r="AB391" s="518"/>
      <c r="AC391" s="518"/>
      <c r="AD391" s="518"/>
      <c r="AE391" s="518"/>
      <c r="AF391" s="518"/>
      <c r="AG391" s="518"/>
      <c r="AH391" s="518"/>
      <c r="AI391" s="518"/>
      <c r="AJ391" s="518"/>
      <c r="AK391" s="518"/>
      <c r="AL391" s="518"/>
      <c r="AM391" s="518"/>
      <c r="AN391" s="518"/>
      <c r="AO391" s="518"/>
      <c r="AP391" s="518"/>
      <c r="AQ391" s="518"/>
      <c r="AR391" s="518"/>
      <c r="AS391" s="518"/>
      <c r="AT391" s="518"/>
    </row>
    <row r="392" spans="3:46" ht="12.75" customHeight="1">
      <c r="C392" s="518"/>
      <c r="D392" s="518"/>
      <c r="E392" s="518"/>
      <c r="F392" s="518"/>
      <c r="G392" s="518"/>
      <c r="H392" s="518"/>
      <c r="I392" s="518"/>
      <c r="J392" s="518"/>
      <c r="K392" s="518"/>
      <c r="L392" s="518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  <c r="AB392" s="518"/>
      <c r="AC392" s="518"/>
      <c r="AD392" s="518"/>
      <c r="AE392" s="518"/>
      <c r="AF392" s="518"/>
      <c r="AG392" s="518"/>
      <c r="AH392" s="518"/>
      <c r="AI392" s="518"/>
      <c r="AJ392" s="518"/>
      <c r="AK392" s="518"/>
      <c r="AL392" s="518"/>
      <c r="AM392" s="518"/>
      <c r="AN392" s="518"/>
      <c r="AO392" s="518"/>
      <c r="AP392" s="518"/>
      <c r="AQ392" s="518"/>
      <c r="AR392" s="518"/>
      <c r="AS392" s="518"/>
      <c r="AT392" s="518"/>
    </row>
    <row r="393" spans="3:46" ht="12.75" customHeight="1">
      <c r="C393" s="518"/>
      <c r="D393" s="518"/>
      <c r="E393" s="518"/>
      <c r="F393" s="518"/>
      <c r="G393" s="518"/>
      <c r="H393" s="518"/>
      <c r="I393" s="518"/>
      <c r="J393" s="518"/>
      <c r="K393" s="518"/>
      <c r="L393" s="518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  <c r="AB393" s="518"/>
      <c r="AC393" s="518"/>
      <c r="AD393" s="518"/>
      <c r="AE393" s="518"/>
      <c r="AF393" s="518"/>
      <c r="AG393" s="518"/>
      <c r="AH393" s="518"/>
      <c r="AI393" s="518"/>
      <c r="AJ393" s="518"/>
      <c r="AK393" s="518"/>
      <c r="AL393" s="518"/>
      <c r="AM393" s="518"/>
      <c r="AN393" s="518"/>
      <c r="AO393" s="518"/>
      <c r="AP393" s="518"/>
      <c r="AQ393" s="518"/>
      <c r="AR393" s="518"/>
      <c r="AS393" s="518"/>
      <c r="AT393" s="518"/>
    </row>
    <row r="394" spans="3:46" ht="12.75" customHeight="1">
      <c r="C394" s="518"/>
      <c r="D394" s="518"/>
      <c r="E394" s="518"/>
      <c r="F394" s="518"/>
      <c r="G394" s="518"/>
      <c r="H394" s="518"/>
      <c r="I394" s="518"/>
      <c r="J394" s="518"/>
      <c r="K394" s="518"/>
      <c r="L394" s="518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  <c r="AB394" s="518"/>
      <c r="AC394" s="518"/>
      <c r="AD394" s="518"/>
      <c r="AE394" s="518"/>
      <c r="AF394" s="518"/>
      <c r="AG394" s="518"/>
      <c r="AH394" s="518"/>
      <c r="AI394" s="518"/>
      <c r="AJ394" s="518"/>
      <c r="AK394" s="518"/>
      <c r="AL394" s="518"/>
      <c r="AM394" s="518"/>
      <c r="AN394" s="518"/>
      <c r="AO394" s="518"/>
      <c r="AP394" s="518"/>
      <c r="AQ394" s="518"/>
      <c r="AR394" s="518"/>
      <c r="AS394" s="518"/>
      <c r="AT394" s="518"/>
    </row>
    <row r="395" spans="3:46" ht="12.75" customHeight="1">
      <c r="C395" s="518"/>
      <c r="D395" s="518"/>
      <c r="E395" s="518"/>
      <c r="F395" s="518"/>
      <c r="G395" s="518"/>
      <c r="H395" s="518"/>
      <c r="I395" s="518"/>
      <c r="J395" s="518"/>
      <c r="K395" s="518"/>
      <c r="L395" s="518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  <c r="AB395" s="518"/>
      <c r="AC395" s="518"/>
      <c r="AD395" s="518"/>
      <c r="AE395" s="518"/>
      <c r="AF395" s="518"/>
      <c r="AG395" s="518"/>
      <c r="AH395" s="518"/>
      <c r="AI395" s="518"/>
      <c r="AJ395" s="518"/>
      <c r="AK395" s="518"/>
      <c r="AL395" s="518"/>
      <c r="AM395" s="518"/>
      <c r="AN395" s="518"/>
      <c r="AO395" s="518"/>
      <c r="AP395" s="518"/>
      <c r="AQ395" s="518"/>
      <c r="AR395" s="518"/>
      <c r="AS395" s="518"/>
      <c r="AT395" s="518"/>
    </row>
    <row r="396" spans="3:46" ht="12.75" customHeight="1">
      <c r="C396" s="518"/>
      <c r="D396" s="518"/>
      <c r="E396" s="518"/>
      <c r="F396" s="518"/>
      <c r="G396" s="518"/>
      <c r="H396" s="518"/>
      <c r="I396" s="518"/>
      <c r="J396" s="518"/>
      <c r="K396" s="518"/>
      <c r="L396" s="518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  <c r="AB396" s="518"/>
      <c r="AC396" s="518"/>
      <c r="AD396" s="518"/>
      <c r="AE396" s="518"/>
      <c r="AF396" s="518"/>
      <c r="AG396" s="518"/>
      <c r="AH396" s="518"/>
      <c r="AI396" s="518"/>
      <c r="AJ396" s="518"/>
      <c r="AK396" s="518"/>
      <c r="AL396" s="518"/>
      <c r="AM396" s="518"/>
      <c r="AN396" s="518"/>
      <c r="AO396" s="518"/>
      <c r="AP396" s="518"/>
      <c r="AQ396" s="518"/>
      <c r="AR396" s="518"/>
      <c r="AS396" s="518"/>
      <c r="AT396" s="518"/>
    </row>
    <row r="397" spans="3:46" ht="12.75" customHeight="1">
      <c r="C397" s="518"/>
      <c r="D397" s="518"/>
      <c r="E397" s="518"/>
      <c r="F397" s="518"/>
      <c r="G397" s="518"/>
      <c r="H397" s="518"/>
      <c r="I397" s="518"/>
      <c r="J397" s="518"/>
      <c r="K397" s="518"/>
      <c r="L397" s="518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  <c r="AB397" s="518"/>
      <c r="AC397" s="518"/>
      <c r="AD397" s="518"/>
      <c r="AE397" s="518"/>
      <c r="AF397" s="518"/>
      <c r="AG397" s="518"/>
      <c r="AH397" s="518"/>
      <c r="AI397" s="518"/>
      <c r="AJ397" s="518"/>
      <c r="AK397" s="518"/>
      <c r="AL397" s="518"/>
      <c r="AM397" s="518"/>
      <c r="AN397" s="518"/>
      <c r="AO397" s="518"/>
      <c r="AP397" s="518"/>
      <c r="AQ397" s="518"/>
      <c r="AR397" s="518"/>
      <c r="AS397" s="518"/>
      <c r="AT397" s="518"/>
    </row>
    <row r="398" spans="3:46" ht="12.75" customHeight="1">
      <c r="C398" s="518"/>
      <c r="D398" s="518"/>
      <c r="E398" s="518"/>
      <c r="F398" s="518"/>
      <c r="G398" s="518"/>
      <c r="H398" s="518"/>
      <c r="I398" s="518"/>
      <c r="J398" s="518"/>
      <c r="K398" s="518"/>
      <c r="L398" s="518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  <c r="AB398" s="518"/>
      <c r="AC398" s="518"/>
      <c r="AD398" s="518"/>
      <c r="AE398" s="518"/>
      <c r="AF398" s="518"/>
      <c r="AG398" s="518"/>
      <c r="AH398" s="518"/>
      <c r="AI398" s="518"/>
      <c r="AJ398" s="518"/>
      <c r="AK398" s="518"/>
      <c r="AL398" s="518"/>
      <c r="AM398" s="518"/>
      <c r="AN398" s="518"/>
      <c r="AO398" s="518"/>
      <c r="AP398" s="518"/>
      <c r="AQ398" s="518"/>
      <c r="AR398" s="518"/>
      <c r="AS398" s="518"/>
      <c r="AT398" s="518"/>
    </row>
    <row r="399" spans="3:46" ht="12.75" customHeight="1">
      <c r="C399" s="518"/>
      <c r="D399" s="518"/>
      <c r="E399" s="518"/>
      <c r="F399" s="518"/>
      <c r="G399" s="518"/>
      <c r="H399" s="518"/>
      <c r="I399" s="518"/>
      <c r="J399" s="518"/>
      <c r="K399" s="518"/>
      <c r="L399" s="518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  <c r="AB399" s="518"/>
      <c r="AC399" s="518"/>
      <c r="AD399" s="518"/>
      <c r="AE399" s="518"/>
      <c r="AF399" s="518"/>
      <c r="AG399" s="518"/>
      <c r="AH399" s="518"/>
      <c r="AI399" s="518"/>
      <c r="AJ399" s="518"/>
      <c r="AK399" s="518"/>
      <c r="AL399" s="518"/>
      <c r="AM399" s="518"/>
      <c r="AN399" s="518"/>
      <c r="AO399" s="518"/>
      <c r="AP399" s="518"/>
      <c r="AQ399" s="518"/>
      <c r="AR399" s="518"/>
      <c r="AS399" s="518"/>
      <c r="AT399" s="518"/>
    </row>
    <row r="400" spans="3:46" ht="12.75" customHeight="1">
      <c r="C400" s="518"/>
      <c r="D400" s="518"/>
      <c r="E400" s="518"/>
      <c r="F400" s="518"/>
      <c r="G400" s="518"/>
      <c r="H400" s="518"/>
      <c r="I400" s="518"/>
      <c r="J400" s="518"/>
      <c r="K400" s="518"/>
      <c r="L400" s="518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  <c r="AB400" s="518"/>
      <c r="AC400" s="518"/>
      <c r="AD400" s="518"/>
      <c r="AE400" s="518"/>
      <c r="AF400" s="518"/>
      <c r="AG400" s="518"/>
      <c r="AH400" s="518"/>
      <c r="AI400" s="518"/>
      <c r="AJ400" s="518"/>
      <c r="AK400" s="518"/>
      <c r="AL400" s="518"/>
      <c r="AM400" s="518"/>
      <c r="AN400" s="518"/>
      <c r="AO400" s="518"/>
      <c r="AP400" s="518"/>
      <c r="AQ400" s="518"/>
      <c r="AR400" s="518"/>
      <c r="AS400" s="518"/>
      <c r="AT400" s="518"/>
    </row>
    <row r="401" spans="3:46" ht="12.75" customHeight="1">
      <c r="C401" s="518"/>
      <c r="D401" s="518"/>
      <c r="E401" s="518"/>
      <c r="F401" s="518"/>
      <c r="G401" s="518"/>
      <c r="H401" s="518"/>
      <c r="I401" s="518"/>
      <c r="J401" s="518"/>
      <c r="K401" s="518"/>
      <c r="L401" s="518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  <c r="AB401" s="518"/>
      <c r="AC401" s="518"/>
      <c r="AD401" s="518"/>
      <c r="AE401" s="518"/>
      <c r="AF401" s="518"/>
      <c r="AG401" s="518"/>
      <c r="AH401" s="518"/>
      <c r="AI401" s="518"/>
      <c r="AJ401" s="518"/>
      <c r="AK401" s="518"/>
      <c r="AL401" s="518"/>
      <c r="AM401" s="518"/>
      <c r="AN401" s="518"/>
      <c r="AO401" s="518"/>
      <c r="AP401" s="518"/>
      <c r="AQ401" s="518"/>
      <c r="AR401" s="518"/>
      <c r="AS401" s="518"/>
      <c r="AT401" s="518"/>
    </row>
    <row r="402" spans="3:46" ht="12.75" customHeight="1">
      <c r="C402" s="518"/>
      <c r="D402" s="518"/>
      <c r="E402" s="518"/>
      <c r="F402" s="518"/>
      <c r="G402" s="518"/>
      <c r="H402" s="518"/>
      <c r="I402" s="518"/>
      <c r="J402" s="518"/>
      <c r="K402" s="518"/>
      <c r="L402" s="518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  <c r="AB402" s="518"/>
      <c r="AC402" s="518"/>
      <c r="AD402" s="518"/>
      <c r="AE402" s="518"/>
      <c r="AF402" s="518"/>
      <c r="AG402" s="518"/>
      <c r="AH402" s="518"/>
      <c r="AI402" s="518"/>
      <c r="AJ402" s="518"/>
      <c r="AK402" s="518"/>
      <c r="AL402" s="518"/>
      <c r="AM402" s="518"/>
      <c r="AN402" s="518"/>
      <c r="AO402" s="518"/>
      <c r="AP402" s="518"/>
      <c r="AQ402" s="518"/>
      <c r="AR402" s="518"/>
      <c r="AS402" s="518"/>
      <c r="AT402" s="518"/>
    </row>
    <row r="403" spans="3:46" ht="12.75" customHeight="1">
      <c r="C403" s="518"/>
      <c r="D403" s="518"/>
      <c r="E403" s="518"/>
      <c r="F403" s="518"/>
      <c r="G403" s="518"/>
      <c r="H403" s="518"/>
      <c r="I403" s="518"/>
      <c r="J403" s="518"/>
      <c r="K403" s="518"/>
      <c r="L403" s="518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  <c r="AB403" s="518"/>
      <c r="AC403" s="518"/>
      <c r="AD403" s="518"/>
      <c r="AE403" s="518"/>
      <c r="AF403" s="518"/>
      <c r="AG403" s="518"/>
      <c r="AH403" s="518"/>
      <c r="AI403" s="518"/>
      <c r="AJ403" s="518"/>
      <c r="AK403" s="518"/>
      <c r="AL403" s="518"/>
      <c r="AM403" s="518"/>
      <c r="AN403" s="518"/>
      <c r="AO403" s="518"/>
      <c r="AP403" s="518"/>
      <c r="AQ403" s="518"/>
      <c r="AR403" s="518"/>
      <c r="AS403" s="518"/>
      <c r="AT403" s="518"/>
    </row>
    <row r="404" spans="3:46" ht="12.75" customHeight="1">
      <c r="C404" s="518"/>
      <c r="D404" s="518"/>
      <c r="E404" s="518"/>
      <c r="F404" s="518"/>
      <c r="G404" s="518"/>
      <c r="H404" s="518"/>
      <c r="I404" s="518"/>
      <c r="J404" s="518"/>
      <c r="K404" s="518"/>
      <c r="L404" s="518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  <c r="AB404" s="518"/>
      <c r="AC404" s="518"/>
      <c r="AD404" s="518"/>
      <c r="AE404" s="518"/>
      <c r="AF404" s="518"/>
      <c r="AG404" s="518"/>
      <c r="AH404" s="518"/>
      <c r="AI404" s="518"/>
      <c r="AJ404" s="518"/>
      <c r="AK404" s="518"/>
      <c r="AL404" s="518"/>
      <c r="AM404" s="518"/>
      <c r="AN404" s="518"/>
      <c r="AO404" s="518"/>
      <c r="AP404" s="518"/>
      <c r="AQ404" s="518"/>
      <c r="AR404" s="518"/>
      <c r="AS404" s="518"/>
      <c r="AT404" s="518"/>
    </row>
    <row r="405" spans="3:46" ht="12.75" customHeight="1">
      <c r="C405" s="518"/>
      <c r="D405" s="518"/>
      <c r="E405" s="518"/>
      <c r="F405" s="518"/>
      <c r="G405" s="518"/>
      <c r="H405" s="518"/>
      <c r="I405" s="518"/>
      <c r="J405" s="518"/>
      <c r="K405" s="518"/>
      <c r="L405" s="518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  <c r="AB405" s="518"/>
      <c r="AC405" s="518"/>
      <c r="AD405" s="518"/>
      <c r="AE405" s="518"/>
      <c r="AF405" s="518"/>
      <c r="AG405" s="518"/>
      <c r="AH405" s="518"/>
      <c r="AI405" s="518"/>
      <c r="AJ405" s="518"/>
      <c r="AK405" s="518"/>
      <c r="AL405" s="518"/>
      <c r="AM405" s="518"/>
      <c r="AN405" s="518"/>
      <c r="AO405" s="518"/>
      <c r="AP405" s="518"/>
      <c r="AQ405" s="518"/>
      <c r="AR405" s="518"/>
      <c r="AS405" s="518"/>
      <c r="AT405" s="518"/>
    </row>
    <row r="406" spans="3:46" ht="12.75" customHeight="1">
      <c r="C406" s="518"/>
      <c r="D406" s="518"/>
      <c r="E406" s="518"/>
      <c r="F406" s="518"/>
      <c r="G406" s="518"/>
      <c r="H406" s="518"/>
      <c r="I406" s="518"/>
      <c r="J406" s="518"/>
      <c r="K406" s="518"/>
      <c r="L406" s="518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  <c r="AB406" s="518"/>
      <c r="AC406" s="518"/>
      <c r="AD406" s="518"/>
      <c r="AE406" s="518"/>
      <c r="AF406" s="518"/>
      <c r="AG406" s="518"/>
      <c r="AH406" s="518"/>
      <c r="AI406" s="518"/>
      <c r="AJ406" s="518"/>
      <c r="AK406" s="518"/>
      <c r="AL406" s="518"/>
      <c r="AM406" s="518"/>
      <c r="AN406" s="518"/>
      <c r="AO406" s="518"/>
      <c r="AP406" s="518"/>
      <c r="AQ406" s="518"/>
      <c r="AR406" s="518"/>
      <c r="AS406" s="518"/>
      <c r="AT406" s="518"/>
    </row>
    <row r="407" spans="3:46" ht="12.75" customHeight="1">
      <c r="C407" s="518"/>
      <c r="D407" s="518"/>
      <c r="E407" s="518"/>
      <c r="F407" s="518"/>
      <c r="G407" s="518"/>
      <c r="H407" s="518"/>
      <c r="I407" s="518"/>
      <c r="J407" s="518"/>
      <c r="K407" s="518"/>
      <c r="L407" s="518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  <c r="AB407" s="518"/>
      <c r="AC407" s="518"/>
      <c r="AD407" s="518"/>
      <c r="AE407" s="518"/>
      <c r="AF407" s="518"/>
      <c r="AG407" s="518"/>
      <c r="AH407" s="518"/>
      <c r="AI407" s="518"/>
      <c r="AJ407" s="518"/>
      <c r="AK407" s="518"/>
      <c r="AL407" s="518"/>
      <c r="AM407" s="518"/>
      <c r="AN407" s="518"/>
      <c r="AO407" s="518"/>
      <c r="AP407" s="518"/>
      <c r="AQ407" s="518"/>
      <c r="AR407" s="518"/>
      <c r="AS407" s="518"/>
      <c r="AT407" s="518"/>
    </row>
    <row r="408" spans="3:46" ht="12.75" customHeight="1">
      <c r="C408" s="518"/>
      <c r="D408" s="518"/>
      <c r="E408" s="518"/>
      <c r="F408" s="518"/>
      <c r="G408" s="518"/>
      <c r="H408" s="518"/>
      <c r="I408" s="518"/>
      <c r="J408" s="518"/>
      <c r="K408" s="518"/>
      <c r="L408" s="518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  <c r="AB408" s="518"/>
      <c r="AC408" s="518"/>
      <c r="AD408" s="518"/>
      <c r="AE408" s="518"/>
      <c r="AF408" s="518"/>
      <c r="AG408" s="518"/>
      <c r="AH408" s="518"/>
      <c r="AI408" s="518"/>
      <c r="AJ408" s="518"/>
      <c r="AK408" s="518"/>
      <c r="AL408" s="518"/>
      <c r="AM408" s="518"/>
      <c r="AN408" s="518"/>
      <c r="AO408" s="518"/>
      <c r="AP408" s="518"/>
      <c r="AQ408" s="518"/>
      <c r="AR408" s="518"/>
      <c r="AS408" s="518"/>
      <c r="AT408" s="518"/>
    </row>
    <row r="409" spans="3:46" ht="12.75" customHeight="1">
      <c r="C409" s="518"/>
      <c r="D409" s="518"/>
      <c r="E409" s="518"/>
      <c r="F409" s="518"/>
      <c r="G409" s="518"/>
      <c r="H409" s="518"/>
      <c r="I409" s="518"/>
      <c r="J409" s="518"/>
      <c r="K409" s="518"/>
      <c r="L409" s="518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  <c r="AB409" s="518"/>
      <c r="AC409" s="518"/>
      <c r="AD409" s="518"/>
      <c r="AE409" s="518"/>
      <c r="AF409" s="518"/>
      <c r="AG409" s="518"/>
      <c r="AH409" s="518"/>
      <c r="AI409" s="518"/>
      <c r="AJ409" s="518"/>
      <c r="AK409" s="518"/>
      <c r="AL409" s="518"/>
      <c r="AM409" s="518"/>
      <c r="AN409" s="518"/>
      <c r="AO409" s="518"/>
      <c r="AP409" s="518"/>
      <c r="AQ409" s="518"/>
      <c r="AR409" s="518"/>
      <c r="AS409" s="518"/>
      <c r="AT409" s="518"/>
    </row>
    <row r="410" spans="3:46" ht="12.75" customHeight="1">
      <c r="C410" s="518"/>
      <c r="D410" s="518"/>
      <c r="E410" s="518"/>
      <c r="F410" s="518"/>
      <c r="G410" s="518"/>
      <c r="H410" s="518"/>
      <c r="I410" s="518"/>
      <c r="J410" s="518"/>
      <c r="K410" s="518"/>
      <c r="L410" s="518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  <c r="AB410" s="518"/>
      <c r="AC410" s="518"/>
      <c r="AD410" s="518"/>
      <c r="AE410" s="518"/>
      <c r="AF410" s="518"/>
      <c r="AG410" s="518"/>
      <c r="AH410" s="518"/>
      <c r="AI410" s="518"/>
      <c r="AJ410" s="518"/>
      <c r="AK410" s="518"/>
      <c r="AL410" s="518"/>
      <c r="AM410" s="518"/>
      <c r="AN410" s="518"/>
      <c r="AO410" s="518"/>
      <c r="AP410" s="518"/>
      <c r="AQ410" s="518"/>
      <c r="AR410" s="518"/>
      <c r="AS410" s="518"/>
      <c r="AT410" s="518"/>
    </row>
    <row r="411" spans="3:46" ht="12.75" customHeight="1">
      <c r="C411" s="518"/>
      <c r="D411" s="518"/>
      <c r="E411" s="518"/>
      <c r="F411" s="518"/>
      <c r="G411" s="518"/>
      <c r="H411" s="518"/>
      <c r="I411" s="518"/>
      <c r="J411" s="518"/>
      <c r="K411" s="518"/>
      <c r="L411" s="518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  <c r="AB411" s="518"/>
      <c r="AC411" s="518"/>
      <c r="AD411" s="518"/>
      <c r="AE411" s="518"/>
      <c r="AF411" s="518"/>
      <c r="AG411" s="518"/>
      <c r="AH411" s="518"/>
      <c r="AI411" s="518"/>
      <c r="AJ411" s="518"/>
      <c r="AK411" s="518"/>
      <c r="AL411" s="518"/>
      <c r="AM411" s="518"/>
      <c r="AN411" s="518"/>
      <c r="AO411" s="518"/>
      <c r="AP411" s="518"/>
      <c r="AQ411" s="518"/>
      <c r="AR411" s="518"/>
      <c r="AS411" s="518"/>
      <c r="AT411" s="518"/>
    </row>
    <row r="412" spans="3:46" ht="12.75" customHeight="1">
      <c r="C412" s="518"/>
      <c r="D412" s="518"/>
      <c r="E412" s="518"/>
      <c r="F412" s="518"/>
      <c r="G412" s="518"/>
      <c r="H412" s="518"/>
      <c r="I412" s="518"/>
      <c r="J412" s="518"/>
      <c r="K412" s="518"/>
      <c r="L412" s="518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  <c r="AB412" s="518"/>
      <c r="AC412" s="518"/>
      <c r="AD412" s="518"/>
      <c r="AE412" s="518"/>
      <c r="AF412" s="518"/>
      <c r="AG412" s="518"/>
      <c r="AH412" s="518"/>
      <c r="AI412" s="518"/>
      <c r="AJ412" s="518"/>
      <c r="AK412" s="518"/>
      <c r="AL412" s="518"/>
      <c r="AM412" s="518"/>
      <c r="AN412" s="518"/>
      <c r="AO412" s="518"/>
      <c r="AP412" s="518"/>
      <c r="AQ412" s="518"/>
      <c r="AR412" s="518"/>
      <c r="AS412" s="518"/>
      <c r="AT412" s="518"/>
    </row>
    <row r="413" spans="3:46" ht="12.75" customHeight="1">
      <c r="C413" s="518"/>
      <c r="D413" s="518"/>
      <c r="E413" s="518"/>
      <c r="F413" s="518"/>
      <c r="G413" s="518"/>
      <c r="H413" s="518"/>
      <c r="I413" s="518"/>
      <c r="J413" s="518"/>
      <c r="K413" s="518"/>
      <c r="L413" s="518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</row>
    <row r="414" spans="3:46" ht="12.75" customHeight="1">
      <c r="C414" s="518"/>
      <c r="D414" s="518"/>
      <c r="E414" s="518"/>
      <c r="F414" s="518"/>
      <c r="G414" s="518"/>
      <c r="H414" s="518"/>
      <c r="I414" s="518"/>
      <c r="J414" s="518"/>
      <c r="K414" s="518"/>
      <c r="L414" s="518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  <c r="AB414" s="518"/>
      <c r="AC414" s="518"/>
      <c r="AD414" s="518"/>
      <c r="AE414" s="518"/>
      <c r="AF414" s="518"/>
      <c r="AG414" s="518"/>
      <c r="AH414" s="518"/>
      <c r="AI414" s="518"/>
      <c r="AJ414" s="518"/>
      <c r="AK414" s="518"/>
      <c r="AL414" s="518"/>
      <c r="AM414" s="518"/>
      <c r="AN414" s="518"/>
      <c r="AO414" s="518"/>
      <c r="AP414" s="518"/>
      <c r="AQ414" s="518"/>
      <c r="AR414" s="518"/>
      <c r="AS414" s="518"/>
      <c r="AT414" s="518"/>
    </row>
    <row r="415" spans="3:46" ht="12.75" customHeight="1">
      <c r="C415" s="518"/>
      <c r="D415" s="518"/>
      <c r="E415" s="518"/>
      <c r="F415" s="518"/>
      <c r="G415" s="518"/>
      <c r="H415" s="518"/>
      <c r="I415" s="518"/>
      <c r="J415" s="518"/>
      <c r="K415" s="518"/>
      <c r="L415" s="518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  <c r="AB415" s="518"/>
      <c r="AC415" s="518"/>
      <c r="AD415" s="518"/>
      <c r="AE415" s="518"/>
      <c r="AF415" s="518"/>
      <c r="AG415" s="518"/>
      <c r="AH415" s="518"/>
      <c r="AI415" s="518"/>
      <c r="AJ415" s="518"/>
      <c r="AK415" s="518"/>
      <c r="AL415" s="518"/>
      <c r="AM415" s="518"/>
      <c r="AN415" s="518"/>
      <c r="AO415" s="518"/>
      <c r="AP415" s="518"/>
      <c r="AQ415" s="518"/>
      <c r="AR415" s="518"/>
      <c r="AS415" s="518"/>
      <c r="AT415" s="518"/>
    </row>
    <row r="416" spans="3:46" ht="12.75" customHeight="1">
      <c r="C416" s="518"/>
      <c r="D416" s="518"/>
      <c r="E416" s="518"/>
      <c r="F416" s="518"/>
      <c r="G416" s="518"/>
      <c r="H416" s="518"/>
      <c r="I416" s="518"/>
      <c r="J416" s="518"/>
      <c r="K416" s="518"/>
      <c r="L416" s="518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  <c r="AB416" s="518"/>
      <c r="AC416" s="518"/>
      <c r="AD416" s="518"/>
      <c r="AE416" s="518"/>
      <c r="AF416" s="518"/>
      <c r="AG416" s="518"/>
      <c r="AH416" s="518"/>
      <c r="AI416" s="518"/>
      <c r="AJ416" s="518"/>
      <c r="AK416" s="518"/>
      <c r="AL416" s="518"/>
      <c r="AM416" s="518"/>
      <c r="AN416" s="518"/>
      <c r="AO416" s="518"/>
      <c r="AP416" s="518"/>
      <c r="AQ416" s="518"/>
      <c r="AR416" s="518"/>
      <c r="AS416" s="518"/>
      <c r="AT416" s="518"/>
    </row>
    <row r="417" spans="3:46" ht="12.75" customHeight="1">
      <c r="C417" s="518"/>
      <c r="D417" s="518"/>
      <c r="E417" s="518"/>
      <c r="F417" s="518"/>
      <c r="G417" s="518"/>
      <c r="H417" s="518"/>
      <c r="I417" s="518"/>
      <c r="J417" s="518"/>
      <c r="K417" s="518"/>
      <c r="L417" s="518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  <c r="AB417" s="518"/>
      <c r="AC417" s="518"/>
      <c r="AD417" s="518"/>
      <c r="AE417" s="518"/>
      <c r="AF417" s="518"/>
      <c r="AG417" s="518"/>
      <c r="AH417" s="518"/>
      <c r="AI417" s="518"/>
      <c r="AJ417" s="518"/>
      <c r="AK417" s="518"/>
      <c r="AL417" s="518"/>
      <c r="AM417" s="518"/>
      <c r="AN417" s="518"/>
      <c r="AO417" s="518"/>
      <c r="AP417" s="518"/>
      <c r="AQ417" s="518"/>
      <c r="AR417" s="518"/>
      <c r="AS417" s="518"/>
      <c r="AT417" s="518"/>
    </row>
    <row r="418" spans="3:46" ht="12.75" customHeight="1">
      <c r="C418" s="518"/>
      <c r="D418" s="518"/>
      <c r="E418" s="518"/>
      <c r="F418" s="518"/>
      <c r="G418" s="518"/>
      <c r="H418" s="518"/>
      <c r="I418" s="518"/>
      <c r="J418" s="518"/>
      <c r="K418" s="518"/>
      <c r="L418" s="518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  <c r="AB418" s="518"/>
      <c r="AC418" s="518"/>
      <c r="AD418" s="518"/>
      <c r="AE418" s="518"/>
      <c r="AF418" s="518"/>
      <c r="AG418" s="518"/>
      <c r="AH418" s="518"/>
      <c r="AI418" s="518"/>
      <c r="AJ418" s="518"/>
      <c r="AK418" s="518"/>
      <c r="AL418" s="518"/>
      <c r="AM418" s="518"/>
      <c r="AN418" s="518"/>
      <c r="AO418" s="518"/>
      <c r="AP418" s="518"/>
      <c r="AQ418" s="518"/>
      <c r="AR418" s="518"/>
      <c r="AS418" s="518"/>
      <c r="AT418" s="518"/>
    </row>
    <row r="419" spans="3:46" ht="12.75" customHeight="1">
      <c r="C419" s="518"/>
      <c r="D419" s="518"/>
      <c r="E419" s="518"/>
      <c r="F419" s="518"/>
      <c r="G419" s="518"/>
      <c r="H419" s="518"/>
      <c r="I419" s="518"/>
      <c r="J419" s="518"/>
      <c r="K419" s="518"/>
      <c r="L419" s="518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  <c r="AB419" s="518"/>
      <c r="AC419" s="518"/>
      <c r="AD419" s="518"/>
      <c r="AE419" s="518"/>
      <c r="AF419" s="518"/>
      <c r="AG419" s="518"/>
      <c r="AH419" s="518"/>
      <c r="AI419" s="518"/>
      <c r="AJ419" s="518"/>
      <c r="AK419" s="518"/>
      <c r="AL419" s="518"/>
      <c r="AM419" s="518"/>
      <c r="AN419" s="518"/>
      <c r="AO419" s="518"/>
      <c r="AP419" s="518"/>
      <c r="AQ419" s="518"/>
      <c r="AR419" s="518"/>
      <c r="AS419" s="518"/>
      <c r="AT419" s="518"/>
    </row>
    <row r="420" spans="3:46" ht="12.75" customHeight="1">
      <c r="C420" s="518"/>
      <c r="D420" s="518"/>
      <c r="E420" s="518"/>
      <c r="F420" s="518"/>
      <c r="G420" s="518"/>
      <c r="H420" s="518"/>
      <c r="I420" s="518"/>
      <c r="J420" s="518"/>
      <c r="K420" s="518"/>
      <c r="L420" s="518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  <c r="AB420" s="518"/>
      <c r="AC420" s="518"/>
      <c r="AD420" s="518"/>
      <c r="AE420" s="518"/>
      <c r="AF420" s="518"/>
      <c r="AG420" s="518"/>
      <c r="AH420" s="518"/>
      <c r="AI420" s="518"/>
      <c r="AJ420" s="518"/>
      <c r="AK420" s="518"/>
      <c r="AL420" s="518"/>
      <c r="AM420" s="518"/>
      <c r="AN420" s="518"/>
      <c r="AO420" s="518"/>
      <c r="AP420" s="518"/>
      <c r="AQ420" s="518"/>
      <c r="AR420" s="518"/>
      <c r="AS420" s="518"/>
      <c r="AT420" s="518"/>
    </row>
    <row r="421" spans="3:46" ht="12.75" customHeight="1">
      <c r="C421" s="518"/>
      <c r="D421" s="518"/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  <c r="AB421" s="518"/>
      <c r="AC421" s="518"/>
      <c r="AD421" s="518"/>
      <c r="AE421" s="518"/>
      <c r="AF421" s="518"/>
      <c r="AG421" s="518"/>
      <c r="AH421" s="518"/>
      <c r="AI421" s="518"/>
      <c r="AJ421" s="518"/>
      <c r="AK421" s="518"/>
      <c r="AL421" s="518"/>
      <c r="AM421" s="518"/>
      <c r="AN421" s="518"/>
      <c r="AO421" s="518"/>
      <c r="AP421" s="518"/>
      <c r="AQ421" s="518"/>
      <c r="AR421" s="518"/>
      <c r="AS421" s="518"/>
      <c r="AT421" s="518"/>
    </row>
    <row r="422" spans="3:46" ht="12.75" customHeight="1">
      <c r="C422" s="518"/>
      <c r="D422" s="518"/>
      <c r="E422" s="518"/>
      <c r="F422" s="518"/>
      <c r="G422" s="518"/>
      <c r="H422" s="518"/>
      <c r="I422" s="518"/>
      <c r="J422" s="518"/>
      <c r="K422" s="518"/>
      <c r="L422" s="518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  <c r="AB422" s="518"/>
      <c r="AC422" s="518"/>
      <c r="AD422" s="518"/>
      <c r="AE422" s="518"/>
      <c r="AF422" s="518"/>
      <c r="AG422" s="518"/>
      <c r="AH422" s="518"/>
      <c r="AI422" s="518"/>
      <c r="AJ422" s="518"/>
      <c r="AK422" s="518"/>
      <c r="AL422" s="518"/>
      <c r="AM422" s="518"/>
      <c r="AN422" s="518"/>
      <c r="AO422" s="518"/>
      <c r="AP422" s="518"/>
      <c r="AQ422" s="518"/>
      <c r="AR422" s="518"/>
      <c r="AS422" s="518"/>
      <c r="AT422" s="518"/>
    </row>
    <row r="423" spans="3:46" ht="12.75" customHeight="1">
      <c r="C423" s="518"/>
      <c r="D423" s="518"/>
      <c r="E423" s="518"/>
      <c r="F423" s="518"/>
      <c r="G423" s="518"/>
      <c r="H423" s="518"/>
      <c r="I423" s="518"/>
      <c r="J423" s="518"/>
      <c r="K423" s="518"/>
      <c r="L423" s="518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  <c r="AB423" s="518"/>
      <c r="AC423" s="518"/>
      <c r="AD423" s="518"/>
      <c r="AE423" s="518"/>
      <c r="AF423" s="518"/>
      <c r="AG423" s="518"/>
      <c r="AH423" s="518"/>
      <c r="AI423" s="518"/>
      <c r="AJ423" s="518"/>
      <c r="AK423" s="518"/>
      <c r="AL423" s="518"/>
      <c r="AM423" s="518"/>
      <c r="AN423" s="518"/>
      <c r="AO423" s="518"/>
      <c r="AP423" s="518"/>
      <c r="AQ423" s="518"/>
      <c r="AR423" s="518"/>
      <c r="AS423" s="518"/>
      <c r="AT423" s="518"/>
    </row>
    <row r="424" spans="3:46" ht="12.75" customHeight="1">
      <c r="C424" s="518"/>
      <c r="D424" s="518"/>
      <c r="E424" s="518"/>
      <c r="F424" s="518"/>
      <c r="G424" s="518"/>
      <c r="H424" s="518"/>
      <c r="I424" s="518"/>
      <c r="J424" s="518"/>
      <c r="K424" s="518"/>
      <c r="L424" s="518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  <c r="AB424" s="518"/>
      <c r="AC424" s="518"/>
      <c r="AD424" s="518"/>
      <c r="AE424" s="518"/>
      <c r="AF424" s="518"/>
      <c r="AG424" s="518"/>
      <c r="AH424" s="518"/>
      <c r="AI424" s="518"/>
      <c r="AJ424" s="518"/>
      <c r="AK424" s="518"/>
      <c r="AL424" s="518"/>
      <c r="AM424" s="518"/>
      <c r="AN424" s="518"/>
      <c r="AO424" s="518"/>
      <c r="AP424" s="518"/>
      <c r="AQ424" s="518"/>
      <c r="AR424" s="518"/>
      <c r="AS424" s="518"/>
      <c r="AT424" s="518"/>
    </row>
    <row r="425" spans="3:46" ht="12.75" customHeight="1">
      <c r="C425" s="518"/>
      <c r="D425" s="518"/>
      <c r="E425" s="518"/>
      <c r="F425" s="518"/>
      <c r="G425" s="518"/>
      <c r="H425" s="518"/>
      <c r="I425" s="518"/>
      <c r="J425" s="518"/>
      <c r="K425" s="518"/>
      <c r="L425" s="518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  <c r="AB425" s="518"/>
      <c r="AC425" s="518"/>
      <c r="AD425" s="518"/>
      <c r="AE425" s="518"/>
      <c r="AF425" s="518"/>
      <c r="AG425" s="518"/>
      <c r="AH425" s="518"/>
      <c r="AI425" s="518"/>
      <c r="AJ425" s="518"/>
      <c r="AK425" s="518"/>
      <c r="AL425" s="518"/>
      <c r="AM425" s="518"/>
      <c r="AN425" s="518"/>
      <c r="AO425" s="518"/>
      <c r="AP425" s="518"/>
      <c r="AQ425" s="518"/>
      <c r="AR425" s="518"/>
      <c r="AS425" s="518"/>
      <c r="AT425" s="518"/>
    </row>
    <row r="426" spans="3:46" ht="12.75" customHeight="1">
      <c r="C426" s="518"/>
      <c r="D426" s="518"/>
      <c r="E426" s="518"/>
      <c r="F426" s="518"/>
      <c r="G426" s="518"/>
      <c r="H426" s="518"/>
      <c r="I426" s="518"/>
      <c r="J426" s="518"/>
      <c r="K426" s="518"/>
      <c r="L426" s="518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  <c r="AB426" s="518"/>
      <c r="AC426" s="518"/>
      <c r="AD426" s="518"/>
      <c r="AE426" s="518"/>
      <c r="AF426" s="518"/>
      <c r="AG426" s="518"/>
      <c r="AH426" s="518"/>
      <c r="AI426" s="518"/>
      <c r="AJ426" s="518"/>
      <c r="AK426" s="518"/>
      <c r="AL426" s="518"/>
      <c r="AM426" s="518"/>
      <c r="AN426" s="518"/>
      <c r="AO426" s="518"/>
      <c r="AP426" s="518"/>
      <c r="AQ426" s="518"/>
      <c r="AR426" s="518"/>
      <c r="AS426" s="518"/>
      <c r="AT426" s="518"/>
    </row>
    <row r="427" spans="3:46" ht="12.75" customHeight="1">
      <c r="C427" s="518"/>
      <c r="D427" s="518"/>
      <c r="E427" s="518"/>
      <c r="F427" s="518"/>
      <c r="G427" s="518"/>
      <c r="H427" s="518"/>
      <c r="I427" s="518"/>
      <c r="J427" s="518"/>
      <c r="K427" s="518"/>
      <c r="L427" s="518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  <c r="AB427" s="518"/>
      <c r="AC427" s="518"/>
      <c r="AD427" s="518"/>
      <c r="AE427" s="518"/>
      <c r="AF427" s="518"/>
      <c r="AG427" s="518"/>
      <c r="AH427" s="518"/>
      <c r="AI427" s="518"/>
      <c r="AJ427" s="518"/>
      <c r="AK427" s="518"/>
      <c r="AL427" s="518"/>
      <c r="AM427" s="518"/>
      <c r="AN427" s="518"/>
      <c r="AO427" s="518"/>
      <c r="AP427" s="518"/>
      <c r="AQ427" s="518"/>
      <c r="AR427" s="518"/>
      <c r="AS427" s="518"/>
      <c r="AT427" s="518"/>
    </row>
    <row r="428" spans="3:46" ht="12.75" customHeight="1">
      <c r="C428" s="518"/>
      <c r="D428" s="518"/>
      <c r="E428" s="518"/>
      <c r="F428" s="518"/>
      <c r="G428" s="518"/>
      <c r="H428" s="518"/>
      <c r="I428" s="518"/>
      <c r="J428" s="518"/>
      <c r="K428" s="518"/>
      <c r="L428" s="518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  <c r="AB428" s="518"/>
      <c r="AC428" s="518"/>
      <c r="AD428" s="518"/>
      <c r="AE428" s="518"/>
      <c r="AF428" s="518"/>
      <c r="AG428" s="518"/>
      <c r="AH428" s="518"/>
      <c r="AI428" s="518"/>
      <c r="AJ428" s="518"/>
      <c r="AK428" s="518"/>
      <c r="AL428" s="518"/>
      <c r="AM428" s="518"/>
      <c r="AN428" s="518"/>
      <c r="AO428" s="518"/>
      <c r="AP428" s="518"/>
      <c r="AQ428" s="518"/>
      <c r="AR428" s="518"/>
      <c r="AS428" s="518"/>
      <c r="AT428" s="518"/>
    </row>
    <row r="429" spans="3:46" ht="12.75" customHeight="1">
      <c r="C429" s="518"/>
      <c r="D429" s="518"/>
      <c r="E429" s="518"/>
      <c r="F429" s="518"/>
      <c r="G429" s="518"/>
      <c r="H429" s="518"/>
      <c r="I429" s="518"/>
      <c r="J429" s="518"/>
      <c r="K429" s="518"/>
      <c r="L429" s="518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  <c r="AB429" s="518"/>
      <c r="AC429" s="518"/>
      <c r="AD429" s="518"/>
      <c r="AE429" s="518"/>
      <c r="AF429" s="518"/>
      <c r="AG429" s="518"/>
      <c r="AH429" s="518"/>
      <c r="AI429" s="518"/>
      <c r="AJ429" s="518"/>
      <c r="AK429" s="518"/>
      <c r="AL429" s="518"/>
      <c r="AM429" s="518"/>
      <c r="AN429" s="518"/>
      <c r="AO429" s="518"/>
      <c r="AP429" s="518"/>
      <c r="AQ429" s="518"/>
      <c r="AR429" s="518"/>
      <c r="AS429" s="518"/>
      <c r="AT429" s="518"/>
    </row>
    <row r="430" spans="3:46" ht="12.75" customHeight="1">
      <c r="C430" s="518"/>
      <c r="D430" s="518"/>
      <c r="E430" s="518"/>
      <c r="F430" s="518"/>
      <c r="G430" s="518"/>
      <c r="H430" s="518"/>
      <c r="I430" s="518"/>
      <c r="J430" s="518"/>
      <c r="K430" s="518"/>
      <c r="L430" s="518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  <c r="AB430" s="518"/>
      <c r="AC430" s="518"/>
      <c r="AD430" s="518"/>
      <c r="AE430" s="518"/>
      <c r="AF430" s="518"/>
      <c r="AG430" s="518"/>
      <c r="AH430" s="518"/>
      <c r="AI430" s="518"/>
      <c r="AJ430" s="518"/>
      <c r="AK430" s="518"/>
      <c r="AL430" s="518"/>
      <c r="AM430" s="518"/>
      <c r="AN430" s="518"/>
      <c r="AO430" s="518"/>
      <c r="AP430" s="518"/>
      <c r="AQ430" s="518"/>
      <c r="AR430" s="518"/>
      <c r="AS430" s="518"/>
      <c r="AT430" s="518"/>
    </row>
    <row r="431" spans="3:46" ht="12.75" customHeight="1">
      <c r="C431" s="518"/>
      <c r="D431" s="518"/>
      <c r="E431" s="518"/>
      <c r="F431" s="518"/>
      <c r="G431" s="518"/>
      <c r="H431" s="518"/>
      <c r="I431" s="518"/>
      <c r="J431" s="518"/>
      <c r="K431" s="518"/>
      <c r="L431" s="518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  <c r="AB431" s="518"/>
      <c r="AC431" s="518"/>
      <c r="AD431" s="518"/>
      <c r="AE431" s="518"/>
      <c r="AF431" s="518"/>
      <c r="AG431" s="518"/>
      <c r="AH431" s="518"/>
      <c r="AI431" s="518"/>
      <c r="AJ431" s="518"/>
      <c r="AK431" s="518"/>
      <c r="AL431" s="518"/>
      <c r="AM431" s="518"/>
      <c r="AN431" s="518"/>
      <c r="AO431" s="518"/>
      <c r="AP431" s="518"/>
      <c r="AQ431" s="518"/>
      <c r="AR431" s="518"/>
      <c r="AS431" s="518"/>
      <c r="AT431" s="518"/>
    </row>
    <row r="432" spans="3:46" ht="12.75" customHeight="1">
      <c r="C432" s="518"/>
      <c r="D432" s="518"/>
      <c r="E432" s="518"/>
      <c r="F432" s="518"/>
      <c r="G432" s="518"/>
      <c r="H432" s="518"/>
      <c r="I432" s="518"/>
      <c r="J432" s="518"/>
      <c r="K432" s="518"/>
      <c r="L432" s="518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  <c r="AB432" s="518"/>
      <c r="AC432" s="518"/>
      <c r="AD432" s="518"/>
      <c r="AE432" s="518"/>
      <c r="AF432" s="518"/>
      <c r="AG432" s="518"/>
      <c r="AH432" s="518"/>
      <c r="AI432" s="518"/>
      <c r="AJ432" s="518"/>
      <c r="AK432" s="518"/>
      <c r="AL432" s="518"/>
      <c r="AM432" s="518"/>
      <c r="AN432" s="518"/>
      <c r="AO432" s="518"/>
      <c r="AP432" s="518"/>
      <c r="AQ432" s="518"/>
      <c r="AR432" s="518"/>
      <c r="AS432" s="518"/>
      <c r="AT432" s="518"/>
    </row>
    <row r="433" spans="3:46" ht="12.75" customHeight="1">
      <c r="C433" s="518"/>
      <c r="D433" s="518"/>
      <c r="E433" s="518"/>
      <c r="F433" s="518"/>
      <c r="G433" s="518"/>
      <c r="H433" s="518"/>
      <c r="I433" s="518"/>
      <c r="J433" s="518"/>
      <c r="K433" s="518"/>
      <c r="L433" s="518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  <c r="AB433" s="518"/>
      <c r="AC433" s="518"/>
      <c r="AD433" s="518"/>
      <c r="AE433" s="518"/>
      <c r="AF433" s="518"/>
      <c r="AG433" s="518"/>
      <c r="AH433" s="518"/>
      <c r="AI433" s="518"/>
      <c r="AJ433" s="518"/>
      <c r="AK433" s="518"/>
      <c r="AL433" s="518"/>
      <c r="AM433" s="518"/>
      <c r="AN433" s="518"/>
      <c r="AO433" s="518"/>
      <c r="AP433" s="518"/>
      <c r="AQ433" s="518"/>
      <c r="AR433" s="518"/>
      <c r="AS433" s="518"/>
      <c r="AT433" s="518"/>
    </row>
    <row r="434" spans="3:46" ht="12.75" customHeight="1">
      <c r="C434" s="518"/>
      <c r="D434" s="518"/>
      <c r="E434" s="518"/>
      <c r="F434" s="518"/>
      <c r="G434" s="518"/>
      <c r="H434" s="518"/>
      <c r="I434" s="518"/>
      <c r="J434" s="518"/>
      <c r="K434" s="518"/>
      <c r="L434" s="518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  <c r="AB434" s="518"/>
      <c r="AC434" s="518"/>
      <c r="AD434" s="518"/>
      <c r="AE434" s="518"/>
      <c r="AF434" s="518"/>
      <c r="AG434" s="518"/>
      <c r="AH434" s="518"/>
      <c r="AI434" s="518"/>
      <c r="AJ434" s="518"/>
      <c r="AK434" s="518"/>
      <c r="AL434" s="518"/>
      <c r="AM434" s="518"/>
      <c r="AN434" s="518"/>
      <c r="AO434" s="518"/>
      <c r="AP434" s="518"/>
      <c r="AQ434" s="518"/>
      <c r="AR434" s="518"/>
      <c r="AS434" s="518"/>
      <c r="AT434" s="518"/>
    </row>
    <row r="435" spans="3:46" ht="12.75" customHeight="1">
      <c r="C435" s="518"/>
      <c r="D435" s="518"/>
      <c r="E435" s="518"/>
      <c r="F435" s="518"/>
      <c r="G435" s="518"/>
      <c r="H435" s="518"/>
      <c r="I435" s="518"/>
      <c r="J435" s="518"/>
      <c r="K435" s="518"/>
      <c r="L435" s="518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  <c r="AB435" s="518"/>
      <c r="AC435" s="518"/>
      <c r="AD435" s="518"/>
      <c r="AE435" s="518"/>
      <c r="AF435" s="518"/>
      <c r="AG435" s="518"/>
      <c r="AH435" s="518"/>
      <c r="AI435" s="518"/>
      <c r="AJ435" s="518"/>
      <c r="AK435" s="518"/>
      <c r="AL435" s="518"/>
      <c r="AM435" s="518"/>
      <c r="AN435" s="518"/>
      <c r="AO435" s="518"/>
      <c r="AP435" s="518"/>
      <c r="AQ435" s="518"/>
      <c r="AR435" s="518"/>
      <c r="AS435" s="518"/>
      <c r="AT435" s="518"/>
    </row>
    <row r="436" spans="3:46" ht="12.75" customHeight="1">
      <c r="C436" s="518"/>
      <c r="D436" s="518"/>
      <c r="E436" s="518"/>
      <c r="F436" s="518"/>
      <c r="G436" s="518"/>
      <c r="H436" s="518"/>
      <c r="I436" s="518"/>
      <c r="J436" s="518"/>
      <c r="K436" s="518"/>
      <c r="L436" s="518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  <c r="AB436" s="518"/>
      <c r="AC436" s="518"/>
      <c r="AD436" s="518"/>
      <c r="AE436" s="518"/>
      <c r="AF436" s="518"/>
      <c r="AG436" s="518"/>
      <c r="AH436" s="518"/>
      <c r="AI436" s="518"/>
      <c r="AJ436" s="518"/>
      <c r="AK436" s="518"/>
      <c r="AL436" s="518"/>
      <c r="AM436" s="518"/>
      <c r="AN436" s="518"/>
      <c r="AO436" s="518"/>
      <c r="AP436" s="518"/>
      <c r="AQ436" s="518"/>
      <c r="AR436" s="518"/>
      <c r="AS436" s="518"/>
      <c r="AT436" s="518"/>
    </row>
    <row r="437" spans="3:46" ht="12.75" customHeight="1">
      <c r="C437" s="518"/>
      <c r="D437" s="518"/>
      <c r="E437" s="518"/>
      <c r="F437" s="518"/>
      <c r="G437" s="518"/>
      <c r="H437" s="518"/>
      <c r="I437" s="518"/>
      <c r="J437" s="518"/>
      <c r="K437" s="518"/>
      <c r="L437" s="518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  <c r="AB437" s="518"/>
      <c r="AC437" s="518"/>
      <c r="AD437" s="518"/>
      <c r="AE437" s="518"/>
      <c r="AF437" s="518"/>
      <c r="AG437" s="518"/>
      <c r="AH437" s="518"/>
      <c r="AI437" s="518"/>
      <c r="AJ437" s="518"/>
      <c r="AK437" s="518"/>
      <c r="AL437" s="518"/>
      <c r="AM437" s="518"/>
      <c r="AN437" s="518"/>
      <c r="AO437" s="518"/>
      <c r="AP437" s="518"/>
      <c r="AQ437" s="518"/>
      <c r="AR437" s="518"/>
      <c r="AS437" s="518"/>
      <c r="AT437" s="518"/>
    </row>
    <row r="438" spans="3:46" ht="12.75" customHeight="1">
      <c r="C438" s="518"/>
      <c r="D438" s="518"/>
      <c r="E438" s="518"/>
      <c r="F438" s="518"/>
      <c r="G438" s="518"/>
      <c r="H438" s="518"/>
      <c r="I438" s="518"/>
      <c r="J438" s="518"/>
      <c r="K438" s="518"/>
      <c r="L438" s="518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  <c r="AB438" s="518"/>
      <c r="AC438" s="518"/>
      <c r="AD438" s="518"/>
      <c r="AE438" s="518"/>
      <c r="AF438" s="518"/>
      <c r="AG438" s="518"/>
      <c r="AH438" s="518"/>
      <c r="AI438" s="518"/>
      <c r="AJ438" s="518"/>
      <c r="AK438" s="518"/>
      <c r="AL438" s="518"/>
      <c r="AM438" s="518"/>
      <c r="AN438" s="518"/>
      <c r="AO438" s="518"/>
      <c r="AP438" s="518"/>
      <c r="AQ438" s="518"/>
      <c r="AR438" s="518"/>
      <c r="AS438" s="518"/>
      <c r="AT438" s="518"/>
    </row>
    <row r="439" spans="3:46" ht="12.75" customHeight="1">
      <c r="C439" s="518"/>
      <c r="D439" s="518"/>
      <c r="E439" s="518"/>
      <c r="F439" s="518"/>
      <c r="G439" s="518"/>
      <c r="H439" s="518"/>
      <c r="I439" s="518"/>
      <c r="J439" s="518"/>
      <c r="K439" s="518"/>
      <c r="L439" s="518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  <c r="AB439" s="518"/>
      <c r="AC439" s="518"/>
      <c r="AD439" s="518"/>
      <c r="AE439" s="518"/>
      <c r="AF439" s="518"/>
      <c r="AG439" s="518"/>
      <c r="AH439" s="518"/>
      <c r="AI439" s="518"/>
      <c r="AJ439" s="518"/>
      <c r="AK439" s="518"/>
      <c r="AL439" s="518"/>
      <c r="AM439" s="518"/>
      <c r="AN439" s="518"/>
      <c r="AO439" s="518"/>
      <c r="AP439" s="518"/>
      <c r="AQ439" s="518"/>
      <c r="AR439" s="518"/>
      <c r="AS439" s="518"/>
      <c r="AT439" s="518"/>
    </row>
    <row r="440" spans="3:46" ht="12.75" customHeight="1">
      <c r="C440" s="518"/>
      <c r="D440" s="518"/>
      <c r="E440" s="518"/>
      <c r="F440" s="518"/>
      <c r="G440" s="518"/>
      <c r="H440" s="518"/>
      <c r="I440" s="518"/>
      <c r="J440" s="518"/>
      <c r="K440" s="518"/>
      <c r="L440" s="518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  <c r="AB440" s="518"/>
      <c r="AC440" s="518"/>
      <c r="AD440" s="518"/>
      <c r="AE440" s="518"/>
      <c r="AF440" s="518"/>
      <c r="AG440" s="518"/>
      <c r="AH440" s="518"/>
      <c r="AI440" s="518"/>
      <c r="AJ440" s="518"/>
      <c r="AK440" s="518"/>
      <c r="AL440" s="518"/>
      <c r="AM440" s="518"/>
      <c r="AN440" s="518"/>
      <c r="AO440" s="518"/>
      <c r="AP440" s="518"/>
      <c r="AQ440" s="518"/>
      <c r="AR440" s="518"/>
      <c r="AS440" s="518"/>
      <c r="AT440" s="518"/>
    </row>
    <row r="441" spans="3:46" ht="12.75" customHeight="1">
      <c r="C441" s="518"/>
      <c r="D441" s="518"/>
      <c r="E441" s="518"/>
      <c r="F441" s="518"/>
      <c r="G441" s="518"/>
      <c r="H441" s="518"/>
      <c r="I441" s="518"/>
      <c r="J441" s="518"/>
      <c r="K441" s="518"/>
      <c r="L441" s="518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  <c r="AB441" s="518"/>
      <c r="AC441" s="518"/>
      <c r="AD441" s="518"/>
      <c r="AE441" s="518"/>
      <c r="AF441" s="518"/>
      <c r="AG441" s="518"/>
      <c r="AH441" s="518"/>
      <c r="AI441" s="518"/>
      <c r="AJ441" s="518"/>
      <c r="AK441" s="518"/>
      <c r="AL441" s="518"/>
      <c r="AM441" s="518"/>
      <c r="AN441" s="518"/>
      <c r="AO441" s="518"/>
      <c r="AP441" s="518"/>
      <c r="AQ441" s="518"/>
      <c r="AR441" s="518"/>
      <c r="AS441" s="518"/>
      <c r="AT441" s="518"/>
    </row>
    <row r="442" spans="3:46" ht="12.75" customHeight="1">
      <c r="C442" s="518"/>
      <c r="D442" s="518"/>
      <c r="E442" s="518"/>
      <c r="F442" s="518"/>
      <c r="G442" s="518"/>
      <c r="H442" s="518"/>
      <c r="I442" s="518"/>
      <c r="J442" s="518"/>
      <c r="K442" s="518"/>
      <c r="L442" s="518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  <c r="AB442" s="518"/>
      <c r="AC442" s="518"/>
      <c r="AD442" s="518"/>
      <c r="AE442" s="518"/>
      <c r="AF442" s="518"/>
      <c r="AG442" s="518"/>
      <c r="AH442" s="518"/>
      <c r="AI442" s="518"/>
      <c r="AJ442" s="518"/>
      <c r="AK442" s="518"/>
      <c r="AL442" s="518"/>
      <c r="AM442" s="518"/>
      <c r="AN442" s="518"/>
      <c r="AO442" s="518"/>
      <c r="AP442" s="518"/>
      <c r="AQ442" s="518"/>
      <c r="AR442" s="518"/>
      <c r="AS442" s="518"/>
      <c r="AT442" s="518"/>
    </row>
    <row r="443" spans="3:46" ht="12.75" customHeight="1">
      <c r="C443" s="518"/>
      <c r="D443" s="518"/>
      <c r="E443" s="518"/>
      <c r="F443" s="518"/>
      <c r="G443" s="518"/>
      <c r="H443" s="518"/>
      <c r="I443" s="518"/>
      <c r="J443" s="518"/>
      <c r="K443" s="518"/>
      <c r="L443" s="518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  <c r="AB443" s="518"/>
      <c r="AC443" s="518"/>
      <c r="AD443" s="518"/>
      <c r="AE443" s="518"/>
      <c r="AF443" s="518"/>
      <c r="AG443" s="518"/>
      <c r="AH443" s="518"/>
      <c r="AI443" s="518"/>
      <c r="AJ443" s="518"/>
      <c r="AK443" s="518"/>
      <c r="AL443" s="518"/>
      <c r="AM443" s="518"/>
      <c r="AN443" s="518"/>
      <c r="AO443" s="518"/>
      <c r="AP443" s="518"/>
      <c r="AQ443" s="518"/>
      <c r="AR443" s="518"/>
      <c r="AS443" s="518"/>
      <c r="AT443" s="518"/>
    </row>
    <row r="444" spans="3:46" ht="12.75" customHeight="1">
      <c r="C444" s="518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  <c r="AB444" s="518"/>
      <c r="AC444" s="518"/>
      <c r="AD444" s="518"/>
      <c r="AE444" s="518"/>
      <c r="AF444" s="518"/>
      <c r="AG444" s="518"/>
      <c r="AH444" s="518"/>
      <c r="AI444" s="518"/>
      <c r="AJ444" s="518"/>
      <c r="AK444" s="518"/>
      <c r="AL444" s="518"/>
      <c r="AM444" s="518"/>
      <c r="AN444" s="518"/>
      <c r="AO444" s="518"/>
      <c r="AP444" s="518"/>
      <c r="AQ444" s="518"/>
      <c r="AR444" s="518"/>
      <c r="AS444" s="518"/>
      <c r="AT444" s="518"/>
    </row>
    <row r="445" spans="3:46" ht="12.75" customHeight="1">
      <c r="C445" s="518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  <c r="AB445" s="518"/>
      <c r="AC445" s="518"/>
      <c r="AD445" s="518"/>
      <c r="AE445" s="518"/>
      <c r="AF445" s="518"/>
      <c r="AG445" s="518"/>
      <c r="AH445" s="518"/>
      <c r="AI445" s="518"/>
      <c r="AJ445" s="518"/>
      <c r="AK445" s="518"/>
      <c r="AL445" s="518"/>
      <c r="AM445" s="518"/>
      <c r="AN445" s="518"/>
      <c r="AO445" s="518"/>
      <c r="AP445" s="518"/>
      <c r="AQ445" s="518"/>
      <c r="AR445" s="518"/>
      <c r="AS445" s="518"/>
      <c r="AT445" s="518"/>
    </row>
    <row r="446" spans="3:46" ht="12.75" customHeight="1">
      <c r="C446" s="518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  <c r="AB446" s="518"/>
      <c r="AC446" s="518"/>
      <c r="AD446" s="518"/>
      <c r="AE446" s="518"/>
      <c r="AF446" s="518"/>
      <c r="AG446" s="518"/>
      <c r="AH446" s="518"/>
      <c r="AI446" s="518"/>
      <c r="AJ446" s="518"/>
      <c r="AK446" s="518"/>
      <c r="AL446" s="518"/>
      <c r="AM446" s="518"/>
      <c r="AN446" s="518"/>
      <c r="AO446" s="518"/>
      <c r="AP446" s="518"/>
      <c r="AQ446" s="518"/>
      <c r="AR446" s="518"/>
      <c r="AS446" s="518"/>
      <c r="AT446" s="518"/>
    </row>
    <row r="447" spans="3:46" ht="12.75" customHeight="1">
      <c r="C447" s="518"/>
      <c r="D447" s="518"/>
      <c r="E447" s="518"/>
      <c r="F447" s="518"/>
      <c r="G447" s="518"/>
      <c r="H447" s="518"/>
      <c r="I447" s="518"/>
      <c r="J447" s="518"/>
      <c r="K447" s="518"/>
      <c r="L447" s="518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  <c r="AB447" s="518"/>
      <c r="AC447" s="518"/>
      <c r="AD447" s="518"/>
      <c r="AE447" s="518"/>
      <c r="AF447" s="518"/>
      <c r="AG447" s="518"/>
      <c r="AH447" s="518"/>
      <c r="AI447" s="518"/>
      <c r="AJ447" s="518"/>
      <c r="AK447" s="518"/>
      <c r="AL447" s="518"/>
      <c r="AM447" s="518"/>
      <c r="AN447" s="518"/>
      <c r="AO447" s="518"/>
      <c r="AP447" s="518"/>
      <c r="AQ447" s="518"/>
      <c r="AR447" s="518"/>
      <c r="AS447" s="518"/>
      <c r="AT447" s="518"/>
    </row>
    <row r="448" spans="3:46" ht="12.75" customHeight="1">
      <c r="C448" s="518"/>
      <c r="D448" s="518"/>
      <c r="E448" s="518"/>
      <c r="F448" s="518"/>
      <c r="G448" s="518"/>
      <c r="H448" s="518"/>
      <c r="I448" s="518"/>
      <c r="J448" s="518"/>
      <c r="K448" s="518"/>
      <c r="L448" s="518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  <c r="AB448" s="518"/>
      <c r="AC448" s="518"/>
      <c r="AD448" s="518"/>
      <c r="AE448" s="518"/>
      <c r="AF448" s="518"/>
      <c r="AG448" s="518"/>
      <c r="AH448" s="518"/>
      <c r="AI448" s="518"/>
      <c r="AJ448" s="518"/>
      <c r="AK448" s="518"/>
      <c r="AL448" s="518"/>
      <c r="AM448" s="518"/>
      <c r="AN448" s="518"/>
      <c r="AO448" s="518"/>
      <c r="AP448" s="518"/>
      <c r="AQ448" s="518"/>
      <c r="AR448" s="518"/>
      <c r="AS448" s="518"/>
      <c r="AT448" s="518"/>
    </row>
    <row r="449" spans="3:46" ht="12.75" customHeight="1">
      <c r="C449" s="518"/>
      <c r="D449" s="518"/>
      <c r="E449" s="518"/>
      <c r="F449" s="518"/>
      <c r="G449" s="518"/>
      <c r="H449" s="518"/>
      <c r="I449" s="518"/>
      <c r="J449" s="518"/>
      <c r="K449" s="518"/>
      <c r="L449" s="518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  <c r="AB449" s="518"/>
      <c r="AC449" s="518"/>
      <c r="AD449" s="518"/>
      <c r="AE449" s="518"/>
      <c r="AF449" s="518"/>
      <c r="AG449" s="518"/>
      <c r="AH449" s="518"/>
      <c r="AI449" s="518"/>
      <c r="AJ449" s="518"/>
      <c r="AK449" s="518"/>
      <c r="AL449" s="518"/>
      <c r="AM449" s="518"/>
      <c r="AN449" s="518"/>
      <c r="AO449" s="518"/>
      <c r="AP449" s="518"/>
      <c r="AQ449" s="518"/>
      <c r="AR449" s="518"/>
      <c r="AS449" s="518"/>
      <c r="AT449" s="518"/>
    </row>
    <row r="450" spans="3:46" ht="12.75" customHeight="1">
      <c r="C450" s="518"/>
      <c r="D450" s="518"/>
      <c r="E450" s="518"/>
      <c r="F450" s="518"/>
      <c r="G450" s="518"/>
      <c r="H450" s="518"/>
      <c r="I450" s="518"/>
      <c r="J450" s="518"/>
      <c r="K450" s="518"/>
      <c r="L450" s="518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18"/>
      <c r="AN450" s="518"/>
      <c r="AO450" s="518"/>
      <c r="AP450" s="518"/>
      <c r="AQ450" s="518"/>
      <c r="AR450" s="518"/>
      <c r="AS450" s="518"/>
      <c r="AT450" s="518"/>
    </row>
    <row r="451" spans="3:46" ht="12.75" customHeight="1">
      <c r="C451" s="518"/>
      <c r="D451" s="518"/>
      <c r="E451" s="518"/>
      <c r="F451" s="518"/>
      <c r="G451" s="518"/>
      <c r="H451" s="518"/>
      <c r="I451" s="518"/>
      <c r="J451" s="518"/>
      <c r="K451" s="518"/>
      <c r="L451" s="518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  <c r="AB451" s="518"/>
      <c r="AC451" s="518"/>
      <c r="AD451" s="518"/>
      <c r="AE451" s="518"/>
      <c r="AF451" s="518"/>
      <c r="AG451" s="518"/>
      <c r="AH451" s="518"/>
      <c r="AI451" s="518"/>
      <c r="AJ451" s="518"/>
      <c r="AK451" s="518"/>
      <c r="AL451" s="518"/>
      <c r="AM451" s="518"/>
      <c r="AN451" s="518"/>
      <c r="AO451" s="518"/>
      <c r="AP451" s="518"/>
      <c r="AQ451" s="518"/>
      <c r="AR451" s="518"/>
      <c r="AS451" s="518"/>
      <c r="AT451" s="518"/>
    </row>
    <row r="452" spans="3:46" ht="12.75" customHeight="1">
      <c r="C452" s="518"/>
      <c r="D452" s="518"/>
      <c r="E452" s="518"/>
      <c r="F452" s="518"/>
      <c r="G452" s="518"/>
      <c r="H452" s="518"/>
      <c r="I452" s="518"/>
      <c r="J452" s="518"/>
      <c r="K452" s="518"/>
      <c r="L452" s="518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  <c r="AB452" s="518"/>
      <c r="AC452" s="518"/>
      <c r="AD452" s="518"/>
      <c r="AE452" s="518"/>
      <c r="AF452" s="518"/>
      <c r="AG452" s="518"/>
      <c r="AH452" s="518"/>
      <c r="AI452" s="518"/>
      <c r="AJ452" s="518"/>
      <c r="AK452" s="518"/>
      <c r="AL452" s="518"/>
      <c r="AM452" s="518"/>
      <c r="AN452" s="518"/>
      <c r="AO452" s="518"/>
      <c r="AP452" s="518"/>
      <c r="AQ452" s="518"/>
      <c r="AR452" s="518"/>
      <c r="AS452" s="518"/>
      <c r="AT452" s="518"/>
    </row>
    <row r="453" spans="3:46" ht="12.75" customHeight="1">
      <c r="C453" s="518"/>
      <c r="D453" s="518"/>
      <c r="E453" s="518"/>
      <c r="F453" s="518"/>
      <c r="G453" s="518"/>
      <c r="H453" s="518"/>
      <c r="I453" s="518"/>
      <c r="J453" s="518"/>
      <c r="K453" s="518"/>
      <c r="L453" s="518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  <c r="AB453" s="518"/>
      <c r="AC453" s="518"/>
      <c r="AD453" s="518"/>
      <c r="AE453" s="518"/>
      <c r="AF453" s="518"/>
      <c r="AG453" s="518"/>
      <c r="AH453" s="518"/>
      <c r="AI453" s="518"/>
      <c r="AJ453" s="518"/>
      <c r="AK453" s="518"/>
      <c r="AL453" s="518"/>
      <c r="AM453" s="518"/>
      <c r="AN453" s="518"/>
      <c r="AO453" s="518"/>
      <c r="AP453" s="518"/>
      <c r="AQ453" s="518"/>
      <c r="AR453" s="518"/>
      <c r="AS453" s="518"/>
      <c r="AT453" s="518"/>
    </row>
    <row r="454" spans="3:46" ht="12.75" customHeight="1">
      <c r="C454" s="518"/>
      <c r="D454" s="518"/>
      <c r="E454" s="518"/>
      <c r="F454" s="518"/>
      <c r="G454" s="518"/>
      <c r="H454" s="518"/>
      <c r="I454" s="518"/>
      <c r="J454" s="518"/>
      <c r="K454" s="518"/>
      <c r="L454" s="518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18"/>
      <c r="AN454" s="518"/>
      <c r="AO454" s="518"/>
      <c r="AP454" s="518"/>
      <c r="AQ454" s="518"/>
      <c r="AR454" s="518"/>
      <c r="AS454" s="518"/>
      <c r="AT454" s="518"/>
    </row>
    <row r="455" spans="3:46" ht="12.75" customHeight="1">
      <c r="C455" s="518"/>
      <c r="D455" s="518"/>
      <c r="E455" s="518"/>
      <c r="F455" s="518"/>
      <c r="G455" s="518"/>
      <c r="H455" s="518"/>
      <c r="I455" s="518"/>
      <c r="J455" s="518"/>
      <c r="K455" s="518"/>
      <c r="L455" s="518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  <c r="AB455" s="518"/>
      <c r="AC455" s="518"/>
      <c r="AD455" s="518"/>
      <c r="AE455" s="518"/>
      <c r="AF455" s="518"/>
      <c r="AG455" s="518"/>
      <c r="AH455" s="518"/>
      <c r="AI455" s="518"/>
      <c r="AJ455" s="518"/>
      <c r="AK455" s="518"/>
      <c r="AL455" s="518"/>
      <c r="AM455" s="518"/>
      <c r="AN455" s="518"/>
      <c r="AO455" s="518"/>
      <c r="AP455" s="518"/>
      <c r="AQ455" s="518"/>
      <c r="AR455" s="518"/>
      <c r="AS455" s="518"/>
      <c r="AT455" s="518"/>
    </row>
    <row r="456" spans="3:46" ht="12.75" customHeight="1">
      <c r="C456" s="518"/>
      <c r="D456" s="518"/>
      <c r="E456" s="518"/>
      <c r="F456" s="518"/>
      <c r="G456" s="518"/>
      <c r="H456" s="518"/>
      <c r="I456" s="518"/>
      <c r="J456" s="518"/>
      <c r="K456" s="518"/>
      <c r="L456" s="518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  <c r="AB456" s="518"/>
      <c r="AC456" s="518"/>
      <c r="AD456" s="518"/>
      <c r="AE456" s="518"/>
      <c r="AF456" s="518"/>
      <c r="AG456" s="518"/>
      <c r="AH456" s="518"/>
      <c r="AI456" s="518"/>
      <c r="AJ456" s="518"/>
      <c r="AK456" s="518"/>
      <c r="AL456" s="518"/>
      <c r="AM456" s="518"/>
      <c r="AN456" s="518"/>
      <c r="AO456" s="518"/>
      <c r="AP456" s="518"/>
      <c r="AQ456" s="518"/>
      <c r="AR456" s="518"/>
      <c r="AS456" s="518"/>
      <c r="AT456" s="518"/>
    </row>
    <row r="457" spans="3:46" ht="12.75" customHeight="1">
      <c r="C457" s="518"/>
      <c r="D457" s="518"/>
      <c r="E457" s="518"/>
      <c r="F457" s="518"/>
      <c r="G457" s="518"/>
      <c r="H457" s="518"/>
      <c r="I457" s="518"/>
      <c r="J457" s="518"/>
      <c r="K457" s="518"/>
      <c r="L457" s="518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  <c r="AB457" s="518"/>
      <c r="AC457" s="518"/>
      <c r="AD457" s="518"/>
      <c r="AE457" s="518"/>
      <c r="AF457" s="518"/>
      <c r="AG457" s="518"/>
      <c r="AH457" s="518"/>
      <c r="AI457" s="518"/>
      <c r="AJ457" s="518"/>
      <c r="AK457" s="518"/>
      <c r="AL457" s="518"/>
      <c r="AM457" s="518"/>
      <c r="AN457" s="518"/>
      <c r="AO457" s="518"/>
      <c r="AP457" s="518"/>
      <c r="AQ457" s="518"/>
      <c r="AR457" s="518"/>
      <c r="AS457" s="518"/>
      <c r="AT457" s="518"/>
    </row>
    <row r="458" spans="3:46" ht="12.75" customHeight="1">
      <c r="C458" s="518"/>
      <c r="D458" s="518"/>
      <c r="E458" s="518"/>
      <c r="F458" s="518"/>
      <c r="G458" s="518"/>
      <c r="H458" s="518"/>
      <c r="I458" s="518"/>
      <c r="J458" s="518"/>
      <c r="K458" s="518"/>
      <c r="L458" s="518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  <c r="AB458" s="518"/>
      <c r="AC458" s="518"/>
      <c r="AD458" s="518"/>
      <c r="AE458" s="518"/>
      <c r="AF458" s="518"/>
      <c r="AG458" s="518"/>
      <c r="AH458" s="518"/>
      <c r="AI458" s="518"/>
      <c r="AJ458" s="518"/>
      <c r="AK458" s="518"/>
      <c r="AL458" s="518"/>
      <c r="AM458" s="518"/>
      <c r="AN458" s="518"/>
      <c r="AO458" s="518"/>
      <c r="AP458" s="518"/>
      <c r="AQ458" s="518"/>
      <c r="AR458" s="518"/>
      <c r="AS458" s="518"/>
      <c r="AT458" s="518"/>
    </row>
    <row r="459" spans="3:46" ht="12.75" customHeight="1">
      <c r="C459" s="518"/>
      <c r="D459" s="518"/>
      <c r="E459" s="518"/>
      <c r="F459" s="518"/>
      <c r="G459" s="518"/>
      <c r="H459" s="518"/>
      <c r="I459" s="518"/>
      <c r="J459" s="518"/>
      <c r="K459" s="518"/>
      <c r="L459" s="518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  <c r="AB459" s="518"/>
      <c r="AC459" s="518"/>
      <c r="AD459" s="518"/>
      <c r="AE459" s="518"/>
      <c r="AF459" s="518"/>
      <c r="AG459" s="518"/>
      <c r="AH459" s="518"/>
      <c r="AI459" s="518"/>
      <c r="AJ459" s="518"/>
      <c r="AK459" s="518"/>
      <c r="AL459" s="518"/>
      <c r="AM459" s="518"/>
      <c r="AN459" s="518"/>
      <c r="AO459" s="518"/>
      <c r="AP459" s="518"/>
      <c r="AQ459" s="518"/>
      <c r="AR459" s="518"/>
      <c r="AS459" s="518"/>
      <c r="AT459" s="518"/>
    </row>
    <row r="460" spans="3:46" ht="12.75" customHeight="1">
      <c r="C460" s="518"/>
      <c r="D460" s="518"/>
      <c r="E460" s="518"/>
      <c r="F460" s="518"/>
      <c r="G460" s="518"/>
      <c r="H460" s="518"/>
      <c r="I460" s="518"/>
      <c r="J460" s="518"/>
      <c r="K460" s="518"/>
      <c r="L460" s="518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  <c r="AB460" s="518"/>
      <c r="AC460" s="518"/>
      <c r="AD460" s="518"/>
      <c r="AE460" s="518"/>
      <c r="AF460" s="518"/>
      <c r="AG460" s="518"/>
      <c r="AH460" s="518"/>
      <c r="AI460" s="518"/>
      <c r="AJ460" s="518"/>
      <c r="AK460" s="518"/>
      <c r="AL460" s="518"/>
      <c r="AM460" s="518"/>
      <c r="AN460" s="518"/>
      <c r="AO460" s="518"/>
      <c r="AP460" s="518"/>
      <c r="AQ460" s="518"/>
      <c r="AR460" s="518"/>
      <c r="AS460" s="518"/>
      <c r="AT460" s="518"/>
    </row>
    <row r="461" spans="3:46" ht="12.75" customHeight="1">
      <c r="C461" s="518"/>
      <c r="D461" s="518"/>
      <c r="E461" s="518"/>
      <c r="F461" s="518"/>
      <c r="G461" s="518"/>
      <c r="H461" s="518"/>
      <c r="I461" s="518"/>
      <c r="J461" s="518"/>
      <c r="K461" s="518"/>
      <c r="L461" s="518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  <c r="AB461" s="518"/>
      <c r="AC461" s="518"/>
      <c r="AD461" s="518"/>
      <c r="AE461" s="518"/>
      <c r="AF461" s="518"/>
      <c r="AG461" s="518"/>
      <c r="AH461" s="518"/>
      <c r="AI461" s="518"/>
      <c r="AJ461" s="518"/>
      <c r="AK461" s="518"/>
      <c r="AL461" s="518"/>
      <c r="AM461" s="518"/>
      <c r="AN461" s="518"/>
      <c r="AO461" s="518"/>
      <c r="AP461" s="518"/>
      <c r="AQ461" s="518"/>
      <c r="AR461" s="518"/>
      <c r="AS461" s="518"/>
      <c r="AT461" s="518"/>
    </row>
    <row r="462" spans="3:46" ht="12.75" customHeight="1">
      <c r="C462" s="518"/>
      <c r="D462" s="518"/>
      <c r="E462" s="518"/>
      <c r="F462" s="518"/>
      <c r="G462" s="518"/>
      <c r="H462" s="518"/>
      <c r="I462" s="518"/>
      <c r="J462" s="518"/>
      <c r="K462" s="518"/>
      <c r="L462" s="518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  <c r="AB462" s="518"/>
      <c r="AC462" s="518"/>
      <c r="AD462" s="518"/>
      <c r="AE462" s="518"/>
      <c r="AF462" s="518"/>
      <c r="AG462" s="518"/>
      <c r="AH462" s="518"/>
      <c r="AI462" s="518"/>
      <c r="AJ462" s="518"/>
      <c r="AK462" s="518"/>
      <c r="AL462" s="518"/>
      <c r="AM462" s="518"/>
      <c r="AN462" s="518"/>
      <c r="AO462" s="518"/>
      <c r="AP462" s="518"/>
      <c r="AQ462" s="518"/>
      <c r="AR462" s="518"/>
      <c r="AS462" s="518"/>
      <c r="AT462" s="518"/>
    </row>
    <row r="463" spans="3:46" ht="12.75" customHeight="1">
      <c r="C463" s="518"/>
      <c r="D463" s="518"/>
      <c r="E463" s="518"/>
      <c r="F463" s="518"/>
      <c r="G463" s="518"/>
      <c r="H463" s="518"/>
      <c r="I463" s="518"/>
      <c r="J463" s="518"/>
      <c r="K463" s="518"/>
      <c r="L463" s="518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  <c r="AB463" s="518"/>
      <c r="AC463" s="518"/>
      <c r="AD463" s="518"/>
      <c r="AE463" s="518"/>
      <c r="AF463" s="518"/>
      <c r="AG463" s="518"/>
      <c r="AH463" s="518"/>
      <c r="AI463" s="518"/>
      <c r="AJ463" s="518"/>
      <c r="AK463" s="518"/>
      <c r="AL463" s="518"/>
      <c r="AM463" s="518"/>
      <c r="AN463" s="518"/>
      <c r="AO463" s="518"/>
      <c r="AP463" s="518"/>
      <c r="AQ463" s="518"/>
      <c r="AR463" s="518"/>
      <c r="AS463" s="518"/>
      <c r="AT463" s="518"/>
    </row>
    <row r="464" spans="3:46" ht="12.75" customHeight="1">
      <c r="C464" s="518"/>
      <c r="D464" s="518"/>
      <c r="E464" s="518"/>
      <c r="F464" s="518"/>
      <c r="G464" s="518"/>
      <c r="H464" s="518"/>
      <c r="I464" s="518"/>
      <c r="J464" s="518"/>
      <c r="K464" s="518"/>
      <c r="L464" s="518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  <c r="AB464" s="518"/>
      <c r="AC464" s="518"/>
      <c r="AD464" s="518"/>
      <c r="AE464" s="518"/>
      <c r="AF464" s="518"/>
      <c r="AG464" s="518"/>
      <c r="AH464" s="518"/>
      <c r="AI464" s="518"/>
      <c r="AJ464" s="518"/>
      <c r="AK464" s="518"/>
      <c r="AL464" s="518"/>
      <c r="AM464" s="518"/>
      <c r="AN464" s="518"/>
      <c r="AO464" s="518"/>
      <c r="AP464" s="518"/>
      <c r="AQ464" s="518"/>
      <c r="AR464" s="518"/>
      <c r="AS464" s="518"/>
      <c r="AT464" s="518"/>
    </row>
    <row r="465" spans="3:46" ht="12.75" customHeight="1">
      <c r="C465" s="518"/>
      <c r="D465" s="518"/>
      <c r="E465" s="518"/>
      <c r="F465" s="518"/>
      <c r="G465" s="518"/>
      <c r="H465" s="518"/>
      <c r="I465" s="518"/>
      <c r="J465" s="518"/>
      <c r="K465" s="518"/>
      <c r="L465" s="518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  <c r="AB465" s="518"/>
      <c r="AC465" s="518"/>
      <c r="AD465" s="518"/>
      <c r="AE465" s="518"/>
      <c r="AF465" s="518"/>
      <c r="AG465" s="518"/>
      <c r="AH465" s="518"/>
      <c r="AI465" s="518"/>
      <c r="AJ465" s="518"/>
      <c r="AK465" s="518"/>
      <c r="AL465" s="518"/>
      <c r="AM465" s="518"/>
      <c r="AN465" s="518"/>
      <c r="AO465" s="518"/>
      <c r="AP465" s="518"/>
      <c r="AQ465" s="518"/>
      <c r="AR465" s="518"/>
      <c r="AS465" s="518"/>
      <c r="AT465" s="518"/>
    </row>
    <row r="466" spans="3:46" ht="12.75" customHeight="1">
      <c r="C466" s="518"/>
      <c r="D466" s="518"/>
      <c r="E466" s="518"/>
      <c r="F466" s="518"/>
      <c r="G466" s="518"/>
      <c r="H466" s="518"/>
      <c r="I466" s="518"/>
      <c r="J466" s="518"/>
      <c r="K466" s="518"/>
      <c r="L466" s="518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  <c r="AB466" s="518"/>
      <c r="AC466" s="518"/>
      <c r="AD466" s="518"/>
      <c r="AE466" s="518"/>
      <c r="AF466" s="518"/>
      <c r="AG466" s="518"/>
      <c r="AH466" s="518"/>
      <c r="AI466" s="518"/>
      <c r="AJ466" s="518"/>
      <c r="AK466" s="518"/>
      <c r="AL466" s="518"/>
      <c r="AM466" s="518"/>
      <c r="AN466" s="518"/>
      <c r="AO466" s="518"/>
      <c r="AP466" s="518"/>
      <c r="AQ466" s="518"/>
      <c r="AR466" s="518"/>
      <c r="AS466" s="518"/>
      <c r="AT466" s="518"/>
    </row>
    <row r="467" spans="3:46" ht="12.75" customHeight="1">
      <c r="C467" s="518"/>
      <c r="D467" s="518"/>
      <c r="E467" s="518"/>
      <c r="F467" s="518"/>
      <c r="G467" s="518"/>
      <c r="H467" s="518"/>
      <c r="I467" s="518"/>
      <c r="J467" s="518"/>
      <c r="K467" s="518"/>
      <c r="L467" s="518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  <c r="AB467" s="518"/>
      <c r="AC467" s="518"/>
      <c r="AD467" s="518"/>
      <c r="AE467" s="518"/>
      <c r="AF467" s="518"/>
      <c r="AG467" s="518"/>
      <c r="AH467" s="518"/>
      <c r="AI467" s="518"/>
      <c r="AJ467" s="518"/>
      <c r="AK467" s="518"/>
      <c r="AL467" s="518"/>
      <c r="AM467" s="518"/>
      <c r="AN467" s="518"/>
      <c r="AO467" s="518"/>
      <c r="AP467" s="518"/>
      <c r="AQ467" s="518"/>
      <c r="AR467" s="518"/>
      <c r="AS467" s="518"/>
      <c r="AT467" s="518"/>
    </row>
    <row r="468" spans="3:46" ht="12.75" customHeight="1">
      <c r="C468" s="518"/>
      <c r="D468" s="518"/>
      <c r="E468" s="518"/>
      <c r="F468" s="518"/>
      <c r="G468" s="518"/>
      <c r="H468" s="518"/>
      <c r="I468" s="518"/>
      <c r="J468" s="518"/>
      <c r="K468" s="518"/>
      <c r="L468" s="518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  <c r="AB468" s="518"/>
      <c r="AC468" s="518"/>
      <c r="AD468" s="518"/>
      <c r="AE468" s="518"/>
      <c r="AF468" s="518"/>
      <c r="AG468" s="518"/>
      <c r="AH468" s="518"/>
      <c r="AI468" s="518"/>
      <c r="AJ468" s="518"/>
      <c r="AK468" s="518"/>
      <c r="AL468" s="518"/>
      <c r="AM468" s="518"/>
      <c r="AN468" s="518"/>
      <c r="AO468" s="518"/>
      <c r="AP468" s="518"/>
      <c r="AQ468" s="518"/>
      <c r="AR468" s="518"/>
      <c r="AS468" s="518"/>
      <c r="AT468" s="518"/>
    </row>
    <row r="469" spans="3:46" ht="12.75" customHeight="1">
      <c r="C469" s="518"/>
      <c r="D469" s="518"/>
      <c r="E469" s="518"/>
      <c r="F469" s="518"/>
      <c r="G469" s="518"/>
      <c r="H469" s="518"/>
      <c r="I469" s="518"/>
      <c r="J469" s="518"/>
      <c r="K469" s="518"/>
      <c r="L469" s="518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  <c r="AB469" s="518"/>
      <c r="AC469" s="518"/>
      <c r="AD469" s="518"/>
      <c r="AE469" s="518"/>
      <c r="AF469" s="518"/>
      <c r="AG469" s="518"/>
      <c r="AH469" s="518"/>
      <c r="AI469" s="518"/>
      <c r="AJ469" s="518"/>
      <c r="AK469" s="518"/>
      <c r="AL469" s="518"/>
      <c r="AM469" s="518"/>
      <c r="AN469" s="518"/>
      <c r="AO469" s="518"/>
      <c r="AP469" s="518"/>
      <c r="AQ469" s="518"/>
      <c r="AR469" s="518"/>
      <c r="AS469" s="518"/>
      <c r="AT469" s="518"/>
    </row>
    <row r="470" spans="3:46" ht="12.75" customHeight="1">
      <c r="C470" s="518"/>
      <c r="D470" s="518"/>
      <c r="E470" s="518"/>
      <c r="F470" s="518"/>
      <c r="G470" s="518"/>
      <c r="H470" s="518"/>
      <c r="I470" s="518"/>
      <c r="J470" s="518"/>
      <c r="K470" s="518"/>
      <c r="L470" s="518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  <c r="AB470" s="518"/>
      <c r="AC470" s="518"/>
      <c r="AD470" s="518"/>
      <c r="AE470" s="518"/>
      <c r="AF470" s="518"/>
      <c r="AG470" s="518"/>
      <c r="AH470" s="518"/>
      <c r="AI470" s="518"/>
      <c r="AJ470" s="518"/>
      <c r="AK470" s="518"/>
      <c r="AL470" s="518"/>
      <c r="AM470" s="518"/>
      <c r="AN470" s="518"/>
      <c r="AO470" s="518"/>
      <c r="AP470" s="518"/>
      <c r="AQ470" s="518"/>
      <c r="AR470" s="518"/>
      <c r="AS470" s="518"/>
      <c r="AT470" s="518"/>
    </row>
    <row r="471" spans="3:46" ht="12.75" customHeight="1">
      <c r="C471" s="518"/>
      <c r="D471" s="518"/>
      <c r="E471" s="518"/>
      <c r="F471" s="518"/>
      <c r="G471" s="518"/>
      <c r="H471" s="518"/>
      <c r="I471" s="518"/>
      <c r="J471" s="518"/>
      <c r="K471" s="518"/>
      <c r="L471" s="518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  <c r="AB471" s="518"/>
      <c r="AC471" s="518"/>
      <c r="AD471" s="518"/>
      <c r="AE471" s="518"/>
      <c r="AF471" s="518"/>
      <c r="AG471" s="518"/>
      <c r="AH471" s="518"/>
      <c r="AI471" s="518"/>
      <c r="AJ471" s="518"/>
      <c r="AK471" s="518"/>
      <c r="AL471" s="518"/>
      <c r="AM471" s="518"/>
      <c r="AN471" s="518"/>
      <c r="AO471" s="518"/>
      <c r="AP471" s="518"/>
      <c r="AQ471" s="518"/>
      <c r="AR471" s="518"/>
      <c r="AS471" s="518"/>
      <c r="AT471" s="518"/>
    </row>
    <row r="472" spans="3:46" ht="12.75" customHeight="1">
      <c r="C472" s="518"/>
      <c r="D472" s="518"/>
      <c r="E472" s="518"/>
      <c r="F472" s="518"/>
      <c r="G472" s="518"/>
      <c r="H472" s="518"/>
      <c r="I472" s="518"/>
      <c r="J472" s="518"/>
      <c r="K472" s="518"/>
      <c r="L472" s="518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  <c r="AB472" s="518"/>
      <c r="AC472" s="518"/>
      <c r="AD472" s="518"/>
      <c r="AE472" s="518"/>
      <c r="AF472" s="518"/>
      <c r="AG472" s="518"/>
      <c r="AH472" s="518"/>
      <c r="AI472" s="518"/>
      <c r="AJ472" s="518"/>
      <c r="AK472" s="518"/>
      <c r="AL472" s="518"/>
      <c r="AM472" s="518"/>
      <c r="AN472" s="518"/>
      <c r="AO472" s="518"/>
      <c r="AP472" s="518"/>
      <c r="AQ472" s="518"/>
      <c r="AR472" s="518"/>
      <c r="AS472" s="518"/>
      <c r="AT472" s="518"/>
    </row>
    <row r="473" spans="3:46" ht="12.75" customHeight="1">
      <c r="C473" s="518"/>
      <c r="D473" s="518"/>
      <c r="E473" s="518"/>
      <c r="F473" s="518"/>
      <c r="G473" s="518"/>
      <c r="H473" s="518"/>
      <c r="I473" s="518"/>
      <c r="J473" s="518"/>
      <c r="K473" s="518"/>
      <c r="L473" s="518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  <c r="AB473" s="518"/>
      <c r="AC473" s="518"/>
      <c r="AD473" s="518"/>
      <c r="AE473" s="518"/>
      <c r="AF473" s="518"/>
      <c r="AG473" s="518"/>
      <c r="AH473" s="518"/>
      <c r="AI473" s="518"/>
      <c r="AJ473" s="518"/>
      <c r="AK473" s="518"/>
      <c r="AL473" s="518"/>
      <c r="AM473" s="518"/>
      <c r="AN473" s="518"/>
      <c r="AO473" s="518"/>
      <c r="AP473" s="518"/>
      <c r="AQ473" s="518"/>
      <c r="AR473" s="518"/>
      <c r="AS473" s="518"/>
      <c r="AT473" s="518"/>
    </row>
    <row r="474" spans="3:46" ht="12.75" customHeight="1">
      <c r="C474" s="518"/>
      <c r="D474" s="518"/>
      <c r="E474" s="518"/>
      <c r="F474" s="518"/>
      <c r="G474" s="518"/>
      <c r="H474" s="518"/>
      <c r="I474" s="518"/>
      <c r="J474" s="518"/>
      <c r="K474" s="518"/>
      <c r="L474" s="518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  <c r="AB474" s="518"/>
      <c r="AC474" s="518"/>
      <c r="AD474" s="518"/>
      <c r="AE474" s="518"/>
      <c r="AF474" s="518"/>
      <c r="AG474" s="518"/>
      <c r="AH474" s="518"/>
      <c r="AI474" s="518"/>
      <c r="AJ474" s="518"/>
      <c r="AK474" s="518"/>
      <c r="AL474" s="518"/>
      <c r="AM474" s="518"/>
      <c r="AN474" s="518"/>
      <c r="AO474" s="518"/>
      <c r="AP474" s="518"/>
      <c r="AQ474" s="518"/>
      <c r="AR474" s="518"/>
      <c r="AS474" s="518"/>
      <c r="AT474" s="518"/>
    </row>
    <row r="475" spans="3:46" ht="12.75" customHeight="1">
      <c r="C475" s="518"/>
      <c r="D475" s="518"/>
      <c r="E475" s="518"/>
      <c r="F475" s="518"/>
      <c r="G475" s="518"/>
      <c r="H475" s="518"/>
      <c r="I475" s="518"/>
      <c r="J475" s="518"/>
      <c r="K475" s="518"/>
      <c r="L475" s="518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  <c r="AB475" s="518"/>
      <c r="AC475" s="518"/>
      <c r="AD475" s="518"/>
      <c r="AE475" s="518"/>
      <c r="AF475" s="518"/>
      <c r="AG475" s="518"/>
      <c r="AH475" s="518"/>
      <c r="AI475" s="518"/>
      <c r="AJ475" s="518"/>
      <c r="AK475" s="518"/>
      <c r="AL475" s="518"/>
      <c r="AM475" s="518"/>
      <c r="AN475" s="518"/>
      <c r="AO475" s="518"/>
      <c r="AP475" s="518"/>
      <c r="AQ475" s="518"/>
      <c r="AR475" s="518"/>
      <c r="AS475" s="518"/>
      <c r="AT475" s="518"/>
    </row>
    <row r="476" spans="3:46" ht="12.75" customHeight="1">
      <c r="C476" s="518"/>
      <c r="D476" s="518"/>
      <c r="E476" s="518"/>
      <c r="F476" s="518"/>
      <c r="G476" s="518"/>
      <c r="H476" s="518"/>
      <c r="I476" s="518"/>
      <c r="J476" s="518"/>
      <c r="K476" s="518"/>
      <c r="L476" s="518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  <c r="AB476" s="518"/>
      <c r="AC476" s="518"/>
      <c r="AD476" s="518"/>
      <c r="AE476" s="518"/>
      <c r="AF476" s="518"/>
      <c r="AG476" s="518"/>
      <c r="AH476" s="518"/>
      <c r="AI476" s="518"/>
      <c r="AJ476" s="518"/>
      <c r="AK476" s="518"/>
      <c r="AL476" s="518"/>
      <c r="AM476" s="518"/>
      <c r="AN476" s="518"/>
      <c r="AO476" s="518"/>
      <c r="AP476" s="518"/>
      <c r="AQ476" s="518"/>
      <c r="AR476" s="518"/>
      <c r="AS476" s="518"/>
      <c r="AT476" s="518"/>
    </row>
    <row r="477" spans="3:46" ht="12.75" customHeight="1">
      <c r="C477" s="518"/>
      <c r="D477" s="518"/>
      <c r="E477" s="518"/>
      <c r="F477" s="518"/>
      <c r="G477" s="518"/>
      <c r="H477" s="518"/>
      <c r="I477" s="518"/>
      <c r="J477" s="518"/>
      <c r="K477" s="518"/>
      <c r="L477" s="518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  <c r="AB477" s="518"/>
      <c r="AC477" s="518"/>
      <c r="AD477" s="518"/>
      <c r="AE477" s="518"/>
      <c r="AF477" s="518"/>
      <c r="AG477" s="518"/>
      <c r="AH477" s="518"/>
      <c r="AI477" s="518"/>
      <c r="AJ477" s="518"/>
      <c r="AK477" s="518"/>
      <c r="AL477" s="518"/>
      <c r="AM477" s="518"/>
      <c r="AN477" s="518"/>
      <c r="AO477" s="518"/>
      <c r="AP477" s="518"/>
      <c r="AQ477" s="518"/>
      <c r="AR477" s="518"/>
      <c r="AS477" s="518"/>
      <c r="AT477" s="518"/>
    </row>
    <row r="478" spans="3:46" ht="12.75" customHeight="1">
      <c r="C478" s="518"/>
      <c r="D478" s="518"/>
      <c r="E478" s="518"/>
      <c r="F478" s="518"/>
      <c r="G478" s="518"/>
      <c r="H478" s="518"/>
      <c r="I478" s="518"/>
      <c r="J478" s="518"/>
      <c r="K478" s="518"/>
      <c r="L478" s="518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  <c r="AB478" s="518"/>
      <c r="AC478" s="518"/>
      <c r="AD478" s="518"/>
      <c r="AE478" s="518"/>
      <c r="AF478" s="518"/>
      <c r="AG478" s="518"/>
      <c r="AH478" s="518"/>
      <c r="AI478" s="518"/>
      <c r="AJ478" s="518"/>
      <c r="AK478" s="518"/>
      <c r="AL478" s="518"/>
      <c r="AM478" s="518"/>
      <c r="AN478" s="518"/>
      <c r="AO478" s="518"/>
      <c r="AP478" s="518"/>
      <c r="AQ478" s="518"/>
      <c r="AR478" s="518"/>
      <c r="AS478" s="518"/>
      <c r="AT478" s="518"/>
    </row>
    <row r="479" spans="3:46" ht="12.75" customHeight="1">
      <c r="C479" s="518"/>
      <c r="D479" s="518"/>
      <c r="E479" s="518"/>
      <c r="F479" s="518"/>
      <c r="G479" s="518"/>
      <c r="H479" s="518"/>
      <c r="I479" s="518"/>
      <c r="J479" s="518"/>
      <c r="K479" s="518"/>
      <c r="L479" s="518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  <c r="AB479" s="518"/>
      <c r="AC479" s="518"/>
      <c r="AD479" s="518"/>
      <c r="AE479" s="518"/>
      <c r="AF479" s="518"/>
      <c r="AG479" s="518"/>
      <c r="AH479" s="518"/>
      <c r="AI479" s="518"/>
      <c r="AJ479" s="518"/>
      <c r="AK479" s="518"/>
      <c r="AL479" s="518"/>
      <c r="AM479" s="518"/>
      <c r="AN479" s="518"/>
      <c r="AO479" s="518"/>
      <c r="AP479" s="518"/>
      <c r="AQ479" s="518"/>
      <c r="AR479" s="518"/>
      <c r="AS479" s="518"/>
      <c r="AT479" s="518"/>
    </row>
    <row r="480" spans="3:46" ht="12.75" customHeight="1">
      <c r="C480" s="518"/>
      <c r="D480" s="518"/>
      <c r="E480" s="518"/>
      <c r="F480" s="518"/>
      <c r="G480" s="518"/>
      <c r="H480" s="518"/>
      <c r="I480" s="518"/>
      <c r="J480" s="518"/>
      <c r="K480" s="518"/>
      <c r="L480" s="518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  <c r="AB480" s="518"/>
      <c r="AC480" s="518"/>
      <c r="AD480" s="518"/>
      <c r="AE480" s="518"/>
      <c r="AF480" s="518"/>
      <c r="AG480" s="518"/>
      <c r="AH480" s="518"/>
      <c r="AI480" s="518"/>
      <c r="AJ480" s="518"/>
      <c r="AK480" s="518"/>
      <c r="AL480" s="518"/>
      <c r="AM480" s="518"/>
      <c r="AN480" s="518"/>
      <c r="AO480" s="518"/>
      <c r="AP480" s="518"/>
      <c r="AQ480" s="518"/>
      <c r="AR480" s="518"/>
      <c r="AS480" s="518"/>
      <c r="AT480" s="518"/>
    </row>
    <row r="481" spans="3:46" ht="12.75" customHeight="1">
      <c r="C481" s="518"/>
      <c r="D481" s="518"/>
      <c r="E481" s="518"/>
      <c r="F481" s="518"/>
      <c r="G481" s="518"/>
      <c r="H481" s="518"/>
      <c r="I481" s="518"/>
      <c r="J481" s="518"/>
      <c r="K481" s="518"/>
      <c r="L481" s="518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  <c r="AB481" s="518"/>
      <c r="AC481" s="518"/>
      <c r="AD481" s="518"/>
      <c r="AE481" s="518"/>
      <c r="AF481" s="518"/>
      <c r="AG481" s="518"/>
      <c r="AH481" s="518"/>
      <c r="AI481" s="518"/>
      <c r="AJ481" s="518"/>
      <c r="AK481" s="518"/>
      <c r="AL481" s="518"/>
      <c r="AM481" s="518"/>
      <c r="AN481" s="518"/>
      <c r="AO481" s="518"/>
      <c r="AP481" s="518"/>
      <c r="AQ481" s="518"/>
      <c r="AR481" s="518"/>
      <c r="AS481" s="518"/>
      <c r="AT481" s="518"/>
    </row>
    <row r="482" spans="3:46" ht="12.75" customHeight="1">
      <c r="C482" s="518"/>
      <c r="D482" s="518"/>
      <c r="E482" s="518"/>
      <c r="F482" s="518"/>
      <c r="G482" s="518"/>
      <c r="H482" s="518"/>
      <c r="I482" s="518"/>
      <c r="J482" s="518"/>
      <c r="K482" s="518"/>
      <c r="L482" s="518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  <c r="AB482" s="518"/>
      <c r="AC482" s="518"/>
      <c r="AD482" s="518"/>
      <c r="AE482" s="518"/>
      <c r="AF482" s="518"/>
      <c r="AG482" s="518"/>
      <c r="AH482" s="518"/>
      <c r="AI482" s="518"/>
      <c r="AJ482" s="518"/>
      <c r="AK482" s="518"/>
      <c r="AL482" s="518"/>
      <c r="AM482" s="518"/>
      <c r="AN482" s="518"/>
      <c r="AO482" s="518"/>
      <c r="AP482" s="518"/>
      <c r="AQ482" s="518"/>
      <c r="AR482" s="518"/>
      <c r="AS482" s="518"/>
      <c r="AT482" s="518"/>
    </row>
    <row r="483" spans="3:46" ht="12.75" customHeight="1">
      <c r="C483" s="518"/>
      <c r="D483" s="518"/>
      <c r="E483" s="518"/>
      <c r="F483" s="518"/>
      <c r="G483" s="518"/>
      <c r="H483" s="518"/>
      <c r="I483" s="518"/>
      <c r="J483" s="518"/>
      <c r="K483" s="518"/>
      <c r="L483" s="518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  <c r="AB483" s="518"/>
      <c r="AC483" s="518"/>
      <c r="AD483" s="518"/>
      <c r="AE483" s="518"/>
      <c r="AF483" s="518"/>
      <c r="AG483" s="518"/>
      <c r="AH483" s="518"/>
      <c r="AI483" s="518"/>
      <c r="AJ483" s="518"/>
      <c r="AK483" s="518"/>
      <c r="AL483" s="518"/>
      <c r="AM483" s="518"/>
      <c r="AN483" s="518"/>
      <c r="AO483" s="518"/>
      <c r="AP483" s="518"/>
      <c r="AQ483" s="518"/>
      <c r="AR483" s="518"/>
      <c r="AS483" s="518"/>
      <c r="AT483" s="518"/>
    </row>
    <row r="484" spans="3:46" ht="12.75" customHeight="1">
      <c r="C484" s="518"/>
      <c r="D484" s="518"/>
      <c r="E484" s="518"/>
      <c r="F484" s="518"/>
      <c r="G484" s="518"/>
      <c r="H484" s="518"/>
      <c r="I484" s="518"/>
      <c r="J484" s="518"/>
      <c r="K484" s="518"/>
      <c r="L484" s="518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  <c r="AB484" s="518"/>
      <c r="AC484" s="518"/>
      <c r="AD484" s="518"/>
      <c r="AE484" s="518"/>
      <c r="AF484" s="518"/>
      <c r="AG484" s="518"/>
      <c r="AH484" s="518"/>
      <c r="AI484" s="518"/>
      <c r="AJ484" s="518"/>
      <c r="AK484" s="518"/>
      <c r="AL484" s="518"/>
      <c r="AM484" s="518"/>
      <c r="AN484" s="518"/>
      <c r="AO484" s="518"/>
      <c r="AP484" s="518"/>
      <c r="AQ484" s="518"/>
      <c r="AR484" s="518"/>
      <c r="AS484" s="518"/>
      <c r="AT484" s="518"/>
    </row>
    <row r="485" spans="3:46" ht="12.75" customHeight="1">
      <c r="C485" s="518"/>
      <c r="D485" s="518"/>
      <c r="E485" s="518"/>
      <c r="F485" s="518"/>
      <c r="G485" s="518"/>
      <c r="H485" s="518"/>
      <c r="I485" s="518"/>
      <c r="J485" s="518"/>
      <c r="K485" s="518"/>
      <c r="L485" s="518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  <c r="AB485" s="518"/>
      <c r="AC485" s="518"/>
      <c r="AD485" s="518"/>
      <c r="AE485" s="518"/>
      <c r="AF485" s="518"/>
      <c r="AG485" s="518"/>
      <c r="AH485" s="518"/>
      <c r="AI485" s="518"/>
      <c r="AJ485" s="518"/>
      <c r="AK485" s="518"/>
      <c r="AL485" s="518"/>
      <c r="AM485" s="518"/>
      <c r="AN485" s="518"/>
      <c r="AO485" s="518"/>
      <c r="AP485" s="518"/>
      <c r="AQ485" s="518"/>
      <c r="AR485" s="518"/>
      <c r="AS485" s="518"/>
      <c r="AT485" s="518"/>
    </row>
    <row r="486" spans="3:46" ht="12.75" customHeight="1">
      <c r="C486" s="518"/>
      <c r="D486" s="518"/>
      <c r="E486" s="518"/>
      <c r="F486" s="518"/>
      <c r="G486" s="518"/>
      <c r="H486" s="518"/>
      <c r="I486" s="518"/>
      <c r="J486" s="518"/>
      <c r="K486" s="518"/>
      <c r="L486" s="518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  <c r="AB486" s="518"/>
      <c r="AC486" s="518"/>
      <c r="AD486" s="518"/>
      <c r="AE486" s="518"/>
      <c r="AF486" s="518"/>
      <c r="AG486" s="518"/>
      <c r="AH486" s="518"/>
      <c r="AI486" s="518"/>
      <c r="AJ486" s="518"/>
      <c r="AK486" s="518"/>
      <c r="AL486" s="518"/>
      <c r="AM486" s="518"/>
      <c r="AN486" s="518"/>
      <c r="AO486" s="518"/>
      <c r="AP486" s="518"/>
      <c r="AQ486" s="518"/>
      <c r="AR486" s="518"/>
      <c r="AS486" s="518"/>
      <c r="AT486" s="518"/>
    </row>
    <row r="487" spans="3:46" ht="12.75" customHeight="1">
      <c r="C487" s="518"/>
      <c r="D487" s="518"/>
      <c r="E487" s="518"/>
      <c r="F487" s="518"/>
      <c r="G487" s="518"/>
      <c r="H487" s="518"/>
      <c r="I487" s="518"/>
      <c r="J487" s="518"/>
      <c r="K487" s="518"/>
      <c r="L487" s="518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  <c r="AB487" s="518"/>
      <c r="AC487" s="518"/>
      <c r="AD487" s="518"/>
      <c r="AE487" s="518"/>
      <c r="AF487" s="518"/>
      <c r="AG487" s="518"/>
      <c r="AH487" s="518"/>
      <c r="AI487" s="518"/>
      <c r="AJ487" s="518"/>
      <c r="AK487" s="518"/>
      <c r="AL487" s="518"/>
      <c r="AM487" s="518"/>
      <c r="AN487" s="518"/>
      <c r="AO487" s="518"/>
      <c r="AP487" s="518"/>
      <c r="AQ487" s="518"/>
      <c r="AR487" s="518"/>
      <c r="AS487" s="518"/>
      <c r="AT487" s="518"/>
    </row>
    <row r="488" spans="3:46" ht="12.75" customHeight="1">
      <c r="C488" s="518"/>
      <c r="D488" s="518"/>
      <c r="E488" s="518"/>
      <c r="F488" s="518"/>
      <c r="G488" s="518"/>
      <c r="H488" s="518"/>
      <c r="I488" s="518"/>
      <c r="J488" s="518"/>
      <c r="K488" s="518"/>
      <c r="L488" s="518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  <c r="AB488" s="518"/>
      <c r="AC488" s="518"/>
      <c r="AD488" s="518"/>
      <c r="AE488" s="518"/>
      <c r="AF488" s="518"/>
      <c r="AG488" s="518"/>
      <c r="AH488" s="518"/>
      <c r="AI488" s="518"/>
      <c r="AJ488" s="518"/>
      <c r="AK488" s="518"/>
      <c r="AL488" s="518"/>
      <c r="AM488" s="518"/>
      <c r="AN488" s="518"/>
      <c r="AO488" s="518"/>
      <c r="AP488" s="518"/>
      <c r="AQ488" s="518"/>
      <c r="AR488" s="518"/>
      <c r="AS488" s="518"/>
      <c r="AT488" s="518"/>
    </row>
    <row r="489" spans="3:46" ht="12.75" customHeight="1">
      <c r="C489" s="518"/>
      <c r="D489" s="518"/>
      <c r="E489" s="518"/>
      <c r="F489" s="518"/>
      <c r="G489" s="518"/>
      <c r="H489" s="518"/>
      <c r="I489" s="518"/>
      <c r="J489" s="518"/>
      <c r="K489" s="518"/>
      <c r="L489" s="518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  <c r="AB489" s="518"/>
      <c r="AC489" s="518"/>
      <c r="AD489" s="518"/>
      <c r="AE489" s="518"/>
      <c r="AF489" s="518"/>
      <c r="AG489" s="518"/>
      <c r="AH489" s="518"/>
      <c r="AI489" s="518"/>
      <c r="AJ489" s="518"/>
      <c r="AK489" s="518"/>
      <c r="AL489" s="518"/>
      <c r="AM489" s="518"/>
      <c r="AN489" s="518"/>
      <c r="AO489" s="518"/>
      <c r="AP489" s="518"/>
      <c r="AQ489" s="518"/>
      <c r="AR489" s="518"/>
      <c r="AS489" s="518"/>
      <c r="AT489" s="518"/>
    </row>
    <row r="490" spans="3:46" ht="12.75" customHeight="1">
      <c r="C490" s="518"/>
      <c r="D490" s="518"/>
      <c r="E490" s="518"/>
      <c r="F490" s="518"/>
      <c r="G490" s="518"/>
      <c r="H490" s="518"/>
      <c r="I490" s="518"/>
      <c r="J490" s="518"/>
      <c r="K490" s="518"/>
      <c r="L490" s="518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  <c r="AB490" s="518"/>
      <c r="AC490" s="518"/>
      <c r="AD490" s="518"/>
      <c r="AE490" s="518"/>
      <c r="AF490" s="518"/>
      <c r="AG490" s="518"/>
      <c r="AH490" s="518"/>
      <c r="AI490" s="518"/>
      <c r="AJ490" s="518"/>
      <c r="AK490" s="518"/>
      <c r="AL490" s="518"/>
      <c r="AM490" s="518"/>
      <c r="AN490" s="518"/>
      <c r="AO490" s="518"/>
      <c r="AP490" s="518"/>
      <c r="AQ490" s="518"/>
      <c r="AR490" s="518"/>
      <c r="AS490" s="518"/>
      <c r="AT490" s="518"/>
    </row>
    <row r="491" spans="3:46" ht="12.75" customHeight="1">
      <c r="C491" s="518"/>
      <c r="D491" s="518"/>
      <c r="E491" s="518"/>
      <c r="F491" s="518"/>
      <c r="G491" s="518"/>
      <c r="H491" s="518"/>
      <c r="I491" s="518"/>
      <c r="J491" s="518"/>
      <c r="K491" s="518"/>
      <c r="L491" s="518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  <c r="AB491" s="518"/>
      <c r="AC491" s="518"/>
      <c r="AD491" s="518"/>
      <c r="AE491" s="518"/>
      <c r="AF491" s="518"/>
      <c r="AG491" s="518"/>
      <c r="AH491" s="518"/>
      <c r="AI491" s="518"/>
      <c r="AJ491" s="518"/>
      <c r="AK491" s="518"/>
      <c r="AL491" s="518"/>
      <c r="AM491" s="518"/>
      <c r="AN491" s="518"/>
      <c r="AO491" s="518"/>
      <c r="AP491" s="518"/>
      <c r="AQ491" s="518"/>
      <c r="AR491" s="518"/>
      <c r="AS491" s="518"/>
      <c r="AT491" s="518"/>
    </row>
    <row r="492" spans="3:46" ht="12.75" customHeight="1">
      <c r="C492" s="518"/>
      <c r="D492" s="518"/>
      <c r="E492" s="518"/>
      <c r="F492" s="518"/>
      <c r="G492" s="518"/>
      <c r="H492" s="518"/>
      <c r="I492" s="518"/>
      <c r="J492" s="518"/>
      <c r="K492" s="518"/>
      <c r="L492" s="518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  <c r="AB492" s="518"/>
      <c r="AC492" s="518"/>
      <c r="AD492" s="518"/>
      <c r="AE492" s="518"/>
      <c r="AF492" s="518"/>
      <c r="AG492" s="518"/>
      <c r="AH492" s="518"/>
      <c r="AI492" s="518"/>
      <c r="AJ492" s="518"/>
      <c r="AK492" s="518"/>
      <c r="AL492" s="518"/>
      <c r="AM492" s="518"/>
      <c r="AN492" s="518"/>
      <c r="AO492" s="518"/>
      <c r="AP492" s="518"/>
      <c r="AQ492" s="518"/>
      <c r="AR492" s="518"/>
      <c r="AS492" s="518"/>
      <c r="AT492" s="518"/>
    </row>
    <row r="493" spans="3:46" ht="12.75" customHeight="1">
      <c r="C493" s="518"/>
      <c r="D493" s="518"/>
      <c r="E493" s="518"/>
      <c r="F493" s="518"/>
      <c r="G493" s="518"/>
      <c r="H493" s="518"/>
      <c r="I493" s="518"/>
      <c r="J493" s="518"/>
      <c r="K493" s="518"/>
      <c r="L493" s="518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  <c r="AB493" s="518"/>
      <c r="AC493" s="518"/>
      <c r="AD493" s="518"/>
      <c r="AE493" s="518"/>
      <c r="AF493" s="518"/>
      <c r="AG493" s="518"/>
      <c r="AH493" s="518"/>
      <c r="AI493" s="518"/>
      <c r="AJ493" s="518"/>
      <c r="AK493" s="518"/>
      <c r="AL493" s="518"/>
      <c r="AM493" s="518"/>
      <c r="AN493" s="518"/>
      <c r="AO493" s="518"/>
      <c r="AP493" s="518"/>
      <c r="AQ493" s="518"/>
      <c r="AR493" s="518"/>
      <c r="AS493" s="518"/>
      <c r="AT493" s="518"/>
    </row>
    <row r="494" spans="3:46" ht="12.75" customHeight="1">
      <c r="C494" s="518"/>
      <c r="D494" s="518"/>
      <c r="E494" s="518"/>
      <c r="F494" s="518"/>
      <c r="G494" s="518"/>
      <c r="H494" s="518"/>
      <c r="I494" s="518"/>
      <c r="J494" s="518"/>
      <c r="K494" s="518"/>
      <c r="L494" s="518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  <c r="AB494" s="518"/>
      <c r="AC494" s="518"/>
      <c r="AD494" s="518"/>
      <c r="AE494" s="518"/>
      <c r="AF494" s="518"/>
      <c r="AG494" s="518"/>
      <c r="AH494" s="518"/>
      <c r="AI494" s="518"/>
      <c r="AJ494" s="518"/>
      <c r="AK494" s="518"/>
      <c r="AL494" s="518"/>
      <c r="AM494" s="518"/>
      <c r="AN494" s="518"/>
      <c r="AO494" s="518"/>
      <c r="AP494" s="518"/>
      <c r="AQ494" s="518"/>
      <c r="AR494" s="518"/>
      <c r="AS494" s="518"/>
      <c r="AT494" s="518"/>
    </row>
    <row r="495" spans="3:46" ht="12.75" customHeight="1">
      <c r="C495" s="518"/>
      <c r="D495" s="518"/>
      <c r="E495" s="518"/>
      <c r="F495" s="518"/>
      <c r="G495" s="518"/>
      <c r="H495" s="518"/>
      <c r="I495" s="518"/>
      <c r="J495" s="518"/>
      <c r="K495" s="518"/>
      <c r="L495" s="518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  <c r="AB495" s="518"/>
      <c r="AC495" s="518"/>
      <c r="AD495" s="518"/>
      <c r="AE495" s="518"/>
      <c r="AF495" s="518"/>
      <c r="AG495" s="518"/>
      <c r="AH495" s="518"/>
      <c r="AI495" s="518"/>
      <c r="AJ495" s="518"/>
      <c r="AK495" s="518"/>
      <c r="AL495" s="518"/>
      <c r="AM495" s="518"/>
      <c r="AN495" s="518"/>
      <c r="AO495" s="518"/>
      <c r="AP495" s="518"/>
      <c r="AQ495" s="518"/>
      <c r="AR495" s="518"/>
      <c r="AS495" s="518"/>
      <c r="AT495" s="518"/>
    </row>
    <row r="496" spans="3:46" ht="12.75" customHeight="1">
      <c r="C496" s="518"/>
      <c r="D496" s="518"/>
      <c r="E496" s="518"/>
      <c r="F496" s="518"/>
      <c r="G496" s="518"/>
      <c r="H496" s="518"/>
      <c r="I496" s="518"/>
      <c r="J496" s="518"/>
      <c r="K496" s="518"/>
      <c r="L496" s="518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  <c r="AB496" s="518"/>
      <c r="AC496" s="518"/>
      <c r="AD496" s="518"/>
      <c r="AE496" s="518"/>
      <c r="AF496" s="518"/>
      <c r="AG496" s="518"/>
      <c r="AH496" s="518"/>
      <c r="AI496" s="518"/>
      <c r="AJ496" s="518"/>
      <c r="AK496" s="518"/>
      <c r="AL496" s="518"/>
      <c r="AM496" s="518"/>
      <c r="AN496" s="518"/>
      <c r="AO496" s="518"/>
      <c r="AP496" s="518"/>
      <c r="AQ496" s="518"/>
      <c r="AR496" s="518"/>
      <c r="AS496" s="518"/>
      <c r="AT496" s="518"/>
    </row>
    <row r="497" spans="3:46" ht="12.75" customHeight="1">
      <c r="C497" s="518"/>
      <c r="D497" s="518"/>
      <c r="E497" s="518"/>
      <c r="F497" s="518"/>
      <c r="G497" s="518"/>
      <c r="H497" s="518"/>
      <c r="I497" s="518"/>
      <c r="J497" s="518"/>
      <c r="K497" s="518"/>
      <c r="L497" s="518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  <c r="AB497" s="518"/>
      <c r="AC497" s="518"/>
      <c r="AD497" s="518"/>
      <c r="AE497" s="518"/>
      <c r="AF497" s="518"/>
      <c r="AG497" s="518"/>
      <c r="AH497" s="518"/>
      <c r="AI497" s="518"/>
      <c r="AJ497" s="518"/>
      <c r="AK497" s="518"/>
      <c r="AL497" s="518"/>
      <c r="AM497" s="518"/>
      <c r="AN497" s="518"/>
      <c r="AO497" s="518"/>
      <c r="AP497" s="518"/>
      <c r="AQ497" s="518"/>
      <c r="AR497" s="518"/>
      <c r="AS497" s="518"/>
      <c r="AT497" s="518"/>
    </row>
    <row r="498" spans="3:46" ht="12.75" customHeight="1">
      <c r="C498" s="518"/>
      <c r="D498" s="518"/>
      <c r="E498" s="518"/>
      <c r="F498" s="518"/>
      <c r="G498" s="518"/>
      <c r="H498" s="518"/>
      <c r="I498" s="518"/>
      <c r="J498" s="518"/>
      <c r="K498" s="518"/>
      <c r="L498" s="518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  <c r="AB498" s="518"/>
      <c r="AC498" s="518"/>
      <c r="AD498" s="518"/>
      <c r="AE498" s="518"/>
      <c r="AF498" s="518"/>
      <c r="AG498" s="518"/>
      <c r="AH498" s="518"/>
      <c r="AI498" s="518"/>
      <c r="AJ498" s="518"/>
      <c r="AK498" s="518"/>
      <c r="AL498" s="518"/>
      <c r="AM498" s="518"/>
      <c r="AN498" s="518"/>
      <c r="AO498" s="518"/>
      <c r="AP498" s="518"/>
      <c r="AQ498" s="518"/>
      <c r="AR498" s="518"/>
      <c r="AS498" s="518"/>
      <c r="AT498" s="518"/>
    </row>
    <row r="499" spans="3:46" ht="12.75" customHeight="1">
      <c r="C499" s="518"/>
      <c r="D499" s="518"/>
      <c r="E499" s="518"/>
      <c r="F499" s="518"/>
      <c r="G499" s="518"/>
      <c r="H499" s="518"/>
      <c r="I499" s="518"/>
      <c r="J499" s="518"/>
      <c r="K499" s="518"/>
      <c r="L499" s="518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  <c r="AB499" s="518"/>
      <c r="AC499" s="518"/>
      <c r="AD499" s="518"/>
      <c r="AE499" s="518"/>
      <c r="AF499" s="518"/>
      <c r="AG499" s="518"/>
      <c r="AH499" s="518"/>
      <c r="AI499" s="518"/>
      <c r="AJ499" s="518"/>
      <c r="AK499" s="518"/>
      <c r="AL499" s="518"/>
      <c r="AM499" s="518"/>
      <c r="AN499" s="518"/>
      <c r="AO499" s="518"/>
      <c r="AP499" s="518"/>
      <c r="AQ499" s="518"/>
      <c r="AR499" s="518"/>
      <c r="AS499" s="518"/>
      <c r="AT499" s="518"/>
    </row>
    <row r="500" spans="3:46" ht="12.75" customHeight="1">
      <c r="C500" s="518"/>
      <c r="D500" s="518"/>
      <c r="E500" s="518"/>
      <c r="F500" s="518"/>
      <c r="G500" s="518"/>
      <c r="H500" s="518"/>
      <c r="I500" s="518"/>
      <c r="J500" s="518"/>
      <c r="K500" s="518"/>
      <c r="L500" s="518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  <c r="AB500" s="518"/>
      <c r="AC500" s="518"/>
      <c r="AD500" s="518"/>
      <c r="AE500" s="518"/>
      <c r="AF500" s="518"/>
      <c r="AG500" s="518"/>
      <c r="AH500" s="518"/>
      <c r="AI500" s="518"/>
      <c r="AJ500" s="518"/>
      <c r="AK500" s="518"/>
      <c r="AL500" s="518"/>
      <c r="AM500" s="518"/>
      <c r="AN500" s="518"/>
      <c r="AO500" s="518"/>
      <c r="AP500" s="518"/>
      <c r="AQ500" s="518"/>
      <c r="AR500" s="518"/>
      <c r="AS500" s="518"/>
      <c r="AT500" s="518"/>
    </row>
    <row r="501" spans="3:46" ht="12.75" customHeight="1">
      <c r="C501" s="518"/>
      <c r="D501" s="518"/>
      <c r="E501" s="518"/>
      <c r="F501" s="518"/>
      <c r="G501" s="518"/>
      <c r="H501" s="518"/>
      <c r="I501" s="518"/>
      <c r="J501" s="518"/>
      <c r="K501" s="518"/>
      <c r="L501" s="518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  <c r="AB501" s="518"/>
      <c r="AC501" s="518"/>
      <c r="AD501" s="518"/>
      <c r="AE501" s="518"/>
      <c r="AF501" s="518"/>
      <c r="AG501" s="518"/>
      <c r="AH501" s="518"/>
      <c r="AI501" s="518"/>
      <c r="AJ501" s="518"/>
      <c r="AK501" s="518"/>
      <c r="AL501" s="518"/>
      <c r="AM501" s="518"/>
      <c r="AN501" s="518"/>
      <c r="AO501" s="518"/>
      <c r="AP501" s="518"/>
      <c r="AQ501" s="518"/>
      <c r="AR501" s="518"/>
      <c r="AS501" s="518"/>
      <c r="AT501" s="518"/>
    </row>
    <row r="502" spans="3:46" ht="12.75" customHeight="1"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</row>
    <row r="503" spans="3:46" ht="12.75" customHeight="1"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</row>
    <row r="504" spans="3:46" ht="12.75" customHeight="1"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</row>
    <row r="505" spans="3:46" ht="12.75" customHeight="1"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</row>
    <row r="506" spans="3:46" ht="12.75" customHeight="1"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</row>
    <row r="507" spans="3:46" ht="12.75" customHeight="1"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</row>
    <row r="508" spans="3:46" ht="12.75" customHeight="1"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</row>
    <row r="509" spans="3:46" ht="12.75" customHeight="1"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</row>
    <row r="510" spans="3:46" ht="12.75" customHeight="1"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</row>
    <row r="511" spans="3:46" ht="12.75" customHeight="1"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</row>
    <row r="512" spans="3:46" ht="12.75" customHeight="1"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</row>
    <row r="513" spans="3:46" ht="12.75" customHeight="1"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</row>
    <row r="514" spans="3:46" ht="12.75" customHeight="1"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</row>
    <row r="515" spans="3:46" ht="12.75" customHeight="1"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</row>
    <row r="516" spans="3:46" ht="12.75" customHeight="1"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</row>
    <row r="517" spans="3:46" ht="12.75" customHeight="1"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8"/>
      <c r="AQ517" s="518"/>
      <c r="AR517" s="518"/>
      <c r="AS517" s="518"/>
      <c r="AT517" s="518"/>
    </row>
    <row r="518" spans="3:46" ht="12.75" customHeight="1"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8"/>
      <c r="AQ518" s="518"/>
      <c r="AR518" s="518"/>
      <c r="AS518" s="518"/>
      <c r="AT518" s="518"/>
    </row>
    <row r="519" spans="3:46" ht="12.75" customHeight="1"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8"/>
      <c r="AQ519" s="518"/>
      <c r="AR519" s="518"/>
      <c r="AS519" s="518"/>
      <c r="AT519" s="518"/>
    </row>
    <row r="520" spans="3:46" ht="12.75" customHeight="1"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  <c r="AB520" s="518"/>
      <c r="AC520" s="518"/>
      <c r="AD520" s="518"/>
      <c r="AE520" s="518"/>
      <c r="AF520" s="518"/>
      <c r="AG520" s="518"/>
      <c r="AH520" s="518"/>
      <c r="AI520" s="518"/>
      <c r="AJ520" s="518"/>
      <c r="AK520" s="518"/>
      <c r="AL520" s="518"/>
      <c r="AM520" s="518"/>
      <c r="AN520" s="518"/>
      <c r="AO520" s="518"/>
      <c r="AP520" s="518"/>
      <c r="AQ520" s="518"/>
      <c r="AR520" s="518"/>
      <c r="AS520" s="518"/>
      <c r="AT520" s="518"/>
    </row>
    <row r="521" spans="3:46" ht="12.75" customHeight="1"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8"/>
      <c r="AQ521" s="518"/>
      <c r="AR521" s="518"/>
      <c r="AS521" s="518"/>
      <c r="AT521" s="518"/>
    </row>
    <row r="522" spans="3:46" ht="12.75" customHeight="1"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8"/>
      <c r="AQ522" s="518"/>
      <c r="AR522" s="518"/>
      <c r="AS522" s="518"/>
      <c r="AT522" s="518"/>
    </row>
    <row r="523" spans="3:46" ht="12.75" customHeight="1"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8"/>
      <c r="AQ523" s="518"/>
      <c r="AR523" s="518"/>
      <c r="AS523" s="518"/>
      <c r="AT523" s="518"/>
    </row>
    <row r="524" spans="3:46" ht="12.75" customHeight="1"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8"/>
      <c r="AQ524" s="518"/>
      <c r="AR524" s="518"/>
      <c r="AS524" s="518"/>
      <c r="AT524" s="518"/>
    </row>
    <row r="525" spans="3:46" ht="12.75" customHeight="1"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  <c r="AB525" s="518"/>
      <c r="AC525" s="518"/>
      <c r="AD525" s="518"/>
      <c r="AE525" s="518"/>
      <c r="AF525" s="518"/>
      <c r="AG525" s="518"/>
      <c r="AH525" s="518"/>
      <c r="AI525" s="518"/>
      <c r="AJ525" s="518"/>
      <c r="AK525" s="518"/>
      <c r="AL525" s="518"/>
      <c r="AM525" s="518"/>
      <c r="AN525" s="518"/>
      <c r="AO525" s="518"/>
      <c r="AP525" s="518"/>
      <c r="AQ525" s="518"/>
      <c r="AR525" s="518"/>
      <c r="AS525" s="518"/>
      <c r="AT525" s="518"/>
    </row>
    <row r="526" spans="3:46" ht="12.75" customHeight="1"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8"/>
      <c r="AQ526" s="518"/>
      <c r="AR526" s="518"/>
      <c r="AS526" s="518"/>
      <c r="AT526" s="518"/>
    </row>
    <row r="527" spans="3:46" ht="12.75" customHeight="1"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8"/>
      <c r="AQ527" s="518"/>
      <c r="AR527" s="518"/>
      <c r="AS527" s="518"/>
      <c r="AT527" s="518"/>
    </row>
    <row r="528" spans="3:46" ht="12.75" customHeight="1"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8"/>
      <c r="AQ528" s="518"/>
      <c r="AR528" s="518"/>
      <c r="AS528" s="518"/>
      <c r="AT528" s="518"/>
    </row>
    <row r="529" spans="3:46" ht="12.75" customHeight="1"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  <c r="AB529" s="518"/>
      <c r="AC529" s="518"/>
      <c r="AD529" s="518"/>
      <c r="AE529" s="518"/>
      <c r="AF529" s="518"/>
      <c r="AG529" s="518"/>
      <c r="AH529" s="518"/>
      <c r="AI529" s="518"/>
      <c r="AJ529" s="518"/>
      <c r="AK529" s="518"/>
      <c r="AL529" s="518"/>
      <c r="AM529" s="518"/>
      <c r="AN529" s="518"/>
      <c r="AO529" s="518"/>
      <c r="AP529" s="518"/>
      <c r="AQ529" s="518"/>
      <c r="AR529" s="518"/>
      <c r="AS529" s="518"/>
      <c r="AT529" s="518"/>
    </row>
    <row r="530" spans="3:46" ht="12.75" customHeight="1"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8"/>
      <c r="AQ530" s="518"/>
      <c r="AR530" s="518"/>
      <c r="AS530" s="518"/>
      <c r="AT530" s="518"/>
    </row>
    <row r="531" spans="3:46" ht="12.75" customHeight="1">
      <c r="C531" s="518"/>
      <c r="D531" s="518"/>
      <c r="E531" s="518"/>
      <c r="F531" s="518"/>
      <c r="G531" s="518"/>
      <c r="H531" s="518"/>
      <c r="I531" s="518"/>
      <c r="J531" s="518"/>
      <c r="K531" s="518"/>
      <c r="L531" s="518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  <c r="AB531" s="518"/>
      <c r="AC531" s="518"/>
      <c r="AD531" s="518"/>
      <c r="AE531" s="518"/>
      <c r="AF531" s="518"/>
      <c r="AG531" s="518"/>
      <c r="AH531" s="518"/>
      <c r="AI531" s="518"/>
      <c r="AJ531" s="518"/>
      <c r="AK531" s="518"/>
      <c r="AL531" s="518"/>
      <c r="AM531" s="518"/>
      <c r="AN531" s="518"/>
      <c r="AO531" s="518"/>
      <c r="AP531" s="518"/>
      <c r="AQ531" s="518"/>
      <c r="AR531" s="518"/>
      <c r="AS531" s="518"/>
      <c r="AT531" s="518"/>
    </row>
    <row r="532" spans="3:46" ht="12.75" customHeight="1">
      <c r="C532" s="518"/>
      <c r="D532" s="518"/>
      <c r="E532" s="518"/>
      <c r="F532" s="518"/>
      <c r="G532" s="518"/>
      <c r="H532" s="518"/>
      <c r="I532" s="518"/>
      <c r="J532" s="518"/>
      <c r="K532" s="518"/>
      <c r="L532" s="518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  <c r="AB532" s="518"/>
      <c r="AC532" s="518"/>
      <c r="AD532" s="518"/>
      <c r="AE532" s="518"/>
      <c r="AF532" s="518"/>
      <c r="AG532" s="518"/>
      <c r="AH532" s="518"/>
      <c r="AI532" s="518"/>
      <c r="AJ532" s="518"/>
      <c r="AK532" s="518"/>
      <c r="AL532" s="518"/>
      <c r="AM532" s="518"/>
      <c r="AN532" s="518"/>
      <c r="AO532" s="518"/>
      <c r="AP532" s="518"/>
      <c r="AQ532" s="518"/>
      <c r="AR532" s="518"/>
      <c r="AS532" s="518"/>
      <c r="AT532" s="518"/>
    </row>
    <row r="533" spans="3:46" ht="12.75" customHeight="1"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  <c r="AB533" s="518"/>
      <c r="AC533" s="518"/>
      <c r="AD533" s="518"/>
      <c r="AE533" s="518"/>
      <c r="AF533" s="518"/>
      <c r="AG533" s="518"/>
      <c r="AH533" s="518"/>
      <c r="AI533" s="518"/>
      <c r="AJ533" s="518"/>
      <c r="AK533" s="518"/>
      <c r="AL533" s="518"/>
      <c r="AM533" s="518"/>
      <c r="AN533" s="518"/>
      <c r="AO533" s="518"/>
      <c r="AP533" s="518"/>
      <c r="AQ533" s="518"/>
      <c r="AR533" s="518"/>
      <c r="AS533" s="518"/>
      <c r="AT533" s="518"/>
    </row>
    <row r="534" spans="3:46" ht="12.75" customHeight="1"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8"/>
      <c r="AQ534" s="518"/>
      <c r="AR534" s="518"/>
      <c r="AS534" s="518"/>
      <c r="AT534" s="518"/>
    </row>
    <row r="535" spans="3:46" ht="12.75" customHeight="1"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8"/>
      <c r="AQ535" s="518"/>
      <c r="AR535" s="518"/>
      <c r="AS535" s="518"/>
      <c r="AT535" s="518"/>
    </row>
    <row r="536" spans="3:46" ht="12.75" customHeight="1">
      <c r="C536" s="518"/>
      <c r="D536" s="518"/>
      <c r="E536" s="518"/>
      <c r="F536" s="518"/>
      <c r="G536" s="518"/>
      <c r="H536" s="518"/>
      <c r="I536" s="518"/>
      <c r="J536" s="518"/>
      <c r="K536" s="518"/>
      <c r="L536" s="518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  <c r="AB536" s="518"/>
      <c r="AC536" s="518"/>
      <c r="AD536" s="518"/>
      <c r="AE536" s="518"/>
      <c r="AF536" s="518"/>
      <c r="AG536" s="518"/>
      <c r="AH536" s="518"/>
      <c r="AI536" s="518"/>
      <c r="AJ536" s="518"/>
      <c r="AK536" s="518"/>
      <c r="AL536" s="518"/>
      <c r="AM536" s="518"/>
      <c r="AN536" s="518"/>
      <c r="AO536" s="518"/>
      <c r="AP536" s="518"/>
      <c r="AQ536" s="518"/>
      <c r="AR536" s="518"/>
      <c r="AS536" s="518"/>
      <c r="AT536" s="518"/>
    </row>
    <row r="537" spans="3:46" ht="12.75" customHeight="1">
      <c r="C537" s="518"/>
      <c r="D537" s="518"/>
      <c r="E537" s="518"/>
      <c r="F537" s="518"/>
      <c r="G537" s="518"/>
      <c r="H537" s="518"/>
      <c r="I537" s="518"/>
      <c r="J537" s="518"/>
      <c r="K537" s="518"/>
      <c r="L537" s="518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  <c r="AB537" s="518"/>
      <c r="AC537" s="518"/>
      <c r="AD537" s="518"/>
      <c r="AE537" s="518"/>
      <c r="AF537" s="518"/>
      <c r="AG537" s="518"/>
      <c r="AH537" s="518"/>
      <c r="AI537" s="518"/>
      <c r="AJ537" s="518"/>
      <c r="AK537" s="518"/>
      <c r="AL537" s="518"/>
      <c r="AM537" s="518"/>
      <c r="AN537" s="518"/>
      <c r="AO537" s="518"/>
      <c r="AP537" s="518"/>
      <c r="AQ537" s="518"/>
      <c r="AR537" s="518"/>
      <c r="AS537" s="518"/>
      <c r="AT537" s="518"/>
    </row>
    <row r="538" spans="3:46" ht="12.75" customHeight="1">
      <c r="C538" s="518"/>
      <c r="D538" s="518"/>
      <c r="E538" s="518"/>
      <c r="F538" s="518"/>
      <c r="G538" s="518"/>
      <c r="H538" s="518"/>
      <c r="I538" s="518"/>
      <c r="J538" s="518"/>
      <c r="K538" s="518"/>
      <c r="L538" s="518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  <c r="AB538" s="518"/>
      <c r="AC538" s="518"/>
      <c r="AD538" s="518"/>
      <c r="AE538" s="518"/>
      <c r="AF538" s="518"/>
      <c r="AG538" s="518"/>
      <c r="AH538" s="518"/>
      <c r="AI538" s="518"/>
      <c r="AJ538" s="518"/>
      <c r="AK538" s="518"/>
      <c r="AL538" s="518"/>
      <c r="AM538" s="518"/>
      <c r="AN538" s="518"/>
      <c r="AO538" s="518"/>
      <c r="AP538" s="518"/>
      <c r="AQ538" s="518"/>
      <c r="AR538" s="518"/>
      <c r="AS538" s="518"/>
      <c r="AT538" s="518"/>
    </row>
    <row r="539" spans="3:46" ht="12.75" customHeight="1">
      <c r="C539" s="518"/>
      <c r="D539" s="518"/>
      <c r="E539" s="518"/>
      <c r="F539" s="518"/>
      <c r="G539" s="518"/>
      <c r="H539" s="518"/>
      <c r="I539" s="518"/>
      <c r="J539" s="518"/>
      <c r="K539" s="518"/>
      <c r="L539" s="518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  <c r="AB539" s="518"/>
      <c r="AC539" s="518"/>
      <c r="AD539" s="518"/>
      <c r="AE539" s="518"/>
      <c r="AF539" s="518"/>
      <c r="AG539" s="518"/>
      <c r="AH539" s="518"/>
      <c r="AI539" s="518"/>
      <c r="AJ539" s="518"/>
      <c r="AK539" s="518"/>
      <c r="AL539" s="518"/>
      <c r="AM539" s="518"/>
      <c r="AN539" s="518"/>
      <c r="AO539" s="518"/>
      <c r="AP539" s="518"/>
      <c r="AQ539" s="518"/>
      <c r="AR539" s="518"/>
      <c r="AS539" s="518"/>
      <c r="AT539" s="518"/>
    </row>
    <row r="540" spans="3:46" ht="12.75" customHeight="1">
      <c r="C540" s="518"/>
      <c r="D540" s="518"/>
      <c r="E540" s="518"/>
      <c r="F540" s="518"/>
      <c r="G540" s="518"/>
      <c r="H540" s="518"/>
      <c r="I540" s="518"/>
      <c r="J540" s="518"/>
      <c r="K540" s="518"/>
      <c r="L540" s="518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  <c r="AB540" s="518"/>
      <c r="AC540" s="518"/>
      <c r="AD540" s="518"/>
      <c r="AE540" s="518"/>
      <c r="AF540" s="518"/>
      <c r="AG540" s="518"/>
      <c r="AH540" s="518"/>
      <c r="AI540" s="518"/>
      <c r="AJ540" s="518"/>
      <c r="AK540" s="518"/>
      <c r="AL540" s="518"/>
      <c r="AM540" s="518"/>
      <c r="AN540" s="518"/>
      <c r="AO540" s="518"/>
      <c r="AP540" s="518"/>
      <c r="AQ540" s="518"/>
      <c r="AR540" s="518"/>
      <c r="AS540" s="518"/>
      <c r="AT540" s="518"/>
    </row>
    <row r="541" spans="3:46" ht="12.75" customHeight="1">
      <c r="C541" s="518"/>
      <c r="D541" s="518"/>
      <c r="E541" s="518"/>
      <c r="F541" s="518"/>
      <c r="G541" s="518"/>
      <c r="H541" s="518"/>
      <c r="I541" s="518"/>
      <c r="J541" s="518"/>
      <c r="K541" s="518"/>
      <c r="L541" s="518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  <c r="AB541" s="518"/>
      <c r="AC541" s="518"/>
      <c r="AD541" s="518"/>
      <c r="AE541" s="518"/>
      <c r="AF541" s="518"/>
      <c r="AG541" s="518"/>
      <c r="AH541" s="518"/>
      <c r="AI541" s="518"/>
      <c r="AJ541" s="518"/>
      <c r="AK541" s="518"/>
      <c r="AL541" s="518"/>
      <c r="AM541" s="518"/>
      <c r="AN541" s="518"/>
      <c r="AO541" s="518"/>
      <c r="AP541" s="518"/>
      <c r="AQ541" s="518"/>
      <c r="AR541" s="518"/>
      <c r="AS541" s="518"/>
      <c r="AT541" s="518"/>
    </row>
    <row r="542" spans="3:46" ht="12.75" customHeight="1">
      <c r="C542" s="518"/>
      <c r="D542" s="518"/>
      <c r="E542" s="518"/>
      <c r="F542" s="518"/>
      <c r="G542" s="518"/>
      <c r="H542" s="518"/>
      <c r="I542" s="518"/>
      <c r="J542" s="518"/>
      <c r="K542" s="518"/>
      <c r="L542" s="518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  <c r="AB542" s="518"/>
      <c r="AC542" s="518"/>
      <c r="AD542" s="518"/>
      <c r="AE542" s="518"/>
      <c r="AF542" s="518"/>
      <c r="AG542" s="518"/>
      <c r="AH542" s="518"/>
      <c r="AI542" s="518"/>
      <c r="AJ542" s="518"/>
      <c r="AK542" s="518"/>
      <c r="AL542" s="518"/>
      <c r="AM542" s="518"/>
      <c r="AN542" s="518"/>
      <c r="AO542" s="518"/>
      <c r="AP542" s="518"/>
      <c r="AQ542" s="518"/>
      <c r="AR542" s="518"/>
      <c r="AS542" s="518"/>
      <c r="AT542" s="518"/>
    </row>
    <row r="543" spans="3:46" ht="12.75" customHeight="1">
      <c r="C543" s="518"/>
      <c r="D543" s="518"/>
      <c r="E543" s="518"/>
      <c r="F543" s="518"/>
      <c r="G543" s="518"/>
      <c r="H543" s="518"/>
      <c r="I543" s="518"/>
      <c r="J543" s="518"/>
      <c r="K543" s="518"/>
      <c r="L543" s="518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  <c r="AB543" s="518"/>
      <c r="AC543" s="518"/>
      <c r="AD543" s="518"/>
      <c r="AE543" s="518"/>
      <c r="AF543" s="518"/>
      <c r="AG543" s="518"/>
      <c r="AH543" s="518"/>
      <c r="AI543" s="518"/>
      <c r="AJ543" s="518"/>
      <c r="AK543" s="518"/>
      <c r="AL543" s="518"/>
      <c r="AM543" s="518"/>
      <c r="AN543" s="518"/>
      <c r="AO543" s="518"/>
      <c r="AP543" s="518"/>
      <c r="AQ543" s="518"/>
      <c r="AR543" s="518"/>
      <c r="AS543" s="518"/>
      <c r="AT543" s="518"/>
    </row>
    <row r="544" spans="3:46" ht="12.75" customHeight="1">
      <c r="C544" s="518"/>
      <c r="D544" s="518"/>
      <c r="E544" s="518"/>
      <c r="F544" s="518"/>
      <c r="G544" s="518"/>
      <c r="H544" s="518"/>
      <c r="I544" s="518"/>
      <c r="J544" s="518"/>
      <c r="K544" s="518"/>
      <c r="L544" s="518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  <c r="AB544" s="518"/>
      <c r="AC544" s="518"/>
      <c r="AD544" s="518"/>
      <c r="AE544" s="518"/>
      <c r="AF544" s="518"/>
      <c r="AG544" s="518"/>
      <c r="AH544" s="518"/>
      <c r="AI544" s="518"/>
      <c r="AJ544" s="518"/>
      <c r="AK544" s="518"/>
      <c r="AL544" s="518"/>
      <c r="AM544" s="518"/>
      <c r="AN544" s="518"/>
      <c r="AO544" s="518"/>
      <c r="AP544" s="518"/>
      <c r="AQ544" s="518"/>
      <c r="AR544" s="518"/>
      <c r="AS544" s="518"/>
      <c r="AT544" s="518"/>
    </row>
    <row r="545" spans="3:46" ht="12.75" customHeight="1">
      <c r="C545" s="518"/>
      <c r="D545" s="518"/>
      <c r="E545" s="518"/>
      <c r="F545" s="518"/>
      <c r="G545" s="518"/>
      <c r="H545" s="518"/>
      <c r="I545" s="518"/>
      <c r="J545" s="518"/>
      <c r="K545" s="518"/>
      <c r="L545" s="518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  <c r="AB545" s="518"/>
      <c r="AC545" s="518"/>
      <c r="AD545" s="518"/>
      <c r="AE545" s="518"/>
      <c r="AF545" s="518"/>
      <c r="AG545" s="518"/>
      <c r="AH545" s="518"/>
      <c r="AI545" s="518"/>
      <c r="AJ545" s="518"/>
      <c r="AK545" s="518"/>
      <c r="AL545" s="518"/>
      <c r="AM545" s="518"/>
      <c r="AN545" s="518"/>
      <c r="AO545" s="518"/>
      <c r="AP545" s="518"/>
      <c r="AQ545" s="518"/>
      <c r="AR545" s="518"/>
      <c r="AS545" s="518"/>
      <c r="AT545" s="518"/>
    </row>
    <row r="546" spans="3:46" ht="12.75" customHeight="1"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  <c r="AB546" s="518"/>
      <c r="AC546" s="518"/>
      <c r="AD546" s="518"/>
      <c r="AE546" s="518"/>
      <c r="AF546" s="518"/>
      <c r="AG546" s="518"/>
      <c r="AH546" s="518"/>
      <c r="AI546" s="518"/>
      <c r="AJ546" s="518"/>
      <c r="AK546" s="518"/>
      <c r="AL546" s="518"/>
      <c r="AM546" s="518"/>
      <c r="AN546" s="518"/>
      <c r="AO546" s="518"/>
      <c r="AP546" s="518"/>
      <c r="AQ546" s="518"/>
      <c r="AR546" s="518"/>
      <c r="AS546" s="518"/>
      <c r="AT546" s="518"/>
    </row>
    <row r="547" spans="3:46" ht="12.75" customHeight="1"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8"/>
      <c r="AQ547" s="518"/>
      <c r="AR547" s="518"/>
      <c r="AS547" s="518"/>
      <c r="AT547" s="518"/>
    </row>
    <row r="548" spans="3:46" ht="12.75" customHeight="1">
      <c r="C548" s="518"/>
      <c r="D548" s="518"/>
      <c r="E548" s="518"/>
      <c r="F548" s="518"/>
      <c r="G548" s="518"/>
      <c r="H548" s="518"/>
      <c r="I548" s="518"/>
      <c r="J548" s="518"/>
      <c r="K548" s="518"/>
      <c r="L548" s="518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  <c r="AB548" s="518"/>
      <c r="AC548" s="518"/>
      <c r="AD548" s="518"/>
      <c r="AE548" s="518"/>
      <c r="AF548" s="518"/>
      <c r="AG548" s="518"/>
      <c r="AH548" s="518"/>
      <c r="AI548" s="518"/>
      <c r="AJ548" s="518"/>
      <c r="AK548" s="518"/>
      <c r="AL548" s="518"/>
      <c r="AM548" s="518"/>
      <c r="AN548" s="518"/>
      <c r="AO548" s="518"/>
      <c r="AP548" s="518"/>
      <c r="AQ548" s="518"/>
      <c r="AR548" s="518"/>
      <c r="AS548" s="518"/>
      <c r="AT548" s="518"/>
    </row>
    <row r="549" spans="3:46" ht="12.75" customHeight="1">
      <c r="C549" s="518"/>
      <c r="D549" s="518"/>
      <c r="E549" s="518"/>
      <c r="F549" s="518"/>
      <c r="G549" s="518"/>
      <c r="H549" s="518"/>
      <c r="I549" s="518"/>
      <c r="J549" s="518"/>
      <c r="K549" s="518"/>
      <c r="L549" s="518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  <c r="AB549" s="518"/>
      <c r="AC549" s="518"/>
      <c r="AD549" s="518"/>
      <c r="AE549" s="518"/>
      <c r="AF549" s="518"/>
      <c r="AG549" s="518"/>
      <c r="AH549" s="518"/>
      <c r="AI549" s="518"/>
      <c r="AJ549" s="518"/>
      <c r="AK549" s="518"/>
      <c r="AL549" s="518"/>
      <c r="AM549" s="518"/>
      <c r="AN549" s="518"/>
      <c r="AO549" s="518"/>
      <c r="AP549" s="518"/>
      <c r="AQ549" s="518"/>
      <c r="AR549" s="518"/>
      <c r="AS549" s="518"/>
      <c r="AT549" s="518"/>
    </row>
    <row r="550" spans="3:46" ht="12.75" customHeight="1">
      <c r="C550" s="518"/>
      <c r="D550" s="518"/>
      <c r="E550" s="518"/>
      <c r="F550" s="518"/>
      <c r="G550" s="518"/>
      <c r="H550" s="518"/>
      <c r="I550" s="518"/>
      <c r="J550" s="518"/>
      <c r="K550" s="518"/>
      <c r="L550" s="518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  <c r="AB550" s="518"/>
      <c r="AC550" s="518"/>
      <c r="AD550" s="518"/>
      <c r="AE550" s="518"/>
      <c r="AF550" s="518"/>
      <c r="AG550" s="518"/>
      <c r="AH550" s="518"/>
      <c r="AI550" s="518"/>
      <c r="AJ550" s="518"/>
      <c r="AK550" s="518"/>
      <c r="AL550" s="518"/>
      <c r="AM550" s="518"/>
      <c r="AN550" s="518"/>
      <c r="AO550" s="518"/>
      <c r="AP550" s="518"/>
      <c r="AQ550" s="518"/>
      <c r="AR550" s="518"/>
      <c r="AS550" s="518"/>
      <c r="AT550" s="518"/>
    </row>
    <row r="551" spans="3:46" ht="12.75" customHeight="1">
      <c r="C551" s="518"/>
      <c r="D551" s="518"/>
      <c r="E551" s="518"/>
      <c r="F551" s="518"/>
      <c r="G551" s="518"/>
      <c r="H551" s="518"/>
      <c r="I551" s="518"/>
      <c r="J551" s="518"/>
      <c r="K551" s="518"/>
      <c r="L551" s="518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  <c r="AB551" s="518"/>
      <c r="AC551" s="518"/>
      <c r="AD551" s="518"/>
      <c r="AE551" s="518"/>
      <c r="AF551" s="518"/>
      <c r="AG551" s="518"/>
      <c r="AH551" s="518"/>
      <c r="AI551" s="518"/>
      <c r="AJ551" s="518"/>
      <c r="AK551" s="518"/>
      <c r="AL551" s="518"/>
      <c r="AM551" s="518"/>
      <c r="AN551" s="518"/>
      <c r="AO551" s="518"/>
      <c r="AP551" s="518"/>
      <c r="AQ551" s="518"/>
      <c r="AR551" s="518"/>
      <c r="AS551" s="518"/>
      <c r="AT551" s="518"/>
    </row>
    <row r="552" spans="3:46" ht="12.75" customHeight="1"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  <c r="AB552" s="518"/>
      <c r="AC552" s="518"/>
      <c r="AD552" s="518"/>
      <c r="AE552" s="518"/>
      <c r="AF552" s="518"/>
      <c r="AG552" s="518"/>
      <c r="AH552" s="518"/>
      <c r="AI552" s="518"/>
      <c r="AJ552" s="518"/>
      <c r="AK552" s="518"/>
      <c r="AL552" s="518"/>
      <c r="AM552" s="518"/>
      <c r="AN552" s="518"/>
      <c r="AO552" s="518"/>
      <c r="AP552" s="518"/>
      <c r="AQ552" s="518"/>
      <c r="AR552" s="518"/>
      <c r="AS552" s="518"/>
      <c r="AT552" s="518"/>
    </row>
    <row r="553" spans="3:46" ht="12.75" customHeight="1"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8"/>
      <c r="AQ553" s="518"/>
      <c r="AR553" s="518"/>
      <c r="AS553" s="518"/>
      <c r="AT553" s="518"/>
    </row>
    <row r="554" spans="3:46" ht="12.75" customHeight="1">
      <c r="C554" s="518"/>
      <c r="D554" s="518"/>
      <c r="E554" s="518"/>
      <c r="F554" s="518"/>
      <c r="G554" s="518"/>
      <c r="H554" s="518"/>
      <c r="I554" s="518"/>
      <c r="J554" s="518"/>
      <c r="K554" s="518"/>
      <c r="L554" s="518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  <c r="AB554" s="518"/>
      <c r="AC554" s="518"/>
      <c r="AD554" s="518"/>
      <c r="AE554" s="518"/>
      <c r="AF554" s="518"/>
      <c r="AG554" s="518"/>
      <c r="AH554" s="518"/>
      <c r="AI554" s="518"/>
      <c r="AJ554" s="518"/>
      <c r="AK554" s="518"/>
      <c r="AL554" s="518"/>
      <c r="AM554" s="518"/>
      <c r="AN554" s="518"/>
      <c r="AO554" s="518"/>
      <c r="AP554" s="518"/>
      <c r="AQ554" s="518"/>
      <c r="AR554" s="518"/>
      <c r="AS554" s="518"/>
      <c r="AT554" s="518"/>
    </row>
    <row r="555" spans="3:46" ht="12.75" customHeight="1">
      <c r="C555" s="518"/>
      <c r="D555" s="518"/>
      <c r="E555" s="518"/>
      <c r="F555" s="518"/>
      <c r="G555" s="518"/>
      <c r="H555" s="518"/>
      <c r="I555" s="518"/>
      <c r="J555" s="518"/>
      <c r="K555" s="518"/>
      <c r="L555" s="518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  <c r="AB555" s="518"/>
      <c r="AC555" s="518"/>
      <c r="AD555" s="518"/>
      <c r="AE555" s="518"/>
      <c r="AF555" s="518"/>
      <c r="AG555" s="518"/>
      <c r="AH555" s="518"/>
      <c r="AI555" s="518"/>
      <c r="AJ555" s="518"/>
      <c r="AK555" s="518"/>
      <c r="AL555" s="518"/>
      <c r="AM555" s="518"/>
      <c r="AN555" s="518"/>
      <c r="AO555" s="518"/>
      <c r="AP555" s="518"/>
      <c r="AQ555" s="518"/>
      <c r="AR555" s="518"/>
      <c r="AS555" s="518"/>
      <c r="AT555" s="518"/>
    </row>
    <row r="556" spans="3:46" ht="12.75" customHeight="1"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  <c r="AB556" s="518"/>
      <c r="AC556" s="518"/>
      <c r="AD556" s="518"/>
      <c r="AE556" s="518"/>
      <c r="AF556" s="518"/>
      <c r="AG556" s="518"/>
      <c r="AH556" s="518"/>
      <c r="AI556" s="518"/>
      <c r="AJ556" s="518"/>
      <c r="AK556" s="518"/>
      <c r="AL556" s="518"/>
      <c r="AM556" s="518"/>
      <c r="AN556" s="518"/>
      <c r="AO556" s="518"/>
      <c r="AP556" s="518"/>
      <c r="AQ556" s="518"/>
      <c r="AR556" s="518"/>
      <c r="AS556" s="518"/>
      <c r="AT556" s="518"/>
    </row>
    <row r="557" spans="3:46" ht="12.75" customHeight="1"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8"/>
      <c r="AQ557" s="518"/>
      <c r="AR557" s="518"/>
      <c r="AS557" s="518"/>
      <c r="AT557" s="518"/>
    </row>
    <row r="558" spans="3:46" ht="12.75" customHeight="1"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8"/>
      <c r="AQ558" s="518"/>
      <c r="AR558" s="518"/>
      <c r="AS558" s="518"/>
      <c r="AT558" s="518"/>
    </row>
    <row r="559" spans="3:46" ht="12.75" customHeight="1"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8"/>
      <c r="AQ559" s="518"/>
      <c r="AR559" s="518"/>
      <c r="AS559" s="518"/>
      <c r="AT559" s="518"/>
    </row>
    <row r="560" spans="3:46" ht="12.75" customHeight="1"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8"/>
      <c r="AQ560" s="518"/>
      <c r="AR560" s="518"/>
      <c r="AS560" s="518"/>
      <c r="AT560" s="518"/>
    </row>
    <row r="561" spans="3:46" ht="12.75" customHeight="1"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8"/>
      <c r="AQ561" s="518"/>
      <c r="AR561" s="518"/>
      <c r="AS561" s="518"/>
      <c r="AT561" s="518"/>
    </row>
    <row r="562" spans="3:46" ht="12.75" customHeight="1"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8"/>
      <c r="AQ562" s="518"/>
      <c r="AR562" s="518"/>
      <c r="AS562" s="518"/>
      <c r="AT562" s="518"/>
    </row>
    <row r="563" spans="3:46" ht="12.75" customHeight="1"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8"/>
      <c r="AQ563" s="518"/>
      <c r="AR563" s="518"/>
      <c r="AS563" s="518"/>
      <c r="AT563" s="518"/>
    </row>
    <row r="564" spans="3:46" ht="12.75" customHeight="1"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8"/>
      <c r="AQ564" s="518"/>
      <c r="AR564" s="518"/>
      <c r="AS564" s="518"/>
      <c r="AT564" s="518"/>
    </row>
    <row r="565" spans="3:46" ht="12.75" customHeight="1"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8"/>
      <c r="AQ565" s="518"/>
      <c r="AR565" s="518"/>
      <c r="AS565" s="518"/>
      <c r="AT565" s="518"/>
    </row>
    <row r="566" spans="3:46" ht="12.75" customHeight="1"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8"/>
      <c r="AQ566" s="518"/>
      <c r="AR566" s="518"/>
      <c r="AS566" s="518"/>
      <c r="AT566" s="518"/>
    </row>
    <row r="567" spans="3:46" ht="12.75" customHeight="1"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8"/>
      <c r="AQ567" s="518"/>
      <c r="AR567" s="518"/>
      <c r="AS567" s="518"/>
      <c r="AT567" s="518"/>
    </row>
    <row r="568" spans="3:46" ht="12.75" customHeight="1"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8"/>
      <c r="AQ568" s="518"/>
      <c r="AR568" s="518"/>
      <c r="AS568" s="518"/>
      <c r="AT568" s="518"/>
    </row>
    <row r="569" spans="3:46" ht="12.75" customHeight="1"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8"/>
      <c r="AQ569" s="518"/>
      <c r="AR569" s="518"/>
      <c r="AS569" s="518"/>
      <c r="AT569" s="518"/>
    </row>
    <row r="570" spans="3:46" ht="12.75" customHeight="1"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8"/>
      <c r="AQ570" s="518"/>
      <c r="AR570" s="518"/>
      <c r="AS570" s="518"/>
      <c r="AT570" s="518"/>
    </row>
    <row r="571" spans="3:46" ht="12.75" customHeight="1"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8"/>
      <c r="AQ571" s="518"/>
      <c r="AR571" s="518"/>
      <c r="AS571" s="518"/>
      <c r="AT571" s="518"/>
    </row>
    <row r="572" spans="3:46" ht="12.75" customHeight="1"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8"/>
      <c r="AQ572" s="518"/>
      <c r="AR572" s="518"/>
      <c r="AS572" s="518"/>
      <c r="AT572" s="518"/>
    </row>
    <row r="573" spans="3:46" ht="12.75" customHeight="1"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8"/>
      <c r="AQ573" s="518"/>
      <c r="AR573" s="518"/>
      <c r="AS573" s="518"/>
      <c r="AT573" s="518"/>
    </row>
    <row r="574" spans="3:46" ht="12.75" customHeight="1">
      <c r="C574" s="518"/>
      <c r="D574" s="518"/>
      <c r="E574" s="518"/>
      <c r="F574" s="518"/>
      <c r="G574" s="518"/>
      <c r="H574" s="518"/>
      <c r="I574" s="518"/>
      <c r="J574" s="518"/>
      <c r="K574" s="518"/>
      <c r="L574" s="518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  <c r="AB574" s="518"/>
      <c r="AC574" s="518"/>
      <c r="AD574" s="518"/>
      <c r="AE574" s="518"/>
      <c r="AF574" s="518"/>
      <c r="AG574" s="518"/>
      <c r="AH574" s="518"/>
      <c r="AI574" s="518"/>
      <c r="AJ574" s="518"/>
      <c r="AK574" s="518"/>
      <c r="AL574" s="518"/>
      <c r="AM574" s="518"/>
      <c r="AN574" s="518"/>
      <c r="AO574" s="518"/>
      <c r="AP574" s="518"/>
      <c r="AQ574" s="518"/>
      <c r="AR574" s="518"/>
      <c r="AS574" s="518"/>
      <c r="AT574" s="518"/>
    </row>
    <row r="575" spans="3:46" ht="12.75" customHeight="1">
      <c r="C575" s="518"/>
      <c r="D575" s="518"/>
      <c r="E575" s="518"/>
      <c r="F575" s="518"/>
      <c r="G575" s="518"/>
      <c r="H575" s="518"/>
      <c r="I575" s="518"/>
      <c r="J575" s="518"/>
      <c r="K575" s="518"/>
      <c r="L575" s="518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  <c r="AB575" s="518"/>
      <c r="AC575" s="518"/>
      <c r="AD575" s="518"/>
      <c r="AE575" s="518"/>
      <c r="AF575" s="518"/>
      <c r="AG575" s="518"/>
      <c r="AH575" s="518"/>
      <c r="AI575" s="518"/>
      <c r="AJ575" s="518"/>
      <c r="AK575" s="518"/>
      <c r="AL575" s="518"/>
      <c r="AM575" s="518"/>
      <c r="AN575" s="518"/>
      <c r="AO575" s="518"/>
      <c r="AP575" s="518"/>
      <c r="AQ575" s="518"/>
      <c r="AR575" s="518"/>
      <c r="AS575" s="518"/>
      <c r="AT575" s="518"/>
    </row>
    <row r="576" spans="3:46" ht="12.75" customHeight="1">
      <c r="C576" s="518"/>
      <c r="D576" s="518"/>
      <c r="E576" s="518"/>
      <c r="F576" s="518"/>
      <c r="G576" s="518"/>
      <c r="H576" s="518"/>
      <c r="I576" s="518"/>
      <c r="J576" s="518"/>
      <c r="K576" s="518"/>
      <c r="L576" s="518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  <c r="AB576" s="518"/>
      <c r="AC576" s="518"/>
      <c r="AD576" s="518"/>
      <c r="AE576" s="518"/>
      <c r="AF576" s="518"/>
      <c r="AG576" s="518"/>
      <c r="AH576" s="518"/>
      <c r="AI576" s="518"/>
      <c r="AJ576" s="518"/>
      <c r="AK576" s="518"/>
      <c r="AL576" s="518"/>
      <c r="AM576" s="518"/>
      <c r="AN576" s="518"/>
      <c r="AO576" s="518"/>
      <c r="AP576" s="518"/>
      <c r="AQ576" s="518"/>
      <c r="AR576" s="518"/>
      <c r="AS576" s="518"/>
      <c r="AT576" s="518"/>
    </row>
    <row r="577" spans="3:46" ht="12.75" customHeight="1"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  <c r="AB577" s="518"/>
      <c r="AC577" s="518"/>
      <c r="AD577" s="518"/>
      <c r="AE577" s="518"/>
      <c r="AF577" s="518"/>
      <c r="AG577" s="518"/>
      <c r="AH577" s="518"/>
      <c r="AI577" s="518"/>
      <c r="AJ577" s="518"/>
      <c r="AK577" s="518"/>
      <c r="AL577" s="518"/>
      <c r="AM577" s="518"/>
      <c r="AN577" s="518"/>
      <c r="AO577" s="518"/>
      <c r="AP577" s="518"/>
      <c r="AQ577" s="518"/>
      <c r="AR577" s="518"/>
      <c r="AS577" s="518"/>
      <c r="AT577" s="518"/>
    </row>
    <row r="578" spans="3:46" ht="12.75" customHeight="1"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8"/>
      <c r="AQ578" s="518"/>
      <c r="AR578" s="518"/>
      <c r="AS578" s="518"/>
      <c r="AT578" s="518"/>
    </row>
    <row r="579" spans="3:46" ht="12.75" customHeight="1">
      <c r="C579" s="518"/>
      <c r="D579" s="518"/>
      <c r="E579" s="518"/>
      <c r="F579" s="518"/>
      <c r="G579" s="518"/>
      <c r="H579" s="518"/>
      <c r="I579" s="518"/>
      <c r="J579" s="518"/>
      <c r="K579" s="518"/>
      <c r="L579" s="518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  <c r="AB579" s="518"/>
      <c r="AC579" s="518"/>
      <c r="AD579" s="518"/>
      <c r="AE579" s="518"/>
      <c r="AF579" s="518"/>
      <c r="AG579" s="518"/>
      <c r="AH579" s="518"/>
      <c r="AI579" s="518"/>
      <c r="AJ579" s="518"/>
      <c r="AK579" s="518"/>
      <c r="AL579" s="518"/>
      <c r="AM579" s="518"/>
      <c r="AN579" s="518"/>
      <c r="AO579" s="518"/>
      <c r="AP579" s="518"/>
      <c r="AQ579" s="518"/>
      <c r="AR579" s="518"/>
      <c r="AS579" s="518"/>
      <c r="AT579" s="518"/>
    </row>
    <row r="580" spans="3:46" ht="12.75" customHeight="1">
      <c r="C580" s="518"/>
      <c r="D580" s="518"/>
      <c r="E580" s="518"/>
      <c r="F580" s="518"/>
      <c r="G580" s="518"/>
      <c r="H580" s="518"/>
      <c r="I580" s="518"/>
      <c r="J580" s="518"/>
      <c r="K580" s="518"/>
      <c r="L580" s="518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  <c r="AB580" s="518"/>
      <c r="AC580" s="518"/>
      <c r="AD580" s="518"/>
      <c r="AE580" s="518"/>
      <c r="AF580" s="518"/>
      <c r="AG580" s="518"/>
      <c r="AH580" s="518"/>
      <c r="AI580" s="518"/>
      <c r="AJ580" s="518"/>
      <c r="AK580" s="518"/>
      <c r="AL580" s="518"/>
      <c r="AM580" s="518"/>
      <c r="AN580" s="518"/>
      <c r="AO580" s="518"/>
      <c r="AP580" s="518"/>
      <c r="AQ580" s="518"/>
      <c r="AR580" s="518"/>
      <c r="AS580" s="518"/>
      <c r="AT580" s="518"/>
    </row>
    <row r="581" spans="3:46" ht="12.75" customHeight="1">
      <c r="C581" s="518"/>
      <c r="D581" s="518"/>
      <c r="E581" s="518"/>
      <c r="F581" s="518"/>
      <c r="G581" s="518"/>
      <c r="H581" s="518"/>
      <c r="I581" s="518"/>
      <c r="J581" s="518"/>
      <c r="K581" s="518"/>
      <c r="L581" s="518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  <c r="AB581" s="518"/>
      <c r="AC581" s="518"/>
      <c r="AD581" s="518"/>
      <c r="AE581" s="518"/>
      <c r="AF581" s="518"/>
      <c r="AG581" s="518"/>
      <c r="AH581" s="518"/>
      <c r="AI581" s="518"/>
      <c r="AJ581" s="518"/>
      <c r="AK581" s="518"/>
      <c r="AL581" s="518"/>
      <c r="AM581" s="518"/>
      <c r="AN581" s="518"/>
      <c r="AO581" s="518"/>
      <c r="AP581" s="518"/>
      <c r="AQ581" s="518"/>
      <c r="AR581" s="518"/>
      <c r="AS581" s="518"/>
      <c r="AT581" s="518"/>
    </row>
    <row r="582" spans="3:46" ht="12.75" customHeight="1">
      <c r="C582" s="518"/>
      <c r="D582" s="518"/>
      <c r="E582" s="518"/>
      <c r="F582" s="518"/>
      <c r="G582" s="518"/>
      <c r="H582" s="518"/>
      <c r="I582" s="518"/>
      <c r="J582" s="518"/>
      <c r="K582" s="518"/>
      <c r="L582" s="518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  <c r="AB582" s="518"/>
      <c r="AC582" s="518"/>
      <c r="AD582" s="518"/>
      <c r="AE582" s="518"/>
      <c r="AF582" s="518"/>
      <c r="AG582" s="518"/>
      <c r="AH582" s="518"/>
      <c r="AI582" s="518"/>
      <c r="AJ582" s="518"/>
      <c r="AK582" s="518"/>
      <c r="AL582" s="518"/>
      <c r="AM582" s="518"/>
      <c r="AN582" s="518"/>
      <c r="AO582" s="518"/>
      <c r="AP582" s="518"/>
      <c r="AQ582" s="518"/>
      <c r="AR582" s="518"/>
      <c r="AS582" s="518"/>
      <c r="AT582" s="518"/>
    </row>
    <row r="583" spans="3:46" ht="12.75" customHeight="1">
      <c r="C583" s="518"/>
      <c r="D583" s="518"/>
      <c r="E583" s="518"/>
      <c r="F583" s="518"/>
      <c r="G583" s="518"/>
      <c r="H583" s="518"/>
      <c r="I583" s="518"/>
      <c r="J583" s="518"/>
      <c r="K583" s="518"/>
      <c r="L583" s="518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  <c r="AB583" s="518"/>
      <c r="AC583" s="518"/>
      <c r="AD583" s="518"/>
      <c r="AE583" s="518"/>
      <c r="AF583" s="518"/>
      <c r="AG583" s="518"/>
      <c r="AH583" s="518"/>
      <c r="AI583" s="518"/>
      <c r="AJ583" s="518"/>
      <c r="AK583" s="518"/>
      <c r="AL583" s="518"/>
      <c r="AM583" s="518"/>
      <c r="AN583" s="518"/>
      <c r="AO583" s="518"/>
      <c r="AP583" s="518"/>
      <c r="AQ583" s="518"/>
      <c r="AR583" s="518"/>
      <c r="AS583" s="518"/>
      <c r="AT583" s="518"/>
    </row>
    <row r="584" spans="3:46" ht="12.75" customHeight="1">
      <c r="C584" s="518"/>
      <c r="D584" s="518"/>
      <c r="E584" s="518"/>
      <c r="F584" s="518"/>
      <c r="G584" s="518"/>
      <c r="H584" s="518"/>
      <c r="I584" s="518"/>
      <c r="J584" s="518"/>
      <c r="K584" s="518"/>
      <c r="L584" s="518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  <c r="AB584" s="518"/>
      <c r="AC584" s="518"/>
      <c r="AD584" s="518"/>
      <c r="AE584" s="518"/>
      <c r="AF584" s="518"/>
      <c r="AG584" s="518"/>
      <c r="AH584" s="518"/>
      <c r="AI584" s="518"/>
      <c r="AJ584" s="518"/>
      <c r="AK584" s="518"/>
      <c r="AL584" s="518"/>
      <c r="AM584" s="518"/>
      <c r="AN584" s="518"/>
      <c r="AO584" s="518"/>
      <c r="AP584" s="518"/>
      <c r="AQ584" s="518"/>
      <c r="AR584" s="518"/>
      <c r="AS584" s="518"/>
      <c r="AT584" s="518"/>
    </row>
    <row r="585" spans="3:46" ht="12.75" customHeight="1"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  <c r="AB585" s="518"/>
      <c r="AC585" s="518"/>
      <c r="AD585" s="518"/>
      <c r="AE585" s="518"/>
      <c r="AF585" s="518"/>
      <c r="AG585" s="518"/>
      <c r="AH585" s="518"/>
      <c r="AI585" s="518"/>
      <c r="AJ585" s="518"/>
      <c r="AK585" s="518"/>
      <c r="AL585" s="518"/>
      <c r="AM585" s="518"/>
      <c r="AN585" s="518"/>
      <c r="AO585" s="518"/>
      <c r="AP585" s="518"/>
      <c r="AQ585" s="518"/>
      <c r="AR585" s="518"/>
      <c r="AS585" s="518"/>
      <c r="AT585" s="518"/>
    </row>
    <row r="586" spans="3:46" ht="12.75" customHeight="1"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8"/>
      <c r="AQ586" s="518"/>
      <c r="AR586" s="518"/>
      <c r="AS586" s="518"/>
      <c r="AT586" s="518"/>
    </row>
    <row r="587" spans="3:46" ht="12.75" customHeight="1"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8"/>
      <c r="AQ587" s="518"/>
      <c r="AR587" s="518"/>
      <c r="AS587" s="518"/>
      <c r="AT587" s="518"/>
    </row>
    <row r="588" spans="3:46" ht="12.75" customHeight="1"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8"/>
      <c r="AQ588" s="518"/>
      <c r="AR588" s="518"/>
      <c r="AS588" s="518"/>
      <c r="AT588" s="518"/>
    </row>
    <row r="589" spans="3:46" ht="12.75" customHeight="1"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8"/>
      <c r="AQ589" s="518"/>
      <c r="AR589" s="518"/>
      <c r="AS589" s="518"/>
      <c r="AT589" s="518"/>
    </row>
    <row r="590" spans="3:46" ht="12.75" customHeight="1"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8"/>
      <c r="AQ590" s="518"/>
      <c r="AR590" s="518"/>
      <c r="AS590" s="518"/>
      <c r="AT590" s="518"/>
    </row>
    <row r="591" spans="3:46" ht="12.75" customHeight="1"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8"/>
      <c r="AQ591" s="518"/>
      <c r="AR591" s="518"/>
      <c r="AS591" s="518"/>
      <c r="AT591" s="518"/>
    </row>
    <row r="592" spans="3:46" ht="12.75" customHeight="1"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8"/>
      <c r="AQ592" s="518"/>
      <c r="AR592" s="518"/>
      <c r="AS592" s="518"/>
      <c r="AT592" s="518"/>
    </row>
    <row r="593" spans="3:46" ht="12.75" customHeight="1"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8"/>
      <c r="AQ593" s="518"/>
      <c r="AR593" s="518"/>
      <c r="AS593" s="518"/>
      <c r="AT593" s="518"/>
    </row>
    <row r="594" spans="3:46" ht="12.75" customHeight="1"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8"/>
      <c r="AQ594" s="518"/>
      <c r="AR594" s="518"/>
      <c r="AS594" s="518"/>
      <c r="AT594" s="518"/>
    </row>
    <row r="595" spans="3:46" ht="12.75" customHeight="1"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8"/>
      <c r="AQ595" s="518"/>
      <c r="AR595" s="518"/>
      <c r="AS595" s="518"/>
      <c r="AT595" s="518"/>
    </row>
    <row r="596" spans="3:46" ht="12.75" customHeight="1"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8"/>
      <c r="AQ596" s="518"/>
      <c r="AR596" s="518"/>
      <c r="AS596" s="518"/>
      <c r="AT596" s="518"/>
    </row>
    <row r="597" spans="3:46" ht="12.75" customHeight="1"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8"/>
      <c r="AQ597" s="518"/>
      <c r="AR597" s="518"/>
      <c r="AS597" s="518"/>
      <c r="AT597" s="518"/>
    </row>
    <row r="598" spans="3:46" ht="12.75" customHeight="1"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8"/>
      <c r="AQ598" s="518"/>
      <c r="AR598" s="518"/>
      <c r="AS598" s="518"/>
      <c r="AT598" s="518"/>
    </row>
    <row r="599" spans="3:46" ht="12.75" customHeight="1"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8"/>
      <c r="AQ599" s="518"/>
      <c r="AR599" s="518"/>
      <c r="AS599" s="518"/>
      <c r="AT599" s="518"/>
    </row>
    <row r="600" spans="3:46" ht="12.75" customHeight="1"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8"/>
      <c r="AQ600" s="518"/>
      <c r="AR600" s="518"/>
      <c r="AS600" s="518"/>
      <c r="AT600" s="518"/>
    </row>
    <row r="601" spans="3:46" ht="12.75" customHeight="1"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8"/>
      <c r="AQ601" s="518"/>
      <c r="AR601" s="518"/>
      <c r="AS601" s="518"/>
      <c r="AT601" s="518"/>
    </row>
    <row r="602" spans="3:46" ht="12.75" customHeight="1"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8"/>
      <c r="AQ602" s="518"/>
      <c r="AR602" s="518"/>
      <c r="AS602" s="518"/>
      <c r="AT602" s="518"/>
    </row>
    <row r="603" spans="3:46" ht="12.75" customHeight="1"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8"/>
      <c r="AQ603" s="518"/>
      <c r="AR603" s="518"/>
      <c r="AS603" s="518"/>
      <c r="AT603" s="518"/>
    </row>
    <row r="604" spans="3:46" ht="12.75" customHeight="1"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8"/>
      <c r="AQ604" s="518"/>
      <c r="AR604" s="518"/>
      <c r="AS604" s="518"/>
      <c r="AT604" s="518"/>
    </row>
    <row r="605" spans="3:46" ht="12.75" customHeight="1"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8"/>
      <c r="AQ605" s="518"/>
      <c r="AR605" s="518"/>
      <c r="AS605" s="518"/>
      <c r="AT605" s="518"/>
    </row>
    <row r="606" spans="3:46" ht="12.75" customHeight="1"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8"/>
      <c r="AQ606" s="518"/>
      <c r="AR606" s="518"/>
      <c r="AS606" s="518"/>
      <c r="AT606" s="518"/>
    </row>
    <row r="607" spans="3:46" ht="12.75" customHeight="1"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8"/>
      <c r="AQ607" s="518"/>
      <c r="AR607" s="518"/>
      <c r="AS607" s="518"/>
      <c r="AT607" s="518"/>
    </row>
    <row r="608" spans="3:46" ht="12.75" customHeight="1"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8"/>
      <c r="AQ608" s="518"/>
      <c r="AR608" s="518"/>
      <c r="AS608" s="518"/>
      <c r="AT608" s="518"/>
    </row>
    <row r="609" spans="3:46" ht="12.75" customHeight="1"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8"/>
      <c r="AQ609" s="518"/>
      <c r="AR609" s="518"/>
      <c r="AS609" s="518"/>
      <c r="AT609" s="518"/>
    </row>
    <row r="610" spans="3:46" ht="12.75" customHeight="1"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8"/>
      <c r="AQ610" s="518"/>
      <c r="AR610" s="518"/>
      <c r="AS610" s="518"/>
      <c r="AT610" s="518"/>
    </row>
    <row r="611" spans="3:46" ht="12.75" customHeight="1"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8"/>
      <c r="AQ611" s="518"/>
      <c r="AR611" s="518"/>
      <c r="AS611" s="518"/>
      <c r="AT611" s="518"/>
    </row>
    <row r="612" spans="3:46" ht="12.75" customHeight="1"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8"/>
      <c r="AQ612" s="518"/>
      <c r="AR612" s="518"/>
      <c r="AS612" s="518"/>
      <c r="AT612" s="518"/>
    </row>
    <row r="613" spans="3:46" ht="12.75" customHeight="1"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8"/>
      <c r="AQ613" s="518"/>
      <c r="AR613" s="518"/>
      <c r="AS613" s="518"/>
      <c r="AT613" s="518"/>
    </row>
    <row r="614" spans="3:46" ht="12.75" customHeight="1"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8"/>
      <c r="AQ614" s="518"/>
      <c r="AR614" s="518"/>
      <c r="AS614" s="518"/>
      <c r="AT614" s="518"/>
    </row>
    <row r="615" spans="3:46" ht="12.75" customHeight="1"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8"/>
      <c r="AQ615" s="518"/>
      <c r="AR615" s="518"/>
      <c r="AS615" s="518"/>
      <c r="AT615" s="518"/>
    </row>
    <row r="616" spans="3:46" ht="12.75" customHeight="1"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8"/>
      <c r="AQ616" s="518"/>
      <c r="AR616" s="518"/>
      <c r="AS616" s="518"/>
      <c r="AT616" s="518"/>
    </row>
    <row r="617" spans="3:46" ht="12.75" customHeight="1"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8"/>
      <c r="AQ617" s="518"/>
      <c r="AR617" s="518"/>
      <c r="AS617" s="518"/>
      <c r="AT617" s="518"/>
    </row>
    <row r="618" spans="3:46" ht="12.75" customHeight="1"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8"/>
      <c r="AQ618" s="518"/>
      <c r="AR618" s="518"/>
      <c r="AS618" s="518"/>
      <c r="AT618" s="518"/>
    </row>
    <row r="619" spans="3:46" ht="12.75" customHeight="1"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8"/>
      <c r="AQ619" s="518"/>
      <c r="AR619" s="518"/>
      <c r="AS619" s="518"/>
      <c r="AT619" s="518"/>
    </row>
    <row r="620" spans="3:46" ht="12.75" customHeight="1"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8"/>
      <c r="AQ620" s="518"/>
      <c r="AR620" s="518"/>
      <c r="AS620" s="518"/>
      <c r="AT620" s="518"/>
    </row>
    <row r="621" spans="3:46" ht="12.75" customHeight="1"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8"/>
      <c r="AQ621" s="518"/>
      <c r="AR621" s="518"/>
      <c r="AS621" s="518"/>
      <c r="AT621" s="518"/>
    </row>
    <row r="622" spans="3:46" ht="12.75" customHeight="1"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8"/>
      <c r="AQ622" s="518"/>
      <c r="AR622" s="518"/>
      <c r="AS622" s="518"/>
      <c r="AT622" s="518"/>
    </row>
    <row r="623" spans="3:46" ht="12.75" customHeight="1"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8"/>
      <c r="AQ623" s="518"/>
      <c r="AR623" s="518"/>
      <c r="AS623" s="518"/>
      <c r="AT623" s="518"/>
    </row>
    <row r="624" spans="3:46" ht="12.75" customHeight="1"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8"/>
      <c r="AQ624" s="518"/>
      <c r="AR624" s="518"/>
      <c r="AS624" s="518"/>
      <c r="AT624" s="518"/>
    </row>
    <row r="625" spans="3:46" ht="12.75" customHeight="1"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8"/>
      <c r="AQ625" s="518"/>
      <c r="AR625" s="518"/>
      <c r="AS625" s="518"/>
      <c r="AT625" s="518"/>
    </row>
    <row r="626" spans="3:46" ht="12.75" customHeight="1"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8"/>
      <c r="AQ626" s="518"/>
      <c r="AR626" s="518"/>
      <c r="AS626" s="518"/>
      <c r="AT626" s="518"/>
    </row>
    <row r="627" spans="3:46" ht="12.75" customHeight="1"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8"/>
      <c r="AQ627" s="518"/>
      <c r="AR627" s="518"/>
      <c r="AS627" s="518"/>
      <c r="AT627" s="518"/>
    </row>
    <row r="628" spans="3:46" ht="12.75" customHeight="1"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8"/>
      <c r="AQ628" s="518"/>
      <c r="AR628" s="518"/>
      <c r="AS628" s="518"/>
      <c r="AT628" s="518"/>
    </row>
    <row r="629" spans="3:46" ht="12.75" customHeight="1"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8"/>
      <c r="AQ629" s="518"/>
      <c r="AR629" s="518"/>
      <c r="AS629" s="518"/>
      <c r="AT629" s="518"/>
    </row>
    <row r="630" spans="3:46" ht="12.75" customHeight="1"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8"/>
      <c r="AQ630" s="518"/>
      <c r="AR630" s="518"/>
      <c r="AS630" s="518"/>
      <c r="AT630" s="518"/>
    </row>
    <row r="631" spans="3:46" ht="12.75" customHeight="1"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8"/>
      <c r="AQ631" s="518"/>
      <c r="AR631" s="518"/>
      <c r="AS631" s="518"/>
      <c r="AT631" s="518"/>
    </row>
    <row r="632" spans="3:46" ht="12.75" customHeight="1"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8"/>
      <c r="AQ632" s="518"/>
      <c r="AR632" s="518"/>
      <c r="AS632" s="518"/>
      <c r="AT632" s="518"/>
    </row>
    <row r="633" spans="3:46" ht="12.75" customHeight="1"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8"/>
      <c r="AQ633" s="518"/>
      <c r="AR633" s="518"/>
      <c r="AS633" s="518"/>
      <c r="AT633" s="518"/>
    </row>
    <row r="634" spans="3:46" ht="12.75" customHeight="1"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8"/>
      <c r="AQ634" s="518"/>
      <c r="AR634" s="518"/>
      <c r="AS634" s="518"/>
      <c r="AT634" s="518"/>
    </row>
    <row r="635" spans="3:46" ht="12.75" customHeight="1"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8"/>
      <c r="AQ635" s="518"/>
      <c r="AR635" s="518"/>
      <c r="AS635" s="518"/>
      <c r="AT635" s="518"/>
    </row>
    <row r="636" spans="3:46" ht="12.75" customHeight="1"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8"/>
      <c r="AQ636" s="518"/>
      <c r="AR636" s="518"/>
      <c r="AS636" s="518"/>
      <c r="AT636" s="518"/>
    </row>
    <row r="637" spans="3:46" ht="12.75" customHeight="1"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8"/>
      <c r="AQ637" s="518"/>
      <c r="AR637" s="518"/>
      <c r="AS637" s="518"/>
      <c r="AT637" s="518"/>
    </row>
    <row r="638" spans="3:46" ht="12.75" customHeight="1"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8"/>
      <c r="AQ638" s="518"/>
      <c r="AR638" s="518"/>
      <c r="AS638" s="518"/>
      <c r="AT638" s="518"/>
    </row>
    <row r="639" spans="3:46" ht="12.75" customHeight="1"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8"/>
      <c r="AQ639" s="518"/>
      <c r="AR639" s="518"/>
      <c r="AS639" s="518"/>
      <c r="AT639" s="518"/>
    </row>
    <row r="640" spans="3:46" ht="12.75" customHeight="1"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8"/>
      <c r="AQ640" s="518"/>
      <c r="AR640" s="518"/>
      <c r="AS640" s="518"/>
      <c r="AT640" s="518"/>
    </row>
    <row r="641" spans="3:46" ht="12.75" customHeight="1"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8"/>
      <c r="AQ641" s="518"/>
      <c r="AR641" s="518"/>
      <c r="AS641" s="518"/>
      <c r="AT641" s="518"/>
    </row>
    <row r="642" spans="3:46" ht="12.75" customHeight="1"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8"/>
      <c r="AQ642" s="518"/>
      <c r="AR642" s="518"/>
      <c r="AS642" s="518"/>
      <c r="AT642" s="518"/>
    </row>
    <row r="643" spans="3:46" ht="12.75" customHeight="1"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8"/>
      <c r="AQ643" s="518"/>
      <c r="AR643" s="518"/>
      <c r="AS643" s="518"/>
      <c r="AT643" s="518"/>
    </row>
    <row r="644" spans="3:46" ht="12.75" customHeight="1"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8"/>
      <c r="AQ644" s="518"/>
      <c r="AR644" s="518"/>
      <c r="AS644" s="518"/>
      <c r="AT644" s="518"/>
    </row>
    <row r="645" spans="3:46" ht="12.75" customHeight="1"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8"/>
      <c r="AQ645" s="518"/>
      <c r="AR645" s="518"/>
      <c r="AS645" s="518"/>
      <c r="AT645" s="518"/>
    </row>
    <row r="646" spans="3:46" ht="12.75" customHeight="1"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8"/>
      <c r="AQ646" s="518"/>
      <c r="AR646" s="518"/>
      <c r="AS646" s="518"/>
      <c r="AT646" s="518"/>
    </row>
    <row r="647" spans="3:46" ht="12.75" customHeight="1"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8"/>
      <c r="AQ647" s="518"/>
      <c r="AR647" s="518"/>
      <c r="AS647" s="518"/>
      <c r="AT647" s="518"/>
    </row>
    <row r="648" spans="3:46" ht="12.75" customHeight="1"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8"/>
      <c r="AQ648" s="518"/>
      <c r="AR648" s="518"/>
      <c r="AS648" s="518"/>
      <c r="AT648" s="518"/>
    </row>
    <row r="649" spans="3:46" ht="12.75" customHeight="1"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8"/>
      <c r="AQ649" s="518"/>
      <c r="AR649" s="518"/>
      <c r="AS649" s="518"/>
      <c r="AT649" s="518"/>
    </row>
    <row r="650" spans="3:46" ht="12.75" customHeight="1">
      <c r="C650" s="518"/>
      <c r="D650" s="518"/>
      <c r="E650" s="518"/>
      <c r="F650" s="518"/>
      <c r="G650" s="518"/>
      <c r="H650" s="518"/>
      <c r="I650" s="518"/>
      <c r="J650" s="518"/>
      <c r="K650" s="518"/>
      <c r="L650" s="518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  <c r="AB650" s="518"/>
      <c r="AC650" s="518"/>
      <c r="AD650" s="518"/>
      <c r="AE650" s="518"/>
      <c r="AF650" s="518"/>
      <c r="AG650" s="518"/>
      <c r="AH650" s="518"/>
      <c r="AI650" s="518"/>
      <c r="AJ650" s="518"/>
      <c r="AK650" s="518"/>
      <c r="AL650" s="518"/>
      <c r="AM650" s="518"/>
      <c r="AN650" s="518"/>
      <c r="AO650" s="518"/>
      <c r="AP650" s="518"/>
      <c r="AQ650" s="518"/>
      <c r="AR650" s="518"/>
      <c r="AS650" s="518"/>
      <c r="AT650" s="518"/>
    </row>
    <row r="651" spans="3:46" ht="12.75" customHeight="1">
      <c r="C651" s="518"/>
      <c r="D651" s="518"/>
      <c r="E651" s="518"/>
      <c r="F651" s="518"/>
      <c r="G651" s="518"/>
      <c r="H651" s="518"/>
      <c r="I651" s="518"/>
      <c r="J651" s="518"/>
      <c r="K651" s="518"/>
      <c r="L651" s="518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  <c r="AB651" s="518"/>
      <c r="AC651" s="518"/>
      <c r="AD651" s="518"/>
      <c r="AE651" s="518"/>
      <c r="AF651" s="518"/>
      <c r="AG651" s="518"/>
      <c r="AH651" s="518"/>
      <c r="AI651" s="518"/>
      <c r="AJ651" s="518"/>
      <c r="AK651" s="518"/>
      <c r="AL651" s="518"/>
      <c r="AM651" s="518"/>
      <c r="AN651" s="518"/>
      <c r="AO651" s="518"/>
      <c r="AP651" s="518"/>
      <c r="AQ651" s="518"/>
      <c r="AR651" s="518"/>
      <c r="AS651" s="518"/>
      <c r="AT651" s="518"/>
    </row>
    <row r="652" spans="3:46" ht="12.75" customHeight="1">
      <c r="C652" s="518"/>
      <c r="D652" s="518"/>
      <c r="E652" s="518"/>
      <c r="F652" s="518"/>
      <c r="G652" s="518"/>
      <c r="H652" s="518"/>
      <c r="I652" s="518"/>
      <c r="J652" s="518"/>
      <c r="K652" s="518"/>
      <c r="L652" s="518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  <c r="AB652" s="518"/>
      <c r="AC652" s="518"/>
      <c r="AD652" s="518"/>
      <c r="AE652" s="518"/>
      <c r="AF652" s="518"/>
      <c r="AG652" s="518"/>
      <c r="AH652" s="518"/>
      <c r="AI652" s="518"/>
      <c r="AJ652" s="518"/>
      <c r="AK652" s="518"/>
      <c r="AL652" s="518"/>
      <c r="AM652" s="518"/>
      <c r="AN652" s="518"/>
      <c r="AO652" s="518"/>
      <c r="AP652" s="518"/>
      <c r="AQ652" s="518"/>
      <c r="AR652" s="518"/>
      <c r="AS652" s="518"/>
      <c r="AT652" s="518"/>
    </row>
    <row r="653" spans="3:46" ht="12.75" customHeight="1">
      <c r="C653" s="518"/>
      <c r="D653" s="518"/>
      <c r="E653" s="518"/>
      <c r="F653" s="518"/>
      <c r="G653" s="518"/>
      <c r="H653" s="518"/>
      <c r="I653" s="518"/>
      <c r="J653" s="518"/>
      <c r="K653" s="518"/>
      <c r="L653" s="518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  <c r="AB653" s="518"/>
      <c r="AC653" s="518"/>
      <c r="AD653" s="518"/>
      <c r="AE653" s="518"/>
      <c r="AF653" s="518"/>
      <c r="AG653" s="518"/>
      <c r="AH653" s="518"/>
      <c r="AI653" s="518"/>
      <c r="AJ653" s="518"/>
      <c r="AK653" s="518"/>
      <c r="AL653" s="518"/>
      <c r="AM653" s="518"/>
      <c r="AN653" s="518"/>
      <c r="AO653" s="518"/>
      <c r="AP653" s="518"/>
      <c r="AQ653" s="518"/>
      <c r="AR653" s="518"/>
      <c r="AS653" s="518"/>
      <c r="AT653" s="518"/>
    </row>
    <row r="654" spans="3:46" ht="12.75" customHeight="1">
      <c r="C654" s="518"/>
      <c r="D654" s="518"/>
      <c r="E654" s="518"/>
      <c r="F654" s="518"/>
      <c r="G654" s="518"/>
      <c r="H654" s="518"/>
      <c r="I654" s="518"/>
      <c r="J654" s="518"/>
      <c r="K654" s="518"/>
      <c r="L654" s="518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  <c r="AB654" s="518"/>
      <c r="AC654" s="518"/>
      <c r="AD654" s="518"/>
      <c r="AE654" s="518"/>
      <c r="AF654" s="518"/>
      <c r="AG654" s="518"/>
      <c r="AH654" s="518"/>
      <c r="AI654" s="518"/>
      <c r="AJ654" s="518"/>
      <c r="AK654" s="518"/>
      <c r="AL654" s="518"/>
      <c r="AM654" s="518"/>
      <c r="AN654" s="518"/>
      <c r="AO654" s="518"/>
      <c r="AP654" s="518"/>
      <c r="AQ654" s="518"/>
      <c r="AR654" s="518"/>
      <c r="AS654" s="518"/>
      <c r="AT654" s="518"/>
    </row>
    <row r="655" spans="3:46" ht="12.75" customHeight="1">
      <c r="C655" s="518"/>
      <c r="D655" s="518"/>
      <c r="E655" s="518"/>
      <c r="F655" s="518"/>
      <c r="G655" s="518"/>
      <c r="H655" s="518"/>
      <c r="I655" s="518"/>
      <c r="J655" s="518"/>
      <c r="K655" s="518"/>
      <c r="L655" s="518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  <c r="AB655" s="518"/>
      <c r="AC655" s="518"/>
      <c r="AD655" s="518"/>
      <c r="AE655" s="518"/>
      <c r="AF655" s="518"/>
      <c r="AG655" s="518"/>
      <c r="AH655" s="518"/>
      <c r="AI655" s="518"/>
      <c r="AJ655" s="518"/>
      <c r="AK655" s="518"/>
      <c r="AL655" s="518"/>
      <c r="AM655" s="518"/>
      <c r="AN655" s="518"/>
      <c r="AO655" s="518"/>
      <c r="AP655" s="518"/>
      <c r="AQ655" s="518"/>
      <c r="AR655" s="518"/>
      <c r="AS655" s="518"/>
      <c r="AT655" s="518"/>
    </row>
    <row r="656" spans="3:46" ht="12.75" customHeight="1">
      <c r="C656" s="518"/>
      <c r="D656" s="518"/>
      <c r="E656" s="518"/>
      <c r="F656" s="518"/>
      <c r="G656" s="518"/>
      <c r="H656" s="518"/>
      <c r="I656" s="518"/>
      <c r="J656" s="518"/>
      <c r="K656" s="518"/>
      <c r="L656" s="518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  <c r="AB656" s="518"/>
      <c r="AC656" s="518"/>
      <c r="AD656" s="518"/>
      <c r="AE656" s="518"/>
      <c r="AF656" s="518"/>
      <c r="AG656" s="518"/>
      <c r="AH656" s="518"/>
      <c r="AI656" s="518"/>
      <c r="AJ656" s="518"/>
      <c r="AK656" s="518"/>
      <c r="AL656" s="518"/>
      <c r="AM656" s="518"/>
      <c r="AN656" s="518"/>
      <c r="AO656" s="518"/>
      <c r="AP656" s="518"/>
      <c r="AQ656" s="518"/>
      <c r="AR656" s="518"/>
      <c r="AS656" s="518"/>
      <c r="AT656" s="518"/>
    </row>
    <row r="657" spans="3:46" ht="12.75" customHeight="1">
      <c r="C657" s="518"/>
      <c r="D657" s="518"/>
      <c r="E657" s="518"/>
      <c r="F657" s="518"/>
      <c r="G657" s="518"/>
      <c r="H657" s="518"/>
      <c r="I657" s="518"/>
      <c r="J657" s="518"/>
      <c r="K657" s="518"/>
      <c r="L657" s="518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  <c r="AB657" s="518"/>
      <c r="AC657" s="518"/>
      <c r="AD657" s="518"/>
      <c r="AE657" s="518"/>
      <c r="AF657" s="518"/>
      <c r="AG657" s="518"/>
      <c r="AH657" s="518"/>
      <c r="AI657" s="518"/>
      <c r="AJ657" s="518"/>
      <c r="AK657" s="518"/>
      <c r="AL657" s="518"/>
      <c r="AM657" s="518"/>
      <c r="AN657" s="518"/>
      <c r="AO657" s="518"/>
      <c r="AP657" s="518"/>
      <c r="AQ657" s="518"/>
      <c r="AR657" s="518"/>
      <c r="AS657" s="518"/>
      <c r="AT657" s="518"/>
    </row>
    <row r="658" spans="3:46" ht="12.75" customHeight="1">
      <c r="C658" s="518"/>
      <c r="D658" s="518"/>
      <c r="E658" s="518"/>
      <c r="F658" s="518"/>
      <c r="G658" s="518"/>
      <c r="H658" s="518"/>
      <c r="I658" s="518"/>
      <c r="J658" s="518"/>
      <c r="K658" s="518"/>
      <c r="L658" s="518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  <c r="AB658" s="518"/>
      <c r="AC658" s="518"/>
      <c r="AD658" s="518"/>
      <c r="AE658" s="518"/>
      <c r="AF658" s="518"/>
      <c r="AG658" s="518"/>
      <c r="AH658" s="518"/>
      <c r="AI658" s="518"/>
      <c r="AJ658" s="518"/>
      <c r="AK658" s="518"/>
      <c r="AL658" s="518"/>
      <c r="AM658" s="518"/>
      <c r="AN658" s="518"/>
      <c r="AO658" s="518"/>
      <c r="AP658" s="518"/>
      <c r="AQ658" s="518"/>
      <c r="AR658" s="518"/>
      <c r="AS658" s="518"/>
      <c r="AT658" s="518"/>
    </row>
    <row r="659" spans="3:46" ht="12.75" customHeight="1">
      <c r="C659" s="518"/>
      <c r="D659" s="518"/>
      <c r="E659" s="518"/>
      <c r="F659" s="518"/>
      <c r="G659" s="518"/>
      <c r="H659" s="518"/>
      <c r="I659" s="518"/>
      <c r="J659" s="518"/>
      <c r="K659" s="518"/>
      <c r="L659" s="518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  <c r="AB659" s="518"/>
      <c r="AC659" s="518"/>
      <c r="AD659" s="518"/>
      <c r="AE659" s="518"/>
      <c r="AF659" s="518"/>
      <c r="AG659" s="518"/>
      <c r="AH659" s="518"/>
      <c r="AI659" s="518"/>
      <c r="AJ659" s="518"/>
      <c r="AK659" s="518"/>
      <c r="AL659" s="518"/>
      <c r="AM659" s="518"/>
      <c r="AN659" s="518"/>
      <c r="AO659" s="518"/>
      <c r="AP659" s="518"/>
      <c r="AQ659" s="518"/>
      <c r="AR659" s="518"/>
      <c r="AS659" s="518"/>
      <c r="AT659" s="518"/>
    </row>
    <row r="660" spans="3:46" ht="12.75" customHeight="1">
      <c r="C660" s="518"/>
      <c r="D660" s="518"/>
      <c r="E660" s="518"/>
      <c r="F660" s="518"/>
      <c r="G660" s="518"/>
      <c r="H660" s="518"/>
      <c r="I660" s="518"/>
      <c r="J660" s="518"/>
      <c r="K660" s="518"/>
      <c r="L660" s="518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  <c r="AB660" s="518"/>
      <c r="AC660" s="518"/>
      <c r="AD660" s="518"/>
      <c r="AE660" s="518"/>
      <c r="AF660" s="518"/>
      <c r="AG660" s="518"/>
      <c r="AH660" s="518"/>
      <c r="AI660" s="518"/>
      <c r="AJ660" s="518"/>
      <c r="AK660" s="518"/>
      <c r="AL660" s="518"/>
      <c r="AM660" s="518"/>
      <c r="AN660" s="518"/>
      <c r="AO660" s="518"/>
      <c r="AP660" s="518"/>
      <c r="AQ660" s="518"/>
      <c r="AR660" s="518"/>
      <c r="AS660" s="518"/>
      <c r="AT660" s="518"/>
    </row>
    <row r="661" spans="3:46" ht="12.75" customHeight="1">
      <c r="C661" s="518"/>
      <c r="D661" s="518"/>
      <c r="E661" s="518"/>
      <c r="F661" s="518"/>
      <c r="G661" s="518"/>
      <c r="H661" s="518"/>
      <c r="I661" s="518"/>
      <c r="J661" s="518"/>
      <c r="K661" s="518"/>
      <c r="L661" s="518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  <c r="AB661" s="518"/>
      <c r="AC661" s="518"/>
      <c r="AD661" s="518"/>
      <c r="AE661" s="518"/>
      <c r="AF661" s="518"/>
      <c r="AG661" s="518"/>
      <c r="AH661" s="518"/>
      <c r="AI661" s="518"/>
      <c r="AJ661" s="518"/>
      <c r="AK661" s="518"/>
      <c r="AL661" s="518"/>
      <c r="AM661" s="518"/>
      <c r="AN661" s="518"/>
      <c r="AO661" s="518"/>
      <c r="AP661" s="518"/>
      <c r="AQ661" s="518"/>
      <c r="AR661" s="518"/>
      <c r="AS661" s="518"/>
      <c r="AT661" s="518"/>
    </row>
    <row r="662" spans="3:46" ht="12.75" customHeight="1"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  <c r="AB662" s="518"/>
      <c r="AC662" s="518"/>
      <c r="AD662" s="518"/>
      <c r="AE662" s="518"/>
      <c r="AF662" s="518"/>
      <c r="AG662" s="518"/>
      <c r="AH662" s="518"/>
      <c r="AI662" s="518"/>
      <c r="AJ662" s="518"/>
      <c r="AK662" s="518"/>
      <c r="AL662" s="518"/>
      <c r="AM662" s="518"/>
      <c r="AN662" s="518"/>
      <c r="AO662" s="518"/>
      <c r="AP662" s="518"/>
      <c r="AQ662" s="518"/>
      <c r="AR662" s="518"/>
      <c r="AS662" s="518"/>
      <c r="AT662" s="518"/>
    </row>
    <row r="663" spans="3:46" ht="12.75" customHeight="1"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8"/>
      <c r="AQ663" s="518"/>
      <c r="AR663" s="518"/>
      <c r="AS663" s="518"/>
      <c r="AT663" s="518"/>
    </row>
    <row r="664" spans="3:46" ht="12.75" customHeight="1">
      <c r="C664" s="518"/>
      <c r="D664" s="518"/>
      <c r="E664" s="518"/>
      <c r="F664" s="518"/>
      <c r="G664" s="518"/>
      <c r="H664" s="518"/>
      <c r="I664" s="518"/>
      <c r="J664" s="518"/>
      <c r="K664" s="518"/>
      <c r="L664" s="518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  <c r="AB664" s="518"/>
      <c r="AC664" s="518"/>
      <c r="AD664" s="518"/>
      <c r="AE664" s="518"/>
      <c r="AF664" s="518"/>
      <c r="AG664" s="518"/>
      <c r="AH664" s="518"/>
      <c r="AI664" s="518"/>
      <c r="AJ664" s="518"/>
      <c r="AK664" s="518"/>
      <c r="AL664" s="518"/>
      <c r="AM664" s="518"/>
      <c r="AN664" s="518"/>
      <c r="AO664" s="518"/>
      <c r="AP664" s="518"/>
      <c r="AQ664" s="518"/>
      <c r="AR664" s="518"/>
      <c r="AS664" s="518"/>
      <c r="AT664" s="518"/>
    </row>
    <row r="665" spans="3:46" ht="12.75" customHeight="1">
      <c r="C665" s="518"/>
      <c r="D665" s="518"/>
      <c r="E665" s="518"/>
      <c r="F665" s="518"/>
      <c r="G665" s="518"/>
      <c r="H665" s="518"/>
      <c r="I665" s="518"/>
      <c r="J665" s="518"/>
      <c r="K665" s="518"/>
      <c r="L665" s="518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  <c r="AB665" s="518"/>
      <c r="AC665" s="518"/>
      <c r="AD665" s="518"/>
      <c r="AE665" s="518"/>
      <c r="AF665" s="518"/>
      <c r="AG665" s="518"/>
      <c r="AH665" s="518"/>
      <c r="AI665" s="518"/>
      <c r="AJ665" s="518"/>
      <c r="AK665" s="518"/>
      <c r="AL665" s="518"/>
      <c r="AM665" s="518"/>
      <c r="AN665" s="518"/>
      <c r="AO665" s="518"/>
      <c r="AP665" s="518"/>
      <c r="AQ665" s="518"/>
      <c r="AR665" s="518"/>
      <c r="AS665" s="518"/>
      <c r="AT665" s="518"/>
    </row>
    <row r="666" spans="3:46" ht="12.75" customHeight="1">
      <c r="C666" s="518"/>
      <c r="D666" s="518"/>
      <c r="E666" s="518"/>
      <c r="F666" s="518"/>
      <c r="G666" s="518"/>
      <c r="H666" s="518"/>
      <c r="I666" s="518"/>
      <c r="J666" s="518"/>
      <c r="K666" s="518"/>
      <c r="L666" s="518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  <c r="AB666" s="518"/>
      <c r="AC666" s="518"/>
      <c r="AD666" s="518"/>
      <c r="AE666" s="518"/>
      <c r="AF666" s="518"/>
      <c r="AG666" s="518"/>
      <c r="AH666" s="518"/>
      <c r="AI666" s="518"/>
      <c r="AJ666" s="518"/>
      <c r="AK666" s="518"/>
      <c r="AL666" s="518"/>
      <c r="AM666" s="518"/>
      <c r="AN666" s="518"/>
      <c r="AO666" s="518"/>
      <c r="AP666" s="518"/>
      <c r="AQ666" s="518"/>
      <c r="AR666" s="518"/>
      <c r="AS666" s="518"/>
      <c r="AT666" s="518"/>
    </row>
    <row r="667" spans="3:46" ht="12.75" customHeight="1">
      <c r="C667" s="518"/>
      <c r="D667" s="518"/>
      <c r="E667" s="518"/>
      <c r="F667" s="518"/>
      <c r="G667" s="518"/>
      <c r="H667" s="518"/>
      <c r="I667" s="518"/>
      <c r="J667" s="518"/>
      <c r="K667" s="518"/>
      <c r="L667" s="518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  <c r="AB667" s="518"/>
      <c r="AC667" s="518"/>
      <c r="AD667" s="518"/>
      <c r="AE667" s="518"/>
      <c r="AF667" s="518"/>
      <c r="AG667" s="518"/>
      <c r="AH667" s="518"/>
      <c r="AI667" s="518"/>
      <c r="AJ667" s="518"/>
      <c r="AK667" s="518"/>
      <c r="AL667" s="518"/>
      <c r="AM667" s="518"/>
      <c r="AN667" s="518"/>
      <c r="AO667" s="518"/>
      <c r="AP667" s="518"/>
      <c r="AQ667" s="518"/>
      <c r="AR667" s="518"/>
      <c r="AS667" s="518"/>
      <c r="AT667" s="518"/>
    </row>
    <row r="668" spans="3:46" ht="12.75" customHeight="1">
      <c r="C668" s="518"/>
      <c r="D668" s="518"/>
      <c r="E668" s="518"/>
      <c r="F668" s="518"/>
      <c r="G668" s="518"/>
      <c r="H668" s="518"/>
      <c r="I668" s="518"/>
      <c r="J668" s="518"/>
      <c r="K668" s="518"/>
      <c r="L668" s="518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  <c r="AB668" s="518"/>
      <c r="AC668" s="518"/>
      <c r="AD668" s="518"/>
      <c r="AE668" s="518"/>
      <c r="AF668" s="518"/>
      <c r="AG668" s="518"/>
      <c r="AH668" s="518"/>
      <c r="AI668" s="518"/>
      <c r="AJ668" s="518"/>
      <c r="AK668" s="518"/>
      <c r="AL668" s="518"/>
      <c r="AM668" s="518"/>
      <c r="AN668" s="518"/>
      <c r="AO668" s="518"/>
      <c r="AP668" s="518"/>
      <c r="AQ668" s="518"/>
      <c r="AR668" s="518"/>
      <c r="AS668" s="518"/>
      <c r="AT668" s="518"/>
    </row>
    <row r="669" spans="3:46" ht="12.75" customHeight="1">
      <c r="C669" s="518"/>
      <c r="D669" s="518"/>
      <c r="E669" s="518"/>
      <c r="F669" s="518"/>
      <c r="G669" s="518"/>
      <c r="H669" s="518"/>
      <c r="I669" s="518"/>
      <c r="J669" s="518"/>
      <c r="K669" s="518"/>
      <c r="L669" s="518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  <c r="AB669" s="518"/>
      <c r="AC669" s="518"/>
      <c r="AD669" s="518"/>
      <c r="AE669" s="518"/>
      <c r="AF669" s="518"/>
      <c r="AG669" s="518"/>
      <c r="AH669" s="518"/>
      <c r="AI669" s="518"/>
      <c r="AJ669" s="518"/>
      <c r="AK669" s="518"/>
      <c r="AL669" s="518"/>
      <c r="AM669" s="518"/>
      <c r="AN669" s="518"/>
      <c r="AO669" s="518"/>
      <c r="AP669" s="518"/>
      <c r="AQ669" s="518"/>
      <c r="AR669" s="518"/>
      <c r="AS669" s="518"/>
      <c r="AT669" s="518"/>
    </row>
    <row r="670" spans="3:46" ht="12.75" customHeight="1">
      <c r="C670" s="518"/>
      <c r="D670" s="518"/>
      <c r="E670" s="518"/>
      <c r="F670" s="518"/>
      <c r="G670" s="518"/>
      <c r="H670" s="518"/>
      <c r="I670" s="518"/>
      <c r="J670" s="518"/>
      <c r="K670" s="518"/>
      <c r="L670" s="518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  <c r="AB670" s="518"/>
      <c r="AC670" s="518"/>
      <c r="AD670" s="518"/>
      <c r="AE670" s="518"/>
      <c r="AF670" s="518"/>
      <c r="AG670" s="518"/>
      <c r="AH670" s="518"/>
      <c r="AI670" s="518"/>
      <c r="AJ670" s="518"/>
      <c r="AK670" s="518"/>
      <c r="AL670" s="518"/>
      <c r="AM670" s="518"/>
      <c r="AN670" s="518"/>
      <c r="AO670" s="518"/>
      <c r="AP670" s="518"/>
      <c r="AQ670" s="518"/>
      <c r="AR670" s="518"/>
      <c r="AS670" s="518"/>
      <c r="AT670" s="518"/>
    </row>
    <row r="671" spans="3:46" ht="12.75" customHeight="1">
      <c r="C671" s="518"/>
      <c r="D671" s="518"/>
      <c r="E671" s="518"/>
      <c r="F671" s="518"/>
      <c r="G671" s="518"/>
      <c r="H671" s="518"/>
      <c r="I671" s="518"/>
      <c r="J671" s="518"/>
      <c r="K671" s="518"/>
      <c r="L671" s="518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  <c r="AB671" s="518"/>
      <c r="AC671" s="518"/>
      <c r="AD671" s="518"/>
      <c r="AE671" s="518"/>
      <c r="AF671" s="518"/>
      <c r="AG671" s="518"/>
      <c r="AH671" s="518"/>
      <c r="AI671" s="518"/>
      <c r="AJ671" s="518"/>
      <c r="AK671" s="518"/>
      <c r="AL671" s="518"/>
      <c r="AM671" s="518"/>
      <c r="AN671" s="518"/>
      <c r="AO671" s="518"/>
      <c r="AP671" s="518"/>
      <c r="AQ671" s="518"/>
      <c r="AR671" s="518"/>
      <c r="AS671" s="518"/>
      <c r="AT671" s="518"/>
    </row>
    <row r="672" spans="3:46" ht="12.75" customHeight="1">
      <c r="C672" s="518"/>
      <c r="D672" s="518"/>
      <c r="E672" s="518"/>
      <c r="F672" s="518"/>
      <c r="G672" s="518"/>
      <c r="H672" s="518"/>
      <c r="I672" s="518"/>
      <c r="J672" s="518"/>
      <c r="K672" s="518"/>
      <c r="L672" s="518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  <c r="AB672" s="518"/>
      <c r="AC672" s="518"/>
      <c r="AD672" s="518"/>
      <c r="AE672" s="518"/>
      <c r="AF672" s="518"/>
      <c r="AG672" s="518"/>
      <c r="AH672" s="518"/>
      <c r="AI672" s="518"/>
      <c r="AJ672" s="518"/>
      <c r="AK672" s="518"/>
      <c r="AL672" s="518"/>
      <c r="AM672" s="518"/>
      <c r="AN672" s="518"/>
      <c r="AO672" s="518"/>
      <c r="AP672" s="518"/>
      <c r="AQ672" s="518"/>
      <c r="AR672" s="518"/>
      <c r="AS672" s="518"/>
      <c r="AT672" s="518"/>
    </row>
    <row r="673" spans="3:46" ht="12.75" customHeight="1">
      <c r="C673" s="518"/>
      <c r="D673" s="518"/>
      <c r="E673" s="518"/>
      <c r="F673" s="518"/>
      <c r="G673" s="518"/>
      <c r="H673" s="518"/>
      <c r="I673" s="518"/>
      <c r="J673" s="518"/>
      <c r="K673" s="518"/>
      <c r="L673" s="518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  <c r="AB673" s="518"/>
      <c r="AC673" s="518"/>
      <c r="AD673" s="518"/>
      <c r="AE673" s="518"/>
      <c r="AF673" s="518"/>
      <c r="AG673" s="518"/>
      <c r="AH673" s="518"/>
      <c r="AI673" s="518"/>
      <c r="AJ673" s="518"/>
      <c r="AK673" s="518"/>
      <c r="AL673" s="518"/>
      <c r="AM673" s="518"/>
      <c r="AN673" s="518"/>
      <c r="AO673" s="518"/>
      <c r="AP673" s="518"/>
      <c r="AQ673" s="518"/>
      <c r="AR673" s="518"/>
      <c r="AS673" s="518"/>
      <c r="AT673" s="518"/>
    </row>
    <row r="674" spans="3:46" ht="12.75" customHeight="1">
      <c r="C674" s="518"/>
      <c r="D674" s="518"/>
      <c r="E674" s="518"/>
      <c r="F674" s="518"/>
      <c r="G674" s="518"/>
      <c r="H674" s="518"/>
      <c r="I674" s="518"/>
      <c r="J674" s="518"/>
      <c r="K674" s="518"/>
      <c r="L674" s="518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  <c r="AB674" s="518"/>
      <c r="AC674" s="518"/>
      <c r="AD674" s="518"/>
      <c r="AE674" s="518"/>
      <c r="AF674" s="518"/>
      <c r="AG674" s="518"/>
      <c r="AH674" s="518"/>
      <c r="AI674" s="518"/>
      <c r="AJ674" s="518"/>
      <c r="AK674" s="518"/>
      <c r="AL674" s="518"/>
      <c r="AM674" s="518"/>
      <c r="AN674" s="518"/>
      <c r="AO674" s="518"/>
      <c r="AP674" s="518"/>
      <c r="AQ674" s="518"/>
      <c r="AR674" s="518"/>
      <c r="AS674" s="518"/>
      <c r="AT674" s="518"/>
    </row>
    <row r="675" spans="3:46" ht="12.75" customHeight="1">
      <c r="C675" s="518"/>
      <c r="D675" s="518"/>
      <c r="E675" s="518"/>
      <c r="F675" s="518"/>
      <c r="G675" s="518"/>
      <c r="H675" s="518"/>
      <c r="I675" s="518"/>
      <c r="J675" s="518"/>
      <c r="K675" s="518"/>
      <c r="L675" s="518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  <c r="AB675" s="518"/>
      <c r="AC675" s="518"/>
      <c r="AD675" s="518"/>
      <c r="AE675" s="518"/>
      <c r="AF675" s="518"/>
      <c r="AG675" s="518"/>
      <c r="AH675" s="518"/>
      <c r="AI675" s="518"/>
      <c r="AJ675" s="518"/>
      <c r="AK675" s="518"/>
      <c r="AL675" s="518"/>
      <c r="AM675" s="518"/>
      <c r="AN675" s="518"/>
      <c r="AO675" s="518"/>
      <c r="AP675" s="518"/>
      <c r="AQ675" s="518"/>
      <c r="AR675" s="518"/>
      <c r="AS675" s="518"/>
      <c r="AT675" s="518"/>
    </row>
    <row r="676" spans="3:46" ht="12.75" customHeight="1">
      <c r="C676" s="518"/>
      <c r="D676" s="518"/>
      <c r="E676" s="518"/>
      <c r="F676" s="518"/>
      <c r="G676" s="518"/>
      <c r="H676" s="518"/>
      <c r="I676" s="518"/>
      <c r="J676" s="518"/>
      <c r="K676" s="518"/>
      <c r="L676" s="518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  <c r="AB676" s="518"/>
      <c r="AC676" s="518"/>
      <c r="AD676" s="518"/>
      <c r="AE676" s="518"/>
      <c r="AF676" s="518"/>
      <c r="AG676" s="518"/>
      <c r="AH676" s="518"/>
      <c r="AI676" s="518"/>
      <c r="AJ676" s="518"/>
      <c r="AK676" s="518"/>
      <c r="AL676" s="518"/>
      <c r="AM676" s="518"/>
      <c r="AN676" s="518"/>
      <c r="AO676" s="518"/>
      <c r="AP676" s="518"/>
      <c r="AQ676" s="518"/>
      <c r="AR676" s="518"/>
      <c r="AS676" s="518"/>
      <c r="AT676" s="518"/>
    </row>
    <row r="677" spans="3:46" ht="12.75" customHeight="1">
      <c r="C677" s="518"/>
      <c r="D677" s="518"/>
      <c r="E677" s="518"/>
      <c r="F677" s="518"/>
      <c r="G677" s="518"/>
      <c r="H677" s="518"/>
      <c r="I677" s="518"/>
      <c r="J677" s="518"/>
      <c r="K677" s="518"/>
      <c r="L677" s="518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  <c r="AB677" s="518"/>
      <c r="AC677" s="518"/>
      <c r="AD677" s="518"/>
      <c r="AE677" s="518"/>
      <c r="AF677" s="518"/>
      <c r="AG677" s="518"/>
      <c r="AH677" s="518"/>
      <c r="AI677" s="518"/>
      <c r="AJ677" s="518"/>
      <c r="AK677" s="518"/>
      <c r="AL677" s="518"/>
      <c r="AM677" s="518"/>
      <c r="AN677" s="518"/>
      <c r="AO677" s="518"/>
      <c r="AP677" s="518"/>
      <c r="AQ677" s="518"/>
      <c r="AR677" s="518"/>
      <c r="AS677" s="518"/>
      <c r="AT677" s="518"/>
    </row>
    <row r="678" spans="3:46" ht="12.75" customHeight="1">
      <c r="C678" s="518"/>
      <c r="D678" s="518"/>
      <c r="E678" s="518"/>
      <c r="F678" s="518"/>
      <c r="G678" s="518"/>
      <c r="H678" s="518"/>
      <c r="I678" s="518"/>
      <c r="J678" s="518"/>
      <c r="K678" s="518"/>
      <c r="L678" s="518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  <c r="AB678" s="518"/>
      <c r="AC678" s="518"/>
      <c r="AD678" s="518"/>
      <c r="AE678" s="518"/>
      <c r="AF678" s="518"/>
      <c r="AG678" s="518"/>
      <c r="AH678" s="518"/>
      <c r="AI678" s="518"/>
      <c r="AJ678" s="518"/>
      <c r="AK678" s="518"/>
      <c r="AL678" s="518"/>
      <c r="AM678" s="518"/>
      <c r="AN678" s="518"/>
      <c r="AO678" s="518"/>
      <c r="AP678" s="518"/>
      <c r="AQ678" s="518"/>
      <c r="AR678" s="518"/>
      <c r="AS678" s="518"/>
      <c r="AT678" s="518"/>
    </row>
    <row r="679" spans="3:46" ht="12.75" customHeight="1">
      <c r="C679" s="518"/>
      <c r="D679" s="518"/>
      <c r="E679" s="518"/>
      <c r="F679" s="518"/>
      <c r="G679" s="518"/>
      <c r="H679" s="518"/>
      <c r="I679" s="518"/>
      <c r="J679" s="518"/>
      <c r="K679" s="518"/>
      <c r="L679" s="518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  <c r="AB679" s="518"/>
      <c r="AC679" s="518"/>
      <c r="AD679" s="518"/>
      <c r="AE679" s="518"/>
      <c r="AF679" s="518"/>
      <c r="AG679" s="518"/>
      <c r="AH679" s="518"/>
      <c r="AI679" s="518"/>
      <c r="AJ679" s="518"/>
      <c r="AK679" s="518"/>
      <c r="AL679" s="518"/>
      <c r="AM679" s="518"/>
      <c r="AN679" s="518"/>
      <c r="AO679" s="518"/>
      <c r="AP679" s="518"/>
      <c r="AQ679" s="518"/>
      <c r="AR679" s="518"/>
      <c r="AS679" s="518"/>
      <c r="AT679" s="518"/>
    </row>
    <row r="680" spans="3:46" ht="12.75" customHeight="1">
      <c r="C680" s="518"/>
      <c r="D680" s="518"/>
      <c r="E680" s="518"/>
      <c r="F680" s="518"/>
      <c r="G680" s="518"/>
      <c r="H680" s="518"/>
      <c r="I680" s="518"/>
      <c r="J680" s="518"/>
      <c r="K680" s="518"/>
      <c r="L680" s="518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  <c r="AB680" s="518"/>
      <c r="AC680" s="518"/>
      <c r="AD680" s="518"/>
      <c r="AE680" s="518"/>
      <c r="AF680" s="518"/>
      <c r="AG680" s="518"/>
      <c r="AH680" s="518"/>
      <c r="AI680" s="518"/>
      <c r="AJ680" s="518"/>
      <c r="AK680" s="518"/>
      <c r="AL680" s="518"/>
      <c r="AM680" s="518"/>
      <c r="AN680" s="518"/>
      <c r="AO680" s="518"/>
      <c r="AP680" s="518"/>
      <c r="AQ680" s="518"/>
      <c r="AR680" s="518"/>
      <c r="AS680" s="518"/>
      <c r="AT680" s="518"/>
    </row>
    <row r="681" spans="3:46" ht="12.75" customHeight="1">
      <c r="C681" s="518"/>
      <c r="D681" s="518"/>
      <c r="E681" s="518"/>
      <c r="F681" s="518"/>
      <c r="G681" s="518"/>
      <c r="H681" s="518"/>
      <c r="I681" s="518"/>
      <c r="J681" s="518"/>
      <c r="K681" s="518"/>
      <c r="L681" s="518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  <c r="AB681" s="518"/>
      <c r="AC681" s="518"/>
      <c r="AD681" s="518"/>
      <c r="AE681" s="518"/>
      <c r="AF681" s="518"/>
      <c r="AG681" s="518"/>
      <c r="AH681" s="518"/>
      <c r="AI681" s="518"/>
      <c r="AJ681" s="518"/>
      <c r="AK681" s="518"/>
      <c r="AL681" s="518"/>
      <c r="AM681" s="518"/>
      <c r="AN681" s="518"/>
      <c r="AO681" s="518"/>
      <c r="AP681" s="518"/>
      <c r="AQ681" s="518"/>
      <c r="AR681" s="518"/>
      <c r="AS681" s="518"/>
      <c r="AT681" s="518"/>
    </row>
    <row r="682" spans="3:46" ht="12.75" customHeight="1">
      <c r="C682" s="518"/>
      <c r="D682" s="518"/>
      <c r="E682" s="518"/>
      <c r="F682" s="518"/>
      <c r="G682" s="518"/>
      <c r="H682" s="518"/>
      <c r="I682" s="518"/>
      <c r="J682" s="518"/>
      <c r="K682" s="518"/>
      <c r="L682" s="518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  <c r="AB682" s="518"/>
      <c r="AC682" s="518"/>
      <c r="AD682" s="518"/>
      <c r="AE682" s="518"/>
      <c r="AF682" s="518"/>
      <c r="AG682" s="518"/>
      <c r="AH682" s="518"/>
      <c r="AI682" s="518"/>
      <c r="AJ682" s="518"/>
      <c r="AK682" s="518"/>
      <c r="AL682" s="518"/>
      <c r="AM682" s="518"/>
      <c r="AN682" s="518"/>
      <c r="AO682" s="518"/>
      <c r="AP682" s="518"/>
      <c r="AQ682" s="518"/>
      <c r="AR682" s="518"/>
      <c r="AS682" s="518"/>
      <c r="AT682" s="518"/>
    </row>
    <row r="683" spans="3:46" ht="12.75" customHeight="1">
      <c r="C683" s="518"/>
      <c r="D683" s="518"/>
      <c r="E683" s="518"/>
      <c r="F683" s="518"/>
      <c r="G683" s="518"/>
      <c r="H683" s="518"/>
      <c r="I683" s="518"/>
      <c r="J683" s="518"/>
      <c r="K683" s="518"/>
      <c r="L683" s="518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  <c r="AB683" s="518"/>
      <c r="AC683" s="518"/>
      <c r="AD683" s="518"/>
      <c r="AE683" s="518"/>
      <c r="AF683" s="518"/>
      <c r="AG683" s="518"/>
      <c r="AH683" s="518"/>
      <c r="AI683" s="518"/>
      <c r="AJ683" s="518"/>
      <c r="AK683" s="518"/>
      <c r="AL683" s="518"/>
      <c r="AM683" s="518"/>
      <c r="AN683" s="518"/>
      <c r="AO683" s="518"/>
      <c r="AP683" s="518"/>
      <c r="AQ683" s="518"/>
      <c r="AR683" s="518"/>
      <c r="AS683" s="518"/>
      <c r="AT683" s="518"/>
    </row>
    <row r="684" spans="3:46" ht="12.75" customHeight="1">
      <c r="C684" s="518"/>
      <c r="D684" s="518"/>
      <c r="E684" s="518"/>
      <c r="F684" s="518"/>
      <c r="G684" s="518"/>
      <c r="H684" s="518"/>
      <c r="I684" s="518"/>
      <c r="J684" s="518"/>
      <c r="K684" s="518"/>
      <c r="L684" s="518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  <c r="AB684" s="518"/>
      <c r="AC684" s="518"/>
      <c r="AD684" s="518"/>
      <c r="AE684" s="518"/>
      <c r="AF684" s="518"/>
      <c r="AG684" s="518"/>
      <c r="AH684" s="518"/>
      <c r="AI684" s="518"/>
      <c r="AJ684" s="518"/>
      <c r="AK684" s="518"/>
      <c r="AL684" s="518"/>
      <c r="AM684" s="518"/>
      <c r="AN684" s="518"/>
      <c r="AO684" s="518"/>
      <c r="AP684" s="518"/>
      <c r="AQ684" s="518"/>
      <c r="AR684" s="518"/>
      <c r="AS684" s="518"/>
      <c r="AT684" s="518"/>
    </row>
    <row r="685" spans="3:46" ht="12.75" customHeight="1">
      <c r="C685" s="518"/>
      <c r="D685" s="518"/>
      <c r="E685" s="518"/>
      <c r="F685" s="518"/>
      <c r="G685" s="518"/>
      <c r="H685" s="518"/>
      <c r="I685" s="518"/>
      <c r="J685" s="518"/>
      <c r="K685" s="518"/>
      <c r="L685" s="518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  <c r="AB685" s="518"/>
      <c r="AC685" s="518"/>
      <c r="AD685" s="518"/>
      <c r="AE685" s="518"/>
      <c r="AF685" s="518"/>
      <c r="AG685" s="518"/>
      <c r="AH685" s="518"/>
      <c r="AI685" s="518"/>
      <c r="AJ685" s="518"/>
      <c r="AK685" s="518"/>
      <c r="AL685" s="518"/>
      <c r="AM685" s="518"/>
      <c r="AN685" s="518"/>
      <c r="AO685" s="518"/>
      <c r="AP685" s="518"/>
      <c r="AQ685" s="518"/>
      <c r="AR685" s="518"/>
      <c r="AS685" s="518"/>
      <c r="AT685" s="518"/>
    </row>
    <row r="686" spans="3:46" ht="12.75" customHeight="1">
      <c r="C686" s="518"/>
      <c r="D686" s="518"/>
      <c r="E686" s="518"/>
      <c r="F686" s="518"/>
      <c r="G686" s="518"/>
      <c r="H686" s="518"/>
      <c r="I686" s="518"/>
      <c r="J686" s="518"/>
      <c r="K686" s="518"/>
      <c r="L686" s="518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  <c r="AB686" s="518"/>
      <c r="AC686" s="518"/>
      <c r="AD686" s="518"/>
      <c r="AE686" s="518"/>
      <c r="AF686" s="518"/>
      <c r="AG686" s="518"/>
      <c r="AH686" s="518"/>
      <c r="AI686" s="518"/>
      <c r="AJ686" s="518"/>
      <c r="AK686" s="518"/>
      <c r="AL686" s="518"/>
      <c r="AM686" s="518"/>
      <c r="AN686" s="518"/>
      <c r="AO686" s="518"/>
      <c r="AP686" s="518"/>
      <c r="AQ686" s="518"/>
      <c r="AR686" s="518"/>
      <c r="AS686" s="518"/>
      <c r="AT686" s="518"/>
    </row>
    <row r="687" spans="3:46" ht="12.75" customHeight="1">
      <c r="C687" s="518"/>
      <c r="D687" s="518"/>
      <c r="E687" s="518"/>
      <c r="F687" s="518"/>
      <c r="G687" s="518"/>
      <c r="H687" s="518"/>
      <c r="I687" s="518"/>
      <c r="J687" s="518"/>
      <c r="K687" s="518"/>
      <c r="L687" s="518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  <c r="AB687" s="518"/>
      <c r="AC687" s="518"/>
      <c r="AD687" s="518"/>
      <c r="AE687" s="518"/>
      <c r="AF687" s="518"/>
      <c r="AG687" s="518"/>
      <c r="AH687" s="518"/>
      <c r="AI687" s="518"/>
      <c r="AJ687" s="518"/>
      <c r="AK687" s="518"/>
      <c r="AL687" s="518"/>
      <c r="AM687" s="518"/>
      <c r="AN687" s="518"/>
      <c r="AO687" s="518"/>
      <c r="AP687" s="518"/>
      <c r="AQ687" s="518"/>
      <c r="AR687" s="518"/>
      <c r="AS687" s="518"/>
      <c r="AT687" s="518"/>
    </row>
    <row r="688" spans="3:46" ht="12.75" customHeight="1">
      <c r="C688" s="518"/>
      <c r="D688" s="518"/>
      <c r="E688" s="518"/>
      <c r="F688" s="518"/>
      <c r="G688" s="518"/>
      <c r="H688" s="518"/>
      <c r="I688" s="518"/>
      <c r="J688" s="518"/>
      <c r="K688" s="518"/>
      <c r="L688" s="518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  <c r="AB688" s="518"/>
      <c r="AC688" s="518"/>
      <c r="AD688" s="518"/>
      <c r="AE688" s="518"/>
      <c r="AF688" s="518"/>
      <c r="AG688" s="518"/>
      <c r="AH688" s="518"/>
      <c r="AI688" s="518"/>
      <c r="AJ688" s="518"/>
      <c r="AK688" s="518"/>
      <c r="AL688" s="518"/>
      <c r="AM688" s="518"/>
      <c r="AN688" s="518"/>
      <c r="AO688" s="518"/>
      <c r="AP688" s="518"/>
      <c r="AQ688" s="518"/>
      <c r="AR688" s="518"/>
      <c r="AS688" s="518"/>
      <c r="AT688" s="518"/>
    </row>
    <row r="689" spans="3:46" ht="12.75" customHeight="1"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  <c r="AB689" s="518"/>
      <c r="AC689" s="518"/>
      <c r="AD689" s="518"/>
      <c r="AE689" s="518"/>
      <c r="AF689" s="518"/>
      <c r="AG689" s="518"/>
      <c r="AH689" s="518"/>
      <c r="AI689" s="518"/>
      <c r="AJ689" s="518"/>
      <c r="AK689" s="518"/>
      <c r="AL689" s="518"/>
      <c r="AM689" s="518"/>
      <c r="AN689" s="518"/>
      <c r="AO689" s="518"/>
      <c r="AP689" s="518"/>
      <c r="AQ689" s="518"/>
      <c r="AR689" s="518"/>
      <c r="AS689" s="518"/>
      <c r="AT689" s="518"/>
    </row>
    <row r="690" spans="3:46" ht="12.75" customHeight="1"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8"/>
      <c r="AQ690" s="518"/>
      <c r="AR690" s="518"/>
      <c r="AS690" s="518"/>
      <c r="AT690" s="518"/>
    </row>
    <row r="691" spans="3:46" ht="12.75" customHeight="1">
      <c r="C691" s="518"/>
      <c r="D691" s="518"/>
      <c r="E691" s="518"/>
      <c r="F691" s="518"/>
      <c r="G691" s="518"/>
      <c r="H691" s="518"/>
      <c r="I691" s="518"/>
      <c r="J691" s="518"/>
      <c r="K691" s="518"/>
      <c r="L691" s="518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  <c r="AB691" s="518"/>
      <c r="AC691" s="518"/>
      <c r="AD691" s="518"/>
      <c r="AE691" s="518"/>
      <c r="AF691" s="518"/>
      <c r="AG691" s="518"/>
      <c r="AH691" s="518"/>
      <c r="AI691" s="518"/>
      <c r="AJ691" s="518"/>
      <c r="AK691" s="518"/>
      <c r="AL691" s="518"/>
      <c r="AM691" s="518"/>
      <c r="AN691" s="518"/>
      <c r="AO691" s="518"/>
      <c r="AP691" s="518"/>
      <c r="AQ691" s="518"/>
      <c r="AR691" s="518"/>
      <c r="AS691" s="518"/>
      <c r="AT691" s="518"/>
    </row>
    <row r="692" spans="3:46" ht="12.75" customHeight="1">
      <c r="C692" s="518"/>
      <c r="D692" s="518"/>
      <c r="E692" s="518"/>
      <c r="F692" s="518"/>
      <c r="G692" s="518"/>
      <c r="H692" s="518"/>
      <c r="I692" s="518"/>
      <c r="J692" s="518"/>
      <c r="K692" s="518"/>
      <c r="L692" s="518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  <c r="AB692" s="518"/>
      <c r="AC692" s="518"/>
      <c r="AD692" s="518"/>
      <c r="AE692" s="518"/>
      <c r="AF692" s="518"/>
      <c r="AG692" s="518"/>
      <c r="AH692" s="518"/>
      <c r="AI692" s="518"/>
      <c r="AJ692" s="518"/>
      <c r="AK692" s="518"/>
      <c r="AL692" s="518"/>
      <c r="AM692" s="518"/>
      <c r="AN692" s="518"/>
      <c r="AO692" s="518"/>
      <c r="AP692" s="518"/>
      <c r="AQ692" s="518"/>
      <c r="AR692" s="518"/>
      <c r="AS692" s="518"/>
      <c r="AT692" s="518"/>
    </row>
    <row r="693" spans="3:46" ht="12.75" customHeight="1">
      <c r="C693" s="518"/>
      <c r="D693" s="518"/>
      <c r="E693" s="518"/>
      <c r="F693" s="518"/>
      <c r="G693" s="518"/>
      <c r="H693" s="518"/>
      <c r="I693" s="518"/>
      <c r="J693" s="518"/>
      <c r="K693" s="518"/>
      <c r="L693" s="518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  <c r="AB693" s="518"/>
      <c r="AC693" s="518"/>
      <c r="AD693" s="518"/>
      <c r="AE693" s="518"/>
      <c r="AF693" s="518"/>
      <c r="AG693" s="518"/>
      <c r="AH693" s="518"/>
      <c r="AI693" s="518"/>
      <c r="AJ693" s="518"/>
      <c r="AK693" s="518"/>
      <c r="AL693" s="518"/>
      <c r="AM693" s="518"/>
      <c r="AN693" s="518"/>
      <c r="AO693" s="518"/>
      <c r="AP693" s="518"/>
      <c r="AQ693" s="518"/>
      <c r="AR693" s="518"/>
      <c r="AS693" s="518"/>
      <c r="AT693" s="518"/>
    </row>
    <row r="694" spans="3:46" ht="12.75" customHeight="1">
      <c r="C694" s="518"/>
      <c r="D694" s="518"/>
      <c r="E694" s="518"/>
      <c r="F694" s="518"/>
      <c r="G694" s="518"/>
      <c r="H694" s="518"/>
      <c r="I694" s="518"/>
      <c r="J694" s="518"/>
      <c r="K694" s="518"/>
      <c r="L694" s="518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  <c r="AB694" s="518"/>
      <c r="AC694" s="518"/>
      <c r="AD694" s="518"/>
      <c r="AE694" s="518"/>
      <c r="AF694" s="518"/>
      <c r="AG694" s="518"/>
      <c r="AH694" s="518"/>
      <c r="AI694" s="518"/>
      <c r="AJ694" s="518"/>
      <c r="AK694" s="518"/>
      <c r="AL694" s="518"/>
      <c r="AM694" s="518"/>
      <c r="AN694" s="518"/>
      <c r="AO694" s="518"/>
      <c r="AP694" s="518"/>
      <c r="AQ694" s="518"/>
      <c r="AR694" s="518"/>
      <c r="AS694" s="518"/>
      <c r="AT694" s="518"/>
    </row>
    <row r="695" spans="3:46" ht="12.75" customHeight="1">
      <c r="C695" s="518"/>
      <c r="D695" s="518"/>
      <c r="E695" s="518"/>
      <c r="F695" s="518"/>
      <c r="G695" s="518"/>
      <c r="H695" s="518"/>
      <c r="I695" s="518"/>
      <c r="J695" s="518"/>
      <c r="K695" s="518"/>
      <c r="L695" s="518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  <c r="AB695" s="518"/>
      <c r="AC695" s="518"/>
      <c r="AD695" s="518"/>
      <c r="AE695" s="518"/>
      <c r="AF695" s="518"/>
      <c r="AG695" s="518"/>
      <c r="AH695" s="518"/>
      <c r="AI695" s="518"/>
      <c r="AJ695" s="518"/>
      <c r="AK695" s="518"/>
      <c r="AL695" s="518"/>
      <c r="AM695" s="518"/>
      <c r="AN695" s="518"/>
      <c r="AO695" s="518"/>
      <c r="AP695" s="518"/>
      <c r="AQ695" s="518"/>
      <c r="AR695" s="518"/>
      <c r="AS695" s="518"/>
      <c r="AT695" s="518"/>
    </row>
    <row r="696" spans="3:46" ht="12.75" customHeight="1">
      <c r="C696" s="518"/>
      <c r="D696" s="518"/>
      <c r="E696" s="518"/>
      <c r="F696" s="518"/>
      <c r="G696" s="518"/>
      <c r="H696" s="518"/>
      <c r="I696" s="518"/>
      <c r="J696" s="518"/>
      <c r="K696" s="518"/>
      <c r="L696" s="518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  <c r="AB696" s="518"/>
      <c r="AC696" s="518"/>
      <c r="AD696" s="518"/>
      <c r="AE696" s="518"/>
      <c r="AF696" s="518"/>
      <c r="AG696" s="518"/>
      <c r="AH696" s="518"/>
      <c r="AI696" s="518"/>
      <c r="AJ696" s="518"/>
      <c r="AK696" s="518"/>
      <c r="AL696" s="518"/>
      <c r="AM696" s="518"/>
      <c r="AN696" s="518"/>
      <c r="AO696" s="518"/>
      <c r="AP696" s="518"/>
      <c r="AQ696" s="518"/>
      <c r="AR696" s="518"/>
      <c r="AS696" s="518"/>
      <c r="AT696" s="518"/>
    </row>
    <row r="697" spans="3:46" ht="12.75" customHeight="1">
      <c r="C697" s="518"/>
      <c r="D697" s="518"/>
      <c r="E697" s="518"/>
      <c r="F697" s="518"/>
      <c r="G697" s="518"/>
      <c r="H697" s="518"/>
      <c r="I697" s="518"/>
      <c r="J697" s="518"/>
      <c r="K697" s="518"/>
      <c r="L697" s="518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  <c r="AB697" s="518"/>
      <c r="AC697" s="518"/>
      <c r="AD697" s="518"/>
      <c r="AE697" s="518"/>
      <c r="AF697" s="518"/>
      <c r="AG697" s="518"/>
      <c r="AH697" s="518"/>
      <c r="AI697" s="518"/>
      <c r="AJ697" s="518"/>
      <c r="AK697" s="518"/>
      <c r="AL697" s="518"/>
      <c r="AM697" s="518"/>
      <c r="AN697" s="518"/>
      <c r="AO697" s="518"/>
      <c r="AP697" s="518"/>
      <c r="AQ697" s="518"/>
      <c r="AR697" s="518"/>
      <c r="AS697" s="518"/>
      <c r="AT697" s="518"/>
    </row>
    <row r="698" spans="3:46" ht="12.75" customHeight="1">
      <c r="C698" s="518"/>
      <c r="D698" s="518"/>
      <c r="E698" s="518"/>
      <c r="F698" s="518"/>
      <c r="G698" s="518"/>
      <c r="H698" s="518"/>
      <c r="I698" s="518"/>
      <c r="J698" s="518"/>
      <c r="K698" s="518"/>
      <c r="L698" s="518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  <c r="AB698" s="518"/>
      <c r="AC698" s="518"/>
      <c r="AD698" s="518"/>
      <c r="AE698" s="518"/>
      <c r="AF698" s="518"/>
      <c r="AG698" s="518"/>
      <c r="AH698" s="518"/>
      <c r="AI698" s="518"/>
      <c r="AJ698" s="518"/>
      <c r="AK698" s="518"/>
      <c r="AL698" s="518"/>
      <c r="AM698" s="518"/>
      <c r="AN698" s="518"/>
      <c r="AO698" s="518"/>
      <c r="AP698" s="518"/>
      <c r="AQ698" s="518"/>
      <c r="AR698" s="518"/>
      <c r="AS698" s="518"/>
      <c r="AT698" s="518"/>
    </row>
    <row r="699" spans="3:46" ht="12.75" customHeight="1">
      <c r="C699" s="518"/>
      <c r="D699" s="518"/>
      <c r="E699" s="518"/>
      <c r="F699" s="518"/>
      <c r="G699" s="518"/>
      <c r="H699" s="518"/>
      <c r="I699" s="518"/>
      <c r="J699" s="518"/>
      <c r="K699" s="518"/>
      <c r="L699" s="518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  <c r="AB699" s="518"/>
      <c r="AC699" s="518"/>
      <c r="AD699" s="518"/>
      <c r="AE699" s="518"/>
      <c r="AF699" s="518"/>
      <c r="AG699" s="518"/>
      <c r="AH699" s="518"/>
      <c r="AI699" s="518"/>
      <c r="AJ699" s="518"/>
      <c r="AK699" s="518"/>
      <c r="AL699" s="518"/>
      <c r="AM699" s="518"/>
      <c r="AN699" s="518"/>
      <c r="AO699" s="518"/>
      <c r="AP699" s="518"/>
      <c r="AQ699" s="518"/>
      <c r="AR699" s="518"/>
      <c r="AS699" s="518"/>
      <c r="AT699" s="518"/>
    </row>
    <row r="700" spans="3:46" ht="12.75" customHeight="1">
      <c r="C700" s="518"/>
      <c r="D700" s="518"/>
      <c r="E700" s="518"/>
      <c r="F700" s="518"/>
      <c r="G700" s="518"/>
      <c r="H700" s="518"/>
      <c r="I700" s="518"/>
      <c r="J700" s="518"/>
      <c r="K700" s="518"/>
      <c r="L700" s="518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  <c r="AB700" s="518"/>
      <c r="AC700" s="518"/>
      <c r="AD700" s="518"/>
      <c r="AE700" s="518"/>
      <c r="AF700" s="518"/>
      <c r="AG700" s="518"/>
      <c r="AH700" s="518"/>
      <c r="AI700" s="518"/>
      <c r="AJ700" s="518"/>
      <c r="AK700" s="518"/>
      <c r="AL700" s="518"/>
      <c r="AM700" s="518"/>
      <c r="AN700" s="518"/>
      <c r="AO700" s="518"/>
      <c r="AP700" s="518"/>
      <c r="AQ700" s="518"/>
      <c r="AR700" s="518"/>
      <c r="AS700" s="518"/>
      <c r="AT700" s="518"/>
    </row>
    <row r="701" spans="3:46" ht="12.75" customHeight="1">
      <c r="C701" s="518"/>
      <c r="D701" s="518"/>
      <c r="E701" s="518"/>
      <c r="F701" s="518"/>
      <c r="G701" s="518"/>
      <c r="H701" s="518"/>
      <c r="I701" s="518"/>
      <c r="J701" s="518"/>
      <c r="K701" s="518"/>
      <c r="L701" s="518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  <c r="AB701" s="518"/>
      <c r="AC701" s="518"/>
      <c r="AD701" s="518"/>
      <c r="AE701" s="518"/>
      <c r="AF701" s="518"/>
      <c r="AG701" s="518"/>
      <c r="AH701" s="518"/>
      <c r="AI701" s="518"/>
      <c r="AJ701" s="518"/>
      <c r="AK701" s="518"/>
      <c r="AL701" s="518"/>
      <c r="AM701" s="518"/>
      <c r="AN701" s="518"/>
      <c r="AO701" s="518"/>
      <c r="AP701" s="518"/>
      <c r="AQ701" s="518"/>
      <c r="AR701" s="518"/>
      <c r="AS701" s="518"/>
      <c r="AT701" s="518"/>
    </row>
    <row r="702" spans="3:46" ht="12.75" customHeight="1">
      <c r="C702" s="518"/>
      <c r="D702" s="518"/>
      <c r="E702" s="518"/>
      <c r="F702" s="518"/>
      <c r="G702" s="518"/>
      <c r="H702" s="518"/>
      <c r="I702" s="518"/>
      <c r="J702" s="518"/>
      <c r="K702" s="518"/>
      <c r="L702" s="518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  <c r="AB702" s="518"/>
      <c r="AC702" s="518"/>
      <c r="AD702" s="518"/>
      <c r="AE702" s="518"/>
      <c r="AF702" s="518"/>
      <c r="AG702" s="518"/>
      <c r="AH702" s="518"/>
      <c r="AI702" s="518"/>
      <c r="AJ702" s="518"/>
      <c r="AK702" s="518"/>
      <c r="AL702" s="518"/>
      <c r="AM702" s="518"/>
      <c r="AN702" s="518"/>
      <c r="AO702" s="518"/>
      <c r="AP702" s="518"/>
      <c r="AQ702" s="518"/>
      <c r="AR702" s="518"/>
      <c r="AS702" s="518"/>
      <c r="AT702" s="518"/>
    </row>
    <row r="703" spans="3:46" ht="12.75" customHeight="1">
      <c r="C703" s="518"/>
      <c r="D703" s="518"/>
      <c r="E703" s="518"/>
      <c r="F703" s="518"/>
      <c r="G703" s="518"/>
      <c r="H703" s="518"/>
      <c r="I703" s="518"/>
      <c r="J703" s="518"/>
      <c r="K703" s="518"/>
      <c r="L703" s="518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  <c r="AB703" s="518"/>
      <c r="AC703" s="518"/>
      <c r="AD703" s="518"/>
      <c r="AE703" s="518"/>
      <c r="AF703" s="518"/>
      <c r="AG703" s="518"/>
      <c r="AH703" s="518"/>
      <c r="AI703" s="518"/>
      <c r="AJ703" s="518"/>
      <c r="AK703" s="518"/>
      <c r="AL703" s="518"/>
      <c r="AM703" s="518"/>
      <c r="AN703" s="518"/>
      <c r="AO703" s="518"/>
      <c r="AP703" s="518"/>
      <c r="AQ703" s="518"/>
      <c r="AR703" s="518"/>
      <c r="AS703" s="518"/>
      <c r="AT703" s="518"/>
    </row>
    <row r="704" spans="3:46" ht="12.75" customHeight="1">
      <c r="C704" s="518"/>
      <c r="D704" s="518"/>
      <c r="E704" s="518"/>
      <c r="F704" s="518"/>
      <c r="G704" s="518"/>
      <c r="H704" s="518"/>
      <c r="I704" s="518"/>
      <c r="J704" s="518"/>
      <c r="K704" s="518"/>
      <c r="L704" s="518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  <c r="AB704" s="518"/>
      <c r="AC704" s="518"/>
      <c r="AD704" s="518"/>
      <c r="AE704" s="518"/>
      <c r="AF704" s="518"/>
      <c r="AG704" s="518"/>
      <c r="AH704" s="518"/>
      <c r="AI704" s="518"/>
      <c r="AJ704" s="518"/>
      <c r="AK704" s="518"/>
      <c r="AL704" s="518"/>
      <c r="AM704" s="518"/>
      <c r="AN704" s="518"/>
      <c r="AO704" s="518"/>
      <c r="AP704" s="518"/>
      <c r="AQ704" s="518"/>
      <c r="AR704" s="518"/>
      <c r="AS704" s="518"/>
      <c r="AT704" s="518"/>
    </row>
    <row r="705" spans="3:46" ht="12.75" customHeight="1"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  <c r="AB705" s="518"/>
      <c r="AC705" s="518"/>
      <c r="AD705" s="518"/>
      <c r="AE705" s="518"/>
      <c r="AF705" s="518"/>
      <c r="AG705" s="518"/>
      <c r="AH705" s="518"/>
      <c r="AI705" s="518"/>
      <c r="AJ705" s="518"/>
      <c r="AK705" s="518"/>
      <c r="AL705" s="518"/>
      <c r="AM705" s="518"/>
      <c r="AN705" s="518"/>
      <c r="AO705" s="518"/>
      <c r="AP705" s="518"/>
      <c r="AQ705" s="518"/>
      <c r="AR705" s="518"/>
      <c r="AS705" s="518"/>
      <c r="AT705" s="518"/>
    </row>
    <row r="706" spans="3:46" ht="12.75" customHeight="1"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8"/>
      <c r="AQ706" s="518"/>
      <c r="AR706" s="518"/>
      <c r="AS706" s="518"/>
      <c r="AT706" s="518"/>
    </row>
    <row r="707" spans="3:46" ht="12.75" customHeight="1">
      <c r="C707" s="518"/>
      <c r="D707" s="518"/>
      <c r="E707" s="518"/>
      <c r="F707" s="518"/>
      <c r="G707" s="518"/>
      <c r="H707" s="518"/>
      <c r="I707" s="518"/>
      <c r="J707" s="518"/>
      <c r="K707" s="518"/>
      <c r="L707" s="518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  <c r="AB707" s="518"/>
      <c r="AC707" s="518"/>
      <c r="AD707" s="518"/>
      <c r="AE707" s="518"/>
      <c r="AF707" s="518"/>
      <c r="AG707" s="518"/>
      <c r="AH707" s="518"/>
      <c r="AI707" s="518"/>
      <c r="AJ707" s="518"/>
      <c r="AK707" s="518"/>
      <c r="AL707" s="518"/>
      <c r="AM707" s="518"/>
      <c r="AN707" s="518"/>
      <c r="AO707" s="518"/>
      <c r="AP707" s="518"/>
      <c r="AQ707" s="518"/>
      <c r="AR707" s="518"/>
      <c r="AS707" s="518"/>
      <c r="AT707" s="518"/>
    </row>
    <row r="708" spans="3:46" ht="12.75" customHeight="1">
      <c r="C708" s="518"/>
      <c r="D708" s="518"/>
      <c r="E708" s="518"/>
      <c r="F708" s="518"/>
      <c r="G708" s="518"/>
      <c r="H708" s="518"/>
      <c r="I708" s="518"/>
      <c r="J708" s="518"/>
      <c r="K708" s="518"/>
      <c r="L708" s="518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  <c r="AB708" s="518"/>
      <c r="AC708" s="518"/>
      <c r="AD708" s="518"/>
      <c r="AE708" s="518"/>
      <c r="AF708" s="518"/>
      <c r="AG708" s="518"/>
      <c r="AH708" s="518"/>
      <c r="AI708" s="518"/>
      <c r="AJ708" s="518"/>
      <c r="AK708" s="518"/>
      <c r="AL708" s="518"/>
      <c r="AM708" s="518"/>
      <c r="AN708" s="518"/>
      <c r="AO708" s="518"/>
      <c r="AP708" s="518"/>
      <c r="AQ708" s="518"/>
      <c r="AR708" s="518"/>
      <c r="AS708" s="518"/>
      <c r="AT708" s="518"/>
    </row>
    <row r="709" spans="3:46" ht="12.75" customHeight="1"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  <c r="AB709" s="518"/>
      <c r="AC709" s="518"/>
      <c r="AD709" s="518"/>
      <c r="AE709" s="518"/>
      <c r="AF709" s="518"/>
      <c r="AG709" s="518"/>
      <c r="AH709" s="518"/>
      <c r="AI709" s="518"/>
      <c r="AJ709" s="518"/>
      <c r="AK709" s="518"/>
      <c r="AL709" s="518"/>
      <c r="AM709" s="518"/>
      <c r="AN709" s="518"/>
      <c r="AO709" s="518"/>
      <c r="AP709" s="518"/>
      <c r="AQ709" s="518"/>
      <c r="AR709" s="518"/>
      <c r="AS709" s="518"/>
      <c r="AT709" s="518"/>
    </row>
    <row r="710" spans="3:46" ht="12.75" customHeight="1"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8"/>
      <c r="AQ710" s="518"/>
      <c r="AR710" s="518"/>
      <c r="AS710" s="518"/>
      <c r="AT710" s="518"/>
    </row>
    <row r="711" spans="3:46" ht="12.75" customHeight="1"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8"/>
      <c r="AQ711" s="518"/>
      <c r="AR711" s="518"/>
      <c r="AS711" s="518"/>
      <c r="AT711" s="518"/>
    </row>
    <row r="712" spans="3:46" ht="12.75" customHeight="1">
      <c r="C712" s="518"/>
      <c r="D712" s="518"/>
      <c r="E712" s="518"/>
      <c r="F712" s="518"/>
      <c r="G712" s="518"/>
      <c r="H712" s="518"/>
      <c r="I712" s="518"/>
      <c r="J712" s="518"/>
      <c r="K712" s="518"/>
      <c r="L712" s="518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  <c r="AB712" s="518"/>
      <c r="AC712" s="518"/>
      <c r="AD712" s="518"/>
      <c r="AE712" s="518"/>
      <c r="AF712" s="518"/>
      <c r="AG712" s="518"/>
      <c r="AH712" s="518"/>
      <c r="AI712" s="518"/>
      <c r="AJ712" s="518"/>
      <c r="AK712" s="518"/>
      <c r="AL712" s="518"/>
      <c r="AM712" s="518"/>
      <c r="AN712" s="518"/>
      <c r="AO712" s="518"/>
      <c r="AP712" s="518"/>
      <c r="AQ712" s="518"/>
      <c r="AR712" s="518"/>
      <c r="AS712" s="518"/>
      <c r="AT712" s="518"/>
    </row>
    <row r="713" spans="3:46" ht="12.75" customHeight="1">
      <c r="C713" s="518"/>
      <c r="D713" s="518"/>
      <c r="E713" s="518"/>
      <c r="F713" s="518"/>
      <c r="G713" s="518"/>
      <c r="H713" s="518"/>
      <c r="I713" s="518"/>
      <c r="J713" s="518"/>
      <c r="K713" s="518"/>
      <c r="L713" s="518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  <c r="AB713" s="518"/>
      <c r="AC713" s="518"/>
      <c r="AD713" s="518"/>
      <c r="AE713" s="518"/>
      <c r="AF713" s="518"/>
      <c r="AG713" s="518"/>
      <c r="AH713" s="518"/>
      <c r="AI713" s="518"/>
      <c r="AJ713" s="518"/>
      <c r="AK713" s="518"/>
      <c r="AL713" s="518"/>
      <c r="AM713" s="518"/>
      <c r="AN713" s="518"/>
      <c r="AO713" s="518"/>
      <c r="AP713" s="518"/>
      <c r="AQ713" s="518"/>
      <c r="AR713" s="518"/>
      <c r="AS713" s="518"/>
      <c r="AT713" s="518"/>
    </row>
    <row r="714" spans="3:46" ht="12.75" customHeight="1">
      <c r="C714" s="518"/>
      <c r="D714" s="518"/>
      <c r="E714" s="518"/>
      <c r="F714" s="518"/>
      <c r="G714" s="518"/>
      <c r="H714" s="518"/>
      <c r="I714" s="518"/>
      <c r="J714" s="518"/>
      <c r="K714" s="518"/>
      <c r="L714" s="518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  <c r="AB714" s="518"/>
      <c r="AC714" s="518"/>
      <c r="AD714" s="518"/>
      <c r="AE714" s="518"/>
      <c r="AF714" s="518"/>
      <c r="AG714" s="518"/>
      <c r="AH714" s="518"/>
      <c r="AI714" s="518"/>
      <c r="AJ714" s="518"/>
      <c r="AK714" s="518"/>
      <c r="AL714" s="518"/>
      <c r="AM714" s="518"/>
      <c r="AN714" s="518"/>
      <c r="AO714" s="518"/>
      <c r="AP714" s="518"/>
      <c r="AQ714" s="518"/>
      <c r="AR714" s="518"/>
      <c r="AS714" s="518"/>
      <c r="AT714" s="518"/>
    </row>
    <row r="715" spans="3:46" ht="12.75" customHeight="1">
      <c r="C715" s="518"/>
      <c r="D715" s="518"/>
      <c r="E715" s="518"/>
      <c r="F715" s="518"/>
      <c r="G715" s="518"/>
      <c r="H715" s="518"/>
      <c r="I715" s="518"/>
      <c r="J715" s="518"/>
      <c r="K715" s="518"/>
      <c r="L715" s="518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  <c r="AB715" s="518"/>
      <c r="AC715" s="518"/>
      <c r="AD715" s="518"/>
      <c r="AE715" s="518"/>
      <c r="AF715" s="518"/>
      <c r="AG715" s="518"/>
      <c r="AH715" s="518"/>
      <c r="AI715" s="518"/>
      <c r="AJ715" s="518"/>
      <c r="AK715" s="518"/>
      <c r="AL715" s="518"/>
      <c r="AM715" s="518"/>
      <c r="AN715" s="518"/>
      <c r="AO715" s="518"/>
      <c r="AP715" s="518"/>
      <c r="AQ715" s="518"/>
      <c r="AR715" s="518"/>
      <c r="AS715" s="518"/>
      <c r="AT715" s="518"/>
    </row>
    <row r="716" spans="3:46" ht="12.75" customHeight="1">
      <c r="C716" s="518"/>
      <c r="D716" s="518"/>
      <c r="E716" s="518"/>
      <c r="F716" s="518"/>
      <c r="G716" s="518"/>
      <c r="H716" s="518"/>
      <c r="I716" s="518"/>
      <c r="J716" s="518"/>
      <c r="K716" s="518"/>
      <c r="L716" s="518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  <c r="AB716" s="518"/>
      <c r="AC716" s="518"/>
      <c r="AD716" s="518"/>
      <c r="AE716" s="518"/>
      <c r="AF716" s="518"/>
      <c r="AG716" s="518"/>
      <c r="AH716" s="518"/>
      <c r="AI716" s="518"/>
      <c r="AJ716" s="518"/>
      <c r="AK716" s="518"/>
      <c r="AL716" s="518"/>
      <c r="AM716" s="518"/>
      <c r="AN716" s="518"/>
      <c r="AO716" s="518"/>
      <c r="AP716" s="518"/>
      <c r="AQ716" s="518"/>
      <c r="AR716" s="518"/>
      <c r="AS716" s="518"/>
      <c r="AT716" s="518"/>
    </row>
    <row r="717" spans="3:46" ht="12.75" customHeight="1">
      <c r="C717" s="518"/>
      <c r="D717" s="518"/>
      <c r="E717" s="518"/>
      <c r="F717" s="518"/>
      <c r="G717" s="518"/>
      <c r="H717" s="518"/>
      <c r="I717" s="518"/>
      <c r="J717" s="518"/>
      <c r="K717" s="518"/>
      <c r="L717" s="518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  <c r="AB717" s="518"/>
      <c r="AC717" s="518"/>
      <c r="AD717" s="518"/>
      <c r="AE717" s="518"/>
      <c r="AF717" s="518"/>
      <c r="AG717" s="518"/>
      <c r="AH717" s="518"/>
      <c r="AI717" s="518"/>
      <c r="AJ717" s="518"/>
      <c r="AK717" s="518"/>
      <c r="AL717" s="518"/>
      <c r="AM717" s="518"/>
      <c r="AN717" s="518"/>
      <c r="AO717" s="518"/>
      <c r="AP717" s="518"/>
      <c r="AQ717" s="518"/>
      <c r="AR717" s="518"/>
      <c r="AS717" s="518"/>
      <c r="AT717" s="518"/>
    </row>
    <row r="718" spans="3:46" ht="12.75" customHeight="1">
      <c r="C718" s="518"/>
      <c r="D718" s="518"/>
      <c r="E718" s="518"/>
      <c r="F718" s="518"/>
      <c r="G718" s="518"/>
      <c r="H718" s="518"/>
      <c r="I718" s="518"/>
      <c r="J718" s="518"/>
      <c r="K718" s="518"/>
      <c r="L718" s="518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  <c r="AB718" s="518"/>
      <c r="AC718" s="518"/>
      <c r="AD718" s="518"/>
      <c r="AE718" s="518"/>
      <c r="AF718" s="518"/>
      <c r="AG718" s="518"/>
      <c r="AH718" s="518"/>
      <c r="AI718" s="518"/>
      <c r="AJ718" s="518"/>
      <c r="AK718" s="518"/>
      <c r="AL718" s="518"/>
      <c r="AM718" s="518"/>
      <c r="AN718" s="518"/>
      <c r="AO718" s="518"/>
      <c r="AP718" s="518"/>
      <c r="AQ718" s="518"/>
      <c r="AR718" s="518"/>
      <c r="AS718" s="518"/>
      <c r="AT718" s="518"/>
    </row>
    <row r="719" spans="3:46" ht="12.75" customHeight="1">
      <c r="C719" s="518"/>
      <c r="D719" s="518"/>
      <c r="E719" s="518"/>
      <c r="F719" s="518"/>
      <c r="G719" s="518"/>
      <c r="H719" s="518"/>
      <c r="I719" s="518"/>
      <c r="J719" s="518"/>
      <c r="K719" s="518"/>
      <c r="L719" s="518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  <c r="AB719" s="518"/>
      <c r="AC719" s="518"/>
      <c r="AD719" s="518"/>
      <c r="AE719" s="518"/>
      <c r="AF719" s="518"/>
      <c r="AG719" s="518"/>
      <c r="AH719" s="518"/>
      <c r="AI719" s="518"/>
      <c r="AJ719" s="518"/>
      <c r="AK719" s="518"/>
      <c r="AL719" s="518"/>
      <c r="AM719" s="518"/>
      <c r="AN719" s="518"/>
      <c r="AO719" s="518"/>
      <c r="AP719" s="518"/>
      <c r="AQ719" s="518"/>
      <c r="AR719" s="518"/>
      <c r="AS719" s="518"/>
      <c r="AT719" s="518"/>
    </row>
    <row r="720" spans="3:46" ht="12.75" customHeight="1">
      <c r="C720" s="518"/>
      <c r="D720" s="518"/>
      <c r="E720" s="518"/>
      <c r="F720" s="518"/>
      <c r="G720" s="518"/>
      <c r="H720" s="518"/>
      <c r="I720" s="518"/>
      <c r="J720" s="518"/>
      <c r="K720" s="518"/>
      <c r="L720" s="518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  <c r="AB720" s="518"/>
      <c r="AC720" s="518"/>
      <c r="AD720" s="518"/>
      <c r="AE720" s="518"/>
      <c r="AF720" s="518"/>
      <c r="AG720" s="518"/>
      <c r="AH720" s="518"/>
      <c r="AI720" s="518"/>
      <c r="AJ720" s="518"/>
      <c r="AK720" s="518"/>
      <c r="AL720" s="518"/>
      <c r="AM720" s="518"/>
      <c r="AN720" s="518"/>
      <c r="AO720" s="518"/>
      <c r="AP720" s="518"/>
      <c r="AQ720" s="518"/>
      <c r="AR720" s="518"/>
      <c r="AS720" s="518"/>
      <c r="AT720" s="518"/>
    </row>
    <row r="721" spans="3:46" ht="12.75" customHeight="1">
      <c r="C721" s="518"/>
      <c r="D721" s="518"/>
      <c r="E721" s="518"/>
      <c r="F721" s="518"/>
      <c r="G721" s="518"/>
      <c r="H721" s="518"/>
      <c r="I721" s="518"/>
      <c r="J721" s="518"/>
      <c r="K721" s="518"/>
      <c r="L721" s="518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  <c r="AB721" s="518"/>
      <c r="AC721" s="518"/>
      <c r="AD721" s="518"/>
      <c r="AE721" s="518"/>
      <c r="AF721" s="518"/>
      <c r="AG721" s="518"/>
      <c r="AH721" s="518"/>
      <c r="AI721" s="518"/>
      <c r="AJ721" s="518"/>
      <c r="AK721" s="518"/>
      <c r="AL721" s="518"/>
      <c r="AM721" s="518"/>
      <c r="AN721" s="518"/>
      <c r="AO721" s="518"/>
      <c r="AP721" s="518"/>
      <c r="AQ721" s="518"/>
      <c r="AR721" s="518"/>
      <c r="AS721" s="518"/>
      <c r="AT721" s="518"/>
    </row>
    <row r="722" spans="3:46" ht="12.75" customHeight="1"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  <c r="AB722" s="518"/>
      <c r="AC722" s="518"/>
      <c r="AD722" s="518"/>
      <c r="AE722" s="518"/>
      <c r="AF722" s="518"/>
      <c r="AG722" s="518"/>
      <c r="AH722" s="518"/>
      <c r="AI722" s="518"/>
      <c r="AJ722" s="518"/>
      <c r="AK722" s="518"/>
      <c r="AL722" s="518"/>
      <c r="AM722" s="518"/>
      <c r="AN722" s="518"/>
      <c r="AO722" s="518"/>
      <c r="AP722" s="518"/>
      <c r="AQ722" s="518"/>
      <c r="AR722" s="518"/>
      <c r="AS722" s="518"/>
      <c r="AT722" s="518"/>
    </row>
    <row r="723" spans="3:46" ht="12.75" customHeight="1"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8"/>
      <c r="AQ723" s="518"/>
      <c r="AR723" s="518"/>
      <c r="AS723" s="518"/>
      <c r="AT723" s="518"/>
    </row>
    <row r="724" spans="3:46" ht="12.75" customHeight="1"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8"/>
      <c r="AQ724" s="518"/>
      <c r="AR724" s="518"/>
      <c r="AS724" s="518"/>
      <c r="AT724" s="518"/>
    </row>
    <row r="725" spans="3:46" ht="12.75" customHeight="1">
      <c r="C725" s="518"/>
      <c r="D725" s="518"/>
      <c r="E725" s="518"/>
      <c r="F725" s="518"/>
      <c r="G725" s="518"/>
      <c r="H725" s="518"/>
      <c r="I725" s="518"/>
      <c r="J725" s="518"/>
      <c r="K725" s="518"/>
      <c r="L725" s="518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  <c r="AB725" s="518"/>
      <c r="AC725" s="518"/>
      <c r="AD725" s="518"/>
      <c r="AE725" s="518"/>
      <c r="AF725" s="518"/>
      <c r="AG725" s="518"/>
      <c r="AH725" s="518"/>
      <c r="AI725" s="518"/>
      <c r="AJ725" s="518"/>
      <c r="AK725" s="518"/>
      <c r="AL725" s="518"/>
      <c r="AM725" s="518"/>
      <c r="AN725" s="518"/>
      <c r="AO725" s="518"/>
      <c r="AP725" s="518"/>
      <c r="AQ725" s="518"/>
      <c r="AR725" s="518"/>
      <c r="AS725" s="518"/>
      <c r="AT725" s="518"/>
    </row>
    <row r="726" spans="3:46" ht="12.75" customHeight="1">
      <c r="C726" s="518"/>
      <c r="D726" s="518"/>
      <c r="E726" s="518"/>
      <c r="F726" s="518"/>
      <c r="G726" s="518"/>
      <c r="H726" s="518"/>
      <c r="I726" s="518"/>
      <c r="J726" s="518"/>
      <c r="K726" s="518"/>
      <c r="L726" s="518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  <c r="AB726" s="518"/>
      <c r="AC726" s="518"/>
      <c r="AD726" s="518"/>
      <c r="AE726" s="518"/>
      <c r="AF726" s="518"/>
      <c r="AG726" s="518"/>
      <c r="AH726" s="518"/>
      <c r="AI726" s="518"/>
      <c r="AJ726" s="518"/>
      <c r="AK726" s="518"/>
      <c r="AL726" s="518"/>
      <c r="AM726" s="518"/>
      <c r="AN726" s="518"/>
      <c r="AO726" s="518"/>
      <c r="AP726" s="518"/>
      <c r="AQ726" s="518"/>
      <c r="AR726" s="518"/>
      <c r="AS726" s="518"/>
      <c r="AT726" s="518"/>
    </row>
    <row r="727" spans="3:46" ht="12.75" customHeight="1">
      <c r="C727" s="518"/>
      <c r="D727" s="518"/>
      <c r="E727" s="518"/>
      <c r="F727" s="518"/>
      <c r="G727" s="518"/>
      <c r="H727" s="518"/>
      <c r="I727" s="518"/>
      <c r="J727" s="518"/>
      <c r="K727" s="518"/>
      <c r="L727" s="518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  <c r="AB727" s="518"/>
      <c r="AC727" s="518"/>
      <c r="AD727" s="518"/>
      <c r="AE727" s="518"/>
      <c r="AF727" s="518"/>
      <c r="AG727" s="518"/>
      <c r="AH727" s="518"/>
      <c r="AI727" s="518"/>
      <c r="AJ727" s="518"/>
      <c r="AK727" s="518"/>
      <c r="AL727" s="518"/>
      <c r="AM727" s="518"/>
      <c r="AN727" s="518"/>
      <c r="AO727" s="518"/>
      <c r="AP727" s="518"/>
      <c r="AQ727" s="518"/>
      <c r="AR727" s="518"/>
      <c r="AS727" s="518"/>
      <c r="AT727" s="518"/>
    </row>
    <row r="728" spans="3:46" ht="12.75" customHeight="1">
      <c r="C728" s="518"/>
      <c r="D728" s="518"/>
      <c r="E728" s="518"/>
      <c r="F728" s="518"/>
      <c r="G728" s="518"/>
      <c r="H728" s="518"/>
      <c r="I728" s="518"/>
      <c r="J728" s="518"/>
      <c r="K728" s="518"/>
      <c r="L728" s="518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  <c r="AB728" s="518"/>
      <c r="AC728" s="518"/>
      <c r="AD728" s="518"/>
      <c r="AE728" s="518"/>
      <c r="AF728" s="518"/>
      <c r="AG728" s="518"/>
      <c r="AH728" s="518"/>
      <c r="AI728" s="518"/>
      <c r="AJ728" s="518"/>
      <c r="AK728" s="518"/>
      <c r="AL728" s="518"/>
      <c r="AM728" s="518"/>
      <c r="AN728" s="518"/>
      <c r="AO728" s="518"/>
      <c r="AP728" s="518"/>
      <c r="AQ728" s="518"/>
      <c r="AR728" s="518"/>
      <c r="AS728" s="518"/>
      <c r="AT728" s="518"/>
    </row>
    <row r="729" spans="3:46" ht="12.75" customHeight="1">
      <c r="C729" s="518"/>
      <c r="D729" s="518"/>
      <c r="E729" s="518"/>
      <c r="F729" s="518"/>
      <c r="G729" s="518"/>
      <c r="H729" s="518"/>
      <c r="I729" s="518"/>
      <c r="J729" s="518"/>
      <c r="K729" s="518"/>
      <c r="L729" s="518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  <c r="AB729" s="518"/>
      <c r="AC729" s="518"/>
      <c r="AD729" s="518"/>
      <c r="AE729" s="518"/>
      <c r="AF729" s="518"/>
      <c r="AG729" s="518"/>
      <c r="AH729" s="518"/>
      <c r="AI729" s="518"/>
      <c r="AJ729" s="518"/>
      <c r="AK729" s="518"/>
      <c r="AL729" s="518"/>
      <c r="AM729" s="518"/>
      <c r="AN729" s="518"/>
      <c r="AO729" s="518"/>
      <c r="AP729" s="518"/>
      <c r="AQ729" s="518"/>
      <c r="AR729" s="518"/>
      <c r="AS729" s="518"/>
      <c r="AT729" s="518"/>
    </row>
    <row r="730" spans="3:46" ht="12.75" customHeight="1">
      <c r="C730" s="518"/>
      <c r="D730" s="518"/>
      <c r="E730" s="518"/>
      <c r="F730" s="518"/>
      <c r="G730" s="518"/>
      <c r="H730" s="518"/>
      <c r="I730" s="518"/>
      <c r="J730" s="518"/>
      <c r="K730" s="518"/>
      <c r="L730" s="518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  <c r="AB730" s="518"/>
      <c r="AC730" s="518"/>
      <c r="AD730" s="518"/>
      <c r="AE730" s="518"/>
      <c r="AF730" s="518"/>
      <c r="AG730" s="518"/>
      <c r="AH730" s="518"/>
      <c r="AI730" s="518"/>
      <c r="AJ730" s="518"/>
      <c r="AK730" s="518"/>
      <c r="AL730" s="518"/>
      <c r="AM730" s="518"/>
      <c r="AN730" s="518"/>
      <c r="AO730" s="518"/>
      <c r="AP730" s="518"/>
      <c r="AQ730" s="518"/>
      <c r="AR730" s="518"/>
      <c r="AS730" s="518"/>
      <c r="AT730" s="518"/>
    </row>
    <row r="731" spans="3:46" ht="12.75" customHeight="1">
      <c r="C731" s="518"/>
      <c r="D731" s="518"/>
      <c r="E731" s="518"/>
      <c r="F731" s="518"/>
      <c r="G731" s="518"/>
      <c r="H731" s="518"/>
      <c r="I731" s="518"/>
      <c r="J731" s="518"/>
      <c r="K731" s="518"/>
      <c r="L731" s="518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  <c r="AB731" s="518"/>
      <c r="AC731" s="518"/>
      <c r="AD731" s="518"/>
      <c r="AE731" s="518"/>
      <c r="AF731" s="518"/>
      <c r="AG731" s="518"/>
      <c r="AH731" s="518"/>
      <c r="AI731" s="518"/>
      <c r="AJ731" s="518"/>
      <c r="AK731" s="518"/>
      <c r="AL731" s="518"/>
      <c r="AM731" s="518"/>
      <c r="AN731" s="518"/>
      <c r="AO731" s="518"/>
      <c r="AP731" s="518"/>
      <c r="AQ731" s="518"/>
      <c r="AR731" s="518"/>
      <c r="AS731" s="518"/>
      <c r="AT731" s="518"/>
    </row>
    <row r="732" spans="3:46" ht="12.75" customHeight="1">
      <c r="C732" s="518"/>
      <c r="D732" s="518"/>
      <c r="E732" s="518"/>
      <c r="F732" s="518"/>
      <c r="G732" s="518"/>
      <c r="H732" s="518"/>
      <c r="I732" s="518"/>
      <c r="J732" s="518"/>
      <c r="K732" s="518"/>
      <c r="L732" s="518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  <c r="AB732" s="518"/>
      <c r="AC732" s="518"/>
      <c r="AD732" s="518"/>
      <c r="AE732" s="518"/>
      <c r="AF732" s="518"/>
      <c r="AG732" s="518"/>
      <c r="AH732" s="518"/>
      <c r="AI732" s="518"/>
      <c r="AJ732" s="518"/>
      <c r="AK732" s="518"/>
      <c r="AL732" s="518"/>
      <c r="AM732" s="518"/>
      <c r="AN732" s="518"/>
      <c r="AO732" s="518"/>
      <c r="AP732" s="518"/>
      <c r="AQ732" s="518"/>
      <c r="AR732" s="518"/>
      <c r="AS732" s="518"/>
      <c r="AT732" s="518"/>
    </row>
    <row r="733" spans="3:46" ht="12.75" customHeight="1">
      <c r="C733" s="518"/>
      <c r="D733" s="518"/>
      <c r="E733" s="518"/>
      <c r="F733" s="518"/>
      <c r="G733" s="518"/>
      <c r="H733" s="518"/>
      <c r="I733" s="518"/>
      <c r="J733" s="518"/>
      <c r="K733" s="518"/>
      <c r="L733" s="518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  <c r="AB733" s="518"/>
      <c r="AC733" s="518"/>
      <c r="AD733" s="518"/>
      <c r="AE733" s="518"/>
      <c r="AF733" s="518"/>
      <c r="AG733" s="518"/>
      <c r="AH733" s="518"/>
      <c r="AI733" s="518"/>
      <c r="AJ733" s="518"/>
      <c r="AK733" s="518"/>
      <c r="AL733" s="518"/>
      <c r="AM733" s="518"/>
      <c r="AN733" s="518"/>
      <c r="AO733" s="518"/>
      <c r="AP733" s="518"/>
      <c r="AQ733" s="518"/>
      <c r="AR733" s="518"/>
      <c r="AS733" s="518"/>
      <c r="AT733" s="518"/>
    </row>
    <row r="734" spans="3:46" ht="12.75" customHeight="1">
      <c r="C734" s="518"/>
      <c r="D734" s="518"/>
      <c r="E734" s="518"/>
      <c r="F734" s="518"/>
      <c r="G734" s="518"/>
      <c r="H734" s="518"/>
      <c r="I734" s="518"/>
      <c r="J734" s="518"/>
      <c r="K734" s="518"/>
      <c r="L734" s="518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  <c r="AB734" s="518"/>
      <c r="AC734" s="518"/>
      <c r="AD734" s="518"/>
      <c r="AE734" s="518"/>
      <c r="AF734" s="518"/>
      <c r="AG734" s="518"/>
      <c r="AH734" s="518"/>
      <c r="AI734" s="518"/>
      <c r="AJ734" s="518"/>
      <c r="AK734" s="518"/>
      <c r="AL734" s="518"/>
      <c r="AM734" s="518"/>
      <c r="AN734" s="518"/>
      <c r="AO734" s="518"/>
      <c r="AP734" s="518"/>
      <c r="AQ734" s="518"/>
      <c r="AR734" s="518"/>
      <c r="AS734" s="518"/>
      <c r="AT734" s="518"/>
    </row>
    <row r="735" spans="3:46" ht="12.75" customHeight="1">
      <c r="C735" s="518"/>
      <c r="D735" s="518"/>
      <c r="E735" s="518"/>
      <c r="F735" s="518"/>
      <c r="G735" s="518"/>
      <c r="H735" s="518"/>
      <c r="I735" s="518"/>
      <c r="J735" s="518"/>
      <c r="K735" s="518"/>
      <c r="L735" s="518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  <c r="AB735" s="518"/>
      <c r="AC735" s="518"/>
      <c r="AD735" s="518"/>
      <c r="AE735" s="518"/>
      <c r="AF735" s="518"/>
      <c r="AG735" s="518"/>
      <c r="AH735" s="518"/>
      <c r="AI735" s="518"/>
      <c r="AJ735" s="518"/>
      <c r="AK735" s="518"/>
      <c r="AL735" s="518"/>
      <c r="AM735" s="518"/>
      <c r="AN735" s="518"/>
      <c r="AO735" s="518"/>
      <c r="AP735" s="518"/>
      <c r="AQ735" s="518"/>
      <c r="AR735" s="518"/>
      <c r="AS735" s="518"/>
      <c r="AT735" s="518"/>
    </row>
    <row r="736" spans="3:46" ht="12.75" customHeight="1">
      <c r="C736" s="518"/>
      <c r="D736" s="518"/>
      <c r="E736" s="518"/>
      <c r="F736" s="518"/>
      <c r="G736" s="518"/>
      <c r="H736" s="518"/>
      <c r="I736" s="518"/>
      <c r="J736" s="518"/>
      <c r="K736" s="518"/>
      <c r="L736" s="518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  <c r="AB736" s="518"/>
      <c r="AC736" s="518"/>
      <c r="AD736" s="518"/>
      <c r="AE736" s="518"/>
      <c r="AF736" s="518"/>
      <c r="AG736" s="518"/>
      <c r="AH736" s="518"/>
      <c r="AI736" s="518"/>
      <c r="AJ736" s="518"/>
      <c r="AK736" s="518"/>
      <c r="AL736" s="518"/>
      <c r="AM736" s="518"/>
      <c r="AN736" s="518"/>
      <c r="AO736" s="518"/>
      <c r="AP736" s="518"/>
      <c r="AQ736" s="518"/>
      <c r="AR736" s="518"/>
      <c r="AS736" s="518"/>
      <c r="AT736" s="518"/>
    </row>
    <row r="737" spans="3:46" ht="12.75" customHeight="1">
      <c r="C737" s="518"/>
      <c r="D737" s="518"/>
      <c r="E737" s="518"/>
      <c r="F737" s="518"/>
      <c r="G737" s="518"/>
      <c r="H737" s="518"/>
      <c r="I737" s="518"/>
      <c r="J737" s="518"/>
      <c r="K737" s="518"/>
      <c r="L737" s="518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  <c r="AB737" s="518"/>
      <c r="AC737" s="518"/>
      <c r="AD737" s="518"/>
      <c r="AE737" s="518"/>
      <c r="AF737" s="518"/>
      <c r="AG737" s="518"/>
      <c r="AH737" s="518"/>
      <c r="AI737" s="518"/>
      <c r="AJ737" s="518"/>
      <c r="AK737" s="518"/>
      <c r="AL737" s="518"/>
      <c r="AM737" s="518"/>
      <c r="AN737" s="518"/>
      <c r="AO737" s="518"/>
      <c r="AP737" s="518"/>
      <c r="AQ737" s="518"/>
      <c r="AR737" s="518"/>
      <c r="AS737" s="518"/>
      <c r="AT737" s="518"/>
    </row>
    <row r="738" spans="3:46" ht="12.75" customHeight="1">
      <c r="C738" s="518"/>
      <c r="D738" s="518"/>
      <c r="E738" s="518"/>
      <c r="F738" s="518"/>
      <c r="G738" s="518"/>
      <c r="H738" s="518"/>
      <c r="I738" s="518"/>
      <c r="J738" s="518"/>
      <c r="K738" s="518"/>
      <c r="L738" s="518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  <c r="AB738" s="518"/>
      <c r="AC738" s="518"/>
      <c r="AD738" s="518"/>
      <c r="AE738" s="518"/>
      <c r="AF738" s="518"/>
      <c r="AG738" s="518"/>
      <c r="AH738" s="518"/>
      <c r="AI738" s="518"/>
      <c r="AJ738" s="518"/>
      <c r="AK738" s="518"/>
      <c r="AL738" s="518"/>
      <c r="AM738" s="518"/>
      <c r="AN738" s="518"/>
      <c r="AO738" s="518"/>
      <c r="AP738" s="518"/>
      <c r="AQ738" s="518"/>
      <c r="AR738" s="518"/>
      <c r="AS738" s="518"/>
      <c r="AT738" s="518"/>
    </row>
    <row r="739" spans="3:46" ht="12.75" customHeight="1">
      <c r="C739" s="518"/>
      <c r="D739" s="518"/>
      <c r="E739" s="518"/>
      <c r="F739" s="518"/>
      <c r="G739" s="518"/>
      <c r="H739" s="518"/>
      <c r="I739" s="518"/>
      <c r="J739" s="518"/>
      <c r="K739" s="518"/>
      <c r="L739" s="518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  <c r="AB739" s="518"/>
      <c r="AC739" s="518"/>
      <c r="AD739" s="518"/>
      <c r="AE739" s="518"/>
      <c r="AF739" s="518"/>
      <c r="AG739" s="518"/>
      <c r="AH739" s="518"/>
      <c r="AI739" s="518"/>
      <c r="AJ739" s="518"/>
      <c r="AK739" s="518"/>
      <c r="AL739" s="518"/>
      <c r="AM739" s="518"/>
      <c r="AN739" s="518"/>
      <c r="AO739" s="518"/>
      <c r="AP739" s="518"/>
      <c r="AQ739" s="518"/>
      <c r="AR739" s="518"/>
      <c r="AS739" s="518"/>
      <c r="AT739" s="518"/>
    </row>
    <row r="740" spans="3:46" ht="12.75" customHeight="1">
      <c r="C740" s="518"/>
      <c r="D740" s="518"/>
      <c r="E740" s="518"/>
      <c r="F740" s="518"/>
      <c r="G740" s="518"/>
      <c r="H740" s="518"/>
      <c r="I740" s="518"/>
      <c r="J740" s="518"/>
      <c r="K740" s="518"/>
      <c r="L740" s="518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  <c r="AB740" s="518"/>
      <c r="AC740" s="518"/>
      <c r="AD740" s="518"/>
      <c r="AE740" s="518"/>
      <c r="AF740" s="518"/>
      <c r="AG740" s="518"/>
      <c r="AH740" s="518"/>
      <c r="AI740" s="518"/>
      <c r="AJ740" s="518"/>
      <c r="AK740" s="518"/>
      <c r="AL740" s="518"/>
      <c r="AM740" s="518"/>
      <c r="AN740" s="518"/>
      <c r="AO740" s="518"/>
      <c r="AP740" s="518"/>
      <c r="AQ740" s="518"/>
      <c r="AR740" s="518"/>
      <c r="AS740" s="518"/>
      <c r="AT740" s="518"/>
    </row>
    <row r="741" spans="3:46" ht="12.75" customHeight="1">
      <c r="C741" s="518"/>
      <c r="D741" s="518"/>
      <c r="E741" s="518"/>
      <c r="F741" s="518"/>
      <c r="G741" s="518"/>
      <c r="H741" s="518"/>
      <c r="I741" s="518"/>
      <c r="J741" s="518"/>
      <c r="K741" s="518"/>
      <c r="L741" s="518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  <c r="AB741" s="518"/>
      <c r="AC741" s="518"/>
      <c r="AD741" s="518"/>
      <c r="AE741" s="518"/>
      <c r="AF741" s="518"/>
      <c r="AG741" s="518"/>
      <c r="AH741" s="518"/>
      <c r="AI741" s="518"/>
      <c r="AJ741" s="518"/>
      <c r="AK741" s="518"/>
      <c r="AL741" s="518"/>
      <c r="AM741" s="518"/>
      <c r="AN741" s="518"/>
      <c r="AO741" s="518"/>
      <c r="AP741" s="518"/>
      <c r="AQ741" s="518"/>
      <c r="AR741" s="518"/>
      <c r="AS741" s="518"/>
      <c r="AT741" s="518"/>
    </row>
    <row r="742" spans="3:46" ht="12.75" customHeight="1">
      <c r="C742" s="518"/>
      <c r="D742" s="518"/>
      <c r="E742" s="518"/>
      <c r="F742" s="518"/>
      <c r="G742" s="518"/>
      <c r="H742" s="518"/>
      <c r="I742" s="518"/>
      <c r="J742" s="518"/>
      <c r="K742" s="518"/>
      <c r="L742" s="518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  <c r="AB742" s="518"/>
      <c r="AC742" s="518"/>
      <c r="AD742" s="518"/>
      <c r="AE742" s="518"/>
      <c r="AF742" s="518"/>
      <c r="AG742" s="518"/>
      <c r="AH742" s="518"/>
      <c r="AI742" s="518"/>
      <c r="AJ742" s="518"/>
      <c r="AK742" s="518"/>
      <c r="AL742" s="518"/>
      <c r="AM742" s="518"/>
      <c r="AN742" s="518"/>
      <c r="AO742" s="518"/>
      <c r="AP742" s="518"/>
      <c r="AQ742" s="518"/>
      <c r="AR742" s="518"/>
      <c r="AS742" s="518"/>
      <c r="AT742" s="518"/>
    </row>
    <row r="743" spans="3:46" ht="12.75" customHeight="1">
      <c r="C743" s="518"/>
      <c r="D743" s="518"/>
      <c r="E743" s="518"/>
      <c r="F743" s="518"/>
      <c r="G743" s="518"/>
      <c r="H743" s="518"/>
      <c r="I743" s="518"/>
      <c r="J743" s="518"/>
      <c r="K743" s="518"/>
      <c r="L743" s="518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  <c r="AB743" s="518"/>
      <c r="AC743" s="518"/>
      <c r="AD743" s="518"/>
      <c r="AE743" s="518"/>
      <c r="AF743" s="518"/>
      <c r="AG743" s="518"/>
      <c r="AH743" s="518"/>
      <c r="AI743" s="518"/>
      <c r="AJ743" s="518"/>
      <c r="AK743" s="518"/>
      <c r="AL743" s="518"/>
      <c r="AM743" s="518"/>
      <c r="AN743" s="518"/>
      <c r="AO743" s="518"/>
      <c r="AP743" s="518"/>
      <c r="AQ743" s="518"/>
      <c r="AR743" s="518"/>
      <c r="AS743" s="518"/>
      <c r="AT743" s="518"/>
    </row>
    <row r="744" spans="3:46" ht="12.75" customHeight="1">
      <c r="C744" s="518"/>
      <c r="D744" s="518"/>
      <c r="E744" s="518"/>
      <c r="F744" s="518"/>
      <c r="G744" s="518"/>
      <c r="H744" s="518"/>
      <c r="I744" s="518"/>
      <c r="J744" s="518"/>
      <c r="K744" s="518"/>
      <c r="L744" s="518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  <c r="AB744" s="518"/>
      <c r="AC744" s="518"/>
      <c r="AD744" s="518"/>
      <c r="AE744" s="518"/>
      <c r="AF744" s="518"/>
      <c r="AG744" s="518"/>
      <c r="AH744" s="518"/>
      <c r="AI744" s="518"/>
      <c r="AJ744" s="518"/>
      <c r="AK744" s="518"/>
      <c r="AL744" s="518"/>
      <c r="AM744" s="518"/>
      <c r="AN744" s="518"/>
      <c r="AO744" s="518"/>
      <c r="AP744" s="518"/>
      <c r="AQ744" s="518"/>
      <c r="AR744" s="518"/>
      <c r="AS744" s="518"/>
      <c r="AT744" s="518"/>
    </row>
    <row r="745" spans="3:46" ht="12.75" customHeight="1">
      <c r="C745" s="518"/>
      <c r="D745" s="518"/>
      <c r="E745" s="518"/>
      <c r="F745" s="518"/>
      <c r="G745" s="518"/>
      <c r="H745" s="518"/>
      <c r="I745" s="518"/>
      <c r="J745" s="518"/>
      <c r="K745" s="518"/>
      <c r="L745" s="518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  <c r="AB745" s="518"/>
      <c r="AC745" s="518"/>
      <c r="AD745" s="518"/>
      <c r="AE745" s="518"/>
      <c r="AF745" s="518"/>
      <c r="AG745" s="518"/>
      <c r="AH745" s="518"/>
      <c r="AI745" s="518"/>
      <c r="AJ745" s="518"/>
      <c r="AK745" s="518"/>
      <c r="AL745" s="518"/>
      <c r="AM745" s="518"/>
      <c r="AN745" s="518"/>
      <c r="AO745" s="518"/>
      <c r="AP745" s="518"/>
      <c r="AQ745" s="518"/>
      <c r="AR745" s="518"/>
      <c r="AS745" s="518"/>
      <c r="AT745" s="518"/>
    </row>
    <row r="746" spans="3:46" ht="12.75" customHeight="1">
      <c r="C746" s="518"/>
      <c r="D746" s="518"/>
      <c r="E746" s="518"/>
      <c r="F746" s="518"/>
      <c r="G746" s="518"/>
      <c r="H746" s="518"/>
      <c r="I746" s="518"/>
      <c r="J746" s="518"/>
      <c r="K746" s="518"/>
      <c r="L746" s="518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  <c r="AB746" s="518"/>
      <c r="AC746" s="518"/>
      <c r="AD746" s="518"/>
      <c r="AE746" s="518"/>
      <c r="AF746" s="518"/>
      <c r="AG746" s="518"/>
      <c r="AH746" s="518"/>
      <c r="AI746" s="518"/>
      <c r="AJ746" s="518"/>
      <c r="AK746" s="518"/>
      <c r="AL746" s="518"/>
      <c r="AM746" s="518"/>
      <c r="AN746" s="518"/>
      <c r="AO746" s="518"/>
      <c r="AP746" s="518"/>
      <c r="AQ746" s="518"/>
      <c r="AR746" s="518"/>
      <c r="AS746" s="518"/>
      <c r="AT746" s="518"/>
    </row>
    <row r="747" spans="3:46" ht="12.75" customHeight="1">
      <c r="C747" s="518"/>
      <c r="D747" s="518"/>
      <c r="E747" s="518"/>
      <c r="F747" s="518"/>
      <c r="G747" s="518"/>
      <c r="H747" s="518"/>
      <c r="I747" s="518"/>
      <c r="J747" s="518"/>
      <c r="K747" s="518"/>
      <c r="L747" s="518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  <c r="AB747" s="518"/>
      <c r="AC747" s="518"/>
      <c r="AD747" s="518"/>
      <c r="AE747" s="518"/>
      <c r="AF747" s="518"/>
      <c r="AG747" s="518"/>
      <c r="AH747" s="518"/>
      <c r="AI747" s="518"/>
      <c r="AJ747" s="518"/>
      <c r="AK747" s="518"/>
      <c r="AL747" s="518"/>
      <c r="AM747" s="518"/>
      <c r="AN747" s="518"/>
      <c r="AO747" s="518"/>
      <c r="AP747" s="518"/>
      <c r="AQ747" s="518"/>
      <c r="AR747" s="518"/>
      <c r="AS747" s="518"/>
      <c r="AT747" s="518"/>
    </row>
    <row r="748" spans="3:46" ht="12.75" customHeight="1">
      <c r="C748" s="518"/>
      <c r="D748" s="518"/>
      <c r="E748" s="518"/>
      <c r="F748" s="518"/>
      <c r="G748" s="518"/>
      <c r="H748" s="518"/>
      <c r="I748" s="518"/>
      <c r="J748" s="518"/>
      <c r="K748" s="518"/>
      <c r="L748" s="518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  <c r="AB748" s="518"/>
      <c r="AC748" s="518"/>
      <c r="AD748" s="518"/>
      <c r="AE748" s="518"/>
      <c r="AF748" s="518"/>
      <c r="AG748" s="518"/>
      <c r="AH748" s="518"/>
      <c r="AI748" s="518"/>
      <c r="AJ748" s="518"/>
      <c r="AK748" s="518"/>
      <c r="AL748" s="518"/>
      <c r="AM748" s="518"/>
      <c r="AN748" s="518"/>
      <c r="AO748" s="518"/>
      <c r="AP748" s="518"/>
      <c r="AQ748" s="518"/>
      <c r="AR748" s="518"/>
      <c r="AS748" s="518"/>
      <c r="AT748" s="518"/>
    </row>
    <row r="749" spans="3:46" ht="12.75" customHeight="1">
      <c r="C749" s="518"/>
      <c r="D749" s="518"/>
      <c r="E749" s="518"/>
      <c r="F749" s="518"/>
      <c r="G749" s="518"/>
      <c r="H749" s="518"/>
      <c r="I749" s="518"/>
      <c r="J749" s="518"/>
      <c r="K749" s="518"/>
      <c r="L749" s="518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  <c r="AB749" s="518"/>
      <c r="AC749" s="518"/>
      <c r="AD749" s="518"/>
      <c r="AE749" s="518"/>
      <c r="AF749" s="518"/>
      <c r="AG749" s="518"/>
      <c r="AH749" s="518"/>
      <c r="AI749" s="518"/>
      <c r="AJ749" s="518"/>
      <c r="AK749" s="518"/>
      <c r="AL749" s="518"/>
      <c r="AM749" s="518"/>
      <c r="AN749" s="518"/>
      <c r="AO749" s="518"/>
      <c r="AP749" s="518"/>
      <c r="AQ749" s="518"/>
      <c r="AR749" s="518"/>
      <c r="AS749" s="518"/>
      <c r="AT749" s="518"/>
    </row>
    <row r="750" spans="3:46" ht="12.75" customHeight="1">
      <c r="C750" s="518"/>
      <c r="D750" s="518"/>
      <c r="E750" s="518"/>
      <c r="F750" s="518"/>
      <c r="G750" s="518"/>
      <c r="H750" s="518"/>
      <c r="I750" s="518"/>
      <c r="J750" s="518"/>
      <c r="K750" s="518"/>
      <c r="L750" s="518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  <c r="AB750" s="518"/>
      <c r="AC750" s="518"/>
      <c r="AD750" s="518"/>
      <c r="AE750" s="518"/>
      <c r="AF750" s="518"/>
      <c r="AG750" s="518"/>
      <c r="AH750" s="518"/>
      <c r="AI750" s="518"/>
      <c r="AJ750" s="518"/>
      <c r="AK750" s="518"/>
      <c r="AL750" s="518"/>
      <c r="AM750" s="518"/>
      <c r="AN750" s="518"/>
      <c r="AO750" s="518"/>
      <c r="AP750" s="518"/>
      <c r="AQ750" s="518"/>
      <c r="AR750" s="518"/>
      <c r="AS750" s="518"/>
      <c r="AT750" s="518"/>
    </row>
    <row r="751" spans="3:46" ht="12.75" customHeight="1">
      <c r="C751" s="518"/>
      <c r="D751" s="518"/>
      <c r="E751" s="518"/>
      <c r="F751" s="518"/>
      <c r="G751" s="518"/>
      <c r="H751" s="518"/>
      <c r="I751" s="518"/>
      <c r="J751" s="518"/>
      <c r="K751" s="518"/>
      <c r="L751" s="518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  <c r="AB751" s="518"/>
      <c r="AC751" s="518"/>
      <c r="AD751" s="518"/>
      <c r="AE751" s="518"/>
      <c r="AF751" s="518"/>
      <c r="AG751" s="518"/>
      <c r="AH751" s="518"/>
      <c r="AI751" s="518"/>
      <c r="AJ751" s="518"/>
      <c r="AK751" s="518"/>
      <c r="AL751" s="518"/>
      <c r="AM751" s="518"/>
      <c r="AN751" s="518"/>
      <c r="AO751" s="518"/>
      <c r="AP751" s="518"/>
      <c r="AQ751" s="518"/>
      <c r="AR751" s="518"/>
      <c r="AS751" s="518"/>
      <c r="AT751" s="518"/>
    </row>
    <row r="752" spans="3:46" ht="12.75" customHeight="1">
      <c r="C752" s="518"/>
      <c r="D752" s="518"/>
      <c r="E752" s="518"/>
      <c r="F752" s="518"/>
      <c r="G752" s="518"/>
      <c r="H752" s="518"/>
      <c r="I752" s="518"/>
      <c r="J752" s="518"/>
      <c r="K752" s="518"/>
      <c r="L752" s="518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  <c r="AB752" s="518"/>
      <c r="AC752" s="518"/>
      <c r="AD752" s="518"/>
      <c r="AE752" s="518"/>
      <c r="AF752" s="518"/>
      <c r="AG752" s="518"/>
      <c r="AH752" s="518"/>
      <c r="AI752" s="518"/>
      <c r="AJ752" s="518"/>
      <c r="AK752" s="518"/>
      <c r="AL752" s="518"/>
      <c r="AM752" s="518"/>
      <c r="AN752" s="518"/>
      <c r="AO752" s="518"/>
      <c r="AP752" s="518"/>
      <c r="AQ752" s="518"/>
      <c r="AR752" s="518"/>
      <c r="AS752" s="518"/>
      <c r="AT752" s="518"/>
    </row>
    <row r="753" spans="3:46" ht="12.75" customHeight="1">
      <c r="C753" s="518"/>
      <c r="D753" s="518"/>
      <c r="E753" s="518"/>
      <c r="F753" s="518"/>
      <c r="G753" s="518"/>
      <c r="H753" s="518"/>
      <c r="I753" s="518"/>
      <c r="J753" s="518"/>
      <c r="K753" s="518"/>
      <c r="L753" s="518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  <c r="AB753" s="518"/>
      <c r="AC753" s="518"/>
      <c r="AD753" s="518"/>
      <c r="AE753" s="518"/>
      <c r="AF753" s="518"/>
      <c r="AG753" s="518"/>
      <c r="AH753" s="518"/>
      <c r="AI753" s="518"/>
      <c r="AJ753" s="518"/>
      <c r="AK753" s="518"/>
      <c r="AL753" s="518"/>
      <c r="AM753" s="518"/>
      <c r="AN753" s="518"/>
      <c r="AO753" s="518"/>
      <c r="AP753" s="518"/>
      <c r="AQ753" s="518"/>
      <c r="AR753" s="518"/>
      <c r="AS753" s="518"/>
      <c r="AT753" s="518"/>
    </row>
    <row r="754" spans="3:46" ht="12.75" customHeight="1">
      <c r="C754" s="518"/>
      <c r="D754" s="518"/>
      <c r="E754" s="518"/>
      <c r="F754" s="518"/>
      <c r="G754" s="518"/>
      <c r="H754" s="518"/>
      <c r="I754" s="518"/>
      <c r="J754" s="518"/>
      <c r="K754" s="518"/>
      <c r="L754" s="518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  <c r="AB754" s="518"/>
      <c r="AC754" s="518"/>
      <c r="AD754" s="518"/>
      <c r="AE754" s="518"/>
      <c r="AF754" s="518"/>
      <c r="AG754" s="518"/>
      <c r="AH754" s="518"/>
      <c r="AI754" s="518"/>
      <c r="AJ754" s="518"/>
      <c r="AK754" s="518"/>
      <c r="AL754" s="518"/>
      <c r="AM754" s="518"/>
      <c r="AN754" s="518"/>
      <c r="AO754" s="518"/>
      <c r="AP754" s="518"/>
      <c r="AQ754" s="518"/>
      <c r="AR754" s="518"/>
      <c r="AS754" s="518"/>
      <c r="AT754" s="518"/>
    </row>
    <row r="755" spans="3:46" ht="12.75" customHeight="1">
      <c r="C755" s="518"/>
      <c r="D755" s="518"/>
      <c r="E755" s="518"/>
      <c r="F755" s="518"/>
      <c r="G755" s="518"/>
      <c r="H755" s="518"/>
      <c r="I755" s="518"/>
      <c r="J755" s="518"/>
      <c r="K755" s="518"/>
      <c r="L755" s="518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  <c r="AB755" s="518"/>
      <c r="AC755" s="518"/>
      <c r="AD755" s="518"/>
      <c r="AE755" s="518"/>
      <c r="AF755" s="518"/>
      <c r="AG755" s="518"/>
      <c r="AH755" s="518"/>
      <c r="AI755" s="518"/>
      <c r="AJ755" s="518"/>
      <c r="AK755" s="518"/>
      <c r="AL755" s="518"/>
      <c r="AM755" s="518"/>
      <c r="AN755" s="518"/>
      <c r="AO755" s="518"/>
      <c r="AP755" s="518"/>
      <c r="AQ755" s="518"/>
      <c r="AR755" s="518"/>
      <c r="AS755" s="518"/>
      <c r="AT755" s="518"/>
    </row>
    <row r="756" spans="3:46" ht="12.75" customHeight="1">
      <c r="C756" s="518"/>
      <c r="D756" s="518"/>
      <c r="E756" s="518"/>
      <c r="F756" s="518"/>
      <c r="G756" s="518"/>
      <c r="H756" s="518"/>
      <c r="I756" s="518"/>
      <c r="J756" s="518"/>
      <c r="K756" s="518"/>
      <c r="L756" s="518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  <c r="AB756" s="518"/>
      <c r="AC756" s="518"/>
      <c r="AD756" s="518"/>
      <c r="AE756" s="518"/>
      <c r="AF756" s="518"/>
      <c r="AG756" s="518"/>
      <c r="AH756" s="518"/>
      <c r="AI756" s="518"/>
      <c r="AJ756" s="518"/>
      <c r="AK756" s="518"/>
      <c r="AL756" s="518"/>
      <c r="AM756" s="518"/>
      <c r="AN756" s="518"/>
      <c r="AO756" s="518"/>
      <c r="AP756" s="518"/>
      <c r="AQ756" s="518"/>
      <c r="AR756" s="518"/>
      <c r="AS756" s="518"/>
      <c r="AT756" s="518"/>
    </row>
    <row r="757" spans="3:46" ht="12.75" customHeight="1">
      <c r="C757" s="518"/>
      <c r="D757" s="518"/>
      <c r="E757" s="518"/>
      <c r="F757" s="518"/>
      <c r="G757" s="518"/>
      <c r="H757" s="518"/>
      <c r="I757" s="518"/>
      <c r="J757" s="518"/>
      <c r="K757" s="518"/>
      <c r="L757" s="518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  <c r="AB757" s="518"/>
      <c r="AC757" s="518"/>
      <c r="AD757" s="518"/>
      <c r="AE757" s="518"/>
      <c r="AF757" s="518"/>
      <c r="AG757" s="518"/>
      <c r="AH757" s="518"/>
      <c r="AI757" s="518"/>
      <c r="AJ757" s="518"/>
      <c r="AK757" s="518"/>
      <c r="AL757" s="518"/>
      <c r="AM757" s="518"/>
      <c r="AN757" s="518"/>
      <c r="AO757" s="518"/>
      <c r="AP757" s="518"/>
      <c r="AQ757" s="518"/>
      <c r="AR757" s="518"/>
      <c r="AS757" s="518"/>
      <c r="AT757" s="518"/>
    </row>
    <row r="758" spans="3:46" ht="12.75" customHeight="1">
      <c r="C758" s="518"/>
      <c r="D758" s="518"/>
      <c r="E758" s="518"/>
      <c r="F758" s="518"/>
      <c r="G758" s="518"/>
      <c r="H758" s="518"/>
      <c r="I758" s="518"/>
      <c r="J758" s="518"/>
      <c r="K758" s="518"/>
      <c r="L758" s="518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  <c r="AB758" s="518"/>
      <c r="AC758" s="518"/>
      <c r="AD758" s="518"/>
      <c r="AE758" s="518"/>
      <c r="AF758" s="518"/>
      <c r="AG758" s="518"/>
      <c r="AH758" s="518"/>
      <c r="AI758" s="518"/>
      <c r="AJ758" s="518"/>
      <c r="AK758" s="518"/>
      <c r="AL758" s="518"/>
      <c r="AM758" s="518"/>
      <c r="AN758" s="518"/>
      <c r="AO758" s="518"/>
      <c r="AP758" s="518"/>
      <c r="AQ758" s="518"/>
      <c r="AR758" s="518"/>
      <c r="AS758" s="518"/>
      <c r="AT758" s="518"/>
    </row>
    <row r="759" spans="3:46" ht="12.75" customHeight="1">
      <c r="C759" s="518"/>
      <c r="D759" s="518"/>
      <c r="E759" s="518"/>
      <c r="F759" s="518"/>
      <c r="G759" s="518"/>
      <c r="H759" s="518"/>
      <c r="I759" s="518"/>
      <c r="J759" s="518"/>
      <c r="K759" s="518"/>
      <c r="L759" s="518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  <c r="AB759" s="518"/>
      <c r="AC759" s="518"/>
      <c r="AD759" s="518"/>
      <c r="AE759" s="518"/>
      <c r="AF759" s="518"/>
      <c r="AG759" s="518"/>
      <c r="AH759" s="518"/>
      <c r="AI759" s="518"/>
      <c r="AJ759" s="518"/>
      <c r="AK759" s="518"/>
      <c r="AL759" s="518"/>
      <c r="AM759" s="518"/>
      <c r="AN759" s="518"/>
      <c r="AO759" s="518"/>
      <c r="AP759" s="518"/>
      <c r="AQ759" s="518"/>
      <c r="AR759" s="518"/>
      <c r="AS759" s="518"/>
      <c r="AT759" s="518"/>
    </row>
    <row r="760" spans="3:46" ht="12.75" customHeight="1">
      <c r="C760" s="518"/>
      <c r="D760" s="518"/>
      <c r="E760" s="518"/>
      <c r="F760" s="518"/>
      <c r="G760" s="518"/>
      <c r="H760" s="518"/>
      <c r="I760" s="518"/>
      <c r="J760" s="518"/>
      <c r="K760" s="518"/>
      <c r="L760" s="518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  <c r="AB760" s="518"/>
      <c r="AC760" s="518"/>
      <c r="AD760" s="518"/>
      <c r="AE760" s="518"/>
      <c r="AF760" s="518"/>
      <c r="AG760" s="518"/>
      <c r="AH760" s="518"/>
      <c r="AI760" s="518"/>
      <c r="AJ760" s="518"/>
      <c r="AK760" s="518"/>
      <c r="AL760" s="518"/>
      <c r="AM760" s="518"/>
      <c r="AN760" s="518"/>
      <c r="AO760" s="518"/>
      <c r="AP760" s="518"/>
      <c r="AQ760" s="518"/>
      <c r="AR760" s="518"/>
      <c r="AS760" s="518"/>
      <c r="AT760" s="518"/>
    </row>
    <row r="761" spans="3:46" ht="12.75" customHeight="1">
      <c r="C761" s="518"/>
      <c r="D761" s="518"/>
      <c r="E761" s="518"/>
      <c r="F761" s="518"/>
      <c r="G761" s="518"/>
      <c r="H761" s="518"/>
      <c r="I761" s="518"/>
      <c r="J761" s="518"/>
      <c r="K761" s="518"/>
      <c r="L761" s="518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  <c r="AB761" s="518"/>
      <c r="AC761" s="518"/>
      <c r="AD761" s="518"/>
      <c r="AE761" s="518"/>
      <c r="AF761" s="518"/>
      <c r="AG761" s="518"/>
      <c r="AH761" s="518"/>
      <c r="AI761" s="518"/>
      <c r="AJ761" s="518"/>
      <c r="AK761" s="518"/>
      <c r="AL761" s="518"/>
      <c r="AM761" s="518"/>
      <c r="AN761" s="518"/>
      <c r="AO761" s="518"/>
      <c r="AP761" s="518"/>
      <c r="AQ761" s="518"/>
      <c r="AR761" s="518"/>
      <c r="AS761" s="518"/>
      <c r="AT761" s="518"/>
    </row>
    <row r="762" spans="3:46" ht="12.75" customHeight="1">
      <c r="C762" s="518"/>
      <c r="D762" s="518"/>
      <c r="E762" s="518"/>
      <c r="F762" s="518"/>
      <c r="G762" s="518"/>
      <c r="H762" s="518"/>
      <c r="I762" s="518"/>
      <c r="J762" s="518"/>
      <c r="K762" s="518"/>
      <c r="L762" s="518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  <c r="AB762" s="518"/>
      <c r="AC762" s="518"/>
      <c r="AD762" s="518"/>
      <c r="AE762" s="518"/>
      <c r="AF762" s="518"/>
      <c r="AG762" s="518"/>
      <c r="AH762" s="518"/>
      <c r="AI762" s="518"/>
      <c r="AJ762" s="518"/>
      <c r="AK762" s="518"/>
      <c r="AL762" s="518"/>
      <c r="AM762" s="518"/>
      <c r="AN762" s="518"/>
      <c r="AO762" s="518"/>
      <c r="AP762" s="518"/>
      <c r="AQ762" s="518"/>
      <c r="AR762" s="518"/>
      <c r="AS762" s="518"/>
      <c r="AT762" s="518"/>
    </row>
    <row r="763" spans="3:46" ht="12.75" customHeight="1">
      <c r="C763" s="518"/>
      <c r="D763" s="518"/>
      <c r="E763" s="518"/>
      <c r="F763" s="518"/>
      <c r="G763" s="518"/>
      <c r="H763" s="518"/>
      <c r="I763" s="518"/>
      <c r="J763" s="518"/>
      <c r="K763" s="518"/>
      <c r="L763" s="518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  <c r="AB763" s="518"/>
      <c r="AC763" s="518"/>
      <c r="AD763" s="518"/>
      <c r="AE763" s="518"/>
      <c r="AF763" s="518"/>
      <c r="AG763" s="518"/>
      <c r="AH763" s="518"/>
      <c r="AI763" s="518"/>
      <c r="AJ763" s="518"/>
      <c r="AK763" s="518"/>
      <c r="AL763" s="518"/>
      <c r="AM763" s="518"/>
      <c r="AN763" s="518"/>
      <c r="AO763" s="518"/>
      <c r="AP763" s="518"/>
      <c r="AQ763" s="518"/>
      <c r="AR763" s="518"/>
      <c r="AS763" s="518"/>
      <c r="AT763" s="518"/>
    </row>
    <row r="764" spans="3:46" ht="12.75" customHeight="1">
      <c r="C764" s="518"/>
      <c r="D764" s="518"/>
      <c r="E764" s="518"/>
      <c r="F764" s="518"/>
      <c r="G764" s="518"/>
      <c r="H764" s="518"/>
      <c r="I764" s="518"/>
      <c r="J764" s="518"/>
      <c r="K764" s="518"/>
      <c r="L764" s="518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  <c r="AB764" s="518"/>
      <c r="AC764" s="518"/>
      <c r="AD764" s="518"/>
      <c r="AE764" s="518"/>
      <c r="AF764" s="518"/>
      <c r="AG764" s="518"/>
      <c r="AH764" s="518"/>
      <c r="AI764" s="518"/>
      <c r="AJ764" s="518"/>
      <c r="AK764" s="518"/>
      <c r="AL764" s="518"/>
      <c r="AM764" s="518"/>
      <c r="AN764" s="518"/>
      <c r="AO764" s="518"/>
      <c r="AP764" s="518"/>
      <c r="AQ764" s="518"/>
      <c r="AR764" s="518"/>
      <c r="AS764" s="518"/>
      <c r="AT764" s="518"/>
    </row>
    <row r="765" spans="3:46" ht="12.75" customHeight="1">
      <c r="C765" s="518"/>
      <c r="D765" s="518"/>
      <c r="E765" s="518"/>
      <c r="F765" s="518"/>
      <c r="G765" s="518"/>
      <c r="H765" s="518"/>
      <c r="I765" s="518"/>
      <c r="J765" s="518"/>
      <c r="K765" s="518"/>
      <c r="L765" s="518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  <c r="AB765" s="518"/>
      <c r="AC765" s="518"/>
      <c r="AD765" s="518"/>
      <c r="AE765" s="518"/>
      <c r="AF765" s="518"/>
      <c r="AG765" s="518"/>
      <c r="AH765" s="518"/>
      <c r="AI765" s="518"/>
      <c r="AJ765" s="518"/>
      <c r="AK765" s="518"/>
      <c r="AL765" s="518"/>
      <c r="AM765" s="518"/>
      <c r="AN765" s="518"/>
      <c r="AO765" s="518"/>
      <c r="AP765" s="518"/>
      <c r="AQ765" s="518"/>
      <c r="AR765" s="518"/>
      <c r="AS765" s="518"/>
      <c r="AT765" s="518"/>
    </row>
    <row r="766" spans="3:46" ht="12.75" customHeight="1">
      <c r="C766" s="518"/>
      <c r="D766" s="518"/>
      <c r="E766" s="518"/>
      <c r="F766" s="518"/>
      <c r="G766" s="518"/>
      <c r="H766" s="518"/>
      <c r="I766" s="518"/>
      <c r="J766" s="518"/>
      <c r="K766" s="518"/>
      <c r="L766" s="518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  <c r="AB766" s="518"/>
      <c r="AC766" s="518"/>
      <c r="AD766" s="518"/>
      <c r="AE766" s="518"/>
      <c r="AF766" s="518"/>
      <c r="AG766" s="518"/>
      <c r="AH766" s="518"/>
      <c r="AI766" s="518"/>
      <c r="AJ766" s="518"/>
      <c r="AK766" s="518"/>
      <c r="AL766" s="518"/>
      <c r="AM766" s="518"/>
      <c r="AN766" s="518"/>
      <c r="AO766" s="518"/>
      <c r="AP766" s="518"/>
      <c r="AQ766" s="518"/>
      <c r="AR766" s="518"/>
      <c r="AS766" s="518"/>
      <c r="AT766" s="518"/>
    </row>
    <row r="767" spans="3:46" ht="12.75" customHeight="1">
      <c r="C767" s="518"/>
      <c r="D767" s="518"/>
      <c r="E767" s="518"/>
      <c r="F767" s="518"/>
      <c r="G767" s="518"/>
      <c r="H767" s="518"/>
      <c r="I767" s="518"/>
      <c r="J767" s="518"/>
      <c r="K767" s="518"/>
      <c r="L767" s="518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  <c r="AB767" s="518"/>
      <c r="AC767" s="518"/>
      <c r="AD767" s="518"/>
      <c r="AE767" s="518"/>
      <c r="AF767" s="518"/>
      <c r="AG767" s="518"/>
      <c r="AH767" s="518"/>
      <c r="AI767" s="518"/>
      <c r="AJ767" s="518"/>
      <c r="AK767" s="518"/>
      <c r="AL767" s="518"/>
      <c r="AM767" s="518"/>
      <c r="AN767" s="518"/>
      <c r="AO767" s="518"/>
      <c r="AP767" s="518"/>
      <c r="AQ767" s="518"/>
      <c r="AR767" s="518"/>
      <c r="AS767" s="518"/>
      <c r="AT767" s="518"/>
    </row>
    <row r="768" spans="3:46" ht="12.75" customHeight="1">
      <c r="C768" s="518"/>
      <c r="D768" s="518"/>
      <c r="E768" s="518"/>
      <c r="F768" s="518"/>
      <c r="G768" s="518"/>
      <c r="H768" s="518"/>
      <c r="I768" s="518"/>
      <c r="J768" s="518"/>
      <c r="K768" s="518"/>
      <c r="L768" s="518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  <c r="AB768" s="518"/>
      <c r="AC768" s="518"/>
      <c r="AD768" s="518"/>
      <c r="AE768" s="518"/>
      <c r="AF768" s="518"/>
      <c r="AG768" s="518"/>
      <c r="AH768" s="518"/>
      <c r="AI768" s="518"/>
      <c r="AJ768" s="518"/>
      <c r="AK768" s="518"/>
      <c r="AL768" s="518"/>
      <c r="AM768" s="518"/>
      <c r="AN768" s="518"/>
      <c r="AO768" s="518"/>
      <c r="AP768" s="518"/>
      <c r="AQ768" s="518"/>
      <c r="AR768" s="518"/>
      <c r="AS768" s="518"/>
      <c r="AT768" s="518"/>
    </row>
    <row r="769" spans="3:46" ht="12.75" customHeight="1"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  <c r="AB769" s="518"/>
      <c r="AC769" s="518"/>
      <c r="AD769" s="518"/>
      <c r="AE769" s="518"/>
      <c r="AF769" s="518"/>
      <c r="AG769" s="518"/>
      <c r="AH769" s="518"/>
      <c r="AI769" s="518"/>
      <c r="AJ769" s="518"/>
      <c r="AK769" s="518"/>
      <c r="AL769" s="518"/>
      <c r="AM769" s="518"/>
      <c r="AN769" s="518"/>
      <c r="AO769" s="518"/>
      <c r="AP769" s="518"/>
      <c r="AQ769" s="518"/>
      <c r="AR769" s="518"/>
      <c r="AS769" s="518"/>
      <c r="AT769" s="518"/>
    </row>
    <row r="770" spans="3:46" ht="12.75" customHeight="1"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8"/>
      <c r="AQ770" s="518"/>
      <c r="AR770" s="518"/>
      <c r="AS770" s="518"/>
      <c r="AT770" s="518"/>
    </row>
    <row r="771" spans="3:46" ht="12.75" customHeight="1"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8"/>
      <c r="AQ771" s="518"/>
      <c r="AR771" s="518"/>
      <c r="AS771" s="518"/>
      <c r="AT771" s="518"/>
    </row>
    <row r="772" spans="3:46" ht="12.75" customHeight="1"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8"/>
      <c r="AQ772" s="518"/>
      <c r="AR772" s="518"/>
      <c r="AS772" s="518"/>
      <c r="AT772" s="518"/>
    </row>
    <row r="773" spans="3:46" ht="12.75" customHeight="1"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8"/>
      <c r="AQ773" s="518"/>
      <c r="AR773" s="518"/>
      <c r="AS773" s="518"/>
      <c r="AT773" s="518"/>
    </row>
    <row r="774" spans="3:46" ht="12.75" customHeight="1"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8"/>
      <c r="AQ774" s="518"/>
      <c r="AR774" s="518"/>
      <c r="AS774" s="518"/>
      <c r="AT774" s="518"/>
    </row>
    <row r="775" spans="3:46" ht="12.75" customHeight="1"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8"/>
      <c r="AQ775" s="518"/>
      <c r="AR775" s="518"/>
      <c r="AS775" s="518"/>
      <c r="AT775" s="518"/>
    </row>
    <row r="776" spans="3:46" ht="12.75" customHeight="1"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8"/>
      <c r="AQ776" s="518"/>
      <c r="AR776" s="518"/>
      <c r="AS776" s="518"/>
      <c r="AT776" s="518"/>
    </row>
    <row r="777" spans="3:46" ht="12.75" customHeight="1"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8"/>
      <c r="AQ777" s="518"/>
      <c r="AR777" s="518"/>
      <c r="AS777" s="518"/>
      <c r="AT777" s="518"/>
    </row>
    <row r="778" spans="3:46" ht="12.75" customHeight="1"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8"/>
      <c r="AQ778" s="518"/>
      <c r="AR778" s="518"/>
      <c r="AS778" s="518"/>
      <c r="AT778" s="518"/>
    </row>
    <row r="779" spans="3:46" ht="12.75" customHeight="1"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8"/>
      <c r="AQ779" s="518"/>
      <c r="AR779" s="518"/>
      <c r="AS779" s="518"/>
      <c r="AT779" s="518"/>
    </row>
    <row r="780" spans="3:46" ht="12.75" customHeight="1"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8"/>
      <c r="AQ780" s="518"/>
      <c r="AR780" s="518"/>
      <c r="AS780" s="518"/>
      <c r="AT780" s="518"/>
    </row>
    <row r="781" spans="3:46" ht="12.75" customHeight="1"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8"/>
      <c r="AQ781" s="518"/>
      <c r="AR781" s="518"/>
      <c r="AS781" s="518"/>
      <c r="AT781" s="518"/>
    </row>
    <row r="782" spans="3:46" ht="12.75" customHeight="1"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8"/>
      <c r="AQ782" s="518"/>
      <c r="AR782" s="518"/>
      <c r="AS782" s="518"/>
      <c r="AT782" s="518"/>
    </row>
    <row r="783" spans="3:46" ht="12.75" customHeight="1"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8"/>
      <c r="AQ783" s="518"/>
      <c r="AR783" s="518"/>
      <c r="AS783" s="518"/>
      <c r="AT783" s="518"/>
    </row>
    <row r="784" spans="3:46" ht="12.75" customHeight="1"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8"/>
      <c r="AQ784" s="518"/>
      <c r="AR784" s="518"/>
      <c r="AS784" s="518"/>
      <c r="AT784" s="518"/>
    </row>
    <row r="785" spans="3:46" ht="12.75" customHeight="1"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8"/>
      <c r="AQ785" s="518"/>
      <c r="AR785" s="518"/>
      <c r="AS785" s="518"/>
      <c r="AT785" s="518"/>
    </row>
    <row r="786" spans="3:46" ht="12.75" customHeight="1"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8"/>
      <c r="AQ786" s="518"/>
      <c r="AR786" s="518"/>
      <c r="AS786" s="518"/>
      <c r="AT786" s="518"/>
    </row>
    <row r="787" spans="3:46" ht="12.75" customHeight="1"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8"/>
      <c r="AQ787" s="518"/>
      <c r="AR787" s="518"/>
      <c r="AS787" s="518"/>
      <c r="AT787" s="518"/>
    </row>
    <row r="788" spans="3:46" ht="12.75" customHeight="1"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8"/>
      <c r="AQ788" s="518"/>
      <c r="AR788" s="518"/>
      <c r="AS788" s="518"/>
      <c r="AT788" s="518"/>
    </row>
    <row r="789" spans="3:46" ht="12.75" customHeight="1"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8"/>
      <c r="AQ789" s="518"/>
      <c r="AR789" s="518"/>
      <c r="AS789" s="518"/>
      <c r="AT789" s="518"/>
    </row>
    <row r="790" spans="3:46" ht="12.75" customHeight="1"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8"/>
      <c r="AQ790" s="518"/>
      <c r="AR790" s="518"/>
      <c r="AS790" s="518"/>
      <c r="AT790" s="518"/>
    </row>
    <row r="791" spans="3:46" ht="12.75" customHeight="1"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8"/>
      <c r="AQ791" s="518"/>
      <c r="AR791" s="518"/>
      <c r="AS791" s="518"/>
      <c r="AT791" s="518"/>
    </row>
    <row r="792" spans="3:46" ht="12.75" customHeight="1"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8"/>
      <c r="AQ792" s="518"/>
      <c r="AR792" s="518"/>
      <c r="AS792" s="518"/>
      <c r="AT792" s="518"/>
    </row>
    <row r="793" spans="3:46" ht="12.75" customHeight="1"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8"/>
      <c r="AQ793" s="518"/>
      <c r="AR793" s="518"/>
      <c r="AS793" s="518"/>
      <c r="AT793" s="518"/>
    </row>
    <row r="794" spans="3:46" ht="12.75" customHeight="1"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8"/>
      <c r="AQ794" s="518"/>
      <c r="AR794" s="518"/>
      <c r="AS794" s="518"/>
      <c r="AT794" s="518"/>
    </row>
    <row r="795" spans="3:46" ht="12.75" customHeight="1"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8"/>
      <c r="AQ795" s="518"/>
      <c r="AR795" s="518"/>
      <c r="AS795" s="518"/>
      <c r="AT795" s="518"/>
    </row>
    <row r="796" spans="3:46" ht="12.75" customHeight="1"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8"/>
      <c r="AQ796" s="518"/>
      <c r="AR796" s="518"/>
      <c r="AS796" s="518"/>
      <c r="AT796" s="518"/>
    </row>
    <row r="797" spans="3:46" ht="12.75" customHeight="1"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8"/>
      <c r="AQ797" s="518"/>
      <c r="AR797" s="518"/>
      <c r="AS797" s="518"/>
      <c r="AT797" s="518"/>
    </row>
    <row r="798" spans="3:46" ht="12.75" customHeight="1"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8"/>
      <c r="AQ798" s="518"/>
      <c r="AR798" s="518"/>
      <c r="AS798" s="518"/>
      <c r="AT798" s="518"/>
    </row>
    <row r="799" spans="3:46" ht="12.75" customHeight="1"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8"/>
      <c r="AQ799" s="518"/>
      <c r="AR799" s="518"/>
      <c r="AS799" s="518"/>
      <c r="AT799" s="518"/>
    </row>
    <row r="800" spans="3:46" ht="12.75" customHeight="1"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8"/>
      <c r="AQ800" s="518"/>
      <c r="AR800" s="518"/>
      <c r="AS800" s="518"/>
      <c r="AT800" s="518"/>
    </row>
    <row r="801" spans="3:46" ht="12.75" customHeight="1"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8"/>
      <c r="AQ801" s="518"/>
      <c r="AR801" s="518"/>
      <c r="AS801" s="518"/>
      <c r="AT801" s="518"/>
    </row>
    <row r="802" spans="3:46" ht="12.75" customHeight="1"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8"/>
      <c r="AQ802" s="518"/>
      <c r="AR802" s="518"/>
      <c r="AS802" s="518"/>
      <c r="AT802" s="518"/>
    </row>
    <row r="803" spans="3:46" ht="12.75" customHeight="1"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8"/>
      <c r="AQ803" s="518"/>
      <c r="AR803" s="518"/>
      <c r="AS803" s="518"/>
      <c r="AT803" s="518"/>
    </row>
    <row r="804" spans="3:46" ht="12.75" customHeight="1"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8"/>
      <c r="AQ804" s="518"/>
      <c r="AR804" s="518"/>
      <c r="AS804" s="518"/>
      <c r="AT804" s="518"/>
    </row>
    <row r="805" spans="3:46" ht="12.75" customHeight="1"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8"/>
      <c r="AQ805" s="518"/>
      <c r="AR805" s="518"/>
      <c r="AS805" s="518"/>
      <c r="AT805" s="518"/>
    </row>
    <row r="806" spans="3:46" ht="12.75" customHeight="1"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8"/>
      <c r="AQ806" s="518"/>
      <c r="AR806" s="518"/>
      <c r="AS806" s="518"/>
      <c r="AT806" s="518"/>
    </row>
    <row r="807" spans="3:46" ht="12.75" customHeight="1"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8"/>
      <c r="AQ807" s="518"/>
      <c r="AR807" s="518"/>
      <c r="AS807" s="518"/>
      <c r="AT807" s="518"/>
    </row>
    <row r="808" spans="3:46" ht="12.75" customHeight="1"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8"/>
      <c r="AQ808" s="518"/>
      <c r="AR808" s="518"/>
      <c r="AS808" s="518"/>
      <c r="AT808" s="518"/>
    </row>
    <row r="809" spans="3:46" ht="12.75" customHeight="1"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8"/>
      <c r="AQ809" s="518"/>
      <c r="AR809" s="518"/>
      <c r="AS809" s="518"/>
      <c r="AT809" s="518"/>
    </row>
    <row r="810" spans="3:46" ht="12.75" customHeight="1"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8"/>
      <c r="AQ810" s="518"/>
      <c r="AR810" s="518"/>
      <c r="AS810" s="518"/>
      <c r="AT810" s="518"/>
    </row>
    <row r="811" spans="3:46" ht="12.75" customHeight="1"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8"/>
      <c r="AQ811" s="518"/>
      <c r="AR811" s="518"/>
      <c r="AS811" s="518"/>
      <c r="AT811" s="518"/>
    </row>
    <row r="812" spans="3:46" ht="12.75" customHeight="1"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8"/>
      <c r="AQ812" s="518"/>
      <c r="AR812" s="518"/>
      <c r="AS812" s="518"/>
      <c r="AT812" s="518"/>
    </row>
    <row r="813" spans="3:46" ht="12.75" customHeight="1"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8"/>
      <c r="AQ813" s="518"/>
      <c r="AR813" s="518"/>
      <c r="AS813" s="518"/>
      <c r="AT813" s="518"/>
    </row>
    <row r="814" spans="3:46" ht="12.75" customHeight="1"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8"/>
      <c r="AQ814" s="518"/>
      <c r="AR814" s="518"/>
      <c r="AS814" s="518"/>
      <c r="AT814" s="518"/>
    </row>
    <row r="815" spans="3:46" ht="12.75" customHeight="1"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8"/>
      <c r="AQ815" s="518"/>
      <c r="AR815" s="518"/>
      <c r="AS815" s="518"/>
      <c r="AT815" s="518"/>
    </row>
    <row r="816" spans="3:46" ht="12.75" customHeight="1"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8"/>
      <c r="AQ816" s="518"/>
      <c r="AR816" s="518"/>
      <c r="AS816" s="518"/>
      <c r="AT816" s="518"/>
    </row>
    <row r="817" spans="3:46" ht="12.75" customHeight="1"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8"/>
      <c r="AQ817" s="518"/>
      <c r="AR817" s="518"/>
      <c r="AS817" s="518"/>
      <c r="AT817" s="518"/>
    </row>
    <row r="818" spans="3:46" ht="12.75" customHeight="1"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8"/>
      <c r="AQ818" s="518"/>
      <c r="AR818" s="518"/>
      <c r="AS818" s="518"/>
      <c r="AT818" s="518"/>
    </row>
    <row r="819" spans="3:46" ht="12.75" customHeight="1"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8"/>
      <c r="AQ819" s="518"/>
      <c r="AR819" s="518"/>
      <c r="AS819" s="518"/>
      <c r="AT819" s="518"/>
    </row>
    <row r="820" spans="3:46" ht="12.75" customHeight="1"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8"/>
      <c r="AQ820" s="518"/>
      <c r="AR820" s="518"/>
      <c r="AS820" s="518"/>
      <c r="AT820" s="518"/>
    </row>
    <row r="821" spans="3:46" ht="12.75" customHeight="1"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8"/>
      <c r="AQ821" s="518"/>
      <c r="AR821" s="518"/>
      <c r="AS821" s="518"/>
      <c r="AT821" s="518"/>
    </row>
    <row r="822" spans="3:46" ht="12.75" customHeight="1"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8"/>
      <c r="AQ822" s="518"/>
      <c r="AR822" s="518"/>
      <c r="AS822" s="518"/>
      <c r="AT822" s="518"/>
    </row>
    <row r="823" spans="3:46" ht="12.75" customHeight="1"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8"/>
      <c r="AQ823" s="518"/>
      <c r="AR823" s="518"/>
      <c r="AS823" s="518"/>
      <c r="AT823" s="518"/>
    </row>
    <row r="824" spans="3:46" ht="12.75" customHeight="1"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8"/>
      <c r="AQ824" s="518"/>
      <c r="AR824" s="518"/>
      <c r="AS824" s="518"/>
      <c r="AT824" s="518"/>
    </row>
    <row r="825" spans="3:46" ht="12.75" customHeight="1"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8"/>
      <c r="AQ825" s="518"/>
      <c r="AR825" s="518"/>
      <c r="AS825" s="518"/>
      <c r="AT825" s="518"/>
    </row>
    <row r="826" spans="3:46" ht="12.75" customHeight="1"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8"/>
      <c r="AQ826" s="518"/>
      <c r="AR826" s="518"/>
      <c r="AS826" s="518"/>
      <c r="AT826" s="518"/>
    </row>
    <row r="827" spans="3:46" ht="12.75" customHeight="1"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8"/>
      <c r="AQ827" s="518"/>
      <c r="AR827" s="518"/>
      <c r="AS827" s="518"/>
      <c r="AT827" s="518"/>
    </row>
    <row r="828" spans="3:46" ht="12.75" customHeight="1"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8"/>
      <c r="AQ828" s="518"/>
      <c r="AR828" s="518"/>
      <c r="AS828" s="518"/>
      <c r="AT828" s="518"/>
    </row>
    <row r="829" spans="3:46" ht="12.75" customHeight="1"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8"/>
      <c r="AQ829" s="518"/>
      <c r="AR829" s="518"/>
      <c r="AS829" s="518"/>
      <c r="AT829" s="518"/>
    </row>
    <row r="830" spans="3:46" ht="12.75" customHeight="1"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8"/>
      <c r="AQ830" s="518"/>
      <c r="AR830" s="518"/>
      <c r="AS830" s="518"/>
      <c r="AT830" s="518"/>
    </row>
    <row r="831" spans="3:46" ht="12.75" customHeight="1"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8"/>
      <c r="AQ831" s="518"/>
      <c r="AR831" s="518"/>
      <c r="AS831" s="518"/>
      <c r="AT831" s="518"/>
    </row>
    <row r="832" spans="3:46" ht="12.75" customHeight="1"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8"/>
      <c r="AQ832" s="518"/>
      <c r="AR832" s="518"/>
      <c r="AS832" s="518"/>
      <c r="AT832" s="518"/>
    </row>
    <row r="833" spans="3:46" ht="12.75" customHeight="1"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8"/>
      <c r="AQ833" s="518"/>
      <c r="AR833" s="518"/>
      <c r="AS833" s="518"/>
      <c r="AT833" s="518"/>
    </row>
    <row r="834" spans="3:46" ht="12.75" customHeight="1"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8"/>
      <c r="AQ834" s="518"/>
      <c r="AR834" s="518"/>
      <c r="AS834" s="518"/>
      <c r="AT834" s="518"/>
    </row>
    <row r="835" spans="3:46" ht="12.75" customHeight="1"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8"/>
      <c r="AQ835" s="518"/>
      <c r="AR835" s="518"/>
      <c r="AS835" s="518"/>
      <c r="AT835" s="518"/>
    </row>
    <row r="836" spans="3:46" ht="12.75" customHeight="1"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8"/>
      <c r="AQ836" s="518"/>
      <c r="AR836" s="518"/>
      <c r="AS836" s="518"/>
      <c r="AT836" s="518"/>
    </row>
    <row r="837" spans="3:46" ht="12.75" customHeight="1"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8"/>
      <c r="AQ837" s="518"/>
      <c r="AR837" s="518"/>
      <c r="AS837" s="518"/>
      <c r="AT837" s="518"/>
    </row>
    <row r="838" spans="3:46" ht="12.75" customHeight="1"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8"/>
      <c r="AQ838" s="518"/>
      <c r="AR838" s="518"/>
      <c r="AS838" s="518"/>
      <c r="AT838" s="518"/>
    </row>
    <row r="839" spans="3:46" ht="12.75" customHeight="1"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8"/>
      <c r="AQ839" s="518"/>
      <c r="AR839" s="518"/>
      <c r="AS839" s="518"/>
      <c r="AT839" s="518"/>
    </row>
    <row r="840" spans="3:46" ht="12.75" customHeight="1"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8"/>
      <c r="AQ840" s="518"/>
      <c r="AR840" s="518"/>
      <c r="AS840" s="518"/>
      <c r="AT840" s="518"/>
    </row>
    <row r="841" spans="3:46" ht="12.75" customHeight="1"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8"/>
      <c r="AQ841" s="518"/>
      <c r="AR841" s="518"/>
      <c r="AS841" s="518"/>
      <c r="AT841" s="518"/>
    </row>
    <row r="842" spans="3:46" ht="12.75" customHeight="1"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8"/>
      <c r="AQ842" s="518"/>
      <c r="AR842" s="518"/>
      <c r="AS842" s="518"/>
      <c r="AT842" s="518"/>
    </row>
    <row r="843" spans="3:46" ht="12.75" customHeight="1"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8"/>
      <c r="AQ843" s="518"/>
      <c r="AR843" s="518"/>
      <c r="AS843" s="518"/>
      <c r="AT843" s="518"/>
    </row>
    <row r="844" spans="3:46" ht="12.75" customHeight="1"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8"/>
      <c r="AQ844" s="518"/>
      <c r="AR844" s="518"/>
      <c r="AS844" s="518"/>
      <c r="AT844" s="518"/>
    </row>
    <row r="845" spans="3:46" ht="12.75" customHeight="1"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8"/>
      <c r="AQ845" s="518"/>
      <c r="AR845" s="518"/>
      <c r="AS845" s="518"/>
      <c r="AT845" s="518"/>
    </row>
    <row r="846" spans="3:46" ht="12.75" customHeight="1"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8"/>
      <c r="AQ846" s="518"/>
      <c r="AR846" s="518"/>
      <c r="AS846" s="518"/>
      <c r="AT846" s="518"/>
    </row>
    <row r="847" spans="3:46" ht="12.75" customHeight="1"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8"/>
      <c r="AQ847" s="518"/>
      <c r="AR847" s="518"/>
      <c r="AS847" s="518"/>
      <c r="AT847" s="518"/>
    </row>
    <row r="848" spans="3:46" ht="12.75" customHeight="1"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8"/>
      <c r="AQ848" s="518"/>
      <c r="AR848" s="518"/>
      <c r="AS848" s="518"/>
      <c r="AT848" s="518"/>
    </row>
    <row r="849" spans="3:46" ht="12.75" customHeight="1"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8"/>
      <c r="AQ849" s="518"/>
      <c r="AR849" s="518"/>
      <c r="AS849" s="518"/>
      <c r="AT849" s="518"/>
    </row>
    <row r="850" spans="3:46" ht="12.75" customHeight="1"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8"/>
      <c r="AQ850" s="518"/>
      <c r="AR850" s="518"/>
      <c r="AS850" s="518"/>
      <c r="AT850" s="518"/>
    </row>
    <row r="851" spans="3:46" ht="12.75" customHeight="1"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8"/>
      <c r="AQ851" s="518"/>
      <c r="AR851" s="518"/>
      <c r="AS851" s="518"/>
      <c r="AT851" s="518"/>
    </row>
    <row r="852" spans="3:46" ht="12.75" customHeight="1"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8"/>
      <c r="AQ852" s="518"/>
      <c r="AR852" s="518"/>
      <c r="AS852" s="518"/>
      <c r="AT852" s="518"/>
    </row>
    <row r="853" spans="3:46" ht="12.75" customHeight="1"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8"/>
      <c r="AQ853" s="518"/>
      <c r="AR853" s="518"/>
      <c r="AS853" s="518"/>
      <c r="AT853" s="518"/>
    </row>
    <row r="854" spans="3:46" ht="12.75" customHeight="1"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8"/>
      <c r="AQ854" s="518"/>
      <c r="AR854" s="518"/>
      <c r="AS854" s="518"/>
      <c r="AT854" s="518"/>
    </row>
    <row r="855" spans="3:46" ht="12.75" customHeight="1"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8"/>
      <c r="AQ855" s="518"/>
      <c r="AR855" s="518"/>
      <c r="AS855" s="518"/>
      <c r="AT855" s="518"/>
    </row>
    <row r="856" spans="3:46" ht="12.75" customHeight="1"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8"/>
      <c r="AQ856" s="518"/>
      <c r="AR856" s="518"/>
      <c r="AS856" s="518"/>
      <c r="AT856" s="518"/>
    </row>
    <row r="857" spans="3:46" ht="12.75" customHeight="1"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8"/>
      <c r="AQ857" s="518"/>
      <c r="AR857" s="518"/>
      <c r="AS857" s="518"/>
      <c r="AT857" s="518"/>
    </row>
    <row r="858" spans="3:46" ht="12.75" customHeight="1"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8"/>
      <c r="AQ858" s="518"/>
      <c r="AR858" s="518"/>
      <c r="AS858" s="518"/>
      <c r="AT858" s="518"/>
    </row>
    <row r="859" spans="3:46" ht="12.75" customHeight="1"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8"/>
      <c r="AQ859" s="518"/>
      <c r="AR859" s="518"/>
      <c r="AS859" s="518"/>
      <c r="AT859" s="518"/>
    </row>
    <row r="860" spans="3:46" ht="12.75" customHeight="1"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8"/>
      <c r="AQ860" s="518"/>
      <c r="AR860" s="518"/>
      <c r="AS860" s="518"/>
      <c r="AT860" s="518"/>
    </row>
    <row r="861" spans="3:46" ht="12.75" customHeight="1"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8"/>
      <c r="AQ861" s="518"/>
      <c r="AR861" s="518"/>
      <c r="AS861" s="518"/>
      <c r="AT861" s="518"/>
    </row>
    <row r="862" spans="3:46" ht="12.75" customHeight="1"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8"/>
      <c r="AQ862" s="518"/>
      <c r="AR862" s="518"/>
      <c r="AS862" s="518"/>
      <c r="AT862" s="518"/>
    </row>
    <row r="863" spans="3:46" ht="12.75" customHeight="1"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8"/>
      <c r="AQ863" s="518"/>
      <c r="AR863" s="518"/>
      <c r="AS863" s="518"/>
      <c r="AT863" s="518"/>
    </row>
    <row r="864" spans="3:46" ht="12.75" customHeight="1"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8"/>
      <c r="AQ864" s="518"/>
      <c r="AR864" s="518"/>
      <c r="AS864" s="518"/>
      <c r="AT864" s="518"/>
    </row>
    <row r="865" spans="3:46" ht="12.75" customHeight="1"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8"/>
      <c r="AQ865" s="518"/>
      <c r="AR865" s="518"/>
      <c r="AS865" s="518"/>
      <c r="AT865" s="518"/>
    </row>
    <row r="866" spans="3:46" ht="12.75" customHeight="1"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8"/>
      <c r="AQ866" s="518"/>
      <c r="AR866" s="518"/>
      <c r="AS866" s="518"/>
      <c r="AT866" s="518"/>
    </row>
    <row r="867" spans="3:46" ht="12.75" customHeight="1"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8"/>
      <c r="AQ867" s="518"/>
      <c r="AR867" s="518"/>
      <c r="AS867" s="518"/>
      <c r="AT867" s="518"/>
    </row>
    <row r="868" spans="3:46" ht="12.75" customHeight="1"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8"/>
      <c r="AQ868" s="518"/>
      <c r="AR868" s="518"/>
      <c r="AS868" s="518"/>
      <c r="AT868" s="518"/>
    </row>
    <row r="869" spans="3:46" ht="12.75" customHeight="1"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8"/>
      <c r="AQ869" s="518"/>
      <c r="AR869" s="518"/>
      <c r="AS869" s="518"/>
      <c r="AT869" s="518"/>
    </row>
    <row r="870" spans="3:46" ht="12.75" customHeight="1"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8"/>
      <c r="AQ870" s="518"/>
      <c r="AR870" s="518"/>
      <c r="AS870" s="518"/>
      <c r="AT870" s="518"/>
    </row>
    <row r="871" spans="3:46" ht="12.75" customHeight="1"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8"/>
      <c r="AQ871" s="518"/>
      <c r="AR871" s="518"/>
      <c r="AS871" s="518"/>
      <c r="AT871" s="518"/>
    </row>
    <row r="872" spans="3:46" ht="12.75" customHeight="1"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8"/>
      <c r="AQ872" s="518"/>
      <c r="AR872" s="518"/>
      <c r="AS872" s="518"/>
      <c r="AT872" s="518"/>
    </row>
    <row r="873" spans="3:46" ht="12.75" customHeight="1"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8"/>
      <c r="AQ873" s="518"/>
      <c r="AR873" s="518"/>
      <c r="AS873" s="518"/>
      <c r="AT873" s="518"/>
    </row>
    <row r="874" spans="3:46" ht="12.75" customHeight="1"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8"/>
      <c r="AQ874" s="518"/>
      <c r="AR874" s="518"/>
      <c r="AS874" s="518"/>
      <c r="AT874" s="518"/>
    </row>
    <row r="875" spans="3:46" ht="12.75" customHeight="1"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8"/>
      <c r="AQ875" s="518"/>
      <c r="AR875" s="518"/>
      <c r="AS875" s="518"/>
      <c r="AT875" s="518"/>
    </row>
    <row r="876" spans="3:46" ht="12.75" customHeight="1"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8"/>
      <c r="AQ876" s="518"/>
      <c r="AR876" s="518"/>
      <c r="AS876" s="518"/>
      <c r="AT876" s="518"/>
    </row>
    <row r="877" spans="3:46" ht="12.75" customHeight="1"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8"/>
      <c r="AQ877" s="518"/>
      <c r="AR877" s="518"/>
      <c r="AS877" s="518"/>
      <c r="AT877" s="518"/>
    </row>
    <row r="878" spans="3:46" ht="12.75" customHeight="1"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8"/>
      <c r="AQ878" s="518"/>
      <c r="AR878" s="518"/>
      <c r="AS878" s="518"/>
      <c r="AT878" s="518"/>
    </row>
    <row r="879" spans="3:46" ht="12.75" customHeight="1"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8"/>
      <c r="AQ879" s="518"/>
      <c r="AR879" s="518"/>
      <c r="AS879" s="518"/>
      <c r="AT879" s="518"/>
    </row>
    <row r="880" spans="3:46" ht="12.75" customHeight="1"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8"/>
      <c r="AQ880" s="518"/>
      <c r="AR880" s="518"/>
      <c r="AS880" s="518"/>
      <c r="AT880" s="518"/>
    </row>
    <row r="881" spans="3:46" ht="12.75" customHeight="1"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8"/>
      <c r="AQ881" s="518"/>
      <c r="AR881" s="518"/>
      <c r="AS881" s="518"/>
      <c r="AT881" s="518"/>
    </row>
    <row r="882" spans="3:46" ht="12.75" customHeight="1"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8"/>
      <c r="AQ882" s="518"/>
      <c r="AR882" s="518"/>
      <c r="AS882" s="518"/>
      <c r="AT882" s="518"/>
    </row>
    <row r="883" spans="3:46" ht="12.75" customHeight="1"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8"/>
      <c r="AQ883" s="518"/>
      <c r="AR883" s="518"/>
      <c r="AS883" s="518"/>
      <c r="AT883" s="518"/>
    </row>
    <row r="884" spans="3:46" ht="12.75" customHeight="1"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8"/>
      <c r="AQ884" s="518"/>
      <c r="AR884" s="518"/>
      <c r="AS884" s="518"/>
      <c r="AT884" s="518"/>
    </row>
    <row r="885" spans="3:46" ht="12.75" customHeight="1"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8"/>
      <c r="AQ885" s="518"/>
      <c r="AR885" s="518"/>
      <c r="AS885" s="518"/>
      <c r="AT885" s="518"/>
    </row>
    <row r="886" spans="3:46" ht="12.75" customHeight="1"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8"/>
      <c r="AQ886" s="518"/>
      <c r="AR886" s="518"/>
      <c r="AS886" s="518"/>
      <c r="AT886" s="518"/>
    </row>
    <row r="887" spans="3:46" ht="12.75" customHeight="1"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8"/>
      <c r="AQ887" s="518"/>
      <c r="AR887" s="518"/>
      <c r="AS887" s="518"/>
      <c r="AT887" s="518"/>
    </row>
    <row r="888" spans="3:46" ht="12.75" customHeight="1"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8"/>
      <c r="AQ888" s="518"/>
      <c r="AR888" s="518"/>
      <c r="AS888" s="518"/>
      <c r="AT888" s="518"/>
    </row>
    <row r="889" spans="3:46" ht="12.75" customHeight="1"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8"/>
      <c r="AQ889" s="518"/>
      <c r="AR889" s="518"/>
      <c r="AS889" s="518"/>
      <c r="AT889" s="518"/>
    </row>
    <row r="890" spans="3:46" ht="12.75" customHeight="1"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8"/>
      <c r="AQ890" s="518"/>
      <c r="AR890" s="518"/>
      <c r="AS890" s="518"/>
      <c r="AT890" s="518"/>
    </row>
    <row r="891" spans="3:46" ht="12.75" customHeight="1"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8"/>
      <c r="AQ891" s="518"/>
      <c r="AR891" s="518"/>
      <c r="AS891" s="518"/>
      <c r="AT891" s="518"/>
    </row>
    <row r="892" spans="3:46" ht="12.75" customHeight="1"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8"/>
      <c r="AQ892" s="518"/>
      <c r="AR892" s="518"/>
      <c r="AS892" s="518"/>
      <c r="AT892" s="518"/>
    </row>
    <row r="893" spans="3:46" ht="12.75" customHeight="1"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8"/>
      <c r="AQ893" s="518"/>
      <c r="AR893" s="518"/>
      <c r="AS893" s="518"/>
      <c r="AT893" s="518"/>
    </row>
    <row r="894" spans="3:46" ht="12.75" customHeight="1"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8"/>
      <c r="AQ894" s="518"/>
      <c r="AR894" s="518"/>
      <c r="AS894" s="518"/>
      <c r="AT894" s="518"/>
    </row>
    <row r="895" spans="3:46" ht="12.75" customHeight="1"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8"/>
      <c r="AQ895" s="518"/>
      <c r="AR895" s="518"/>
      <c r="AS895" s="518"/>
      <c r="AT895" s="518"/>
    </row>
    <row r="896" spans="3:46" ht="12.75" customHeight="1"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8"/>
      <c r="AQ896" s="518"/>
      <c r="AR896" s="518"/>
      <c r="AS896" s="518"/>
      <c r="AT896" s="518"/>
    </row>
    <row r="897" spans="3:46" ht="12.75" customHeight="1"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8"/>
      <c r="AQ897" s="518"/>
      <c r="AR897" s="518"/>
      <c r="AS897" s="518"/>
      <c r="AT897" s="518"/>
    </row>
    <row r="898" spans="3:46" ht="12.75" customHeight="1"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8"/>
      <c r="AQ898" s="518"/>
      <c r="AR898" s="518"/>
      <c r="AS898" s="518"/>
      <c r="AT898" s="518"/>
    </row>
    <row r="899" spans="3:46" ht="12.75" customHeight="1"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8"/>
      <c r="AQ899" s="518"/>
      <c r="AR899" s="518"/>
      <c r="AS899" s="518"/>
      <c r="AT899" s="518"/>
    </row>
    <row r="900" spans="3:46" ht="12.75" customHeight="1"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8"/>
      <c r="AQ900" s="518"/>
      <c r="AR900" s="518"/>
      <c r="AS900" s="518"/>
      <c r="AT900" s="518"/>
    </row>
    <row r="901" spans="3:46" ht="12.75" customHeight="1"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8"/>
      <c r="AQ901" s="518"/>
      <c r="AR901" s="518"/>
      <c r="AS901" s="518"/>
      <c r="AT901" s="518"/>
    </row>
    <row r="902" spans="3:46" ht="12.75" customHeight="1"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8"/>
      <c r="AQ902" s="518"/>
      <c r="AR902" s="518"/>
      <c r="AS902" s="518"/>
      <c r="AT902" s="518"/>
    </row>
    <row r="903" spans="3:46" ht="12.75" customHeight="1"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8"/>
      <c r="AQ903" s="518"/>
      <c r="AR903" s="518"/>
      <c r="AS903" s="518"/>
      <c r="AT903" s="518"/>
    </row>
    <row r="904" spans="3:46" ht="12.75" customHeight="1"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8"/>
      <c r="AQ904" s="518"/>
      <c r="AR904" s="518"/>
      <c r="AS904" s="518"/>
      <c r="AT904" s="518"/>
    </row>
    <row r="905" spans="3:46" ht="12.75" customHeight="1"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8"/>
      <c r="AQ905" s="518"/>
      <c r="AR905" s="518"/>
      <c r="AS905" s="518"/>
      <c r="AT905" s="518"/>
    </row>
    <row r="906" spans="3:46" ht="12.75" customHeight="1"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8"/>
      <c r="AQ906" s="518"/>
      <c r="AR906" s="518"/>
      <c r="AS906" s="518"/>
      <c r="AT906" s="518"/>
    </row>
    <row r="907" spans="3:46" ht="12.75" customHeight="1"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8"/>
      <c r="AQ907" s="518"/>
      <c r="AR907" s="518"/>
      <c r="AS907" s="518"/>
      <c r="AT907" s="518"/>
    </row>
    <row r="908" spans="3:46" ht="12.75" customHeight="1"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8"/>
      <c r="AQ908" s="518"/>
      <c r="AR908" s="518"/>
      <c r="AS908" s="518"/>
      <c r="AT908" s="518"/>
    </row>
    <row r="909" spans="3:46" ht="12.75" customHeight="1"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8"/>
      <c r="AQ909" s="518"/>
      <c r="AR909" s="518"/>
      <c r="AS909" s="518"/>
      <c r="AT909" s="518"/>
    </row>
    <row r="910" spans="3:46" ht="12.75" customHeight="1"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8"/>
      <c r="AQ910" s="518"/>
      <c r="AR910" s="518"/>
      <c r="AS910" s="518"/>
      <c r="AT910" s="518"/>
    </row>
    <row r="911" spans="3:46" ht="12.75" customHeight="1"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8"/>
      <c r="AQ911" s="518"/>
      <c r="AR911" s="518"/>
      <c r="AS911" s="518"/>
      <c r="AT911" s="518"/>
    </row>
    <row r="912" spans="3:46" ht="12.75" customHeight="1"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8"/>
      <c r="AQ912" s="518"/>
      <c r="AR912" s="518"/>
      <c r="AS912" s="518"/>
      <c r="AT912" s="518"/>
    </row>
    <row r="913" spans="3:46" ht="12.75" customHeight="1"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8"/>
      <c r="AQ913" s="518"/>
      <c r="AR913" s="518"/>
      <c r="AS913" s="518"/>
      <c r="AT913" s="518"/>
    </row>
    <row r="914" spans="3:46" ht="12.75" customHeight="1"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8"/>
      <c r="AQ914" s="518"/>
      <c r="AR914" s="518"/>
      <c r="AS914" s="518"/>
      <c r="AT914" s="518"/>
    </row>
    <row r="915" spans="3:46" ht="12.75" customHeight="1"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8"/>
      <c r="AQ915" s="518"/>
      <c r="AR915" s="518"/>
      <c r="AS915" s="518"/>
      <c r="AT915" s="518"/>
    </row>
    <row r="916" spans="3:46" ht="12.75" customHeight="1"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8"/>
      <c r="AQ916" s="518"/>
      <c r="AR916" s="518"/>
      <c r="AS916" s="518"/>
      <c r="AT916" s="518"/>
    </row>
    <row r="917" spans="3:46" ht="12.75" customHeight="1"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8"/>
      <c r="AQ917" s="518"/>
      <c r="AR917" s="518"/>
      <c r="AS917" s="518"/>
      <c r="AT917" s="518"/>
    </row>
    <row r="918" spans="3:46" ht="12.75" customHeight="1"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8"/>
      <c r="AQ918" s="518"/>
      <c r="AR918" s="518"/>
      <c r="AS918" s="518"/>
      <c r="AT918" s="518"/>
    </row>
    <row r="919" spans="3:46" ht="12.75" customHeight="1"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8"/>
      <c r="AQ919" s="518"/>
      <c r="AR919" s="518"/>
      <c r="AS919" s="518"/>
      <c r="AT919" s="518"/>
    </row>
    <row r="920" spans="3:46" ht="12.75" customHeight="1"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8"/>
      <c r="AQ920" s="518"/>
      <c r="AR920" s="518"/>
      <c r="AS920" s="518"/>
      <c r="AT920" s="518"/>
    </row>
    <row r="921" spans="3:46" ht="12.75" customHeight="1"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8"/>
      <c r="AQ921" s="518"/>
      <c r="AR921" s="518"/>
      <c r="AS921" s="518"/>
      <c r="AT921" s="518"/>
    </row>
    <row r="922" spans="3:46" ht="12.75" customHeight="1"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8"/>
      <c r="AQ922" s="518"/>
      <c r="AR922" s="518"/>
      <c r="AS922" s="518"/>
      <c r="AT922" s="518"/>
    </row>
    <row r="923" spans="3:46" ht="12.75" customHeight="1"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8"/>
      <c r="AQ923" s="518"/>
      <c r="AR923" s="518"/>
      <c r="AS923" s="518"/>
      <c r="AT923" s="518"/>
    </row>
    <row r="924" spans="3:46" ht="12.75" customHeight="1"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8"/>
      <c r="AQ924" s="518"/>
      <c r="AR924" s="518"/>
      <c r="AS924" s="518"/>
      <c r="AT924" s="518"/>
    </row>
    <row r="925" spans="3:46" ht="12.75" customHeight="1"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8"/>
      <c r="AQ925" s="518"/>
      <c r="AR925" s="518"/>
      <c r="AS925" s="518"/>
      <c r="AT925" s="518"/>
    </row>
    <row r="926" spans="3:46" ht="12.75" customHeight="1"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8"/>
      <c r="AQ926" s="518"/>
      <c r="AR926" s="518"/>
      <c r="AS926" s="518"/>
      <c r="AT926" s="518"/>
    </row>
    <row r="927" spans="3:46" ht="12.75" customHeight="1"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8"/>
      <c r="AQ927" s="518"/>
      <c r="AR927" s="518"/>
      <c r="AS927" s="518"/>
      <c r="AT927" s="518"/>
    </row>
    <row r="928" spans="3:46" ht="12.75" customHeight="1"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8"/>
      <c r="AQ928" s="518"/>
      <c r="AR928" s="518"/>
      <c r="AS928" s="518"/>
      <c r="AT928" s="518"/>
    </row>
    <row r="929" spans="3:46" ht="12.75" customHeight="1"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8"/>
      <c r="AQ929" s="518"/>
      <c r="AR929" s="518"/>
      <c r="AS929" s="518"/>
      <c r="AT929" s="518"/>
    </row>
    <row r="930" spans="3:46" ht="12.75" customHeight="1"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8"/>
      <c r="AQ930" s="518"/>
      <c r="AR930" s="518"/>
      <c r="AS930" s="518"/>
      <c r="AT930" s="518"/>
    </row>
    <row r="931" spans="3:46" ht="12.75" customHeight="1"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8"/>
      <c r="AQ931" s="518"/>
      <c r="AR931" s="518"/>
      <c r="AS931" s="518"/>
      <c r="AT931" s="518"/>
    </row>
    <row r="932" spans="3:46" ht="12.75" customHeight="1"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8"/>
      <c r="AQ932" s="518"/>
      <c r="AR932" s="518"/>
      <c r="AS932" s="518"/>
      <c r="AT932" s="518"/>
    </row>
    <row r="933" spans="3:46" ht="12.75" customHeight="1"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8"/>
      <c r="AQ933" s="518"/>
      <c r="AR933" s="518"/>
      <c r="AS933" s="518"/>
      <c r="AT933" s="518"/>
    </row>
    <row r="934" spans="3:46" ht="12.75" customHeight="1"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8"/>
      <c r="AQ934" s="518"/>
      <c r="AR934" s="518"/>
      <c r="AS934" s="518"/>
      <c r="AT934" s="518"/>
    </row>
    <row r="935" spans="3:46" ht="12.75" customHeight="1"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8"/>
      <c r="AQ935" s="518"/>
      <c r="AR935" s="518"/>
      <c r="AS935" s="518"/>
      <c r="AT935" s="518"/>
    </row>
    <row r="936" spans="3:46" ht="12.75" customHeight="1"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8"/>
      <c r="AQ936" s="518"/>
      <c r="AR936" s="518"/>
      <c r="AS936" s="518"/>
      <c r="AT936" s="518"/>
    </row>
    <row r="937" spans="3:46" ht="12.75" customHeight="1"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8"/>
      <c r="AQ937" s="518"/>
      <c r="AR937" s="518"/>
      <c r="AS937" s="518"/>
      <c r="AT937" s="518"/>
    </row>
    <row r="938" spans="3:46" ht="12.75" customHeight="1"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8"/>
      <c r="AQ938" s="518"/>
      <c r="AR938" s="518"/>
      <c r="AS938" s="518"/>
      <c r="AT938" s="518"/>
    </row>
    <row r="939" spans="3:46" ht="12.75" customHeight="1"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8"/>
      <c r="AQ939" s="518"/>
      <c r="AR939" s="518"/>
      <c r="AS939" s="518"/>
      <c r="AT939" s="518"/>
    </row>
    <row r="940" spans="3:46" ht="12.75" customHeight="1"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8"/>
      <c r="AQ940" s="518"/>
      <c r="AR940" s="518"/>
      <c r="AS940" s="518"/>
      <c r="AT940" s="518"/>
    </row>
    <row r="941" spans="3:46" ht="12.75" customHeight="1"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8"/>
      <c r="AQ941" s="518"/>
      <c r="AR941" s="518"/>
      <c r="AS941" s="518"/>
      <c r="AT941" s="518"/>
    </row>
    <row r="942" spans="3:46" ht="12.75" customHeight="1"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8"/>
      <c r="AQ942" s="518"/>
      <c r="AR942" s="518"/>
      <c r="AS942" s="518"/>
      <c r="AT942" s="518"/>
    </row>
    <row r="943" spans="3:46" ht="12.75" customHeight="1"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8"/>
      <c r="AQ943" s="518"/>
      <c r="AR943" s="518"/>
      <c r="AS943" s="518"/>
      <c r="AT943" s="518"/>
    </row>
    <row r="944" spans="3:46" ht="12.75" customHeight="1"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8"/>
      <c r="AQ944" s="518"/>
      <c r="AR944" s="518"/>
      <c r="AS944" s="518"/>
      <c r="AT944" s="518"/>
    </row>
    <row r="945" spans="3:46" ht="12.75" customHeight="1"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8"/>
      <c r="AQ945" s="518"/>
      <c r="AR945" s="518"/>
      <c r="AS945" s="518"/>
      <c r="AT945" s="518"/>
    </row>
    <row r="946" spans="3:46" ht="12.75" customHeight="1"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8"/>
      <c r="AQ946" s="518"/>
      <c r="AR946" s="518"/>
      <c r="AS946" s="518"/>
      <c r="AT946" s="518"/>
    </row>
    <row r="947" spans="3:46" ht="12.75" customHeight="1"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8"/>
      <c r="AQ947" s="518"/>
      <c r="AR947" s="518"/>
      <c r="AS947" s="518"/>
      <c r="AT947" s="518"/>
    </row>
    <row r="948" spans="3:46" ht="12.75" customHeight="1"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8"/>
      <c r="AQ948" s="518"/>
      <c r="AR948" s="518"/>
      <c r="AS948" s="518"/>
      <c r="AT948" s="518"/>
    </row>
    <row r="949" spans="3:46" ht="12.75" customHeight="1"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8"/>
      <c r="AQ949" s="518"/>
      <c r="AR949" s="518"/>
      <c r="AS949" s="518"/>
      <c r="AT949" s="518"/>
    </row>
    <row r="950" spans="3:46" ht="12.75" customHeight="1"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8"/>
      <c r="AQ950" s="518"/>
      <c r="AR950" s="518"/>
      <c r="AS950" s="518"/>
      <c r="AT950" s="518"/>
    </row>
    <row r="951" spans="3:46" ht="12.75" customHeight="1"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8"/>
      <c r="AQ951" s="518"/>
      <c r="AR951" s="518"/>
      <c r="AS951" s="518"/>
      <c r="AT951" s="518"/>
    </row>
    <row r="952" spans="3:46" ht="12.75" customHeight="1"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8"/>
      <c r="AQ952" s="518"/>
      <c r="AR952" s="518"/>
      <c r="AS952" s="518"/>
      <c r="AT952" s="518"/>
    </row>
    <row r="953" spans="3:46" ht="12.75" customHeight="1"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8"/>
      <c r="AQ953" s="518"/>
      <c r="AR953" s="518"/>
      <c r="AS953" s="518"/>
      <c r="AT953" s="518"/>
    </row>
    <row r="954" spans="3:46" ht="12.75" customHeight="1"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8"/>
      <c r="AQ954" s="518"/>
      <c r="AR954" s="518"/>
      <c r="AS954" s="518"/>
      <c r="AT954" s="518"/>
    </row>
    <row r="955" spans="3:46" ht="12.75" customHeight="1"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8"/>
      <c r="AQ955" s="518"/>
      <c r="AR955" s="518"/>
      <c r="AS955" s="518"/>
      <c r="AT955" s="518"/>
    </row>
    <row r="956" spans="3:46" ht="12.75" customHeight="1"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8"/>
      <c r="AQ956" s="518"/>
      <c r="AR956" s="518"/>
      <c r="AS956" s="518"/>
      <c r="AT956" s="518"/>
    </row>
    <row r="957" spans="3:46" ht="12.75" customHeight="1"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8"/>
      <c r="AQ957" s="518"/>
      <c r="AR957" s="518"/>
      <c r="AS957" s="518"/>
      <c r="AT957" s="518"/>
    </row>
    <row r="958" spans="3:46" ht="12.75" customHeight="1"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8"/>
      <c r="AQ958" s="518"/>
      <c r="AR958" s="518"/>
      <c r="AS958" s="518"/>
      <c r="AT958" s="518"/>
    </row>
    <row r="959" spans="3:46" ht="12.75" customHeight="1"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8"/>
      <c r="AQ959" s="518"/>
      <c r="AR959" s="518"/>
      <c r="AS959" s="518"/>
      <c r="AT959" s="518"/>
    </row>
    <row r="960" spans="3:46" ht="12.75" customHeight="1"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8"/>
      <c r="AQ960" s="518"/>
      <c r="AR960" s="518"/>
      <c r="AS960" s="518"/>
      <c r="AT960" s="518"/>
    </row>
    <row r="961" spans="3:46" ht="12.75" customHeight="1"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8"/>
      <c r="AQ961" s="518"/>
      <c r="AR961" s="518"/>
      <c r="AS961" s="518"/>
      <c r="AT961" s="518"/>
    </row>
    <row r="962" spans="3:46" ht="12.75" customHeight="1"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8"/>
      <c r="AQ962" s="518"/>
      <c r="AR962" s="518"/>
      <c r="AS962" s="518"/>
      <c r="AT962" s="518"/>
    </row>
    <row r="963" spans="3:46" ht="12.75" customHeight="1"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8"/>
      <c r="AQ963" s="518"/>
      <c r="AR963" s="518"/>
      <c r="AS963" s="518"/>
      <c r="AT963" s="518"/>
    </row>
    <row r="964" spans="3:46" ht="12.75" customHeight="1"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8"/>
      <c r="AQ964" s="518"/>
      <c r="AR964" s="518"/>
      <c r="AS964" s="518"/>
      <c r="AT964" s="518"/>
    </row>
    <row r="965" spans="3:46" ht="12.75" customHeight="1"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8"/>
      <c r="AQ965" s="518"/>
      <c r="AR965" s="518"/>
      <c r="AS965" s="518"/>
      <c r="AT965" s="518"/>
    </row>
    <row r="966" spans="3:46" ht="12.75" customHeight="1"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8"/>
      <c r="AQ966" s="518"/>
      <c r="AR966" s="518"/>
      <c r="AS966" s="518"/>
      <c r="AT966" s="518"/>
    </row>
    <row r="967" spans="3:46" ht="12.75" customHeight="1"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8"/>
      <c r="AQ967" s="518"/>
      <c r="AR967" s="518"/>
      <c r="AS967" s="518"/>
      <c r="AT967" s="518"/>
    </row>
    <row r="968" spans="3:46" ht="12.75" customHeight="1"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8"/>
      <c r="AQ968" s="518"/>
      <c r="AR968" s="518"/>
      <c r="AS968" s="518"/>
      <c r="AT968" s="518"/>
    </row>
    <row r="969" spans="3:46" ht="12.75" customHeight="1"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8"/>
      <c r="AQ969" s="518"/>
      <c r="AR969" s="518"/>
      <c r="AS969" s="518"/>
      <c r="AT969" s="518"/>
    </row>
    <row r="970" spans="3:46" ht="12.75" customHeight="1"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8"/>
      <c r="AQ970" s="518"/>
      <c r="AR970" s="518"/>
      <c r="AS970" s="518"/>
      <c r="AT970" s="518"/>
    </row>
    <row r="971" spans="3:46" ht="12.75" customHeight="1"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8"/>
      <c r="AQ971" s="518"/>
      <c r="AR971" s="518"/>
      <c r="AS971" s="518"/>
      <c r="AT971" s="518"/>
    </row>
    <row r="972" spans="3:46" ht="12.75" customHeight="1"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8"/>
      <c r="AQ972" s="518"/>
      <c r="AR972" s="518"/>
      <c r="AS972" s="518"/>
      <c r="AT972" s="518"/>
    </row>
    <row r="973" spans="3:46" ht="12.75" customHeight="1"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8"/>
      <c r="AQ973" s="518"/>
      <c r="AR973" s="518"/>
      <c r="AS973" s="518"/>
      <c r="AT973" s="518"/>
    </row>
    <row r="974" spans="3:46" ht="12.75" customHeight="1"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8"/>
      <c r="AQ974" s="518"/>
      <c r="AR974" s="518"/>
      <c r="AS974" s="518"/>
      <c r="AT974" s="518"/>
    </row>
    <row r="975" spans="3:46" ht="12.75" customHeight="1"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8"/>
      <c r="AQ975" s="518"/>
      <c r="AR975" s="518"/>
      <c r="AS975" s="518"/>
      <c r="AT975" s="518"/>
    </row>
    <row r="976" spans="3:46" ht="12.75" customHeight="1"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8"/>
      <c r="AQ976" s="518"/>
      <c r="AR976" s="518"/>
      <c r="AS976" s="518"/>
      <c r="AT976" s="518"/>
    </row>
    <row r="977" spans="3:46" ht="12.75" customHeight="1"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8"/>
      <c r="AQ977" s="518"/>
      <c r="AR977" s="518"/>
      <c r="AS977" s="518"/>
      <c r="AT977" s="518"/>
    </row>
    <row r="978" spans="3:46" ht="12.75" customHeight="1"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8"/>
      <c r="AQ978" s="518"/>
      <c r="AR978" s="518"/>
      <c r="AS978" s="518"/>
      <c r="AT978" s="518"/>
    </row>
    <row r="979" spans="3:46" ht="12.75" customHeight="1"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8"/>
      <c r="AQ979" s="518"/>
      <c r="AR979" s="518"/>
      <c r="AS979" s="518"/>
      <c r="AT979" s="518"/>
    </row>
    <row r="980" spans="3:46" ht="12.75" customHeight="1"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8"/>
      <c r="AQ980" s="518"/>
      <c r="AR980" s="518"/>
      <c r="AS980" s="518"/>
      <c r="AT980" s="518"/>
    </row>
    <row r="981" spans="3:46" ht="12.75" customHeight="1"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8"/>
      <c r="AQ981" s="518"/>
      <c r="AR981" s="518"/>
      <c r="AS981" s="518"/>
      <c r="AT981" s="518"/>
    </row>
    <row r="982" spans="3:46" ht="12.75" customHeight="1"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8"/>
      <c r="AQ982" s="518"/>
      <c r="AR982" s="518"/>
      <c r="AS982" s="518"/>
      <c r="AT982" s="518"/>
    </row>
    <row r="983" spans="3:46" ht="12.75" customHeight="1"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8"/>
      <c r="AQ983" s="518"/>
      <c r="AR983" s="518"/>
      <c r="AS983" s="518"/>
      <c r="AT983" s="518"/>
    </row>
    <row r="984" spans="3:46" ht="12.75" customHeight="1"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8"/>
      <c r="AQ984" s="518"/>
      <c r="AR984" s="518"/>
      <c r="AS984" s="518"/>
      <c r="AT984" s="518"/>
    </row>
    <row r="985" spans="3:46" ht="12.75" customHeight="1"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8"/>
      <c r="AQ985" s="518"/>
      <c r="AR985" s="518"/>
      <c r="AS985" s="518"/>
      <c r="AT985" s="518"/>
    </row>
    <row r="986" spans="3:46" ht="12.75" customHeight="1"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8"/>
      <c r="AQ986" s="518"/>
      <c r="AR986" s="518"/>
      <c r="AS986" s="518"/>
      <c r="AT986" s="518"/>
    </row>
    <row r="987" spans="3:46" ht="12.75" customHeight="1"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8"/>
      <c r="AQ987" s="518"/>
      <c r="AR987" s="518"/>
      <c r="AS987" s="518"/>
      <c r="AT987" s="518"/>
    </row>
    <row r="988" spans="3:46" ht="12.75" customHeight="1"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8"/>
      <c r="AQ988" s="518"/>
      <c r="AR988" s="518"/>
      <c r="AS988" s="518"/>
      <c r="AT988" s="518"/>
    </row>
    <row r="989" spans="3:46" ht="12.75" customHeight="1"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8"/>
      <c r="AQ989" s="518"/>
      <c r="AR989" s="518"/>
      <c r="AS989" s="518"/>
      <c r="AT989" s="518"/>
    </row>
    <row r="990" spans="3:46" ht="12.75" customHeight="1"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8"/>
      <c r="AQ990" s="518"/>
      <c r="AR990" s="518"/>
      <c r="AS990" s="518"/>
      <c r="AT990" s="518"/>
    </row>
    <row r="991" spans="3:46" ht="12.75" customHeight="1"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8"/>
      <c r="AQ991" s="518"/>
      <c r="AR991" s="518"/>
      <c r="AS991" s="518"/>
      <c r="AT991" s="518"/>
    </row>
    <row r="992" spans="3:46" ht="12.75" customHeight="1"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8"/>
      <c r="AQ992" s="518"/>
      <c r="AR992" s="518"/>
      <c r="AS992" s="518"/>
      <c r="AT992" s="518"/>
    </row>
    <row r="993" spans="3:46" ht="12.75" customHeight="1"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8"/>
      <c r="AQ993" s="518"/>
      <c r="AR993" s="518"/>
      <c r="AS993" s="518"/>
      <c r="AT993" s="518"/>
    </row>
    <row r="994" spans="3:46" ht="12.75" customHeight="1"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8"/>
      <c r="AQ994" s="518"/>
      <c r="AR994" s="518"/>
      <c r="AS994" s="518"/>
      <c r="AT994" s="518"/>
    </row>
    <row r="995" spans="3:46" ht="12.75" customHeight="1"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8"/>
      <c r="AQ995" s="518"/>
      <c r="AR995" s="518"/>
      <c r="AS995" s="518"/>
      <c r="AT995" s="518"/>
    </row>
    <row r="996" spans="3:46" ht="12.75" customHeight="1"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8"/>
      <c r="AQ996" s="518"/>
      <c r="AR996" s="518"/>
      <c r="AS996" s="518"/>
      <c r="AT996" s="518"/>
    </row>
    <row r="997" spans="3:46" ht="12.75" customHeight="1"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8"/>
      <c r="AQ997" s="518"/>
      <c r="AR997" s="518"/>
      <c r="AS997" s="518"/>
      <c r="AT997" s="518"/>
    </row>
    <row r="998" spans="3:46" ht="12.75" customHeight="1"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8"/>
      <c r="AQ998" s="518"/>
      <c r="AR998" s="518"/>
      <c r="AS998" s="518"/>
      <c r="AT998" s="518"/>
    </row>
    <row r="999" spans="3:46" ht="12.75" customHeight="1"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8"/>
      <c r="AQ999" s="518"/>
      <c r="AR999" s="518"/>
      <c r="AS999" s="518"/>
      <c r="AT999" s="518"/>
    </row>
    <row r="1000" spans="3:46" ht="12.75" customHeight="1"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8"/>
      <c r="AQ1000" s="518"/>
      <c r="AR1000" s="518"/>
      <c r="AS1000" s="518"/>
      <c r="AT1000" s="518"/>
    </row>
    <row r="1001" spans="3:46" ht="12.75" customHeight="1"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8"/>
      <c r="AQ1001" s="518"/>
      <c r="AR1001" s="518"/>
      <c r="AS1001" s="518"/>
      <c r="AT1001" s="518"/>
    </row>
    <row r="1002" spans="3:46" ht="12.75" customHeight="1"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8"/>
      <c r="AQ1002" s="518"/>
      <c r="AR1002" s="518"/>
      <c r="AS1002" s="518"/>
      <c r="AT1002" s="518"/>
    </row>
    <row r="1003" spans="3:46" ht="12.75" customHeight="1"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8"/>
      <c r="AQ1003" s="518"/>
      <c r="AR1003" s="518"/>
      <c r="AS1003" s="518"/>
      <c r="AT1003" s="518"/>
    </row>
    <row r="1004" spans="3:46" ht="12.75" customHeight="1"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8"/>
      <c r="AQ1004" s="518"/>
      <c r="AR1004" s="518"/>
      <c r="AS1004" s="518"/>
      <c r="AT1004" s="518"/>
    </row>
    <row r="1005" spans="3:46" ht="12.75" customHeight="1"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8"/>
      <c r="AQ1005" s="518"/>
      <c r="AR1005" s="518"/>
      <c r="AS1005" s="518"/>
      <c r="AT1005" s="518"/>
    </row>
    <row r="1006" spans="3:46" ht="12.75" customHeight="1"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8"/>
      <c r="AQ1006" s="518"/>
      <c r="AR1006" s="518"/>
      <c r="AS1006" s="518"/>
      <c r="AT1006" s="518"/>
    </row>
    <row r="1007" spans="3:46" ht="12.75" customHeight="1"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8"/>
      <c r="AQ1007" s="518"/>
      <c r="AR1007" s="518"/>
      <c r="AS1007" s="518"/>
      <c r="AT1007" s="518"/>
    </row>
    <row r="1008" spans="3:46" ht="12.75" customHeight="1"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8"/>
      <c r="AQ1008" s="518"/>
      <c r="AR1008" s="518"/>
      <c r="AS1008" s="518"/>
      <c r="AT1008" s="518"/>
    </row>
    <row r="1009" spans="3:46" ht="12.75" customHeight="1"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8"/>
      <c r="AQ1009" s="518"/>
      <c r="AR1009" s="518"/>
      <c r="AS1009" s="518"/>
      <c r="AT1009" s="518"/>
    </row>
    <row r="1010" spans="3:46" ht="12.75" customHeight="1"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8"/>
      <c r="AQ1010" s="518"/>
      <c r="AR1010" s="518"/>
      <c r="AS1010" s="518"/>
      <c r="AT1010" s="518"/>
    </row>
    <row r="1011" spans="3:46" ht="12.75" customHeight="1"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8"/>
      <c r="AQ1011" s="518"/>
      <c r="AR1011" s="518"/>
      <c r="AS1011" s="518"/>
      <c r="AT1011" s="518"/>
    </row>
  </sheetData>
  <mergeCells count="39">
    <mergeCell ref="S4:S5"/>
    <mergeCell ref="E4:E5"/>
    <mergeCell ref="F4:F5"/>
    <mergeCell ref="G4:G5"/>
    <mergeCell ref="I4:I5"/>
    <mergeCell ref="J4:J5"/>
    <mergeCell ref="L4:L5"/>
    <mergeCell ref="H4:H5"/>
    <mergeCell ref="M4:M5"/>
    <mergeCell ref="N4:N5"/>
    <mergeCell ref="O4:O5"/>
    <mergeCell ref="Q4:Q5"/>
    <mergeCell ref="R4:R5"/>
    <mergeCell ref="AD4:AD5"/>
    <mergeCell ref="AE4:AE5"/>
    <mergeCell ref="AF4:AF5"/>
    <mergeCell ref="AG4:AG5"/>
    <mergeCell ref="T4:T5"/>
    <mergeCell ref="U4:U5"/>
    <mergeCell ref="V4:V5"/>
    <mergeCell ref="W4:W5"/>
    <mergeCell ref="X4:X5"/>
    <mergeCell ref="AA4:AA5"/>
    <mergeCell ref="AN4:AN5"/>
    <mergeCell ref="AO4:AO5"/>
    <mergeCell ref="AP4:AP5"/>
    <mergeCell ref="AQ4:AQ5"/>
    <mergeCell ref="K4:K5"/>
    <mergeCell ref="P4:P5"/>
    <mergeCell ref="Y4:Y5"/>
    <mergeCell ref="Z4:Z5"/>
    <mergeCell ref="AH4:AH5"/>
    <mergeCell ref="AI4:AI5"/>
    <mergeCell ref="AJ4:AJ5"/>
    <mergeCell ref="AK4:AK5"/>
    <mergeCell ref="AL4:AL5"/>
    <mergeCell ref="AM4:AM5"/>
    <mergeCell ref="AB4:AB5"/>
    <mergeCell ref="AC4:A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D4E8-BCD1-43EB-99D9-47E3FFF355B4}">
  <sheetPr>
    <tabColor rgb="FFCCFFFF"/>
  </sheetPr>
  <dimension ref="A1:BK1011"/>
  <sheetViews>
    <sheetView showGridLines="0" workbookViewId="0">
      <pane xSplit="2" ySplit="5" topLeftCell="Q12" activePane="bottomRight" state="frozen"/>
      <selection pane="bottomRight" activeCell="V15" sqref="V15"/>
      <selection pane="bottomLeft" activeCell="A6" sqref="A6"/>
      <selection pane="topRight" activeCell="C1" sqref="C1"/>
    </sheetView>
  </sheetViews>
  <sheetFormatPr defaultColWidth="14.42578125" defaultRowHeight="12.95"/>
  <cols>
    <col min="1" max="1" width="35.42578125" style="1424" customWidth="1"/>
    <col min="2" max="2" width="20.5703125" style="1424" bestFit="1" customWidth="1"/>
    <col min="3" max="35" width="15.5703125" style="1424" customWidth="1"/>
    <col min="36" max="36" width="18" style="1424" customWidth="1"/>
    <col min="37" max="55" width="15.5703125" style="1424" customWidth="1"/>
    <col min="56" max="56" width="15.42578125" style="1424" customWidth="1"/>
    <col min="57" max="59" width="15.5703125" style="1424" customWidth="1"/>
    <col min="60" max="60" width="16.42578125" style="1424" customWidth="1"/>
    <col min="61" max="61" width="15.5703125" style="1424" customWidth="1"/>
    <col min="62" max="62" width="28.5703125" style="1424" bestFit="1" customWidth="1"/>
    <col min="63" max="63" width="13.5703125" style="1424" bestFit="1" customWidth="1"/>
    <col min="64" max="16384" width="14.42578125" style="1424"/>
  </cols>
  <sheetData>
    <row r="1" spans="1:63" ht="12.75" customHeight="1">
      <c r="A1" s="551" t="s">
        <v>186</v>
      </c>
      <c r="B1" s="973">
        <f>SUM(C7:W7)</f>
        <v>437269373703</v>
      </c>
      <c r="C1" s="977">
        <f>B1-'BS Konsol-Des 24'!G42</f>
        <v>0</v>
      </c>
      <c r="D1" s="977"/>
      <c r="E1" s="977"/>
      <c r="F1" s="977"/>
      <c r="G1" s="977"/>
      <c r="H1" s="977"/>
      <c r="I1" s="977"/>
      <c r="J1" s="977"/>
      <c r="K1" s="977"/>
      <c r="L1" s="977"/>
      <c r="M1" s="977"/>
      <c r="N1" s="977"/>
      <c r="O1" s="977"/>
      <c r="P1" s="977"/>
      <c r="Q1" s="977"/>
      <c r="R1" s="977"/>
      <c r="S1" s="977"/>
      <c r="T1" s="977"/>
      <c r="U1" s="977"/>
      <c r="V1" s="977"/>
      <c r="W1" s="977"/>
      <c r="X1" s="977"/>
      <c r="Y1" s="977"/>
      <c r="Z1" s="977"/>
      <c r="AA1" s="977"/>
      <c r="AB1" s="977"/>
      <c r="AC1" s="977"/>
      <c r="AD1" s="977"/>
      <c r="AE1" s="977"/>
      <c r="AF1" s="977"/>
      <c r="AG1" s="977"/>
      <c r="AH1" s="977"/>
      <c r="AI1" s="977"/>
      <c r="AJ1" s="977"/>
      <c r="AK1" s="977"/>
      <c r="AL1" s="977"/>
      <c r="AM1" s="977"/>
      <c r="AN1" s="977"/>
      <c r="AO1" s="977"/>
      <c r="AP1" s="977"/>
      <c r="AQ1" s="977"/>
      <c r="AR1" s="977"/>
      <c r="AS1" s="977"/>
      <c r="AT1" s="977"/>
      <c r="AU1" s="977"/>
      <c r="AV1" s="977"/>
      <c r="AW1" s="977"/>
      <c r="AX1" s="977"/>
      <c r="AY1" s="977"/>
      <c r="AZ1" s="977"/>
      <c r="BA1" s="977"/>
      <c r="BB1" s="977"/>
      <c r="BC1" s="977"/>
      <c r="BD1" s="977"/>
      <c r="BE1" s="977"/>
      <c r="BF1" s="977"/>
      <c r="BG1" s="977"/>
      <c r="BH1" s="977"/>
      <c r="BI1" s="551"/>
      <c r="BJ1" s="551"/>
      <c r="BK1" s="551"/>
    </row>
    <row r="2" spans="1:63" ht="12.75" customHeight="1">
      <c r="A2" s="551" t="s">
        <v>187</v>
      </c>
      <c r="B2" s="551">
        <f>SUM(Y7:AL7)</f>
        <v>-258179220659</v>
      </c>
      <c r="C2" s="977">
        <f>B2+'BS Konsol-Des 24'!G82</f>
        <v>0</v>
      </c>
      <c r="D2" s="977"/>
      <c r="E2" s="977"/>
      <c r="F2" s="977"/>
      <c r="G2" s="977"/>
      <c r="H2" s="977"/>
      <c r="I2" s="977"/>
      <c r="J2" s="977"/>
      <c r="K2" s="977"/>
      <c r="L2" s="977"/>
      <c r="M2" s="977"/>
      <c r="N2" s="977"/>
      <c r="O2" s="977"/>
      <c r="P2" s="977"/>
      <c r="Q2" s="977"/>
      <c r="R2" s="977"/>
      <c r="S2" s="977"/>
      <c r="T2" s="977"/>
      <c r="U2" s="977"/>
      <c r="V2" s="977"/>
      <c r="W2" s="977"/>
      <c r="X2" s="977"/>
      <c r="Y2" s="977"/>
      <c r="Z2" s="977"/>
      <c r="AA2" s="977"/>
      <c r="AB2" s="977"/>
      <c r="AC2" s="977"/>
      <c r="AD2" s="977"/>
      <c r="AE2" s="977"/>
      <c r="AF2" s="977"/>
      <c r="AG2" s="977"/>
      <c r="AH2" s="977"/>
      <c r="AI2" s="977"/>
      <c r="AJ2" s="977"/>
      <c r="AK2" s="977"/>
      <c r="AL2" s="977"/>
      <c r="AM2" s="977"/>
      <c r="AN2" s="977"/>
      <c r="AO2" s="977"/>
      <c r="AP2" s="977"/>
      <c r="AQ2" s="977"/>
      <c r="AR2" s="977"/>
      <c r="AS2" s="977"/>
      <c r="AT2" s="977"/>
      <c r="AU2" s="977"/>
      <c r="AV2" s="977"/>
      <c r="AW2" s="977"/>
      <c r="AX2" s="977"/>
      <c r="AY2" s="977"/>
      <c r="AZ2" s="977"/>
      <c r="BA2" s="977"/>
      <c r="BB2" s="977"/>
      <c r="BC2" s="977"/>
      <c r="BD2" s="977"/>
      <c r="BE2" s="977"/>
      <c r="BF2" s="977"/>
      <c r="BG2" s="977"/>
      <c r="BH2" s="977"/>
      <c r="BI2" s="551"/>
      <c r="BJ2" s="551"/>
      <c r="BK2" s="551"/>
    </row>
    <row r="3" spans="1:63" ht="12.75" customHeight="1">
      <c r="A3" s="551" t="s">
        <v>93</v>
      </c>
      <c r="B3" s="551">
        <f>SUM(AM7:BH7)</f>
        <v>-179090153043.76001</v>
      </c>
      <c r="C3" s="977">
        <f>B3+'BS Konsol-Des 24'!G107</f>
        <v>0.239990234375</v>
      </c>
      <c r="D3" s="977"/>
      <c r="E3" s="977"/>
      <c r="F3" s="977"/>
      <c r="G3" s="977"/>
      <c r="H3" s="977"/>
      <c r="I3" s="977"/>
      <c r="J3" s="977"/>
      <c r="K3" s="977"/>
      <c r="L3" s="977"/>
      <c r="M3" s="977"/>
      <c r="N3" s="977"/>
      <c r="O3" s="977"/>
      <c r="P3" s="977"/>
      <c r="Q3" s="977"/>
      <c r="R3" s="977"/>
      <c r="S3" s="977"/>
      <c r="T3" s="977"/>
      <c r="U3" s="977"/>
      <c r="V3" s="977"/>
      <c r="W3" s="977"/>
      <c r="X3" s="977"/>
      <c r="Y3" s="977"/>
      <c r="Z3" s="977"/>
      <c r="AA3" s="977"/>
      <c r="AB3" s="977"/>
      <c r="AC3" s="977"/>
      <c r="AD3" s="977"/>
      <c r="AE3" s="977"/>
      <c r="AF3" s="977"/>
      <c r="AG3" s="977"/>
      <c r="AH3" s="977"/>
      <c r="AI3" s="977"/>
      <c r="AJ3" s="977"/>
      <c r="AK3" s="977"/>
      <c r="AL3" s="977"/>
      <c r="AM3" s="977"/>
      <c r="AN3" s="977"/>
      <c r="AO3" s="977"/>
      <c r="AP3" s="977"/>
      <c r="AQ3" s="977"/>
      <c r="AR3" s="977"/>
      <c r="AS3" s="977"/>
      <c r="AT3" s="977"/>
      <c r="AU3" s="977"/>
      <c r="AV3" s="977"/>
      <c r="AW3" s="977"/>
      <c r="AX3" s="977"/>
      <c r="AY3" s="977"/>
      <c r="AZ3" s="977"/>
      <c r="BA3" s="977"/>
      <c r="BB3" s="977"/>
      <c r="BC3" s="977"/>
      <c r="BD3" s="977"/>
      <c r="BE3" s="977"/>
      <c r="BF3" s="977"/>
      <c r="BG3" s="977"/>
      <c r="BH3" s="977"/>
      <c r="BI3" s="551"/>
      <c r="BJ3" s="551"/>
      <c r="BK3" s="551"/>
    </row>
    <row r="4" spans="1:63" ht="12.75" customHeight="1">
      <c r="A4" s="975"/>
      <c r="B4" s="975"/>
      <c r="C4" s="2441" t="s">
        <v>188</v>
      </c>
      <c r="D4" s="2441" t="s">
        <v>189</v>
      </c>
      <c r="E4" s="2441" t="s">
        <v>190</v>
      </c>
      <c r="F4" s="2441" t="s">
        <v>191</v>
      </c>
      <c r="G4" s="2441" t="s">
        <v>192</v>
      </c>
      <c r="H4" s="1428" t="s">
        <v>193</v>
      </c>
      <c r="I4" s="2441" t="s">
        <v>194</v>
      </c>
      <c r="J4" s="2441" t="s">
        <v>59</v>
      </c>
      <c r="K4" s="2441" t="s">
        <v>195</v>
      </c>
      <c r="L4" s="2441" t="s">
        <v>60</v>
      </c>
      <c r="M4" s="2441" t="s">
        <v>196</v>
      </c>
      <c r="N4" s="1428" t="s">
        <v>197</v>
      </c>
      <c r="O4" s="2440" t="s">
        <v>198</v>
      </c>
      <c r="P4" s="2440" t="s">
        <v>199</v>
      </c>
      <c r="Q4" s="2440" t="s">
        <v>200</v>
      </c>
      <c r="R4" s="2441" t="s">
        <v>201</v>
      </c>
      <c r="S4" s="2441" t="s">
        <v>202</v>
      </c>
      <c r="T4" s="2441" t="s">
        <v>203</v>
      </c>
      <c r="U4" s="2441" t="s">
        <v>204</v>
      </c>
      <c r="V4" s="2441" t="s">
        <v>584</v>
      </c>
      <c r="W4" s="2441" t="s">
        <v>68</v>
      </c>
      <c r="X4" s="2441" t="s">
        <v>205</v>
      </c>
      <c r="Y4" s="2442" t="s">
        <v>206</v>
      </c>
      <c r="Z4" s="2441" t="s">
        <v>207</v>
      </c>
      <c r="AA4" s="2441" t="s">
        <v>208</v>
      </c>
      <c r="AB4" s="2441" t="s">
        <v>209</v>
      </c>
      <c r="AC4" s="2441" t="s">
        <v>210</v>
      </c>
      <c r="AD4" s="2441" t="s">
        <v>211</v>
      </c>
      <c r="AE4" s="2441" t="s">
        <v>212</v>
      </c>
      <c r="AF4" s="2441" t="s">
        <v>213</v>
      </c>
      <c r="AG4" s="2441" t="s">
        <v>214</v>
      </c>
      <c r="AH4" s="2441" t="s">
        <v>215</v>
      </c>
      <c r="AI4" s="2441" t="s">
        <v>216</v>
      </c>
      <c r="AJ4" s="2441" t="s">
        <v>217</v>
      </c>
      <c r="AK4" s="2441" t="s">
        <v>218</v>
      </c>
      <c r="AL4" s="2441" t="s">
        <v>219</v>
      </c>
      <c r="AM4" s="2443" t="s">
        <v>94</v>
      </c>
      <c r="AN4" s="2443" t="s">
        <v>95</v>
      </c>
      <c r="AO4" s="2445" t="s">
        <v>1530</v>
      </c>
      <c r="AP4" s="2445" t="s">
        <v>831</v>
      </c>
      <c r="AQ4" s="2445" t="s">
        <v>1531</v>
      </c>
      <c r="AR4" s="2443" t="s">
        <v>220</v>
      </c>
      <c r="AS4" s="2443" t="s">
        <v>221</v>
      </c>
      <c r="AT4" s="2446" t="s">
        <v>222</v>
      </c>
      <c r="AU4" s="2448" t="s">
        <v>223</v>
      </c>
      <c r="AV4" s="2450" t="s">
        <v>224</v>
      </c>
      <c r="AW4" s="2452" t="s">
        <v>96</v>
      </c>
      <c r="AX4" s="2453" t="s">
        <v>98</v>
      </c>
      <c r="AY4" s="2441" t="s">
        <v>163</v>
      </c>
      <c r="AZ4" s="2444" t="s">
        <v>225</v>
      </c>
      <c r="BA4" s="2444" t="s">
        <v>115</v>
      </c>
      <c r="BB4" s="2444" t="s">
        <v>226</v>
      </c>
      <c r="BC4" s="2455" t="s">
        <v>227</v>
      </c>
      <c r="BD4" s="2456" t="s">
        <v>228</v>
      </c>
      <c r="BE4" s="2458" t="s">
        <v>1039</v>
      </c>
      <c r="BF4" s="2458" t="s">
        <v>1195</v>
      </c>
      <c r="BG4" s="2459" t="s">
        <v>230</v>
      </c>
      <c r="BH4" s="2454" t="s">
        <v>231</v>
      </c>
      <c r="BI4" s="977"/>
      <c r="BJ4" s="551"/>
      <c r="BK4" s="551"/>
    </row>
    <row r="5" spans="1:63" ht="27.75" customHeight="1">
      <c r="A5" s="978"/>
      <c r="B5" s="978"/>
      <c r="C5" s="2500"/>
      <c r="D5" s="2500"/>
      <c r="E5" s="2500"/>
      <c r="F5" s="2500"/>
      <c r="G5" s="2500"/>
      <c r="H5" s="1428" t="s">
        <v>87</v>
      </c>
      <c r="I5" s="2500"/>
      <c r="J5" s="2500"/>
      <c r="K5" s="2441"/>
      <c r="L5" s="2441"/>
      <c r="M5" s="2441"/>
      <c r="N5" s="1428" t="s">
        <v>232</v>
      </c>
      <c r="O5" s="2500"/>
      <c r="P5" s="2500"/>
      <c r="Q5" s="2500"/>
      <c r="R5" s="2500"/>
      <c r="S5" s="2500"/>
      <c r="T5" s="2500"/>
      <c r="U5" s="2500"/>
      <c r="V5" s="2500"/>
      <c r="W5" s="2500"/>
      <c r="X5" s="2441"/>
      <c r="Y5" s="2442"/>
      <c r="Z5" s="2441"/>
      <c r="AA5" s="2500"/>
      <c r="AB5" s="2500"/>
      <c r="AC5" s="2500"/>
      <c r="AD5" s="2500"/>
      <c r="AE5" s="2500"/>
      <c r="AF5" s="2500"/>
      <c r="AG5" s="2500"/>
      <c r="AH5" s="2500"/>
      <c r="AI5" s="2500"/>
      <c r="AJ5" s="2500"/>
      <c r="AK5" s="2500"/>
      <c r="AL5" s="2500"/>
      <c r="AM5" s="2500"/>
      <c r="AN5" s="2500"/>
      <c r="AO5" s="2501"/>
      <c r="AP5" s="2501"/>
      <c r="AQ5" s="2501"/>
      <c r="AR5" s="2500"/>
      <c r="AS5" s="2500"/>
      <c r="AT5" s="2447"/>
      <c r="AU5" s="2449"/>
      <c r="AV5" s="2451"/>
      <c r="AW5" s="2502"/>
      <c r="AX5" s="2500"/>
      <c r="AY5" s="2500"/>
      <c r="AZ5" s="2500"/>
      <c r="BA5" s="2500"/>
      <c r="BB5" s="2500"/>
      <c r="BC5" s="2500"/>
      <c r="BD5" s="2457"/>
      <c r="BE5" s="2503"/>
      <c r="BF5" s="2503" t="s">
        <v>1195</v>
      </c>
      <c r="BG5" s="2500"/>
      <c r="BH5" s="2500"/>
      <c r="BI5" s="551"/>
      <c r="BJ5" s="551"/>
      <c r="BK5" s="551"/>
    </row>
    <row r="6" spans="1:63" ht="12.75" customHeight="1">
      <c r="A6" s="978"/>
      <c r="B6" s="979"/>
      <c r="C6" s="1429"/>
      <c r="D6" s="1430"/>
      <c r="E6" s="1430"/>
      <c r="F6" s="1430"/>
      <c r="G6" s="1430"/>
      <c r="H6" s="1430"/>
      <c r="I6" s="1430"/>
      <c r="J6" s="1430"/>
      <c r="K6" s="1430"/>
      <c r="L6" s="1430"/>
      <c r="M6" s="1430"/>
      <c r="N6" s="1430"/>
      <c r="O6" s="1430"/>
      <c r="P6" s="1430"/>
      <c r="Q6" s="1430"/>
      <c r="R6" s="1430"/>
      <c r="S6" s="1430"/>
      <c r="T6" s="1430"/>
      <c r="U6" s="1430"/>
      <c r="V6" s="1430"/>
      <c r="W6" s="1430"/>
      <c r="X6" s="1430"/>
      <c r="Y6" s="1430"/>
      <c r="Z6" s="1430"/>
      <c r="AA6" s="1430"/>
      <c r="AB6" s="1430"/>
      <c r="AC6" s="1430"/>
      <c r="AD6" s="1430"/>
      <c r="AE6" s="1430"/>
      <c r="AF6" s="1430"/>
      <c r="AG6" s="1430"/>
      <c r="AH6" s="1430"/>
      <c r="AI6" s="1430"/>
      <c r="AJ6" s="1430"/>
      <c r="AK6" s="1430"/>
      <c r="AL6" s="1430"/>
      <c r="AM6" s="1430"/>
      <c r="AN6" s="1430"/>
      <c r="AO6" s="1430"/>
      <c r="AP6" s="1430"/>
      <c r="AQ6" s="1430"/>
      <c r="AR6" s="1430"/>
      <c r="AS6" s="1430"/>
      <c r="AT6" s="1430"/>
      <c r="AU6" s="1431"/>
      <c r="AV6" s="1431"/>
      <c r="AW6" s="1430"/>
      <c r="AX6" s="1430"/>
      <c r="AY6" s="1430"/>
      <c r="AZ6" s="1430"/>
      <c r="BA6" s="1430"/>
      <c r="BB6" s="1430"/>
      <c r="BC6" s="1430"/>
      <c r="BD6" s="1430"/>
      <c r="BE6" s="1430"/>
      <c r="BF6" s="1430"/>
      <c r="BG6" s="1430"/>
      <c r="BH6" s="1430"/>
      <c r="BI6" s="551"/>
      <c r="BJ6" s="551"/>
      <c r="BK6" s="551"/>
    </row>
    <row r="7" spans="1:63" ht="12.75" customHeight="1">
      <c r="A7" s="978"/>
      <c r="B7" s="1034">
        <v>45657</v>
      </c>
      <c r="C7" s="1432">
        <f>'BS Konsol-Des 24'!G11</f>
        <v>918209485</v>
      </c>
      <c r="D7" s="1432">
        <f>'BS Konsol-Des 24'!G14</f>
        <v>94399254849</v>
      </c>
      <c r="E7" s="1432">
        <f>'BS Konsol-Des 24'!G13</f>
        <v>393935430</v>
      </c>
      <c r="F7" s="1432"/>
      <c r="G7" s="1432"/>
      <c r="H7" s="1432">
        <f>'BS Konsol-Des 24'!G28</f>
        <v>0</v>
      </c>
      <c r="I7" s="1432">
        <f>'BS Konsol-Des 24'!G15</f>
        <v>697232257</v>
      </c>
      <c r="J7" s="1432">
        <f>'BS Konsol-Des 24'!G16</f>
        <v>217742151701</v>
      </c>
      <c r="K7" s="1432">
        <f>'BS Konsol-Des 24'!G20</f>
        <v>33893674735</v>
      </c>
      <c r="L7" s="1432">
        <f>'BS Konsol-Des 24'!G17</f>
        <v>913803984</v>
      </c>
      <c r="M7" s="1432">
        <f>'BS Konsol-Des 24'!G18</f>
        <v>9035601705</v>
      </c>
      <c r="N7" s="1432">
        <v>0</v>
      </c>
      <c r="O7" s="1432"/>
      <c r="P7" s="1432"/>
      <c r="Q7" s="1432"/>
      <c r="R7" s="1432">
        <f>'BS Konsol-Des 24'!G29</f>
        <v>66637513685</v>
      </c>
      <c r="S7" s="1432"/>
      <c r="T7" s="1432"/>
      <c r="U7" s="1432">
        <f>'BS Konsol-Des 24'!G33</f>
        <v>7556618094</v>
      </c>
      <c r="V7" s="1432">
        <f>'BS Konsol-Des 24'!G21</f>
        <v>3232400000</v>
      </c>
      <c r="W7" s="1432">
        <f>'BS Konsol-Des 24'!G37</f>
        <v>1848977778</v>
      </c>
      <c r="X7" s="1432"/>
      <c r="Y7" s="1432">
        <f>-'BS Konsol-Des 24'!G55</f>
        <v>-231271837921</v>
      </c>
      <c r="Z7" s="1432">
        <f>-'BS Konsol-Des 24'!G64</f>
        <v>0</v>
      </c>
      <c r="AA7" s="1432">
        <v>0</v>
      </c>
      <c r="AB7" s="1433">
        <f>-'BS Konsol-Des 24'!G52</f>
        <v>-10364486466</v>
      </c>
      <c r="AC7" s="1432"/>
      <c r="AD7" s="1432">
        <f>-'BS Konsol-Des 24'!G56</f>
        <v>-4970839301</v>
      </c>
      <c r="AE7" s="1432">
        <v>0</v>
      </c>
      <c r="AF7" s="1434">
        <f>-'BS Konsol-Des 24'!G71</f>
        <v>0</v>
      </c>
      <c r="AG7" s="1435">
        <v>0</v>
      </c>
      <c r="AH7" s="1435">
        <v>0</v>
      </c>
      <c r="AI7" s="1435">
        <v>0</v>
      </c>
      <c r="AJ7" s="1432">
        <f>-'BS Konsol-Des 24'!G57</f>
        <v>-1467515499</v>
      </c>
      <c r="AK7" s="1435">
        <f>-'BS Konsol-Des 24'!G61</f>
        <v>0</v>
      </c>
      <c r="AL7" s="1432">
        <f>-'BS Konsol-Des 24'!G76</f>
        <v>-10104541472</v>
      </c>
      <c r="AM7" s="1436">
        <f>-'BS Konsol-Des 24'!G98+'WS Konsol'!M509</f>
        <v>-55000000000</v>
      </c>
      <c r="AN7" s="1436">
        <f>-'WS Konsol'!M512</f>
        <v>-49739416785</v>
      </c>
      <c r="AO7" s="1436">
        <f>-'WS Konsol'!M509</f>
        <v>-14500000000</v>
      </c>
      <c r="AP7" s="1436">
        <f>-'WS Konsol'!M510</f>
        <v>-58000000000</v>
      </c>
      <c r="AQ7" s="1436">
        <f>-'WS Konsol'!M511</f>
        <v>3115944915</v>
      </c>
      <c r="AR7" s="1436">
        <v>0</v>
      </c>
      <c r="AS7" s="1980">
        <f>-'BS Konsol-Des 24'!G102</f>
        <v>313784867</v>
      </c>
      <c r="AT7" s="1443"/>
      <c r="AU7" s="1443">
        <f>-'BS Konsol-Des 24'!G104</f>
        <v>-410000000</v>
      </c>
      <c r="AV7" s="977">
        <v>15000000000</v>
      </c>
      <c r="AW7" s="1435">
        <v>0</v>
      </c>
      <c r="AX7" s="1437">
        <f>AX8</f>
        <v>-19521729837</v>
      </c>
      <c r="AY7" s="1436">
        <f>-'PL Konsol'!M11</f>
        <v>-322560213288.07001</v>
      </c>
      <c r="AZ7" s="1436">
        <f>-'PL Konsol'!M12</f>
        <v>246934738866.31</v>
      </c>
      <c r="BA7" s="1436">
        <f>-'PL Konsol'!M16</f>
        <v>16258997299</v>
      </c>
      <c r="BB7" s="1436">
        <f>-'PL Konsol'!M17</f>
        <v>36246687170</v>
      </c>
      <c r="BC7" s="1436">
        <f>-'PL Konsol'!M18</f>
        <v>2610994654</v>
      </c>
      <c r="BD7" s="1436">
        <f>-'PL Konsol'!M19</f>
        <v>18184572249</v>
      </c>
      <c r="BE7" s="1436">
        <f>-'PL Konsol'!M25</f>
        <v>2052132941</v>
      </c>
      <c r="BF7" s="1436">
        <f>-'PL Konsol'!M26</f>
        <v>-76646095</v>
      </c>
      <c r="BG7" s="1436"/>
      <c r="BH7" s="1438"/>
      <c r="BI7" s="551">
        <f>SUM(C7:BH7)</f>
        <v>0.239990234375</v>
      </c>
      <c r="BJ7" s="989">
        <f>BI7/2</f>
        <v>0.1199951171875</v>
      </c>
      <c r="BK7" s="551">
        <f>BJ7/2</f>
        <v>5.999755859375E-2</v>
      </c>
    </row>
    <row r="8" spans="1:63" ht="12.75" customHeight="1">
      <c r="A8" s="978"/>
      <c r="B8" s="1034">
        <v>45291</v>
      </c>
      <c r="C8" s="1439">
        <f>'BS Konsol-Des 24'!Q11</f>
        <v>2570121355</v>
      </c>
      <c r="D8" s="1439">
        <f>'BS Konsol-Des 24'!Q14</f>
        <v>19981020112</v>
      </c>
      <c r="E8" s="1439">
        <f>'BS Konsol-Des 24'!Q13</f>
        <v>211054410</v>
      </c>
      <c r="F8" s="1439"/>
      <c r="G8" s="1439"/>
      <c r="H8" s="1439">
        <f>'BS Konsol-Des 24'!Q28</f>
        <v>7022707423</v>
      </c>
      <c r="I8" s="1439">
        <f>'BS Konsol-Des 24'!Q15</f>
        <v>510634104</v>
      </c>
      <c r="J8" s="1440">
        <f>'BS Konsol-Des 24'!Q16</f>
        <v>218071396362</v>
      </c>
      <c r="K8" s="1439">
        <f>'BS Konsol-Des 24'!Q20</f>
        <v>1104447053</v>
      </c>
      <c r="L8" s="1439">
        <f>'BS Konsol-Des 24'!Q17</f>
        <v>2415719386</v>
      </c>
      <c r="M8" s="1439">
        <f>'BS Konsol-Des 24'!Q18</f>
        <v>9663458887</v>
      </c>
      <c r="N8" s="1439">
        <v>0</v>
      </c>
      <c r="O8" s="1439"/>
      <c r="P8" s="1439"/>
      <c r="Q8" s="1439"/>
      <c r="R8" s="1439">
        <f>'BS Konsol-Des 24'!Q29</f>
        <v>74113104582</v>
      </c>
      <c r="S8" s="1439"/>
      <c r="T8" s="1439"/>
      <c r="U8" s="1439">
        <f>'BS Konsol-Des 24'!Q33</f>
        <v>7871477182</v>
      </c>
      <c r="V8" s="1439"/>
      <c r="W8" s="1439">
        <f>'BS Konsol-Des 24'!Q37</f>
        <v>1790182140</v>
      </c>
      <c r="X8" s="1439"/>
      <c r="Y8" s="1439">
        <f>-'BS Konsol-Des 24'!Q55</f>
        <v>-195441714689</v>
      </c>
      <c r="Z8" s="1439">
        <f>-'BS Konsol-Des 24'!Q64</f>
        <v>-3807894064</v>
      </c>
      <c r="AA8" s="1439">
        <v>0</v>
      </c>
      <c r="AB8" s="1441">
        <f>-'BS Konsol-Des 24'!Q52</f>
        <v>-20407901137</v>
      </c>
      <c r="AC8" s="1439"/>
      <c r="AD8" s="1439">
        <f>-'BS Konsol-Des 24'!Q56</f>
        <v>-2870843989</v>
      </c>
      <c r="AE8" s="1439">
        <f>-'BS Konsol-Des 24'!Q72</f>
        <v>-41000000</v>
      </c>
      <c r="AF8" s="1442">
        <f>-'BS Konsol-Des 24'!Q71</f>
        <v>-595676695</v>
      </c>
      <c r="AG8" s="1439">
        <f>-'BS Konsol-Des 24'!Q63</f>
        <v>-624277457</v>
      </c>
      <c r="AH8" s="1439">
        <v>0</v>
      </c>
      <c r="AI8" s="1439">
        <v>0</v>
      </c>
      <c r="AJ8" s="1439">
        <f>-'BS Konsol-Des 24'!Q57</f>
        <v>-2863697915</v>
      </c>
      <c r="AK8" s="1439">
        <f>-'BS Konsol-Des 24'!Q61</f>
        <v>-76360023</v>
      </c>
      <c r="AL8" s="1439">
        <f>-'BS Konsol-Des 24'!Q76</f>
        <v>-9301883257</v>
      </c>
      <c r="AM8" s="1443">
        <f>-'BS Konsol-Des 24'!Q98</f>
        <v>-40000000000</v>
      </c>
      <c r="AN8" s="1443">
        <f>-'BS Konsol-Des 24'!Q99</f>
        <v>-49739416785</v>
      </c>
      <c r="AO8" s="1443">
        <v>0</v>
      </c>
      <c r="AP8" s="1443">
        <v>0</v>
      </c>
      <c r="AQ8" s="1443"/>
      <c r="AR8" s="1443">
        <v>0</v>
      </c>
      <c r="AS8" s="1443">
        <f>-'BS Konsol-Des 24'!Q102</f>
        <v>377072852</v>
      </c>
      <c r="AT8" s="1443">
        <f>-6464981.73071289</f>
        <v>-6464981.7307128897</v>
      </c>
      <c r="AU8" s="1443">
        <f>-('BS Konsol-Des 24'!Q104+'KK CF Des 24'!AT8)</f>
        <v>-403535018.26928711</v>
      </c>
      <c r="AV8" s="1443"/>
      <c r="AW8" s="1439">
        <v>0</v>
      </c>
      <c r="AX8" s="1439">
        <f>-'BS Konsol-Des 24'!Q105</f>
        <v>-19521729837</v>
      </c>
      <c r="AY8" s="1443"/>
      <c r="AZ8" s="1443"/>
      <c r="BA8" s="1443"/>
      <c r="BB8" s="1443"/>
      <c r="BC8" s="1443"/>
      <c r="BD8" s="1443"/>
      <c r="BE8" s="1443"/>
      <c r="BF8" s="1443"/>
      <c r="BG8" s="1443"/>
      <c r="BH8" s="1443"/>
      <c r="BI8" s="551">
        <f>SUM(C8:BH8)</f>
        <v>0</v>
      </c>
      <c r="BJ8" s="995"/>
      <c r="BK8" s="551"/>
    </row>
    <row r="9" spans="1:63" ht="12.75" customHeight="1">
      <c r="A9" s="978"/>
      <c r="B9" s="979" t="s">
        <v>233</v>
      </c>
      <c r="C9" s="1444">
        <f t="shared" ref="C9:N9" si="0">C7-C8</f>
        <v>-1651911870</v>
      </c>
      <c r="D9" s="1444">
        <f t="shared" si="0"/>
        <v>74418234737</v>
      </c>
      <c r="E9" s="1444">
        <f t="shared" si="0"/>
        <v>182881020</v>
      </c>
      <c r="F9" s="1444">
        <f t="shared" si="0"/>
        <v>0</v>
      </c>
      <c r="G9" s="1444">
        <f t="shared" si="0"/>
        <v>0</v>
      </c>
      <c r="H9" s="1444">
        <f t="shared" si="0"/>
        <v>-7022707423</v>
      </c>
      <c r="I9" s="1444">
        <f t="shared" si="0"/>
        <v>186598153</v>
      </c>
      <c r="J9" s="1444">
        <f t="shared" si="0"/>
        <v>-329244661</v>
      </c>
      <c r="K9" s="1444">
        <f t="shared" si="0"/>
        <v>32789227682</v>
      </c>
      <c r="L9" s="1444">
        <f t="shared" si="0"/>
        <v>-1501915402</v>
      </c>
      <c r="M9" s="1444">
        <f t="shared" si="0"/>
        <v>-627857182</v>
      </c>
      <c r="N9" s="1444">
        <f t="shared" si="0"/>
        <v>0</v>
      </c>
      <c r="O9" s="1444"/>
      <c r="P9" s="1444">
        <f t="shared" ref="P9:BH9" si="1">P7-P8</f>
        <v>0</v>
      </c>
      <c r="Q9" s="1444">
        <f t="shared" si="1"/>
        <v>0</v>
      </c>
      <c r="R9" s="1444">
        <f t="shared" si="1"/>
        <v>-7475590897</v>
      </c>
      <c r="S9" s="1444">
        <f t="shared" si="1"/>
        <v>0</v>
      </c>
      <c r="T9" s="1444">
        <f t="shared" si="1"/>
        <v>0</v>
      </c>
      <c r="U9" s="1444">
        <f t="shared" si="1"/>
        <v>-314859088</v>
      </c>
      <c r="V9" s="1444">
        <f t="shared" si="1"/>
        <v>3232400000</v>
      </c>
      <c r="W9" s="1444">
        <f t="shared" si="1"/>
        <v>58795638</v>
      </c>
      <c r="X9" s="1444">
        <f t="shared" si="1"/>
        <v>0</v>
      </c>
      <c r="Y9" s="1444">
        <f t="shared" si="1"/>
        <v>-35830123232</v>
      </c>
      <c r="Z9" s="1444">
        <f t="shared" si="1"/>
        <v>3807894064</v>
      </c>
      <c r="AA9" s="1444">
        <f t="shared" si="1"/>
        <v>0</v>
      </c>
      <c r="AB9" s="1444">
        <f t="shared" si="1"/>
        <v>10043414671</v>
      </c>
      <c r="AC9" s="1444">
        <f t="shared" si="1"/>
        <v>0</v>
      </c>
      <c r="AD9" s="1444">
        <f t="shared" si="1"/>
        <v>-2099995312</v>
      </c>
      <c r="AE9" s="1444">
        <f t="shared" si="1"/>
        <v>41000000</v>
      </c>
      <c r="AF9" s="1444">
        <f t="shared" si="1"/>
        <v>595676695</v>
      </c>
      <c r="AG9" s="1444">
        <f t="shared" si="1"/>
        <v>624277457</v>
      </c>
      <c r="AH9" s="1444">
        <f t="shared" si="1"/>
        <v>0</v>
      </c>
      <c r="AI9" s="1444">
        <f t="shared" si="1"/>
        <v>0</v>
      </c>
      <c r="AJ9" s="1444">
        <f t="shared" si="1"/>
        <v>1396182416</v>
      </c>
      <c r="AK9" s="1444">
        <f t="shared" si="1"/>
        <v>76360023</v>
      </c>
      <c r="AL9" s="1444">
        <f t="shared" si="1"/>
        <v>-802658215</v>
      </c>
      <c r="AM9" s="1444">
        <f t="shared" si="1"/>
        <v>-15000000000</v>
      </c>
      <c r="AN9" s="1444">
        <f t="shared" si="1"/>
        <v>0</v>
      </c>
      <c r="AO9" s="1444">
        <f t="shared" si="1"/>
        <v>-14500000000</v>
      </c>
      <c r="AP9" s="1444">
        <f t="shared" si="1"/>
        <v>-58000000000</v>
      </c>
      <c r="AQ9" s="1444">
        <f t="shared" si="1"/>
        <v>3115944915</v>
      </c>
      <c r="AR9" s="1444">
        <f t="shared" si="1"/>
        <v>0</v>
      </c>
      <c r="AS9" s="1444">
        <f t="shared" si="1"/>
        <v>-63287985</v>
      </c>
      <c r="AT9" s="1444">
        <f t="shared" si="1"/>
        <v>6464981.7307128897</v>
      </c>
      <c r="AU9" s="1444">
        <f t="shared" si="1"/>
        <v>-6464981.7307128906</v>
      </c>
      <c r="AV9" s="1444">
        <f t="shared" si="1"/>
        <v>15000000000</v>
      </c>
      <c r="AW9" s="1444">
        <f t="shared" si="1"/>
        <v>0</v>
      </c>
      <c r="AX9" s="1444">
        <f t="shared" si="1"/>
        <v>0</v>
      </c>
      <c r="AY9" s="1444">
        <f t="shared" si="1"/>
        <v>-322560213288.07001</v>
      </c>
      <c r="AZ9" s="1444">
        <f t="shared" si="1"/>
        <v>246934738866.31</v>
      </c>
      <c r="BA9" s="1444">
        <f t="shared" si="1"/>
        <v>16258997299</v>
      </c>
      <c r="BB9" s="1444">
        <f t="shared" si="1"/>
        <v>36246687170</v>
      </c>
      <c r="BC9" s="1444">
        <f t="shared" si="1"/>
        <v>2610994654</v>
      </c>
      <c r="BD9" s="1444">
        <f t="shared" si="1"/>
        <v>18184572249</v>
      </c>
      <c r="BE9" s="1444">
        <f t="shared" si="1"/>
        <v>2052132941</v>
      </c>
      <c r="BF9" s="1444">
        <f t="shared" si="1"/>
        <v>-76646095</v>
      </c>
      <c r="BG9" s="1444">
        <f t="shared" si="1"/>
        <v>0</v>
      </c>
      <c r="BH9" s="1444">
        <f t="shared" si="1"/>
        <v>0</v>
      </c>
      <c r="BI9" s="551">
        <f>SUM(C9:BH9)</f>
        <v>0.239990234375</v>
      </c>
      <c r="BJ9" s="995">
        <f>BI9/2</f>
        <v>0.1199951171875</v>
      </c>
      <c r="BK9" s="551">
        <f>BJ9/2</f>
        <v>5.999755859375E-2</v>
      </c>
    </row>
    <row r="10" spans="1:63" ht="12.75" customHeight="1">
      <c r="A10" s="997"/>
      <c r="B10" s="998" t="s">
        <v>234</v>
      </c>
      <c r="C10" s="551"/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1"/>
      <c r="R10" s="551"/>
      <c r="S10" s="551"/>
      <c r="T10" s="551"/>
      <c r="U10" s="551"/>
      <c r="V10" s="551"/>
      <c r="W10" s="551"/>
      <c r="X10" s="551"/>
      <c r="Y10" s="551"/>
      <c r="Z10" s="551"/>
      <c r="AA10" s="551"/>
      <c r="AB10" s="551"/>
      <c r="AC10" s="551"/>
      <c r="AD10" s="551"/>
      <c r="AE10" s="551"/>
      <c r="AF10" s="551"/>
      <c r="AG10" s="551"/>
      <c r="AH10" s="551"/>
      <c r="AI10" s="551"/>
      <c r="AJ10" s="551"/>
      <c r="AK10" s="551"/>
      <c r="AL10" s="551"/>
      <c r="AM10" s="551"/>
      <c r="AN10" s="551"/>
      <c r="AO10" s="551"/>
      <c r="AP10" s="551"/>
      <c r="AQ10" s="551"/>
      <c r="AR10" s="551"/>
      <c r="AS10" s="551"/>
      <c r="AT10" s="551"/>
      <c r="AU10" s="551"/>
      <c r="AV10" s="551"/>
      <c r="AW10" s="551"/>
      <c r="AX10" s="551"/>
      <c r="AY10" s="551"/>
      <c r="AZ10" s="551"/>
      <c r="BA10" s="551"/>
      <c r="BB10" s="551"/>
      <c r="BC10" s="551"/>
      <c r="BD10" s="551"/>
      <c r="BE10" s="551"/>
      <c r="BF10" s="551"/>
      <c r="BG10" s="551"/>
      <c r="BH10" s="551"/>
      <c r="BI10" s="551"/>
      <c r="BJ10" s="551"/>
      <c r="BK10" s="551"/>
    </row>
    <row r="11" spans="1:63" ht="12.75" customHeight="1">
      <c r="A11" s="999" t="s">
        <v>235</v>
      </c>
      <c r="B11" s="1000"/>
      <c r="C11" s="100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  <c r="AA11" s="551"/>
      <c r="AB11" s="551"/>
      <c r="AC11" s="551"/>
      <c r="AD11" s="551"/>
      <c r="AE11" s="551"/>
      <c r="AF11" s="551"/>
      <c r="AG11" s="551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  <c r="BC11" s="551"/>
      <c r="BD11" s="551"/>
      <c r="BE11" s="551"/>
      <c r="BF11" s="551"/>
      <c r="BG11" s="551"/>
      <c r="BH11" s="551"/>
      <c r="BI11" s="551"/>
      <c r="BJ11" s="551"/>
      <c r="BK11" s="551"/>
    </row>
    <row r="12" spans="1:63" ht="12.75" customHeight="1">
      <c r="A12" s="1002" t="s">
        <v>236</v>
      </c>
      <c r="B12" s="1003">
        <f t="shared" ref="B12:B21" si="2">SUM(D12:BH12)</f>
        <v>247959097531.07001</v>
      </c>
      <c r="C12" s="1001"/>
      <c r="D12" s="1004">
        <f>-D9</f>
        <v>-74418234737</v>
      </c>
      <c r="E12" s="1004">
        <f>-E9</f>
        <v>-182881020</v>
      </c>
      <c r="F12" s="1004">
        <f>-F9</f>
        <v>0</v>
      </c>
      <c r="G12" s="1004"/>
      <c r="H12" s="1004"/>
      <c r="I12" s="1004"/>
      <c r="J12" s="1004"/>
      <c r="K12" s="1004"/>
      <c r="L12" s="1004"/>
      <c r="M12" s="1004"/>
      <c r="N12" s="1004"/>
      <c r="O12" s="1004"/>
      <c r="P12" s="1004"/>
      <c r="Q12" s="1004"/>
      <c r="S12" s="551"/>
      <c r="T12" s="551"/>
      <c r="U12" s="551"/>
      <c r="V12" s="551"/>
      <c r="W12" s="551"/>
      <c r="X12" s="551"/>
      <c r="Y12" s="551"/>
      <c r="Z12" s="551"/>
      <c r="AA12" s="551"/>
      <c r="AB12" s="551"/>
      <c r="AC12" s="551">
        <f>-AC9</f>
        <v>0</v>
      </c>
      <c r="AD12" s="551"/>
      <c r="AE12" s="1004"/>
      <c r="AF12" s="1004"/>
      <c r="AG12" s="1004"/>
      <c r="AH12" s="1004"/>
      <c r="AI12" s="1004"/>
      <c r="AJ12" s="551"/>
      <c r="AK12" s="551"/>
      <c r="AL12" s="551"/>
      <c r="AM12" s="551"/>
      <c r="AN12" s="551"/>
      <c r="AO12" s="551"/>
      <c r="AP12" s="551"/>
      <c r="AQ12" s="551"/>
      <c r="AR12" s="551"/>
      <c r="AS12" s="551"/>
      <c r="AT12" s="551"/>
      <c r="AU12" s="551"/>
      <c r="AV12" s="551"/>
      <c r="AW12" s="551"/>
      <c r="AX12" s="551"/>
      <c r="AY12" s="1004">
        <f>-AY9</f>
        <v>322560213288.07001</v>
      </c>
      <c r="AZ12" s="551"/>
      <c r="BA12" s="551"/>
      <c r="BB12" s="551"/>
      <c r="BC12" s="1004"/>
      <c r="BD12" s="1004"/>
      <c r="BE12" s="551"/>
      <c r="BF12" s="551"/>
      <c r="BG12" s="551"/>
      <c r="BH12" s="551"/>
      <c r="BI12" s="551"/>
      <c r="BJ12" s="551"/>
      <c r="BK12" s="551"/>
    </row>
    <row r="13" spans="1:63" ht="12.75" customHeight="1">
      <c r="A13" s="1002" t="s">
        <v>237</v>
      </c>
      <c r="B13" s="1003">
        <f t="shared" si="2"/>
        <v>-284377319057.31</v>
      </c>
      <c r="C13" s="1001"/>
      <c r="D13" s="551"/>
      <c r="E13" s="551"/>
      <c r="F13" s="551"/>
      <c r="G13" s="551"/>
      <c r="H13" s="1005">
        <f>-H9*0</f>
        <v>0</v>
      </c>
      <c r="I13" s="559">
        <f>-I9</f>
        <v>-186598153</v>
      </c>
      <c r="J13" s="559">
        <f>-J9</f>
        <v>329244661</v>
      </c>
      <c r="K13" s="559">
        <f>-K9</f>
        <v>-32789227682</v>
      </c>
      <c r="L13" s="559"/>
      <c r="M13" s="559"/>
      <c r="N13" s="559">
        <f>-N9</f>
        <v>0</v>
      </c>
      <c r="O13" s="559"/>
      <c r="P13" s="559">
        <f>-P9</f>
        <v>0</v>
      </c>
      <c r="Q13" s="559">
        <f>-Q9</f>
        <v>0</v>
      </c>
      <c r="R13" s="551"/>
      <c r="S13" s="551"/>
      <c r="T13" s="551"/>
      <c r="U13" s="551"/>
      <c r="V13" s="551"/>
      <c r="W13" s="551"/>
      <c r="X13" s="551">
        <f>-X9</f>
        <v>0</v>
      </c>
      <c r="Z13" s="551"/>
      <c r="AA13" s="559">
        <f>-AA9</f>
        <v>0</v>
      </c>
      <c r="AB13" s="559">
        <f>-AB9</f>
        <v>-10043414671</v>
      </c>
      <c r="AC13" s="559"/>
      <c r="AD13" s="559">
        <f>-AD9</f>
        <v>2099995312</v>
      </c>
      <c r="AE13" s="1424">
        <f>-AE9</f>
        <v>-41000000</v>
      </c>
      <c r="AH13" s="559"/>
      <c r="AI13" s="551">
        <f>-AI9</f>
        <v>0</v>
      </c>
      <c r="AJ13" s="559"/>
      <c r="AK13" s="559"/>
      <c r="AL13" s="559"/>
      <c r="AM13" s="559"/>
      <c r="AN13" s="551"/>
      <c r="AO13" s="551"/>
      <c r="AP13" s="551"/>
      <c r="AQ13" s="551"/>
      <c r="AR13" s="551"/>
      <c r="AS13" s="551">
        <f>-AS9-AS29</f>
        <v>63287985</v>
      </c>
      <c r="AT13" s="551"/>
      <c r="AU13" s="551"/>
      <c r="AV13" s="551"/>
      <c r="AW13" s="551"/>
      <c r="AX13" s="551"/>
      <c r="AY13" s="551"/>
      <c r="AZ13" s="559">
        <f>-AZ9-AZ14-AZ15</f>
        <v>-222099706010.31</v>
      </c>
      <c r="BA13" s="1006"/>
      <c r="BB13" s="559">
        <f>-BB9-BB14-BB15</f>
        <v>-19098905845</v>
      </c>
      <c r="BC13" s="559">
        <f>-(BC9+BC15+BC20)</f>
        <v>-2610994654</v>
      </c>
      <c r="BD13" s="559"/>
      <c r="BE13" s="551"/>
      <c r="BF13" s="551"/>
      <c r="BG13" s="1645"/>
      <c r="BH13" s="551">
        <f>-BH9</f>
        <v>0</v>
      </c>
      <c r="BI13" s="551"/>
      <c r="BJ13" s="551"/>
      <c r="BK13" s="551"/>
    </row>
    <row r="14" spans="1:63" ht="12.75" customHeight="1">
      <c r="A14" s="1002" t="s">
        <v>238</v>
      </c>
      <c r="B14" s="1003">
        <f t="shared" si="2"/>
        <v>-34022364196</v>
      </c>
      <c r="C14" s="1001"/>
      <c r="D14" s="551"/>
      <c r="E14" s="551"/>
      <c r="F14" s="551"/>
      <c r="G14" s="551">
        <f>-G9</f>
        <v>0</v>
      </c>
      <c r="H14" s="551"/>
      <c r="I14" s="551"/>
      <c r="J14" s="551"/>
      <c r="K14" s="551"/>
      <c r="L14" s="551"/>
      <c r="M14" s="551"/>
      <c r="N14" s="551"/>
      <c r="O14" s="551"/>
      <c r="P14" s="551"/>
      <c r="Q14" s="551"/>
      <c r="R14" s="551"/>
      <c r="S14" s="551"/>
      <c r="T14" s="551"/>
      <c r="U14" s="551"/>
      <c r="V14" s="551"/>
      <c r="W14" s="551"/>
      <c r="X14" s="551"/>
      <c r="Y14" s="551"/>
      <c r="Z14" s="551"/>
      <c r="AA14" s="559"/>
      <c r="AB14" s="559"/>
      <c r="AC14" s="559"/>
      <c r="AD14" s="559"/>
      <c r="AE14" s="551"/>
      <c r="AF14" s="551"/>
      <c r="AG14" s="551"/>
      <c r="AH14" s="551"/>
      <c r="AI14" s="551"/>
      <c r="AJ14" s="559"/>
      <c r="AK14" s="559"/>
      <c r="AL14" s="1008"/>
      <c r="AM14" s="551"/>
      <c r="AN14" s="551"/>
      <c r="AO14" s="551"/>
      <c r="AP14" s="551"/>
      <c r="AQ14" s="551"/>
      <c r="AR14" s="551"/>
      <c r="AS14" s="551"/>
      <c r="AT14" s="551">
        <f>-AT9</f>
        <v>-6464981.7307128897</v>
      </c>
      <c r="AU14" s="551">
        <f>-AU9</f>
        <v>6464981.7307128906</v>
      </c>
      <c r="AV14" s="551"/>
      <c r="AW14" s="551"/>
      <c r="AX14" s="551"/>
      <c r="AY14" s="551"/>
      <c r="AZ14" s="559">
        <f>-(SUM('WS Konsol'!M609:M614)+'WS Konsol'!M617+'WS Konsol'!M620)</f>
        <v>-17321289365</v>
      </c>
      <c r="BA14" s="1006"/>
      <c r="BB14" s="559">
        <f>-'WS Konsol'!O665</f>
        <v>-16701074831</v>
      </c>
      <c r="BC14" s="551"/>
      <c r="BD14" s="551"/>
      <c r="BE14" s="551"/>
      <c r="BF14" s="551"/>
      <c r="BG14" s="551"/>
      <c r="BH14" s="551"/>
      <c r="BI14" s="551"/>
      <c r="BJ14" s="551"/>
      <c r="BK14" s="551"/>
    </row>
    <row r="15" spans="1:63" ht="12.75" customHeight="1">
      <c r="A15" s="1002" t="s">
        <v>239</v>
      </c>
      <c r="B15" s="1003">
        <f>SUM(D15:BH15)</f>
        <v>-16505528793</v>
      </c>
      <c r="C15" s="1001"/>
      <c r="D15" s="551"/>
      <c r="E15" s="551"/>
      <c r="F15" s="551"/>
      <c r="G15" s="551"/>
      <c r="H15" s="551"/>
      <c r="I15" s="551"/>
      <c r="J15" s="551"/>
      <c r="K15" s="551"/>
      <c r="L15" s="551">
        <f>-L9</f>
        <v>1501915402</v>
      </c>
      <c r="M15" s="551">
        <f>-M9</f>
        <v>627857182</v>
      </c>
      <c r="N15" s="551"/>
      <c r="O15" s="551"/>
      <c r="P15" s="551"/>
      <c r="Q15" s="551"/>
      <c r="R15" s="1424">
        <f>-R9-R28</f>
        <v>7645590897</v>
      </c>
      <c r="S15" s="551"/>
      <c r="T15" s="551"/>
      <c r="U15" s="551">
        <f>-U9</f>
        <v>314859088</v>
      </c>
      <c r="V15" s="551">
        <f>-'BS Konsol-Des 24'!G21</f>
        <v>-3232400000</v>
      </c>
      <c r="W15" s="551">
        <f>-W9</f>
        <v>-58795638</v>
      </c>
      <c r="X15" s="551"/>
      <c r="Y15" s="551">
        <f>-Y9-Y38-Y39</f>
        <v>3807894064</v>
      </c>
      <c r="Z15" s="551">
        <f>-Z9</f>
        <v>-3807894064</v>
      </c>
      <c r="AA15" s="559"/>
      <c r="AB15" s="559"/>
      <c r="AC15" s="559"/>
      <c r="AD15" s="559"/>
      <c r="AE15" s="551"/>
      <c r="AF15" s="551"/>
      <c r="AG15" s="1009"/>
      <c r="AH15" s="551">
        <f>-AH9</f>
        <v>0</v>
      </c>
      <c r="AI15" s="551"/>
      <c r="AJ15" s="551">
        <f>-AJ9-AJ21</f>
        <v>508407041</v>
      </c>
      <c r="AK15" s="559"/>
      <c r="AL15" s="559">
        <f>-AL9</f>
        <v>802658215</v>
      </c>
      <c r="AM15" s="551"/>
      <c r="AN15" s="551"/>
      <c r="AO15" s="551"/>
      <c r="AP15" s="551"/>
      <c r="AQ15" s="551"/>
      <c r="AR15" s="551"/>
      <c r="AS15" s="551"/>
      <c r="AT15" s="551"/>
      <c r="AU15" s="551"/>
      <c r="AV15" s="551"/>
      <c r="AW15" s="551"/>
      <c r="AX15" s="551"/>
      <c r="AY15" s="551"/>
      <c r="AZ15" s="559">
        <f>-('WS Konsol'!M618+'WS Konsol'!M619+'WS Konsol'!M623)</f>
        <v>-7513743491</v>
      </c>
      <c r="BA15" s="1006">
        <f>-BA9</f>
        <v>-16258997299</v>
      </c>
      <c r="BB15" s="559">
        <f>-SUM('WS Konsol'!M707:M718)</f>
        <v>-446706494</v>
      </c>
      <c r="BC15" s="551"/>
      <c r="BD15" s="551"/>
      <c r="BE15" s="551">
        <f>-BE9-BE21</f>
        <v>-472819791</v>
      </c>
      <c r="BF15" s="551">
        <f>-BF9</f>
        <v>76646095</v>
      </c>
      <c r="BG15" s="551"/>
      <c r="BH15" s="551"/>
      <c r="BI15" s="551"/>
      <c r="BJ15" s="551"/>
      <c r="BK15" s="551"/>
    </row>
    <row r="16" spans="1:63" ht="12.75" customHeight="1">
      <c r="A16" s="1002" t="s">
        <v>240</v>
      </c>
      <c r="B16" s="1003">
        <f t="shared" si="2"/>
        <v>0</v>
      </c>
      <c r="C16" s="1001"/>
      <c r="D16" s="551"/>
      <c r="E16" s="551"/>
      <c r="F16" s="551"/>
      <c r="G16" s="551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  <c r="W16" s="551"/>
      <c r="X16" s="551"/>
      <c r="Y16" s="551"/>
      <c r="Z16" s="551"/>
      <c r="AA16" s="559"/>
      <c r="AB16" s="559"/>
      <c r="AC16" s="559"/>
      <c r="AD16" s="559"/>
      <c r="AE16" s="551"/>
      <c r="AF16" s="551"/>
      <c r="AG16" s="551"/>
      <c r="AH16" s="551"/>
      <c r="AI16" s="551"/>
      <c r="AJ16" s="559"/>
      <c r="AK16" s="559"/>
      <c r="AL16" s="559"/>
      <c r="AM16" s="551"/>
      <c r="AN16" s="551"/>
      <c r="AO16" s="551"/>
      <c r="AP16" s="551"/>
      <c r="AQ16" s="551"/>
      <c r="AR16" s="551"/>
      <c r="AS16" s="551"/>
      <c r="AT16" s="551"/>
      <c r="AU16" s="551"/>
      <c r="AV16" s="551"/>
      <c r="AW16" s="551"/>
      <c r="AX16" s="551"/>
      <c r="AY16" s="551"/>
      <c r="AZ16" s="1006"/>
      <c r="BA16" s="1006"/>
      <c r="BB16" s="1425"/>
      <c r="BD16" s="551"/>
      <c r="BE16" s="551"/>
      <c r="BF16" s="551"/>
      <c r="BG16" s="551"/>
      <c r="BH16" s="551"/>
      <c r="BI16" s="551"/>
      <c r="BJ16" s="551"/>
      <c r="BK16" s="551"/>
    </row>
    <row r="17" spans="1:63" ht="12.75" customHeight="1">
      <c r="A17" s="1012" t="s">
        <v>241</v>
      </c>
      <c r="B17" s="1003">
        <f t="shared" si="2"/>
        <v>0</v>
      </c>
      <c r="C17" s="1001"/>
      <c r="D17" s="551"/>
      <c r="E17" s="551"/>
      <c r="F17" s="551"/>
      <c r="G17" s="551"/>
      <c r="H17" s="551"/>
      <c r="I17" s="551"/>
      <c r="J17" s="551"/>
      <c r="K17" s="551"/>
      <c r="L17" s="551"/>
      <c r="M17" s="551"/>
      <c r="N17" s="551"/>
      <c r="O17" s="551"/>
      <c r="P17" s="551"/>
      <c r="Q17" s="551"/>
      <c r="R17" s="551"/>
      <c r="S17" s="551"/>
      <c r="T17" s="551"/>
      <c r="U17" s="551"/>
      <c r="V17" s="551"/>
      <c r="X17" s="551"/>
      <c r="Y17" s="551"/>
      <c r="Z17" s="551"/>
      <c r="AA17" s="559"/>
      <c r="AB17" s="559"/>
      <c r="AC17" s="559"/>
      <c r="AD17" s="559"/>
      <c r="AE17" s="551"/>
      <c r="AF17" s="551"/>
      <c r="AG17" s="551"/>
      <c r="AH17" s="551"/>
      <c r="AI17" s="551"/>
      <c r="AJ17" s="1006"/>
      <c r="AK17" s="559"/>
      <c r="AL17" s="559"/>
      <c r="AM17" s="551"/>
      <c r="AN17" s="551"/>
      <c r="AO17" s="551"/>
      <c r="AP17" s="551"/>
      <c r="AQ17" s="551"/>
      <c r="AR17" s="551"/>
      <c r="AS17" s="551"/>
      <c r="AT17" s="551"/>
      <c r="AU17" s="551"/>
      <c r="AV17" s="551"/>
      <c r="AW17" s="551"/>
      <c r="AX17" s="551"/>
      <c r="AY17" s="551"/>
      <c r="AZ17" s="1006"/>
      <c r="BA17" s="1006"/>
      <c r="BB17" s="1006"/>
      <c r="BC17" s="551"/>
      <c r="BD17" s="551"/>
      <c r="BE17" s="551"/>
      <c r="BF17" s="551"/>
      <c r="BG17" s="551"/>
      <c r="BH17" s="1013">
        <v>0</v>
      </c>
      <c r="BI17" s="551"/>
      <c r="BJ17" s="551"/>
      <c r="BK17" s="551"/>
    </row>
    <row r="18" spans="1:63" ht="12.75" customHeight="1">
      <c r="A18" s="1012" t="s">
        <v>242</v>
      </c>
      <c r="B18" s="1003">
        <f t="shared" si="2"/>
        <v>0</v>
      </c>
      <c r="C18" s="1001"/>
      <c r="D18" s="551"/>
      <c r="E18" s="551"/>
      <c r="F18" s="551"/>
      <c r="G18" s="551"/>
      <c r="H18" s="551"/>
      <c r="I18" s="551"/>
      <c r="J18" s="551"/>
      <c r="K18" s="551"/>
      <c r="L18" s="551"/>
      <c r="M18" s="551"/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1"/>
      <c r="AA18" s="559"/>
      <c r="AB18" s="559"/>
      <c r="AC18" s="559"/>
      <c r="AD18" s="559"/>
      <c r="AE18" s="551"/>
      <c r="AF18" s="551"/>
      <c r="AG18" s="551"/>
      <c r="AH18" s="551"/>
      <c r="AI18" s="551"/>
      <c r="AJ18" s="1006"/>
      <c r="AK18" s="559"/>
      <c r="AM18" s="551"/>
      <c r="AN18" s="551"/>
      <c r="AO18" s="551"/>
      <c r="AP18" s="551"/>
      <c r="AQ18" s="551"/>
      <c r="AR18" s="551"/>
      <c r="AS18" s="551"/>
      <c r="AT18" s="551"/>
      <c r="AU18" s="551"/>
      <c r="AV18" s="551"/>
      <c r="AW18" s="551"/>
      <c r="AX18" s="551"/>
      <c r="AY18" s="551"/>
      <c r="AZ18" s="1006"/>
      <c r="BA18" s="1006"/>
      <c r="BB18" s="1006"/>
      <c r="BC18" s="551"/>
      <c r="BD18" s="551"/>
      <c r="BE18" s="551"/>
      <c r="BF18" s="551"/>
      <c r="BG18" s="551"/>
      <c r="BH18" s="1013"/>
      <c r="BI18" s="551"/>
      <c r="BJ18" s="551"/>
      <c r="BK18" s="551"/>
    </row>
    <row r="19" spans="1:63" ht="12.75" customHeight="1">
      <c r="A19" s="1002" t="s">
        <v>243</v>
      </c>
      <c r="B19" s="1003">
        <f t="shared" si="2"/>
        <v>0</v>
      </c>
      <c r="C19" s="1001"/>
      <c r="D19" s="551"/>
      <c r="E19" s="551"/>
      <c r="F19" s="551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1"/>
      <c r="S19" s="551"/>
      <c r="T19" s="551"/>
      <c r="U19" s="551"/>
      <c r="V19" s="551"/>
      <c r="W19" s="551"/>
      <c r="X19" s="551"/>
      <c r="Y19" s="551"/>
      <c r="Z19" s="551"/>
      <c r="AA19" s="559"/>
      <c r="AB19" s="559"/>
      <c r="AC19" s="559"/>
      <c r="AD19" s="559"/>
      <c r="AE19" s="551"/>
      <c r="AF19" s="551"/>
      <c r="AG19" s="551"/>
      <c r="AH19" s="551"/>
      <c r="AI19" s="551"/>
      <c r="AJ19" s="1006"/>
      <c r="AK19" s="559"/>
      <c r="AL19" s="559"/>
      <c r="AM19" s="551"/>
      <c r="AN19" s="551"/>
      <c r="AO19" s="551"/>
      <c r="AP19" s="551"/>
      <c r="AQ19" s="551"/>
      <c r="AR19" s="551"/>
      <c r="AS19" s="551"/>
      <c r="AT19" s="551"/>
      <c r="AU19" s="551"/>
      <c r="AV19" s="551"/>
      <c r="AW19" s="551"/>
      <c r="AX19" s="551"/>
      <c r="AY19" s="551"/>
      <c r="AZ19" s="1006"/>
      <c r="BA19" s="1006"/>
      <c r="BB19" s="1006"/>
      <c r="BC19" s="551"/>
      <c r="BD19" s="551"/>
      <c r="BE19" s="551"/>
      <c r="BF19" s="551"/>
      <c r="BG19" s="551"/>
      <c r="BH19" s="551"/>
      <c r="BI19" s="551"/>
      <c r="BJ19" s="551"/>
      <c r="BK19" s="973"/>
    </row>
    <row r="20" spans="1:63" ht="12.75" customHeight="1">
      <c r="A20" s="1002" t="s">
        <v>244</v>
      </c>
      <c r="B20" s="1003">
        <f t="shared" si="2"/>
        <v>-18184572249</v>
      </c>
      <c r="C20" s="100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59"/>
      <c r="AB20" s="559"/>
      <c r="AC20" s="559"/>
      <c r="AD20" s="559"/>
      <c r="AE20" s="551"/>
      <c r="AF20" s="551"/>
      <c r="AG20" s="551"/>
      <c r="AH20" s="551"/>
      <c r="AI20" s="551"/>
      <c r="AJ20" s="1006"/>
      <c r="AK20" s="559"/>
      <c r="AL20" s="559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  <c r="AW20" s="551"/>
      <c r="AX20" s="551"/>
      <c r="AY20" s="551"/>
      <c r="AZ20" s="1006"/>
      <c r="BA20" s="1006"/>
      <c r="BB20" s="1006"/>
      <c r="BC20" s="551"/>
      <c r="BD20" s="551">
        <f>-BD9</f>
        <v>-18184572249</v>
      </c>
      <c r="BE20" s="551"/>
      <c r="BF20" s="551"/>
      <c r="BG20" s="551"/>
      <c r="BH20" s="551"/>
      <c r="BI20" s="551"/>
      <c r="BJ20" s="551"/>
      <c r="BK20" s="551"/>
    </row>
    <row r="21" spans="1:63" ht="12.75" customHeight="1">
      <c r="A21" s="1002" t="s">
        <v>246</v>
      </c>
      <c r="B21" s="1003">
        <f t="shared" si="2"/>
        <v>-3483902607</v>
      </c>
      <c r="C21" s="100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51"/>
      <c r="AB21" s="551"/>
      <c r="AC21" s="551"/>
      <c r="AD21" s="551"/>
      <c r="AE21" s="551"/>
      <c r="AF21" s="551"/>
      <c r="AG21" s="551"/>
      <c r="AH21" s="551"/>
      <c r="AI21" s="551"/>
      <c r="AJ21" s="1426">
        <f>-AJ9-508407041</f>
        <v>-1904589457</v>
      </c>
      <c r="AK21" s="559"/>
      <c r="AL21" s="559"/>
      <c r="AM21" s="551"/>
      <c r="AN21" s="551"/>
      <c r="AO21" s="551"/>
      <c r="AP21" s="551"/>
      <c r="AQ21" s="551"/>
      <c r="AR21" s="551"/>
      <c r="AS21" s="551"/>
      <c r="AT21" s="551"/>
      <c r="AU21" s="551"/>
      <c r="AV21" s="551"/>
      <c r="AW21" s="551"/>
      <c r="AX21" s="551"/>
      <c r="AY21" s="551"/>
      <c r="AZ21" s="551"/>
      <c r="BA21" s="551"/>
      <c r="BB21" s="551"/>
      <c r="BC21" s="551"/>
      <c r="BE21" s="551">
        <f>'WS Konsol'!M437+'WS Konsol'!M438+'WS Konsol'!M439-(1063969216+577405049)-95908890</f>
        <v>-1579313150</v>
      </c>
      <c r="BF21" s="973"/>
      <c r="BG21" s="551"/>
      <c r="BH21" s="1016"/>
      <c r="BI21" s="551"/>
      <c r="BJ21" s="1427"/>
      <c r="BK21" s="973"/>
    </row>
    <row r="22" spans="1:63" ht="12.75" customHeight="1">
      <c r="A22" s="1017" t="s">
        <v>248</v>
      </c>
      <c r="B22" s="1018">
        <f>SUM(B12:B21)</f>
        <v>-108614589371.23999</v>
      </c>
      <c r="C22" s="1001"/>
      <c r="D22" s="551"/>
      <c r="E22" s="551"/>
      <c r="F22" s="551"/>
      <c r="G22" s="551"/>
      <c r="H22" s="551"/>
      <c r="I22" s="551"/>
      <c r="J22" s="551"/>
      <c r="K22" s="551"/>
      <c r="L22" s="551"/>
      <c r="M22" s="551"/>
      <c r="N22" s="551"/>
      <c r="O22" s="551"/>
      <c r="P22" s="551"/>
      <c r="Q22" s="551"/>
      <c r="R22" s="551"/>
      <c r="S22" s="551"/>
      <c r="T22" s="551"/>
      <c r="U22" s="551"/>
      <c r="V22" s="551"/>
      <c r="W22" s="551"/>
      <c r="X22" s="551"/>
      <c r="Y22" s="551"/>
      <c r="Z22" s="551"/>
      <c r="AA22" s="551"/>
      <c r="AB22" s="551"/>
      <c r="AC22" s="551"/>
      <c r="AD22" s="551"/>
      <c r="AE22" s="551"/>
      <c r="AF22" s="551"/>
      <c r="AG22" s="551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51"/>
      <c r="BC22" s="551"/>
      <c r="BD22" s="551"/>
      <c r="BE22" s="551"/>
      <c r="BF22" s="551"/>
      <c r="BG22" s="551"/>
      <c r="BH22" s="551"/>
      <c r="BI22" s="551"/>
      <c r="BJ22" s="551"/>
      <c r="BK22" s="551"/>
    </row>
    <row r="23" spans="1:63" ht="12.75" customHeight="1">
      <c r="A23" s="1019"/>
      <c r="B23" s="1020"/>
      <c r="C23" s="100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51"/>
      <c r="AA23" s="551"/>
      <c r="AB23" s="551"/>
      <c r="AC23" s="551"/>
      <c r="AD23" s="551"/>
      <c r="AE23" s="551"/>
      <c r="AF23" s="551"/>
      <c r="AG23" s="551"/>
      <c r="AH23" s="551"/>
      <c r="AI23" s="551"/>
      <c r="AJ23" s="551"/>
      <c r="AK23" s="551"/>
      <c r="AL23" s="551"/>
      <c r="AM23" s="551"/>
      <c r="AN23" s="551"/>
      <c r="AO23" s="551"/>
      <c r="AP23" s="551"/>
      <c r="AQ23" s="551"/>
      <c r="AR23" s="551"/>
      <c r="AS23" s="551"/>
      <c r="AT23" s="551"/>
      <c r="AU23" s="551"/>
      <c r="AV23" s="551"/>
      <c r="AW23" s="551"/>
      <c r="AX23" s="551"/>
      <c r="AY23" s="551"/>
      <c r="AZ23" s="551"/>
      <c r="BA23" s="551"/>
      <c r="BB23" s="551"/>
      <c r="BC23" s="551"/>
      <c r="BD23" s="551"/>
      <c r="BE23" s="551"/>
      <c r="BF23" s="551"/>
      <c r="BG23" s="551"/>
      <c r="BH23" s="551"/>
      <c r="BI23" s="551"/>
      <c r="BJ23" s="551"/>
      <c r="BK23" s="551"/>
    </row>
    <row r="24" spans="1:63" ht="12.75" customHeight="1">
      <c r="A24" s="1002"/>
      <c r="B24" s="1020"/>
      <c r="C24" s="100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551"/>
      <c r="S24" s="551"/>
      <c r="T24" s="551"/>
      <c r="U24" s="551"/>
      <c r="V24" s="551"/>
      <c r="W24" s="551"/>
      <c r="X24" s="551"/>
      <c r="Y24" s="551"/>
      <c r="Z24" s="551"/>
      <c r="AA24" s="551"/>
      <c r="AB24" s="551"/>
      <c r="AC24" s="551"/>
      <c r="AD24" s="551"/>
      <c r="AE24" s="551"/>
      <c r="AF24" s="551"/>
      <c r="AG24" s="551"/>
      <c r="AH24" s="551"/>
      <c r="AI24" s="551"/>
      <c r="AJ24" s="551"/>
      <c r="AK24" s="551"/>
      <c r="AL24" s="551"/>
      <c r="AM24" s="551"/>
      <c r="AN24" s="551"/>
      <c r="AO24" s="551"/>
      <c r="AP24" s="551"/>
      <c r="AQ24" s="551"/>
      <c r="AR24" s="551"/>
      <c r="AS24" s="551"/>
      <c r="AT24" s="551"/>
      <c r="AU24" s="551"/>
      <c r="AV24" s="551"/>
      <c r="AW24" s="551"/>
      <c r="AX24" s="551"/>
      <c r="AY24" s="551"/>
      <c r="AZ24" s="551"/>
      <c r="BA24" s="551"/>
      <c r="BB24" s="551"/>
      <c r="BC24" s="551"/>
      <c r="BD24" s="551"/>
      <c r="BE24" s="551"/>
      <c r="BF24" s="551"/>
      <c r="BG24" s="551"/>
      <c r="BH24" s="551"/>
      <c r="BI24" s="551"/>
      <c r="BJ24" s="551"/>
      <c r="BK24" s="551"/>
    </row>
    <row r="25" spans="1:63" ht="12.75" customHeight="1">
      <c r="A25" s="1021" t="s">
        <v>251</v>
      </c>
      <c r="B25" s="1020"/>
      <c r="C25" s="100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51"/>
      <c r="AB25" s="551"/>
      <c r="AC25" s="551"/>
      <c r="AD25" s="551"/>
      <c r="AE25" s="551"/>
      <c r="AF25" s="551"/>
      <c r="AG25" s="551"/>
      <c r="AH25" s="551"/>
      <c r="AI25" s="551"/>
      <c r="AJ25" s="551"/>
      <c r="AK25" s="551"/>
      <c r="AL25" s="551"/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/>
      <c r="AY25" s="551"/>
      <c r="AZ25" s="551"/>
      <c r="BA25" s="551"/>
      <c r="BB25" s="551"/>
      <c r="BC25" s="551"/>
      <c r="BD25" s="551"/>
      <c r="BE25" s="551"/>
      <c r="BF25" s="551"/>
      <c r="BG25" s="551"/>
      <c r="BH25" s="551"/>
      <c r="BI25" s="551"/>
      <c r="BJ25" s="1180"/>
      <c r="BK25" s="973"/>
    </row>
    <row r="26" spans="1:63" ht="12.75" customHeight="1">
      <c r="A26" s="1002"/>
      <c r="B26" s="1020"/>
      <c r="C26" s="1001"/>
      <c r="D26" s="551"/>
      <c r="E26" s="551"/>
      <c r="F26" s="551"/>
      <c r="G26" s="551"/>
      <c r="H26" s="551"/>
      <c r="I26" s="551"/>
      <c r="J26" s="551"/>
      <c r="K26" s="551"/>
      <c r="L26" s="551"/>
      <c r="M26" s="551"/>
      <c r="N26" s="551"/>
      <c r="O26" s="551"/>
      <c r="P26" s="551"/>
      <c r="Q26" s="551"/>
      <c r="R26" s="551"/>
      <c r="S26" s="551"/>
      <c r="T26" s="551"/>
      <c r="U26" s="551"/>
      <c r="V26" s="551"/>
      <c r="W26" s="551"/>
      <c r="X26" s="551"/>
      <c r="Y26" s="551"/>
      <c r="Z26" s="551"/>
      <c r="AA26" s="551"/>
      <c r="AB26" s="551"/>
      <c r="AC26" s="551"/>
      <c r="AD26" s="551"/>
      <c r="AE26" s="551"/>
      <c r="AF26" s="551"/>
      <c r="AG26" s="551"/>
      <c r="AH26" s="551"/>
      <c r="AI26" s="551"/>
      <c r="AJ26" s="551"/>
      <c r="AK26" s="551"/>
      <c r="AL26" s="551"/>
      <c r="AM26" s="551"/>
      <c r="AN26" s="551"/>
      <c r="AO26" s="551"/>
      <c r="AP26" s="551"/>
      <c r="AQ26" s="551"/>
      <c r="AR26" s="551"/>
      <c r="AS26" s="551"/>
      <c r="AT26" s="551"/>
      <c r="AU26" s="551"/>
      <c r="AV26" s="551"/>
      <c r="AW26" s="551"/>
      <c r="AX26" s="551"/>
      <c r="AY26" s="551"/>
      <c r="AZ26" s="551"/>
      <c r="BA26" s="551"/>
      <c r="BB26" s="551"/>
      <c r="BC26" s="551"/>
      <c r="BD26" s="551"/>
      <c r="BE26" s="551"/>
      <c r="BF26" s="551"/>
      <c r="BG26" s="551"/>
      <c r="BH26" s="551"/>
      <c r="BI26" s="551"/>
      <c r="BJ26" s="1180"/>
      <c r="BK26" s="973"/>
    </row>
    <row r="27" spans="1:63" ht="12.75" customHeight="1">
      <c r="A27" s="1021" t="s">
        <v>253</v>
      </c>
      <c r="B27" s="1020"/>
      <c r="C27" s="1001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1"/>
      <c r="S27" s="551"/>
      <c r="T27" s="551"/>
      <c r="U27" s="551"/>
      <c r="V27" s="551"/>
      <c r="W27" s="551"/>
      <c r="X27" s="551"/>
      <c r="Y27" s="551"/>
      <c r="Z27" s="551"/>
      <c r="AA27" s="551"/>
      <c r="AB27" s="551"/>
      <c r="AC27" s="551"/>
      <c r="AD27" s="551"/>
      <c r="AE27" s="551"/>
      <c r="AF27" s="551"/>
      <c r="AG27" s="551"/>
      <c r="AH27" s="551"/>
      <c r="AI27" s="551"/>
      <c r="AJ27" s="551"/>
      <c r="AK27" s="551"/>
      <c r="AL27" s="551"/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/>
      <c r="AY27" s="551"/>
      <c r="AZ27" s="551"/>
      <c r="BA27" s="551"/>
      <c r="BB27" s="551"/>
      <c r="BC27" s="551"/>
      <c r="BD27" s="551"/>
      <c r="BE27" s="551"/>
      <c r="BF27" s="551"/>
      <c r="BG27" s="551"/>
      <c r="BH27" s="551"/>
      <c r="BI27" s="551"/>
      <c r="BJ27" s="551"/>
      <c r="BK27" s="551"/>
    </row>
    <row r="28" spans="1:63" ht="12.75" customHeight="1">
      <c r="A28" s="1022" t="s">
        <v>254</v>
      </c>
      <c r="B28" s="1003">
        <f t="shared" ref="B28:B34" si="3">SUM(D28:BH28)</f>
        <v>-170000000</v>
      </c>
      <c r="C28" s="1001"/>
      <c r="D28" s="551"/>
      <c r="E28" s="551"/>
      <c r="F28" s="551"/>
      <c r="G28" s="551"/>
      <c r="H28" s="551"/>
      <c r="I28" s="551"/>
      <c r="J28" s="551"/>
      <c r="K28" s="551"/>
      <c r="L28" s="551"/>
      <c r="M28" s="551"/>
      <c r="N28" s="551"/>
      <c r="O28" s="551"/>
      <c r="P28" s="1023"/>
      <c r="Q28" s="1023"/>
      <c r="R28" s="1023">
        <f>-170000000</f>
        <v>-170000000</v>
      </c>
      <c r="S28" s="1023">
        <f>-S9</f>
        <v>0</v>
      </c>
      <c r="T28" s="1023"/>
      <c r="U28" s="1023"/>
      <c r="V28" s="1023"/>
      <c r="W28" s="1023"/>
      <c r="X28" s="1023"/>
      <c r="Y28" s="1023"/>
      <c r="Z28" s="1023"/>
      <c r="AA28" s="551"/>
      <c r="AB28" s="551"/>
      <c r="AC28" s="551"/>
      <c r="AD28" s="551"/>
      <c r="AE28" s="551"/>
      <c r="AF28" s="551"/>
      <c r="AG28" s="551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551"/>
      <c r="AT28" s="551"/>
      <c r="AU28" s="551"/>
      <c r="AV28" s="551"/>
      <c r="AW28" s="1023">
        <v>0</v>
      </c>
      <c r="AX28" s="1023">
        <f>-AX9</f>
        <v>0</v>
      </c>
      <c r="AY28" s="551"/>
      <c r="AZ28" s="551"/>
      <c r="BA28" s="551"/>
      <c r="BB28" s="551"/>
      <c r="BC28" s="551"/>
      <c r="BD28" s="551"/>
      <c r="BE28" s="551"/>
      <c r="BF28" s="551"/>
      <c r="BG28" s="551"/>
      <c r="BH28" s="551"/>
      <c r="BI28" s="551"/>
      <c r="BJ28" s="551"/>
      <c r="BK28" s="551"/>
    </row>
    <row r="29" spans="1:63" ht="12.75" customHeight="1">
      <c r="A29" s="1002" t="s">
        <v>256</v>
      </c>
      <c r="B29" s="1003">
        <f t="shared" si="3"/>
        <v>0</v>
      </c>
      <c r="C29" s="1001"/>
      <c r="D29" s="551"/>
      <c r="E29" s="551"/>
      <c r="F29" s="551"/>
      <c r="G29" s="551"/>
      <c r="H29" s="551"/>
      <c r="I29" s="551"/>
      <c r="J29" s="551"/>
      <c r="K29" s="551"/>
      <c r="L29" s="551"/>
      <c r="M29" s="551"/>
      <c r="N29" s="551"/>
      <c r="O29" s="551"/>
      <c r="P29" s="551"/>
      <c r="Q29" s="551"/>
      <c r="R29" s="1023"/>
      <c r="S29" s="1023"/>
      <c r="T29" s="1023"/>
      <c r="U29" s="1023"/>
      <c r="V29" s="1023"/>
      <c r="W29" s="1023"/>
      <c r="X29" s="1023"/>
      <c r="Y29" s="1023"/>
      <c r="Z29" s="1023"/>
      <c r="AA29" s="551"/>
      <c r="AB29" s="551"/>
      <c r="AC29" s="551"/>
      <c r="AD29" s="551"/>
      <c r="AE29" s="551"/>
      <c r="AF29" s="551"/>
      <c r="AG29" s="551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51"/>
      <c r="BC29" s="551"/>
      <c r="BD29" s="551"/>
      <c r="BE29" s="551"/>
      <c r="BF29" s="551"/>
      <c r="BG29" s="551"/>
      <c r="BH29" s="551"/>
      <c r="BI29" s="551"/>
      <c r="BJ29" s="551"/>
      <c r="BK29" s="551"/>
    </row>
    <row r="30" spans="1:63" ht="12.75" customHeight="1">
      <c r="A30" s="1002" t="s">
        <v>257</v>
      </c>
      <c r="B30" s="1003">
        <f t="shared" si="3"/>
        <v>0</v>
      </c>
      <c r="C30" s="1001"/>
      <c r="D30" s="551"/>
      <c r="E30" s="551"/>
      <c r="F30" s="551"/>
      <c r="G30" s="551"/>
      <c r="H30" s="551"/>
      <c r="I30" s="551"/>
      <c r="J30" s="551"/>
      <c r="K30" s="551"/>
      <c r="L30" s="551"/>
      <c r="M30" s="551"/>
      <c r="N30" s="551"/>
      <c r="O30" s="551"/>
      <c r="P30" s="551"/>
      <c r="Q30" s="551"/>
      <c r="R30" s="1023"/>
      <c r="S30" s="1023"/>
      <c r="T30" s="1023"/>
      <c r="U30" s="1023"/>
      <c r="V30" s="1023"/>
      <c r="W30" s="1023"/>
      <c r="X30" s="1023"/>
      <c r="Y30" s="1023"/>
      <c r="Z30" s="1023"/>
      <c r="AA30" s="551"/>
      <c r="AB30" s="551"/>
      <c r="AC30" s="551"/>
      <c r="AD30" s="551"/>
      <c r="AE30" s="551"/>
      <c r="AF30" s="551"/>
      <c r="AG30" s="551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51"/>
      <c r="BC30" s="551"/>
      <c r="BD30" s="551"/>
      <c r="BE30" s="551"/>
      <c r="BF30" s="551"/>
      <c r="BG30" s="551"/>
      <c r="BH30" s="551"/>
      <c r="BI30" s="551"/>
      <c r="BJ30" s="551"/>
      <c r="BK30" s="551"/>
    </row>
    <row r="31" spans="1:63" ht="12.75" customHeight="1">
      <c r="A31" s="1002" t="s">
        <v>258</v>
      </c>
      <c r="B31" s="1003">
        <f t="shared" si="3"/>
        <v>0</v>
      </c>
      <c r="C31" s="100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1"/>
      <c r="P31" s="551"/>
      <c r="Q31" s="551"/>
      <c r="R31" s="1023"/>
      <c r="S31" s="1023"/>
      <c r="T31" s="1023"/>
      <c r="U31" s="1023"/>
      <c r="V31" s="1023"/>
      <c r="W31" s="1023"/>
      <c r="X31" s="1023"/>
      <c r="Y31" s="1023"/>
      <c r="Z31" s="1023"/>
      <c r="AA31" s="551"/>
      <c r="AB31" s="551"/>
      <c r="AC31" s="551"/>
      <c r="AD31" s="551"/>
      <c r="AE31" s="551"/>
      <c r="AF31" s="551"/>
      <c r="AG31" s="551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  <c r="AS31" s="551"/>
      <c r="AT31" s="551"/>
      <c r="AU31" s="551"/>
      <c r="AV31" s="551"/>
      <c r="AW31" s="551"/>
      <c r="AX31" s="551"/>
      <c r="AY31" s="551"/>
      <c r="AZ31" s="551"/>
      <c r="BA31" s="551"/>
      <c r="BB31" s="551"/>
      <c r="BC31" s="1004"/>
      <c r="BD31" s="1004"/>
      <c r="BE31" s="551"/>
      <c r="BF31" s="551"/>
      <c r="BG31" s="551"/>
      <c r="BH31" s="551"/>
      <c r="BI31" s="551"/>
      <c r="BJ31" s="973"/>
      <c r="BK31" s="973"/>
    </row>
    <row r="32" spans="1:63" ht="12.75" customHeight="1">
      <c r="A32" s="1002" t="s">
        <v>1532</v>
      </c>
      <c r="B32" s="1003">
        <f>SUM(D32:BH32)</f>
        <v>0</v>
      </c>
      <c r="C32" s="100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1"/>
      <c r="P32" s="551"/>
      <c r="Q32" s="551"/>
      <c r="R32" s="1023"/>
      <c r="S32" s="1023"/>
      <c r="T32" s="1023"/>
      <c r="U32" s="1023"/>
      <c r="V32" s="1023"/>
      <c r="W32" s="1023"/>
      <c r="X32" s="1023"/>
      <c r="Y32" s="1023"/>
      <c r="Z32" s="1023"/>
      <c r="AA32" s="551"/>
      <c r="AB32" s="551"/>
      <c r="AC32" s="551"/>
      <c r="AD32" s="551"/>
      <c r="AE32" s="551"/>
      <c r="AF32" s="551"/>
      <c r="AG32" s="551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1004"/>
      <c r="BD32" s="1004"/>
      <c r="BE32" s="551"/>
      <c r="BF32" s="551"/>
      <c r="BG32" s="551"/>
      <c r="BH32" s="551"/>
      <c r="BI32" s="551"/>
      <c r="BJ32" s="973"/>
      <c r="BK32" s="973"/>
    </row>
    <row r="33" spans="1:63" ht="12.75" customHeight="1">
      <c r="A33" s="1002" t="s">
        <v>260</v>
      </c>
      <c r="B33" s="1003">
        <f t="shared" si="3"/>
        <v>7022707423</v>
      </c>
      <c r="C33" s="1001"/>
      <c r="D33" s="551"/>
      <c r="E33" s="551"/>
      <c r="F33" s="551"/>
      <c r="G33" s="551"/>
      <c r="H33" s="551">
        <f>-H9</f>
        <v>7022707423</v>
      </c>
      <c r="I33" s="551"/>
      <c r="J33" s="551"/>
      <c r="K33" s="551"/>
      <c r="L33" s="551"/>
      <c r="M33" s="551"/>
      <c r="N33" s="551"/>
      <c r="O33" s="551"/>
      <c r="P33" s="551"/>
      <c r="Q33" s="551"/>
      <c r="R33" s="1023"/>
      <c r="S33" s="1023"/>
      <c r="T33" s="1023"/>
      <c r="U33" s="1023"/>
      <c r="V33" s="1023"/>
      <c r="W33" s="1023"/>
      <c r="X33" s="1023"/>
      <c r="Y33" s="1023"/>
      <c r="Z33" s="1023"/>
      <c r="AA33" s="551"/>
      <c r="AB33" s="551"/>
      <c r="AC33" s="551"/>
      <c r="AD33" s="551"/>
      <c r="AE33" s="551"/>
      <c r="AF33" s="551"/>
      <c r="AG33" s="551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1004"/>
      <c r="BD33" s="1004"/>
      <c r="BE33" s="551"/>
      <c r="BF33" s="551"/>
      <c r="BG33" s="551"/>
      <c r="BH33" s="551"/>
      <c r="BI33" s="551"/>
      <c r="BJ33" s="973"/>
      <c r="BK33" s="973"/>
    </row>
    <row r="34" spans="1:63" ht="12.75" customHeight="1">
      <c r="A34" s="1002" t="s">
        <v>261</v>
      </c>
      <c r="B34" s="1003">
        <f t="shared" si="3"/>
        <v>0</v>
      </c>
      <c r="C34" s="1001"/>
      <c r="D34" s="551"/>
      <c r="E34" s="551"/>
      <c r="F34" s="551"/>
      <c r="G34" s="551"/>
      <c r="H34" s="551"/>
      <c r="I34" s="551"/>
      <c r="J34" s="551"/>
      <c r="K34" s="551"/>
      <c r="L34" s="551"/>
      <c r="M34" s="551"/>
      <c r="N34" s="551"/>
      <c r="O34" s="551"/>
      <c r="P34" s="551"/>
      <c r="Q34" s="551"/>
      <c r="R34" s="1023"/>
      <c r="S34" s="1023"/>
      <c r="T34" s="1023"/>
      <c r="U34" s="1023"/>
      <c r="V34" s="1023"/>
      <c r="W34" s="1023"/>
      <c r="X34" s="1023"/>
      <c r="Y34" s="1023"/>
      <c r="Z34" s="1023"/>
      <c r="AA34" s="551"/>
      <c r="AB34" s="551"/>
      <c r="AC34" s="551"/>
      <c r="AD34" s="551"/>
      <c r="AE34" s="551"/>
      <c r="AF34" s="551"/>
      <c r="AG34" s="551"/>
      <c r="AH34" s="551"/>
      <c r="AI34" s="551"/>
      <c r="AJ34" s="551"/>
      <c r="AK34" s="551"/>
      <c r="AL34" s="551"/>
      <c r="AM34" s="551"/>
      <c r="AN34" s="551"/>
      <c r="AO34" s="551"/>
      <c r="AP34" s="551"/>
      <c r="AQ34" s="551"/>
      <c r="AR34" s="551"/>
      <c r="AS34" s="551"/>
      <c r="AT34" s="551"/>
      <c r="AU34" s="551"/>
      <c r="AV34" s="551"/>
      <c r="AW34" s="551"/>
      <c r="AX34" s="551"/>
      <c r="AY34" s="551"/>
      <c r="AZ34" s="551"/>
      <c r="BA34" s="551"/>
      <c r="BB34" s="551"/>
      <c r="BC34" s="551"/>
      <c r="BD34" s="551"/>
      <c r="BE34" s="551"/>
      <c r="BF34" s="551"/>
      <c r="BG34" s="551"/>
      <c r="BH34" s="551"/>
      <c r="BI34" s="551"/>
      <c r="BJ34" s="551"/>
      <c r="BK34" s="551"/>
    </row>
    <row r="35" spans="1:63" ht="12.75" customHeight="1">
      <c r="A35" s="1002" t="s">
        <v>263</v>
      </c>
      <c r="B35" s="1024">
        <f>SUM(B28:B34)</f>
        <v>6852707423</v>
      </c>
      <c r="C35" s="100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1"/>
      <c r="P35" s="551"/>
      <c r="Q35" s="551"/>
      <c r="R35" s="551"/>
      <c r="S35" s="551"/>
      <c r="T35" s="551"/>
      <c r="U35" s="551"/>
      <c r="V35" s="551"/>
      <c r="W35" s="551"/>
      <c r="X35" s="551"/>
      <c r="Y35" s="551"/>
      <c r="Z35" s="551"/>
      <c r="AA35" s="551"/>
      <c r="AB35" s="551"/>
      <c r="AC35" s="551"/>
      <c r="AD35" s="551"/>
      <c r="AE35" s="551"/>
      <c r="AF35" s="551"/>
      <c r="AG35" s="551"/>
      <c r="AH35" s="551"/>
      <c r="AI35" s="551"/>
      <c r="AJ35" s="551"/>
      <c r="AK35" s="551"/>
      <c r="AL35" s="551"/>
      <c r="AM35" s="551"/>
      <c r="AN35" s="551"/>
      <c r="AO35" s="551"/>
      <c r="AP35" s="551"/>
      <c r="AQ35" s="551"/>
      <c r="AR35" s="551"/>
      <c r="AS35" s="551"/>
      <c r="AT35" s="551"/>
      <c r="AU35" s="551"/>
      <c r="AV35" s="551"/>
      <c r="AW35" s="551"/>
      <c r="AX35" s="551"/>
      <c r="AY35" s="551"/>
      <c r="AZ35" s="551"/>
      <c r="BA35" s="551"/>
      <c r="BB35" s="551"/>
      <c r="BC35" s="551"/>
      <c r="BD35" s="551"/>
      <c r="BE35" s="551"/>
      <c r="BF35" s="551"/>
      <c r="BG35" s="551"/>
      <c r="BH35" s="551"/>
      <c r="BI35" s="551"/>
      <c r="BJ35" s="551"/>
      <c r="BK35" s="551"/>
    </row>
    <row r="36" spans="1:63" ht="12.75" customHeight="1">
      <c r="A36" s="1002"/>
      <c r="B36" s="1003"/>
      <c r="C36" s="100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1"/>
      <c r="P36" s="551"/>
      <c r="Q36" s="551"/>
      <c r="R36" s="551"/>
      <c r="S36" s="551"/>
      <c r="T36" s="551"/>
      <c r="U36" s="551"/>
      <c r="V36" s="551"/>
      <c r="W36" s="551"/>
      <c r="X36" s="551"/>
      <c r="Y36" s="551"/>
      <c r="Z36" s="551"/>
      <c r="AA36" s="551"/>
      <c r="AB36" s="551"/>
      <c r="AC36" s="551"/>
      <c r="AD36" s="551"/>
      <c r="AE36" s="551"/>
      <c r="AF36" s="551"/>
      <c r="AG36" s="551"/>
      <c r="AH36" s="551"/>
      <c r="AI36" s="551"/>
      <c r="AJ36" s="551"/>
      <c r="AK36" s="551"/>
      <c r="AL36" s="551"/>
      <c r="AM36" s="551"/>
      <c r="AN36" s="551"/>
      <c r="AO36" s="551"/>
      <c r="AP36" s="551"/>
      <c r="AQ36" s="551"/>
      <c r="AR36" s="551"/>
      <c r="AS36" s="551"/>
      <c r="AT36" s="551"/>
      <c r="AU36" s="551"/>
      <c r="AV36" s="551"/>
      <c r="AW36" s="551"/>
      <c r="AX36" s="551"/>
      <c r="AY36" s="551"/>
      <c r="AZ36" s="551"/>
      <c r="BA36" s="551"/>
      <c r="BB36" s="551"/>
      <c r="BC36" s="551"/>
      <c r="BD36" s="551"/>
      <c r="BE36" s="551"/>
      <c r="BF36" s="551"/>
      <c r="BG36" s="551"/>
      <c r="BH36" s="551"/>
      <c r="BI36" s="551"/>
      <c r="BJ36" s="973"/>
      <c r="BK36" s="973"/>
    </row>
    <row r="37" spans="1:63" ht="12.75" customHeight="1">
      <c r="A37" s="1021" t="s">
        <v>265</v>
      </c>
      <c r="B37" s="1025"/>
      <c r="C37" s="1001"/>
      <c r="D37" s="551"/>
      <c r="E37" s="551"/>
      <c r="F37" s="551"/>
      <c r="G37" s="551"/>
      <c r="H37" s="551"/>
      <c r="I37" s="551"/>
      <c r="J37" s="551"/>
      <c r="K37" s="551"/>
      <c r="L37" s="551"/>
      <c r="M37" s="551"/>
      <c r="N37" s="551"/>
      <c r="O37" s="551"/>
      <c r="P37" s="551"/>
      <c r="Q37" s="551"/>
      <c r="R37" s="551"/>
      <c r="S37" s="551"/>
      <c r="T37" s="551"/>
      <c r="U37" s="551"/>
      <c r="V37" s="551"/>
      <c r="W37" s="551"/>
      <c r="X37" s="551"/>
      <c r="Y37" s="551"/>
      <c r="Z37" s="551"/>
      <c r="AA37" s="551"/>
      <c r="AB37" s="551"/>
      <c r="AC37" s="551"/>
      <c r="AD37" s="551"/>
      <c r="AE37" s="551"/>
      <c r="AF37" s="551"/>
      <c r="AG37" s="551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1"/>
      <c r="BD37" s="551"/>
      <c r="BE37" s="551"/>
      <c r="BF37" s="551"/>
      <c r="BG37" s="551"/>
      <c r="BH37" s="551"/>
      <c r="BI37" s="551"/>
      <c r="BJ37" s="973"/>
      <c r="BK37" s="1181"/>
    </row>
    <row r="38" spans="1:63" ht="12.75" customHeight="1">
      <c r="A38" s="1002" t="s">
        <v>267</v>
      </c>
      <c r="B38" s="1003">
        <f>SUM(E38:BH38)</f>
        <v>826004939945</v>
      </c>
      <c r="C38" s="100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1446">
        <v>826004939945</v>
      </c>
      <c r="AA38" s="551"/>
      <c r="AB38" s="551"/>
      <c r="AC38" s="551"/>
      <c r="AD38" s="551"/>
      <c r="AE38" s="551"/>
      <c r="AF38" s="551"/>
      <c r="AG38" s="551"/>
      <c r="AH38" s="551"/>
      <c r="AI38" s="551"/>
      <c r="AJ38" s="551"/>
      <c r="AK38" s="551"/>
      <c r="AL38" s="551"/>
      <c r="AM38" s="551"/>
      <c r="AN38" s="551"/>
      <c r="AO38" s="551"/>
      <c r="AP38" s="551"/>
      <c r="AQ38" s="551"/>
      <c r="AR38" s="551"/>
      <c r="AS38" s="551"/>
      <c r="AT38" s="551"/>
      <c r="AU38" s="551"/>
      <c r="AV38" s="551"/>
      <c r="AW38" s="551"/>
      <c r="AX38" s="551"/>
      <c r="AY38" s="551"/>
      <c r="AZ38" s="551"/>
      <c r="BA38" s="551"/>
      <c r="BB38" s="551"/>
      <c r="BC38" s="551"/>
      <c r="BD38" s="551"/>
      <c r="BE38" s="551"/>
      <c r="BF38" s="551"/>
      <c r="BG38" s="551"/>
      <c r="BH38" s="551"/>
      <c r="BI38" s="551"/>
      <c r="BJ38" s="1180"/>
      <c r="BK38" s="973"/>
    </row>
    <row r="39" spans="1:63" ht="12.75" customHeight="1">
      <c r="A39" s="1002" t="s">
        <v>268</v>
      </c>
      <c r="B39" s="1003">
        <f>SUM(E39:BH39)</f>
        <v>-793982710777</v>
      </c>
      <c r="C39" s="100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1446">
        <f>-'Hutang Bank'!D25</f>
        <v>-793982710777</v>
      </c>
      <c r="Z39" s="551"/>
      <c r="AA39" s="551"/>
      <c r="AB39" s="551"/>
      <c r="AC39" s="551"/>
      <c r="AD39" s="551"/>
      <c r="AE39" s="551"/>
      <c r="AF39" s="551"/>
      <c r="AG39" s="551"/>
      <c r="AH39" s="551"/>
      <c r="AJ39" s="551"/>
      <c r="AK39" s="551"/>
      <c r="AL39" s="551"/>
      <c r="AM39" s="551"/>
      <c r="AN39" s="551"/>
      <c r="AO39" s="551"/>
      <c r="AP39" s="551"/>
      <c r="AQ39" s="551"/>
      <c r="AR39" s="551"/>
      <c r="AS39" s="551"/>
      <c r="AT39" s="551"/>
      <c r="AU39" s="551"/>
      <c r="AV39" s="551"/>
      <c r="AW39" s="551"/>
      <c r="AX39" s="551"/>
      <c r="AY39" s="551"/>
      <c r="AZ39" s="551"/>
      <c r="BA39" s="551"/>
      <c r="BB39" s="551"/>
      <c r="BC39" s="551"/>
      <c r="BD39" s="551"/>
      <c r="BE39" s="551"/>
      <c r="BF39" s="551"/>
      <c r="BG39" s="551"/>
      <c r="BH39" s="551"/>
      <c r="BI39" s="551"/>
      <c r="BJ39" s="551"/>
      <c r="BK39" s="551"/>
    </row>
    <row r="40" spans="1:63" ht="12.75" customHeight="1">
      <c r="A40" s="1002" t="s">
        <v>269</v>
      </c>
      <c r="B40" s="1003">
        <f t="shared" ref="B40:B47" si="4">SUM(D40:BH40)</f>
        <v>0</v>
      </c>
      <c r="C40" s="1001"/>
      <c r="D40" s="551"/>
      <c r="E40" s="551"/>
      <c r="F40" s="551"/>
      <c r="G40" s="551"/>
      <c r="H40" s="551"/>
      <c r="I40" s="551"/>
      <c r="J40" s="551"/>
      <c r="K40" s="551"/>
      <c r="L40" s="551"/>
      <c r="M40" s="551"/>
      <c r="N40" s="551"/>
      <c r="O40" s="551"/>
      <c r="P40" s="551"/>
      <c r="Q40" s="551"/>
      <c r="R40" s="551"/>
      <c r="S40" s="551"/>
      <c r="T40" s="551"/>
      <c r="U40" s="551"/>
      <c r="V40" s="551"/>
      <c r="W40" s="551"/>
      <c r="X40" s="551"/>
      <c r="Y40" s="551"/>
      <c r="Z40" s="551"/>
      <c r="AA40" s="551"/>
      <c r="AB40" s="551"/>
      <c r="AC40" s="551"/>
      <c r="AD40" s="551"/>
      <c r="AE40" s="551"/>
      <c r="AF40" s="551"/>
      <c r="AG40" s="551"/>
      <c r="AH40" s="551"/>
      <c r="AI40" s="551"/>
      <c r="AJ40" s="551"/>
      <c r="AK40" s="551"/>
      <c r="AL40" s="551"/>
      <c r="AM40" s="551"/>
      <c r="AN40" s="551"/>
      <c r="AO40" s="551"/>
      <c r="AP40" s="551"/>
      <c r="AQ40" s="551"/>
      <c r="AR40" s="551"/>
      <c r="AS40" s="551"/>
      <c r="AT40" s="551"/>
      <c r="AU40" s="551"/>
      <c r="AV40" s="551"/>
      <c r="AW40" s="551"/>
      <c r="AX40" s="551"/>
      <c r="AY40" s="551"/>
      <c r="AZ40" s="551"/>
      <c r="BA40" s="551"/>
      <c r="BB40" s="551"/>
      <c r="BC40" s="551"/>
      <c r="BD40" s="551"/>
      <c r="BE40" s="551"/>
      <c r="BF40" s="551"/>
      <c r="BG40" s="551"/>
      <c r="BH40" s="551"/>
      <c r="BI40" s="551"/>
      <c r="BJ40" s="551"/>
      <c r="BK40" s="551"/>
    </row>
    <row r="41" spans="1:63" ht="12.75" customHeight="1">
      <c r="A41" s="1002" t="s">
        <v>270</v>
      </c>
      <c r="B41" s="1003">
        <f t="shared" si="4"/>
        <v>-624277457</v>
      </c>
      <c r="C41" s="1001"/>
      <c r="D41" s="551"/>
      <c r="E41" s="551"/>
      <c r="F41" s="551"/>
      <c r="G41" s="551"/>
      <c r="H41" s="551"/>
      <c r="I41" s="551"/>
      <c r="J41" s="551"/>
      <c r="K41" s="551"/>
      <c r="L41" s="551"/>
      <c r="M41" s="551"/>
      <c r="N41" s="551"/>
      <c r="O41" s="551"/>
      <c r="P41" s="551"/>
      <c r="Q41" s="551"/>
      <c r="R41" s="551"/>
      <c r="S41" s="551"/>
      <c r="T41" s="551"/>
      <c r="U41" s="551"/>
      <c r="V41" s="551"/>
      <c r="W41" s="551"/>
      <c r="X41" s="551"/>
      <c r="Y41" s="551"/>
      <c r="Z41" s="551"/>
      <c r="AA41" s="551"/>
      <c r="AB41" s="551"/>
      <c r="AC41" s="551"/>
      <c r="AD41" s="551"/>
      <c r="AE41" s="551"/>
      <c r="AF41" s="551"/>
      <c r="AG41" s="559">
        <f>-AG9</f>
        <v>-624277457</v>
      </c>
      <c r="AH41" s="551"/>
      <c r="AI41" s="551"/>
      <c r="AJ41" s="551"/>
      <c r="AK41" s="551"/>
      <c r="AL41" s="551"/>
      <c r="AM41" s="551"/>
      <c r="AN41" s="551"/>
      <c r="AO41" s="551"/>
      <c r="AP41" s="551"/>
      <c r="AQ41" s="551"/>
      <c r="AR41" s="551"/>
      <c r="AS41" s="551"/>
      <c r="AT41" s="551"/>
      <c r="AU41" s="551"/>
      <c r="AV41" s="551"/>
      <c r="AW41" s="551"/>
      <c r="AX41" s="551"/>
      <c r="AY41" s="551"/>
      <c r="AZ41" s="551"/>
      <c r="BA41" s="551"/>
      <c r="BB41" s="551"/>
      <c r="BC41" s="551"/>
      <c r="BD41" s="551"/>
      <c r="BE41" s="551"/>
      <c r="BF41" s="551"/>
      <c r="BG41" s="551"/>
      <c r="BH41" s="551"/>
      <c r="BI41" s="551"/>
      <c r="BJ41" s="551"/>
      <c r="BK41" s="551"/>
    </row>
    <row r="42" spans="1:63" ht="12.75" customHeight="1">
      <c r="A42" s="1002" t="s">
        <v>271</v>
      </c>
      <c r="B42" s="1003">
        <f t="shared" si="4"/>
        <v>0</v>
      </c>
      <c r="C42" s="1001"/>
      <c r="D42" s="551"/>
      <c r="E42" s="551"/>
      <c r="F42" s="551"/>
      <c r="G42" s="551"/>
      <c r="H42" s="551"/>
      <c r="I42" s="551"/>
      <c r="J42" s="551"/>
      <c r="K42" s="551"/>
      <c r="L42" s="551"/>
      <c r="M42" s="551"/>
      <c r="N42" s="551"/>
      <c r="O42" s="551"/>
      <c r="P42" s="551"/>
      <c r="Q42" s="551"/>
      <c r="R42" s="551"/>
      <c r="S42" s="551"/>
      <c r="T42" s="551"/>
      <c r="U42" s="551"/>
      <c r="V42" s="551"/>
      <c r="W42" s="551"/>
      <c r="X42" s="551"/>
      <c r="Y42" s="551"/>
      <c r="Z42" s="551"/>
      <c r="AA42" s="551"/>
      <c r="AB42" s="551"/>
      <c r="AC42" s="551"/>
      <c r="AD42" s="551"/>
      <c r="AE42" s="551"/>
      <c r="AF42" s="551"/>
      <c r="AG42" s="551"/>
      <c r="AH42" s="551"/>
      <c r="AI42" s="551"/>
      <c r="AJ42" s="551"/>
      <c r="AK42" s="551"/>
      <c r="AL42" s="551"/>
      <c r="AM42" s="551">
        <f>-AM9</f>
        <v>15000000000</v>
      </c>
      <c r="AN42" s="551">
        <f>-AN9</f>
        <v>0</v>
      </c>
      <c r="AO42" s="551"/>
      <c r="AP42" s="551"/>
      <c r="AQ42" s="551"/>
      <c r="AR42" s="551"/>
      <c r="AS42" s="551"/>
      <c r="AT42" s="551"/>
      <c r="AU42" s="551"/>
      <c r="AV42" s="551">
        <f>-AV9</f>
        <v>-15000000000</v>
      </c>
      <c r="AW42" s="551"/>
      <c r="AX42" s="551"/>
      <c r="AY42" s="551"/>
      <c r="AZ42" s="551"/>
      <c r="BA42" s="551"/>
      <c r="BB42" s="551"/>
      <c r="BC42" s="551"/>
      <c r="BD42" s="551"/>
      <c r="BE42" s="551"/>
      <c r="BF42" s="551"/>
      <c r="BG42" s="551"/>
      <c r="BH42" s="551"/>
      <c r="BI42" s="551"/>
      <c r="BJ42" s="551"/>
      <c r="BK42" s="551"/>
    </row>
    <row r="43" spans="1:63" ht="12.75" customHeight="1">
      <c r="A43" s="1002" t="s">
        <v>272</v>
      </c>
      <c r="B43" s="1003">
        <f t="shared" si="4"/>
        <v>-76360023</v>
      </c>
      <c r="C43" s="100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1"/>
      <c r="P43" s="551"/>
      <c r="Q43" s="551"/>
      <c r="R43" s="551"/>
      <c r="S43" s="551"/>
      <c r="T43" s="551"/>
      <c r="U43" s="551"/>
      <c r="V43" s="551"/>
      <c r="W43" s="551"/>
      <c r="X43" s="551"/>
      <c r="Y43" s="551"/>
      <c r="Z43" s="551"/>
      <c r="AA43" s="551"/>
      <c r="AB43" s="551"/>
      <c r="AC43" s="551"/>
      <c r="AD43" s="551"/>
      <c r="AE43" s="551"/>
      <c r="AF43" s="551"/>
      <c r="AG43" s="551"/>
      <c r="AH43" s="551"/>
      <c r="AI43" s="551"/>
      <c r="AJ43" s="551"/>
      <c r="AK43" s="551">
        <f>-AK9</f>
        <v>-76360023</v>
      </c>
      <c r="AL43" s="551"/>
      <c r="AM43" s="551"/>
      <c r="AN43" s="551"/>
      <c r="AO43" s="551"/>
      <c r="AP43" s="551"/>
      <c r="AQ43" s="551"/>
      <c r="AR43" s="551"/>
      <c r="AS43" s="551"/>
      <c r="AT43" s="551"/>
      <c r="AU43" s="551"/>
      <c r="AV43" s="551"/>
      <c r="AW43" s="551"/>
      <c r="AX43" s="551"/>
      <c r="AY43" s="551"/>
      <c r="AZ43" s="551"/>
      <c r="BA43" s="551"/>
      <c r="BB43" s="551"/>
      <c r="BC43" s="551"/>
      <c r="BD43" s="551"/>
      <c r="BE43" s="551"/>
      <c r="BF43" s="551"/>
      <c r="BG43" s="551"/>
      <c r="BH43" s="551"/>
      <c r="BI43" s="551"/>
      <c r="BJ43" s="551"/>
      <c r="BK43" s="551"/>
    </row>
    <row r="44" spans="1:63" ht="12.75" customHeight="1">
      <c r="A44" s="1002" t="s">
        <v>1533</v>
      </c>
      <c r="B44" s="1003">
        <f t="shared" si="4"/>
        <v>14500000000</v>
      </c>
      <c r="C44" s="100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1"/>
      <c r="P44" s="551"/>
      <c r="Q44" s="551"/>
      <c r="R44" s="551"/>
      <c r="S44" s="551"/>
      <c r="T44" s="551"/>
      <c r="U44" s="551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M44" s="551"/>
      <c r="AN44" s="551"/>
      <c r="AO44" s="551">
        <f>-AO9</f>
        <v>14500000000</v>
      </c>
      <c r="AP44" s="551"/>
      <c r="AQ44" s="551"/>
      <c r="AR44" s="551"/>
      <c r="AS44" s="551"/>
      <c r="AT44" s="551"/>
      <c r="AU44" s="551"/>
      <c r="AV44" s="551"/>
      <c r="AW44" s="551"/>
      <c r="AX44" s="551"/>
      <c r="AY44" s="551"/>
      <c r="AZ44" s="551"/>
      <c r="BA44" s="551"/>
      <c r="BB44" s="551"/>
      <c r="BC44" s="551"/>
      <c r="BD44" s="551"/>
      <c r="BE44" s="551"/>
      <c r="BF44" s="551"/>
      <c r="BG44" s="551"/>
      <c r="BH44" s="551"/>
      <c r="BI44" s="551"/>
      <c r="BJ44" s="551"/>
      <c r="BK44" s="551"/>
    </row>
    <row r="45" spans="1:63" ht="12.75" customHeight="1">
      <c r="A45" s="1002" t="s">
        <v>1534</v>
      </c>
      <c r="B45" s="1003">
        <f t="shared" si="4"/>
        <v>58000000000</v>
      </c>
      <c r="C45" s="100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51"/>
      <c r="AB45" s="551"/>
      <c r="AC45" s="551"/>
      <c r="AD45" s="551"/>
      <c r="AE45" s="551"/>
      <c r="AF45" s="551"/>
      <c r="AG45" s="551"/>
      <c r="AH45" s="551"/>
      <c r="AI45" s="551"/>
      <c r="AJ45" s="551"/>
      <c r="AK45" s="551"/>
      <c r="AL45" s="551"/>
      <c r="AM45" s="551"/>
      <c r="AN45" s="551"/>
      <c r="AO45" s="551"/>
      <c r="AP45" s="551">
        <f>-AP9</f>
        <v>58000000000</v>
      </c>
      <c r="AQ45" s="551"/>
      <c r="AR45" s="551"/>
      <c r="AS45" s="551"/>
      <c r="AT45" s="551"/>
      <c r="AU45" s="551"/>
      <c r="AV45" s="551"/>
      <c r="AW45" s="551"/>
      <c r="AX45" s="551"/>
      <c r="AY45" s="551"/>
      <c r="AZ45" s="551"/>
      <c r="BA45" s="551"/>
      <c r="BB45" s="551"/>
      <c r="BC45" s="551"/>
      <c r="BD45" s="551"/>
      <c r="BE45" s="551"/>
      <c r="BF45" s="551"/>
      <c r="BG45" s="551"/>
      <c r="BH45" s="551"/>
      <c r="BI45" s="551"/>
      <c r="BJ45" s="551"/>
      <c r="BK45" s="551"/>
    </row>
    <row r="46" spans="1:63" ht="12.75" customHeight="1">
      <c r="A46" s="1002" t="s">
        <v>1535</v>
      </c>
      <c r="B46" s="1003">
        <f t="shared" si="4"/>
        <v>-3115944915</v>
      </c>
      <c r="C46" s="1001"/>
      <c r="D46" s="551"/>
      <c r="E46" s="551"/>
      <c r="F46" s="551"/>
      <c r="G46" s="551"/>
      <c r="H46" s="551"/>
      <c r="I46" s="551"/>
      <c r="J46" s="551"/>
      <c r="K46" s="551"/>
      <c r="L46" s="551"/>
      <c r="M46" s="551"/>
      <c r="N46" s="551"/>
      <c r="O46" s="551"/>
      <c r="P46" s="551"/>
      <c r="Q46" s="551"/>
      <c r="R46" s="551"/>
      <c r="S46" s="551"/>
      <c r="T46" s="551"/>
      <c r="U46" s="551"/>
      <c r="V46" s="551"/>
      <c r="W46" s="551"/>
      <c r="X46" s="551"/>
      <c r="Y46" s="551"/>
      <c r="Z46" s="551"/>
      <c r="AA46" s="551"/>
      <c r="AB46" s="551"/>
      <c r="AC46" s="551"/>
      <c r="AD46" s="551"/>
      <c r="AE46" s="551"/>
      <c r="AF46" s="551"/>
      <c r="AG46" s="551"/>
      <c r="AH46" s="551"/>
      <c r="AI46" s="551"/>
      <c r="AJ46" s="551"/>
      <c r="AK46" s="551"/>
      <c r="AL46" s="551"/>
      <c r="AM46" s="551"/>
      <c r="AN46" s="551"/>
      <c r="AO46" s="551"/>
      <c r="AP46" s="551"/>
      <c r="AQ46" s="551">
        <f>-AQ9</f>
        <v>-3115944915</v>
      </c>
      <c r="AR46" s="551"/>
      <c r="AS46" s="551"/>
      <c r="AT46" s="551"/>
      <c r="AU46" s="551"/>
      <c r="AV46" s="551"/>
      <c r="AW46" s="551"/>
      <c r="AX46" s="551"/>
      <c r="AY46" s="551"/>
      <c r="AZ46" s="551"/>
      <c r="BA46" s="551"/>
      <c r="BB46" s="551"/>
      <c r="BC46" s="551"/>
      <c r="BD46" s="551"/>
      <c r="BE46" s="551"/>
      <c r="BF46" s="551"/>
      <c r="BG46" s="551"/>
      <c r="BH46" s="551"/>
      <c r="BI46" s="551"/>
      <c r="BJ46" s="551"/>
      <c r="BK46" s="551"/>
    </row>
    <row r="47" spans="1:63" ht="12.75" customHeight="1">
      <c r="A47" s="1002" t="s">
        <v>273</v>
      </c>
      <c r="B47" s="1003">
        <f t="shared" si="4"/>
        <v>-595676695</v>
      </c>
      <c r="C47" s="100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1"/>
      <c r="P47" s="551"/>
      <c r="Q47" s="551"/>
      <c r="R47" s="551"/>
      <c r="S47" s="551"/>
      <c r="T47" s="551"/>
      <c r="U47" s="551"/>
      <c r="V47" s="551"/>
      <c r="W47" s="551"/>
      <c r="X47" s="551"/>
      <c r="Y47" s="551"/>
      <c r="Z47" s="551"/>
      <c r="AA47" s="551"/>
      <c r="AB47" s="551"/>
      <c r="AC47" s="551"/>
      <c r="AD47" s="551"/>
      <c r="AE47" s="559"/>
      <c r="AF47" s="559">
        <f>-AF9</f>
        <v>-595676695</v>
      </c>
      <c r="AG47" s="551"/>
      <c r="AH47" s="551"/>
      <c r="AI47" s="551"/>
      <c r="AJ47" s="551"/>
      <c r="AK47" s="551"/>
      <c r="AL47" s="551"/>
      <c r="AM47" s="551"/>
      <c r="AN47" s="551"/>
      <c r="AO47" s="551"/>
      <c r="AP47" s="551"/>
      <c r="AQ47" s="551"/>
      <c r="AR47" s="551"/>
      <c r="AS47" s="551"/>
      <c r="AT47" s="551"/>
      <c r="AU47" s="551"/>
      <c r="AV47" s="551"/>
      <c r="AW47" s="551"/>
      <c r="AX47" s="551"/>
      <c r="AY47" s="551"/>
      <c r="AZ47" s="551"/>
      <c r="BA47" s="551"/>
      <c r="BB47" s="551"/>
      <c r="BC47" s="551"/>
      <c r="BD47" s="551"/>
      <c r="BE47" s="551"/>
      <c r="BF47" s="551"/>
      <c r="BG47" s="551"/>
      <c r="BH47" s="551"/>
      <c r="BI47" s="551"/>
      <c r="BJ47" s="551"/>
      <c r="BK47" s="551"/>
    </row>
    <row r="48" spans="1:63" ht="12.75" customHeight="1">
      <c r="A48" s="1026" t="s">
        <v>274</v>
      </c>
      <c r="B48" s="1000">
        <f>SUM(B38:B47)</f>
        <v>100109970078</v>
      </c>
      <c r="C48" s="100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1"/>
      <c r="P48" s="551"/>
      <c r="Q48" s="551"/>
      <c r="R48" s="551"/>
      <c r="S48" s="551"/>
      <c r="T48" s="551"/>
      <c r="U48" s="551"/>
      <c r="V48" s="551"/>
      <c r="W48" s="551"/>
      <c r="X48" s="551"/>
      <c r="Y48" s="551"/>
      <c r="Z48" s="551"/>
      <c r="AA48" s="551"/>
      <c r="AB48" s="551"/>
      <c r="AC48" s="551"/>
      <c r="AD48" s="551"/>
      <c r="AE48" s="551"/>
      <c r="AF48" s="551"/>
      <c r="AG48" s="551"/>
      <c r="AH48" s="551"/>
      <c r="AI48" s="551"/>
      <c r="AJ48" s="551"/>
      <c r="AK48" s="551"/>
      <c r="AL48" s="551"/>
      <c r="AM48" s="551"/>
      <c r="AN48" s="551"/>
      <c r="AO48" s="551"/>
      <c r="AP48" s="551"/>
      <c r="AQ48" s="551"/>
      <c r="AR48" s="551"/>
      <c r="AS48" s="551"/>
      <c r="AT48" s="551"/>
      <c r="AU48" s="551"/>
      <c r="AV48" s="551"/>
      <c r="AW48" s="551"/>
      <c r="AX48" s="551"/>
      <c r="AY48" s="551"/>
      <c r="AZ48" s="551"/>
      <c r="BA48" s="551"/>
      <c r="BB48" s="551"/>
      <c r="BC48" s="551"/>
      <c r="BD48" s="551"/>
      <c r="BE48" s="551"/>
      <c r="BF48" s="551"/>
      <c r="BG48" s="551"/>
      <c r="BH48" s="551"/>
      <c r="BI48" s="551"/>
      <c r="BJ48" s="551"/>
      <c r="BK48" s="551"/>
    </row>
    <row r="49" spans="1:63" ht="12.75" customHeight="1">
      <c r="A49" s="1026"/>
      <c r="B49" s="1020"/>
      <c r="C49" s="100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51"/>
      <c r="AB49" s="551"/>
      <c r="AC49" s="551"/>
      <c r="AD49" s="551"/>
      <c r="AE49" s="551"/>
      <c r="AF49" s="551"/>
      <c r="AG49" s="551"/>
      <c r="AH49" s="551"/>
      <c r="AI49" s="551"/>
      <c r="AJ49" s="551"/>
      <c r="AK49" s="551"/>
      <c r="AL49" s="551"/>
      <c r="AM49" s="551"/>
      <c r="AN49" s="551"/>
      <c r="AO49" s="551"/>
      <c r="AP49" s="551"/>
      <c r="AQ49" s="551"/>
      <c r="AR49" s="551"/>
      <c r="AS49" s="551"/>
      <c r="AT49" s="551"/>
      <c r="AU49" s="551"/>
      <c r="AV49" s="551"/>
      <c r="AW49" s="551"/>
      <c r="AX49" s="551"/>
      <c r="AY49" s="551"/>
      <c r="AZ49" s="551"/>
      <c r="BA49" s="551"/>
      <c r="BB49" s="551"/>
      <c r="BC49" s="551"/>
      <c r="BD49" s="551"/>
      <c r="BE49" s="551"/>
      <c r="BF49" s="551"/>
      <c r="BG49" s="551"/>
      <c r="BH49" s="551"/>
      <c r="BI49" s="551"/>
      <c r="BJ49" s="551"/>
      <c r="BK49" s="551"/>
    </row>
    <row r="50" spans="1:63" ht="12.75" customHeight="1">
      <c r="A50" s="1026" t="s">
        <v>275</v>
      </c>
      <c r="B50" s="1020"/>
      <c r="C50" s="100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51"/>
      <c r="AB50" s="551"/>
      <c r="AC50" s="551"/>
      <c r="AD50" s="551"/>
      <c r="AE50" s="551"/>
      <c r="AF50" s="551"/>
      <c r="AG50" s="551"/>
      <c r="AH50" s="551"/>
      <c r="AI50" s="551"/>
      <c r="AJ50" s="551"/>
      <c r="AK50" s="551"/>
      <c r="AL50" s="551"/>
      <c r="AM50" s="551"/>
      <c r="AN50" s="551"/>
      <c r="AO50" s="551"/>
      <c r="AP50" s="551"/>
      <c r="AQ50" s="551"/>
      <c r="AR50" s="551"/>
      <c r="AS50" s="551"/>
      <c r="AT50" s="551"/>
      <c r="AU50" s="551"/>
      <c r="AV50" s="551"/>
      <c r="AW50" s="551"/>
      <c r="AX50" s="551"/>
      <c r="AY50" s="551"/>
      <c r="AZ50" s="551"/>
      <c r="BA50" s="551"/>
      <c r="BB50" s="551"/>
      <c r="BC50" s="551"/>
      <c r="BD50" s="551"/>
      <c r="BE50" s="551"/>
      <c r="BF50" s="551"/>
      <c r="BG50" s="551"/>
      <c r="BH50" s="551"/>
      <c r="BI50" s="551"/>
      <c r="BJ50" s="551"/>
      <c r="BK50" s="551"/>
    </row>
    <row r="51" spans="1:63" ht="12.75" customHeight="1">
      <c r="A51" s="1026"/>
      <c r="B51" s="1020"/>
      <c r="C51" s="1001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551"/>
      <c r="P51" s="551"/>
      <c r="Q51" s="551"/>
      <c r="R51" s="551"/>
      <c r="S51" s="551"/>
      <c r="T51" s="551"/>
      <c r="U51" s="551"/>
      <c r="V51" s="551"/>
      <c r="W51" s="551"/>
      <c r="X51" s="551"/>
      <c r="Y51" s="551"/>
      <c r="Z51" s="551"/>
      <c r="AA51" s="551"/>
      <c r="AB51" s="551"/>
      <c r="AC51" s="551"/>
      <c r="AD51" s="551"/>
      <c r="AE51" s="551"/>
      <c r="AF51" s="551"/>
      <c r="AG51" s="551"/>
      <c r="AH51" s="551"/>
      <c r="AI51" s="551"/>
      <c r="AJ51" s="551"/>
      <c r="AK51" s="551"/>
      <c r="AL51" s="551"/>
      <c r="AM51" s="551"/>
      <c r="AN51" s="551"/>
      <c r="AO51" s="551"/>
      <c r="AP51" s="551"/>
      <c r="AQ51" s="551"/>
      <c r="AR51" s="551"/>
      <c r="AS51" s="551"/>
      <c r="AT51" s="551"/>
      <c r="AU51" s="551"/>
      <c r="AV51" s="551"/>
      <c r="AW51" s="551"/>
      <c r="AX51" s="551"/>
      <c r="AY51" s="551"/>
      <c r="AZ51" s="551"/>
      <c r="BA51" s="551"/>
      <c r="BB51" s="551"/>
      <c r="BC51" s="551"/>
      <c r="BD51" s="551"/>
      <c r="BE51" s="551"/>
      <c r="BF51" s="551"/>
      <c r="BG51" s="551"/>
      <c r="BH51" s="551"/>
      <c r="BI51" s="551"/>
      <c r="BJ51" s="551"/>
      <c r="BK51" s="551"/>
    </row>
    <row r="52" spans="1:63" ht="12.75" customHeight="1">
      <c r="A52" s="1002"/>
      <c r="B52" s="1020"/>
      <c r="C52" s="1001"/>
      <c r="D52" s="551"/>
      <c r="E52" s="551"/>
      <c r="F52" s="551"/>
      <c r="G52" s="551"/>
      <c r="H52" s="551"/>
      <c r="I52" s="551"/>
      <c r="J52" s="551"/>
      <c r="K52" s="551"/>
      <c r="L52" s="551"/>
      <c r="M52" s="551"/>
      <c r="N52" s="551"/>
      <c r="O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51"/>
      <c r="AA52" s="551"/>
      <c r="AB52" s="551"/>
      <c r="AC52" s="551"/>
      <c r="AD52" s="551"/>
      <c r="AE52" s="551"/>
      <c r="AF52" s="551"/>
      <c r="AG52" s="551"/>
      <c r="AH52" s="551"/>
      <c r="AI52" s="551"/>
      <c r="AJ52" s="551"/>
      <c r="AK52" s="551"/>
      <c r="AL52" s="551"/>
      <c r="AM52" s="551"/>
      <c r="AN52" s="551"/>
      <c r="AO52" s="551"/>
      <c r="AP52" s="551"/>
      <c r="AQ52" s="551"/>
      <c r="AR52" s="551"/>
      <c r="AS52" s="551"/>
      <c r="AT52" s="551"/>
      <c r="AU52" s="551"/>
      <c r="AV52" s="551"/>
      <c r="AW52" s="551"/>
      <c r="AX52" s="551"/>
      <c r="AY52" s="551"/>
      <c r="AZ52" s="551"/>
      <c r="BA52" s="551"/>
      <c r="BB52" s="551"/>
      <c r="BC52" s="551"/>
      <c r="BD52" s="551"/>
      <c r="BE52" s="551"/>
      <c r="BF52" s="551"/>
      <c r="BG52" s="551"/>
      <c r="BH52" s="551"/>
      <c r="BI52" s="551"/>
      <c r="BJ52" s="551"/>
      <c r="BK52" s="551"/>
    </row>
    <row r="53" spans="1:63" ht="12.75" customHeight="1">
      <c r="A53" s="1021" t="s">
        <v>276</v>
      </c>
      <c r="B53" s="1020">
        <f>B48+B35+B22</f>
        <v>-1651911870.2399902</v>
      </c>
      <c r="C53" s="1001"/>
      <c r="D53" s="551"/>
      <c r="E53" s="551"/>
      <c r="F53" s="551"/>
      <c r="G53" s="551"/>
      <c r="H53" s="551"/>
      <c r="I53" s="551"/>
      <c r="J53" s="551"/>
      <c r="K53" s="551"/>
      <c r="L53" s="551"/>
      <c r="M53" s="551"/>
      <c r="N53" s="551"/>
      <c r="O53" s="551"/>
      <c r="P53" s="551"/>
      <c r="Q53" s="551"/>
      <c r="R53" s="551"/>
      <c r="S53" s="551"/>
      <c r="T53" s="551"/>
      <c r="U53" s="551"/>
      <c r="V53" s="551"/>
      <c r="W53" s="551"/>
      <c r="X53" s="551"/>
      <c r="Y53" s="551"/>
      <c r="Z53" s="551"/>
      <c r="AA53" s="551"/>
      <c r="AB53" s="551"/>
      <c r="AC53" s="551"/>
      <c r="AD53" s="551"/>
      <c r="AE53" s="551"/>
      <c r="AF53" s="551"/>
      <c r="AG53" s="551"/>
      <c r="AH53" s="551"/>
      <c r="AI53" s="551"/>
      <c r="AJ53" s="551"/>
      <c r="AK53" s="551"/>
      <c r="AL53" s="551"/>
      <c r="AM53" s="551"/>
      <c r="AN53" s="551"/>
      <c r="AO53" s="551"/>
      <c r="AP53" s="551"/>
      <c r="AQ53" s="551"/>
      <c r="AR53" s="551"/>
      <c r="AS53" s="551"/>
      <c r="AT53" s="551"/>
      <c r="AU53" s="551"/>
      <c r="AV53" s="551"/>
      <c r="AW53" s="551"/>
      <c r="AX53" s="551"/>
      <c r="AY53" s="551"/>
      <c r="AZ53" s="551"/>
      <c r="BA53" s="551"/>
      <c r="BB53" s="551"/>
      <c r="BC53" s="551"/>
      <c r="BD53" s="551"/>
      <c r="BE53" s="551"/>
      <c r="BF53" s="551"/>
      <c r="BG53" s="551"/>
      <c r="BH53" s="551"/>
      <c r="BI53" s="551"/>
      <c r="BJ53" s="551"/>
      <c r="BK53" s="551"/>
    </row>
    <row r="54" spans="1:63" ht="12.75" customHeight="1">
      <c r="A54" s="1021"/>
      <c r="B54" s="1020"/>
      <c r="C54" s="1001"/>
      <c r="D54" s="551"/>
      <c r="E54" s="551"/>
      <c r="F54" s="551"/>
      <c r="G54" s="551"/>
      <c r="H54" s="551"/>
      <c r="I54" s="551"/>
      <c r="J54" s="551"/>
      <c r="K54" s="551"/>
      <c r="L54" s="551"/>
      <c r="M54" s="551"/>
      <c r="N54" s="551"/>
      <c r="O54" s="551"/>
      <c r="P54" s="551"/>
      <c r="Q54" s="551"/>
      <c r="R54" s="551"/>
      <c r="S54" s="551"/>
      <c r="T54" s="551"/>
      <c r="U54" s="551"/>
      <c r="V54" s="551"/>
      <c r="W54" s="551"/>
      <c r="X54" s="551"/>
      <c r="Y54" s="551"/>
      <c r="Z54" s="551"/>
      <c r="AA54" s="551"/>
      <c r="AB54" s="551"/>
      <c r="AC54" s="551"/>
      <c r="AD54" s="551"/>
      <c r="AE54" s="551"/>
      <c r="AF54" s="551"/>
      <c r="AG54" s="551"/>
      <c r="AH54" s="551"/>
      <c r="AI54" s="551"/>
      <c r="AJ54" s="551"/>
      <c r="AK54" s="551"/>
      <c r="AL54" s="551"/>
      <c r="AM54" s="551"/>
      <c r="AN54" s="551"/>
      <c r="AO54" s="551"/>
      <c r="AP54" s="551"/>
      <c r="AQ54" s="551"/>
      <c r="AR54" s="551"/>
      <c r="AS54" s="551"/>
      <c r="AT54" s="551"/>
      <c r="AU54" s="551"/>
      <c r="AV54" s="551"/>
      <c r="AW54" s="551"/>
      <c r="AX54" s="551"/>
      <c r="AY54" s="551"/>
      <c r="AZ54" s="551"/>
      <c r="BA54" s="551"/>
      <c r="BB54" s="551"/>
      <c r="BC54" s="551"/>
      <c r="BD54" s="551"/>
      <c r="BE54" s="551"/>
      <c r="BF54" s="551"/>
      <c r="BG54" s="551"/>
      <c r="BH54" s="551"/>
      <c r="BI54" s="551"/>
      <c r="BJ54" s="551"/>
      <c r="BK54" s="551"/>
    </row>
    <row r="55" spans="1:63" ht="12.75" customHeight="1">
      <c r="A55" s="1021" t="s">
        <v>277</v>
      </c>
      <c r="B55" s="1020">
        <f>C8</f>
        <v>2570121355</v>
      </c>
      <c r="C55" s="100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  <c r="Q55" s="551"/>
      <c r="R55" s="551"/>
      <c r="S55" s="551"/>
      <c r="T55" s="551"/>
      <c r="U55" s="551"/>
      <c r="V55" s="551"/>
      <c r="W55" s="551"/>
      <c r="X55" s="551"/>
      <c r="Y55" s="551"/>
      <c r="Z55" s="551"/>
      <c r="AA55" s="551"/>
      <c r="AB55" s="551"/>
      <c r="AC55" s="551"/>
      <c r="AD55" s="551"/>
      <c r="AE55" s="551"/>
      <c r="AF55" s="551"/>
      <c r="AG55" s="551"/>
      <c r="AH55" s="551"/>
      <c r="AI55" s="551"/>
      <c r="AJ55" s="551"/>
      <c r="AK55" s="551"/>
      <c r="AL55" s="551"/>
      <c r="AM55" s="551"/>
      <c r="AN55" s="551"/>
      <c r="AO55" s="551"/>
      <c r="AP55" s="551"/>
      <c r="AQ55" s="551"/>
      <c r="AR55" s="551"/>
      <c r="AS55" s="551"/>
      <c r="AT55" s="551"/>
      <c r="AU55" s="551"/>
      <c r="AV55" s="551"/>
      <c r="AW55" s="551"/>
      <c r="AX55" s="551"/>
      <c r="AY55" s="551"/>
      <c r="AZ55" s="551"/>
      <c r="BA55" s="551"/>
      <c r="BB55" s="551"/>
      <c r="BC55" s="551"/>
      <c r="BD55" s="551"/>
      <c r="BE55" s="551"/>
      <c r="BF55" s="551"/>
      <c r="BG55" s="551"/>
      <c r="BH55" s="551"/>
      <c r="BI55" s="551"/>
      <c r="BJ55" s="551"/>
      <c r="BK55" s="551"/>
    </row>
    <row r="56" spans="1:63" ht="12.75" customHeight="1">
      <c r="A56" s="1021"/>
      <c r="B56" s="1020"/>
      <c r="C56" s="1001"/>
      <c r="D56" s="551"/>
      <c r="E56" s="551"/>
      <c r="F56" s="551"/>
      <c r="G56" s="551"/>
      <c r="H56" s="551"/>
      <c r="I56" s="551"/>
      <c r="J56" s="551"/>
      <c r="K56" s="551"/>
      <c r="L56" s="551"/>
      <c r="M56" s="551"/>
      <c r="N56" s="551"/>
      <c r="O56" s="551"/>
      <c r="P56" s="551"/>
      <c r="Q56" s="551"/>
      <c r="R56" s="551"/>
      <c r="S56" s="551"/>
      <c r="T56" s="551"/>
      <c r="U56" s="551"/>
      <c r="V56" s="551"/>
      <c r="W56" s="551"/>
      <c r="X56" s="551"/>
      <c r="Y56" s="551"/>
      <c r="Z56" s="551"/>
      <c r="AA56" s="551"/>
      <c r="AB56" s="551"/>
      <c r="AC56" s="551"/>
      <c r="AD56" s="551"/>
      <c r="AE56" s="551"/>
      <c r="AF56" s="551"/>
      <c r="AG56" s="551"/>
      <c r="AH56" s="551"/>
      <c r="AI56" s="551"/>
      <c r="AJ56" s="551"/>
      <c r="AK56" s="551"/>
      <c r="AL56" s="551"/>
      <c r="AM56" s="551"/>
      <c r="AN56" s="551"/>
      <c r="AO56" s="551"/>
      <c r="AP56" s="551"/>
      <c r="AQ56" s="551"/>
      <c r="AR56" s="551"/>
      <c r="AS56" s="551"/>
      <c r="AT56" s="551"/>
      <c r="AU56" s="551"/>
      <c r="AV56" s="551"/>
      <c r="AW56" s="551"/>
      <c r="AX56" s="551"/>
      <c r="AY56" s="551"/>
      <c r="AZ56" s="551"/>
      <c r="BA56" s="551"/>
      <c r="BB56" s="551"/>
      <c r="BC56" s="551"/>
      <c r="BD56" s="551"/>
      <c r="BE56" s="551"/>
      <c r="BF56" s="551"/>
      <c r="BG56" s="551"/>
      <c r="BH56" s="551"/>
      <c r="BI56" s="551"/>
      <c r="BJ56" s="551"/>
      <c r="BK56" s="551"/>
    </row>
    <row r="57" spans="1:63" ht="12.75" customHeight="1">
      <c r="A57" s="1027" t="s">
        <v>278</v>
      </c>
      <c r="B57" s="1028">
        <f>B53+B55</f>
        <v>918209484.76000977</v>
      </c>
      <c r="C57" s="1029"/>
      <c r="D57" s="1030"/>
      <c r="E57" s="1030"/>
      <c r="F57" s="1030"/>
      <c r="G57" s="1030"/>
      <c r="H57" s="1030"/>
      <c r="I57" s="1030"/>
      <c r="J57" s="1030"/>
      <c r="K57" s="1030"/>
      <c r="L57" s="1030"/>
      <c r="M57" s="1030"/>
      <c r="N57" s="1030"/>
      <c r="O57" s="1030"/>
      <c r="P57" s="1030"/>
      <c r="Q57" s="1030"/>
      <c r="R57" s="1030"/>
      <c r="S57" s="1030"/>
      <c r="T57" s="1030"/>
      <c r="U57" s="1030"/>
      <c r="V57" s="1030"/>
      <c r="W57" s="1030"/>
      <c r="X57" s="1030"/>
      <c r="Y57" s="1030"/>
      <c r="Z57" s="1030"/>
      <c r="AA57" s="1030"/>
      <c r="AB57" s="1030"/>
      <c r="AC57" s="1030"/>
      <c r="AD57" s="1030"/>
      <c r="AE57" s="1030"/>
      <c r="AF57" s="1030"/>
      <c r="AG57" s="1030"/>
      <c r="AH57" s="1030"/>
      <c r="AI57" s="1030"/>
      <c r="AJ57" s="1030"/>
      <c r="AK57" s="1030"/>
      <c r="AL57" s="1030"/>
      <c r="AM57" s="1030"/>
      <c r="AN57" s="1030"/>
      <c r="AO57" s="1030"/>
      <c r="AP57" s="1030"/>
      <c r="AQ57" s="1030"/>
      <c r="AR57" s="1030"/>
      <c r="AS57" s="1030"/>
      <c r="AT57" s="1030"/>
      <c r="AU57" s="1030"/>
      <c r="AV57" s="1030"/>
      <c r="AW57" s="1030"/>
      <c r="AX57" s="1030"/>
      <c r="AY57" s="1030"/>
      <c r="AZ57" s="1030"/>
      <c r="BA57" s="551"/>
      <c r="BB57" s="551"/>
      <c r="BC57" s="551"/>
      <c r="BD57" s="551"/>
      <c r="BE57" s="551"/>
      <c r="BF57" s="551"/>
      <c r="BG57" s="551"/>
      <c r="BH57" s="551"/>
      <c r="BI57" s="551"/>
      <c r="BJ57" s="551"/>
      <c r="BK57" s="551"/>
    </row>
    <row r="58" spans="1:63" ht="12.75" customHeight="1">
      <c r="A58" s="1031"/>
      <c r="B58" s="551"/>
      <c r="C58" s="1445">
        <f t="shared" ref="C58:Y58" si="5">SUM(C9:C57)</f>
        <v>-1651911870</v>
      </c>
      <c r="D58" s="1445">
        <f t="shared" si="5"/>
        <v>0</v>
      </c>
      <c r="E58" s="1445">
        <f t="shared" si="5"/>
        <v>0</v>
      </c>
      <c r="F58" s="1445">
        <f t="shared" si="5"/>
        <v>0</v>
      </c>
      <c r="G58" s="1445">
        <f t="shared" si="5"/>
        <v>0</v>
      </c>
      <c r="H58" s="1445">
        <f t="shared" si="5"/>
        <v>0</v>
      </c>
      <c r="I58" s="1445">
        <f t="shared" si="5"/>
        <v>0</v>
      </c>
      <c r="J58" s="1445">
        <f t="shared" si="5"/>
        <v>0</v>
      </c>
      <c r="K58" s="1445">
        <f t="shared" si="5"/>
        <v>0</v>
      </c>
      <c r="L58" s="1445">
        <f t="shared" si="5"/>
        <v>0</v>
      </c>
      <c r="M58" s="1445">
        <f t="shared" si="5"/>
        <v>0</v>
      </c>
      <c r="N58" s="1445">
        <f t="shared" si="5"/>
        <v>0</v>
      </c>
      <c r="O58" s="1445">
        <f t="shared" si="5"/>
        <v>0</v>
      </c>
      <c r="P58" s="1445">
        <f t="shared" si="5"/>
        <v>0</v>
      </c>
      <c r="Q58" s="1445">
        <f t="shared" si="5"/>
        <v>0</v>
      </c>
      <c r="R58" s="1445">
        <f t="shared" si="5"/>
        <v>0</v>
      </c>
      <c r="S58" s="1445">
        <f t="shared" si="5"/>
        <v>0</v>
      </c>
      <c r="T58" s="1445">
        <f t="shared" si="5"/>
        <v>0</v>
      </c>
      <c r="U58" s="1445">
        <f t="shared" si="5"/>
        <v>0</v>
      </c>
      <c r="V58" s="1445"/>
      <c r="W58" s="1445">
        <f t="shared" si="5"/>
        <v>0</v>
      </c>
      <c r="X58" s="1445">
        <f t="shared" si="5"/>
        <v>0</v>
      </c>
      <c r="Y58" s="1445">
        <f t="shared" si="5"/>
        <v>0</v>
      </c>
      <c r="Z58" s="1445"/>
      <c r="AA58" s="1445">
        <f t="shared" ref="AA58:AS58" si="6">SUM(AA9:AA57)</f>
        <v>0</v>
      </c>
      <c r="AB58" s="1445">
        <f t="shared" si="6"/>
        <v>0</v>
      </c>
      <c r="AC58" s="1445">
        <f t="shared" si="6"/>
        <v>0</v>
      </c>
      <c r="AD58" s="1445">
        <f t="shared" si="6"/>
        <v>0</v>
      </c>
      <c r="AE58" s="1445">
        <f t="shared" si="6"/>
        <v>0</v>
      </c>
      <c r="AF58" s="1445">
        <f t="shared" si="6"/>
        <v>0</v>
      </c>
      <c r="AG58" s="1445">
        <f t="shared" si="6"/>
        <v>0</v>
      </c>
      <c r="AH58" s="1445">
        <f t="shared" si="6"/>
        <v>0</v>
      </c>
      <c r="AI58" s="1445">
        <f t="shared" si="6"/>
        <v>0</v>
      </c>
      <c r="AJ58" s="1445">
        <f t="shared" si="6"/>
        <v>0</v>
      </c>
      <c r="AK58" s="1445">
        <f t="shared" si="6"/>
        <v>0</v>
      </c>
      <c r="AL58" s="1445">
        <f t="shared" si="6"/>
        <v>0</v>
      </c>
      <c r="AM58" s="1445">
        <f t="shared" si="6"/>
        <v>0</v>
      </c>
      <c r="AN58" s="1445">
        <f t="shared" si="6"/>
        <v>0</v>
      </c>
      <c r="AO58" s="1445">
        <f t="shared" si="6"/>
        <v>0</v>
      </c>
      <c r="AP58" s="1445">
        <f t="shared" si="6"/>
        <v>0</v>
      </c>
      <c r="AQ58" s="1445">
        <f t="shared" si="6"/>
        <v>0</v>
      </c>
      <c r="AR58" s="1445">
        <f t="shared" si="6"/>
        <v>0</v>
      </c>
      <c r="AS58" s="1445">
        <f t="shared" si="6"/>
        <v>0</v>
      </c>
      <c r="AT58" s="1445"/>
      <c r="AU58" s="1445"/>
      <c r="AV58" s="1445"/>
      <c r="AW58" s="1445">
        <f>SUM(AW9:AW57)</f>
        <v>0</v>
      </c>
      <c r="AX58" s="1445">
        <f>SUM(AX9:AX57)</f>
        <v>0</v>
      </c>
      <c r="AY58" s="1445">
        <f>SUM(AY9:AY57)</f>
        <v>0</v>
      </c>
      <c r="AZ58" s="1445">
        <f>SUM(AZ9:AZ57)</f>
        <v>0</v>
      </c>
      <c r="BA58" s="1445"/>
      <c r="BB58" s="1445">
        <f>SUM(BB9:BB57)</f>
        <v>0</v>
      </c>
      <c r="BC58" s="1445">
        <f>SUM(BC9:BC57)</f>
        <v>0</v>
      </c>
      <c r="BD58" s="1445"/>
      <c r="BE58" s="1445">
        <f>SUM(BE9:BE57)</f>
        <v>0</v>
      </c>
      <c r="BF58" s="1445"/>
      <c r="BG58" s="1445">
        <f>SUM(BG9:BG57)</f>
        <v>0</v>
      </c>
      <c r="BH58" s="1445">
        <f>SUM(BH9:BH57)</f>
        <v>0</v>
      </c>
      <c r="BI58" s="551">
        <f>SUM(D58:BH58)</f>
        <v>0</v>
      </c>
      <c r="BJ58" s="551"/>
      <c r="BK58" s="551"/>
    </row>
    <row r="59" spans="1:63" ht="12.75" customHeight="1">
      <c r="A59" s="551"/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51"/>
      <c r="AB59" s="551"/>
      <c r="AC59" s="551"/>
      <c r="AD59" s="551"/>
      <c r="AE59" s="551"/>
      <c r="AF59" s="551"/>
      <c r="AG59" s="551"/>
      <c r="AH59" s="551"/>
      <c r="AI59" s="551"/>
      <c r="AJ59" s="551"/>
      <c r="AK59" s="551"/>
      <c r="AL59" s="551"/>
      <c r="AM59" s="551"/>
      <c r="AN59" s="551"/>
      <c r="AO59" s="551"/>
      <c r="AP59" s="551"/>
      <c r="AQ59" s="551"/>
      <c r="AR59" s="551"/>
      <c r="AS59" s="551"/>
      <c r="AT59" s="551"/>
      <c r="AU59" s="551"/>
      <c r="AV59" s="551"/>
      <c r="AW59" s="551"/>
      <c r="AX59" s="551"/>
      <c r="AY59" s="551"/>
      <c r="AZ59" s="551"/>
      <c r="BA59" s="551"/>
      <c r="BB59" s="551"/>
      <c r="BC59" s="551"/>
      <c r="BD59" s="551"/>
      <c r="BE59" s="551"/>
      <c r="BF59" s="551"/>
      <c r="BG59" s="551"/>
      <c r="BH59" s="551"/>
      <c r="BI59" s="551"/>
      <c r="BJ59" s="551"/>
      <c r="BK59" s="551"/>
    </row>
    <row r="60" spans="1:63" ht="12.75" customHeight="1">
      <c r="A60" s="551"/>
      <c r="B60" s="551"/>
      <c r="C60" s="551"/>
      <c r="D60" s="551"/>
      <c r="E60" s="551"/>
      <c r="F60" s="551"/>
      <c r="G60" s="551"/>
      <c r="H60" s="551"/>
      <c r="I60" s="551"/>
      <c r="J60" s="551"/>
      <c r="K60" s="551"/>
      <c r="L60" s="551"/>
      <c r="M60" s="551"/>
      <c r="N60" s="551"/>
      <c r="O60" s="551"/>
      <c r="P60" s="551"/>
      <c r="Q60" s="551"/>
      <c r="R60" s="551"/>
      <c r="S60" s="551"/>
      <c r="T60" s="551"/>
      <c r="U60" s="551"/>
      <c r="V60" s="551"/>
      <c r="W60" s="551"/>
      <c r="X60" s="551"/>
      <c r="Y60" s="551"/>
      <c r="Z60" s="551"/>
      <c r="AA60" s="551"/>
      <c r="AB60" s="551"/>
      <c r="AC60" s="551"/>
      <c r="AD60" s="551"/>
      <c r="AE60" s="551"/>
      <c r="AF60" s="551"/>
      <c r="AG60" s="551"/>
      <c r="AH60" s="551"/>
      <c r="AI60" s="551"/>
      <c r="AJ60" s="551"/>
      <c r="AK60" s="551"/>
      <c r="AL60" s="551"/>
      <c r="AM60" s="551"/>
      <c r="AN60" s="551"/>
      <c r="AO60" s="551"/>
      <c r="AP60" s="551"/>
      <c r="AQ60" s="551"/>
      <c r="AR60" s="551"/>
      <c r="AS60" s="551"/>
      <c r="AT60" s="551"/>
      <c r="AU60" s="551"/>
      <c r="AV60" s="551"/>
      <c r="AW60" s="551"/>
      <c r="AX60" s="551"/>
      <c r="AY60" s="551"/>
      <c r="AZ60" s="551"/>
      <c r="BA60" s="551"/>
      <c r="BB60" s="551"/>
      <c r="BC60" s="551"/>
      <c r="BD60" s="551"/>
      <c r="BE60" s="551"/>
      <c r="BF60" s="551"/>
      <c r="BG60" s="551"/>
      <c r="BH60" s="551"/>
      <c r="BI60" s="551"/>
      <c r="BJ60" s="551"/>
      <c r="BK60" s="551"/>
    </row>
    <row r="61" spans="1:63" ht="12.75" customHeight="1">
      <c r="A61" s="551"/>
      <c r="B61" s="1033">
        <f>'BS Konsol-Des 24'!G11</f>
        <v>918209485</v>
      </c>
      <c r="C61" s="551"/>
      <c r="D61" s="551"/>
      <c r="E61" s="551"/>
      <c r="F61" s="551"/>
      <c r="G61" s="551"/>
      <c r="H61" s="551"/>
      <c r="I61" s="551"/>
      <c r="J61" s="551"/>
      <c r="K61" s="551"/>
      <c r="L61" s="551"/>
      <c r="M61" s="551"/>
      <c r="N61" s="551"/>
      <c r="O61" s="551"/>
      <c r="P61" s="551"/>
      <c r="Q61" s="551"/>
      <c r="R61" s="551"/>
      <c r="S61" s="551"/>
      <c r="T61" s="551"/>
      <c r="U61" s="551"/>
      <c r="V61" s="551"/>
      <c r="W61" s="551"/>
      <c r="X61" s="551"/>
      <c r="Y61" s="551"/>
      <c r="Z61" s="551"/>
      <c r="AA61" s="551"/>
      <c r="AB61" s="551"/>
      <c r="AC61" s="551"/>
      <c r="AD61" s="551"/>
      <c r="AE61" s="551"/>
      <c r="AF61" s="551"/>
      <c r="AG61" s="551"/>
      <c r="AH61" s="551"/>
      <c r="AI61" s="551"/>
      <c r="AJ61" s="551"/>
      <c r="AK61" s="551"/>
      <c r="AL61" s="551"/>
      <c r="AM61" s="551"/>
      <c r="AN61" s="551"/>
      <c r="AO61" s="551"/>
      <c r="AP61" s="551"/>
      <c r="AQ61" s="551"/>
      <c r="AR61" s="551"/>
      <c r="AS61" s="551"/>
      <c r="AT61" s="551"/>
      <c r="AU61" s="551"/>
      <c r="AV61" s="551"/>
      <c r="AW61" s="551"/>
      <c r="AX61" s="551"/>
      <c r="AY61" s="551"/>
      <c r="AZ61" s="551"/>
      <c r="BA61" s="551"/>
      <c r="BB61" s="551"/>
      <c r="BC61" s="551"/>
      <c r="BD61" s="551"/>
      <c r="BE61" s="551"/>
      <c r="BF61" s="551"/>
      <c r="BG61" s="551"/>
      <c r="BH61" s="551"/>
      <c r="BI61" s="551"/>
      <c r="BJ61" s="551"/>
      <c r="BK61" s="551"/>
    </row>
    <row r="62" spans="1:63" ht="12.75" customHeight="1">
      <c r="A62" s="551" t="s">
        <v>279</v>
      </c>
      <c r="B62" s="551">
        <f>B61-B57</f>
        <v>0.239990234375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1"/>
      <c r="N62" s="551"/>
      <c r="O62" s="551"/>
      <c r="P62" s="551"/>
      <c r="Q62" s="551"/>
      <c r="R62" s="551"/>
      <c r="S62" s="551"/>
      <c r="T62" s="551"/>
      <c r="U62" s="551"/>
      <c r="V62" s="551"/>
      <c r="W62" s="551"/>
      <c r="X62" s="551"/>
      <c r="Y62" s="551"/>
      <c r="Z62" s="551"/>
      <c r="AA62" s="551"/>
      <c r="AB62" s="551"/>
      <c r="AC62" s="551"/>
      <c r="AD62" s="551"/>
      <c r="AE62" s="551"/>
      <c r="AF62" s="551"/>
      <c r="AG62" s="551"/>
      <c r="AH62" s="551"/>
      <c r="AI62" s="551"/>
      <c r="AJ62" s="551"/>
      <c r="AK62" s="551"/>
      <c r="AL62" s="551"/>
      <c r="AM62" s="551"/>
      <c r="AN62" s="551"/>
      <c r="AO62" s="551"/>
      <c r="AP62" s="551"/>
      <c r="AQ62" s="551"/>
      <c r="AR62" s="551"/>
      <c r="AS62" s="551"/>
      <c r="AT62" s="551"/>
      <c r="AU62" s="551"/>
      <c r="AV62" s="551"/>
      <c r="AW62" s="551"/>
      <c r="AX62" s="551"/>
      <c r="AY62" s="551"/>
      <c r="AZ62" s="551"/>
      <c r="BA62" s="551"/>
      <c r="BB62" s="551"/>
      <c r="BC62" s="551"/>
      <c r="BD62" s="551"/>
      <c r="BE62" s="551"/>
      <c r="BF62" s="551"/>
      <c r="BG62" s="551"/>
      <c r="BH62" s="551"/>
      <c r="BI62" s="551"/>
      <c r="BJ62" s="551"/>
      <c r="BK62" s="551"/>
    </row>
    <row r="63" spans="1:63" ht="12.75" customHeight="1">
      <c r="A63" s="551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1"/>
      <c r="R63" s="551"/>
      <c r="S63" s="551"/>
      <c r="T63" s="551"/>
      <c r="U63" s="551"/>
      <c r="V63" s="551"/>
      <c r="W63" s="551"/>
      <c r="X63" s="551"/>
      <c r="Y63" s="551"/>
      <c r="Z63" s="551"/>
      <c r="AA63" s="551"/>
      <c r="AB63" s="551"/>
      <c r="AC63" s="551"/>
      <c r="AD63" s="551"/>
      <c r="AE63" s="551"/>
      <c r="AF63" s="551"/>
      <c r="AG63" s="551"/>
      <c r="AH63" s="551"/>
      <c r="AI63" s="551"/>
      <c r="AJ63" s="551"/>
      <c r="AK63" s="551"/>
      <c r="AL63" s="551"/>
      <c r="AM63" s="551"/>
      <c r="AN63" s="551"/>
      <c r="AO63" s="551"/>
      <c r="AP63" s="551"/>
      <c r="AQ63" s="551"/>
      <c r="AR63" s="551"/>
      <c r="AS63" s="551"/>
      <c r="AT63" s="551"/>
      <c r="AU63" s="551"/>
      <c r="AV63" s="551"/>
      <c r="AW63" s="551"/>
      <c r="AX63" s="551"/>
      <c r="AY63" s="551"/>
      <c r="AZ63" s="551"/>
      <c r="BA63" s="551"/>
      <c r="BB63" s="551"/>
      <c r="BC63" s="551"/>
      <c r="BD63" s="551"/>
      <c r="BE63" s="551"/>
      <c r="BF63" s="551"/>
      <c r="BG63" s="551"/>
      <c r="BH63" s="551"/>
      <c r="BI63" s="551"/>
      <c r="BJ63" s="551"/>
      <c r="BK63" s="551"/>
    </row>
    <row r="64" spans="1:63" ht="12.75" customHeight="1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1"/>
      <c r="R64" s="551"/>
      <c r="S64" s="551"/>
      <c r="T64" s="551"/>
      <c r="U64" s="551"/>
      <c r="V64" s="551"/>
      <c r="W64" s="551"/>
      <c r="X64" s="551"/>
      <c r="Y64" s="551"/>
      <c r="Z64" s="551"/>
      <c r="AA64" s="551"/>
      <c r="AB64" s="551"/>
      <c r="AC64" s="551"/>
      <c r="AD64" s="551"/>
      <c r="AE64" s="551"/>
      <c r="AF64" s="551"/>
      <c r="AG64" s="551"/>
      <c r="AH64" s="551"/>
      <c r="AI64" s="551"/>
      <c r="AJ64" s="551"/>
      <c r="AK64" s="551"/>
      <c r="AL64" s="551"/>
      <c r="AM64" s="551"/>
      <c r="AN64" s="551"/>
      <c r="AO64" s="551"/>
      <c r="AP64" s="551"/>
      <c r="AQ64" s="551"/>
      <c r="AR64" s="551"/>
      <c r="AS64" s="551"/>
      <c r="AT64" s="551"/>
      <c r="AU64" s="551"/>
      <c r="AV64" s="551"/>
      <c r="AW64" s="551"/>
      <c r="AX64" s="551"/>
      <c r="AY64" s="551"/>
      <c r="AZ64" s="551"/>
      <c r="BA64" s="551"/>
      <c r="BB64" s="551"/>
      <c r="BC64" s="551"/>
      <c r="BD64" s="551"/>
      <c r="BE64" s="551"/>
      <c r="BF64" s="551"/>
      <c r="BG64" s="551"/>
      <c r="BH64" s="551"/>
      <c r="BI64" s="551"/>
      <c r="BJ64" s="551"/>
      <c r="BK64" s="551"/>
    </row>
    <row r="65" spans="1:63" ht="12.75" customHeight="1">
      <c r="A65" s="551"/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51"/>
      <c r="AB65" s="551"/>
      <c r="AC65" s="551"/>
      <c r="AD65" s="551"/>
      <c r="AE65" s="551"/>
      <c r="AF65" s="551"/>
      <c r="AG65" s="551"/>
      <c r="AH65" s="551"/>
      <c r="AI65" s="551"/>
      <c r="AJ65" s="551"/>
      <c r="AK65" s="551"/>
      <c r="AL65" s="551"/>
      <c r="AM65" s="551"/>
      <c r="AN65" s="551"/>
      <c r="AO65" s="551"/>
      <c r="AP65" s="551"/>
      <c r="AQ65" s="551"/>
      <c r="AR65" s="551"/>
      <c r="AS65" s="551"/>
      <c r="AT65" s="551"/>
      <c r="AU65" s="551"/>
      <c r="AV65" s="551"/>
      <c r="AW65" s="551"/>
      <c r="AX65" s="551"/>
      <c r="AY65" s="551"/>
      <c r="AZ65" s="551"/>
      <c r="BA65" s="551"/>
      <c r="BB65" s="551"/>
      <c r="BC65" s="551"/>
      <c r="BD65" s="551"/>
      <c r="BE65" s="551"/>
      <c r="BF65" s="551"/>
      <c r="BG65" s="551"/>
      <c r="BH65" s="551"/>
      <c r="BI65" s="551"/>
      <c r="BJ65" s="551"/>
      <c r="BK65" s="551"/>
    </row>
    <row r="66" spans="1:63" ht="12.75" customHeight="1">
      <c r="A66" s="551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51"/>
      <c r="Q66" s="551"/>
      <c r="R66" s="551"/>
      <c r="S66" s="551"/>
      <c r="T66" s="551"/>
      <c r="U66" s="551"/>
      <c r="V66" s="551"/>
      <c r="W66" s="551"/>
      <c r="X66" s="551"/>
      <c r="Y66" s="551"/>
      <c r="Z66" s="551"/>
      <c r="AA66" s="551"/>
      <c r="AB66" s="551"/>
      <c r="AC66" s="551"/>
      <c r="AD66" s="551"/>
      <c r="AE66" s="551"/>
      <c r="AF66" s="551"/>
      <c r="AG66" s="551"/>
      <c r="AH66" s="551"/>
      <c r="AI66" s="551"/>
      <c r="AJ66" s="551"/>
      <c r="AK66" s="551"/>
      <c r="AL66" s="551"/>
      <c r="AM66" s="551"/>
      <c r="AN66" s="551"/>
      <c r="AO66" s="551"/>
      <c r="AP66" s="551"/>
      <c r="AQ66" s="551"/>
      <c r="AR66" s="551"/>
      <c r="AS66" s="551"/>
      <c r="AT66" s="551"/>
      <c r="AU66" s="551"/>
      <c r="AV66" s="551"/>
      <c r="AW66" s="551"/>
      <c r="AX66" s="551"/>
      <c r="AY66" s="551"/>
      <c r="AZ66" s="551"/>
      <c r="BA66" s="551"/>
      <c r="BB66" s="551"/>
      <c r="BC66" s="551"/>
      <c r="BD66" s="551"/>
      <c r="BE66" s="551"/>
      <c r="BF66" s="551"/>
      <c r="BG66" s="551"/>
      <c r="BH66" s="551"/>
      <c r="BI66" s="551"/>
      <c r="BJ66" s="551"/>
      <c r="BK66" s="551"/>
    </row>
    <row r="67" spans="1:63" ht="12.75" customHeight="1">
      <c r="A67" s="551"/>
      <c r="B67" s="551"/>
      <c r="C67" s="551"/>
      <c r="D67" s="551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1"/>
      <c r="R67" s="551"/>
      <c r="S67" s="551"/>
      <c r="T67" s="551"/>
      <c r="U67" s="551"/>
      <c r="V67" s="551"/>
      <c r="W67" s="551"/>
      <c r="X67" s="551"/>
      <c r="Y67" s="551"/>
      <c r="Z67" s="551"/>
      <c r="AA67" s="551"/>
      <c r="AB67" s="551"/>
      <c r="AC67" s="551"/>
      <c r="AD67" s="551"/>
      <c r="AE67" s="551"/>
      <c r="AF67" s="551"/>
      <c r="AG67" s="551"/>
      <c r="AH67" s="551"/>
      <c r="AI67" s="551"/>
      <c r="AJ67" s="551"/>
      <c r="AK67" s="551"/>
      <c r="AL67" s="551"/>
      <c r="AM67" s="551"/>
      <c r="AN67" s="551"/>
      <c r="AO67" s="551"/>
      <c r="AP67" s="551"/>
      <c r="AQ67" s="551"/>
      <c r="AR67" s="551"/>
      <c r="AS67" s="551"/>
      <c r="AT67" s="551"/>
      <c r="AU67" s="551"/>
      <c r="AV67" s="551"/>
      <c r="AW67" s="551"/>
      <c r="AX67" s="551"/>
      <c r="AY67" s="551"/>
      <c r="AZ67" s="551"/>
      <c r="BA67" s="551"/>
      <c r="BB67" s="551"/>
      <c r="BC67" s="551"/>
      <c r="BD67" s="551"/>
      <c r="BE67" s="551"/>
      <c r="BF67" s="551"/>
      <c r="BG67" s="551"/>
      <c r="BH67" s="551"/>
      <c r="BI67" s="551"/>
      <c r="BJ67" s="551"/>
      <c r="BK67" s="551"/>
    </row>
    <row r="68" spans="1:63" ht="12.75" customHeight="1">
      <c r="A68" s="551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1"/>
      <c r="S68" s="551"/>
      <c r="T68" s="551"/>
      <c r="U68" s="551"/>
      <c r="V68" s="551"/>
      <c r="W68" s="551"/>
      <c r="X68" s="551"/>
      <c r="Y68" s="551"/>
      <c r="Z68" s="551"/>
      <c r="AA68" s="551"/>
      <c r="AB68" s="551"/>
      <c r="AC68" s="551"/>
      <c r="AD68" s="551"/>
      <c r="AE68" s="551"/>
      <c r="AF68" s="551"/>
      <c r="AG68" s="551"/>
      <c r="AH68" s="551"/>
      <c r="AI68" s="551"/>
      <c r="AJ68" s="551"/>
      <c r="AK68" s="551"/>
      <c r="AL68" s="551"/>
      <c r="AM68" s="551"/>
      <c r="AN68" s="551"/>
      <c r="AO68" s="551"/>
      <c r="AP68" s="551"/>
      <c r="AQ68" s="551"/>
      <c r="AR68" s="551"/>
      <c r="AS68" s="551"/>
      <c r="AT68" s="551"/>
      <c r="AU68" s="551"/>
      <c r="AV68" s="551"/>
      <c r="AW68" s="551"/>
      <c r="AX68" s="551"/>
      <c r="AY68" s="551"/>
      <c r="AZ68" s="551"/>
      <c r="BA68" s="551"/>
      <c r="BB68" s="551"/>
      <c r="BC68" s="551"/>
      <c r="BD68" s="551"/>
      <c r="BE68" s="551"/>
      <c r="BF68" s="551"/>
      <c r="BG68" s="551"/>
      <c r="BH68" s="551"/>
      <c r="BI68" s="551"/>
      <c r="BJ68" s="551"/>
      <c r="BK68" s="551"/>
    </row>
    <row r="69" spans="1:63" ht="12.75" customHeight="1">
      <c r="A69" s="551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1"/>
      <c r="P69" s="551"/>
      <c r="Q69" s="551"/>
      <c r="R69" s="551"/>
      <c r="S69" s="551"/>
      <c r="T69" s="551"/>
      <c r="U69" s="551"/>
      <c r="V69" s="551"/>
      <c r="W69" s="551"/>
      <c r="X69" s="551"/>
      <c r="Y69" s="551"/>
      <c r="Z69" s="551"/>
      <c r="AA69" s="551"/>
      <c r="AB69" s="551"/>
      <c r="AC69" s="551"/>
      <c r="AD69" s="551"/>
      <c r="AE69" s="551"/>
      <c r="AF69" s="551"/>
      <c r="AG69" s="551"/>
      <c r="AH69" s="551"/>
      <c r="AI69" s="551"/>
      <c r="AJ69" s="551"/>
      <c r="AK69" s="551"/>
      <c r="AL69" s="551"/>
      <c r="AM69" s="551"/>
      <c r="AN69" s="551"/>
      <c r="AO69" s="551"/>
      <c r="AP69" s="551"/>
      <c r="AQ69" s="551"/>
      <c r="AR69" s="551"/>
      <c r="AS69" s="551"/>
      <c r="AT69" s="551"/>
      <c r="AU69" s="551"/>
      <c r="AV69" s="551"/>
      <c r="AW69" s="551"/>
      <c r="AX69" s="551"/>
      <c r="AY69" s="551"/>
      <c r="AZ69" s="551"/>
      <c r="BA69" s="551"/>
      <c r="BB69" s="551"/>
      <c r="BC69" s="551"/>
      <c r="BD69" s="551"/>
      <c r="BE69" s="551"/>
      <c r="BF69" s="551"/>
      <c r="BG69" s="551"/>
      <c r="BH69" s="551"/>
      <c r="BI69" s="551"/>
      <c r="BJ69" s="551"/>
      <c r="BK69" s="551"/>
    </row>
    <row r="70" spans="1:63" ht="12.75" customHeight="1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1"/>
      <c r="P70" s="551"/>
      <c r="Q70" s="551"/>
      <c r="R70" s="551"/>
      <c r="S70" s="551"/>
      <c r="T70" s="551"/>
      <c r="U70" s="551"/>
      <c r="V70" s="551"/>
      <c r="W70" s="551"/>
      <c r="X70" s="551"/>
      <c r="Y70" s="551"/>
      <c r="Z70" s="551"/>
      <c r="AA70" s="551"/>
      <c r="AB70" s="551"/>
      <c r="AC70" s="551"/>
      <c r="AD70" s="551"/>
      <c r="AE70" s="551"/>
      <c r="AF70" s="551"/>
      <c r="AG70" s="551"/>
      <c r="AH70" s="551"/>
      <c r="AI70" s="551"/>
      <c r="AJ70" s="551"/>
      <c r="AK70" s="551"/>
      <c r="AL70" s="551"/>
      <c r="AM70" s="551"/>
      <c r="AN70" s="551"/>
      <c r="AO70" s="551"/>
      <c r="AP70" s="551"/>
      <c r="AQ70" s="551"/>
      <c r="AR70" s="551"/>
      <c r="AS70" s="551"/>
      <c r="AT70" s="551"/>
      <c r="AU70" s="551"/>
      <c r="AV70" s="551"/>
      <c r="AW70" s="551"/>
      <c r="AX70" s="551"/>
      <c r="AY70" s="551"/>
      <c r="AZ70" s="551"/>
      <c r="BA70" s="551"/>
      <c r="BB70" s="551"/>
      <c r="BC70" s="551"/>
      <c r="BD70" s="551"/>
      <c r="BE70" s="551"/>
      <c r="BF70" s="551"/>
      <c r="BG70" s="551"/>
      <c r="BH70" s="551"/>
      <c r="BI70" s="551"/>
      <c r="BJ70" s="551"/>
      <c r="BK70" s="551"/>
    </row>
    <row r="71" spans="1:63" ht="12.75" customHeight="1">
      <c r="A71" s="551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1"/>
      <c r="AB71" s="551"/>
      <c r="AC71" s="551"/>
      <c r="AD71" s="551"/>
      <c r="AE71" s="551"/>
      <c r="AF71" s="551"/>
      <c r="AG71" s="551"/>
      <c r="AH71" s="551"/>
      <c r="AI71" s="551"/>
      <c r="AJ71" s="551"/>
      <c r="AK71" s="551"/>
      <c r="AL71" s="551"/>
      <c r="AM71" s="551"/>
      <c r="AN71" s="551"/>
      <c r="AO71" s="551"/>
      <c r="AP71" s="551"/>
      <c r="AQ71" s="551"/>
      <c r="AR71" s="551"/>
      <c r="AS71" s="551"/>
      <c r="AT71" s="551"/>
      <c r="AU71" s="551"/>
      <c r="AV71" s="551"/>
      <c r="AW71" s="551"/>
      <c r="AX71" s="551"/>
      <c r="AY71" s="551"/>
      <c r="AZ71" s="551"/>
      <c r="BA71" s="551"/>
      <c r="BB71" s="551"/>
      <c r="BC71" s="551"/>
      <c r="BD71" s="551"/>
      <c r="BE71" s="551"/>
      <c r="BF71" s="551"/>
      <c r="BG71" s="551"/>
      <c r="BH71" s="551"/>
      <c r="BI71" s="551"/>
      <c r="BJ71" s="551"/>
      <c r="BK71" s="551"/>
    </row>
    <row r="72" spans="1:63" ht="12.75" customHeight="1">
      <c r="A72" s="551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1"/>
      <c r="AB72" s="551"/>
      <c r="AC72" s="551"/>
      <c r="AD72" s="551"/>
      <c r="AE72" s="551"/>
      <c r="AF72" s="551"/>
      <c r="AG72" s="551"/>
      <c r="AH72" s="551"/>
      <c r="AI72" s="551"/>
      <c r="AJ72" s="551"/>
      <c r="AK72" s="551"/>
      <c r="AL72" s="551"/>
      <c r="AM72" s="551"/>
      <c r="AN72" s="551"/>
      <c r="AO72" s="551"/>
      <c r="AP72" s="551"/>
      <c r="AQ72" s="551"/>
      <c r="AR72" s="551"/>
      <c r="AS72" s="551"/>
      <c r="AT72" s="551"/>
      <c r="AU72" s="551"/>
      <c r="AV72" s="551"/>
      <c r="AW72" s="551"/>
      <c r="AX72" s="551"/>
      <c r="AY72" s="551"/>
      <c r="AZ72" s="551"/>
      <c r="BA72" s="551"/>
      <c r="BB72" s="551"/>
      <c r="BC72" s="551"/>
      <c r="BD72" s="551"/>
      <c r="BE72" s="551"/>
      <c r="BF72" s="551"/>
      <c r="BG72" s="551"/>
      <c r="BH72" s="551"/>
      <c r="BI72" s="551"/>
      <c r="BJ72" s="551"/>
      <c r="BK72" s="551"/>
    </row>
    <row r="73" spans="1:63" ht="12.75" customHeight="1">
      <c r="A73" s="551"/>
      <c r="B73" s="551"/>
      <c r="C73" s="551"/>
      <c r="D73" s="551"/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1"/>
      <c r="AB73" s="551"/>
      <c r="AC73" s="551"/>
      <c r="AD73" s="551"/>
      <c r="AE73" s="551"/>
      <c r="AF73" s="551"/>
      <c r="AG73" s="551"/>
      <c r="AH73" s="551"/>
      <c r="AI73" s="551"/>
      <c r="AJ73" s="551"/>
      <c r="AK73" s="551"/>
      <c r="AL73" s="551"/>
      <c r="AM73" s="551"/>
      <c r="AN73" s="551"/>
      <c r="AO73" s="551"/>
      <c r="AP73" s="551"/>
      <c r="AQ73" s="551"/>
      <c r="AR73" s="551"/>
      <c r="AS73" s="551"/>
      <c r="AT73" s="551"/>
      <c r="AU73" s="551"/>
      <c r="AV73" s="551"/>
      <c r="AW73" s="551"/>
      <c r="AX73" s="551"/>
      <c r="AY73" s="551"/>
      <c r="AZ73" s="551"/>
      <c r="BA73" s="551"/>
      <c r="BB73" s="551"/>
      <c r="BC73" s="551"/>
      <c r="BD73" s="551"/>
      <c r="BE73" s="551"/>
      <c r="BF73" s="551"/>
      <c r="BG73" s="551"/>
      <c r="BH73" s="551"/>
      <c r="BI73" s="551"/>
      <c r="BJ73" s="551"/>
      <c r="BK73" s="551"/>
    </row>
    <row r="74" spans="1:63" ht="12.75" customHeight="1">
      <c r="A74" s="551"/>
      <c r="B74" s="551"/>
      <c r="C74" s="551"/>
      <c r="D74" s="551"/>
      <c r="E74" s="551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  <c r="AA74" s="551"/>
      <c r="AB74" s="551"/>
      <c r="AC74" s="551"/>
      <c r="AD74" s="551"/>
      <c r="AE74" s="551"/>
      <c r="AF74" s="551"/>
      <c r="AG74" s="551"/>
      <c r="AH74" s="551"/>
      <c r="AI74" s="551"/>
      <c r="AJ74" s="551"/>
      <c r="AK74" s="551"/>
      <c r="AL74" s="551"/>
      <c r="AM74" s="551"/>
      <c r="AN74" s="551"/>
      <c r="AO74" s="551"/>
      <c r="AP74" s="551"/>
      <c r="AQ74" s="551"/>
      <c r="AR74" s="551"/>
      <c r="AS74" s="551"/>
      <c r="AT74" s="551"/>
      <c r="AU74" s="551"/>
      <c r="AV74" s="551"/>
      <c r="AW74" s="551"/>
      <c r="AX74" s="551"/>
      <c r="AY74" s="551"/>
      <c r="AZ74" s="551"/>
      <c r="BA74" s="551"/>
      <c r="BB74" s="551"/>
      <c r="BC74" s="551"/>
      <c r="BD74" s="551"/>
      <c r="BE74" s="551"/>
      <c r="BF74" s="551"/>
      <c r="BG74" s="551"/>
      <c r="BH74" s="551"/>
      <c r="BI74" s="551"/>
      <c r="BJ74" s="551"/>
      <c r="BK74" s="551"/>
    </row>
    <row r="75" spans="1:63" ht="12.75" customHeight="1">
      <c r="A75" s="551"/>
      <c r="B75" s="551"/>
      <c r="C75" s="551"/>
      <c r="D75" s="551"/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1"/>
      <c r="AB75" s="551"/>
      <c r="AC75" s="551"/>
      <c r="AD75" s="551"/>
      <c r="AE75" s="551"/>
      <c r="AF75" s="551"/>
      <c r="AG75" s="551"/>
      <c r="AH75" s="551"/>
      <c r="AI75" s="551"/>
      <c r="AJ75" s="551"/>
      <c r="AK75" s="551"/>
      <c r="AL75" s="551"/>
      <c r="AM75" s="551"/>
      <c r="AN75" s="551"/>
      <c r="AO75" s="551"/>
      <c r="AP75" s="551"/>
      <c r="AQ75" s="551"/>
      <c r="AR75" s="551"/>
      <c r="AS75" s="551"/>
      <c r="AT75" s="551"/>
      <c r="AU75" s="551"/>
      <c r="AV75" s="551"/>
      <c r="AW75" s="551"/>
      <c r="AX75" s="551"/>
      <c r="AY75" s="551"/>
      <c r="AZ75" s="551"/>
      <c r="BA75" s="551"/>
      <c r="BB75" s="551"/>
      <c r="BC75" s="551"/>
      <c r="BD75" s="551"/>
      <c r="BE75" s="551"/>
      <c r="BF75" s="551"/>
      <c r="BG75" s="551"/>
      <c r="BH75" s="551"/>
      <c r="BI75" s="551"/>
      <c r="BJ75" s="551"/>
      <c r="BK75" s="551"/>
    </row>
    <row r="76" spans="1:63" ht="12.75" customHeight="1">
      <c r="A76" s="551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1"/>
      <c r="S76" s="551"/>
      <c r="T76" s="551"/>
      <c r="U76" s="551"/>
      <c r="V76" s="551"/>
      <c r="W76" s="551"/>
      <c r="X76" s="551"/>
      <c r="Y76" s="551"/>
      <c r="Z76" s="551"/>
      <c r="AA76" s="551"/>
      <c r="AB76" s="551"/>
      <c r="AC76" s="551"/>
      <c r="AD76" s="551"/>
      <c r="AE76" s="551"/>
      <c r="AF76" s="551"/>
      <c r="AG76" s="551"/>
      <c r="AH76" s="551"/>
      <c r="AI76" s="551"/>
      <c r="AJ76" s="551"/>
      <c r="AK76" s="551"/>
      <c r="AL76" s="551"/>
      <c r="AM76" s="551"/>
      <c r="AN76" s="551"/>
      <c r="AO76" s="551"/>
      <c r="AP76" s="551"/>
      <c r="AQ76" s="551"/>
      <c r="AR76" s="551"/>
      <c r="AS76" s="551"/>
      <c r="AT76" s="551"/>
      <c r="AU76" s="551"/>
      <c r="AV76" s="551"/>
      <c r="AW76" s="551"/>
      <c r="AX76" s="551"/>
      <c r="AY76" s="551"/>
      <c r="AZ76" s="551"/>
      <c r="BA76" s="551"/>
      <c r="BB76" s="551"/>
      <c r="BC76" s="551"/>
      <c r="BD76" s="551"/>
      <c r="BE76" s="551"/>
      <c r="BF76" s="551"/>
      <c r="BG76" s="551"/>
      <c r="BH76" s="551"/>
      <c r="BI76" s="551"/>
      <c r="BJ76" s="551"/>
      <c r="BK76" s="551"/>
    </row>
    <row r="77" spans="1:63" ht="12.75" customHeight="1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1"/>
      <c r="S77" s="551"/>
      <c r="T77" s="551"/>
      <c r="U77" s="551"/>
      <c r="V77" s="551"/>
      <c r="W77" s="551"/>
      <c r="X77" s="551"/>
      <c r="Y77" s="551"/>
      <c r="Z77" s="551"/>
      <c r="AA77" s="551"/>
      <c r="AB77" s="551"/>
      <c r="AC77" s="551"/>
      <c r="AD77" s="551"/>
      <c r="AE77" s="551"/>
      <c r="AF77" s="551"/>
      <c r="AG77" s="551"/>
      <c r="AH77" s="551"/>
      <c r="AI77" s="551"/>
      <c r="AJ77" s="551"/>
      <c r="AK77" s="551"/>
      <c r="AL77" s="551"/>
      <c r="AM77" s="551"/>
      <c r="AN77" s="551"/>
      <c r="AO77" s="551"/>
      <c r="AP77" s="551"/>
      <c r="AQ77" s="551"/>
      <c r="AR77" s="551"/>
      <c r="AS77" s="551"/>
      <c r="AT77" s="551"/>
      <c r="AU77" s="551"/>
      <c r="AV77" s="551"/>
      <c r="AW77" s="551"/>
      <c r="AX77" s="551"/>
      <c r="AY77" s="551"/>
      <c r="AZ77" s="551"/>
      <c r="BA77" s="551"/>
      <c r="BB77" s="551"/>
      <c r="BC77" s="551"/>
      <c r="BD77" s="551"/>
      <c r="BE77" s="551"/>
      <c r="BF77" s="551"/>
      <c r="BG77" s="551"/>
      <c r="BH77" s="551"/>
      <c r="BI77" s="551"/>
      <c r="BJ77" s="551"/>
      <c r="BK77" s="551"/>
    </row>
    <row r="78" spans="1:63" ht="12.75" customHeight="1">
      <c r="A78" s="551"/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51"/>
      <c r="AB78" s="551"/>
      <c r="AC78" s="551"/>
      <c r="AD78" s="551"/>
      <c r="AE78" s="551"/>
      <c r="AF78" s="551"/>
      <c r="AG78" s="551"/>
      <c r="AH78" s="551"/>
      <c r="AI78" s="551"/>
      <c r="AJ78" s="551"/>
      <c r="AK78" s="551"/>
      <c r="AL78" s="551"/>
      <c r="AM78" s="551"/>
      <c r="AN78" s="551"/>
      <c r="AO78" s="551"/>
      <c r="AP78" s="551"/>
      <c r="AQ78" s="551"/>
      <c r="AR78" s="551"/>
      <c r="AS78" s="551"/>
      <c r="AT78" s="551"/>
      <c r="AU78" s="551"/>
      <c r="AV78" s="551"/>
      <c r="AW78" s="551"/>
      <c r="AX78" s="551"/>
      <c r="AY78" s="551"/>
      <c r="AZ78" s="551"/>
      <c r="BA78" s="551"/>
      <c r="BB78" s="551"/>
      <c r="BC78" s="551"/>
      <c r="BD78" s="551"/>
      <c r="BE78" s="551"/>
      <c r="BF78" s="551"/>
      <c r="BG78" s="551"/>
      <c r="BH78" s="551"/>
      <c r="BI78" s="551"/>
      <c r="BJ78" s="551"/>
      <c r="BK78" s="551"/>
    </row>
    <row r="79" spans="1:63" ht="12.75" customHeight="1">
      <c r="A79" s="551"/>
      <c r="B79" s="551"/>
      <c r="C79" s="551"/>
      <c r="D79" s="551"/>
      <c r="E79" s="551"/>
      <c r="F79" s="551"/>
      <c r="G79" s="551"/>
      <c r="H79" s="551"/>
      <c r="I79" s="551"/>
      <c r="J79" s="551"/>
      <c r="K79" s="551"/>
      <c r="L79" s="551"/>
      <c r="M79" s="551"/>
      <c r="N79" s="551"/>
      <c r="O79" s="551"/>
      <c r="P79" s="551"/>
      <c r="Q79" s="551"/>
      <c r="R79" s="551"/>
      <c r="S79" s="551"/>
      <c r="T79" s="551"/>
      <c r="U79" s="551"/>
      <c r="V79" s="551"/>
      <c r="W79" s="551"/>
      <c r="X79" s="551"/>
      <c r="Y79" s="551"/>
      <c r="Z79" s="551"/>
      <c r="AA79" s="551"/>
      <c r="AB79" s="551"/>
      <c r="AC79" s="551"/>
      <c r="AD79" s="551"/>
      <c r="AE79" s="551"/>
      <c r="AF79" s="551"/>
      <c r="AG79" s="551"/>
      <c r="AH79" s="551"/>
      <c r="AI79" s="551"/>
      <c r="AJ79" s="551"/>
      <c r="AK79" s="551"/>
      <c r="AL79" s="551"/>
      <c r="AM79" s="551"/>
      <c r="AN79" s="551"/>
      <c r="AO79" s="551"/>
      <c r="AP79" s="551"/>
      <c r="AQ79" s="551"/>
      <c r="AR79" s="551"/>
      <c r="AS79" s="551"/>
      <c r="AT79" s="551"/>
      <c r="AU79" s="551"/>
      <c r="AV79" s="551"/>
      <c r="AW79" s="551"/>
      <c r="AX79" s="551"/>
      <c r="AY79" s="551"/>
      <c r="AZ79" s="551"/>
      <c r="BA79" s="551"/>
      <c r="BB79" s="551"/>
      <c r="BC79" s="551"/>
      <c r="BD79" s="551"/>
      <c r="BE79" s="551"/>
      <c r="BF79" s="551"/>
      <c r="BG79" s="551"/>
      <c r="BH79" s="551"/>
      <c r="BI79" s="551"/>
      <c r="BJ79" s="551"/>
      <c r="BK79" s="551"/>
    </row>
    <row r="80" spans="1:63" ht="12.75" customHeight="1">
      <c r="A80" s="551"/>
      <c r="B80" s="551"/>
      <c r="C80" s="551"/>
      <c r="D80" s="551"/>
      <c r="E80" s="551"/>
      <c r="F80" s="551"/>
      <c r="G80" s="551"/>
      <c r="H80" s="551"/>
      <c r="I80" s="551"/>
      <c r="J80" s="551"/>
      <c r="K80" s="551"/>
      <c r="L80" s="551"/>
      <c r="M80" s="551"/>
      <c r="N80" s="551"/>
      <c r="O80" s="551"/>
      <c r="P80" s="551"/>
      <c r="Q80" s="551"/>
      <c r="R80" s="551"/>
      <c r="S80" s="551"/>
      <c r="T80" s="551"/>
      <c r="U80" s="551"/>
      <c r="V80" s="551"/>
      <c r="W80" s="551"/>
      <c r="X80" s="551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1"/>
      <c r="AK80" s="551"/>
      <c r="AL80" s="551"/>
      <c r="AM80" s="551"/>
      <c r="AN80" s="551"/>
      <c r="AO80" s="551"/>
      <c r="AP80" s="551"/>
      <c r="AQ80" s="551"/>
      <c r="AR80" s="551"/>
      <c r="AS80" s="551"/>
      <c r="AT80" s="551"/>
      <c r="AU80" s="551"/>
      <c r="AV80" s="551"/>
      <c r="AW80" s="551"/>
      <c r="AX80" s="551"/>
      <c r="AY80" s="551"/>
      <c r="AZ80" s="551"/>
      <c r="BA80" s="551"/>
      <c r="BB80" s="551"/>
      <c r="BC80" s="551"/>
      <c r="BD80" s="551"/>
      <c r="BE80" s="551"/>
      <c r="BF80" s="551"/>
      <c r="BG80" s="551"/>
      <c r="BH80" s="551"/>
      <c r="BI80" s="551"/>
      <c r="BJ80" s="551"/>
      <c r="BK80" s="551"/>
    </row>
    <row r="81" spans="1:63" ht="12.75" customHeight="1">
      <c r="A81" s="551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1"/>
      <c r="S81" s="551"/>
      <c r="T81" s="551"/>
      <c r="U81" s="551"/>
      <c r="V81" s="551"/>
      <c r="W81" s="551"/>
      <c r="X81" s="551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1"/>
      <c r="AK81" s="551"/>
      <c r="AL81" s="551"/>
      <c r="AM81" s="551"/>
      <c r="AN81" s="551"/>
      <c r="AO81" s="551"/>
      <c r="AP81" s="551"/>
      <c r="AQ81" s="551"/>
      <c r="AR81" s="551"/>
      <c r="AS81" s="551"/>
      <c r="AT81" s="551"/>
      <c r="AU81" s="551"/>
      <c r="AV81" s="551"/>
      <c r="AW81" s="551"/>
      <c r="AX81" s="551"/>
      <c r="AY81" s="551"/>
      <c r="AZ81" s="551"/>
      <c r="BA81" s="551"/>
      <c r="BB81" s="551"/>
      <c r="BC81" s="551"/>
      <c r="BD81" s="551"/>
      <c r="BE81" s="551"/>
      <c r="BF81" s="551"/>
      <c r="BG81" s="551"/>
      <c r="BH81" s="551"/>
      <c r="BI81" s="551"/>
      <c r="BJ81" s="551"/>
      <c r="BK81" s="551"/>
    </row>
    <row r="82" spans="1:63" ht="12.75" customHeight="1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1"/>
      <c r="P82" s="551"/>
      <c r="Q82" s="551"/>
      <c r="R82" s="551"/>
      <c r="S82" s="551"/>
      <c r="T82" s="551"/>
      <c r="U82" s="551"/>
      <c r="V82" s="551"/>
      <c r="W82" s="551"/>
      <c r="X82" s="551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1"/>
      <c r="AX82" s="551"/>
      <c r="AY82" s="551"/>
      <c r="AZ82" s="551"/>
      <c r="BA82" s="551"/>
      <c r="BB82" s="551"/>
      <c r="BC82" s="551"/>
      <c r="BD82" s="551"/>
      <c r="BE82" s="551"/>
      <c r="BF82" s="551"/>
      <c r="BG82" s="551"/>
      <c r="BH82" s="551"/>
      <c r="BI82" s="551"/>
      <c r="BJ82" s="551"/>
      <c r="BK82" s="551"/>
    </row>
    <row r="83" spans="1:63" ht="12.75" customHeight="1">
      <c r="A83" s="551"/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1"/>
      <c r="AX83" s="551"/>
      <c r="AY83" s="551"/>
      <c r="AZ83" s="551"/>
      <c r="BA83" s="551"/>
      <c r="BB83" s="551"/>
      <c r="BC83" s="551"/>
      <c r="BD83" s="551"/>
      <c r="BE83" s="551"/>
      <c r="BF83" s="551"/>
      <c r="BG83" s="551"/>
      <c r="BH83" s="551"/>
      <c r="BI83" s="551"/>
      <c r="BJ83" s="551"/>
      <c r="BK83" s="551"/>
    </row>
    <row r="84" spans="1:63" ht="12.75" customHeight="1">
      <c r="A84" s="551"/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1"/>
      <c r="AX84" s="551"/>
      <c r="AY84" s="551"/>
      <c r="AZ84" s="551"/>
      <c r="BA84" s="551"/>
      <c r="BB84" s="551"/>
      <c r="BC84" s="551"/>
      <c r="BD84" s="551"/>
      <c r="BE84" s="551"/>
      <c r="BF84" s="551"/>
      <c r="BG84" s="551"/>
      <c r="BH84" s="551"/>
      <c r="BI84" s="551"/>
      <c r="BJ84" s="551"/>
      <c r="BK84" s="551"/>
    </row>
    <row r="85" spans="1:63" ht="12.75" customHeight="1">
      <c r="A85" s="551"/>
      <c r="B85" s="551"/>
      <c r="C85" s="551"/>
      <c r="D85" s="551"/>
      <c r="E85" s="551"/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551"/>
      <c r="S85" s="551"/>
      <c r="T85" s="551"/>
      <c r="U85" s="551"/>
      <c r="V85" s="551"/>
      <c r="W85" s="551"/>
      <c r="X85" s="551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1"/>
      <c r="AK85" s="551"/>
      <c r="AL85" s="551"/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1"/>
      <c r="AX85" s="551"/>
      <c r="AY85" s="551"/>
      <c r="AZ85" s="551"/>
      <c r="BA85" s="551"/>
      <c r="BB85" s="551"/>
      <c r="BC85" s="551"/>
      <c r="BD85" s="551"/>
      <c r="BE85" s="551"/>
      <c r="BF85" s="551"/>
      <c r="BG85" s="551"/>
      <c r="BH85" s="551"/>
      <c r="BI85" s="551"/>
      <c r="BJ85" s="551"/>
      <c r="BK85" s="551"/>
    </row>
    <row r="86" spans="1:63" ht="12.75" customHeight="1">
      <c r="A86" s="551"/>
      <c r="B86" s="551"/>
      <c r="C86" s="551"/>
      <c r="D86" s="551"/>
      <c r="E86" s="551"/>
      <c r="F86" s="551"/>
      <c r="G86" s="551"/>
      <c r="H86" s="551"/>
      <c r="I86" s="551"/>
      <c r="J86" s="551"/>
      <c r="K86" s="551"/>
      <c r="L86" s="551"/>
      <c r="M86" s="551"/>
      <c r="N86" s="551"/>
      <c r="O86" s="551"/>
      <c r="P86" s="551"/>
      <c r="Q86" s="551"/>
      <c r="R86" s="551"/>
      <c r="S86" s="551"/>
      <c r="T86" s="551"/>
      <c r="U86" s="551"/>
      <c r="V86" s="551"/>
      <c r="W86" s="551"/>
      <c r="X86" s="551"/>
      <c r="Y86" s="551"/>
      <c r="Z86" s="551"/>
      <c r="AA86" s="551"/>
      <c r="AB86" s="551"/>
      <c r="AC86" s="551"/>
      <c r="AD86" s="551"/>
      <c r="AE86" s="551"/>
      <c r="AF86" s="551"/>
      <c r="AG86" s="551"/>
      <c r="AH86" s="551"/>
      <c r="AI86" s="551"/>
      <c r="AJ86" s="551"/>
      <c r="AK86" s="551"/>
      <c r="AL86" s="551"/>
      <c r="AM86" s="551"/>
      <c r="AN86" s="551"/>
      <c r="AO86" s="551"/>
      <c r="AP86" s="551"/>
      <c r="AQ86" s="551"/>
      <c r="AR86" s="551"/>
      <c r="AS86" s="551"/>
      <c r="AT86" s="551"/>
      <c r="AU86" s="551"/>
      <c r="AV86" s="551"/>
      <c r="AW86" s="551"/>
      <c r="AX86" s="551"/>
      <c r="AY86" s="551"/>
      <c r="AZ86" s="551"/>
      <c r="BA86" s="551"/>
      <c r="BB86" s="551"/>
      <c r="BC86" s="551"/>
      <c r="BD86" s="551"/>
      <c r="BE86" s="551"/>
      <c r="BF86" s="551"/>
      <c r="BG86" s="551"/>
      <c r="BH86" s="551"/>
      <c r="BI86" s="551"/>
      <c r="BJ86" s="551"/>
      <c r="BK86" s="551"/>
    </row>
    <row r="87" spans="1:63" ht="12.75" customHeight="1">
      <c r="A87" s="551"/>
      <c r="B87" s="551"/>
      <c r="C87" s="551"/>
      <c r="D87" s="551"/>
      <c r="E87" s="551"/>
      <c r="F87" s="551"/>
      <c r="G87" s="551"/>
      <c r="H87" s="551"/>
      <c r="I87" s="551"/>
      <c r="J87" s="551"/>
      <c r="K87" s="551"/>
      <c r="L87" s="551"/>
      <c r="M87" s="551"/>
      <c r="N87" s="551"/>
      <c r="O87" s="551"/>
      <c r="P87" s="551"/>
      <c r="Q87" s="551"/>
      <c r="R87" s="551"/>
      <c r="S87" s="551"/>
      <c r="T87" s="551"/>
      <c r="U87" s="551"/>
      <c r="V87" s="551"/>
      <c r="W87" s="551"/>
      <c r="X87" s="551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1"/>
      <c r="AX87" s="551"/>
      <c r="AY87" s="551"/>
      <c r="AZ87" s="551"/>
      <c r="BA87" s="551"/>
      <c r="BB87" s="551"/>
      <c r="BC87" s="551"/>
      <c r="BD87" s="551"/>
      <c r="BE87" s="551"/>
      <c r="BF87" s="551"/>
      <c r="BG87" s="551"/>
      <c r="BH87" s="551"/>
      <c r="BI87" s="551"/>
      <c r="BJ87" s="551"/>
      <c r="BK87" s="551"/>
    </row>
    <row r="88" spans="1:63" ht="12.75" customHeight="1">
      <c r="A88" s="551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1"/>
      <c r="P88" s="551"/>
      <c r="Q88" s="551"/>
      <c r="R88" s="551"/>
      <c r="S88" s="551"/>
      <c r="T88" s="551"/>
      <c r="U88" s="551"/>
      <c r="V88" s="551"/>
      <c r="W88" s="551"/>
      <c r="X88" s="551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  <c r="AK88" s="551"/>
      <c r="AL88" s="551"/>
      <c r="AM88" s="551"/>
      <c r="AN88" s="551"/>
      <c r="AO88" s="551"/>
      <c r="AP88" s="551"/>
      <c r="AQ88" s="551"/>
      <c r="AR88" s="551"/>
      <c r="AS88" s="551"/>
      <c r="AT88" s="551"/>
      <c r="AU88" s="551"/>
      <c r="AV88" s="551"/>
      <c r="AW88" s="551"/>
      <c r="AX88" s="551"/>
      <c r="AY88" s="551"/>
      <c r="AZ88" s="551"/>
      <c r="BA88" s="551"/>
      <c r="BB88" s="551"/>
      <c r="BC88" s="551"/>
      <c r="BD88" s="551"/>
      <c r="BE88" s="551"/>
      <c r="BF88" s="551"/>
      <c r="BG88" s="551"/>
      <c r="BH88" s="551"/>
      <c r="BI88" s="551"/>
      <c r="BJ88" s="551"/>
      <c r="BK88" s="551"/>
    </row>
    <row r="89" spans="1:63" ht="12.75" customHeight="1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1"/>
      <c r="P89" s="551"/>
      <c r="Q89" s="551"/>
      <c r="R89" s="551"/>
      <c r="S89" s="551"/>
      <c r="T89" s="551"/>
      <c r="U89" s="551"/>
      <c r="V89" s="551"/>
      <c r="W89" s="551"/>
      <c r="X89" s="551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  <c r="AK89" s="551"/>
      <c r="AL89" s="551"/>
      <c r="AM89" s="551"/>
      <c r="AN89" s="551"/>
      <c r="AO89" s="551"/>
      <c r="AP89" s="551"/>
      <c r="AQ89" s="551"/>
      <c r="AR89" s="551"/>
      <c r="AS89" s="551"/>
      <c r="AT89" s="551"/>
      <c r="AU89" s="551"/>
      <c r="AV89" s="551"/>
      <c r="AW89" s="551"/>
      <c r="AX89" s="551"/>
      <c r="AY89" s="551"/>
      <c r="AZ89" s="551"/>
      <c r="BA89" s="551"/>
      <c r="BB89" s="551"/>
      <c r="BC89" s="551"/>
      <c r="BD89" s="551"/>
      <c r="BE89" s="551"/>
      <c r="BF89" s="551"/>
      <c r="BG89" s="551"/>
      <c r="BH89" s="551"/>
      <c r="BI89" s="551"/>
      <c r="BJ89" s="551"/>
      <c r="BK89" s="551"/>
    </row>
    <row r="90" spans="1:63" ht="12.75" customHeight="1">
      <c r="A90" s="551"/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  <c r="AK90" s="551"/>
      <c r="AL90" s="551"/>
      <c r="AM90" s="551"/>
      <c r="AN90" s="551"/>
      <c r="AO90" s="551"/>
      <c r="AP90" s="551"/>
      <c r="AQ90" s="551"/>
      <c r="AR90" s="551"/>
      <c r="AS90" s="551"/>
      <c r="AT90" s="551"/>
      <c r="AU90" s="551"/>
      <c r="AV90" s="551"/>
      <c r="AW90" s="551"/>
      <c r="AX90" s="551"/>
      <c r="AY90" s="551"/>
      <c r="AZ90" s="551"/>
      <c r="BA90" s="551"/>
      <c r="BB90" s="551"/>
      <c r="BC90" s="551"/>
      <c r="BD90" s="551"/>
      <c r="BE90" s="551"/>
      <c r="BF90" s="551"/>
      <c r="BG90" s="551"/>
      <c r="BH90" s="551"/>
      <c r="BI90" s="551"/>
      <c r="BJ90" s="551"/>
      <c r="BK90" s="551"/>
    </row>
    <row r="91" spans="1:63" ht="12.75" customHeight="1">
      <c r="A91" s="551"/>
      <c r="B91" s="551"/>
      <c r="C91" s="551"/>
      <c r="D91" s="551"/>
      <c r="E91" s="551"/>
      <c r="F91" s="551"/>
      <c r="G91" s="551"/>
      <c r="H91" s="551"/>
      <c r="I91" s="551"/>
      <c r="J91" s="551"/>
      <c r="K91" s="551"/>
      <c r="L91" s="551"/>
      <c r="M91" s="551"/>
      <c r="N91" s="551"/>
      <c r="O91" s="551"/>
      <c r="P91" s="551"/>
      <c r="Q91" s="551"/>
      <c r="R91" s="551"/>
      <c r="S91" s="551"/>
      <c r="T91" s="551"/>
      <c r="U91" s="551"/>
      <c r="V91" s="551"/>
      <c r="W91" s="551"/>
      <c r="X91" s="551"/>
      <c r="Y91" s="551"/>
      <c r="Z91" s="551"/>
      <c r="AA91" s="551"/>
      <c r="AB91" s="551"/>
      <c r="AC91" s="551"/>
      <c r="AD91" s="551"/>
      <c r="AE91" s="551"/>
      <c r="AF91" s="551"/>
      <c r="AG91" s="551"/>
      <c r="AH91" s="551"/>
      <c r="AI91" s="551"/>
      <c r="AJ91" s="551"/>
      <c r="AK91" s="551"/>
      <c r="AL91" s="551"/>
      <c r="AM91" s="551"/>
      <c r="AN91" s="551"/>
      <c r="AO91" s="551"/>
      <c r="AP91" s="551"/>
      <c r="AQ91" s="551"/>
      <c r="AR91" s="551"/>
      <c r="AS91" s="551"/>
      <c r="AT91" s="551"/>
      <c r="AU91" s="551"/>
      <c r="AV91" s="551"/>
      <c r="AW91" s="551"/>
      <c r="AX91" s="551"/>
      <c r="AY91" s="551"/>
      <c r="AZ91" s="551"/>
      <c r="BA91" s="551"/>
      <c r="BB91" s="551"/>
      <c r="BC91" s="551"/>
      <c r="BD91" s="551"/>
      <c r="BE91" s="551"/>
      <c r="BF91" s="551"/>
      <c r="BG91" s="551"/>
      <c r="BH91" s="551"/>
      <c r="BI91" s="551"/>
      <c r="BJ91" s="551"/>
      <c r="BK91" s="551"/>
    </row>
    <row r="92" spans="1:63" ht="12.75" customHeight="1">
      <c r="A92" s="551"/>
      <c r="B92" s="551"/>
      <c r="C92" s="551"/>
      <c r="D92" s="551"/>
      <c r="E92" s="551"/>
      <c r="F92" s="551"/>
      <c r="G92" s="551"/>
      <c r="H92" s="551"/>
      <c r="I92" s="551"/>
      <c r="J92" s="551"/>
      <c r="K92" s="551"/>
      <c r="L92" s="551"/>
      <c r="M92" s="551"/>
      <c r="N92" s="551"/>
      <c r="O92" s="551"/>
      <c r="P92" s="551"/>
      <c r="Q92" s="551"/>
      <c r="R92" s="551"/>
      <c r="S92" s="551"/>
      <c r="T92" s="551"/>
      <c r="U92" s="551"/>
      <c r="V92" s="551"/>
      <c r="W92" s="551"/>
      <c r="X92" s="551"/>
      <c r="Y92" s="551"/>
      <c r="Z92" s="551"/>
      <c r="AA92" s="551"/>
      <c r="AB92" s="551"/>
      <c r="AC92" s="551"/>
      <c r="AD92" s="551"/>
      <c r="AE92" s="551"/>
      <c r="AF92" s="551"/>
      <c r="AG92" s="551"/>
      <c r="AH92" s="551"/>
      <c r="AI92" s="551"/>
      <c r="AJ92" s="551"/>
      <c r="AK92" s="551"/>
      <c r="AL92" s="551"/>
      <c r="AM92" s="551"/>
      <c r="AN92" s="551"/>
      <c r="AO92" s="551"/>
      <c r="AP92" s="551"/>
      <c r="AQ92" s="551"/>
      <c r="AR92" s="551"/>
      <c r="AS92" s="551"/>
      <c r="AT92" s="551"/>
      <c r="AU92" s="551"/>
      <c r="AV92" s="551"/>
      <c r="AW92" s="551"/>
      <c r="AX92" s="551"/>
      <c r="AY92" s="551"/>
      <c r="AZ92" s="551"/>
      <c r="BA92" s="551"/>
      <c r="BB92" s="551"/>
      <c r="BC92" s="551"/>
      <c r="BD92" s="551"/>
      <c r="BE92" s="551"/>
      <c r="BF92" s="551"/>
      <c r="BG92" s="551"/>
      <c r="BH92" s="551"/>
      <c r="BI92" s="551"/>
      <c r="BJ92" s="551"/>
      <c r="BK92" s="551"/>
    </row>
    <row r="93" spans="1:63" ht="12.75" customHeight="1">
      <c r="A93" s="551"/>
      <c r="B93" s="551"/>
      <c r="C93" s="551"/>
      <c r="D93" s="551"/>
      <c r="E93" s="551"/>
      <c r="F93" s="551"/>
      <c r="G93" s="551"/>
      <c r="H93" s="551"/>
      <c r="I93" s="551"/>
      <c r="J93" s="551"/>
      <c r="K93" s="551"/>
      <c r="L93" s="551"/>
      <c r="M93" s="551"/>
      <c r="N93" s="551"/>
      <c r="O93" s="551"/>
      <c r="P93" s="551"/>
      <c r="Q93" s="551"/>
      <c r="R93" s="551"/>
      <c r="S93" s="551"/>
      <c r="T93" s="551"/>
      <c r="U93" s="551"/>
      <c r="V93" s="551"/>
      <c r="W93" s="551"/>
      <c r="X93" s="551"/>
      <c r="Y93" s="551"/>
      <c r="Z93" s="551"/>
      <c r="AA93" s="551"/>
      <c r="AB93" s="551"/>
      <c r="AC93" s="551"/>
      <c r="AD93" s="551"/>
      <c r="AE93" s="551"/>
      <c r="AF93" s="551"/>
      <c r="AG93" s="551"/>
      <c r="AH93" s="551"/>
      <c r="AI93" s="551"/>
      <c r="AJ93" s="551"/>
      <c r="AK93" s="551"/>
      <c r="AL93" s="551"/>
      <c r="AM93" s="551"/>
      <c r="AN93" s="551"/>
      <c r="AO93" s="551"/>
      <c r="AP93" s="551"/>
      <c r="AQ93" s="551"/>
      <c r="AR93" s="551"/>
      <c r="AS93" s="551"/>
      <c r="AT93" s="551"/>
      <c r="AU93" s="551"/>
      <c r="AV93" s="551"/>
      <c r="AW93" s="551"/>
      <c r="AX93" s="551"/>
      <c r="AY93" s="551"/>
      <c r="AZ93" s="551"/>
      <c r="BA93" s="551"/>
      <c r="BB93" s="551"/>
      <c r="BC93" s="551"/>
      <c r="BD93" s="551"/>
      <c r="BE93" s="551"/>
      <c r="BF93" s="551"/>
      <c r="BG93" s="551"/>
      <c r="BH93" s="551"/>
      <c r="BI93" s="551"/>
      <c r="BJ93" s="551"/>
      <c r="BK93" s="551"/>
    </row>
    <row r="94" spans="1:63" ht="12.75" customHeight="1">
      <c r="A94" s="551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1"/>
      <c r="M94" s="551"/>
      <c r="N94" s="551"/>
      <c r="O94" s="551"/>
      <c r="P94" s="551"/>
      <c r="Q94" s="551"/>
      <c r="R94" s="551"/>
      <c r="S94" s="551"/>
      <c r="T94" s="551"/>
      <c r="U94" s="551"/>
      <c r="V94" s="551"/>
      <c r="W94" s="551"/>
      <c r="X94" s="551"/>
      <c r="Y94" s="551"/>
      <c r="Z94" s="551"/>
      <c r="AA94" s="551"/>
      <c r="AB94" s="551"/>
      <c r="AC94" s="551"/>
      <c r="AD94" s="551"/>
      <c r="AE94" s="551"/>
      <c r="AF94" s="551"/>
      <c r="AG94" s="551"/>
      <c r="AH94" s="551"/>
      <c r="AI94" s="551"/>
      <c r="AJ94" s="551"/>
      <c r="AK94" s="551"/>
      <c r="AL94" s="551"/>
      <c r="AM94" s="551"/>
      <c r="AN94" s="551"/>
      <c r="AO94" s="551"/>
      <c r="AP94" s="551"/>
      <c r="AQ94" s="551"/>
      <c r="AR94" s="551"/>
      <c r="AS94" s="551"/>
      <c r="AT94" s="551"/>
      <c r="AU94" s="551"/>
      <c r="AV94" s="551"/>
      <c r="AW94" s="551"/>
      <c r="AX94" s="551"/>
      <c r="AY94" s="551"/>
      <c r="AZ94" s="551"/>
      <c r="BA94" s="551"/>
      <c r="BB94" s="551"/>
      <c r="BC94" s="551"/>
      <c r="BD94" s="551"/>
      <c r="BE94" s="551"/>
      <c r="BF94" s="551"/>
      <c r="BG94" s="551"/>
      <c r="BH94" s="551"/>
      <c r="BI94" s="551"/>
      <c r="BJ94" s="551"/>
      <c r="BK94" s="551"/>
    </row>
    <row r="95" spans="1:63" ht="12.75" customHeight="1">
      <c r="A95" s="551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1"/>
      <c r="P95" s="551"/>
      <c r="Q95" s="551"/>
      <c r="R95" s="551"/>
      <c r="S95" s="551"/>
      <c r="T95" s="551"/>
      <c r="U95" s="551"/>
      <c r="V95" s="551"/>
      <c r="W95" s="551"/>
      <c r="X95" s="551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551"/>
      <c r="AU95" s="551"/>
      <c r="AV95" s="551"/>
      <c r="AW95" s="551"/>
      <c r="AX95" s="551"/>
      <c r="AY95" s="551"/>
      <c r="AZ95" s="551"/>
      <c r="BA95" s="551"/>
      <c r="BB95" s="551"/>
      <c r="BC95" s="551"/>
      <c r="BD95" s="551"/>
      <c r="BE95" s="551"/>
      <c r="BF95" s="551"/>
      <c r="BG95" s="551"/>
      <c r="BH95" s="551"/>
      <c r="BI95" s="551"/>
      <c r="BJ95" s="551"/>
      <c r="BK95" s="551"/>
    </row>
    <row r="96" spans="1:63" ht="12.75" customHeight="1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1"/>
      <c r="P96" s="551"/>
      <c r="Q96" s="551"/>
      <c r="R96" s="551"/>
      <c r="S96" s="551"/>
      <c r="T96" s="551"/>
      <c r="U96" s="551"/>
      <c r="V96" s="551"/>
      <c r="W96" s="551"/>
      <c r="X96" s="551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  <c r="AL96" s="551"/>
      <c r="AM96" s="551"/>
      <c r="AN96" s="551"/>
      <c r="AO96" s="551"/>
      <c r="AP96" s="551"/>
      <c r="AQ96" s="551"/>
      <c r="AR96" s="551"/>
      <c r="AS96" s="551"/>
      <c r="AT96" s="551"/>
      <c r="AU96" s="551"/>
      <c r="AV96" s="551"/>
      <c r="AW96" s="551"/>
      <c r="AX96" s="551"/>
      <c r="AY96" s="551"/>
      <c r="AZ96" s="551"/>
      <c r="BA96" s="551"/>
      <c r="BB96" s="551"/>
      <c r="BC96" s="551"/>
      <c r="BD96" s="551"/>
      <c r="BE96" s="551"/>
      <c r="BF96" s="551"/>
      <c r="BG96" s="551"/>
      <c r="BH96" s="551"/>
      <c r="BI96" s="551"/>
      <c r="BJ96" s="551"/>
      <c r="BK96" s="551"/>
    </row>
    <row r="97" spans="1:63" ht="12.75" customHeight="1">
      <c r="A97" s="551"/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551"/>
      <c r="AU97" s="551"/>
      <c r="AV97" s="551"/>
      <c r="AW97" s="551"/>
      <c r="AX97" s="551"/>
      <c r="AY97" s="551"/>
      <c r="AZ97" s="551"/>
      <c r="BA97" s="551"/>
      <c r="BB97" s="551"/>
      <c r="BC97" s="551"/>
      <c r="BD97" s="551"/>
      <c r="BE97" s="551"/>
      <c r="BF97" s="551"/>
      <c r="BG97" s="551"/>
      <c r="BH97" s="551"/>
      <c r="BI97" s="551"/>
      <c r="BJ97" s="551"/>
      <c r="BK97" s="551"/>
    </row>
    <row r="98" spans="1:63" ht="12.75" customHeight="1">
      <c r="A98" s="551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  <c r="AL98" s="551"/>
      <c r="AM98" s="551"/>
      <c r="AN98" s="551"/>
      <c r="AO98" s="551"/>
      <c r="AP98" s="551"/>
      <c r="AQ98" s="551"/>
      <c r="AR98" s="551"/>
      <c r="AS98" s="551"/>
      <c r="AT98" s="551"/>
      <c r="AU98" s="551"/>
      <c r="AV98" s="551"/>
      <c r="AW98" s="551"/>
      <c r="AX98" s="551"/>
      <c r="AY98" s="551"/>
      <c r="AZ98" s="551"/>
      <c r="BA98" s="551"/>
      <c r="BB98" s="551"/>
      <c r="BC98" s="551"/>
      <c r="BD98" s="551"/>
      <c r="BE98" s="551"/>
      <c r="BF98" s="551"/>
      <c r="BG98" s="551"/>
      <c r="BH98" s="551"/>
      <c r="BI98" s="551"/>
      <c r="BJ98" s="551"/>
      <c r="BK98" s="551"/>
    </row>
    <row r="99" spans="1:63" ht="12.75" customHeight="1">
      <c r="A99" s="551"/>
      <c r="B99" s="551"/>
      <c r="C99" s="551"/>
      <c r="D99" s="551"/>
      <c r="E99" s="551"/>
      <c r="F99" s="551"/>
      <c r="G99" s="551"/>
      <c r="H99" s="551"/>
      <c r="I99" s="551"/>
      <c r="J99" s="551"/>
      <c r="K99" s="551"/>
      <c r="L99" s="551"/>
      <c r="M99" s="551"/>
      <c r="N99" s="551"/>
      <c r="O99" s="551"/>
      <c r="P99" s="551"/>
      <c r="Q99" s="551"/>
      <c r="R99" s="551"/>
      <c r="S99" s="551"/>
      <c r="T99" s="551"/>
      <c r="U99" s="551"/>
      <c r="V99" s="551"/>
      <c r="W99" s="551"/>
      <c r="X99" s="551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  <c r="AL99" s="551"/>
      <c r="AM99" s="551"/>
      <c r="AN99" s="551"/>
      <c r="AO99" s="551"/>
      <c r="AP99" s="551"/>
      <c r="AQ99" s="551"/>
      <c r="AR99" s="551"/>
      <c r="AS99" s="551"/>
      <c r="AT99" s="551"/>
      <c r="AU99" s="551"/>
      <c r="AV99" s="551"/>
      <c r="AW99" s="551"/>
      <c r="AX99" s="551"/>
      <c r="AY99" s="551"/>
      <c r="AZ99" s="551"/>
      <c r="BA99" s="551"/>
      <c r="BB99" s="551"/>
      <c r="BC99" s="551"/>
      <c r="BD99" s="551"/>
      <c r="BE99" s="551"/>
      <c r="BF99" s="551"/>
      <c r="BG99" s="551"/>
      <c r="BH99" s="551"/>
      <c r="BI99" s="551"/>
      <c r="BJ99" s="551"/>
      <c r="BK99" s="551"/>
    </row>
    <row r="100" spans="1:63" ht="12.75" customHeight="1">
      <c r="A100" s="551"/>
      <c r="B100" s="551"/>
      <c r="C100" s="551"/>
      <c r="D100" s="551"/>
      <c r="E100" s="551"/>
      <c r="F100" s="551"/>
      <c r="G100" s="551"/>
      <c r="H100" s="551"/>
      <c r="I100" s="551"/>
      <c r="J100" s="551"/>
      <c r="K100" s="551"/>
      <c r="L100" s="551"/>
      <c r="M100" s="551"/>
      <c r="N100" s="551"/>
      <c r="O100" s="551"/>
      <c r="P100" s="551"/>
      <c r="Q100" s="551"/>
      <c r="R100" s="551"/>
      <c r="S100" s="551"/>
      <c r="T100" s="551"/>
      <c r="U100" s="551"/>
      <c r="V100" s="551"/>
      <c r="W100" s="551"/>
      <c r="X100" s="551"/>
      <c r="Y100" s="551"/>
      <c r="Z100" s="551"/>
      <c r="AA100" s="551"/>
      <c r="AB100" s="551"/>
      <c r="AC100" s="551"/>
      <c r="AD100" s="551"/>
      <c r="AE100" s="551"/>
      <c r="AF100" s="551"/>
      <c r="AG100" s="551"/>
      <c r="AH100" s="551"/>
      <c r="AI100" s="551"/>
      <c r="AJ100" s="551"/>
      <c r="AK100" s="551"/>
      <c r="AL100" s="551"/>
      <c r="AM100" s="551"/>
      <c r="AN100" s="551"/>
      <c r="AO100" s="551"/>
      <c r="AP100" s="551"/>
      <c r="AQ100" s="551"/>
      <c r="AR100" s="551"/>
      <c r="AS100" s="551"/>
      <c r="AT100" s="551"/>
      <c r="AU100" s="551"/>
      <c r="AV100" s="551"/>
      <c r="AW100" s="551"/>
      <c r="AX100" s="551"/>
      <c r="AY100" s="551"/>
      <c r="AZ100" s="551"/>
      <c r="BA100" s="551"/>
      <c r="BB100" s="551"/>
      <c r="BC100" s="551"/>
      <c r="BD100" s="551"/>
      <c r="BE100" s="551"/>
      <c r="BF100" s="551"/>
      <c r="BG100" s="551"/>
      <c r="BH100" s="551"/>
      <c r="BI100" s="551"/>
      <c r="BJ100" s="551"/>
      <c r="BK100" s="551"/>
    </row>
    <row r="101" spans="1:63" ht="12.75" customHeight="1">
      <c r="A101" s="551"/>
      <c r="B101" s="551"/>
      <c r="C101" s="551"/>
      <c r="D101" s="551"/>
      <c r="E101" s="551"/>
      <c r="F101" s="551"/>
      <c r="G101" s="551"/>
      <c r="H101" s="551"/>
      <c r="I101" s="551"/>
      <c r="J101" s="551"/>
      <c r="K101" s="551"/>
      <c r="L101" s="551"/>
      <c r="M101" s="551"/>
      <c r="N101" s="551"/>
      <c r="O101" s="551"/>
      <c r="P101" s="551"/>
      <c r="Q101" s="551"/>
      <c r="R101" s="551"/>
      <c r="S101" s="551"/>
      <c r="T101" s="551"/>
      <c r="U101" s="551"/>
      <c r="V101" s="551"/>
      <c r="W101" s="551"/>
      <c r="X101" s="551"/>
      <c r="Y101" s="551"/>
      <c r="Z101" s="551"/>
      <c r="AA101" s="551"/>
      <c r="AB101" s="551"/>
      <c r="AC101" s="551"/>
      <c r="AD101" s="551"/>
      <c r="AE101" s="551"/>
      <c r="AF101" s="551"/>
      <c r="AG101" s="551"/>
      <c r="AH101" s="551"/>
      <c r="AI101" s="551"/>
      <c r="AJ101" s="551"/>
      <c r="AK101" s="551"/>
      <c r="AL101" s="551"/>
      <c r="AM101" s="551"/>
      <c r="AN101" s="551"/>
      <c r="AO101" s="551"/>
      <c r="AP101" s="551"/>
      <c r="AQ101" s="551"/>
      <c r="AR101" s="551"/>
      <c r="AS101" s="551"/>
      <c r="AT101" s="551"/>
      <c r="AU101" s="551"/>
      <c r="AV101" s="551"/>
      <c r="AW101" s="551"/>
      <c r="AX101" s="551"/>
      <c r="AY101" s="551"/>
      <c r="AZ101" s="551"/>
      <c r="BA101" s="551"/>
      <c r="BB101" s="551"/>
      <c r="BC101" s="551"/>
      <c r="BD101" s="551"/>
      <c r="BE101" s="551"/>
      <c r="BF101" s="551"/>
      <c r="BG101" s="551"/>
      <c r="BH101" s="551"/>
      <c r="BI101" s="551"/>
      <c r="BJ101" s="551"/>
      <c r="BK101" s="551"/>
    </row>
    <row r="102" spans="1:63" ht="12.75" customHeight="1">
      <c r="A102" s="551"/>
      <c r="B102" s="551"/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1"/>
      <c r="N102" s="551"/>
      <c r="O102" s="551"/>
      <c r="P102" s="551"/>
      <c r="Q102" s="551"/>
      <c r="R102" s="551"/>
      <c r="S102" s="551"/>
      <c r="T102" s="551"/>
      <c r="U102" s="551"/>
      <c r="V102" s="551"/>
      <c r="W102" s="551"/>
      <c r="X102" s="551"/>
      <c r="Y102" s="551"/>
      <c r="Z102" s="551"/>
      <c r="AA102" s="551"/>
      <c r="AB102" s="551"/>
      <c r="AC102" s="551"/>
      <c r="AD102" s="551"/>
      <c r="AE102" s="551"/>
      <c r="AF102" s="551"/>
      <c r="AG102" s="551"/>
      <c r="AH102" s="551"/>
      <c r="AI102" s="551"/>
      <c r="AJ102" s="551"/>
      <c r="AK102" s="551"/>
      <c r="AL102" s="551"/>
      <c r="AM102" s="551"/>
      <c r="AN102" s="551"/>
      <c r="AO102" s="551"/>
      <c r="AP102" s="551"/>
      <c r="AQ102" s="551"/>
      <c r="AR102" s="551"/>
      <c r="AS102" s="551"/>
      <c r="AT102" s="551"/>
      <c r="AU102" s="551"/>
      <c r="AV102" s="551"/>
      <c r="AW102" s="551"/>
      <c r="AX102" s="551"/>
      <c r="AY102" s="551"/>
      <c r="AZ102" s="551"/>
      <c r="BA102" s="551"/>
      <c r="BB102" s="551"/>
      <c r="BC102" s="551"/>
      <c r="BD102" s="551"/>
      <c r="BE102" s="551"/>
      <c r="BF102" s="551"/>
      <c r="BG102" s="551"/>
      <c r="BH102" s="551"/>
      <c r="BI102" s="551"/>
      <c r="BJ102" s="551"/>
      <c r="BK102" s="551"/>
    </row>
    <row r="103" spans="1:63" ht="12.75" customHeight="1">
      <c r="A103" s="551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1"/>
      <c r="P103" s="551"/>
      <c r="Q103" s="551"/>
      <c r="R103" s="551"/>
      <c r="S103" s="551"/>
      <c r="T103" s="551"/>
      <c r="U103" s="551"/>
      <c r="V103" s="551"/>
      <c r="W103" s="551"/>
      <c r="X103" s="551"/>
      <c r="Y103" s="551"/>
      <c r="Z103" s="551"/>
      <c r="AA103" s="551"/>
      <c r="AB103" s="551"/>
      <c r="AC103" s="551"/>
      <c r="AD103" s="551"/>
      <c r="AE103" s="551"/>
      <c r="AF103" s="551"/>
      <c r="AG103" s="551"/>
      <c r="AH103" s="551"/>
      <c r="AI103" s="551"/>
      <c r="AJ103" s="551"/>
      <c r="AK103" s="551"/>
      <c r="AL103" s="551"/>
      <c r="AM103" s="551"/>
      <c r="AN103" s="551"/>
      <c r="AO103" s="551"/>
      <c r="AP103" s="551"/>
      <c r="AQ103" s="551"/>
      <c r="AR103" s="551"/>
      <c r="AS103" s="551"/>
      <c r="AT103" s="551"/>
      <c r="AU103" s="551"/>
      <c r="AV103" s="551"/>
      <c r="AW103" s="551"/>
      <c r="AX103" s="551"/>
      <c r="AY103" s="551"/>
      <c r="AZ103" s="551"/>
      <c r="BA103" s="551"/>
      <c r="BB103" s="551"/>
      <c r="BC103" s="551"/>
      <c r="BD103" s="551"/>
      <c r="BE103" s="551"/>
      <c r="BF103" s="551"/>
      <c r="BG103" s="551"/>
      <c r="BH103" s="551"/>
      <c r="BI103" s="551"/>
      <c r="BJ103" s="551"/>
      <c r="BK103" s="551"/>
    </row>
    <row r="104" spans="1:63" ht="12.75" customHeight="1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1"/>
      <c r="P104" s="551"/>
      <c r="Q104" s="551"/>
      <c r="R104" s="551"/>
      <c r="S104" s="551"/>
      <c r="T104" s="551"/>
      <c r="U104" s="551"/>
      <c r="V104" s="551"/>
      <c r="W104" s="551"/>
      <c r="X104" s="551"/>
      <c r="Y104" s="551"/>
      <c r="Z104" s="551"/>
      <c r="AA104" s="551"/>
      <c r="AB104" s="551"/>
      <c r="AC104" s="551"/>
      <c r="AD104" s="551"/>
      <c r="AE104" s="551"/>
      <c r="AF104" s="551"/>
      <c r="AG104" s="551"/>
      <c r="AH104" s="551"/>
      <c r="AI104" s="551"/>
      <c r="AJ104" s="551"/>
      <c r="AK104" s="551"/>
      <c r="AL104" s="551"/>
      <c r="AM104" s="551"/>
      <c r="AN104" s="551"/>
      <c r="AO104" s="551"/>
      <c r="AP104" s="551"/>
      <c r="AQ104" s="551"/>
      <c r="AR104" s="551"/>
      <c r="AS104" s="551"/>
      <c r="AT104" s="551"/>
      <c r="AU104" s="551"/>
      <c r="AV104" s="551"/>
      <c r="AW104" s="551"/>
      <c r="AX104" s="551"/>
      <c r="AY104" s="551"/>
      <c r="AZ104" s="551"/>
      <c r="BA104" s="551"/>
      <c r="BB104" s="551"/>
      <c r="BC104" s="551"/>
      <c r="BD104" s="551"/>
      <c r="BE104" s="551"/>
      <c r="BF104" s="551"/>
      <c r="BG104" s="551"/>
      <c r="BH104" s="551"/>
      <c r="BI104" s="551"/>
      <c r="BJ104" s="551"/>
      <c r="BK104" s="551"/>
    </row>
    <row r="105" spans="1:63" ht="12.75" customHeight="1">
      <c r="A105" s="551"/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51"/>
      <c r="AB105" s="551"/>
      <c r="AC105" s="551"/>
      <c r="AD105" s="551"/>
      <c r="AE105" s="551"/>
      <c r="AF105" s="551"/>
      <c r="AG105" s="551"/>
      <c r="AH105" s="551"/>
      <c r="AI105" s="551"/>
      <c r="AJ105" s="551"/>
      <c r="AK105" s="551"/>
      <c r="AL105" s="551"/>
      <c r="AM105" s="551"/>
      <c r="AN105" s="551"/>
      <c r="AO105" s="551"/>
      <c r="AP105" s="551"/>
      <c r="AQ105" s="551"/>
      <c r="AR105" s="551"/>
      <c r="AS105" s="551"/>
      <c r="AT105" s="551"/>
      <c r="AU105" s="551"/>
      <c r="AV105" s="551"/>
      <c r="AW105" s="551"/>
      <c r="AX105" s="551"/>
      <c r="AY105" s="551"/>
      <c r="AZ105" s="551"/>
      <c r="BA105" s="551"/>
      <c r="BB105" s="551"/>
      <c r="BC105" s="551"/>
      <c r="BD105" s="551"/>
      <c r="BE105" s="551"/>
      <c r="BF105" s="551"/>
      <c r="BG105" s="551"/>
      <c r="BH105" s="551"/>
      <c r="BI105" s="551"/>
      <c r="BJ105" s="551"/>
      <c r="BK105" s="551"/>
    </row>
    <row r="106" spans="1:63" ht="12.75" customHeight="1">
      <c r="A106" s="551"/>
      <c r="B106" s="551"/>
      <c r="C106" s="551"/>
      <c r="D106" s="551"/>
      <c r="E106" s="551"/>
      <c r="F106" s="551"/>
      <c r="G106" s="551"/>
      <c r="H106" s="551"/>
      <c r="I106" s="551"/>
      <c r="J106" s="551"/>
      <c r="K106" s="551"/>
      <c r="L106" s="551"/>
      <c r="M106" s="551"/>
      <c r="N106" s="551"/>
      <c r="O106" s="551"/>
      <c r="P106" s="551"/>
      <c r="Q106" s="551"/>
      <c r="R106" s="551"/>
      <c r="S106" s="551"/>
      <c r="T106" s="551"/>
      <c r="U106" s="551"/>
      <c r="V106" s="551"/>
      <c r="W106" s="551"/>
      <c r="X106" s="551"/>
      <c r="Y106" s="551"/>
      <c r="Z106" s="551"/>
      <c r="AA106" s="551"/>
      <c r="AB106" s="551"/>
      <c r="AC106" s="551"/>
      <c r="AD106" s="551"/>
      <c r="AE106" s="551"/>
      <c r="AF106" s="551"/>
      <c r="AG106" s="551"/>
      <c r="AH106" s="551"/>
      <c r="AI106" s="551"/>
      <c r="AJ106" s="551"/>
      <c r="AK106" s="551"/>
      <c r="AL106" s="551"/>
      <c r="AM106" s="551"/>
      <c r="AN106" s="551"/>
      <c r="AO106" s="551"/>
      <c r="AP106" s="551"/>
      <c r="AQ106" s="551"/>
      <c r="AR106" s="551"/>
      <c r="AS106" s="551"/>
      <c r="AT106" s="551"/>
      <c r="AU106" s="551"/>
      <c r="AV106" s="551"/>
      <c r="AW106" s="551"/>
      <c r="AX106" s="551"/>
      <c r="AY106" s="551"/>
      <c r="AZ106" s="551"/>
      <c r="BA106" s="551"/>
      <c r="BB106" s="551"/>
      <c r="BC106" s="551"/>
      <c r="BD106" s="551"/>
      <c r="BE106" s="551"/>
      <c r="BF106" s="551"/>
      <c r="BG106" s="551"/>
      <c r="BH106" s="551"/>
      <c r="BI106" s="551"/>
      <c r="BJ106" s="551"/>
      <c r="BK106" s="551"/>
    </row>
    <row r="107" spans="1:63" ht="12.75" customHeight="1">
      <c r="A107" s="551"/>
      <c r="B107" s="551"/>
      <c r="C107" s="551"/>
      <c r="D107" s="551"/>
      <c r="E107" s="551"/>
      <c r="F107" s="551"/>
      <c r="G107" s="551"/>
      <c r="H107" s="551"/>
      <c r="I107" s="551"/>
      <c r="J107" s="551"/>
      <c r="K107" s="551"/>
      <c r="L107" s="551"/>
      <c r="M107" s="551"/>
      <c r="N107" s="551"/>
      <c r="O107" s="551"/>
      <c r="P107" s="551"/>
      <c r="Q107" s="551"/>
      <c r="R107" s="551"/>
      <c r="S107" s="551"/>
      <c r="T107" s="551"/>
      <c r="U107" s="551"/>
      <c r="V107" s="551"/>
      <c r="W107" s="551"/>
      <c r="X107" s="551"/>
      <c r="Y107" s="551"/>
      <c r="Z107" s="551"/>
      <c r="AA107" s="551"/>
      <c r="AB107" s="551"/>
      <c r="AC107" s="551"/>
      <c r="AD107" s="551"/>
      <c r="AE107" s="551"/>
      <c r="AF107" s="551"/>
      <c r="AG107" s="551"/>
      <c r="AH107" s="551"/>
      <c r="AI107" s="551"/>
      <c r="AJ107" s="551"/>
      <c r="AK107" s="551"/>
      <c r="AL107" s="551"/>
      <c r="AM107" s="551"/>
      <c r="AN107" s="551"/>
      <c r="AO107" s="551"/>
      <c r="AP107" s="551"/>
      <c r="AQ107" s="551"/>
      <c r="AR107" s="551"/>
      <c r="AS107" s="551"/>
      <c r="AT107" s="551"/>
      <c r="AU107" s="551"/>
      <c r="AV107" s="551"/>
      <c r="AW107" s="551"/>
      <c r="AX107" s="551"/>
      <c r="AY107" s="551"/>
      <c r="AZ107" s="551"/>
      <c r="BA107" s="551"/>
      <c r="BB107" s="551"/>
      <c r="BC107" s="551"/>
      <c r="BD107" s="551"/>
      <c r="BE107" s="551"/>
      <c r="BF107" s="551"/>
      <c r="BG107" s="551"/>
      <c r="BH107" s="551"/>
      <c r="BI107" s="551"/>
      <c r="BJ107" s="551"/>
      <c r="BK107" s="551"/>
    </row>
    <row r="108" spans="1:63" ht="12.75" customHeight="1">
      <c r="A108" s="551"/>
      <c r="B108" s="551"/>
      <c r="C108" s="551"/>
      <c r="D108" s="551"/>
      <c r="E108" s="551"/>
      <c r="F108" s="551"/>
      <c r="G108" s="551"/>
      <c r="H108" s="551"/>
      <c r="I108" s="551"/>
      <c r="J108" s="551"/>
      <c r="K108" s="551"/>
      <c r="L108" s="551"/>
      <c r="M108" s="551"/>
      <c r="N108" s="551"/>
      <c r="O108" s="551"/>
      <c r="P108" s="551"/>
      <c r="Q108" s="551"/>
      <c r="R108" s="551"/>
      <c r="S108" s="551"/>
      <c r="T108" s="551"/>
      <c r="U108" s="551"/>
      <c r="V108" s="551"/>
      <c r="W108" s="551"/>
      <c r="X108" s="551"/>
      <c r="Y108" s="551"/>
      <c r="Z108" s="551"/>
      <c r="AA108" s="551"/>
      <c r="AB108" s="551"/>
      <c r="AC108" s="551"/>
      <c r="AD108" s="551"/>
      <c r="AE108" s="551"/>
      <c r="AF108" s="551"/>
      <c r="AG108" s="551"/>
      <c r="AH108" s="551"/>
      <c r="AI108" s="551"/>
      <c r="AJ108" s="551"/>
      <c r="AK108" s="551"/>
      <c r="AL108" s="551"/>
      <c r="AM108" s="551"/>
      <c r="AN108" s="551"/>
      <c r="AO108" s="551"/>
      <c r="AP108" s="551"/>
      <c r="AQ108" s="551"/>
      <c r="AR108" s="551"/>
      <c r="AS108" s="551"/>
      <c r="AT108" s="551"/>
      <c r="AU108" s="551"/>
      <c r="AV108" s="551"/>
      <c r="AW108" s="551"/>
      <c r="AX108" s="551"/>
      <c r="AY108" s="551"/>
      <c r="AZ108" s="551"/>
      <c r="BA108" s="551"/>
      <c r="BB108" s="551"/>
      <c r="BC108" s="551"/>
      <c r="BD108" s="551"/>
      <c r="BE108" s="551"/>
      <c r="BF108" s="551"/>
      <c r="BG108" s="551"/>
      <c r="BH108" s="551"/>
      <c r="BI108" s="551"/>
      <c r="BJ108" s="551"/>
      <c r="BK108" s="551"/>
    </row>
    <row r="109" spans="1:63" ht="12.75" customHeight="1">
      <c r="A109" s="551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1"/>
      <c r="P109" s="551"/>
      <c r="Q109" s="551"/>
      <c r="R109" s="551"/>
      <c r="S109" s="551"/>
      <c r="T109" s="551"/>
      <c r="U109" s="551"/>
      <c r="V109" s="551"/>
      <c r="W109" s="551"/>
      <c r="X109" s="551"/>
      <c r="Y109" s="551"/>
      <c r="Z109" s="551"/>
      <c r="AA109" s="551"/>
      <c r="AB109" s="551"/>
      <c r="AC109" s="551"/>
      <c r="AD109" s="551"/>
      <c r="AE109" s="551"/>
      <c r="AF109" s="551"/>
      <c r="AG109" s="551"/>
      <c r="AH109" s="551"/>
      <c r="AI109" s="551"/>
      <c r="AJ109" s="551"/>
      <c r="AK109" s="551"/>
      <c r="AL109" s="551"/>
      <c r="AM109" s="551"/>
      <c r="AN109" s="551"/>
      <c r="AO109" s="551"/>
      <c r="AP109" s="551"/>
      <c r="AQ109" s="551"/>
      <c r="AR109" s="551"/>
      <c r="AS109" s="551"/>
      <c r="AT109" s="551"/>
      <c r="AU109" s="551"/>
      <c r="AV109" s="551"/>
      <c r="AW109" s="551"/>
      <c r="AX109" s="551"/>
      <c r="AY109" s="551"/>
      <c r="AZ109" s="551"/>
      <c r="BA109" s="551"/>
      <c r="BB109" s="551"/>
      <c r="BC109" s="551"/>
      <c r="BD109" s="551"/>
      <c r="BE109" s="551"/>
      <c r="BF109" s="551"/>
      <c r="BG109" s="551"/>
      <c r="BH109" s="551"/>
      <c r="BI109" s="551"/>
      <c r="BJ109" s="551"/>
      <c r="BK109" s="551"/>
    </row>
    <row r="110" spans="1:63" ht="12.75" customHeight="1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1"/>
      <c r="P110" s="551"/>
      <c r="Q110" s="551"/>
      <c r="R110" s="551"/>
      <c r="S110" s="551"/>
      <c r="T110" s="551"/>
      <c r="U110" s="551"/>
      <c r="V110" s="551"/>
      <c r="W110" s="551"/>
      <c r="X110" s="551"/>
      <c r="Y110" s="551"/>
      <c r="Z110" s="551"/>
      <c r="AA110" s="551"/>
      <c r="AB110" s="551"/>
      <c r="AC110" s="551"/>
      <c r="AD110" s="551"/>
      <c r="AE110" s="551"/>
      <c r="AF110" s="551"/>
      <c r="AG110" s="551"/>
      <c r="AH110" s="551"/>
      <c r="AI110" s="551"/>
      <c r="AJ110" s="551"/>
      <c r="AK110" s="551"/>
      <c r="AL110" s="551"/>
      <c r="AM110" s="551"/>
      <c r="AN110" s="551"/>
      <c r="AO110" s="551"/>
      <c r="AP110" s="551"/>
      <c r="AQ110" s="551"/>
      <c r="AR110" s="551"/>
      <c r="AS110" s="551"/>
      <c r="AT110" s="551"/>
      <c r="AU110" s="551"/>
      <c r="AV110" s="551"/>
      <c r="AW110" s="551"/>
      <c r="AX110" s="551"/>
      <c r="AY110" s="551"/>
      <c r="AZ110" s="551"/>
      <c r="BA110" s="551"/>
      <c r="BB110" s="551"/>
      <c r="BC110" s="551"/>
      <c r="BD110" s="551"/>
      <c r="BE110" s="551"/>
      <c r="BF110" s="551"/>
      <c r="BG110" s="551"/>
      <c r="BH110" s="551"/>
      <c r="BI110" s="551"/>
      <c r="BJ110" s="551"/>
      <c r="BK110" s="551"/>
    </row>
    <row r="111" spans="1:63" ht="12.75" customHeight="1">
      <c r="A111" s="551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51"/>
      <c r="AB111" s="551"/>
      <c r="AC111" s="551"/>
      <c r="AD111" s="551"/>
      <c r="AE111" s="551"/>
      <c r="AF111" s="551"/>
      <c r="AG111" s="551"/>
      <c r="AH111" s="551"/>
      <c r="AI111" s="551"/>
      <c r="AJ111" s="551"/>
      <c r="AK111" s="551"/>
      <c r="AL111" s="551"/>
      <c r="AM111" s="551"/>
      <c r="AN111" s="551"/>
      <c r="AO111" s="551"/>
      <c r="AP111" s="551"/>
      <c r="AQ111" s="551"/>
      <c r="AR111" s="551"/>
      <c r="AS111" s="551"/>
      <c r="AT111" s="551"/>
      <c r="AU111" s="551"/>
      <c r="AV111" s="551"/>
      <c r="AW111" s="551"/>
      <c r="AX111" s="551"/>
      <c r="AY111" s="551"/>
      <c r="AZ111" s="551"/>
      <c r="BA111" s="551"/>
      <c r="BB111" s="551"/>
      <c r="BC111" s="551"/>
      <c r="BD111" s="551"/>
      <c r="BE111" s="551"/>
      <c r="BF111" s="551"/>
      <c r="BG111" s="551"/>
      <c r="BH111" s="551"/>
      <c r="BI111" s="551"/>
      <c r="BJ111" s="551"/>
      <c r="BK111" s="551"/>
    </row>
    <row r="112" spans="1:63" ht="12.75" customHeight="1">
      <c r="A112" s="551"/>
      <c r="B112" s="551"/>
      <c r="C112" s="551"/>
      <c r="D112" s="551"/>
      <c r="E112" s="551"/>
      <c r="F112" s="551"/>
      <c r="G112" s="551"/>
      <c r="H112" s="551"/>
      <c r="I112" s="551"/>
      <c r="J112" s="551"/>
      <c r="K112" s="551"/>
      <c r="L112" s="551"/>
      <c r="M112" s="551"/>
      <c r="N112" s="551"/>
      <c r="O112" s="551"/>
      <c r="P112" s="551"/>
      <c r="Q112" s="551"/>
      <c r="R112" s="551"/>
      <c r="S112" s="551"/>
      <c r="T112" s="551"/>
      <c r="U112" s="551"/>
      <c r="V112" s="551"/>
      <c r="W112" s="551"/>
      <c r="X112" s="551"/>
      <c r="Y112" s="551"/>
      <c r="Z112" s="551"/>
      <c r="AA112" s="551"/>
      <c r="AB112" s="551"/>
      <c r="AC112" s="551"/>
      <c r="AD112" s="551"/>
      <c r="AE112" s="551"/>
      <c r="AF112" s="551"/>
      <c r="AG112" s="551"/>
      <c r="AH112" s="551"/>
      <c r="AI112" s="551"/>
      <c r="AJ112" s="551"/>
      <c r="AK112" s="551"/>
      <c r="AL112" s="551"/>
      <c r="AM112" s="551"/>
      <c r="AN112" s="551"/>
      <c r="AO112" s="551"/>
      <c r="AP112" s="551"/>
      <c r="AQ112" s="551"/>
      <c r="AR112" s="551"/>
      <c r="AS112" s="551"/>
      <c r="AT112" s="551"/>
      <c r="AU112" s="551"/>
      <c r="AV112" s="551"/>
      <c r="AW112" s="551"/>
      <c r="AX112" s="551"/>
      <c r="AY112" s="551"/>
      <c r="AZ112" s="551"/>
      <c r="BA112" s="551"/>
      <c r="BB112" s="551"/>
      <c r="BC112" s="551"/>
      <c r="BD112" s="551"/>
      <c r="BE112" s="551"/>
      <c r="BF112" s="551"/>
      <c r="BG112" s="551"/>
      <c r="BH112" s="551"/>
      <c r="BI112" s="551"/>
      <c r="BJ112" s="551"/>
      <c r="BK112" s="551"/>
    </row>
    <row r="113" spans="1:63" ht="12.75" customHeight="1">
      <c r="A113" s="551"/>
      <c r="B113" s="551"/>
      <c r="C113" s="551"/>
      <c r="D113" s="551"/>
      <c r="E113" s="551"/>
      <c r="F113" s="551"/>
      <c r="G113" s="551"/>
      <c r="H113" s="551"/>
      <c r="I113" s="551"/>
      <c r="J113" s="551"/>
      <c r="K113" s="551"/>
      <c r="L113" s="551"/>
      <c r="M113" s="551"/>
      <c r="N113" s="551"/>
      <c r="O113" s="551"/>
      <c r="P113" s="551"/>
      <c r="Q113" s="551"/>
      <c r="R113" s="551"/>
      <c r="S113" s="551"/>
      <c r="T113" s="551"/>
      <c r="U113" s="551"/>
      <c r="V113" s="551"/>
      <c r="W113" s="551"/>
      <c r="X113" s="551"/>
      <c r="Y113" s="551"/>
      <c r="Z113" s="551"/>
      <c r="AA113" s="551"/>
      <c r="AB113" s="551"/>
      <c r="AC113" s="551"/>
      <c r="AD113" s="551"/>
      <c r="AE113" s="551"/>
      <c r="AF113" s="551"/>
      <c r="AG113" s="551"/>
      <c r="AH113" s="551"/>
      <c r="AI113" s="551"/>
      <c r="AJ113" s="551"/>
      <c r="AK113" s="551"/>
      <c r="AL113" s="551"/>
      <c r="AM113" s="551"/>
      <c r="AN113" s="551"/>
      <c r="AO113" s="551"/>
      <c r="AP113" s="551"/>
      <c r="AQ113" s="551"/>
      <c r="AR113" s="551"/>
      <c r="AS113" s="551"/>
      <c r="AT113" s="551"/>
      <c r="AU113" s="551"/>
      <c r="AV113" s="551"/>
      <c r="AW113" s="551"/>
      <c r="AX113" s="551"/>
      <c r="AY113" s="551"/>
      <c r="AZ113" s="551"/>
      <c r="BA113" s="551"/>
      <c r="BB113" s="551"/>
      <c r="BC113" s="551"/>
      <c r="BD113" s="551"/>
      <c r="BE113" s="551"/>
      <c r="BF113" s="551"/>
      <c r="BG113" s="551"/>
      <c r="BH113" s="551"/>
      <c r="BI113" s="551"/>
      <c r="BJ113" s="551"/>
      <c r="BK113" s="551"/>
    </row>
    <row r="114" spans="1:63" ht="12.75" customHeight="1">
      <c r="A114" s="551"/>
      <c r="B114" s="551"/>
      <c r="C114" s="551"/>
      <c r="D114" s="551"/>
      <c r="E114" s="551"/>
      <c r="F114" s="551"/>
      <c r="G114" s="551"/>
      <c r="H114" s="551"/>
      <c r="I114" s="551"/>
      <c r="J114" s="551"/>
      <c r="K114" s="551"/>
      <c r="L114" s="551"/>
      <c r="M114" s="551"/>
      <c r="N114" s="551"/>
      <c r="O114" s="551"/>
      <c r="P114" s="551"/>
      <c r="Q114" s="551"/>
      <c r="R114" s="551"/>
      <c r="S114" s="551"/>
      <c r="T114" s="551"/>
      <c r="U114" s="551"/>
      <c r="V114" s="551"/>
      <c r="W114" s="551"/>
      <c r="X114" s="551"/>
      <c r="Y114" s="551"/>
      <c r="Z114" s="551"/>
      <c r="AA114" s="551"/>
      <c r="AB114" s="551"/>
      <c r="AC114" s="551"/>
      <c r="AD114" s="551"/>
      <c r="AE114" s="551"/>
      <c r="AF114" s="551"/>
      <c r="AG114" s="551"/>
      <c r="AH114" s="551"/>
      <c r="AI114" s="551"/>
      <c r="AJ114" s="551"/>
      <c r="AK114" s="551"/>
      <c r="AL114" s="551"/>
      <c r="AM114" s="551"/>
      <c r="AN114" s="551"/>
      <c r="AO114" s="551"/>
      <c r="AP114" s="551"/>
      <c r="AQ114" s="551"/>
      <c r="AR114" s="551"/>
      <c r="AS114" s="551"/>
      <c r="AT114" s="551"/>
      <c r="AU114" s="551"/>
      <c r="AV114" s="551"/>
      <c r="AW114" s="551"/>
      <c r="AX114" s="551"/>
      <c r="AY114" s="551"/>
      <c r="AZ114" s="551"/>
      <c r="BA114" s="551"/>
      <c r="BB114" s="551"/>
      <c r="BC114" s="551"/>
      <c r="BD114" s="551"/>
      <c r="BE114" s="551"/>
      <c r="BF114" s="551"/>
      <c r="BG114" s="551"/>
      <c r="BH114" s="551"/>
      <c r="BI114" s="551"/>
      <c r="BJ114" s="551"/>
      <c r="BK114" s="551"/>
    </row>
    <row r="115" spans="1:63" ht="12.75" customHeight="1">
      <c r="A115" s="551"/>
      <c r="B115" s="551"/>
      <c r="C115" s="551"/>
      <c r="D115" s="551"/>
      <c r="E115" s="551"/>
      <c r="F115" s="551"/>
      <c r="G115" s="551"/>
      <c r="H115" s="551"/>
      <c r="I115" s="551"/>
      <c r="J115" s="551"/>
      <c r="K115" s="551"/>
      <c r="L115" s="551"/>
      <c r="M115" s="551"/>
      <c r="N115" s="551"/>
      <c r="O115" s="551"/>
      <c r="P115" s="551"/>
      <c r="Q115" s="551"/>
      <c r="R115" s="551"/>
      <c r="S115" s="551"/>
      <c r="T115" s="551"/>
      <c r="U115" s="551"/>
      <c r="V115" s="551"/>
      <c r="W115" s="551"/>
      <c r="X115" s="551"/>
      <c r="Y115" s="551"/>
      <c r="Z115" s="551"/>
      <c r="AA115" s="551"/>
      <c r="AB115" s="551"/>
      <c r="AC115" s="551"/>
      <c r="AD115" s="551"/>
      <c r="AE115" s="551"/>
      <c r="AF115" s="551"/>
      <c r="AG115" s="551"/>
      <c r="AH115" s="551"/>
      <c r="AI115" s="551"/>
      <c r="AJ115" s="551"/>
      <c r="AK115" s="551"/>
      <c r="AL115" s="551"/>
      <c r="AM115" s="551"/>
      <c r="AN115" s="551"/>
      <c r="AO115" s="551"/>
      <c r="AP115" s="551"/>
      <c r="AQ115" s="551"/>
      <c r="AR115" s="551"/>
      <c r="AS115" s="551"/>
      <c r="AT115" s="551"/>
      <c r="AU115" s="551"/>
      <c r="AV115" s="551"/>
      <c r="AW115" s="551"/>
      <c r="AX115" s="551"/>
      <c r="AY115" s="551"/>
      <c r="AZ115" s="551"/>
      <c r="BA115" s="551"/>
      <c r="BB115" s="551"/>
      <c r="BC115" s="551"/>
      <c r="BD115" s="551"/>
      <c r="BE115" s="551"/>
      <c r="BF115" s="551"/>
      <c r="BG115" s="551"/>
      <c r="BH115" s="551"/>
      <c r="BI115" s="551"/>
      <c r="BJ115" s="551"/>
      <c r="BK115" s="551"/>
    </row>
    <row r="116" spans="1:63" ht="12.75" customHeight="1">
      <c r="A116" s="551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1"/>
      <c r="P116" s="551"/>
      <c r="Q116" s="551"/>
      <c r="R116" s="551"/>
      <c r="S116" s="551"/>
      <c r="T116" s="551"/>
      <c r="U116" s="551"/>
      <c r="V116" s="551"/>
      <c r="W116" s="551"/>
      <c r="X116" s="551"/>
      <c r="Y116" s="551"/>
      <c r="Z116" s="551"/>
      <c r="AA116" s="551"/>
      <c r="AB116" s="551"/>
      <c r="AC116" s="551"/>
      <c r="AD116" s="551"/>
      <c r="AE116" s="551"/>
      <c r="AF116" s="551"/>
      <c r="AG116" s="551"/>
      <c r="AH116" s="551"/>
      <c r="AI116" s="551"/>
      <c r="AJ116" s="551"/>
      <c r="AK116" s="551"/>
      <c r="AL116" s="551"/>
      <c r="AM116" s="551"/>
      <c r="AN116" s="551"/>
      <c r="AO116" s="551"/>
      <c r="AP116" s="551"/>
      <c r="AQ116" s="551"/>
      <c r="AR116" s="551"/>
      <c r="AS116" s="551"/>
      <c r="AT116" s="551"/>
      <c r="AU116" s="551"/>
      <c r="AV116" s="551"/>
      <c r="AW116" s="551"/>
      <c r="AX116" s="551"/>
      <c r="AY116" s="551"/>
      <c r="AZ116" s="551"/>
      <c r="BA116" s="551"/>
      <c r="BB116" s="551"/>
      <c r="BC116" s="551"/>
      <c r="BD116" s="551"/>
      <c r="BE116" s="551"/>
      <c r="BF116" s="551"/>
      <c r="BG116" s="551"/>
      <c r="BH116" s="551"/>
      <c r="BI116" s="551"/>
      <c r="BJ116" s="551"/>
      <c r="BK116" s="551"/>
    </row>
    <row r="117" spans="1:63" ht="12.75" customHeight="1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1"/>
      <c r="P117" s="551"/>
      <c r="Q117" s="551"/>
      <c r="R117" s="551"/>
      <c r="S117" s="551"/>
      <c r="T117" s="551"/>
      <c r="U117" s="551"/>
      <c r="V117" s="551"/>
      <c r="W117" s="551"/>
      <c r="X117" s="551"/>
      <c r="Y117" s="551"/>
      <c r="Z117" s="551"/>
      <c r="AA117" s="551"/>
      <c r="AB117" s="551"/>
      <c r="AC117" s="551"/>
      <c r="AD117" s="551"/>
      <c r="AE117" s="551"/>
      <c r="AF117" s="551"/>
      <c r="AG117" s="551"/>
      <c r="AH117" s="551"/>
      <c r="AI117" s="551"/>
      <c r="AJ117" s="551"/>
      <c r="AK117" s="551"/>
      <c r="AL117" s="551"/>
      <c r="AM117" s="551"/>
      <c r="AN117" s="551"/>
      <c r="AO117" s="551"/>
      <c r="AP117" s="551"/>
      <c r="AQ117" s="551"/>
      <c r="AR117" s="551"/>
      <c r="AS117" s="551"/>
      <c r="AT117" s="551"/>
      <c r="AU117" s="551"/>
      <c r="AV117" s="551"/>
      <c r="AW117" s="551"/>
      <c r="AX117" s="551"/>
      <c r="AY117" s="551"/>
      <c r="AZ117" s="551"/>
      <c r="BA117" s="551"/>
      <c r="BB117" s="551"/>
      <c r="BC117" s="551"/>
      <c r="BD117" s="551"/>
      <c r="BE117" s="551"/>
      <c r="BF117" s="551"/>
      <c r="BG117" s="551"/>
      <c r="BH117" s="551"/>
      <c r="BI117" s="551"/>
      <c r="BJ117" s="551"/>
      <c r="BK117" s="551"/>
    </row>
    <row r="118" spans="1:63" ht="12.75" customHeight="1">
      <c r="A118" s="551"/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51"/>
      <c r="AB118" s="551"/>
      <c r="AC118" s="551"/>
      <c r="AD118" s="551"/>
      <c r="AE118" s="551"/>
      <c r="AF118" s="551"/>
      <c r="AG118" s="551"/>
      <c r="AH118" s="551"/>
      <c r="AI118" s="551"/>
      <c r="AJ118" s="551"/>
      <c r="AK118" s="551"/>
      <c r="AL118" s="551"/>
      <c r="AM118" s="551"/>
      <c r="AN118" s="551"/>
      <c r="AO118" s="551"/>
      <c r="AP118" s="551"/>
      <c r="AQ118" s="551"/>
      <c r="AR118" s="551"/>
      <c r="AS118" s="551"/>
      <c r="AT118" s="551"/>
      <c r="AU118" s="551"/>
      <c r="AV118" s="551"/>
      <c r="AW118" s="551"/>
      <c r="AX118" s="551"/>
      <c r="AY118" s="551"/>
      <c r="AZ118" s="551"/>
      <c r="BA118" s="551"/>
      <c r="BB118" s="551"/>
      <c r="BC118" s="551"/>
      <c r="BD118" s="551"/>
      <c r="BE118" s="551"/>
      <c r="BF118" s="551"/>
      <c r="BG118" s="551"/>
      <c r="BH118" s="551"/>
      <c r="BI118" s="551"/>
      <c r="BJ118" s="551"/>
      <c r="BK118" s="551"/>
    </row>
    <row r="119" spans="1:63" ht="12.75" customHeight="1">
      <c r="A119" s="551"/>
      <c r="B119" s="551"/>
      <c r="C119" s="551"/>
      <c r="D119" s="551"/>
      <c r="E119" s="551"/>
      <c r="F119" s="551"/>
      <c r="G119" s="551"/>
      <c r="H119" s="551"/>
      <c r="I119" s="551"/>
      <c r="J119" s="551"/>
      <c r="K119" s="551"/>
      <c r="L119" s="551"/>
      <c r="M119" s="551"/>
      <c r="N119" s="551"/>
      <c r="O119" s="551"/>
      <c r="P119" s="551"/>
      <c r="Q119" s="551"/>
      <c r="R119" s="551"/>
      <c r="S119" s="551"/>
      <c r="T119" s="551"/>
      <c r="U119" s="551"/>
      <c r="V119" s="551"/>
      <c r="W119" s="551"/>
      <c r="X119" s="551"/>
      <c r="Y119" s="551"/>
      <c r="Z119" s="551"/>
      <c r="AA119" s="551"/>
      <c r="AB119" s="551"/>
      <c r="AC119" s="551"/>
      <c r="AD119" s="551"/>
      <c r="AE119" s="551"/>
      <c r="AF119" s="551"/>
      <c r="AG119" s="551"/>
      <c r="AH119" s="551"/>
      <c r="AI119" s="551"/>
      <c r="AJ119" s="551"/>
      <c r="AK119" s="551"/>
      <c r="AL119" s="551"/>
      <c r="AM119" s="551"/>
      <c r="AN119" s="551"/>
      <c r="AO119" s="551"/>
      <c r="AP119" s="551"/>
      <c r="AQ119" s="551"/>
      <c r="AR119" s="551"/>
      <c r="AS119" s="551"/>
      <c r="AT119" s="551"/>
      <c r="AU119" s="551"/>
      <c r="AV119" s="551"/>
      <c r="AW119" s="551"/>
      <c r="AX119" s="551"/>
      <c r="AY119" s="551"/>
      <c r="AZ119" s="551"/>
      <c r="BA119" s="551"/>
      <c r="BB119" s="551"/>
      <c r="BC119" s="551"/>
      <c r="BD119" s="551"/>
      <c r="BE119" s="551"/>
      <c r="BF119" s="551"/>
      <c r="BG119" s="551"/>
      <c r="BH119" s="551"/>
      <c r="BI119" s="551"/>
      <c r="BJ119" s="551"/>
      <c r="BK119" s="551"/>
    </row>
    <row r="120" spans="1:63" ht="12.75" customHeight="1">
      <c r="A120" s="551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1"/>
      <c r="P120" s="551"/>
      <c r="Q120" s="551"/>
      <c r="R120" s="551"/>
      <c r="S120" s="551"/>
      <c r="T120" s="551"/>
      <c r="U120" s="551"/>
      <c r="V120" s="551"/>
      <c r="W120" s="551"/>
      <c r="X120" s="551"/>
      <c r="Y120" s="551"/>
      <c r="Z120" s="551"/>
      <c r="AA120" s="551"/>
      <c r="AB120" s="551"/>
      <c r="AC120" s="551"/>
      <c r="AD120" s="551"/>
      <c r="AE120" s="551"/>
      <c r="AF120" s="551"/>
      <c r="AG120" s="551"/>
      <c r="AH120" s="551"/>
      <c r="AI120" s="551"/>
      <c r="AJ120" s="551"/>
      <c r="AK120" s="551"/>
      <c r="AL120" s="551"/>
      <c r="AM120" s="551"/>
      <c r="AN120" s="551"/>
      <c r="AO120" s="551"/>
      <c r="AP120" s="551"/>
      <c r="AQ120" s="551"/>
      <c r="AR120" s="551"/>
      <c r="AS120" s="551"/>
      <c r="AT120" s="551"/>
      <c r="AU120" s="551"/>
      <c r="AV120" s="551"/>
      <c r="AW120" s="551"/>
      <c r="AX120" s="551"/>
      <c r="AY120" s="551"/>
      <c r="AZ120" s="551"/>
      <c r="BA120" s="551"/>
      <c r="BB120" s="551"/>
      <c r="BC120" s="551"/>
      <c r="BD120" s="551"/>
      <c r="BE120" s="551"/>
      <c r="BF120" s="551"/>
      <c r="BG120" s="551"/>
      <c r="BH120" s="551"/>
      <c r="BI120" s="551"/>
      <c r="BJ120" s="551"/>
      <c r="BK120" s="551"/>
    </row>
    <row r="121" spans="1:63" ht="12.75" customHeight="1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1"/>
      <c r="P121" s="551"/>
      <c r="Q121" s="551"/>
      <c r="R121" s="551"/>
      <c r="S121" s="551"/>
      <c r="T121" s="551"/>
      <c r="U121" s="551"/>
      <c r="V121" s="551"/>
      <c r="W121" s="551"/>
      <c r="X121" s="551"/>
      <c r="Y121" s="551"/>
      <c r="Z121" s="551"/>
      <c r="AA121" s="551"/>
      <c r="AB121" s="551"/>
      <c r="AC121" s="551"/>
      <c r="AD121" s="551"/>
      <c r="AE121" s="551"/>
      <c r="AF121" s="551"/>
      <c r="AG121" s="551"/>
      <c r="AH121" s="551"/>
      <c r="AI121" s="551"/>
      <c r="AJ121" s="551"/>
      <c r="AK121" s="551"/>
      <c r="AL121" s="551"/>
      <c r="AM121" s="551"/>
      <c r="AN121" s="551"/>
      <c r="AO121" s="551"/>
      <c r="AP121" s="551"/>
      <c r="AQ121" s="551"/>
      <c r="AR121" s="551"/>
      <c r="AS121" s="551"/>
      <c r="AT121" s="551"/>
      <c r="AU121" s="551"/>
      <c r="AV121" s="551"/>
      <c r="AW121" s="551"/>
      <c r="AX121" s="551"/>
      <c r="AY121" s="551"/>
      <c r="AZ121" s="551"/>
      <c r="BA121" s="551"/>
      <c r="BB121" s="551"/>
      <c r="BC121" s="551"/>
      <c r="BD121" s="551"/>
      <c r="BE121" s="551"/>
      <c r="BF121" s="551"/>
      <c r="BG121" s="551"/>
      <c r="BH121" s="551"/>
      <c r="BI121" s="551"/>
      <c r="BJ121" s="551"/>
      <c r="BK121" s="551"/>
    </row>
    <row r="122" spans="1:63" ht="12.75" customHeight="1">
      <c r="A122" s="551"/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51"/>
      <c r="AB122" s="551"/>
      <c r="AC122" s="551"/>
      <c r="AD122" s="551"/>
      <c r="AE122" s="551"/>
      <c r="AF122" s="551"/>
      <c r="AG122" s="551"/>
      <c r="AH122" s="551"/>
      <c r="AI122" s="551"/>
      <c r="AJ122" s="551"/>
      <c r="AK122" s="551"/>
      <c r="AL122" s="551"/>
      <c r="AM122" s="551"/>
      <c r="AN122" s="551"/>
      <c r="AO122" s="551"/>
      <c r="AP122" s="551"/>
      <c r="AQ122" s="551"/>
      <c r="AR122" s="551"/>
      <c r="AS122" s="551"/>
      <c r="AT122" s="551"/>
      <c r="AU122" s="551"/>
      <c r="AV122" s="551"/>
      <c r="AW122" s="551"/>
      <c r="AX122" s="551"/>
      <c r="AY122" s="551"/>
      <c r="AZ122" s="551"/>
      <c r="BA122" s="551"/>
      <c r="BB122" s="551"/>
      <c r="BC122" s="551"/>
      <c r="BD122" s="551"/>
      <c r="BE122" s="551"/>
      <c r="BF122" s="551"/>
      <c r="BG122" s="551"/>
      <c r="BH122" s="551"/>
      <c r="BI122" s="551"/>
      <c r="BJ122" s="551"/>
      <c r="BK122" s="551"/>
    </row>
    <row r="123" spans="1:63" ht="12.75" customHeight="1">
      <c r="A123" s="551"/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51"/>
      <c r="AB123" s="551"/>
      <c r="AC123" s="551"/>
      <c r="AD123" s="551"/>
      <c r="AE123" s="551"/>
      <c r="AF123" s="551"/>
      <c r="AG123" s="551"/>
      <c r="AH123" s="551"/>
      <c r="AI123" s="551"/>
      <c r="AJ123" s="551"/>
      <c r="AK123" s="551"/>
      <c r="AL123" s="551"/>
      <c r="AM123" s="551"/>
      <c r="AN123" s="551"/>
      <c r="AO123" s="551"/>
      <c r="AP123" s="551"/>
      <c r="AQ123" s="551"/>
      <c r="AR123" s="551"/>
      <c r="AS123" s="551"/>
      <c r="AT123" s="551"/>
      <c r="AU123" s="551"/>
      <c r="AV123" s="551"/>
      <c r="AW123" s="551"/>
      <c r="AX123" s="551"/>
      <c r="AY123" s="551"/>
      <c r="AZ123" s="551"/>
      <c r="BA123" s="551"/>
      <c r="BB123" s="551"/>
      <c r="BC123" s="551"/>
      <c r="BD123" s="551"/>
      <c r="BE123" s="551"/>
      <c r="BF123" s="551"/>
      <c r="BG123" s="551"/>
      <c r="BH123" s="551"/>
      <c r="BI123" s="551"/>
      <c r="BJ123" s="551"/>
      <c r="BK123" s="551"/>
    </row>
    <row r="124" spans="1:63" ht="12.75" customHeight="1">
      <c r="A124" s="551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1"/>
      <c r="M124" s="551"/>
      <c r="N124" s="551"/>
      <c r="O124" s="551"/>
      <c r="P124" s="551"/>
      <c r="Q124" s="551"/>
      <c r="R124" s="551"/>
      <c r="S124" s="551"/>
      <c r="T124" s="551"/>
      <c r="U124" s="551"/>
      <c r="V124" s="551"/>
      <c r="W124" s="551"/>
      <c r="X124" s="551"/>
      <c r="Y124" s="551"/>
      <c r="Z124" s="551"/>
      <c r="AA124" s="551"/>
      <c r="AB124" s="551"/>
      <c r="AC124" s="551"/>
      <c r="AD124" s="551"/>
      <c r="AE124" s="551"/>
      <c r="AF124" s="551"/>
      <c r="AG124" s="551"/>
      <c r="AH124" s="551"/>
      <c r="AI124" s="551"/>
      <c r="AJ124" s="551"/>
      <c r="AK124" s="551"/>
      <c r="AL124" s="551"/>
      <c r="AM124" s="551"/>
      <c r="AN124" s="551"/>
      <c r="AO124" s="551"/>
      <c r="AP124" s="551"/>
      <c r="AQ124" s="551"/>
      <c r="AR124" s="551"/>
      <c r="AS124" s="551"/>
      <c r="AT124" s="551"/>
      <c r="AU124" s="551"/>
      <c r="AV124" s="551"/>
      <c r="AW124" s="551"/>
      <c r="AX124" s="551"/>
      <c r="AY124" s="551"/>
      <c r="AZ124" s="551"/>
      <c r="BA124" s="551"/>
      <c r="BB124" s="551"/>
      <c r="BC124" s="551"/>
      <c r="BD124" s="551"/>
      <c r="BE124" s="551"/>
      <c r="BF124" s="551"/>
      <c r="BG124" s="551"/>
      <c r="BH124" s="551"/>
      <c r="BI124" s="551"/>
      <c r="BJ124" s="551"/>
      <c r="BK124" s="551"/>
    </row>
    <row r="125" spans="1:63" ht="12.75" customHeight="1">
      <c r="A125" s="551"/>
      <c r="B125" s="551"/>
      <c r="C125" s="551"/>
      <c r="D125" s="551"/>
      <c r="E125" s="551"/>
      <c r="F125" s="551"/>
      <c r="G125" s="551"/>
      <c r="H125" s="551"/>
      <c r="I125" s="551"/>
      <c r="J125" s="551"/>
      <c r="K125" s="551"/>
      <c r="L125" s="551"/>
      <c r="M125" s="551"/>
      <c r="N125" s="551"/>
      <c r="O125" s="551"/>
      <c r="P125" s="551"/>
      <c r="Q125" s="551"/>
      <c r="R125" s="551"/>
      <c r="S125" s="551"/>
      <c r="T125" s="551"/>
      <c r="U125" s="551"/>
      <c r="V125" s="551"/>
      <c r="W125" s="551"/>
      <c r="X125" s="551"/>
      <c r="Y125" s="551"/>
      <c r="Z125" s="551"/>
      <c r="AA125" s="551"/>
      <c r="AB125" s="551"/>
      <c r="AC125" s="551"/>
      <c r="AD125" s="551"/>
      <c r="AE125" s="551"/>
      <c r="AF125" s="551"/>
      <c r="AG125" s="551"/>
      <c r="AH125" s="551"/>
      <c r="AI125" s="551"/>
      <c r="AJ125" s="551"/>
      <c r="AK125" s="551"/>
      <c r="AL125" s="551"/>
      <c r="AM125" s="551"/>
      <c r="AN125" s="551"/>
      <c r="AO125" s="551"/>
      <c r="AP125" s="551"/>
      <c r="AQ125" s="551"/>
      <c r="AR125" s="551"/>
      <c r="AS125" s="551"/>
      <c r="AT125" s="551"/>
      <c r="AU125" s="551"/>
      <c r="AV125" s="551"/>
      <c r="AW125" s="551"/>
      <c r="AX125" s="551"/>
      <c r="AY125" s="551"/>
      <c r="AZ125" s="551"/>
      <c r="BA125" s="551"/>
      <c r="BB125" s="551"/>
      <c r="BC125" s="551"/>
      <c r="BD125" s="551"/>
      <c r="BE125" s="551"/>
      <c r="BF125" s="551"/>
      <c r="BG125" s="551"/>
      <c r="BH125" s="551"/>
      <c r="BI125" s="551"/>
      <c r="BJ125" s="551"/>
      <c r="BK125" s="551"/>
    </row>
    <row r="126" spans="1:63" ht="12.75" customHeight="1">
      <c r="A126" s="551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1"/>
      <c r="P126" s="551"/>
      <c r="Q126" s="551"/>
      <c r="R126" s="551"/>
      <c r="S126" s="551"/>
      <c r="T126" s="551"/>
      <c r="U126" s="551"/>
      <c r="V126" s="551"/>
      <c r="W126" s="551"/>
      <c r="X126" s="551"/>
      <c r="Y126" s="551"/>
      <c r="Z126" s="551"/>
      <c r="AA126" s="551"/>
      <c r="AB126" s="551"/>
      <c r="AC126" s="551"/>
      <c r="AD126" s="551"/>
      <c r="AE126" s="551"/>
      <c r="AF126" s="551"/>
      <c r="AG126" s="551"/>
      <c r="AH126" s="551"/>
      <c r="AI126" s="551"/>
      <c r="AJ126" s="551"/>
      <c r="AK126" s="551"/>
      <c r="AL126" s="551"/>
      <c r="AM126" s="551"/>
      <c r="AN126" s="551"/>
      <c r="AO126" s="551"/>
      <c r="AP126" s="551"/>
      <c r="AQ126" s="551"/>
      <c r="AR126" s="551"/>
      <c r="AS126" s="551"/>
      <c r="AT126" s="551"/>
      <c r="AU126" s="551"/>
      <c r="AV126" s="551"/>
      <c r="AW126" s="551"/>
      <c r="AX126" s="551"/>
      <c r="AY126" s="551"/>
      <c r="AZ126" s="551"/>
      <c r="BA126" s="551"/>
      <c r="BB126" s="551"/>
      <c r="BC126" s="551"/>
      <c r="BD126" s="551"/>
      <c r="BE126" s="551"/>
      <c r="BF126" s="551"/>
      <c r="BG126" s="551"/>
      <c r="BH126" s="551"/>
      <c r="BI126" s="551"/>
      <c r="BJ126" s="551"/>
      <c r="BK126" s="551"/>
    </row>
    <row r="127" spans="1:63" ht="12.75" customHeight="1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1"/>
      <c r="P127" s="551"/>
      <c r="Q127" s="551"/>
      <c r="R127" s="551"/>
      <c r="S127" s="551"/>
      <c r="T127" s="551"/>
      <c r="U127" s="551"/>
      <c r="V127" s="551"/>
      <c r="W127" s="551"/>
      <c r="X127" s="551"/>
      <c r="Y127" s="551"/>
      <c r="Z127" s="551"/>
      <c r="AA127" s="551"/>
      <c r="AB127" s="551"/>
      <c r="AC127" s="551"/>
      <c r="AD127" s="551"/>
      <c r="AE127" s="551"/>
      <c r="AF127" s="551"/>
      <c r="AG127" s="551"/>
      <c r="AH127" s="551"/>
      <c r="AI127" s="551"/>
      <c r="AJ127" s="551"/>
      <c r="AK127" s="551"/>
      <c r="AL127" s="551"/>
      <c r="AM127" s="551"/>
      <c r="AN127" s="551"/>
      <c r="AO127" s="551"/>
      <c r="AP127" s="551"/>
      <c r="AQ127" s="551"/>
      <c r="AR127" s="551"/>
      <c r="AS127" s="551"/>
      <c r="AT127" s="551"/>
      <c r="AU127" s="551"/>
      <c r="AV127" s="551"/>
      <c r="AW127" s="551"/>
      <c r="AX127" s="551"/>
      <c r="AY127" s="551"/>
      <c r="AZ127" s="551"/>
      <c r="BA127" s="551"/>
      <c r="BB127" s="551"/>
      <c r="BC127" s="551"/>
      <c r="BD127" s="551"/>
      <c r="BE127" s="551"/>
      <c r="BF127" s="551"/>
      <c r="BG127" s="551"/>
      <c r="BH127" s="551"/>
      <c r="BI127" s="551"/>
      <c r="BJ127" s="551"/>
      <c r="BK127" s="551"/>
    </row>
    <row r="128" spans="1:63" ht="12.75" customHeight="1">
      <c r="A128" s="551"/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51"/>
      <c r="AB128" s="551"/>
      <c r="AC128" s="551"/>
      <c r="AD128" s="551"/>
      <c r="AE128" s="551"/>
      <c r="AF128" s="551"/>
      <c r="AG128" s="551"/>
      <c r="AH128" s="551"/>
      <c r="AI128" s="551"/>
      <c r="AJ128" s="551"/>
      <c r="AK128" s="551"/>
      <c r="AL128" s="551"/>
      <c r="AM128" s="551"/>
      <c r="AN128" s="551"/>
      <c r="AO128" s="551"/>
      <c r="AP128" s="551"/>
      <c r="AQ128" s="551"/>
      <c r="AR128" s="551"/>
      <c r="AS128" s="551"/>
      <c r="AT128" s="551"/>
      <c r="AU128" s="551"/>
      <c r="AV128" s="551"/>
      <c r="AW128" s="551"/>
      <c r="AX128" s="551"/>
      <c r="AY128" s="551"/>
      <c r="AZ128" s="551"/>
      <c r="BA128" s="551"/>
      <c r="BB128" s="551"/>
      <c r="BC128" s="551"/>
      <c r="BD128" s="551"/>
      <c r="BE128" s="551"/>
      <c r="BF128" s="551"/>
      <c r="BG128" s="551"/>
      <c r="BH128" s="551"/>
      <c r="BI128" s="551"/>
      <c r="BJ128" s="551"/>
      <c r="BK128" s="551"/>
    </row>
    <row r="129" spans="1:63" ht="12.75" customHeight="1">
      <c r="A129" s="551"/>
      <c r="B129" s="551"/>
      <c r="C129" s="551"/>
      <c r="D129" s="551"/>
      <c r="E129" s="551"/>
      <c r="F129" s="551"/>
      <c r="G129" s="551"/>
      <c r="H129" s="551"/>
      <c r="I129" s="551"/>
      <c r="J129" s="551"/>
      <c r="K129" s="551"/>
      <c r="L129" s="551"/>
      <c r="M129" s="551"/>
      <c r="N129" s="551"/>
      <c r="O129" s="551"/>
      <c r="P129" s="551"/>
      <c r="Q129" s="551"/>
      <c r="R129" s="551"/>
      <c r="S129" s="551"/>
      <c r="T129" s="551"/>
      <c r="U129" s="551"/>
      <c r="V129" s="551"/>
      <c r="W129" s="551"/>
      <c r="X129" s="551"/>
      <c r="Y129" s="551"/>
      <c r="Z129" s="551"/>
      <c r="AA129" s="551"/>
      <c r="AB129" s="551"/>
      <c r="AC129" s="551"/>
      <c r="AD129" s="551"/>
      <c r="AE129" s="551"/>
      <c r="AF129" s="551"/>
      <c r="AG129" s="551"/>
      <c r="AH129" s="551"/>
      <c r="AI129" s="551"/>
      <c r="AJ129" s="551"/>
      <c r="AK129" s="551"/>
      <c r="AL129" s="551"/>
      <c r="AM129" s="551"/>
      <c r="AN129" s="551"/>
      <c r="AO129" s="551"/>
      <c r="AP129" s="551"/>
      <c r="AQ129" s="551"/>
      <c r="AR129" s="551"/>
      <c r="AS129" s="551"/>
      <c r="AT129" s="551"/>
      <c r="AU129" s="551"/>
      <c r="AV129" s="551"/>
      <c r="AW129" s="551"/>
      <c r="AX129" s="551"/>
      <c r="AY129" s="551"/>
      <c r="AZ129" s="551"/>
      <c r="BA129" s="551"/>
      <c r="BB129" s="551"/>
      <c r="BC129" s="551"/>
      <c r="BD129" s="551"/>
      <c r="BE129" s="551"/>
      <c r="BF129" s="551"/>
      <c r="BG129" s="551"/>
      <c r="BH129" s="551"/>
      <c r="BI129" s="551"/>
      <c r="BJ129" s="551"/>
      <c r="BK129" s="551"/>
    </row>
    <row r="130" spans="1:63" ht="12.75" customHeight="1">
      <c r="A130" s="551"/>
      <c r="B130" s="551"/>
      <c r="C130" s="551"/>
      <c r="D130" s="551"/>
      <c r="E130" s="551"/>
      <c r="F130" s="551"/>
      <c r="G130" s="551"/>
      <c r="H130" s="551"/>
      <c r="I130" s="551"/>
      <c r="J130" s="551"/>
      <c r="K130" s="551"/>
      <c r="L130" s="551"/>
      <c r="M130" s="551"/>
      <c r="N130" s="551"/>
      <c r="O130" s="551"/>
      <c r="P130" s="551"/>
      <c r="Q130" s="551"/>
      <c r="R130" s="551"/>
      <c r="S130" s="551"/>
      <c r="T130" s="551"/>
      <c r="U130" s="551"/>
      <c r="V130" s="551"/>
      <c r="W130" s="551"/>
      <c r="X130" s="551"/>
      <c r="Y130" s="551"/>
      <c r="Z130" s="551"/>
      <c r="AA130" s="551"/>
      <c r="AB130" s="551"/>
      <c r="AC130" s="551"/>
      <c r="AD130" s="551"/>
      <c r="AE130" s="551"/>
      <c r="AF130" s="551"/>
      <c r="AG130" s="551"/>
      <c r="AH130" s="551"/>
      <c r="AI130" s="551"/>
      <c r="AJ130" s="551"/>
      <c r="AK130" s="551"/>
      <c r="AL130" s="551"/>
      <c r="AM130" s="551"/>
      <c r="AN130" s="551"/>
      <c r="AO130" s="551"/>
      <c r="AP130" s="551"/>
      <c r="AQ130" s="551"/>
      <c r="AR130" s="551"/>
      <c r="AS130" s="551"/>
      <c r="AT130" s="551"/>
      <c r="AU130" s="551"/>
      <c r="AV130" s="551"/>
      <c r="AW130" s="551"/>
      <c r="AX130" s="551"/>
      <c r="AY130" s="551"/>
      <c r="AZ130" s="551"/>
      <c r="BA130" s="551"/>
      <c r="BB130" s="551"/>
      <c r="BC130" s="551"/>
      <c r="BD130" s="551"/>
      <c r="BE130" s="551"/>
      <c r="BF130" s="551"/>
      <c r="BG130" s="551"/>
      <c r="BH130" s="551"/>
      <c r="BI130" s="551"/>
      <c r="BJ130" s="551"/>
      <c r="BK130" s="551"/>
    </row>
    <row r="131" spans="1:63" ht="12.75" customHeight="1">
      <c r="A131" s="551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1"/>
      <c r="P131" s="551"/>
      <c r="Q131" s="551"/>
      <c r="R131" s="551"/>
      <c r="S131" s="551"/>
      <c r="T131" s="551"/>
      <c r="U131" s="551"/>
      <c r="V131" s="551"/>
      <c r="W131" s="551"/>
      <c r="X131" s="551"/>
      <c r="Y131" s="551"/>
      <c r="Z131" s="551"/>
      <c r="AA131" s="551"/>
      <c r="AB131" s="551"/>
      <c r="AC131" s="551"/>
      <c r="AD131" s="551"/>
      <c r="AE131" s="551"/>
      <c r="AF131" s="551"/>
      <c r="AG131" s="551"/>
      <c r="AH131" s="551"/>
      <c r="AI131" s="551"/>
      <c r="AJ131" s="551"/>
      <c r="AK131" s="551"/>
      <c r="AL131" s="551"/>
      <c r="AM131" s="551"/>
      <c r="AN131" s="551"/>
      <c r="AO131" s="551"/>
      <c r="AP131" s="551"/>
      <c r="AQ131" s="551"/>
      <c r="AR131" s="551"/>
      <c r="AS131" s="551"/>
      <c r="AT131" s="551"/>
      <c r="AU131" s="551"/>
      <c r="AV131" s="551"/>
      <c r="AW131" s="551"/>
      <c r="AX131" s="551"/>
      <c r="AY131" s="551"/>
      <c r="AZ131" s="551"/>
      <c r="BA131" s="551"/>
      <c r="BB131" s="551"/>
      <c r="BC131" s="551"/>
      <c r="BD131" s="551"/>
      <c r="BE131" s="551"/>
      <c r="BF131" s="551"/>
      <c r="BG131" s="551"/>
      <c r="BH131" s="551"/>
      <c r="BI131" s="551"/>
      <c r="BJ131" s="551"/>
      <c r="BK131" s="551"/>
    </row>
    <row r="132" spans="1:63" ht="12.75" customHeight="1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1"/>
      <c r="P132" s="551"/>
      <c r="Q132" s="551"/>
      <c r="R132" s="551"/>
      <c r="S132" s="551"/>
      <c r="T132" s="551"/>
      <c r="U132" s="551"/>
      <c r="V132" s="551"/>
      <c r="W132" s="551"/>
      <c r="X132" s="551"/>
      <c r="Y132" s="551"/>
      <c r="Z132" s="551"/>
      <c r="AA132" s="551"/>
      <c r="AB132" s="551"/>
      <c r="AC132" s="551"/>
      <c r="AD132" s="551"/>
      <c r="AE132" s="551"/>
      <c r="AF132" s="551"/>
      <c r="AG132" s="551"/>
      <c r="AH132" s="551"/>
      <c r="AI132" s="551"/>
      <c r="AJ132" s="551"/>
      <c r="AK132" s="551"/>
      <c r="AL132" s="551"/>
      <c r="AM132" s="551"/>
      <c r="AN132" s="551"/>
      <c r="AO132" s="551"/>
      <c r="AP132" s="551"/>
      <c r="AQ132" s="551"/>
      <c r="AR132" s="551"/>
      <c r="AS132" s="551"/>
      <c r="AT132" s="551"/>
      <c r="AU132" s="551"/>
      <c r="AV132" s="551"/>
      <c r="AW132" s="551"/>
      <c r="AX132" s="551"/>
      <c r="AY132" s="551"/>
      <c r="AZ132" s="551"/>
      <c r="BA132" s="551"/>
      <c r="BB132" s="551"/>
      <c r="BC132" s="551"/>
      <c r="BD132" s="551"/>
      <c r="BE132" s="551"/>
      <c r="BF132" s="551"/>
      <c r="BG132" s="551"/>
      <c r="BH132" s="551"/>
      <c r="BI132" s="551"/>
      <c r="BJ132" s="551"/>
      <c r="BK132" s="551"/>
    </row>
    <row r="133" spans="1:63" ht="12.75" customHeight="1">
      <c r="A133" s="551"/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51"/>
      <c r="AB133" s="551"/>
      <c r="AC133" s="551"/>
      <c r="AD133" s="551"/>
      <c r="AE133" s="551"/>
      <c r="AF133" s="551"/>
      <c r="AG133" s="551"/>
      <c r="AH133" s="551"/>
      <c r="AI133" s="551"/>
      <c r="AJ133" s="551"/>
      <c r="AK133" s="551"/>
      <c r="AL133" s="551"/>
      <c r="AM133" s="551"/>
      <c r="AN133" s="551"/>
      <c r="AO133" s="551"/>
      <c r="AP133" s="551"/>
      <c r="AQ133" s="551"/>
      <c r="AR133" s="551"/>
      <c r="AS133" s="551"/>
      <c r="AT133" s="551"/>
      <c r="AU133" s="551"/>
      <c r="AV133" s="551"/>
      <c r="AW133" s="551"/>
      <c r="AX133" s="551"/>
      <c r="AY133" s="551"/>
      <c r="AZ133" s="551"/>
      <c r="BA133" s="551"/>
      <c r="BB133" s="551"/>
      <c r="BC133" s="551"/>
      <c r="BD133" s="551"/>
      <c r="BE133" s="551"/>
      <c r="BF133" s="551"/>
      <c r="BG133" s="551"/>
      <c r="BH133" s="551"/>
      <c r="BI133" s="551"/>
      <c r="BJ133" s="551"/>
      <c r="BK133" s="551"/>
    </row>
    <row r="134" spans="1:63" ht="12.75" customHeight="1">
      <c r="A134" s="551"/>
      <c r="B134" s="551"/>
      <c r="C134" s="551"/>
      <c r="D134" s="551"/>
      <c r="E134" s="551"/>
      <c r="F134" s="551"/>
      <c r="G134" s="551"/>
      <c r="H134" s="551"/>
      <c r="I134" s="551"/>
      <c r="J134" s="551"/>
      <c r="K134" s="551"/>
      <c r="L134" s="551"/>
      <c r="M134" s="551"/>
      <c r="N134" s="551"/>
      <c r="O134" s="551"/>
      <c r="P134" s="551"/>
      <c r="Q134" s="551"/>
      <c r="R134" s="551"/>
      <c r="S134" s="551"/>
      <c r="T134" s="551"/>
      <c r="U134" s="551"/>
      <c r="V134" s="551"/>
      <c r="W134" s="551"/>
      <c r="X134" s="551"/>
      <c r="Y134" s="551"/>
      <c r="Z134" s="551"/>
      <c r="AA134" s="551"/>
      <c r="AB134" s="551"/>
      <c r="AC134" s="551"/>
      <c r="AD134" s="551"/>
      <c r="AE134" s="551"/>
      <c r="AF134" s="551"/>
      <c r="AG134" s="551"/>
      <c r="AH134" s="551"/>
      <c r="AI134" s="551"/>
      <c r="AJ134" s="551"/>
      <c r="AK134" s="551"/>
      <c r="AL134" s="551"/>
      <c r="AM134" s="551"/>
      <c r="AN134" s="551"/>
      <c r="AO134" s="551"/>
      <c r="AP134" s="551"/>
      <c r="AQ134" s="551"/>
      <c r="AR134" s="551"/>
      <c r="AS134" s="551"/>
      <c r="AT134" s="551"/>
      <c r="AU134" s="551"/>
      <c r="AV134" s="551"/>
      <c r="AW134" s="551"/>
      <c r="AX134" s="551"/>
      <c r="AY134" s="551"/>
      <c r="AZ134" s="551"/>
      <c r="BA134" s="551"/>
      <c r="BB134" s="551"/>
      <c r="BC134" s="551"/>
      <c r="BD134" s="551"/>
      <c r="BE134" s="551"/>
      <c r="BF134" s="551"/>
      <c r="BG134" s="551"/>
      <c r="BH134" s="551"/>
      <c r="BI134" s="551"/>
      <c r="BJ134" s="551"/>
      <c r="BK134" s="551"/>
    </row>
    <row r="135" spans="1:63" ht="12.75" customHeight="1">
      <c r="A135" s="551"/>
      <c r="B135" s="551"/>
      <c r="C135" s="551"/>
      <c r="D135" s="551"/>
      <c r="E135" s="551"/>
      <c r="F135" s="551"/>
      <c r="G135" s="551"/>
      <c r="H135" s="551"/>
      <c r="I135" s="551"/>
      <c r="J135" s="551"/>
      <c r="K135" s="551"/>
      <c r="L135" s="551"/>
      <c r="M135" s="551"/>
      <c r="N135" s="551"/>
      <c r="O135" s="551"/>
      <c r="P135" s="551"/>
      <c r="Q135" s="551"/>
      <c r="R135" s="551"/>
      <c r="S135" s="551"/>
      <c r="T135" s="551"/>
      <c r="U135" s="551"/>
      <c r="V135" s="551"/>
      <c r="W135" s="551"/>
      <c r="X135" s="551"/>
      <c r="Y135" s="551"/>
      <c r="Z135" s="551"/>
      <c r="AA135" s="551"/>
      <c r="AB135" s="551"/>
      <c r="AC135" s="551"/>
      <c r="AD135" s="551"/>
      <c r="AE135" s="551"/>
      <c r="AF135" s="551"/>
      <c r="AG135" s="551"/>
      <c r="AH135" s="551"/>
      <c r="AI135" s="551"/>
      <c r="AJ135" s="551"/>
      <c r="AK135" s="551"/>
      <c r="AL135" s="551"/>
      <c r="AM135" s="551"/>
      <c r="AN135" s="551"/>
      <c r="AO135" s="551"/>
      <c r="AP135" s="551"/>
      <c r="AQ135" s="551"/>
      <c r="AR135" s="551"/>
      <c r="AS135" s="551"/>
      <c r="AT135" s="551"/>
      <c r="AU135" s="551"/>
      <c r="AV135" s="551"/>
      <c r="AW135" s="551"/>
      <c r="AX135" s="551"/>
      <c r="AY135" s="551"/>
      <c r="AZ135" s="551"/>
      <c r="BA135" s="551"/>
      <c r="BB135" s="551"/>
      <c r="BC135" s="551"/>
      <c r="BD135" s="551"/>
      <c r="BE135" s="551"/>
      <c r="BF135" s="551"/>
      <c r="BG135" s="551"/>
      <c r="BH135" s="551"/>
      <c r="BI135" s="551"/>
      <c r="BJ135" s="551"/>
      <c r="BK135" s="551"/>
    </row>
    <row r="136" spans="1:63" ht="12.75" customHeight="1">
      <c r="A136" s="551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1"/>
      <c r="P136" s="551"/>
      <c r="Q136" s="551"/>
      <c r="R136" s="551"/>
      <c r="S136" s="551"/>
      <c r="T136" s="551"/>
      <c r="U136" s="551"/>
      <c r="V136" s="551"/>
      <c r="W136" s="551"/>
      <c r="X136" s="551"/>
      <c r="Y136" s="551"/>
      <c r="Z136" s="551"/>
      <c r="AA136" s="551"/>
      <c r="AB136" s="551"/>
      <c r="AC136" s="551"/>
      <c r="AD136" s="551"/>
      <c r="AE136" s="551"/>
      <c r="AF136" s="551"/>
      <c r="AG136" s="551"/>
      <c r="AH136" s="551"/>
      <c r="AI136" s="551"/>
      <c r="AJ136" s="551"/>
      <c r="AK136" s="551"/>
      <c r="AL136" s="551"/>
      <c r="AM136" s="551"/>
      <c r="AN136" s="551"/>
      <c r="AO136" s="551"/>
      <c r="AP136" s="551"/>
      <c r="AQ136" s="551"/>
      <c r="AR136" s="551"/>
      <c r="AS136" s="551"/>
      <c r="AT136" s="551"/>
      <c r="AU136" s="551"/>
      <c r="AV136" s="551"/>
      <c r="AW136" s="551"/>
      <c r="AX136" s="551"/>
      <c r="AY136" s="551"/>
      <c r="AZ136" s="551"/>
      <c r="BA136" s="551"/>
      <c r="BB136" s="551"/>
      <c r="BC136" s="551"/>
      <c r="BD136" s="551"/>
      <c r="BE136" s="551"/>
      <c r="BF136" s="551"/>
      <c r="BG136" s="551"/>
      <c r="BH136" s="551"/>
      <c r="BI136" s="551"/>
      <c r="BJ136" s="551"/>
      <c r="BK136" s="551"/>
    </row>
    <row r="137" spans="1:63" ht="12.75" customHeight="1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1"/>
      <c r="P137" s="551"/>
      <c r="Q137" s="551"/>
      <c r="R137" s="551"/>
      <c r="S137" s="551"/>
      <c r="T137" s="551"/>
      <c r="U137" s="551"/>
      <c r="V137" s="551"/>
      <c r="W137" s="551"/>
      <c r="X137" s="551"/>
      <c r="Y137" s="551"/>
      <c r="Z137" s="551"/>
      <c r="AA137" s="551"/>
      <c r="AB137" s="551"/>
      <c r="AC137" s="551"/>
      <c r="AD137" s="551"/>
      <c r="AE137" s="551"/>
      <c r="AF137" s="551"/>
      <c r="AG137" s="551"/>
      <c r="AH137" s="551"/>
      <c r="AI137" s="551"/>
      <c r="AJ137" s="551"/>
      <c r="AK137" s="551"/>
      <c r="AL137" s="551"/>
      <c r="AM137" s="551"/>
      <c r="AN137" s="551"/>
      <c r="AO137" s="551"/>
      <c r="AP137" s="551"/>
      <c r="AQ137" s="551"/>
      <c r="AR137" s="551"/>
      <c r="AS137" s="551"/>
      <c r="AT137" s="551"/>
      <c r="AU137" s="551"/>
      <c r="AV137" s="551"/>
      <c r="AW137" s="551"/>
      <c r="AX137" s="551"/>
      <c r="AY137" s="551"/>
      <c r="AZ137" s="551"/>
      <c r="BA137" s="551"/>
      <c r="BB137" s="551"/>
      <c r="BC137" s="551"/>
      <c r="BD137" s="551"/>
      <c r="BE137" s="551"/>
      <c r="BF137" s="551"/>
      <c r="BG137" s="551"/>
      <c r="BH137" s="551"/>
      <c r="BI137" s="551"/>
      <c r="BJ137" s="551"/>
      <c r="BK137" s="551"/>
    </row>
    <row r="138" spans="1:63" ht="12.75" customHeight="1">
      <c r="A138" s="551"/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51"/>
      <c r="AB138" s="551"/>
      <c r="AC138" s="551"/>
      <c r="AD138" s="551"/>
      <c r="AE138" s="551"/>
      <c r="AF138" s="551"/>
      <c r="AG138" s="551"/>
      <c r="AH138" s="551"/>
      <c r="AI138" s="551"/>
      <c r="AJ138" s="551"/>
      <c r="AK138" s="551"/>
      <c r="AL138" s="551"/>
      <c r="AM138" s="551"/>
      <c r="AN138" s="551"/>
      <c r="AO138" s="551"/>
      <c r="AP138" s="551"/>
      <c r="AQ138" s="551"/>
      <c r="AR138" s="551"/>
      <c r="AS138" s="551"/>
      <c r="AT138" s="551"/>
      <c r="AU138" s="551"/>
      <c r="AV138" s="551"/>
      <c r="AW138" s="551"/>
      <c r="AX138" s="551"/>
      <c r="AY138" s="551"/>
      <c r="AZ138" s="551"/>
      <c r="BA138" s="551"/>
      <c r="BB138" s="551"/>
      <c r="BC138" s="551"/>
      <c r="BD138" s="551"/>
      <c r="BE138" s="551"/>
      <c r="BF138" s="551"/>
      <c r="BG138" s="551"/>
      <c r="BH138" s="551"/>
      <c r="BI138" s="551"/>
      <c r="BJ138" s="551"/>
      <c r="BK138" s="551"/>
    </row>
    <row r="139" spans="1:63" ht="12.75" customHeight="1">
      <c r="A139" s="551"/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51"/>
      <c r="AB139" s="551"/>
      <c r="AC139" s="551"/>
      <c r="AD139" s="551"/>
      <c r="AE139" s="551"/>
      <c r="AF139" s="551"/>
      <c r="AG139" s="551"/>
      <c r="AH139" s="551"/>
      <c r="AI139" s="551"/>
      <c r="AJ139" s="551"/>
      <c r="AK139" s="551"/>
      <c r="AL139" s="551"/>
      <c r="AM139" s="551"/>
      <c r="AN139" s="551"/>
      <c r="AO139" s="551"/>
      <c r="AP139" s="551"/>
      <c r="AQ139" s="551"/>
      <c r="AR139" s="551"/>
      <c r="AS139" s="551"/>
      <c r="AT139" s="551"/>
      <c r="AU139" s="551"/>
      <c r="AV139" s="551"/>
      <c r="AW139" s="551"/>
      <c r="AX139" s="551"/>
      <c r="AY139" s="551"/>
      <c r="AZ139" s="551"/>
      <c r="BA139" s="551"/>
      <c r="BB139" s="551"/>
      <c r="BC139" s="551"/>
      <c r="BD139" s="551"/>
      <c r="BE139" s="551"/>
      <c r="BF139" s="551"/>
      <c r="BG139" s="551"/>
      <c r="BH139" s="551"/>
      <c r="BI139" s="551"/>
      <c r="BJ139" s="551"/>
      <c r="BK139" s="551"/>
    </row>
    <row r="140" spans="1:63" ht="12.75" customHeight="1">
      <c r="A140" s="551"/>
      <c r="B140" s="551"/>
      <c r="C140" s="551"/>
      <c r="D140" s="551"/>
      <c r="E140" s="551"/>
      <c r="F140" s="551"/>
      <c r="G140" s="551"/>
      <c r="H140" s="551"/>
      <c r="I140" s="551"/>
      <c r="J140" s="551"/>
      <c r="K140" s="551"/>
      <c r="L140" s="551"/>
      <c r="M140" s="551"/>
      <c r="N140" s="551"/>
      <c r="O140" s="551"/>
      <c r="P140" s="551"/>
      <c r="Q140" s="551"/>
      <c r="R140" s="551"/>
      <c r="S140" s="551"/>
      <c r="T140" s="551"/>
      <c r="U140" s="551"/>
      <c r="V140" s="551"/>
      <c r="W140" s="551"/>
      <c r="X140" s="551"/>
      <c r="Y140" s="551"/>
      <c r="Z140" s="551"/>
      <c r="AA140" s="551"/>
      <c r="AB140" s="551"/>
      <c r="AC140" s="551"/>
      <c r="AD140" s="551"/>
      <c r="AE140" s="551"/>
      <c r="AF140" s="551"/>
      <c r="AG140" s="551"/>
      <c r="AH140" s="551"/>
      <c r="AI140" s="551"/>
      <c r="AJ140" s="551"/>
      <c r="AK140" s="551"/>
      <c r="AL140" s="551"/>
      <c r="AM140" s="551"/>
      <c r="AN140" s="551"/>
      <c r="AO140" s="551"/>
      <c r="AP140" s="551"/>
      <c r="AQ140" s="551"/>
      <c r="AR140" s="551"/>
      <c r="AS140" s="551"/>
      <c r="AT140" s="551"/>
      <c r="AU140" s="551"/>
      <c r="AV140" s="551"/>
      <c r="AW140" s="551"/>
      <c r="AX140" s="551"/>
      <c r="AY140" s="551"/>
      <c r="AZ140" s="551"/>
      <c r="BA140" s="551"/>
      <c r="BB140" s="551"/>
      <c r="BC140" s="551"/>
      <c r="BD140" s="551"/>
      <c r="BE140" s="551"/>
      <c r="BF140" s="551"/>
      <c r="BG140" s="551"/>
      <c r="BH140" s="551"/>
      <c r="BI140" s="551"/>
      <c r="BJ140" s="551"/>
      <c r="BK140" s="551"/>
    </row>
    <row r="141" spans="1:63" ht="12.75" customHeight="1">
      <c r="A141" s="551"/>
      <c r="B141" s="551"/>
      <c r="C141" s="551"/>
      <c r="D141" s="551"/>
      <c r="E141" s="551"/>
      <c r="F141" s="551"/>
      <c r="G141" s="551"/>
      <c r="H141" s="551"/>
      <c r="I141" s="551"/>
      <c r="J141" s="551"/>
      <c r="K141" s="551"/>
      <c r="L141" s="551"/>
      <c r="M141" s="551"/>
      <c r="N141" s="551"/>
      <c r="O141" s="551"/>
      <c r="P141" s="551"/>
      <c r="Q141" s="551"/>
      <c r="R141" s="551"/>
      <c r="S141" s="551"/>
      <c r="T141" s="551"/>
      <c r="U141" s="551"/>
      <c r="V141" s="551"/>
      <c r="W141" s="551"/>
      <c r="X141" s="551"/>
      <c r="Y141" s="551"/>
      <c r="Z141" s="551"/>
      <c r="AA141" s="551"/>
      <c r="AB141" s="551"/>
      <c r="AC141" s="551"/>
      <c r="AD141" s="551"/>
      <c r="AE141" s="551"/>
      <c r="AF141" s="551"/>
      <c r="AG141" s="551"/>
      <c r="AH141" s="551"/>
      <c r="AI141" s="551"/>
      <c r="AJ141" s="551"/>
      <c r="AK141" s="551"/>
      <c r="AL141" s="551"/>
      <c r="AM141" s="551"/>
      <c r="AN141" s="551"/>
      <c r="AO141" s="551"/>
      <c r="AP141" s="551"/>
      <c r="AQ141" s="551"/>
      <c r="AR141" s="551"/>
      <c r="AS141" s="551"/>
      <c r="AT141" s="551"/>
      <c r="AU141" s="551"/>
      <c r="AV141" s="551"/>
      <c r="AW141" s="551"/>
      <c r="AX141" s="551"/>
      <c r="AY141" s="551"/>
      <c r="AZ141" s="551"/>
      <c r="BA141" s="551"/>
      <c r="BB141" s="551"/>
      <c r="BC141" s="551"/>
      <c r="BD141" s="551"/>
      <c r="BE141" s="551"/>
      <c r="BF141" s="551"/>
      <c r="BG141" s="551"/>
      <c r="BH141" s="551"/>
      <c r="BI141" s="551"/>
      <c r="BJ141" s="551"/>
      <c r="BK141" s="551"/>
    </row>
    <row r="142" spans="1:63" ht="12.75" customHeight="1">
      <c r="A142" s="551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1"/>
      <c r="P142" s="551"/>
      <c r="Q142" s="551"/>
      <c r="R142" s="551"/>
      <c r="S142" s="551"/>
      <c r="T142" s="551"/>
      <c r="U142" s="551"/>
      <c r="V142" s="551"/>
      <c r="W142" s="551"/>
      <c r="X142" s="551"/>
      <c r="Y142" s="551"/>
      <c r="Z142" s="551"/>
      <c r="AA142" s="551"/>
      <c r="AB142" s="551"/>
      <c r="AC142" s="551"/>
      <c r="AD142" s="551"/>
      <c r="AE142" s="551"/>
      <c r="AF142" s="551"/>
      <c r="AG142" s="551"/>
      <c r="AH142" s="551"/>
      <c r="AI142" s="551"/>
      <c r="AJ142" s="551"/>
      <c r="AK142" s="551"/>
      <c r="AL142" s="551"/>
      <c r="AM142" s="551"/>
      <c r="AN142" s="551"/>
      <c r="AO142" s="551"/>
      <c r="AP142" s="551"/>
      <c r="AQ142" s="551"/>
      <c r="AR142" s="551"/>
      <c r="AS142" s="551"/>
      <c r="AT142" s="551"/>
      <c r="AU142" s="551"/>
      <c r="AV142" s="551"/>
      <c r="AW142" s="551"/>
      <c r="AX142" s="551"/>
      <c r="AY142" s="551"/>
      <c r="AZ142" s="551"/>
      <c r="BA142" s="551"/>
      <c r="BB142" s="551"/>
      <c r="BC142" s="551"/>
      <c r="BD142" s="551"/>
      <c r="BE142" s="551"/>
      <c r="BF142" s="551"/>
      <c r="BG142" s="551"/>
      <c r="BH142" s="551"/>
      <c r="BI142" s="551"/>
      <c r="BJ142" s="551"/>
      <c r="BK142" s="551"/>
    </row>
    <row r="143" spans="1:63" ht="12.75" customHeight="1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1"/>
      <c r="P143" s="551"/>
      <c r="Q143" s="551"/>
      <c r="R143" s="551"/>
      <c r="S143" s="551"/>
      <c r="T143" s="551"/>
      <c r="U143" s="551"/>
      <c r="V143" s="551"/>
      <c r="W143" s="551"/>
      <c r="X143" s="551"/>
      <c r="Y143" s="551"/>
      <c r="Z143" s="551"/>
      <c r="AA143" s="551"/>
      <c r="AB143" s="551"/>
      <c r="AC143" s="551"/>
      <c r="AD143" s="551"/>
      <c r="AE143" s="551"/>
      <c r="AF143" s="551"/>
      <c r="AG143" s="551"/>
      <c r="AH143" s="551"/>
      <c r="AI143" s="551"/>
      <c r="AJ143" s="551"/>
      <c r="AK143" s="551"/>
      <c r="AL143" s="551"/>
      <c r="AM143" s="551"/>
      <c r="AN143" s="551"/>
      <c r="AO143" s="551"/>
      <c r="AP143" s="551"/>
      <c r="AQ143" s="551"/>
      <c r="AR143" s="551"/>
      <c r="AS143" s="551"/>
      <c r="AT143" s="551"/>
      <c r="AU143" s="551"/>
      <c r="AV143" s="551"/>
      <c r="AW143" s="551"/>
      <c r="AX143" s="551"/>
      <c r="AY143" s="551"/>
      <c r="AZ143" s="551"/>
      <c r="BA143" s="551"/>
      <c r="BB143" s="551"/>
      <c r="BC143" s="551"/>
      <c r="BD143" s="551"/>
      <c r="BE143" s="551"/>
      <c r="BF143" s="551"/>
      <c r="BG143" s="551"/>
      <c r="BH143" s="551"/>
      <c r="BI143" s="551"/>
      <c r="BJ143" s="551"/>
      <c r="BK143" s="551"/>
    </row>
    <row r="144" spans="1:63" ht="12.75" customHeight="1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51"/>
      <c r="AB144" s="551"/>
      <c r="AC144" s="551"/>
      <c r="AD144" s="551"/>
      <c r="AE144" s="551"/>
      <c r="AF144" s="551"/>
      <c r="AG144" s="551"/>
      <c r="AH144" s="551"/>
      <c r="AI144" s="551"/>
      <c r="AJ144" s="551"/>
      <c r="AK144" s="551"/>
      <c r="AL144" s="551"/>
      <c r="AM144" s="551"/>
      <c r="AN144" s="551"/>
      <c r="AO144" s="551"/>
      <c r="AP144" s="551"/>
      <c r="AQ144" s="551"/>
      <c r="AR144" s="551"/>
      <c r="AS144" s="551"/>
      <c r="AT144" s="551"/>
      <c r="AU144" s="551"/>
      <c r="AV144" s="551"/>
      <c r="AW144" s="551"/>
      <c r="AX144" s="551"/>
      <c r="AY144" s="551"/>
      <c r="AZ144" s="551"/>
      <c r="BA144" s="551"/>
      <c r="BB144" s="551"/>
      <c r="BC144" s="551"/>
      <c r="BD144" s="551"/>
      <c r="BE144" s="551"/>
      <c r="BF144" s="551"/>
      <c r="BG144" s="551"/>
      <c r="BH144" s="551"/>
      <c r="BI144" s="551"/>
      <c r="BJ144" s="551"/>
      <c r="BK144" s="551"/>
    </row>
    <row r="145" spans="1:63" ht="12.75" customHeight="1">
      <c r="A145" s="551"/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51"/>
      <c r="AB145" s="551"/>
      <c r="AC145" s="551"/>
      <c r="AD145" s="551"/>
      <c r="AE145" s="551"/>
      <c r="AF145" s="551"/>
      <c r="AG145" s="551"/>
      <c r="AH145" s="551"/>
      <c r="AI145" s="551"/>
      <c r="AJ145" s="551"/>
      <c r="AK145" s="551"/>
      <c r="AL145" s="551"/>
      <c r="AM145" s="551"/>
      <c r="AN145" s="551"/>
      <c r="AO145" s="551"/>
      <c r="AP145" s="551"/>
      <c r="AQ145" s="551"/>
      <c r="AR145" s="551"/>
      <c r="AS145" s="551"/>
      <c r="AT145" s="551"/>
      <c r="AU145" s="551"/>
      <c r="AV145" s="551"/>
      <c r="AW145" s="551"/>
      <c r="AX145" s="551"/>
      <c r="AY145" s="551"/>
      <c r="AZ145" s="551"/>
      <c r="BA145" s="551"/>
      <c r="BB145" s="551"/>
      <c r="BC145" s="551"/>
      <c r="BD145" s="551"/>
      <c r="BE145" s="551"/>
      <c r="BF145" s="551"/>
      <c r="BG145" s="551"/>
      <c r="BH145" s="551"/>
      <c r="BI145" s="551"/>
      <c r="BJ145" s="551"/>
      <c r="BK145" s="551"/>
    </row>
    <row r="146" spans="1:63" ht="12.75" customHeight="1">
      <c r="A146" s="551"/>
      <c r="B146" s="551"/>
      <c r="C146" s="551"/>
      <c r="D146" s="551"/>
      <c r="E146" s="551"/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1"/>
      <c r="S146" s="551"/>
      <c r="T146" s="551"/>
      <c r="U146" s="551"/>
      <c r="V146" s="551"/>
      <c r="W146" s="551"/>
      <c r="X146" s="551"/>
      <c r="Y146" s="551"/>
      <c r="Z146" s="551"/>
      <c r="AA146" s="551"/>
      <c r="AB146" s="551"/>
      <c r="AC146" s="551"/>
      <c r="AD146" s="551"/>
      <c r="AE146" s="551"/>
      <c r="AF146" s="551"/>
      <c r="AG146" s="551"/>
      <c r="AH146" s="551"/>
      <c r="AI146" s="551"/>
      <c r="AJ146" s="551"/>
      <c r="AK146" s="551"/>
      <c r="AL146" s="551"/>
      <c r="AM146" s="551"/>
      <c r="AN146" s="551"/>
      <c r="AO146" s="551"/>
      <c r="AP146" s="551"/>
      <c r="AQ146" s="551"/>
      <c r="AR146" s="551"/>
      <c r="AS146" s="551"/>
      <c r="AT146" s="551"/>
      <c r="AU146" s="551"/>
      <c r="AV146" s="551"/>
      <c r="AW146" s="551"/>
      <c r="AX146" s="551"/>
      <c r="AY146" s="551"/>
      <c r="AZ146" s="551"/>
      <c r="BA146" s="551"/>
      <c r="BB146" s="551"/>
      <c r="BC146" s="551"/>
      <c r="BD146" s="551"/>
      <c r="BE146" s="551"/>
      <c r="BF146" s="551"/>
      <c r="BG146" s="551"/>
      <c r="BH146" s="551"/>
      <c r="BI146" s="551"/>
      <c r="BJ146" s="551"/>
      <c r="BK146" s="551"/>
    </row>
    <row r="147" spans="1:63" ht="12.75" customHeight="1">
      <c r="A147" s="551"/>
      <c r="B147" s="551"/>
      <c r="C147" s="551"/>
      <c r="D147" s="551"/>
      <c r="E147" s="551"/>
      <c r="F147" s="551"/>
      <c r="G147" s="551"/>
      <c r="H147" s="551"/>
      <c r="I147" s="551"/>
      <c r="J147" s="551"/>
      <c r="K147" s="551"/>
      <c r="L147" s="551"/>
      <c r="M147" s="551"/>
      <c r="N147" s="551"/>
      <c r="O147" s="551"/>
      <c r="P147" s="551"/>
      <c r="Q147" s="551"/>
      <c r="R147" s="551"/>
      <c r="S147" s="551"/>
      <c r="T147" s="551"/>
      <c r="U147" s="551"/>
      <c r="V147" s="551"/>
      <c r="W147" s="551"/>
      <c r="X147" s="551"/>
      <c r="Y147" s="551"/>
      <c r="Z147" s="551"/>
      <c r="AA147" s="551"/>
      <c r="AB147" s="551"/>
      <c r="AC147" s="551"/>
      <c r="AD147" s="551"/>
      <c r="AE147" s="551"/>
      <c r="AF147" s="551"/>
      <c r="AG147" s="551"/>
      <c r="AH147" s="551"/>
      <c r="AI147" s="551"/>
      <c r="AJ147" s="551"/>
      <c r="AK147" s="551"/>
      <c r="AL147" s="551"/>
      <c r="AM147" s="551"/>
      <c r="AN147" s="551"/>
      <c r="AO147" s="551"/>
      <c r="AP147" s="551"/>
      <c r="AQ147" s="551"/>
      <c r="AR147" s="551"/>
      <c r="AS147" s="551"/>
      <c r="AT147" s="551"/>
      <c r="AU147" s="551"/>
      <c r="AV147" s="551"/>
      <c r="AW147" s="551"/>
      <c r="AX147" s="551"/>
      <c r="AY147" s="551"/>
      <c r="AZ147" s="551"/>
      <c r="BA147" s="551"/>
      <c r="BB147" s="551"/>
      <c r="BC147" s="551"/>
      <c r="BD147" s="551"/>
      <c r="BE147" s="551"/>
      <c r="BF147" s="551"/>
      <c r="BG147" s="551"/>
      <c r="BH147" s="551"/>
      <c r="BI147" s="551"/>
      <c r="BJ147" s="551"/>
      <c r="BK147" s="551"/>
    </row>
    <row r="148" spans="1:63" ht="12.75" customHeight="1">
      <c r="A148" s="551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1"/>
      <c r="P148" s="551"/>
      <c r="Q148" s="551"/>
      <c r="R148" s="551"/>
      <c r="S148" s="551"/>
      <c r="T148" s="551"/>
      <c r="U148" s="551"/>
      <c r="V148" s="551"/>
      <c r="W148" s="551"/>
      <c r="X148" s="551"/>
      <c r="Y148" s="551"/>
      <c r="Z148" s="551"/>
      <c r="AA148" s="551"/>
      <c r="AB148" s="551"/>
      <c r="AC148" s="551"/>
      <c r="AD148" s="551"/>
      <c r="AE148" s="551"/>
      <c r="AF148" s="551"/>
      <c r="AG148" s="551"/>
      <c r="AH148" s="551"/>
      <c r="AI148" s="551"/>
      <c r="AJ148" s="551"/>
      <c r="AK148" s="551"/>
      <c r="AL148" s="551"/>
      <c r="AM148" s="551"/>
      <c r="AN148" s="551"/>
      <c r="AO148" s="551"/>
      <c r="AP148" s="551"/>
      <c r="AQ148" s="551"/>
      <c r="AR148" s="551"/>
      <c r="AS148" s="551"/>
      <c r="AT148" s="551"/>
      <c r="AU148" s="551"/>
      <c r="AV148" s="551"/>
      <c r="AW148" s="551"/>
      <c r="AX148" s="551"/>
      <c r="AY148" s="551"/>
      <c r="AZ148" s="551"/>
      <c r="BA148" s="551"/>
      <c r="BB148" s="551"/>
      <c r="BC148" s="551"/>
      <c r="BD148" s="551"/>
      <c r="BE148" s="551"/>
      <c r="BF148" s="551"/>
      <c r="BG148" s="551"/>
      <c r="BH148" s="551"/>
      <c r="BI148" s="551"/>
      <c r="BJ148" s="551"/>
      <c r="BK148" s="551"/>
    </row>
    <row r="149" spans="1:63" ht="12.75" customHeight="1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1"/>
      <c r="P149" s="551"/>
      <c r="Q149" s="551"/>
      <c r="R149" s="551"/>
      <c r="S149" s="551"/>
      <c r="T149" s="551"/>
      <c r="U149" s="551"/>
      <c r="V149" s="551"/>
      <c r="W149" s="551"/>
      <c r="X149" s="551"/>
      <c r="Y149" s="551"/>
      <c r="Z149" s="551"/>
      <c r="AA149" s="551"/>
      <c r="AB149" s="551"/>
      <c r="AC149" s="551"/>
      <c r="AD149" s="551"/>
      <c r="AE149" s="551"/>
      <c r="AF149" s="551"/>
      <c r="AG149" s="551"/>
      <c r="AH149" s="551"/>
      <c r="AI149" s="551"/>
      <c r="AJ149" s="551"/>
      <c r="AK149" s="551"/>
      <c r="AL149" s="551"/>
      <c r="AM149" s="551"/>
      <c r="AN149" s="551"/>
      <c r="AO149" s="551"/>
      <c r="AP149" s="551"/>
      <c r="AQ149" s="551"/>
      <c r="AR149" s="551"/>
      <c r="AS149" s="551"/>
      <c r="AT149" s="551"/>
      <c r="AU149" s="551"/>
      <c r="AV149" s="551"/>
      <c r="AW149" s="551"/>
      <c r="AX149" s="551"/>
      <c r="AY149" s="551"/>
      <c r="AZ149" s="551"/>
      <c r="BA149" s="551"/>
      <c r="BB149" s="551"/>
      <c r="BC149" s="551"/>
      <c r="BD149" s="551"/>
      <c r="BE149" s="551"/>
      <c r="BF149" s="551"/>
      <c r="BG149" s="551"/>
      <c r="BH149" s="551"/>
      <c r="BI149" s="551"/>
      <c r="BJ149" s="551"/>
      <c r="BK149" s="551"/>
    </row>
    <row r="150" spans="1:63" ht="12.75" customHeight="1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51"/>
      <c r="AB150" s="551"/>
      <c r="AC150" s="551"/>
      <c r="AD150" s="551"/>
      <c r="AE150" s="551"/>
      <c r="AF150" s="551"/>
      <c r="AG150" s="551"/>
      <c r="AH150" s="551"/>
      <c r="AI150" s="551"/>
      <c r="AJ150" s="551"/>
      <c r="AK150" s="551"/>
      <c r="AL150" s="551"/>
      <c r="AM150" s="551"/>
      <c r="AN150" s="551"/>
      <c r="AO150" s="551"/>
      <c r="AP150" s="551"/>
      <c r="AQ150" s="551"/>
      <c r="AR150" s="551"/>
      <c r="AS150" s="551"/>
      <c r="AT150" s="551"/>
      <c r="AU150" s="551"/>
      <c r="AV150" s="551"/>
      <c r="AW150" s="551"/>
      <c r="AX150" s="551"/>
      <c r="AY150" s="551"/>
      <c r="AZ150" s="551"/>
      <c r="BA150" s="551"/>
      <c r="BB150" s="551"/>
      <c r="BC150" s="551"/>
      <c r="BD150" s="551"/>
      <c r="BE150" s="551"/>
      <c r="BF150" s="551"/>
      <c r="BG150" s="551"/>
      <c r="BH150" s="551"/>
      <c r="BI150" s="551"/>
      <c r="BJ150" s="551"/>
      <c r="BK150" s="551"/>
    </row>
    <row r="151" spans="1:63" ht="12.75" customHeight="1">
      <c r="A151" s="551"/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51"/>
      <c r="AB151" s="551"/>
      <c r="AC151" s="551"/>
      <c r="AD151" s="551"/>
      <c r="AE151" s="551"/>
      <c r="AF151" s="551"/>
      <c r="AG151" s="551"/>
      <c r="AH151" s="551"/>
      <c r="AI151" s="551"/>
      <c r="AJ151" s="551"/>
      <c r="AK151" s="551"/>
      <c r="AL151" s="551"/>
      <c r="AM151" s="551"/>
      <c r="AN151" s="551"/>
      <c r="AO151" s="551"/>
      <c r="AP151" s="551"/>
      <c r="AQ151" s="551"/>
      <c r="AR151" s="551"/>
      <c r="AS151" s="551"/>
      <c r="AT151" s="551"/>
      <c r="AU151" s="551"/>
      <c r="AV151" s="551"/>
      <c r="AW151" s="551"/>
      <c r="AX151" s="551"/>
      <c r="AY151" s="551"/>
      <c r="AZ151" s="551"/>
      <c r="BA151" s="551"/>
      <c r="BB151" s="551"/>
      <c r="BC151" s="551"/>
      <c r="BD151" s="551"/>
      <c r="BE151" s="551"/>
      <c r="BF151" s="551"/>
      <c r="BG151" s="551"/>
      <c r="BH151" s="551"/>
      <c r="BI151" s="551"/>
      <c r="BJ151" s="551"/>
      <c r="BK151" s="551"/>
    </row>
    <row r="152" spans="1:63" ht="12.75" customHeight="1">
      <c r="A152" s="551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1"/>
      <c r="P152" s="551"/>
      <c r="Q152" s="551"/>
      <c r="R152" s="551"/>
      <c r="S152" s="551"/>
      <c r="T152" s="551"/>
      <c r="U152" s="551"/>
      <c r="V152" s="551"/>
      <c r="W152" s="551"/>
      <c r="X152" s="551"/>
      <c r="Y152" s="551"/>
      <c r="Z152" s="551"/>
      <c r="AA152" s="551"/>
      <c r="AB152" s="551"/>
      <c r="AC152" s="551"/>
      <c r="AD152" s="551"/>
      <c r="AE152" s="551"/>
      <c r="AF152" s="551"/>
      <c r="AG152" s="551"/>
      <c r="AH152" s="551"/>
      <c r="AI152" s="551"/>
      <c r="AJ152" s="551"/>
      <c r="AK152" s="551"/>
      <c r="AL152" s="551"/>
      <c r="AM152" s="551"/>
      <c r="AN152" s="551"/>
      <c r="AO152" s="551"/>
      <c r="AP152" s="551"/>
      <c r="AQ152" s="551"/>
      <c r="AR152" s="551"/>
      <c r="AS152" s="551"/>
      <c r="AT152" s="551"/>
      <c r="AU152" s="551"/>
      <c r="AV152" s="551"/>
      <c r="AW152" s="551"/>
      <c r="AX152" s="551"/>
      <c r="AY152" s="551"/>
      <c r="AZ152" s="551"/>
      <c r="BA152" s="551"/>
      <c r="BB152" s="551"/>
      <c r="BC152" s="551"/>
      <c r="BD152" s="551"/>
      <c r="BE152" s="551"/>
      <c r="BF152" s="551"/>
      <c r="BG152" s="551"/>
      <c r="BH152" s="551"/>
      <c r="BI152" s="551"/>
      <c r="BJ152" s="551"/>
      <c r="BK152" s="551"/>
    </row>
    <row r="153" spans="1:63" ht="12.75" customHeight="1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1"/>
      <c r="P153" s="551"/>
      <c r="Q153" s="551"/>
      <c r="R153" s="551"/>
      <c r="S153" s="551"/>
      <c r="T153" s="551"/>
      <c r="U153" s="551"/>
      <c r="V153" s="551"/>
      <c r="W153" s="551"/>
      <c r="X153" s="551"/>
      <c r="Y153" s="551"/>
      <c r="Z153" s="551"/>
      <c r="AA153" s="551"/>
      <c r="AB153" s="551"/>
      <c r="AC153" s="551"/>
      <c r="AD153" s="551"/>
      <c r="AE153" s="551"/>
      <c r="AF153" s="551"/>
      <c r="AG153" s="551"/>
      <c r="AH153" s="551"/>
      <c r="AI153" s="551"/>
      <c r="AJ153" s="551"/>
      <c r="AK153" s="551"/>
      <c r="AL153" s="551"/>
      <c r="AM153" s="551"/>
      <c r="AN153" s="551"/>
      <c r="AO153" s="551"/>
      <c r="AP153" s="551"/>
      <c r="AQ153" s="551"/>
      <c r="AR153" s="551"/>
      <c r="AS153" s="551"/>
      <c r="AT153" s="551"/>
      <c r="AU153" s="551"/>
      <c r="AV153" s="551"/>
      <c r="AW153" s="551"/>
      <c r="AX153" s="551"/>
      <c r="AY153" s="551"/>
      <c r="AZ153" s="551"/>
      <c r="BA153" s="551"/>
      <c r="BB153" s="551"/>
      <c r="BC153" s="551"/>
      <c r="BD153" s="551"/>
      <c r="BE153" s="551"/>
      <c r="BF153" s="551"/>
      <c r="BG153" s="551"/>
      <c r="BH153" s="551"/>
      <c r="BI153" s="551"/>
      <c r="BJ153" s="551"/>
      <c r="BK153" s="551"/>
    </row>
    <row r="154" spans="1:63" ht="12.75" customHeight="1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1"/>
      <c r="P154" s="551"/>
      <c r="Q154" s="551"/>
      <c r="R154" s="551"/>
      <c r="S154" s="551"/>
      <c r="T154" s="551"/>
      <c r="U154" s="551"/>
      <c r="V154" s="551"/>
      <c r="W154" s="551"/>
      <c r="X154" s="551"/>
      <c r="Y154" s="551"/>
      <c r="Z154" s="551"/>
      <c r="AA154" s="551"/>
      <c r="AB154" s="551"/>
      <c r="AC154" s="551"/>
      <c r="AD154" s="551"/>
      <c r="AE154" s="551"/>
      <c r="AF154" s="551"/>
      <c r="AG154" s="551"/>
      <c r="AH154" s="551"/>
      <c r="AI154" s="551"/>
      <c r="AJ154" s="551"/>
      <c r="AK154" s="551"/>
      <c r="AL154" s="551"/>
      <c r="AM154" s="551"/>
      <c r="AN154" s="551"/>
      <c r="AO154" s="551"/>
      <c r="AP154" s="551"/>
      <c r="AQ154" s="551"/>
      <c r="AR154" s="551"/>
      <c r="AS154" s="551"/>
      <c r="AT154" s="551"/>
      <c r="AU154" s="551"/>
      <c r="AV154" s="551"/>
      <c r="AW154" s="551"/>
      <c r="AX154" s="551"/>
      <c r="AY154" s="551"/>
      <c r="AZ154" s="551"/>
      <c r="BA154" s="551"/>
      <c r="BB154" s="551"/>
      <c r="BC154" s="551"/>
      <c r="BD154" s="551"/>
      <c r="BE154" s="551"/>
      <c r="BF154" s="551"/>
      <c r="BG154" s="551"/>
      <c r="BH154" s="551"/>
      <c r="BI154" s="551"/>
      <c r="BJ154" s="551"/>
      <c r="BK154" s="551"/>
    </row>
    <row r="155" spans="1:63" ht="12.75" customHeight="1">
      <c r="A155" s="551"/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51"/>
      <c r="AB155" s="551"/>
      <c r="AC155" s="551"/>
      <c r="AD155" s="551"/>
      <c r="AE155" s="551"/>
      <c r="AF155" s="551"/>
      <c r="AG155" s="551"/>
      <c r="AH155" s="551"/>
      <c r="AI155" s="551"/>
      <c r="AJ155" s="551"/>
      <c r="AK155" s="551"/>
      <c r="AL155" s="551"/>
      <c r="AM155" s="551"/>
      <c r="AN155" s="551"/>
      <c r="AO155" s="551"/>
      <c r="AP155" s="551"/>
      <c r="AQ155" s="551"/>
      <c r="AR155" s="551"/>
      <c r="AS155" s="551"/>
      <c r="AT155" s="551"/>
      <c r="AU155" s="551"/>
      <c r="AV155" s="551"/>
      <c r="AW155" s="551"/>
      <c r="AX155" s="551"/>
      <c r="AY155" s="551"/>
      <c r="AZ155" s="551"/>
      <c r="BA155" s="551"/>
      <c r="BB155" s="551"/>
      <c r="BC155" s="551"/>
      <c r="BD155" s="551"/>
      <c r="BE155" s="551"/>
      <c r="BF155" s="551"/>
      <c r="BG155" s="551"/>
      <c r="BH155" s="551"/>
      <c r="BI155" s="551"/>
      <c r="BJ155" s="551"/>
      <c r="BK155" s="551"/>
    </row>
    <row r="156" spans="1:63" ht="12.75" customHeight="1">
      <c r="A156" s="551"/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51"/>
      <c r="AB156" s="551"/>
      <c r="AC156" s="551"/>
      <c r="AD156" s="551"/>
      <c r="AE156" s="551"/>
      <c r="AF156" s="551"/>
      <c r="AG156" s="551"/>
      <c r="AH156" s="551"/>
      <c r="AI156" s="551"/>
      <c r="AJ156" s="551"/>
      <c r="AK156" s="551"/>
      <c r="AL156" s="551"/>
      <c r="AM156" s="551"/>
      <c r="AN156" s="551"/>
      <c r="AO156" s="551"/>
      <c r="AP156" s="551"/>
      <c r="AQ156" s="551"/>
      <c r="AR156" s="551"/>
      <c r="AS156" s="551"/>
      <c r="AT156" s="551"/>
      <c r="AU156" s="551"/>
      <c r="AV156" s="551"/>
      <c r="AW156" s="551"/>
      <c r="AX156" s="551"/>
      <c r="AY156" s="551"/>
      <c r="AZ156" s="551"/>
      <c r="BA156" s="551"/>
      <c r="BB156" s="551"/>
      <c r="BC156" s="551"/>
      <c r="BD156" s="551"/>
      <c r="BE156" s="551"/>
      <c r="BF156" s="551"/>
      <c r="BG156" s="551"/>
      <c r="BH156" s="551"/>
      <c r="BI156" s="551"/>
      <c r="BJ156" s="551"/>
      <c r="BK156" s="551"/>
    </row>
    <row r="157" spans="1:63" ht="12.75" customHeight="1">
      <c r="A157" s="551"/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51"/>
      <c r="AB157" s="551"/>
      <c r="AC157" s="551"/>
      <c r="AD157" s="551"/>
      <c r="AE157" s="551"/>
      <c r="AF157" s="551"/>
      <c r="AG157" s="551"/>
      <c r="AH157" s="551"/>
      <c r="AI157" s="551"/>
      <c r="AJ157" s="551"/>
      <c r="AK157" s="551"/>
      <c r="AL157" s="551"/>
      <c r="AM157" s="551"/>
      <c r="AN157" s="551"/>
      <c r="AO157" s="551"/>
      <c r="AP157" s="551"/>
      <c r="AQ157" s="551"/>
      <c r="AR157" s="551"/>
      <c r="AS157" s="551"/>
      <c r="AT157" s="551"/>
      <c r="AU157" s="551"/>
      <c r="AV157" s="551"/>
      <c r="AW157" s="551"/>
      <c r="AX157" s="551"/>
      <c r="AY157" s="551"/>
      <c r="AZ157" s="551"/>
      <c r="BA157" s="551"/>
      <c r="BB157" s="551"/>
      <c r="BC157" s="551"/>
      <c r="BD157" s="551"/>
      <c r="BE157" s="551"/>
      <c r="BF157" s="551"/>
      <c r="BG157" s="551"/>
      <c r="BH157" s="551"/>
      <c r="BI157" s="551"/>
      <c r="BJ157" s="551"/>
      <c r="BK157" s="551"/>
    </row>
    <row r="158" spans="1:63" ht="12.75" customHeight="1">
      <c r="A158" s="551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1"/>
      <c r="P158" s="551"/>
      <c r="Q158" s="551"/>
      <c r="R158" s="551"/>
      <c r="S158" s="551"/>
      <c r="T158" s="551"/>
      <c r="U158" s="551"/>
      <c r="V158" s="551"/>
      <c r="W158" s="551"/>
      <c r="X158" s="551"/>
      <c r="Y158" s="551"/>
      <c r="Z158" s="551"/>
      <c r="AA158" s="551"/>
      <c r="AB158" s="551"/>
      <c r="AC158" s="551"/>
      <c r="AD158" s="551"/>
      <c r="AE158" s="551"/>
      <c r="AF158" s="551"/>
      <c r="AG158" s="551"/>
      <c r="AH158" s="551"/>
      <c r="AI158" s="551"/>
      <c r="AJ158" s="551"/>
      <c r="AK158" s="551"/>
      <c r="AL158" s="551"/>
      <c r="AM158" s="551"/>
      <c r="AN158" s="551"/>
      <c r="AO158" s="551"/>
      <c r="AP158" s="551"/>
      <c r="AQ158" s="551"/>
      <c r="AR158" s="551"/>
      <c r="AS158" s="551"/>
      <c r="AT158" s="551"/>
      <c r="AU158" s="551"/>
      <c r="AV158" s="551"/>
      <c r="AW158" s="551"/>
      <c r="AX158" s="551"/>
      <c r="AY158" s="551"/>
      <c r="AZ158" s="551"/>
      <c r="BA158" s="551"/>
      <c r="BB158" s="551"/>
      <c r="BC158" s="551"/>
      <c r="BD158" s="551"/>
      <c r="BE158" s="551"/>
      <c r="BF158" s="551"/>
      <c r="BG158" s="551"/>
      <c r="BH158" s="551"/>
      <c r="BI158" s="551"/>
      <c r="BJ158" s="551"/>
      <c r="BK158" s="551"/>
    </row>
    <row r="159" spans="1:63" ht="12.75" customHeight="1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1"/>
      <c r="P159" s="551"/>
      <c r="Q159" s="551"/>
      <c r="R159" s="551"/>
      <c r="S159" s="551"/>
      <c r="T159" s="551"/>
      <c r="U159" s="551"/>
      <c r="V159" s="551"/>
      <c r="W159" s="551"/>
      <c r="X159" s="551"/>
      <c r="Y159" s="551"/>
      <c r="Z159" s="551"/>
      <c r="AA159" s="551"/>
      <c r="AB159" s="551"/>
      <c r="AC159" s="551"/>
      <c r="AD159" s="551"/>
      <c r="AE159" s="551"/>
      <c r="AF159" s="551"/>
      <c r="AG159" s="551"/>
      <c r="AH159" s="551"/>
      <c r="AI159" s="551"/>
      <c r="AJ159" s="551"/>
      <c r="AK159" s="551"/>
      <c r="AL159" s="551"/>
      <c r="AM159" s="551"/>
      <c r="AN159" s="551"/>
      <c r="AO159" s="551"/>
      <c r="AP159" s="551"/>
      <c r="AQ159" s="551"/>
      <c r="AR159" s="551"/>
      <c r="AS159" s="551"/>
      <c r="AT159" s="551"/>
      <c r="AU159" s="551"/>
      <c r="AV159" s="551"/>
      <c r="AW159" s="551"/>
      <c r="AX159" s="551"/>
      <c r="AY159" s="551"/>
      <c r="AZ159" s="551"/>
      <c r="BA159" s="551"/>
      <c r="BB159" s="551"/>
      <c r="BC159" s="551"/>
      <c r="BD159" s="551"/>
      <c r="BE159" s="551"/>
      <c r="BF159" s="551"/>
      <c r="BG159" s="551"/>
      <c r="BH159" s="551"/>
      <c r="BI159" s="551"/>
      <c r="BJ159" s="551"/>
      <c r="BK159" s="551"/>
    </row>
    <row r="160" spans="1:63" ht="12.75" customHeight="1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51"/>
      <c r="AB160" s="551"/>
      <c r="AC160" s="551"/>
      <c r="AD160" s="551"/>
      <c r="AE160" s="551"/>
      <c r="AF160" s="551"/>
      <c r="AG160" s="551"/>
      <c r="AH160" s="551"/>
      <c r="AI160" s="551"/>
      <c r="AJ160" s="551"/>
      <c r="AK160" s="551"/>
      <c r="AL160" s="551"/>
      <c r="AM160" s="551"/>
      <c r="AN160" s="551"/>
      <c r="AO160" s="551"/>
      <c r="AP160" s="551"/>
      <c r="AQ160" s="551"/>
      <c r="AR160" s="551"/>
      <c r="AS160" s="551"/>
      <c r="AT160" s="551"/>
      <c r="AU160" s="551"/>
      <c r="AV160" s="551"/>
      <c r="AW160" s="551"/>
      <c r="AX160" s="551"/>
      <c r="AY160" s="551"/>
      <c r="AZ160" s="551"/>
      <c r="BA160" s="551"/>
      <c r="BB160" s="551"/>
      <c r="BC160" s="551"/>
      <c r="BD160" s="551"/>
      <c r="BE160" s="551"/>
      <c r="BF160" s="551"/>
      <c r="BG160" s="551"/>
      <c r="BH160" s="551"/>
      <c r="BI160" s="551"/>
      <c r="BJ160" s="551"/>
      <c r="BK160" s="551"/>
    </row>
    <row r="161" spans="1:63" ht="12.75" customHeight="1">
      <c r="A161" s="551"/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51"/>
      <c r="AB161" s="551"/>
      <c r="AC161" s="551"/>
      <c r="AD161" s="551"/>
      <c r="AE161" s="551"/>
      <c r="AF161" s="551"/>
      <c r="AG161" s="551"/>
      <c r="AH161" s="551"/>
      <c r="AI161" s="551"/>
      <c r="AJ161" s="551"/>
      <c r="AK161" s="551"/>
      <c r="AL161" s="551"/>
      <c r="AM161" s="551"/>
      <c r="AN161" s="551"/>
      <c r="AO161" s="551"/>
      <c r="AP161" s="551"/>
      <c r="AQ161" s="551"/>
      <c r="AR161" s="551"/>
      <c r="AS161" s="551"/>
      <c r="AT161" s="551"/>
      <c r="AU161" s="551"/>
      <c r="AV161" s="551"/>
      <c r="AW161" s="551"/>
      <c r="AX161" s="551"/>
      <c r="AY161" s="551"/>
      <c r="AZ161" s="551"/>
      <c r="BA161" s="551"/>
      <c r="BB161" s="551"/>
      <c r="BC161" s="551"/>
      <c r="BD161" s="551"/>
      <c r="BE161" s="551"/>
      <c r="BF161" s="551"/>
      <c r="BG161" s="551"/>
      <c r="BH161" s="551"/>
      <c r="BI161" s="551"/>
      <c r="BJ161" s="551"/>
      <c r="BK161" s="551"/>
    </row>
    <row r="162" spans="1:63" ht="12.75" customHeight="1">
      <c r="A162" s="551"/>
      <c r="B162" s="551"/>
      <c r="C162" s="551"/>
      <c r="D162" s="551"/>
      <c r="E162" s="551"/>
      <c r="F162" s="551"/>
      <c r="G162" s="551"/>
      <c r="H162" s="551"/>
      <c r="I162" s="551"/>
      <c r="J162" s="551"/>
      <c r="K162" s="551"/>
      <c r="L162" s="551"/>
      <c r="M162" s="551"/>
      <c r="N162" s="551"/>
      <c r="O162" s="551"/>
      <c r="P162" s="551"/>
      <c r="Q162" s="551"/>
      <c r="R162" s="551"/>
      <c r="S162" s="551"/>
      <c r="T162" s="551"/>
      <c r="U162" s="551"/>
      <c r="V162" s="551"/>
      <c r="W162" s="551"/>
      <c r="X162" s="551"/>
      <c r="Y162" s="551"/>
      <c r="Z162" s="551"/>
      <c r="AA162" s="551"/>
      <c r="AB162" s="551"/>
      <c r="AC162" s="551"/>
      <c r="AD162" s="551"/>
      <c r="AE162" s="551"/>
      <c r="AF162" s="551"/>
      <c r="AG162" s="551"/>
      <c r="AH162" s="551"/>
      <c r="AI162" s="551"/>
      <c r="AJ162" s="551"/>
      <c r="AK162" s="551"/>
      <c r="AL162" s="551"/>
      <c r="AM162" s="551"/>
      <c r="AN162" s="551"/>
      <c r="AO162" s="551"/>
      <c r="AP162" s="551"/>
      <c r="AQ162" s="551"/>
      <c r="AR162" s="551"/>
      <c r="AS162" s="551"/>
      <c r="AT162" s="551"/>
      <c r="AU162" s="551"/>
      <c r="AV162" s="551"/>
      <c r="AW162" s="551"/>
      <c r="AX162" s="551"/>
      <c r="AY162" s="551"/>
      <c r="AZ162" s="551"/>
      <c r="BA162" s="551"/>
      <c r="BB162" s="551"/>
      <c r="BC162" s="551"/>
      <c r="BD162" s="551"/>
      <c r="BE162" s="551"/>
      <c r="BF162" s="551"/>
      <c r="BG162" s="551"/>
      <c r="BH162" s="551"/>
      <c r="BI162" s="551"/>
      <c r="BJ162" s="551"/>
      <c r="BK162" s="551"/>
    </row>
    <row r="163" spans="1:63" ht="12.75" customHeight="1">
      <c r="A163" s="551"/>
      <c r="B163" s="551"/>
      <c r="C163" s="551"/>
      <c r="D163" s="551"/>
      <c r="E163" s="551"/>
      <c r="F163" s="551"/>
      <c r="G163" s="551"/>
      <c r="H163" s="551"/>
      <c r="I163" s="551"/>
      <c r="J163" s="551"/>
      <c r="K163" s="551"/>
      <c r="L163" s="551"/>
      <c r="M163" s="551"/>
      <c r="N163" s="551"/>
      <c r="O163" s="551"/>
      <c r="P163" s="551"/>
      <c r="Q163" s="551"/>
      <c r="R163" s="551"/>
      <c r="S163" s="551"/>
      <c r="T163" s="551"/>
      <c r="U163" s="551"/>
      <c r="V163" s="551"/>
      <c r="W163" s="551"/>
      <c r="X163" s="551"/>
      <c r="Y163" s="551"/>
      <c r="Z163" s="551"/>
      <c r="AA163" s="551"/>
      <c r="AB163" s="551"/>
      <c r="AC163" s="551"/>
      <c r="AD163" s="551"/>
      <c r="AE163" s="551"/>
      <c r="AF163" s="551"/>
      <c r="AG163" s="551"/>
      <c r="AH163" s="551"/>
      <c r="AI163" s="551"/>
      <c r="AJ163" s="551"/>
      <c r="AK163" s="551"/>
      <c r="AL163" s="551"/>
      <c r="AM163" s="551"/>
      <c r="AN163" s="551"/>
      <c r="AO163" s="551"/>
      <c r="AP163" s="551"/>
      <c r="AQ163" s="551"/>
      <c r="AR163" s="551"/>
      <c r="AS163" s="551"/>
      <c r="AT163" s="551"/>
      <c r="AU163" s="551"/>
      <c r="AV163" s="551"/>
      <c r="AW163" s="551"/>
      <c r="AX163" s="551"/>
      <c r="AY163" s="551"/>
      <c r="AZ163" s="551"/>
      <c r="BA163" s="551"/>
      <c r="BB163" s="551"/>
      <c r="BC163" s="551"/>
      <c r="BD163" s="551"/>
      <c r="BE163" s="551"/>
      <c r="BF163" s="551"/>
      <c r="BG163" s="551"/>
      <c r="BH163" s="551"/>
      <c r="BI163" s="551"/>
      <c r="BJ163" s="551"/>
      <c r="BK163" s="551"/>
    </row>
    <row r="164" spans="1:63" ht="12.75" customHeight="1">
      <c r="A164" s="551"/>
      <c r="B164" s="551"/>
      <c r="C164" s="551"/>
      <c r="D164" s="551"/>
      <c r="E164" s="551"/>
      <c r="F164" s="551"/>
      <c r="G164" s="551"/>
      <c r="H164" s="551"/>
      <c r="I164" s="551"/>
      <c r="J164" s="551"/>
      <c r="K164" s="551"/>
      <c r="L164" s="551"/>
      <c r="M164" s="551"/>
      <c r="N164" s="551"/>
      <c r="O164" s="551"/>
      <c r="P164" s="551"/>
      <c r="Q164" s="551"/>
      <c r="R164" s="551"/>
      <c r="S164" s="551"/>
      <c r="T164" s="551"/>
      <c r="U164" s="551"/>
      <c r="V164" s="551"/>
      <c r="W164" s="551"/>
      <c r="X164" s="551"/>
      <c r="Y164" s="551"/>
      <c r="Z164" s="551"/>
      <c r="AA164" s="551"/>
      <c r="AB164" s="551"/>
      <c r="AC164" s="551"/>
      <c r="AD164" s="551"/>
      <c r="AE164" s="551"/>
      <c r="AF164" s="551"/>
      <c r="AG164" s="551"/>
      <c r="AH164" s="551"/>
      <c r="AI164" s="551"/>
      <c r="AJ164" s="551"/>
      <c r="AK164" s="551"/>
      <c r="AL164" s="551"/>
      <c r="AM164" s="551"/>
      <c r="AN164" s="551"/>
      <c r="AO164" s="551"/>
      <c r="AP164" s="551"/>
      <c r="AQ164" s="551"/>
      <c r="AR164" s="551"/>
      <c r="AS164" s="551"/>
      <c r="AT164" s="551"/>
      <c r="AU164" s="551"/>
      <c r="AV164" s="551"/>
      <c r="AW164" s="551"/>
      <c r="AX164" s="551"/>
      <c r="AY164" s="551"/>
      <c r="AZ164" s="551"/>
      <c r="BA164" s="551"/>
      <c r="BB164" s="551"/>
      <c r="BC164" s="551"/>
      <c r="BD164" s="551"/>
      <c r="BE164" s="551"/>
      <c r="BF164" s="551"/>
      <c r="BG164" s="551"/>
      <c r="BH164" s="551"/>
      <c r="BI164" s="551"/>
      <c r="BJ164" s="551"/>
      <c r="BK164" s="551"/>
    </row>
    <row r="165" spans="1:63" ht="12.75" customHeight="1">
      <c r="A165" s="551"/>
      <c r="B165" s="551"/>
      <c r="C165" s="551"/>
      <c r="D165" s="551"/>
      <c r="E165" s="551"/>
      <c r="F165" s="551"/>
      <c r="G165" s="551"/>
      <c r="H165" s="551"/>
      <c r="I165" s="551"/>
      <c r="J165" s="551"/>
      <c r="K165" s="551"/>
      <c r="L165" s="551"/>
      <c r="M165" s="551"/>
      <c r="N165" s="551"/>
      <c r="O165" s="551"/>
      <c r="P165" s="551"/>
      <c r="Q165" s="551"/>
      <c r="R165" s="551"/>
      <c r="S165" s="551"/>
      <c r="T165" s="551"/>
      <c r="U165" s="551"/>
      <c r="V165" s="551"/>
      <c r="W165" s="551"/>
      <c r="X165" s="551"/>
      <c r="Y165" s="551"/>
      <c r="Z165" s="551"/>
      <c r="AA165" s="551"/>
      <c r="AB165" s="551"/>
      <c r="AC165" s="551"/>
      <c r="AD165" s="551"/>
      <c r="AE165" s="551"/>
      <c r="AF165" s="551"/>
      <c r="AG165" s="551"/>
      <c r="AH165" s="551"/>
      <c r="AI165" s="551"/>
      <c r="AJ165" s="551"/>
      <c r="AK165" s="551"/>
      <c r="AL165" s="551"/>
      <c r="AM165" s="551"/>
      <c r="AN165" s="551"/>
      <c r="AO165" s="551"/>
      <c r="AP165" s="551"/>
      <c r="AQ165" s="551"/>
      <c r="AR165" s="551"/>
      <c r="AS165" s="551"/>
      <c r="AT165" s="551"/>
      <c r="AU165" s="551"/>
      <c r="AV165" s="551"/>
      <c r="AW165" s="551"/>
      <c r="AX165" s="551"/>
      <c r="AY165" s="551"/>
      <c r="AZ165" s="551"/>
      <c r="BA165" s="551"/>
      <c r="BB165" s="551"/>
      <c r="BC165" s="551"/>
      <c r="BD165" s="551"/>
      <c r="BE165" s="551"/>
      <c r="BF165" s="551"/>
      <c r="BG165" s="551"/>
      <c r="BH165" s="551"/>
      <c r="BI165" s="551"/>
      <c r="BJ165" s="551"/>
      <c r="BK165" s="551"/>
    </row>
    <row r="166" spans="1:63" ht="12.75" customHeight="1">
      <c r="A166" s="551"/>
      <c r="B166" s="551"/>
      <c r="C166" s="551"/>
      <c r="D166" s="551"/>
      <c r="E166" s="551"/>
      <c r="F166" s="551"/>
      <c r="G166" s="551"/>
      <c r="H166" s="551"/>
      <c r="I166" s="551"/>
      <c r="J166" s="551"/>
      <c r="K166" s="551"/>
      <c r="L166" s="551"/>
      <c r="M166" s="551"/>
      <c r="N166" s="551"/>
      <c r="O166" s="551"/>
      <c r="P166" s="551"/>
      <c r="Q166" s="551"/>
      <c r="R166" s="551"/>
      <c r="S166" s="551"/>
      <c r="T166" s="551"/>
      <c r="U166" s="551"/>
      <c r="V166" s="551"/>
      <c r="W166" s="551"/>
      <c r="X166" s="551"/>
      <c r="Y166" s="551"/>
      <c r="Z166" s="551"/>
      <c r="AA166" s="551"/>
      <c r="AB166" s="551"/>
      <c r="AC166" s="551"/>
      <c r="AD166" s="551"/>
      <c r="AE166" s="551"/>
      <c r="AF166" s="551"/>
      <c r="AG166" s="551"/>
      <c r="AH166" s="551"/>
      <c r="AI166" s="551"/>
      <c r="AJ166" s="551"/>
      <c r="AK166" s="551"/>
      <c r="AL166" s="551"/>
      <c r="AM166" s="551"/>
      <c r="AN166" s="551"/>
      <c r="AO166" s="551"/>
      <c r="AP166" s="551"/>
      <c r="AQ166" s="551"/>
      <c r="AR166" s="551"/>
      <c r="AS166" s="551"/>
      <c r="AT166" s="551"/>
      <c r="AU166" s="551"/>
      <c r="AV166" s="551"/>
      <c r="AW166" s="551"/>
      <c r="AX166" s="551"/>
      <c r="AY166" s="551"/>
      <c r="AZ166" s="551"/>
      <c r="BA166" s="551"/>
      <c r="BB166" s="551"/>
      <c r="BC166" s="551"/>
      <c r="BD166" s="551"/>
      <c r="BE166" s="551"/>
      <c r="BF166" s="551"/>
      <c r="BG166" s="551"/>
      <c r="BH166" s="551"/>
      <c r="BI166" s="551"/>
      <c r="BJ166" s="551"/>
      <c r="BK166" s="551"/>
    </row>
    <row r="167" spans="1:63" ht="12.75" customHeight="1">
      <c r="A167" s="551"/>
      <c r="B167" s="551"/>
      <c r="C167" s="551"/>
      <c r="D167" s="551"/>
      <c r="E167" s="551"/>
      <c r="F167" s="551"/>
      <c r="G167" s="551"/>
      <c r="H167" s="551"/>
      <c r="I167" s="551"/>
      <c r="J167" s="551"/>
      <c r="K167" s="551"/>
      <c r="L167" s="551"/>
      <c r="M167" s="551"/>
      <c r="N167" s="551"/>
      <c r="O167" s="551"/>
      <c r="P167" s="551"/>
      <c r="Q167" s="551"/>
      <c r="R167" s="551"/>
      <c r="S167" s="551"/>
      <c r="T167" s="551"/>
      <c r="U167" s="551"/>
      <c r="V167" s="551"/>
      <c r="W167" s="551"/>
      <c r="X167" s="551"/>
      <c r="Y167" s="551"/>
      <c r="Z167" s="551"/>
      <c r="AA167" s="551"/>
      <c r="AB167" s="551"/>
      <c r="AC167" s="551"/>
      <c r="AD167" s="551"/>
      <c r="AE167" s="551"/>
      <c r="AF167" s="551"/>
      <c r="AG167" s="551"/>
      <c r="AH167" s="551"/>
      <c r="AI167" s="551"/>
      <c r="AJ167" s="551"/>
      <c r="AK167" s="551"/>
      <c r="AL167" s="551"/>
      <c r="AM167" s="551"/>
      <c r="AN167" s="551"/>
      <c r="AO167" s="551"/>
      <c r="AP167" s="551"/>
      <c r="AQ167" s="551"/>
      <c r="AR167" s="551"/>
      <c r="AS167" s="551"/>
      <c r="AT167" s="551"/>
      <c r="AU167" s="551"/>
      <c r="AV167" s="551"/>
      <c r="AW167" s="551"/>
      <c r="AX167" s="551"/>
      <c r="AY167" s="551"/>
      <c r="AZ167" s="551"/>
      <c r="BA167" s="551"/>
      <c r="BB167" s="551"/>
      <c r="BC167" s="551"/>
      <c r="BD167" s="551"/>
      <c r="BE167" s="551"/>
      <c r="BF167" s="551"/>
      <c r="BG167" s="551"/>
      <c r="BH167" s="551"/>
      <c r="BI167" s="551"/>
      <c r="BJ167" s="551"/>
      <c r="BK167" s="551"/>
    </row>
    <row r="168" spans="1:63" ht="12.75" customHeight="1">
      <c r="A168" s="551"/>
      <c r="B168" s="551"/>
      <c r="C168" s="551"/>
      <c r="D168" s="551"/>
      <c r="E168" s="551"/>
      <c r="F168" s="551"/>
      <c r="G168" s="551"/>
      <c r="H168" s="551"/>
      <c r="I168" s="551"/>
      <c r="J168" s="551"/>
      <c r="K168" s="551"/>
      <c r="L168" s="551"/>
      <c r="M168" s="551"/>
      <c r="N168" s="551"/>
      <c r="O168" s="551"/>
      <c r="P168" s="551"/>
      <c r="Q168" s="551"/>
      <c r="R168" s="551"/>
      <c r="S168" s="551"/>
      <c r="T168" s="551"/>
      <c r="U168" s="551"/>
      <c r="V168" s="551"/>
      <c r="W168" s="551"/>
      <c r="X168" s="551"/>
      <c r="Y168" s="551"/>
      <c r="Z168" s="551"/>
      <c r="AA168" s="551"/>
      <c r="AB168" s="551"/>
      <c r="AC168" s="551"/>
      <c r="AD168" s="551"/>
      <c r="AE168" s="551"/>
      <c r="AF168" s="551"/>
      <c r="AG168" s="551"/>
      <c r="AH168" s="551"/>
      <c r="AI168" s="551"/>
      <c r="AJ168" s="551"/>
      <c r="AK168" s="551"/>
      <c r="AL168" s="551"/>
      <c r="AM168" s="551"/>
      <c r="AN168" s="551"/>
      <c r="AO168" s="551"/>
      <c r="AP168" s="551"/>
      <c r="AQ168" s="551"/>
      <c r="AR168" s="551"/>
      <c r="AS168" s="551"/>
      <c r="AT168" s="551"/>
      <c r="AU168" s="551"/>
      <c r="AV168" s="551"/>
      <c r="AW168" s="551"/>
      <c r="AX168" s="551"/>
      <c r="AY168" s="551"/>
      <c r="AZ168" s="551"/>
      <c r="BA168" s="551"/>
      <c r="BB168" s="551"/>
      <c r="BC168" s="551"/>
      <c r="BD168" s="551"/>
      <c r="BE168" s="551"/>
      <c r="BF168" s="551"/>
      <c r="BG168" s="551"/>
      <c r="BH168" s="551"/>
      <c r="BI168" s="551"/>
      <c r="BJ168" s="551"/>
      <c r="BK168" s="551"/>
    </row>
    <row r="169" spans="1:63" ht="12.75" customHeight="1">
      <c r="A169" s="551"/>
      <c r="B169" s="551"/>
      <c r="C169" s="551"/>
      <c r="D169" s="551"/>
      <c r="E169" s="551"/>
      <c r="F169" s="551"/>
      <c r="G169" s="551"/>
      <c r="H169" s="551"/>
      <c r="I169" s="551"/>
      <c r="J169" s="551"/>
      <c r="K169" s="551"/>
      <c r="L169" s="551"/>
      <c r="M169" s="551"/>
      <c r="N169" s="551"/>
      <c r="O169" s="551"/>
      <c r="P169" s="551"/>
      <c r="Q169" s="551"/>
      <c r="R169" s="551"/>
      <c r="S169" s="551"/>
      <c r="T169" s="551"/>
      <c r="U169" s="551"/>
      <c r="V169" s="551"/>
      <c r="W169" s="551"/>
      <c r="X169" s="551"/>
      <c r="Y169" s="551"/>
      <c r="Z169" s="551"/>
      <c r="AA169" s="551"/>
      <c r="AB169" s="551"/>
      <c r="AC169" s="551"/>
      <c r="AD169" s="551"/>
      <c r="AE169" s="551"/>
      <c r="AF169" s="551"/>
      <c r="AG169" s="551"/>
      <c r="AH169" s="551"/>
      <c r="AI169" s="551"/>
      <c r="AJ169" s="551"/>
      <c r="AK169" s="551"/>
      <c r="AL169" s="551"/>
      <c r="AM169" s="551"/>
      <c r="AN169" s="551"/>
      <c r="AO169" s="551"/>
      <c r="AP169" s="551"/>
      <c r="AQ169" s="551"/>
      <c r="AR169" s="551"/>
      <c r="AS169" s="551"/>
      <c r="AT169" s="551"/>
      <c r="AU169" s="551"/>
      <c r="AV169" s="551"/>
      <c r="AW169" s="551"/>
      <c r="AX169" s="551"/>
      <c r="AY169" s="551"/>
      <c r="AZ169" s="551"/>
      <c r="BA169" s="551"/>
      <c r="BB169" s="551"/>
      <c r="BC169" s="551"/>
      <c r="BD169" s="551"/>
      <c r="BE169" s="551"/>
      <c r="BF169" s="551"/>
      <c r="BG169" s="551"/>
      <c r="BH169" s="551"/>
      <c r="BI169" s="551"/>
      <c r="BJ169" s="551"/>
      <c r="BK169" s="551"/>
    </row>
    <row r="170" spans="1:63" ht="12.75" customHeight="1">
      <c r="A170" s="551"/>
      <c r="B170" s="551"/>
      <c r="C170" s="551"/>
      <c r="D170" s="551"/>
      <c r="E170" s="551"/>
      <c r="F170" s="551"/>
      <c r="G170" s="551"/>
      <c r="H170" s="551"/>
      <c r="I170" s="551"/>
      <c r="J170" s="551"/>
      <c r="K170" s="551"/>
      <c r="L170" s="551"/>
      <c r="M170" s="551"/>
      <c r="N170" s="551"/>
      <c r="O170" s="551"/>
      <c r="P170" s="551"/>
      <c r="Q170" s="551"/>
      <c r="R170" s="551"/>
      <c r="S170" s="551"/>
      <c r="T170" s="551"/>
      <c r="U170" s="551"/>
      <c r="V170" s="551"/>
      <c r="W170" s="551"/>
      <c r="X170" s="551"/>
      <c r="Y170" s="551"/>
      <c r="Z170" s="551"/>
      <c r="AA170" s="551"/>
      <c r="AB170" s="551"/>
      <c r="AC170" s="551"/>
      <c r="AD170" s="551"/>
      <c r="AE170" s="551"/>
      <c r="AF170" s="551"/>
      <c r="AG170" s="551"/>
      <c r="AH170" s="551"/>
      <c r="AI170" s="551"/>
      <c r="AJ170" s="551"/>
      <c r="AK170" s="551"/>
      <c r="AL170" s="551"/>
      <c r="AM170" s="551"/>
      <c r="AN170" s="551"/>
      <c r="AO170" s="551"/>
      <c r="AP170" s="551"/>
      <c r="AQ170" s="551"/>
      <c r="AR170" s="551"/>
      <c r="AS170" s="551"/>
      <c r="AT170" s="551"/>
      <c r="AU170" s="551"/>
      <c r="AV170" s="551"/>
      <c r="AW170" s="551"/>
      <c r="AX170" s="551"/>
      <c r="AY170" s="551"/>
      <c r="AZ170" s="551"/>
      <c r="BA170" s="551"/>
      <c r="BB170" s="551"/>
      <c r="BC170" s="551"/>
      <c r="BD170" s="551"/>
      <c r="BE170" s="551"/>
      <c r="BF170" s="551"/>
      <c r="BG170" s="551"/>
      <c r="BH170" s="551"/>
      <c r="BI170" s="551"/>
      <c r="BJ170" s="551"/>
      <c r="BK170" s="551"/>
    </row>
    <row r="171" spans="1:63" ht="12.75" customHeight="1">
      <c r="A171" s="551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1"/>
      <c r="P171" s="551"/>
      <c r="Q171" s="551"/>
      <c r="R171" s="551"/>
      <c r="S171" s="551"/>
      <c r="T171" s="551"/>
      <c r="U171" s="551"/>
      <c r="V171" s="551"/>
      <c r="W171" s="551"/>
      <c r="X171" s="551"/>
      <c r="Y171" s="551"/>
      <c r="Z171" s="551"/>
      <c r="AA171" s="551"/>
      <c r="AB171" s="551"/>
      <c r="AC171" s="551"/>
      <c r="AD171" s="551"/>
      <c r="AE171" s="551"/>
      <c r="AF171" s="551"/>
      <c r="AG171" s="551"/>
      <c r="AH171" s="551"/>
      <c r="AI171" s="551"/>
      <c r="AJ171" s="551"/>
      <c r="AK171" s="551"/>
      <c r="AL171" s="551"/>
      <c r="AM171" s="551"/>
      <c r="AN171" s="551"/>
      <c r="AO171" s="551"/>
      <c r="AP171" s="551"/>
      <c r="AQ171" s="551"/>
      <c r="AR171" s="551"/>
      <c r="AS171" s="551"/>
      <c r="AT171" s="551"/>
      <c r="AU171" s="551"/>
      <c r="AV171" s="551"/>
      <c r="AW171" s="551"/>
      <c r="AX171" s="551"/>
      <c r="AY171" s="551"/>
      <c r="AZ171" s="551"/>
      <c r="BA171" s="551"/>
      <c r="BB171" s="551"/>
      <c r="BC171" s="551"/>
      <c r="BD171" s="551"/>
      <c r="BE171" s="551"/>
      <c r="BF171" s="551"/>
      <c r="BG171" s="551"/>
      <c r="BH171" s="551"/>
      <c r="BI171" s="551"/>
      <c r="BJ171" s="551"/>
      <c r="BK171" s="551"/>
    </row>
    <row r="172" spans="1:63" ht="12.75" customHeight="1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1"/>
      <c r="P172" s="551"/>
      <c r="Q172" s="551"/>
      <c r="R172" s="551"/>
      <c r="S172" s="551"/>
      <c r="T172" s="551"/>
      <c r="U172" s="551"/>
      <c r="V172" s="551"/>
      <c r="W172" s="551"/>
      <c r="X172" s="551"/>
      <c r="Y172" s="551"/>
      <c r="Z172" s="551"/>
      <c r="AA172" s="551"/>
      <c r="AB172" s="551"/>
      <c r="AC172" s="551"/>
      <c r="AD172" s="551"/>
      <c r="AE172" s="551"/>
      <c r="AF172" s="551"/>
      <c r="AG172" s="551"/>
      <c r="AH172" s="551"/>
      <c r="AI172" s="551"/>
      <c r="AJ172" s="551"/>
      <c r="AK172" s="551"/>
      <c r="AL172" s="551"/>
      <c r="AM172" s="551"/>
      <c r="AN172" s="551"/>
      <c r="AO172" s="551"/>
      <c r="AP172" s="551"/>
      <c r="AQ172" s="551"/>
      <c r="AR172" s="551"/>
      <c r="AS172" s="551"/>
      <c r="AT172" s="551"/>
      <c r="AU172" s="551"/>
      <c r="AV172" s="551"/>
      <c r="AW172" s="551"/>
      <c r="AX172" s="551"/>
      <c r="AY172" s="551"/>
      <c r="AZ172" s="551"/>
      <c r="BA172" s="551"/>
      <c r="BB172" s="551"/>
      <c r="BC172" s="551"/>
      <c r="BD172" s="551"/>
      <c r="BE172" s="551"/>
      <c r="BF172" s="551"/>
      <c r="BG172" s="551"/>
      <c r="BH172" s="551"/>
      <c r="BI172" s="551"/>
      <c r="BJ172" s="551"/>
      <c r="BK172" s="551"/>
    </row>
    <row r="173" spans="1:63" ht="12.75" customHeight="1">
      <c r="A173" s="551"/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51"/>
      <c r="AB173" s="551"/>
      <c r="AC173" s="551"/>
      <c r="AD173" s="551"/>
      <c r="AE173" s="551"/>
      <c r="AF173" s="551"/>
      <c r="AG173" s="551"/>
      <c r="AH173" s="551"/>
      <c r="AI173" s="551"/>
      <c r="AJ173" s="551"/>
      <c r="AK173" s="551"/>
      <c r="AL173" s="551"/>
      <c r="AM173" s="551"/>
      <c r="AN173" s="551"/>
      <c r="AO173" s="551"/>
      <c r="AP173" s="551"/>
      <c r="AQ173" s="551"/>
      <c r="AR173" s="551"/>
      <c r="AS173" s="551"/>
      <c r="AT173" s="551"/>
      <c r="AU173" s="551"/>
      <c r="AV173" s="551"/>
      <c r="AW173" s="551"/>
      <c r="AX173" s="551"/>
      <c r="AY173" s="551"/>
      <c r="AZ173" s="551"/>
      <c r="BA173" s="551"/>
      <c r="BB173" s="551"/>
      <c r="BC173" s="551"/>
      <c r="BD173" s="551"/>
      <c r="BE173" s="551"/>
      <c r="BF173" s="551"/>
      <c r="BG173" s="551"/>
      <c r="BH173" s="551"/>
      <c r="BI173" s="551"/>
      <c r="BJ173" s="551"/>
      <c r="BK173" s="551"/>
    </row>
    <row r="174" spans="1:63" ht="12.75" customHeight="1">
      <c r="A174" s="551"/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  <c r="M174" s="551"/>
      <c r="N174" s="551"/>
      <c r="O174" s="551"/>
      <c r="P174" s="551"/>
      <c r="Q174" s="551"/>
      <c r="R174" s="551"/>
      <c r="S174" s="551"/>
      <c r="T174" s="551"/>
      <c r="U174" s="551"/>
      <c r="V174" s="551"/>
      <c r="W174" s="551"/>
      <c r="X174" s="551"/>
      <c r="Y174" s="551"/>
      <c r="Z174" s="551"/>
      <c r="AA174" s="551"/>
      <c r="AB174" s="551"/>
      <c r="AC174" s="551"/>
      <c r="AD174" s="551"/>
      <c r="AE174" s="551"/>
      <c r="AF174" s="551"/>
      <c r="AG174" s="551"/>
      <c r="AH174" s="551"/>
      <c r="AI174" s="551"/>
      <c r="AJ174" s="551"/>
      <c r="AK174" s="551"/>
      <c r="AL174" s="551"/>
      <c r="AM174" s="551"/>
      <c r="AN174" s="551"/>
      <c r="AO174" s="551"/>
      <c r="AP174" s="551"/>
      <c r="AQ174" s="551"/>
      <c r="AR174" s="551"/>
      <c r="AS174" s="551"/>
      <c r="AT174" s="551"/>
      <c r="AU174" s="551"/>
      <c r="AV174" s="551"/>
      <c r="AW174" s="551"/>
      <c r="AX174" s="551"/>
      <c r="AY174" s="551"/>
      <c r="AZ174" s="551"/>
      <c r="BA174" s="551"/>
      <c r="BB174" s="551"/>
      <c r="BC174" s="551"/>
      <c r="BD174" s="551"/>
      <c r="BE174" s="551"/>
      <c r="BF174" s="551"/>
      <c r="BG174" s="551"/>
      <c r="BH174" s="551"/>
      <c r="BI174" s="551"/>
      <c r="BJ174" s="551"/>
      <c r="BK174" s="551"/>
    </row>
    <row r="175" spans="1:63" ht="12.75" customHeight="1">
      <c r="A175" s="551"/>
      <c r="B175" s="551"/>
      <c r="C175" s="551"/>
      <c r="D175" s="551"/>
      <c r="E175" s="551"/>
      <c r="F175" s="551"/>
      <c r="G175" s="551"/>
      <c r="H175" s="551"/>
      <c r="I175" s="551"/>
      <c r="J175" s="551"/>
      <c r="K175" s="551"/>
      <c r="L175" s="551"/>
      <c r="M175" s="551"/>
      <c r="N175" s="551"/>
      <c r="O175" s="551"/>
      <c r="P175" s="551"/>
      <c r="Q175" s="551"/>
      <c r="R175" s="551"/>
      <c r="S175" s="551"/>
      <c r="T175" s="551"/>
      <c r="U175" s="551"/>
      <c r="V175" s="551"/>
      <c r="W175" s="551"/>
      <c r="X175" s="551"/>
      <c r="Y175" s="551"/>
      <c r="Z175" s="551"/>
      <c r="AA175" s="551"/>
      <c r="AB175" s="551"/>
      <c r="AC175" s="551"/>
      <c r="AD175" s="551"/>
      <c r="AE175" s="551"/>
      <c r="AF175" s="551"/>
      <c r="AG175" s="551"/>
      <c r="AH175" s="551"/>
      <c r="AI175" s="551"/>
      <c r="AJ175" s="551"/>
      <c r="AK175" s="551"/>
      <c r="AL175" s="551"/>
      <c r="AM175" s="551"/>
      <c r="AN175" s="551"/>
      <c r="AO175" s="551"/>
      <c r="AP175" s="551"/>
      <c r="AQ175" s="551"/>
      <c r="AR175" s="551"/>
      <c r="AS175" s="551"/>
      <c r="AT175" s="551"/>
      <c r="AU175" s="551"/>
      <c r="AV175" s="551"/>
      <c r="AW175" s="551"/>
      <c r="AX175" s="551"/>
      <c r="AY175" s="551"/>
      <c r="AZ175" s="551"/>
      <c r="BA175" s="551"/>
      <c r="BB175" s="551"/>
      <c r="BC175" s="551"/>
      <c r="BD175" s="551"/>
      <c r="BE175" s="551"/>
      <c r="BF175" s="551"/>
      <c r="BG175" s="551"/>
      <c r="BH175" s="551"/>
      <c r="BI175" s="551"/>
      <c r="BJ175" s="551"/>
      <c r="BK175" s="551"/>
    </row>
    <row r="176" spans="1:63" ht="12.75" customHeight="1">
      <c r="A176" s="551"/>
      <c r="B176" s="551"/>
      <c r="C176" s="551"/>
      <c r="D176" s="551"/>
      <c r="E176" s="551"/>
      <c r="F176" s="551"/>
      <c r="G176" s="551"/>
      <c r="H176" s="551"/>
      <c r="I176" s="551"/>
      <c r="J176" s="551"/>
      <c r="K176" s="551"/>
      <c r="L176" s="551"/>
      <c r="M176" s="551"/>
      <c r="N176" s="551"/>
      <c r="O176" s="551"/>
      <c r="P176" s="551"/>
      <c r="Q176" s="551"/>
      <c r="R176" s="551"/>
      <c r="S176" s="551"/>
      <c r="T176" s="551"/>
      <c r="U176" s="551"/>
      <c r="V176" s="551"/>
      <c r="W176" s="551"/>
      <c r="X176" s="551"/>
      <c r="Y176" s="551"/>
      <c r="Z176" s="551"/>
      <c r="AA176" s="551"/>
      <c r="AB176" s="551"/>
      <c r="AC176" s="551"/>
      <c r="AD176" s="551"/>
      <c r="AE176" s="551"/>
      <c r="AF176" s="551"/>
      <c r="AG176" s="551"/>
      <c r="AH176" s="551"/>
      <c r="AI176" s="551"/>
      <c r="AJ176" s="551"/>
      <c r="AK176" s="551"/>
      <c r="AL176" s="551"/>
      <c r="AM176" s="551"/>
      <c r="AN176" s="551"/>
      <c r="AO176" s="551"/>
      <c r="AP176" s="551"/>
      <c r="AQ176" s="551"/>
      <c r="AR176" s="551"/>
      <c r="AS176" s="551"/>
      <c r="AT176" s="551"/>
      <c r="AU176" s="551"/>
      <c r="AV176" s="551"/>
      <c r="AW176" s="551"/>
      <c r="AX176" s="551"/>
      <c r="AY176" s="551"/>
      <c r="AZ176" s="551"/>
      <c r="BA176" s="551"/>
      <c r="BB176" s="551"/>
      <c r="BC176" s="551"/>
      <c r="BD176" s="551"/>
      <c r="BE176" s="551"/>
      <c r="BF176" s="551"/>
      <c r="BG176" s="551"/>
      <c r="BH176" s="551"/>
      <c r="BI176" s="551"/>
      <c r="BJ176" s="551"/>
      <c r="BK176" s="551"/>
    </row>
    <row r="177" spans="1:63" ht="12.75" customHeight="1">
      <c r="A177" s="551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1"/>
      <c r="P177" s="551"/>
      <c r="Q177" s="551"/>
      <c r="R177" s="551"/>
      <c r="S177" s="551"/>
      <c r="T177" s="551"/>
      <c r="U177" s="551"/>
      <c r="V177" s="551"/>
      <c r="W177" s="551"/>
      <c r="X177" s="551"/>
      <c r="Y177" s="551"/>
      <c r="Z177" s="551"/>
      <c r="AA177" s="551"/>
      <c r="AB177" s="551"/>
      <c r="AC177" s="551"/>
      <c r="AD177" s="551"/>
      <c r="AE177" s="551"/>
      <c r="AF177" s="551"/>
      <c r="AG177" s="551"/>
      <c r="AH177" s="551"/>
      <c r="AI177" s="551"/>
      <c r="AJ177" s="551"/>
      <c r="AK177" s="551"/>
      <c r="AL177" s="551"/>
      <c r="AM177" s="551"/>
      <c r="AN177" s="551"/>
      <c r="AO177" s="551"/>
      <c r="AP177" s="551"/>
      <c r="AQ177" s="551"/>
      <c r="AR177" s="551"/>
      <c r="AS177" s="551"/>
      <c r="AT177" s="551"/>
      <c r="AU177" s="551"/>
      <c r="AV177" s="551"/>
      <c r="AW177" s="551"/>
      <c r="AX177" s="551"/>
      <c r="AY177" s="551"/>
      <c r="AZ177" s="551"/>
      <c r="BA177" s="551"/>
      <c r="BB177" s="551"/>
      <c r="BC177" s="551"/>
      <c r="BD177" s="551"/>
      <c r="BE177" s="551"/>
      <c r="BF177" s="551"/>
      <c r="BG177" s="551"/>
      <c r="BH177" s="551"/>
      <c r="BI177" s="551"/>
      <c r="BJ177" s="551"/>
      <c r="BK177" s="551"/>
    </row>
    <row r="178" spans="1:63" ht="12.75" customHeight="1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1"/>
      <c r="P178" s="551"/>
      <c r="Q178" s="551"/>
      <c r="R178" s="551"/>
      <c r="S178" s="551"/>
      <c r="T178" s="551"/>
      <c r="U178" s="551"/>
      <c r="V178" s="551"/>
      <c r="W178" s="551"/>
      <c r="X178" s="551"/>
      <c r="Y178" s="551"/>
      <c r="Z178" s="551"/>
      <c r="AA178" s="551"/>
      <c r="AB178" s="551"/>
      <c r="AC178" s="551"/>
      <c r="AD178" s="551"/>
      <c r="AE178" s="551"/>
      <c r="AF178" s="551"/>
      <c r="AG178" s="551"/>
      <c r="AH178" s="551"/>
      <c r="AI178" s="551"/>
      <c r="AJ178" s="551"/>
      <c r="AK178" s="551"/>
      <c r="AL178" s="551"/>
      <c r="AM178" s="551"/>
      <c r="AN178" s="551"/>
      <c r="AO178" s="551"/>
      <c r="AP178" s="551"/>
      <c r="AQ178" s="551"/>
      <c r="AR178" s="551"/>
      <c r="AS178" s="551"/>
      <c r="AT178" s="551"/>
      <c r="AU178" s="551"/>
      <c r="AV178" s="551"/>
      <c r="AW178" s="551"/>
      <c r="AX178" s="551"/>
      <c r="AY178" s="551"/>
      <c r="AZ178" s="551"/>
      <c r="BA178" s="551"/>
      <c r="BB178" s="551"/>
      <c r="BC178" s="551"/>
      <c r="BD178" s="551"/>
      <c r="BE178" s="551"/>
      <c r="BF178" s="551"/>
      <c r="BG178" s="551"/>
      <c r="BH178" s="551"/>
      <c r="BI178" s="551"/>
      <c r="BJ178" s="551"/>
      <c r="BK178" s="551"/>
    </row>
    <row r="179" spans="1:63" ht="12.75" customHeight="1">
      <c r="A179" s="551"/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51"/>
      <c r="AB179" s="551"/>
      <c r="AC179" s="551"/>
      <c r="AD179" s="551"/>
      <c r="AE179" s="551"/>
      <c r="AF179" s="551"/>
      <c r="AG179" s="551"/>
      <c r="AH179" s="551"/>
      <c r="AI179" s="551"/>
      <c r="AJ179" s="551"/>
      <c r="AK179" s="551"/>
      <c r="AL179" s="551"/>
      <c r="AM179" s="551"/>
      <c r="AN179" s="551"/>
      <c r="AO179" s="551"/>
      <c r="AP179" s="551"/>
      <c r="AQ179" s="551"/>
      <c r="AR179" s="551"/>
      <c r="AS179" s="551"/>
      <c r="AT179" s="551"/>
      <c r="AU179" s="551"/>
      <c r="AV179" s="551"/>
      <c r="AW179" s="551"/>
      <c r="AX179" s="551"/>
      <c r="AY179" s="551"/>
      <c r="AZ179" s="551"/>
      <c r="BA179" s="551"/>
      <c r="BB179" s="551"/>
      <c r="BC179" s="551"/>
      <c r="BD179" s="551"/>
      <c r="BE179" s="551"/>
      <c r="BF179" s="551"/>
      <c r="BG179" s="551"/>
      <c r="BH179" s="551"/>
      <c r="BI179" s="551"/>
      <c r="BJ179" s="551"/>
      <c r="BK179" s="551"/>
    </row>
    <row r="180" spans="1:63" ht="12.75" customHeight="1">
      <c r="A180" s="551"/>
      <c r="B180" s="551"/>
      <c r="C180" s="551"/>
      <c r="D180" s="551"/>
      <c r="E180" s="551"/>
      <c r="F180" s="551"/>
      <c r="G180" s="551"/>
      <c r="H180" s="551"/>
      <c r="I180" s="551"/>
      <c r="J180" s="551"/>
      <c r="K180" s="551"/>
      <c r="L180" s="551"/>
      <c r="M180" s="551"/>
      <c r="N180" s="551"/>
      <c r="O180" s="551"/>
      <c r="P180" s="551"/>
      <c r="Q180" s="551"/>
      <c r="R180" s="551"/>
      <c r="S180" s="551"/>
      <c r="T180" s="551"/>
      <c r="U180" s="551"/>
      <c r="V180" s="551"/>
      <c r="W180" s="551"/>
      <c r="X180" s="551"/>
      <c r="Y180" s="551"/>
      <c r="Z180" s="551"/>
      <c r="AA180" s="551"/>
      <c r="AB180" s="551"/>
      <c r="AC180" s="551"/>
      <c r="AD180" s="551"/>
      <c r="AE180" s="551"/>
      <c r="AF180" s="551"/>
      <c r="AG180" s="551"/>
      <c r="AH180" s="551"/>
      <c r="AI180" s="551"/>
      <c r="AJ180" s="551"/>
      <c r="AK180" s="551"/>
      <c r="AL180" s="551"/>
      <c r="AM180" s="551"/>
      <c r="AN180" s="551"/>
      <c r="AO180" s="551"/>
      <c r="AP180" s="551"/>
      <c r="AQ180" s="551"/>
      <c r="AR180" s="551"/>
      <c r="AS180" s="551"/>
      <c r="AT180" s="551"/>
      <c r="AU180" s="551"/>
      <c r="AV180" s="551"/>
      <c r="AW180" s="551"/>
      <c r="AX180" s="551"/>
      <c r="AY180" s="551"/>
      <c r="AZ180" s="551"/>
      <c r="BA180" s="551"/>
      <c r="BB180" s="551"/>
      <c r="BC180" s="551"/>
      <c r="BD180" s="551"/>
      <c r="BE180" s="551"/>
      <c r="BF180" s="551"/>
      <c r="BG180" s="551"/>
      <c r="BH180" s="551"/>
      <c r="BI180" s="551"/>
      <c r="BJ180" s="551"/>
      <c r="BK180" s="551"/>
    </row>
    <row r="181" spans="1:63" ht="12.75" customHeight="1">
      <c r="A181" s="551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1"/>
      <c r="P181" s="551"/>
      <c r="Q181" s="551"/>
      <c r="R181" s="551"/>
      <c r="S181" s="551"/>
      <c r="T181" s="551"/>
      <c r="U181" s="551"/>
      <c r="V181" s="551"/>
      <c r="W181" s="551"/>
      <c r="X181" s="551"/>
      <c r="Y181" s="551"/>
      <c r="Z181" s="551"/>
      <c r="AA181" s="551"/>
      <c r="AB181" s="551"/>
      <c r="AC181" s="551"/>
      <c r="AD181" s="551"/>
      <c r="AE181" s="551"/>
      <c r="AF181" s="551"/>
      <c r="AG181" s="551"/>
      <c r="AH181" s="551"/>
      <c r="AI181" s="551"/>
      <c r="AJ181" s="551"/>
      <c r="AK181" s="551"/>
      <c r="AL181" s="551"/>
      <c r="AM181" s="551"/>
      <c r="AN181" s="551"/>
      <c r="AO181" s="551"/>
      <c r="AP181" s="551"/>
      <c r="AQ181" s="551"/>
      <c r="AR181" s="551"/>
      <c r="AS181" s="551"/>
      <c r="AT181" s="551"/>
      <c r="AU181" s="551"/>
      <c r="AV181" s="551"/>
      <c r="AW181" s="551"/>
      <c r="AX181" s="551"/>
      <c r="AY181" s="551"/>
      <c r="AZ181" s="551"/>
      <c r="BA181" s="551"/>
      <c r="BB181" s="551"/>
      <c r="BC181" s="551"/>
      <c r="BD181" s="551"/>
      <c r="BE181" s="551"/>
      <c r="BF181" s="551"/>
      <c r="BG181" s="551"/>
      <c r="BH181" s="551"/>
      <c r="BI181" s="551"/>
      <c r="BJ181" s="551"/>
      <c r="BK181" s="551"/>
    </row>
    <row r="182" spans="1:63" ht="12.75" customHeight="1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1"/>
      <c r="P182" s="551"/>
      <c r="Q182" s="551"/>
      <c r="R182" s="551"/>
      <c r="S182" s="551"/>
      <c r="T182" s="551"/>
      <c r="U182" s="551"/>
      <c r="V182" s="551"/>
      <c r="W182" s="551"/>
      <c r="X182" s="551"/>
      <c r="Y182" s="551"/>
      <c r="Z182" s="551"/>
      <c r="AA182" s="551"/>
      <c r="AB182" s="551"/>
      <c r="AC182" s="551"/>
      <c r="AD182" s="551"/>
      <c r="AE182" s="551"/>
      <c r="AF182" s="551"/>
      <c r="AG182" s="551"/>
      <c r="AH182" s="551"/>
      <c r="AI182" s="551"/>
      <c r="AJ182" s="551"/>
      <c r="AK182" s="551"/>
      <c r="AL182" s="551"/>
      <c r="AM182" s="551"/>
      <c r="AN182" s="551"/>
      <c r="AO182" s="551"/>
      <c r="AP182" s="551"/>
      <c r="AQ182" s="551"/>
      <c r="AR182" s="551"/>
      <c r="AS182" s="551"/>
      <c r="AT182" s="551"/>
      <c r="AU182" s="551"/>
      <c r="AV182" s="551"/>
      <c r="AW182" s="551"/>
      <c r="AX182" s="551"/>
      <c r="AY182" s="551"/>
      <c r="AZ182" s="551"/>
      <c r="BA182" s="551"/>
      <c r="BB182" s="551"/>
      <c r="BC182" s="551"/>
      <c r="BD182" s="551"/>
      <c r="BE182" s="551"/>
      <c r="BF182" s="551"/>
      <c r="BG182" s="551"/>
      <c r="BH182" s="551"/>
      <c r="BI182" s="551"/>
      <c r="BJ182" s="551"/>
      <c r="BK182" s="551"/>
    </row>
    <row r="183" spans="1:63" ht="12.75" customHeight="1">
      <c r="A183" s="551"/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51"/>
      <c r="AB183" s="551"/>
      <c r="AC183" s="551"/>
      <c r="AD183" s="551"/>
      <c r="AE183" s="551"/>
      <c r="AF183" s="551"/>
      <c r="AG183" s="551"/>
      <c r="AH183" s="551"/>
      <c r="AI183" s="551"/>
      <c r="AJ183" s="551"/>
      <c r="AK183" s="551"/>
      <c r="AL183" s="551"/>
      <c r="AM183" s="551"/>
      <c r="AN183" s="551"/>
      <c r="AO183" s="551"/>
      <c r="AP183" s="551"/>
      <c r="AQ183" s="551"/>
      <c r="AR183" s="551"/>
      <c r="AS183" s="551"/>
      <c r="AT183" s="551"/>
      <c r="AU183" s="551"/>
      <c r="AV183" s="551"/>
      <c r="AW183" s="551"/>
      <c r="AX183" s="551"/>
      <c r="AY183" s="551"/>
      <c r="AZ183" s="551"/>
      <c r="BA183" s="551"/>
      <c r="BB183" s="551"/>
      <c r="BC183" s="551"/>
      <c r="BD183" s="551"/>
      <c r="BE183" s="551"/>
      <c r="BF183" s="551"/>
      <c r="BG183" s="551"/>
      <c r="BH183" s="551"/>
      <c r="BI183" s="551"/>
      <c r="BJ183" s="551"/>
      <c r="BK183" s="551"/>
    </row>
    <row r="184" spans="1:63" ht="12.75" customHeight="1">
      <c r="A184" s="551"/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51"/>
      <c r="AB184" s="551"/>
      <c r="AC184" s="551"/>
      <c r="AD184" s="551"/>
      <c r="AE184" s="551"/>
      <c r="AF184" s="551"/>
      <c r="AG184" s="551"/>
      <c r="AH184" s="551"/>
      <c r="AI184" s="551"/>
      <c r="AJ184" s="551"/>
      <c r="AK184" s="551"/>
      <c r="AL184" s="551"/>
      <c r="AM184" s="551"/>
      <c r="AN184" s="551"/>
      <c r="AO184" s="551"/>
      <c r="AP184" s="551"/>
      <c r="AQ184" s="551"/>
      <c r="AR184" s="551"/>
      <c r="AS184" s="551"/>
      <c r="AT184" s="551"/>
      <c r="AU184" s="551"/>
      <c r="AV184" s="551"/>
      <c r="AW184" s="551"/>
      <c r="AX184" s="551"/>
      <c r="AY184" s="551"/>
      <c r="AZ184" s="551"/>
      <c r="BA184" s="551"/>
      <c r="BB184" s="551"/>
      <c r="BC184" s="551"/>
      <c r="BD184" s="551"/>
      <c r="BE184" s="551"/>
      <c r="BF184" s="551"/>
      <c r="BG184" s="551"/>
      <c r="BH184" s="551"/>
      <c r="BI184" s="551"/>
      <c r="BJ184" s="551"/>
      <c r="BK184" s="551"/>
    </row>
    <row r="185" spans="1:63" ht="12.75" customHeight="1">
      <c r="A185" s="551"/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1"/>
      <c r="M185" s="551"/>
      <c r="N185" s="551"/>
      <c r="O185" s="551"/>
      <c r="P185" s="551"/>
      <c r="Q185" s="551"/>
      <c r="R185" s="551"/>
      <c r="S185" s="551"/>
      <c r="T185" s="551"/>
      <c r="U185" s="551"/>
      <c r="V185" s="551"/>
      <c r="W185" s="551"/>
      <c r="X185" s="551"/>
      <c r="Y185" s="551"/>
      <c r="Z185" s="551"/>
      <c r="AA185" s="551"/>
      <c r="AB185" s="551"/>
      <c r="AC185" s="551"/>
      <c r="AD185" s="551"/>
      <c r="AE185" s="551"/>
      <c r="AF185" s="551"/>
      <c r="AG185" s="551"/>
      <c r="AH185" s="551"/>
      <c r="AI185" s="551"/>
      <c r="AJ185" s="551"/>
      <c r="AK185" s="551"/>
      <c r="AL185" s="551"/>
      <c r="AM185" s="551"/>
      <c r="AN185" s="551"/>
      <c r="AO185" s="551"/>
      <c r="AP185" s="551"/>
      <c r="AQ185" s="551"/>
      <c r="AR185" s="551"/>
      <c r="AS185" s="551"/>
      <c r="AT185" s="551"/>
      <c r="AU185" s="551"/>
      <c r="AV185" s="551"/>
      <c r="AW185" s="551"/>
      <c r="AX185" s="551"/>
      <c r="AY185" s="551"/>
      <c r="AZ185" s="551"/>
      <c r="BA185" s="551"/>
      <c r="BB185" s="551"/>
      <c r="BC185" s="551"/>
      <c r="BD185" s="551"/>
      <c r="BE185" s="551"/>
      <c r="BF185" s="551"/>
      <c r="BG185" s="551"/>
      <c r="BH185" s="551"/>
      <c r="BI185" s="551"/>
      <c r="BJ185" s="551"/>
      <c r="BK185" s="551"/>
    </row>
    <row r="186" spans="1:63" ht="12.75" customHeight="1">
      <c r="A186" s="551"/>
      <c r="B186" s="551"/>
      <c r="C186" s="551"/>
      <c r="D186" s="551"/>
      <c r="E186" s="551"/>
      <c r="F186" s="551"/>
      <c r="G186" s="551"/>
      <c r="H186" s="551"/>
      <c r="I186" s="551"/>
      <c r="J186" s="551"/>
      <c r="K186" s="551"/>
      <c r="L186" s="551"/>
      <c r="M186" s="551"/>
      <c r="N186" s="551"/>
      <c r="O186" s="551"/>
      <c r="P186" s="551"/>
      <c r="Q186" s="551"/>
      <c r="R186" s="551"/>
      <c r="S186" s="551"/>
      <c r="T186" s="551"/>
      <c r="U186" s="551"/>
      <c r="V186" s="551"/>
      <c r="W186" s="551"/>
      <c r="X186" s="551"/>
      <c r="Y186" s="551"/>
      <c r="Z186" s="551"/>
      <c r="AA186" s="551"/>
      <c r="AB186" s="551"/>
      <c r="AC186" s="551"/>
      <c r="AD186" s="551"/>
      <c r="AE186" s="551"/>
      <c r="AF186" s="551"/>
      <c r="AG186" s="551"/>
      <c r="AH186" s="551"/>
      <c r="AI186" s="551"/>
      <c r="AJ186" s="551"/>
      <c r="AK186" s="551"/>
      <c r="AL186" s="551"/>
      <c r="AM186" s="551"/>
      <c r="AN186" s="551"/>
      <c r="AO186" s="551"/>
      <c r="AP186" s="551"/>
      <c r="AQ186" s="551"/>
      <c r="AR186" s="551"/>
      <c r="AS186" s="551"/>
      <c r="AT186" s="551"/>
      <c r="AU186" s="551"/>
      <c r="AV186" s="551"/>
      <c r="AW186" s="551"/>
      <c r="AX186" s="551"/>
      <c r="AY186" s="551"/>
      <c r="AZ186" s="551"/>
      <c r="BA186" s="551"/>
      <c r="BB186" s="551"/>
      <c r="BC186" s="551"/>
      <c r="BD186" s="551"/>
      <c r="BE186" s="551"/>
      <c r="BF186" s="551"/>
      <c r="BG186" s="551"/>
      <c r="BH186" s="551"/>
      <c r="BI186" s="551"/>
      <c r="BJ186" s="551"/>
      <c r="BK186" s="551"/>
    </row>
    <row r="187" spans="1:63" ht="12.75" customHeight="1">
      <c r="A187" s="551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1"/>
      <c r="P187" s="551"/>
      <c r="Q187" s="551"/>
      <c r="R187" s="551"/>
      <c r="S187" s="551"/>
      <c r="T187" s="551"/>
      <c r="U187" s="551"/>
      <c r="V187" s="551"/>
      <c r="W187" s="551"/>
      <c r="X187" s="551"/>
      <c r="Y187" s="551"/>
      <c r="Z187" s="551"/>
      <c r="AA187" s="551"/>
      <c r="AB187" s="551"/>
      <c r="AC187" s="551"/>
      <c r="AD187" s="551"/>
      <c r="AE187" s="551"/>
      <c r="AF187" s="551"/>
      <c r="AG187" s="551"/>
      <c r="AH187" s="551"/>
      <c r="AI187" s="551"/>
      <c r="AJ187" s="551"/>
      <c r="AK187" s="551"/>
      <c r="AL187" s="551"/>
      <c r="AM187" s="551"/>
      <c r="AN187" s="551"/>
      <c r="AO187" s="551"/>
      <c r="AP187" s="551"/>
      <c r="AQ187" s="551"/>
      <c r="AR187" s="551"/>
      <c r="AS187" s="551"/>
      <c r="AT187" s="551"/>
      <c r="AU187" s="551"/>
      <c r="AV187" s="551"/>
      <c r="AW187" s="551"/>
      <c r="AX187" s="551"/>
      <c r="AY187" s="551"/>
      <c r="AZ187" s="551"/>
      <c r="BA187" s="551"/>
      <c r="BB187" s="551"/>
      <c r="BC187" s="551"/>
      <c r="BD187" s="551"/>
      <c r="BE187" s="551"/>
      <c r="BF187" s="551"/>
      <c r="BG187" s="551"/>
      <c r="BH187" s="551"/>
      <c r="BI187" s="551"/>
      <c r="BJ187" s="551"/>
      <c r="BK187" s="551"/>
    </row>
    <row r="188" spans="1:63" ht="12.75" customHeight="1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1"/>
      <c r="P188" s="551"/>
      <c r="Q188" s="551"/>
      <c r="R188" s="551"/>
      <c r="S188" s="551"/>
      <c r="T188" s="551"/>
      <c r="U188" s="551"/>
      <c r="V188" s="551"/>
      <c r="W188" s="551"/>
      <c r="X188" s="551"/>
      <c r="Y188" s="551"/>
      <c r="Z188" s="551"/>
      <c r="AA188" s="551"/>
      <c r="AB188" s="551"/>
      <c r="AC188" s="551"/>
      <c r="AD188" s="551"/>
      <c r="AE188" s="551"/>
      <c r="AF188" s="551"/>
      <c r="AG188" s="551"/>
      <c r="AH188" s="551"/>
      <c r="AI188" s="551"/>
      <c r="AJ188" s="551"/>
      <c r="AK188" s="551"/>
      <c r="AL188" s="551"/>
      <c r="AM188" s="551"/>
      <c r="AN188" s="551"/>
      <c r="AO188" s="551"/>
      <c r="AP188" s="551"/>
      <c r="AQ188" s="551"/>
      <c r="AR188" s="551"/>
      <c r="AS188" s="551"/>
      <c r="AT188" s="551"/>
      <c r="AU188" s="551"/>
      <c r="AV188" s="551"/>
      <c r="AW188" s="551"/>
      <c r="AX188" s="551"/>
      <c r="AY188" s="551"/>
      <c r="AZ188" s="551"/>
      <c r="BA188" s="551"/>
      <c r="BB188" s="551"/>
      <c r="BC188" s="551"/>
      <c r="BD188" s="551"/>
      <c r="BE188" s="551"/>
      <c r="BF188" s="551"/>
      <c r="BG188" s="551"/>
      <c r="BH188" s="551"/>
      <c r="BI188" s="551"/>
      <c r="BJ188" s="551"/>
      <c r="BK188" s="551"/>
    </row>
    <row r="189" spans="1:63" ht="12.75" customHeight="1">
      <c r="A189" s="551"/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51"/>
      <c r="AB189" s="551"/>
      <c r="AC189" s="551"/>
      <c r="AD189" s="551"/>
      <c r="AE189" s="551"/>
      <c r="AF189" s="551"/>
      <c r="AG189" s="551"/>
      <c r="AH189" s="551"/>
      <c r="AI189" s="551"/>
      <c r="AJ189" s="551"/>
      <c r="AK189" s="551"/>
      <c r="AL189" s="551"/>
      <c r="AM189" s="551"/>
      <c r="AN189" s="551"/>
      <c r="AO189" s="551"/>
      <c r="AP189" s="551"/>
      <c r="AQ189" s="551"/>
      <c r="AR189" s="551"/>
      <c r="AS189" s="551"/>
      <c r="AT189" s="551"/>
      <c r="AU189" s="551"/>
      <c r="AV189" s="551"/>
      <c r="AW189" s="551"/>
      <c r="AX189" s="551"/>
      <c r="AY189" s="551"/>
      <c r="AZ189" s="551"/>
      <c r="BA189" s="551"/>
      <c r="BB189" s="551"/>
      <c r="BC189" s="551"/>
      <c r="BD189" s="551"/>
      <c r="BE189" s="551"/>
      <c r="BF189" s="551"/>
      <c r="BG189" s="551"/>
      <c r="BH189" s="551"/>
      <c r="BI189" s="551"/>
      <c r="BJ189" s="551"/>
      <c r="BK189" s="551"/>
    </row>
    <row r="190" spans="1:63" ht="12.75" customHeight="1">
      <c r="A190" s="551"/>
      <c r="B190" s="551"/>
      <c r="C190" s="551"/>
      <c r="D190" s="551"/>
      <c r="E190" s="551"/>
      <c r="F190" s="551"/>
      <c r="G190" s="551"/>
      <c r="H190" s="551"/>
      <c r="I190" s="551"/>
      <c r="J190" s="551"/>
      <c r="K190" s="551"/>
      <c r="L190" s="551"/>
      <c r="M190" s="551"/>
      <c r="N190" s="551"/>
      <c r="O190" s="551"/>
      <c r="P190" s="551"/>
      <c r="Q190" s="551"/>
      <c r="R190" s="551"/>
      <c r="S190" s="551"/>
      <c r="T190" s="551"/>
      <c r="U190" s="551"/>
      <c r="V190" s="551"/>
      <c r="W190" s="551"/>
      <c r="X190" s="551"/>
      <c r="Y190" s="551"/>
      <c r="Z190" s="551"/>
      <c r="AA190" s="551"/>
      <c r="AB190" s="551"/>
      <c r="AC190" s="551"/>
      <c r="AD190" s="551"/>
      <c r="AE190" s="551"/>
      <c r="AF190" s="551"/>
      <c r="AG190" s="551"/>
      <c r="AH190" s="551"/>
      <c r="AI190" s="551"/>
      <c r="AJ190" s="551"/>
      <c r="AK190" s="551"/>
      <c r="AL190" s="551"/>
      <c r="AM190" s="551"/>
      <c r="AN190" s="551"/>
      <c r="AO190" s="551"/>
      <c r="AP190" s="551"/>
      <c r="AQ190" s="551"/>
      <c r="AR190" s="551"/>
      <c r="AS190" s="551"/>
      <c r="AT190" s="551"/>
      <c r="AU190" s="551"/>
      <c r="AV190" s="551"/>
      <c r="AW190" s="551"/>
      <c r="AX190" s="551"/>
      <c r="AY190" s="551"/>
      <c r="AZ190" s="551"/>
      <c r="BA190" s="551"/>
      <c r="BB190" s="551"/>
      <c r="BC190" s="551"/>
      <c r="BD190" s="551"/>
      <c r="BE190" s="551"/>
      <c r="BF190" s="551"/>
      <c r="BG190" s="551"/>
      <c r="BH190" s="551"/>
      <c r="BI190" s="551"/>
      <c r="BJ190" s="551"/>
      <c r="BK190" s="551"/>
    </row>
    <row r="191" spans="1:63" ht="12.75" customHeight="1">
      <c r="A191" s="551"/>
      <c r="B191" s="551"/>
      <c r="C191" s="551"/>
      <c r="D191" s="551"/>
      <c r="E191" s="551"/>
      <c r="F191" s="551"/>
      <c r="G191" s="551"/>
      <c r="H191" s="551"/>
      <c r="I191" s="551"/>
      <c r="J191" s="551"/>
      <c r="K191" s="551"/>
      <c r="L191" s="551"/>
      <c r="M191" s="551"/>
      <c r="N191" s="551"/>
      <c r="O191" s="551"/>
      <c r="P191" s="551"/>
      <c r="Q191" s="551"/>
      <c r="R191" s="551"/>
      <c r="S191" s="551"/>
      <c r="T191" s="551"/>
      <c r="U191" s="551"/>
      <c r="V191" s="551"/>
      <c r="W191" s="551"/>
      <c r="X191" s="551"/>
      <c r="Y191" s="551"/>
      <c r="Z191" s="551"/>
      <c r="AA191" s="551"/>
      <c r="AB191" s="551"/>
      <c r="AC191" s="551"/>
      <c r="AD191" s="551"/>
      <c r="AE191" s="551"/>
      <c r="AF191" s="551"/>
      <c r="AG191" s="551"/>
      <c r="AH191" s="551"/>
      <c r="AI191" s="551"/>
      <c r="AJ191" s="551"/>
      <c r="AK191" s="551"/>
      <c r="AL191" s="551"/>
      <c r="AM191" s="551"/>
      <c r="AN191" s="551"/>
      <c r="AO191" s="551"/>
      <c r="AP191" s="551"/>
      <c r="AQ191" s="551"/>
      <c r="AR191" s="551"/>
      <c r="AS191" s="551"/>
      <c r="AT191" s="551"/>
      <c r="AU191" s="551"/>
      <c r="AV191" s="551"/>
      <c r="AW191" s="551"/>
      <c r="AX191" s="551"/>
      <c r="AY191" s="551"/>
      <c r="AZ191" s="551"/>
      <c r="BA191" s="551"/>
      <c r="BB191" s="551"/>
      <c r="BC191" s="551"/>
      <c r="BD191" s="551"/>
      <c r="BE191" s="551"/>
      <c r="BF191" s="551"/>
      <c r="BG191" s="551"/>
      <c r="BH191" s="551"/>
      <c r="BI191" s="551"/>
      <c r="BJ191" s="551"/>
      <c r="BK191" s="551"/>
    </row>
    <row r="192" spans="1:63" ht="12.75" customHeight="1">
      <c r="A192" s="551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1"/>
      <c r="P192" s="551"/>
      <c r="Q192" s="551"/>
      <c r="R192" s="551"/>
      <c r="S192" s="551"/>
      <c r="T192" s="551"/>
      <c r="U192" s="551"/>
      <c r="V192" s="551"/>
      <c r="W192" s="551"/>
      <c r="X192" s="551"/>
      <c r="Y192" s="551"/>
      <c r="Z192" s="551"/>
      <c r="AA192" s="551"/>
      <c r="AB192" s="551"/>
      <c r="AC192" s="551"/>
      <c r="AD192" s="551"/>
      <c r="AE192" s="551"/>
      <c r="AF192" s="551"/>
      <c r="AG192" s="551"/>
      <c r="AH192" s="551"/>
      <c r="AI192" s="551"/>
      <c r="AJ192" s="551"/>
      <c r="AK192" s="551"/>
      <c r="AL192" s="551"/>
      <c r="AM192" s="551"/>
      <c r="AN192" s="551"/>
      <c r="AO192" s="551"/>
      <c r="AP192" s="551"/>
      <c r="AQ192" s="551"/>
      <c r="AR192" s="551"/>
      <c r="AS192" s="551"/>
      <c r="AT192" s="551"/>
      <c r="AU192" s="551"/>
      <c r="AV192" s="551"/>
      <c r="AW192" s="551"/>
      <c r="AX192" s="551"/>
      <c r="AY192" s="551"/>
      <c r="AZ192" s="551"/>
      <c r="BA192" s="551"/>
      <c r="BB192" s="551"/>
      <c r="BC192" s="551"/>
      <c r="BD192" s="551"/>
      <c r="BE192" s="551"/>
      <c r="BF192" s="551"/>
      <c r="BG192" s="551"/>
      <c r="BH192" s="551"/>
      <c r="BI192" s="551"/>
      <c r="BJ192" s="551"/>
      <c r="BK192" s="551"/>
    </row>
    <row r="193" spans="1:63" ht="12.75" customHeight="1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1"/>
      <c r="P193" s="551"/>
      <c r="Q193" s="551"/>
      <c r="R193" s="551"/>
      <c r="S193" s="551"/>
      <c r="T193" s="551"/>
      <c r="U193" s="551"/>
      <c r="V193" s="551"/>
      <c r="W193" s="551"/>
      <c r="X193" s="551"/>
      <c r="Y193" s="551"/>
      <c r="Z193" s="551"/>
      <c r="AA193" s="551"/>
      <c r="AB193" s="551"/>
      <c r="AC193" s="551"/>
      <c r="AD193" s="551"/>
      <c r="AE193" s="551"/>
      <c r="AF193" s="551"/>
      <c r="AG193" s="551"/>
      <c r="AH193" s="551"/>
      <c r="AI193" s="551"/>
      <c r="AJ193" s="551"/>
      <c r="AK193" s="551"/>
      <c r="AL193" s="551"/>
      <c r="AM193" s="551"/>
      <c r="AN193" s="551"/>
      <c r="AO193" s="551"/>
      <c r="AP193" s="551"/>
      <c r="AQ193" s="551"/>
      <c r="AR193" s="551"/>
      <c r="AS193" s="551"/>
      <c r="AT193" s="551"/>
      <c r="AU193" s="551"/>
      <c r="AV193" s="551"/>
      <c r="AW193" s="551"/>
      <c r="AX193" s="551"/>
      <c r="AY193" s="551"/>
      <c r="AZ193" s="551"/>
      <c r="BA193" s="551"/>
      <c r="BB193" s="551"/>
      <c r="BC193" s="551"/>
      <c r="BD193" s="551"/>
      <c r="BE193" s="551"/>
      <c r="BF193" s="551"/>
      <c r="BG193" s="551"/>
      <c r="BH193" s="551"/>
      <c r="BI193" s="551"/>
      <c r="BJ193" s="551"/>
      <c r="BK193" s="551"/>
    </row>
    <row r="194" spans="1:63" ht="12.75" customHeight="1">
      <c r="A194" s="551"/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51"/>
      <c r="AB194" s="551"/>
      <c r="AC194" s="551"/>
      <c r="AD194" s="551"/>
      <c r="AE194" s="551"/>
      <c r="AF194" s="551"/>
      <c r="AG194" s="551"/>
      <c r="AH194" s="551"/>
      <c r="AI194" s="551"/>
      <c r="AJ194" s="551"/>
      <c r="AK194" s="551"/>
      <c r="AL194" s="551"/>
      <c r="AM194" s="551"/>
      <c r="AN194" s="551"/>
      <c r="AO194" s="551"/>
      <c r="AP194" s="551"/>
      <c r="AQ194" s="551"/>
      <c r="AR194" s="551"/>
      <c r="AS194" s="551"/>
      <c r="AT194" s="551"/>
      <c r="AU194" s="551"/>
      <c r="AV194" s="551"/>
      <c r="AW194" s="551"/>
      <c r="AX194" s="551"/>
      <c r="AY194" s="551"/>
      <c r="AZ194" s="551"/>
      <c r="BA194" s="551"/>
      <c r="BB194" s="551"/>
      <c r="BC194" s="551"/>
      <c r="BD194" s="551"/>
      <c r="BE194" s="551"/>
      <c r="BF194" s="551"/>
      <c r="BG194" s="551"/>
      <c r="BH194" s="551"/>
      <c r="BI194" s="551"/>
      <c r="BJ194" s="551"/>
      <c r="BK194" s="551"/>
    </row>
    <row r="195" spans="1:63" ht="12.75" customHeight="1">
      <c r="A195" s="551"/>
      <c r="B195" s="551"/>
      <c r="C195" s="551"/>
      <c r="D195" s="551"/>
      <c r="E195" s="551"/>
      <c r="F195" s="551"/>
      <c r="G195" s="551"/>
      <c r="H195" s="551"/>
      <c r="I195" s="551"/>
      <c r="J195" s="551"/>
      <c r="K195" s="551"/>
      <c r="L195" s="551"/>
      <c r="M195" s="551"/>
      <c r="N195" s="551"/>
      <c r="O195" s="551"/>
      <c r="P195" s="551"/>
      <c r="Q195" s="551"/>
      <c r="R195" s="551"/>
      <c r="S195" s="551"/>
      <c r="T195" s="551"/>
      <c r="U195" s="551"/>
      <c r="V195" s="551"/>
      <c r="W195" s="551"/>
      <c r="X195" s="551"/>
      <c r="Y195" s="551"/>
      <c r="Z195" s="551"/>
      <c r="AA195" s="551"/>
      <c r="AB195" s="551"/>
      <c r="AC195" s="551"/>
      <c r="AD195" s="551"/>
      <c r="AE195" s="551"/>
      <c r="AF195" s="551"/>
      <c r="AG195" s="551"/>
      <c r="AH195" s="551"/>
      <c r="AI195" s="551"/>
      <c r="AJ195" s="551"/>
      <c r="AK195" s="551"/>
      <c r="AL195" s="551"/>
      <c r="AM195" s="551"/>
      <c r="AN195" s="551"/>
      <c r="AO195" s="551"/>
      <c r="AP195" s="551"/>
      <c r="AQ195" s="551"/>
      <c r="AR195" s="551"/>
      <c r="AS195" s="551"/>
      <c r="AT195" s="551"/>
      <c r="AU195" s="551"/>
      <c r="AV195" s="551"/>
      <c r="AW195" s="551"/>
      <c r="AX195" s="551"/>
      <c r="AY195" s="551"/>
      <c r="AZ195" s="551"/>
      <c r="BA195" s="551"/>
      <c r="BB195" s="551"/>
      <c r="BC195" s="551"/>
      <c r="BD195" s="551"/>
      <c r="BE195" s="551"/>
      <c r="BF195" s="551"/>
      <c r="BG195" s="551"/>
      <c r="BH195" s="551"/>
      <c r="BI195" s="551"/>
      <c r="BJ195" s="551"/>
      <c r="BK195" s="551"/>
    </row>
    <row r="196" spans="1:63" ht="12.75" customHeight="1">
      <c r="A196" s="551"/>
      <c r="B196" s="551"/>
      <c r="C196" s="551"/>
      <c r="D196" s="551"/>
      <c r="E196" s="551"/>
      <c r="F196" s="551"/>
      <c r="G196" s="551"/>
      <c r="H196" s="551"/>
      <c r="I196" s="551"/>
      <c r="J196" s="551"/>
      <c r="K196" s="551"/>
      <c r="L196" s="551"/>
      <c r="M196" s="551"/>
      <c r="N196" s="551"/>
      <c r="O196" s="551"/>
      <c r="P196" s="551"/>
      <c r="Q196" s="551"/>
      <c r="R196" s="551"/>
      <c r="S196" s="551"/>
      <c r="T196" s="551"/>
      <c r="U196" s="551"/>
      <c r="V196" s="551"/>
      <c r="W196" s="551"/>
      <c r="X196" s="551"/>
      <c r="Y196" s="551"/>
      <c r="Z196" s="551"/>
      <c r="AA196" s="551"/>
      <c r="AB196" s="551"/>
      <c r="AC196" s="551"/>
      <c r="AD196" s="551"/>
      <c r="AE196" s="551"/>
      <c r="AF196" s="551"/>
      <c r="AG196" s="551"/>
      <c r="AH196" s="551"/>
      <c r="AI196" s="551"/>
      <c r="AJ196" s="551"/>
      <c r="AK196" s="551"/>
      <c r="AL196" s="551"/>
      <c r="AM196" s="551"/>
      <c r="AN196" s="551"/>
      <c r="AO196" s="551"/>
      <c r="AP196" s="551"/>
      <c r="AQ196" s="551"/>
      <c r="AR196" s="551"/>
      <c r="AS196" s="551"/>
      <c r="AT196" s="551"/>
      <c r="AU196" s="551"/>
      <c r="AV196" s="551"/>
      <c r="AW196" s="551"/>
      <c r="AX196" s="551"/>
      <c r="AY196" s="551"/>
      <c r="AZ196" s="551"/>
      <c r="BA196" s="551"/>
      <c r="BB196" s="551"/>
      <c r="BC196" s="551"/>
      <c r="BD196" s="551"/>
      <c r="BE196" s="551"/>
      <c r="BF196" s="551"/>
      <c r="BG196" s="551"/>
      <c r="BH196" s="551"/>
      <c r="BI196" s="551"/>
      <c r="BJ196" s="551"/>
      <c r="BK196" s="551"/>
    </row>
    <row r="197" spans="1:63" ht="12.75" customHeight="1">
      <c r="A197" s="551"/>
      <c r="B197" s="551"/>
      <c r="C197" s="551"/>
      <c r="D197" s="551"/>
      <c r="E197" s="551"/>
      <c r="F197" s="551"/>
      <c r="G197" s="551"/>
      <c r="H197" s="551"/>
      <c r="I197" s="551"/>
      <c r="J197" s="551"/>
      <c r="K197" s="551"/>
      <c r="L197" s="551"/>
      <c r="M197" s="551"/>
      <c r="N197" s="551"/>
      <c r="O197" s="551"/>
      <c r="P197" s="551"/>
      <c r="Q197" s="551"/>
      <c r="R197" s="551"/>
      <c r="S197" s="551"/>
      <c r="T197" s="551"/>
      <c r="U197" s="551"/>
      <c r="V197" s="551"/>
      <c r="W197" s="551"/>
      <c r="X197" s="551"/>
      <c r="Y197" s="551"/>
      <c r="Z197" s="551"/>
      <c r="AA197" s="551"/>
      <c r="AB197" s="551"/>
      <c r="AC197" s="551"/>
      <c r="AD197" s="551"/>
      <c r="AE197" s="551"/>
      <c r="AF197" s="551"/>
      <c r="AG197" s="551"/>
      <c r="AH197" s="551"/>
      <c r="AI197" s="551"/>
      <c r="AJ197" s="551"/>
      <c r="AK197" s="551"/>
      <c r="AL197" s="551"/>
      <c r="AM197" s="551"/>
      <c r="AN197" s="551"/>
      <c r="AO197" s="551"/>
      <c r="AP197" s="551"/>
      <c r="AQ197" s="551"/>
      <c r="AR197" s="551"/>
      <c r="AS197" s="551"/>
      <c r="AT197" s="551"/>
      <c r="AU197" s="551"/>
      <c r="AV197" s="551"/>
      <c r="AW197" s="551"/>
      <c r="AX197" s="551"/>
      <c r="AY197" s="551"/>
      <c r="AZ197" s="551"/>
      <c r="BA197" s="551"/>
      <c r="BB197" s="551"/>
      <c r="BC197" s="551"/>
      <c r="BD197" s="551"/>
      <c r="BE197" s="551"/>
      <c r="BF197" s="551"/>
      <c r="BG197" s="551"/>
      <c r="BH197" s="551"/>
      <c r="BI197" s="551"/>
      <c r="BJ197" s="551"/>
      <c r="BK197" s="551"/>
    </row>
    <row r="198" spans="1:63" ht="12.75" customHeight="1">
      <c r="A198" s="551"/>
      <c r="B198" s="551"/>
      <c r="C198" s="551"/>
      <c r="D198" s="551"/>
      <c r="E198" s="551"/>
      <c r="F198" s="551"/>
      <c r="G198" s="551"/>
      <c r="H198" s="551"/>
      <c r="I198" s="551"/>
      <c r="J198" s="551"/>
      <c r="K198" s="551"/>
      <c r="L198" s="551"/>
      <c r="M198" s="551"/>
      <c r="N198" s="551"/>
      <c r="O198" s="551"/>
      <c r="P198" s="551"/>
      <c r="Q198" s="551"/>
      <c r="R198" s="551"/>
      <c r="S198" s="551"/>
      <c r="T198" s="551"/>
      <c r="U198" s="551"/>
      <c r="V198" s="551"/>
      <c r="W198" s="551"/>
      <c r="X198" s="551"/>
      <c r="Y198" s="551"/>
      <c r="Z198" s="551"/>
      <c r="AA198" s="551"/>
      <c r="AB198" s="551"/>
      <c r="AC198" s="551"/>
      <c r="AD198" s="551"/>
      <c r="AE198" s="551"/>
      <c r="AF198" s="551"/>
      <c r="AG198" s="551"/>
      <c r="AH198" s="551"/>
      <c r="AI198" s="551"/>
      <c r="AJ198" s="551"/>
      <c r="AK198" s="551"/>
      <c r="AL198" s="551"/>
      <c r="AM198" s="551"/>
      <c r="AN198" s="551"/>
      <c r="AO198" s="551"/>
      <c r="AP198" s="551"/>
      <c r="AQ198" s="551"/>
      <c r="AR198" s="551"/>
      <c r="AS198" s="551"/>
      <c r="AT198" s="551"/>
      <c r="AU198" s="551"/>
      <c r="AV198" s="551"/>
      <c r="AW198" s="551"/>
      <c r="AX198" s="551"/>
      <c r="AY198" s="551"/>
      <c r="AZ198" s="551"/>
      <c r="BA198" s="551"/>
      <c r="BB198" s="551"/>
      <c r="BC198" s="551"/>
      <c r="BD198" s="551"/>
      <c r="BE198" s="551"/>
      <c r="BF198" s="551"/>
      <c r="BG198" s="551"/>
      <c r="BH198" s="551"/>
      <c r="BI198" s="551"/>
      <c r="BJ198" s="551"/>
      <c r="BK198" s="551"/>
    </row>
    <row r="199" spans="1:63" ht="12.75" customHeight="1">
      <c r="A199" s="551"/>
      <c r="B199" s="551"/>
      <c r="C199" s="551"/>
      <c r="D199" s="551"/>
      <c r="E199" s="551"/>
      <c r="F199" s="551"/>
      <c r="G199" s="551"/>
      <c r="H199" s="551"/>
      <c r="I199" s="551"/>
      <c r="J199" s="551"/>
      <c r="K199" s="551"/>
      <c r="L199" s="551"/>
      <c r="M199" s="551"/>
      <c r="N199" s="551"/>
      <c r="O199" s="551"/>
      <c r="P199" s="551"/>
      <c r="Q199" s="551"/>
      <c r="R199" s="551"/>
      <c r="S199" s="551"/>
      <c r="T199" s="551"/>
      <c r="U199" s="551"/>
      <c r="V199" s="551"/>
      <c r="W199" s="551"/>
      <c r="X199" s="551"/>
      <c r="Y199" s="551"/>
      <c r="Z199" s="551"/>
      <c r="AA199" s="551"/>
      <c r="AB199" s="551"/>
      <c r="AC199" s="551"/>
      <c r="AD199" s="551"/>
      <c r="AE199" s="551"/>
      <c r="AF199" s="551"/>
      <c r="AG199" s="551"/>
      <c r="AH199" s="551"/>
      <c r="AI199" s="551"/>
      <c r="AJ199" s="551"/>
      <c r="AK199" s="551"/>
      <c r="AL199" s="551"/>
      <c r="AM199" s="551"/>
      <c r="AN199" s="551"/>
      <c r="AO199" s="551"/>
      <c r="AP199" s="551"/>
      <c r="AQ199" s="551"/>
      <c r="AR199" s="551"/>
      <c r="AS199" s="551"/>
      <c r="AT199" s="551"/>
      <c r="AU199" s="551"/>
      <c r="AV199" s="551"/>
      <c r="AW199" s="551"/>
      <c r="AX199" s="551"/>
      <c r="AY199" s="551"/>
      <c r="AZ199" s="551"/>
      <c r="BA199" s="551"/>
      <c r="BB199" s="551"/>
      <c r="BC199" s="551"/>
      <c r="BD199" s="551"/>
      <c r="BE199" s="551"/>
      <c r="BF199" s="551"/>
      <c r="BG199" s="551"/>
      <c r="BH199" s="551"/>
      <c r="BI199" s="551"/>
      <c r="BJ199" s="551"/>
      <c r="BK199" s="551"/>
    </row>
    <row r="200" spans="1:63" ht="12.75" customHeight="1">
      <c r="A200" s="551"/>
      <c r="B200" s="551"/>
      <c r="C200" s="551"/>
      <c r="D200" s="551"/>
      <c r="E200" s="551"/>
      <c r="F200" s="551"/>
      <c r="G200" s="551"/>
      <c r="H200" s="551"/>
      <c r="I200" s="551"/>
      <c r="J200" s="551"/>
      <c r="K200" s="551"/>
      <c r="L200" s="551"/>
      <c r="M200" s="551"/>
      <c r="N200" s="551"/>
      <c r="O200" s="551"/>
      <c r="P200" s="551"/>
      <c r="Q200" s="551"/>
      <c r="R200" s="551"/>
      <c r="S200" s="551"/>
      <c r="T200" s="551"/>
      <c r="U200" s="551"/>
      <c r="V200" s="551"/>
      <c r="W200" s="551"/>
      <c r="X200" s="551"/>
      <c r="Y200" s="551"/>
      <c r="Z200" s="551"/>
      <c r="AA200" s="551"/>
      <c r="AB200" s="551"/>
      <c r="AC200" s="551"/>
      <c r="AD200" s="551"/>
      <c r="AE200" s="551"/>
      <c r="AF200" s="551"/>
      <c r="AG200" s="551"/>
      <c r="AH200" s="551"/>
      <c r="AI200" s="551"/>
      <c r="AJ200" s="551"/>
      <c r="AK200" s="551"/>
      <c r="AL200" s="551"/>
      <c r="AM200" s="551"/>
      <c r="AN200" s="551"/>
      <c r="AO200" s="551"/>
      <c r="AP200" s="551"/>
      <c r="AQ200" s="551"/>
      <c r="AR200" s="551"/>
      <c r="AS200" s="551"/>
      <c r="AT200" s="551"/>
      <c r="AU200" s="551"/>
      <c r="AV200" s="551"/>
      <c r="AW200" s="551"/>
      <c r="AX200" s="551"/>
      <c r="AY200" s="551"/>
      <c r="AZ200" s="551"/>
      <c r="BA200" s="551"/>
      <c r="BB200" s="551"/>
      <c r="BC200" s="551"/>
      <c r="BD200" s="551"/>
      <c r="BE200" s="551"/>
      <c r="BF200" s="551"/>
      <c r="BG200" s="551"/>
      <c r="BH200" s="551"/>
      <c r="BI200" s="551"/>
      <c r="BJ200" s="551"/>
      <c r="BK200" s="551"/>
    </row>
    <row r="201" spans="1:63" ht="12.75" customHeight="1">
      <c r="A201" s="551"/>
      <c r="B201" s="551"/>
      <c r="C201" s="551"/>
      <c r="D201" s="551"/>
      <c r="E201" s="551"/>
      <c r="F201" s="551"/>
      <c r="G201" s="551"/>
      <c r="H201" s="551"/>
      <c r="I201" s="551"/>
      <c r="J201" s="551"/>
      <c r="K201" s="551"/>
      <c r="L201" s="551"/>
      <c r="M201" s="551"/>
      <c r="N201" s="551"/>
      <c r="O201" s="551"/>
      <c r="P201" s="551"/>
      <c r="Q201" s="551"/>
      <c r="R201" s="551"/>
      <c r="S201" s="551"/>
      <c r="T201" s="551"/>
      <c r="U201" s="551"/>
      <c r="V201" s="551"/>
      <c r="W201" s="551"/>
      <c r="X201" s="551"/>
      <c r="Y201" s="551"/>
      <c r="Z201" s="551"/>
      <c r="AA201" s="551"/>
      <c r="AB201" s="551"/>
      <c r="AC201" s="551"/>
      <c r="AD201" s="551"/>
      <c r="AE201" s="551"/>
      <c r="AF201" s="551"/>
      <c r="AG201" s="551"/>
      <c r="AH201" s="551"/>
      <c r="AI201" s="551"/>
      <c r="AJ201" s="551"/>
      <c r="AK201" s="551"/>
      <c r="AL201" s="551"/>
      <c r="AM201" s="551"/>
      <c r="AN201" s="551"/>
      <c r="AO201" s="551"/>
      <c r="AP201" s="551"/>
      <c r="AQ201" s="551"/>
      <c r="AR201" s="551"/>
      <c r="AS201" s="551"/>
      <c r="AT201" s="551"/>
      <c r="AU201" s="551"/>
      <c r="AV201" s="551"/>
      <c r="AW201" s="551"/>
      <c r="AX201" s="551"/>
      <c r="AY201" s="551"/>
      <c r="AZ201" s="551"/>
      <c r="BA201" s="551"/>
      <c r="BB201" s="551"/>
      <c r="BC201" s="551"/>
      <c r="BD201" s="551"/>
      <c r="BE201" s="551"/>
      <c r="BF201" s="551"/>
      <c r="BG201" s="551"/>
      <c r="BH201" s="551"/>
      <c r="BI201" s="551"/>
      <c r="BJ201" s="551"/>
      <c r="BK201" s="551"/>
    </row>
    <row r="202" spans="1:63" ht="12.75" customHeight="1">
      <c r="A202" s="551"/>
      <c r="B202" s="551"/>
      <c r="C202" s="551"/>
      <c r="D202" s="551"/>
      <c r="E202" s="551"/>
      <c r="F202" s="551"/>
      <c r="G202" s="551"/>
      <c r="H202" s="551"/>
      <c r="I202" s="551"/>
      <c r="J202" s="551"/>
      <c r="K202" s="551"/>
      <c r="L202" s="551"/>
      <c r="M202" s="551"/>
      <c r="N202" s="551"/>
      <c r="O202" s="551"/>
      <c r="P202" s="551"/>
      <c r="Q202" s="551"/>
      <c r="R202" s="551"/>
      <c r="S202" s="551"/>
      <c r="T202" s="551"/>
      <c r="U202" s="551"/>
      <c r="V202" s="551"/>
      <c r="W202" s="551"/>
      <c r="X202" s="551"/>
      <c r="Y202" s="551"/>
      <c r="Z202" s="551"/>
      <c r="AA202" s="551"/>
      <c r="AB202" s="551"/>
      <c r="AC202" s="551"/>
      <c r="AD202" s="551"/>
      <c r="AE202" s="551"/>
      <c r="AF202" s="551"/>
      <c r="AG202" s="551"/>
      <c r="AH202" s="551"/>
      <c r="AI202" s="551"/>
      <c r="AJ202" s="551"/>
      <c r="AK202" s="551"/>
      <c r="AL202" s="551"/>
      <c r="AM202" s="551"/>
      <c r="AN202" s="551"/>
      <c r="AO202" s="551"/>
      <c r="AP202" s="551"/>
      <c r="AQ202" s="551"/>
      <c r="AR202" s="551"/>
      <c r="AS202" s="551"/>
      <c r="AT202" s="551"/>
      <c r="AU202" s="551"/>
      <c r="AV202" s="551"/>
      <c r="AW202" s="551"/>
      <c r="AX202" s="551"/>
      <c r="AY202" s="551"/>
      <c r="AZ202" s="551"/>
      <c r="BA202" s="551"/>
      <c r="BB202" s="551"/>
      <c r="BC202" s="551"/>
      <c r="BD202" s="551"/>
      <c r="BE202" s="551"/>
      <c r="BF202" s="551"/>
      <c r="BG202" s="551"/>
      <c r="BH202" s="551"/>
      <c r="BI202" s="551"/>
      <c r="BJ202" s="551"/>
      <c r="BK202" s="551"/>
    </row>
    <row r="203" spans="1:63" ht="12.75" customHeight="1">
      <c r="A203" s="551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1"/>
      <c r="P203" s="551"/>
      <c r="Q203" s="551"/>
      <c r="R203" s="551"/>
      <c r="S203" s="551"/>
      <c r="T203" s="551"/>
      <c r="U203" s="551"/>
      <c r="V203" s="551"/>
      <c r="W203" s="551"/>
      <c r="X203" s="551"/>
      <c r="Y203" s="551"/>
      <c r="Z203" s="551"/>
      <c r="AA203" s="551"/>
      <c r="AB203" s="551"/>
      <c r="AC203" s="551"/>
      <c r="AD203" s="551"/>
      <c r="AE203" s="551"/>
      <c r="AF203" s="551"/>
      <c r="AG203" s="551"/>
      <c r="AH203" s="551"/>
      <c r="AI203" s="551"/>
      <c r="AJ203" s="551"/>
      <c r="AK203" s="551"/>
      <c r="AL203" s="551"/>
      <c r="AM203" s="551"/>
      <c r="AN203" s="551"/>
      <c r="AO203" s="551"/>
      <c r="AP203" s="551"/>
      <c r="AQ203" s="551"/>
      <c r="AR203" s="551"/>
      <c r="AS203" s="551"/>
      <c r="AT203" s="551"/>
      <c r="AU203" s="551"/>
      <c r="AV203" s="551"/>
      <c r="AW203" s="551"/>
      <c r="AX203" s="551"/>
      <c r="AY203" s="551"/>
      <c r="AZ203" s="551"/>
      <c r="BA203" s="551"/>
      <c r="BB203" s="551"/>
      <c r="BC203" s="551"/>
      <c r="BD203" s="551"/>
      <c r="BE203" s="551"/>
      <c r="BF203" s="551"/>
      <c r="BG203" s="551"/>
      <c r="BH203" s="551"/>
      <c r="BI203" s="551"/>
      <c r="BJ203" s="551"/>
      <c r="BK203" s="551"/>
    </row>
    <row r="204" spans="1:63" ht="12.75" customHeight="1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1"/>
      <c r="P204" s="551"/>
      <c r="Q204" s="551"/>
      <c r="R204" s="551"/>
      <c r="S204" s="551"/>
      <c r="T204" s="551"/>
      <c r="U204" s="551"/>
      <c r="V204" s="551"/>
      <c r="W204" s="551"/>
      <c r="X204" s="551"/>
      <c r="Y204" s="551"/>
      <c r="Z204" s="551"/>
      <c r="AA204" s="551"/>
      <c r="AB204" s="551"/>
      <c r="AC204" s="551"/>
      <c r="AD204" s="551"/>
      <c r="AE204" s="551"/>
      <c r="AF204" s="551"/>
      <c r="AG204" s="551"/>
      <c r="AH204" s="551"/>
      <c r="AI204" s="551"/>
      <c r="AJ204" s="551"/>
      <c r="AK204" s="551"/>
      <c r="AL204" s="551"/>
      <c r="AM204" s="551"/>
      <c r="AN204" s="551"/>
      <c r="AO204" s="551"/>
      <c r="AP204" s="551"/>
      <c r="AQ204" s="551"/>
      <c r="AR204" s="551"/>
      <c r="AS204" s="551"/>
      <c r="AT204" s="551"/>
      <c r="AU204" s="551"/>
      <c r="AV204" s="551"/>
      <c r="AW204" s="551"/>
      <c r="AX204" s="551"/>
      <c r="AY204" s="551"/>
      <c r="AZ204" s="551"/>
      <c r="BA204" s="551"/>
      <c r="BB204" s="551"/>
      <c r="BC204" s="551"/>
      <c r="BD204" s="551"/>
      <c r="BE204" s="551"/>
      <c r="BF204" s="551"/>
      <c r="BG204" s="551"/>
      <c r="BH204" s="551"/>
      <c r="BI204" s="551"/>
      <c r="BJ204" s="551"/>
      <c r="BK204" s="551"/>
    </row>
    <row r="205" spans="1:63" ht="12.75" customHeight="1">
      <c r="A205" s="551"/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51"/>
      <c r="AB205" s="551"/>
      <c r="AC205" s="551"/>
      <c r="AD205" s="551"/>
      <c r="AE205" s="551"/>
      <c r="AF205" s="551"/>
      <c r="AG205" s="551"/>
      <c r="AH205" s="551"/>
      <c r="AI205" s="551"/>
      <c r="AJ205" s="551"/>
      <c r="AK205" s="551"/>
      <c r="AL205" s="551"/>
      <c r="AM205" s="551"/>
      <c r="AN205" s="551"/>
      <c r="AO205" s="551"/>
      <c r="AP205" s="551"/>
      <c r="AQ205" s="551"/>
      <c r="AR205" s="551"/>
      <c r="AS205" s="551"/>
      <c r="AT205" s="551"/>
      <c r="AU205" s="551"/>
      <c r="AV205" s="551"/>
      <c r="AW205" s="551"/>
      <c r="AX205" s="551"/>
      <c r="AY205" s="551"/>
      <c r="AZ205" s="551"/>
      <c r="BA205" s="551"/>
      <c r="BB205" s="551"/>
      <c r="BC205" s="551"/>
      <c r="BD205" s="551"/>
      <c r="BE205" s="551"/>
      <c r="BF205" s="551"/>
      <c r="BG205" s="551"/>
      <c r="BH205" s="551"/>
      <c r="BI205" s="551"/>
      <c r="BJ205" s="551"/>
      <c r="BK205" s="551"/>
    </row>
    <row r="206" spans="1:63" ht="12.75" customHeight="1">
      <c r="A206" s="551"/>
      <c r="B206" s="551"/>
      <c r="C206" s="551"/>
      <c r="D206" s="551"/>
      <c r="E206" s="551"/>
      <c r="F206" s="551"/>
      <c r="G206" s="551"/>
      <c r="H206" s="551"/>
      <c r="I206" s="551"/>
      <c r="J206" s="551"/>
      <c r="K206" s="551"/>
      <c r="L206" s="551"/>
      <c r="M206" s="551"/>
      <c r="N206" s="551"/>
      <c r="O206" s="551"/>
      <c r="P206" s="551"/>
      <c r="Q206" s="551"/>
      <c r="R206" s="551"/>
      <c r="S206" s="551"/>
      <c r="T206" s="551"/>
      <c r="U206" s="551"/>
      <c r="V206" s="551"/>
      <c r="W206" s="551"/>
      <c r="X206" s="551"/>
      <c r="Y206" s="551"/>
      <c r="Z206" s="551"/>
      <c r="AA206" s="551"/>
      <c r="AB206" s="551"/>
      <c r="AC206" s="551"/>
      <c r="AD206" s="551"/>
      <c r="AE206" s="551"/>
      <c r="AF206" s="551"/>
      <c r="AG206" s="551"/>
      <c r="AH206" s="551"/>
      <c r="AI206" s="551"/>
      <c r="AJ206" s="551"/>
      <c r="AK206" s="551"/>
      <c r="AL206" s="551"/>
      <c r="AM206" s="551"/>
      <c r="AN206" s="551"/>
      <c r="AO206" s="551"/>
      <c r="AP206" s="551"/>
      <c r="AQ206" s="551"/>
      <c r="AR206" s="551"/>
      <c r="AS206" s="551"/>
      <c r="AT206" s="551"/>
      <c r="AU206" s="551"/>
      <c r="AV206" s="551"/>
      <c r="AW206" s="551"/>
      <c r="AX206" s="551"/>
      <c r="AY206" s="551"/>
      <c r="AZ206" s="551"/>
      <c r="BA206" s="551"/>
      <c r="BB206" s="551"/>
      <c r="BC206" s="551"/>
      <c r="BD206" s="551"/>
      <c r="BE206" s="551"/>
      <c r="BF206" s="551"/>
      <c r="BG206" s="551"/>
      <c r="BH206" s="551"/>
      <c r="BI206" s="551"/>
      <c r="BJ206" s="551"/>
      <c r="BK206" s="551"/>
    </row>
    <row r="207" spans="1:63" ht="12.75" customHeight="1">
      <c r="A207" s="551"/>
      <c r="B207" s="551"/>
      <c r="C207" s="551"/>
      <c r="D207" s="551"/>
      <c r="E207" s="551"/>
      <c r="F207" s="551"/>
      <c r="G207" s="551"/>
      <c r="H207" s="551"/>
      <c r="I207" s="551"/>
      <c r="J207" s="551"/>
      <c r="K207" s="551"/>
      <c r="L207" s="551"/>
      <c r="M207" s="551"/>
      <c r="N207" s="551"/>
      <c r="O207" s="551"/>
      <c r="P207" s="551"/>
      <c r="Q207" s="551"/>
      <c r="R207" s="551"/>
      <c r="S207" s="551"/>
      <c r="T207" s="551"/>
      <c r="U207" s="551"/>
      <c r="V207" s="551"/>
      <c r="W207" s="551"/>
      <c r="X207" s="551"/>
      <c r="Y207" s="551"/>
      <c r="Z207" s="551"/>
      <c r="AA207" s="551"/>
      <c r="AB207" s="551"/>
      <c r="AC207" s="551"/>
      <c r="AD207" s="551"/>
      <c r="AE207" s="551"/>
      <c r="AF207" s="551"/>
      <c r="AG207" s="551"/>
      <c r="AH207" s="551"/>
      <c r="AI207" s="551"/>
      <c r="AJ207" s="551"/>
      <c r="AK207" s="551"/>
      <c r="AL207" s="551"/>
      <c r="AM207" s="551"/>
      <c r="AN207" s="551"/>
      <c r="AO207" s="551"/>
      <c r="AP207" s="551"/>
      <c r="AQ207" s="551"/>
      <c r="AR207" s="551"/>
      <c r="AS207" s="551"/>
      <c r="AT207" s="551"/>
      <c r="AU207" s="551"/>
      <c r="AV207" s="551"/>
      <c r="AW207" s="551"/>
      <c r="AX207" s="551"/>
      <c r="AY207" s="551"/>
      <c r="AZ207" s="551"/>
      <c r="BA207" s="551"/>
      <c r="BB207" s="551"/>
      <c r="BC207" s="551"/>
      <c r="BD207" s="551"/>
      <c r="BE207" s="551"/>
      <c r="BF207" s="551"/>
      <c r="BG207" s="551"/>
      <c r="BH207" s="551"/>
      <c r="BI207" s="551"/>
      <c r="BJ207" s="551"/>
      <c r="BK207" s="551"/>
    </row>
    <row r="208" spans="1:63" ht="12.75" customHeight="1">
      <c r="A208" s="551"/>
      <c r="B208" s="551"/>
      <c r="C208" s="551"/>
      <c r="D208" s="551"/>
      <c r="E208" s="551"/>
      <c r="F208" s="551"/>
      <c r="G208" s="551"/>
      <c r="H208" s="551"/>
      <c r="I208" s="551"/>
      <c r="J208" s="551"/>
      <c r="K208" s="551"/>
      <c r="L208" s="551"/>
      <c r="M208" s="551"/>
      <c r="N208" s="551"/>
      <c r="O208" s="551"/>
      <c r="P208" s="551"/>
      <c r="Q208" s="551"/>
      <c r="R208" s="551"/>
      <c r="S208" s="551"/>
      <c r="T208" s="551"/>
      <c r="U208" s="551"/>
      <c r="V208" s="551"/>
      <c r="W208" s="551"/>
      <c r="X208" s="551"/>
      <c r="Y208" s="551"/>
      <c r="Z208" s="551"/>
      <c r="AA208" s="551"/>
      <c r="AB208" s="551"/>
      <c r="AC208" s="551"/>
      <c r="AD208" s="551"/>
      <c r="AE208" s="551"/>
      <c r="AF208" s="551"/>
      <c r="AG208" s="551"/>
      <c r="AH208" s="551"/>
      <c r="AI208" s="551"/>
      <c r="AJ208" s="551"/>
      <c r="AK208" s="551"/>
      <c r="AL208" s="551"/>
      <c r="AM208" s="551"/>
      <c r="AN208" s="551"/>
      <c r="AO208" s="551"/>
      <c r="AP208" s="551"/>
      <c r="AQ208" s="551"/>
      <c r="AR208" s="551"/>
      <c r="AS208" s="551"/>
      <c r="AT208" s="551"/>
      <c r="AU208" s="551"/>
      <c r="AV208" s="551"/>
      <c r="AW208" s="551"/>
      <c r="AX208" s="551"/>
      <c r="AY208" s="551"/>
      <c r="AZ208" s="551"/>
      <c r="BA208" s="551"/>
      <c r="BB208" s="551"/>
      <c r="BC208" s="551"/>
      <c r="BD208" s="551"/>
      <c r="BE208" s="551"/>
      <c r="BF208" s="551"/>
      <c r="BG208" s="551"/>
      <c r="BH208" s="551"/>
      <c r="BI208" s="551"/>
      <c r="BJ208" s="551"/>
      <c r="BK208" s="551"/>
    </row>
    <row r="209" spans="1:63" ht="12.75" customHeight="1">
      <c r="A209" s="551"/>
      <c r="B209" s="551"/>
      <c r="C209" s="551"/>
      <c r="D209" s="551"/>
      <c r="E209" s="551"/>
      <c r="F209" s="551"/>
      <c r="G209" s="551"/>
      <c r="H209" s="551"/>
      <c r="I209" s="551"/>
      <c r="J209" s="551"/>
      <c r="K209" s="551"/>
      <c r="L209" s="551"/>
      <c r="M209" s="551"/>
      <c r="N209" s="551"/>
      <c r="O209" s="551"/>
      <c r="P209" s="551"/>
      <c r="Q209" s="551"/>
      <c r="R209" s="551"/>
      <c r="S209" s="551"/>
      <c r="T209" s="551"/>
      <c r="U209" s="551"/>
      <c r="V209" s="551"/>
      <c r="W209" s="551"/>
      <c r="X209" s="551"/>
      <c r="Y209" s="551"/>
      <c r="Z209" s="551"/>
      <c r="AA209" s="551"/>
      <c r="AB209" s="551"/>
      <c r="AC209" s="551"/>
      <c r="AD209" s="551"/>
      <c r="AE209" s="551"/>
      <c r="AF209" s="551"/>
      <c r="AG209" s="551"/>
      <c r="AH209" s="551"/>
      <c r="AI209" s="551"/>
      <c r="AJ209" s="551"/>
      <c r="AK209" s="551"/>
      <c r="AL209" s="551"/>
      <c r="AM209" s="551"/>
      <c r="AN209" s="551"/>
      <c r="AO209" s="551"/>
      <c r="AP209" s="551"/>
      <c r="AQ209" s="551"/>
      <c r="AR209" s="551"/>
      <c r="AS209" s="551"/>
      <c r="AT209" s="551"/>
      <c r="AU209" s="551"/>
      <c r="AV209" s="551"/>
      <c r="AW209" s="551"/>
      <c r="AX209" s="551"/>
      <c r="AY209" s="551"/>
      <c r="AZ209" s="551"/>
      <c r="BA209" s="551"/>
      <c r="BB209" s="551"/>
      <c r="BC209" s="551"/>
      <c r="BD209" s="551"/>
      <c r="BE209" s="551"/>
      <c r="BF209" s="551"/>
      <c r="BG209" s="551"/>
      <c r="BH209" s="551"/>
      <c r="BI209" s="551"/>
      <c r="BJ209" s="551"/>
      <c r="BK209" s="551"/>
    </row>
    <row r="210" spans="1:63" ht="12.75" customHeight="1">
      <c r="A210" s="551"/>
      <c r="B210" s="551"/>
      <c r="C210" s="551"/>
      <c r="D210" s="551"/>
      <c r="E210" s="551"/>
      <c r="F210" s="551"/>
      <c r="G210" s="551"/>
      <c r="H210" s="551"/>
      <c r="I210" s="551"/>
      <c r="J210" s="551"/>
      <c r="K210" s="551"/>
      <c r="L210" s="551"/>
      <c r="M210" s="551"/>
      <c r="N210" s="551"/>
      <c r="O210" s="551"/>
      <c r="P210" s="551"/>
      <c r="Q210" s="551"/>
      <c r="R210" s="551"/>
      <c r="S210" s="551"/>
      <c r="T210" s="551"/>
      <c r="U210" s="551"/>
      <c r="V210" s="551"/>
      <c r="W210" s="551"/>
      <c r="X210" s="551"/>
      <c r="Y210" s="551"/>
      <c r="Z210" s="551"/>
      <c r="AA210" s="551"/>
      <c r="AB210" s="551"/>
      <c r="AC210" s="551"/>
      <c r="AD210" s="551"/>
      <c r="AE210" s="551"/>
      <c r="AF210" s="551"/>
      <c r="AG210" s="551"/>
      <c r="AH210" s="551"/>
      <c r="AI210" s="551"/>
      <c r="AJ210" s="551"/>
      <c r="AK210" s="551"/>
      <c r="AL210" s="551"/>
      <c r="AM210" s="551"/>
      <c r="AN210" s="551"/>
      <c r="AO210" s="551"/>
      <c r="AP210" s="551"/>
      <c r="AQ210" s="551"/>
      <c r="AR210" s="551"/>
      <c r="AS210" s="551"/>
      <c r="AT210" s="551"/>
      <c r="AU210" s="551"/>
      <c r="AV210" s="551"/>
      <c r="AW210" s="551"/>
      <c r="AX210" s="551"/>
      <c r="AY210" s="551"/>
      <c r="AZ210" s="551"/>
      <c r="BA210" s="551"/>
      <c r="BB210" s="551"/>
      <c r="BC210" s="551"/>
      <c r="BD210" s="551"/>
      <c r="BE210" s="551"/>
      <c r="BF210" s="551"/>
      <c r="BG210" s="551"/>
      <c r="BH210" s="551"/>
      <c r="BI210" s="551"/>
      <c r="BJ210" s="551"/>
      <c r="BK210" s="551"/>
    </row>
    <row r="211" spans="1:63" ht="12.75" customHeight="1">
      <c r="A211" s="551"/>
      <c r="B211" s="551"/>
      <c r="C211" s="551"/>
      <c r="D211" s="551"/>
      <c r="E211" s="551"/>
      <c r="F211" s="551"/>
      <c r="G211" s="551"/>
      <c r="H211" s="551"/>
      <c r="I211" s="551"/>
      <c r="J211" s="551"/>
      <c r="K211" s="551"/>
      <c r="L211" s="551"/>
      <c r="M211" s="551"/>
      <c r="N211" s="551"/>
      <c r="O211" s="551"/>
      <c r="P211" s="551"/>
      <c r="Q211" s="551"/>
      <c r="R211" s="551"/>
      <c r="S211" s="551"/>
      <c r="T211" s="551"/>
      <c r="U211" s="551"/>
      <c r="V211" s="551"/>
      <c r="W211" s="551"/>
      <c r="X211" s="551"/>
      <c r="Y211" s="551"/>
      <c r="Z211" s="551"/>
      <c r="AA211" s="551"/>
      <c r="AB211" s="551"/>
      <c r="AC211" s="551"/>
      <c r="AD211" s="551"/>
      <c r="AE211" s="551"/>
      <c r="AF211" s="551"/>
      <c r="AG211" s="551"/>
      <c r="AH211" s="551"/>
      <c r="AI211" s="551"/>
      <c r="AJ211" s="551"/>
      <c r="AK211" s="551"/>
      <c r="AL211" s="551"/>
      <c r="AM211" s="551"/>
      <c r="AN211" s="551"/>
      <c r="AO211" s="551"/>
      <c r="AP211" s="551"/>
      <c r="AQ211" s="551"/>
      <c r="AR211" s="551"/>
      <c r="AS211" s="551"/>
      <c r="AT211" s="551"/>
      <c r="AU211" s="551"/>
      <c r="AV211" s="551"/>
      <c r="AW211" s="551"/>
      <c r="AX211" s="551"/>
      <c r="AY211" s="551"/>
      <c r="AZ211" s="551"/>
      <c r="BA211" s="551"/>
      <c r="BB211" s="551"/>
      <c r="BC211" s="551"/>
      <c r="BD211" s="551"/>
      <c r="BE211" s="551"/>
      <c r="BF211" s="551"/>
      <c r="BG211" s="551"/>
      <c r="BH211" s="551"/>
      <c r="BI211" s="551"/>
      <c r="BJ211" s="551"/>
      <c r="BK211" s="551"/>
    </row>
    <row r="212" spans="1:63" ht="12.75" customHeight="1">
      <c r="A212" s="551"/>
      <c r="B212" s="551"/>
      <c r="C212" s="551"/>
      <c r="D212" s="551"/>
      <c r="E212" s="551"/>
      <c r="F212" s="551"/>
      <c r="G212" s="551"/>
      <c r="H212" s="551"/>
      <c r="I212" s="551"/>
      <c r="J212" s="551"/>
      <c r="K212" s="551"/>
      <c r="L212" s="551"/>
      <c r="M212" s="551"/>
      <c r="N212" s="551"/>
      <c r="O212" s="551"/>
      <c r="P212" s="551"/>
      <c r="Q212" s="551"/>
      <c r="R212" s="551"/>
      <c r="S212" s="551"/>
      <c r="T212" s="551"/>
      <c r="U212" s="551"/>
      <c r="V212" s="551"/>
      <c r="W212" s="551"/>
      <c r="X212" s="551"/>
      <c r="Y212" s="551"/>
      <c r="Z212" s="551"/>
      <c r="AA212" s="551"/>
      <c r="AB212" s="551"/>
      <c r="AC212" s="551"/>
      <c r="AD212" s="551"/>
      <c r="AE212" s="551"/>
      <c r="AF212" s="551"/>
      <c r="AG212" s="551"/>
      <c r="AH212" s="551"/>
      <c r="AI212" s="551"/>
      <c r="AJ212" s="551"/>
      <c r="AK212" s="551"/>
      <c r="AL212" s="551"/>
      <c r="AM212" s="551"/>
      <c r="AN212" s="551"/>
      <c r="AO212" s="551"/>
      <c r="AP212" s="551"/>
      <c r="AQ212" s="551"/>
      <c r="AR212" s="551"/>
      <c r="AS212" s="551"/>
      <c r="AT212" s="551"/>
      <c r="AU212" s="551"/>
      <c r="AV212" s="551"/>
      <c r="AW212" s="551"/>
      <c r="AX212" s="551"/>
      <c r="AY212" s="551"/>
      <c r="AZ212" s="551"/>
      <c r="BA212" s="551"/>
      <c r="BB212" s="551"/>
      <c r="BC212" s="551"/>
      <c r="BD212" s="551"/>
      <c r="BE212" s="551"/>
      <c r="BF212" s="551"/>
      <c r="BG212" s="551"/>
      <c r="BH212" s="551"/>
      <c r="BI212" s="551"/>
      <c r="BJ212" s="551"/>
      <c r="BK212" s="551"/>
    </row>
    <row r="213" spans="1:63" ht="12.75" customHeight="1">
      <c r="A213" s="551"/>
      <c r="B213" s="551"/>
      <c r="C213" s="551"/>
      <c r="D213" s="551"/>
      <c r="E213" s="551"/>
      <c r="F213" s="551"/>
      <c r="G213" s="551"/>
      <c r="H213" s="551"/>
      <c r="I213" s="551"/>
      <c r="J213" s="551"/>
      <c r="K213" s="551"/>
      <c r="L213" s="551"/>
      <c r="M213" s="551"/>
      <c r="N213" s="551"/>
      <c r="O213" s="551"/>
      <c r="P213" s="551"/>
      <c r="Q213" s="551"/>
      <c r="R213" s="551"/>
      <c r="S213" s="551"/>
      <c r="T213" s="551"/>
      <c r="U213" s="551"/>
      <c r="V213" s="551"/>
      <c r="W213" s="551"/>
      <c r="X213" s="551"/>
      <c r="Y213" s="551"/>
      <c r="Z213" s="551"/>
      <c r="AA213" s="551"/>
      <c r="AB213" s="551"/>
      <c r="AC213" s="551"/>
      <c r="AD213" s="551"/>
      <c r="AE213" s="551"/>
      <c r="AF213" s="551"/>
      <c r="AG213" s="551"/>
      <c r="AH213" s="551"/>
      <c r="AI213" s="551"/>
      <c r="AJ213" s="551"/>
      <c r="AK213" s="551"/>
      <c r="AL213" s="551"/>
      <c r="AM213" s="551"/>
      <c r="AN213" s="551"/>
      <c r="AO213" s="551"/>
      <c r="AP213" s="551"/>
      <c r="AQ213" s="551"/>
      <c r="AR213" s="551"/>
      <c r="AS213" s="551"/>
      <c r="AT213" s="551"/>
      <c r="AU213" s="551"/>
      <c r="AV213" s="551"/>
      <c r="AW213" s="551"/>
      <c r="AX213" s="551"/>
      <c r="AY213" s="551"/>
      <c r="AZ213" s="551"/>
      <c r="BA213" s="551"/>
      <c r="BB213" s="551"/>
      <c r="BC213" s="551"/>
      <c r="BD213" s="551"/>
      <c r="BE213" s="551"/>
      <c r="BF213" s="551"/>
      <c r="BG213" s="551"/>
      <c r="BH213" s="551"/>
      <c r="BI213" s="551"/>
      <c r="BJ213" s="551"/>
      <c r="BK213" s="551"/>
    </row>
    <row r="214" spans="1:63" ht="12.75" customHeight="1">
      <c r="A214" s="551"/>
      <c r="B214" s="551"/>
      <c r="C214" s="551"/>
      <c r="D214" s="551"/>
      <c r="E214" s="551"/>
      <c r="F214" s="551"/>
      <c r="G214" s="551"/>
      <c r="H214" s="551"/>
      <c r="I214" s="551"/>
      <c r="J214" s="551"/>
      <c r="K214" s="551"/>
      <c r="L214" s="551"/>
      <c r="M214" s="551"/>
      <c r="N214" s="551"/>
      <c r="O214" s="551"/>
      <c r="P214" s="551"/>
      <c r="Q214" s="551"/>
      <c r="R214" s="551"/>
      <c r="S214" s="551"/>
      <c r="T214" s="551"/>
      <c r="U214" s="551"/>
      <c r="V214" s="551"/>
      <c r="W214" s="551"/>
      <c r="X214" s="551"/>
      <c r="Y214" s="551"/>
      <c r="Z214" s="551"/>
      <c r="AA214" s="551"/>
      <c r="AB214" s="551"/>
      <c r="AC214" s="551"/>
      <c r="AD214" s="551"/>
      <c r="AE214" s="551"/>
      <c r="AF214" s="551"/>
      <c r="AG214" s="551"/>
      <c r="AH214" s="551"/>
      <c r="AI214" s="551"/>
      <c r="AJ214" s="551"/>
      <c r="AK214" s="551"/>
      <c r="AL214" s="551"/>
      <c r="AM214" s="551"/>
      <c r="AN214" s="551"/>
      <c r="AO214" s="551"/>
      <c r="AP214" s="551"/>
      <c r="AQ214" s="551"/>
      <c r="AR214" s="551"/>
      <c r="AS214" s="551"/>
      <c r="AT214" s="551"/>
      <c r="AU214" s="551"/>
      <c r="AV214" s="551"/>
      <c r="AW214" s="551"/>
      <c r="AX214" s="551"/>
      <c r="AY214" s="551"/>
      <c r="AZ214" s="551"/>
      <c r="BA214" s="551"/>
      <c r="BB214" s="551"/>
      <c r="BC214" s="551"/>
      <c r="BD214" s="551"/>
      <c r="BE214" s="551"/>
      <c r="BF214" s="551"/>
      <c r="BG214" s="551"/>
      <c r="BH214" s="551"/>
      <c r="BI214" s="551"/>
      <c r="BJ214" s="551"/>
      <c r="BK214" s="551"/>
    </row>
    <row r="215" spans="1:63" ht="12.75" customHeight="1">
      <c r="A215" s="551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1"/>
      <c r="P215" s="551"/>
      <c r="Q215" s="551"/>
      <c r="R215" s="551"/>
      <c r="S215" s="551"/>
      <c r="T215" s="551"/>
      <c r="U215" s="551"/>
      <c r="V215" s="551"/>
      <c r="W215" s="551"/>
      <c r="X215" s="551"/>
      <c r="Y215" s="551"/>
      <c r="Z215" s="551"/>
      <c r="AA215" s="551"/>
      <c r="AB215" s="551"/>
      <c r="AC215" s="551"/>
      <c r="AD215" s="551"/>
      <c r="AE215" s="551"/>
      <c r="AF215" s="551"/>
      <c r="AG215" s="551"/>
      <c r="AH215" s="551"/>
      <c r="AI215" s="551"/>
      <c r="AJ215" s="551"/>
      <c r="AK215" s="551"/>
      <c r="AL215" s="551"/>
      <c r="AM215" s="551"/>
      <c r="AN215" s="551"/>
      <c r="AO215" s="551"/>
      <c r="AP215" s="551"/>
      <c r="AQ215" s="551"/>
      <c r="AR215" s="551"/>
      <c r="AS215" s="551"/>
      <c r="AT215" s="551"/>
      <c r="AU215" s="551"/>
      <c r="AV215" s="551"/>
      <c r="AW215" s="551"/>
      <c r="AX215" s="551"/>
      <c r="AY215" s="551"/>
      <c r="AZ215" s="551"/>
      <c r="BA215" s="551"/>
      <c r="BB215" s="551"/>
      <c r="BC215" s="551"/>
      <c r="BD215" s="551"/>
      <c r="BE215" s="551"/>
      <c r="BF215" s="551"/>
      <c r="BG215" s="551"/>
      <c r="BH215" s="551"/>
      <c r="BI215" s="551"/>
      <c r="BJ215" s="551"/>
      <c r="BK215" s="551"/>
    </row>
    <row r="216" spans="1:63" ht="12.75" customHeight="1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1"/>
      <c r="P216" s="551"/>
      <c r="Q216" s="551"/>
      <c r="R216" s="551"/>
      <c r="S216" s="551"/>
      <c r="T216" s="551"/>
      <c r="U216" s="551"/>
      <c r="V216" s="551"/>
      <c r="W216" s="551"/>
      <c r="X216" s="551"/>
      <c r="Y216" s="551"/>
      <c r="Z216" s="551"/>
      <c r="AA216" s="551"/>
      <c r="AB216" s="551"/>
      <c r="AC216" s="551"/>
      <c r="AD216" s="551"/>
      <c r="AE216" s="551"/>
      <c r="AF216" s="551"/>
      <c r="AG216" s="551"/>
      <c r="AH216" s="551"/>
      <c r="AI216" s="551"/>
      <c r="AJ216" s="551"/>
      <c r="AK216" s="551"/>
      <c r="AL216" s="551"/>
      <c r="AM216" s="551"/>
      <c r="AN216" s="551"/>
      <c r="AO216" s="551"/>
      <c r="AP216" s="551"/>
      <c r="AQ216" s="551"/>
      <c r="AR216" s="551"/>
      <c r="AS216" s="551"/>
      <c r="AT216" s="551"/>
      <c r="AU216" s="551"/>
      <c r="AV216" s="551"/>
      <c r="AW216" s="551"/>
      <c r="AX216" s="551"/>
      <c r="AY216" s="551"/>
      <c r="AZ216" s="551"/>
      <c r="BA216" s="551"/>
      <c r="BB216" s="551"/>
      <c r="BC216" s="551"/>
      <c r="BD216" s="551"/>
      <c r="BE216" s="551"/>
      <c r="BF216" s="551"/>
      <c r="BG216" s="551"/>
      <c r="BH216" s="551"/>
      <c r="BI216" s="551"/>
      <c r="BJ216" s="551"/>
      <c r="BK216" s="551"/>
    </row>
    <row r="217" spans="1:63" ht="12.75" customHeight="1">
      <c r="A217" s="551"/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51"/>
      <c r="AB217" s="551"/>
      <c r="AC217" s="551"/>
      <c r="AD217" s="551"/>
      <c r="AE217" s="551"/>
      <c r="AF217" s="551"/>
      <c r="AG217" s="551"/>
      <c r="AH217" s="551"/>
      <c r="AI217" s="551"/>
      <c r="AJ217" s="551"/>
      <c r="AK217" s="551"/>
      <c r="AL217" s="551"/>
      <c r="AM217" s="551"/>
      <c r="AN217" s="551"/>
      <c r="AO217" s="551"/>
      <c r="AP217" s="551"/>
      <c r="AQ217" s="551"/>
      <c r="AR217" s="551"/>
      <c r="AS217" s="551"/>
      <c r="AT217" s="551"/>
      <c r="AU217" s="551"/>
      <c r="AV217" s="551"/>
      <c r="AW217" s="551"/>
      <c r="AX217" s="551"/>
      <c r="AY217" s="551"/>
      <c r="AZ217" s="551"/>
      <c r="BA217" s="551"/>
      <c r="BB217" s="551"/>
      <c r="BC217" s="551"/>
      <c r="BD217" s="551"/>
      <c r="BE217" s="551"/>
      <c r="BF217" s="551"/>
      <c r="BG217" s="551"/>
      <c r="BH217" s="551"/>
      <c r="BI217" s="551"/>
      <c r="BJ217" s="551"/>
      <c r="BK217" s="551"/>
    </row>
    <row r="218" spans="1:63" ht="12.75" customHeight="1">
      <c r="A218" s="551"/>
      <c r="B218" s="551"/>
      <c r="C218" s="551"/>
      <c r="D218" s="551"/>
      <c r="E218" s="551"/>
      <c r="F218" s="551"/>
      <c r="G218" s="551"/>
      <c r="H218" s="551"/>
      <c r="I218" s="551"/>
      <c r="J218" s="551"/>
      <c r="K218" s="551"/>
      <c r="L218" s="551"/>
      <c r="M218" s="551"/>
      <c r="N218" s="551"/>
      <c r="O218" s="551"/>
      <c r="P218" s="551"/>
      <c r="Q218" s="551"/>
      <c r="R218" s="551"/>
      <c r="S218" s="551"/>
      <c r="T218" s="551"/>
      <c r="U218" s="551"/>
      <c r="V218" s="551"/>
      <c r="W218" s="551"/>
      <c r="X218" s="551"/>
      <c r="Y218" s="551"/>
      <c r="Z218" s="551"/>
      <c r="AA218" s="551"/>
      <c r="AB218" s="551"/>
      <c r="AC218" s="551"/>
      <c r="AD218" s="551"/>
      <c r="AE218" s="551"/>
      <c r="AF218" s="551"/>
      <c r="AG218" s="551"/>
      <c r="AH218" s="551"/>
      <c r="AI218" s="551"/>
      <c r="AJ218" s="551"/>
      <c r="AK218" s="551"/>
      <c r="AL218" s="551"/>
      <c r="AM218" s="551"/>
      <c r="AN218" s="551"/>
      <c r="AO218" s="551"/>
      <c r="AP218" s="551"/>
      <c r="AQ218" s="551"/>
      <c r="AR218" s="551"/>
      <c r="AS218" s="551"/>
      <c r="AT218" s="551"/>
      <c r="AU218" s="551"/>
      <c r="AV218" s="551"/>
      <c r="AW218" s="551"/>
      <c r="AX218" s="551"/>
      <c r="AY218" s="551"/>
      <c r="AZ218" s="551"/>
      <c r="BA218" s="551"/>
      <c r="BB218" s="551"/>
      <c r="BC218" s="551"/>
      <c r="BD218" s="551"/>
      <c r="BE218" s="551"/>
      <c r="BF218" s="551"/>
      <c r="BG218" s="551"/>
      <c r="BH218" s="551"/>
      <c r="BI218" s="551"/>
      <c r="BJ218" s="551"/>
      <c r="BK218" s="551"/>
    </row>
    <row r="219" spans="1:63" ht="12.75" customHeight="1">
      <c r="A219" s="551"/>
      <c r="B219" s="551"/>
      <c r="C219" s="551"/>
      <c r="D219" s="551"/>
      <c r="E219" s="551"/>
      <c r="F219" s="551"/>
      <c r="G219" s="551"/>
      <c r="H219" s="551"/>
      <c r="I219" s="551"/>
      <c r="J219" s="551"/>
      <c r="K219" s="551"/>
      <c r="L219" s="551"/>
      <c r="M219" s="551"/>
      <c r="N219" s="551"/>
      <c r="O219" s="551"/>
      <c r="P219" s="551"/>
      <c r="Q219" s="551"/>
      <c r="R219" s="551"/>
      <c r="S219" s="551"/>
      <c r="T219" s="551"/>
      <c r="U219" s="551"/>
      <c r="V219" s="551"/>
      <c r="W219" s="551"/>
      <c r="X219" s="551"/>
      <c r="Y219" s="551"/>
      <c r="Z219" s="551"/>
      <c r="AA219" s="551"/>
      <c r="AB219" s="551"/>
      <c r="AC219" s="551"/>
      <c r="AD219" s="551"/>
      <c r="AE219" s="551"/>
      <c r="AF219" s="551"/>
      <c r="AG219" s="551"/>
      <c r="AH219" s="551"/>
      <c r="AI219" s="551"/>
      <c r="AJ219" s="551"/>
      <c r="AK219" s="551"/>
      <c r="AL219" s="551"/>
      <c r="AM219" s="551"/>
      <c r="AN219" s="551"/>
      <c r="AO219" s="551"/>
      <c r="AP219" s="551"/>
      <c r="AQ219" s="551"/>
      <c r="AR219" s="551"/>
      <c r="AS219" s="551"/>
      <c r="AT219" s="551"/>
      <c r="AU219" s="551"/>
      <c r="AV219" s="551"/>
      <c r="AW219" s="551"/>
      <c r="AX219" s="551"/>
      <c r="AY219" s="551"/>
      <c r="AZ219" s="551"/>
      <c r="BA219" s="551"/>
      <c r="BB219" s="551"/>
      <c r="BC219" s="551"/>
      <c r="BD219" s="551"/>
      <c r="BE219" s="551"/>
      <c r="BF219" s="551"/>
      <c r="BG219" s="551"/>
      <c r="BH219" s="551"/>
      <c r="BI219" s="551"/>
      <c r="BJ219" s="551"/>
      <c r="BK219" s="551"/>
    </row>
    <row r="220" spans="1:63" ht="12.75" customHeight="1">
      <c r="A220" s="551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1"/>
      <c r="P220" s="551"/>
      <c r="Q220" s="551"/>
      <c r="R220" s="551"/>
      <c r="S220" s="551"/>
      <c r="T220" s="551"/>
      <c r="U220" s="551"/>
      <c r="V220" s="551"/>
      <c r="W220" s="551"/>
      <c r="X220" s="551"/>
      <c r="Y220" s="551"/>
      <c r="Z220" s="551"/>
      <c r="AA220" s="551"/>
      <c r="AB220" s="551"/>
      <c r="AC220" s="551"/>
      <c r="AD220" s="551"/>
      <c r="AE220" s="551"/>
      <c r="AF220" s="551"/>
      <c r="AG220" s="551"/>
      <c r="AH220" s="551"/>
      <c r="AI220" s="551"/>
      <c r="AJ220" s="551"/>
      <c r="AK220" s="551"/>
      <c r="AL220" s="551"/>
      <c r="AM220" s="551"/>
      <c r="AN220" s="551"/>
      <c r="AO220" s="551"/>
      <c r="AP220" s="551"/>
      <c r="AQ220" s="551"/>
      <c r="AR220" s="551"/>
      <c r="AS220" s="551"/>
      <c r="AT220" s="551"/>
      <c r="AU220" s="551"/>
      <c r="AV220" s="551"/>
      <c r="AW220" s="551"/>
      <c r="AX220" s="551"/>
      <c r="AY220" s="551"/>
      <c r="AZ220" s="551"/>
      <c r="BA220" s="551"/>
      <c r="BB220" s="551"/>
      <c r="BC220" s="551"/>
      <c r="BD220" s="551"/>
      <c r="BE220" s="551"/>
      <c r="BF220" s="551"/>
      <c r="BG220" s="551"/>
      <c r="BH220" s="551"/>
      <c r="BI220" s="551"/>
      <c r="BJ220" s="551"/>
      <c r="BK220" s="551"/>
    </row>
    <row r="221" spans="1:63" ht="12.75" customHeight="1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1"/>
      <c r="P221" s="551"/>
      <c r="Q221" s="551"/>
      <c r="R221" s="551"/>
      <c r="S221" s="551"/>
      <c r="T221" s="551"/>
      <c r="U221" s="551"/>
      <c r="V221" s="551"/>
      <c r="W221" s="551"/>
      <c r="X221" s="551"/>
      <c r="Y221" s="551"/>
      <c r="Z221" s="551"/>
      <c r="AA221" s="551"/>
      <c r="AB221" s="551"/>
      <c r="AC221" s="551"/>
      <c r="AD221" s="551"/>
      <c r="AE221" s="551"/>
      <c r="AF221" s="551"/>
      <c r="AG221" s="551"/>
      <c r="AH221" s="551"/>
      <c r="AI221" s="551"/>
      <c r="AJ221" s="551"/>
      <c r="AK221" s="551"/>
      <c r="AL221" s="551"/>
      <c r="AM221" s="551"/>
      <c r="AN221" s="551"/>
      <c r="AO221" s="551"/>
      <c r="AP221" s="551"/>
      <c r="AQ221" s="551"/>
      <c r="AR221" s="551"/>
      <c r="AS221" s="551"/>
      <c r="AT221" s="551"/>
      <c r="AU221" s="551"/>
      <c r="AV221" s="551"/>
      <c r="AW221" s="551"/>
      <c r="AX221" s="551"/>
      <c r="AY221" s="551"/>
      <c r="AZ221" s="551"/>
      <c r="BA221" s="551"/>
      <c r="BB221" s="551"/>
      <c r="BC221" s="551"/>
      <c r="BD221" s="551"/>
      <c r="BE221" s="551"/>
      <c r="BF221" s="551"/>
      <c r="BG221" s="551"/>
      <c r="BH221" s="551"/>
      <c r="BI221" s="551"/>
      <c r="BJ221" s="551"/>
      <c r="BK221" s="551"/>
    </row>
    <row r="222" spans="1:63" ht="12.75" customHeight="1">
      <c r="A222" s="551"/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51"/>
      <c r="AB222" s="551"/>
      <c r="AC222" s="551"/>
      <c r="AD222" s="551"/>
      <c r="AE222" s="551"/>
      <c r="AF222" s="551"/>
      <c r="AG222" s="551"/>
      <c r="AH222" s="551"/>
      <c r="AI222" s="551"/>
      <c r="AJ222" s="551"/>
      <c r="AK222" s="551"/>
      <c r="AL222" s="551"/>
      <c r="AM222" s="551"/>
      <c r="AN222" s="551"/>
      <c r="AO222" s="551"/>
      <c r="AP222" s="551"/>
      <c r="AQ222" s="551"/>
      <c r="AR222" s="551"/>
      <c r="AS222" s="551"/>
      <c r="AT222" s="551"/>
      <c r="AU222" s="551"/>
      <c r="AV222" s="551"/>
      <c r="AW222" s="551"/>
      <c r="AX222" s="551"/>
      <c r="AY222" s="551"/>
      <c r="AZ222" s="551"/>
      <c r="BA222" s="551"/>
      <c r="BB222" s="551"/>
      <c r="BC222" s="551"/>
      <c r="BD222" s="551"/>
      <c r="BE222" s="551"/>
      <c r="BF222" s="551"/>
      <c r="BG222" s="551"/>
      <c r="BH222" s="551"/>
      <c r="BI222" s="551"/>
      <c r="BJ222" s="551"/>
      <c r="BK222" s="551"/>
    </row>
    <row r="223" spans="1:63" ht="12.75" customHeight="1">
      <c r="A223" s="551"/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51"/>
      <c r="AB223" s="551"/>
      <c r="AC223" s="551"/>
      <c r="AD223" s="551"/>
      <c r="AE223" s="551"/>
      <c r="AF223" s="551"/>
      <c r="AG223" s="551"/>
      <c r="AH223" s="551"/>
      <c r="AI223" s="551"/>
      <c r="AJ223" s="551"/>
      <c r="AK223" s="551"/>
      <c r="AL223" s="551"/>
      <c r="AM223" s="551"/>
      <c r="AN223" s="551"/>
      <c r="AO223" s="551"/>
      <c r="AP223" s="551"/>
      <c r="AQ223" s="551"/>
      <c r="AR223" s="551"/>
      <c r="AS223" s="551"/>
      <c r="AT223" s="551"/>
      <c r="AU223" s="551"/>
      <c r="AV223" s="551"/>
      <c r="AW223" s="551"/>
      <c r="AX223" s="551"/>
      <c r="AY223" s="551"/>
      <c r="AZ223" s="551"/>
      <c r="BA223" s="551"/>
      <c r="BB223" s="551"/>
      <c r="BC223" s="551"/>
      <c r="BD223" s="551"/>
      <c r="BE223" s="551"/>
      <c r="BF223" s="551"/>
      <c r="BG223" s="551"/>
      <c r="BH223" s="551"/>
      <c r="BI223" s="551"/>
      <c r="BJ223" s="551"/>
      <c r="BK223" s="551"/>
    </row>
    <row r="224" spans="1:63" ht="12.75" customHeight="1">
      <c r="A224" s="551"/>
      <c r="B224" s="551"/>
      <c r="C224" s="551"/>
      <c r="D224" s="551"/>
      <c r="E224" s="551"/>
      <c r="F224" s="551"/>
      <c r="G224" s="551"/>
      <c r="H224" s="551"/>
      <c r="I224" s="551"/>
      <c r="J224" s="551"/>
      <c r="K224" s="551"/>
      <c r="L224" s="551"/>
      <c r="M224" s="551"/>
      <c r="N224" s="551"/>
      <c r="O224" s="551"/>
      <c r="P224" s="551"/>
      <c r="Q224" s="551"/>
      <c r="R224" s="551"/>
      <c r="S224" s="551"/>
      <c r="T224" s="551"/>
      <c r="U224" s="551"/>
      <c r="V224" s="551"/>
      <c r="W224" s="551"/>
      <c r="X224" s="551"/>
      <c r="Y224" s="551"/>
      <c r="Z224" s="551"/>
      <c r="AA224" s="551"/>
      <c r="AB224" s="551"/>
      <c r="AC224" s="551"/>
      <c r="AD224" s="551"/>
      <c r="AE224" s="551"/>
      <c r="AF224" s="551"/>
      <c r="AG224" s="551"/>
      <c r="AH224" s="551"/>
      <c r="AI224" s="551"/>
      <c r="AJ224" s="551"/>
      <c r="AK224" s="551"/>
      <c r="AL224" s="551"/>
      <c r="AM224" s="551"/>
      <c r="AN224" s="551"/>
      <c r="AO224" s="551"/>
      <c r="AP224" s="551"/>
      <c r="AQ224" s="551"/>
      <c r="AR224" s="551"/>
      <c r="AS224" s="551"/>
      <c r="AT224" s="551"/>
      <c r="AU224" s="551"/>
      <c r="AV224" s="551"/>
      <c r="AW224" s="551"/>
      <c r="AX224" s="551"/>
      <c r="AY224" s="551"/>
      <c r="AZ224" s="551"/>
      <c r="BA224" s="551"/>
      <c r="BB224" s="551"/>
      <c r="BC224" s="551"/>
      <c r="BD224" s="551"/>
      <c r="BE224" s="551"/>
      <c r="BF224" s="551"/>
      <c r="BG224" s="551"/>
      <c r="BH224" s="551"/>
      <c r="BI224" s="551"/>
      <c r="BJ224" s="551"/>
      <c r="BK224" s="551"/>
    </row>
    <row r="225" spans="1:63" ht="12.75" customHeight="1">
      <c r="A225" s="551"/>
      <c r="B225" s="551"/>
      <c r="C225" s="551"/>
      <c r="D225" s="551"/>
      <c r="E225" s="551"/>
      <c r="F225" s="551"/>
      <c r="G225" s="551"/>
      <c r="H225" s="551"/>
      <c r="I225" s="551"/>
      <c r="J225" s="551"/>
      <c r="K225" s="551"/>
      <c r="L225" s="551"/>
      <c r="M225" s="551"/>
      <c r="N225" s="551"/>
      <c r="O225" s="551"/>
      <c r="P225" s="551"/>
      <c r="Q225" s="551"/>
      <c r="R225" s="551"/>
      <c r="S225" s="551"/>
      <c r="T225" s="551"/>
      <c r="U225" s="551"/>
      <c r="V225" s="551"/>
      <c r="W225" s="551"/>
      <c r="X225" s="551"/>
      <c r="Y225" s="551"/>
      <c r="Z225" s="551"/>
      <c r="AA225" s="551"/>
      <c r="AB225" s="551"/>
      <c r="AC225" s="551"/>
      <c r="AD225" s="551"/>
      <c r="AE225" s="551"/>
      <c r="AF225" s="551"/>
      <c r="AG225" s="551"/>
      <c r="AH225" s="551"/>
      <c r="AI225" s="551"/>
      <c r="AJ225" s="551"/>
      <c r="AK225" s="551"/>
      <c r="AL225" s="551"/>
      <c r="AM225" s="551"/>
      <c r="AN225" s="551"/>
      <c r="AO225" s="551"/>
      <c r="AP225" s="551"/>
      <c r="AQ225" s="551"/>
      <c r="AR225" s="551"/>
      <c r="AS225" s="551"/>
      <c r="AT225" s="551"/>
      <c r="AU225" s="551"/>
      <c r="AV225" s="551"/>
      <c r="AW225" s="551"/>
      <c r="AX225" s="551"/>
      <c r="AY225" s="551"/>
      <c r="AZ225" s="551"/>
      <c r="BA225" s="551"/>
      <c r="BB225" s="551"/>
      <c r="BC225" s="551"/>
      <c r="BD225" s="551"/>
      <c r="BE225" s="551"/>
      <c r="BF225" s="551"/>
      <c r="BG225" s="551"/>
      <c r="BH225" s="551"/>
      <c r="BI225" s="551"/>
      <c r="BJ225" s="551"/>
      <c r="BK225" s="551"/>
    </row>
    <row r="226" spans="1:63" ht="12.75" customHeight="1">
      <c r="A226" s="551"/>
      <c r="B226" s="551"/>
      <c r="C226" s="551"/>
      <c r="D226" s="551"/>
      <c r="E226" s="551"/>
      <c r="F226" s="551"/>
      <c r="G226" s="551"/>
      <c r="H226" s="551"/>
      <c r="I226" s="551"/>
      <c r="J226" s="551"/>
      <c r="K226" s="551"/>
      <c r="L226" s="551"/>
      <c r="M226" s="551"/>
      <c r="N226" s="551"/>
      <c r="O226" s="551"/>
      <c r="P226" s="551"/>
      <c r="Q226" s="551"/>
      <c r="R226" s="551"/>
      <c r="S226" s="551"/>
      <c r="T226" s="551"/>
      <c r="U226" s="551"/>
      <c r="V226" s="551"/>
      <c r="W226" s="551"/>
      <c r="X226" s="551"/>
      <c r="Y226" s="551"/>
      <c r="Z226" s="551"/>
      <c r="AA226" s="551"/>
      <c r="AB226" s="551"/>
      <c r="AC226" s="551"/>
      <c r="AD226" s="551"/>
      <c r="AE226" s="551"/>
      <c r="AF226" s="551"/>
      <c r="AG226" s="551"/>
      <c r="AH226" s="551"/>
      <c r="AI226" s="551"/>
      <c r="AJ226" s="551"/>
      <c r="AK226" s="551"/>
      <c r="AL226" s="551"/>
      <c r="AM226" s="551"/>
      <c r="AN226" s="551"/>
      <c r="AO226" s="551"/>
      <c r="AP226" s="551"/>
      <c r="AQ226" s="551"/>
      <c r="AR226" s="551"/>
      <c r="AS226" s="551"/>
      <c r="AT226" s="551"/>
      <c r="AU226" s="551"/>
      <c r="AV226" s="551"/>
      <c r="AW226" s="551"/>
      <c r="AX226" s="551"/>
      <c r="AY226" s="551"/>
      <c r="AZ226" s="551"/>
      <c r="BA226" s="551"/>
      <c r="BB226" s="551"/>
      <c r="BC226" s="551"/>
      <c r="BD226" s="551"/>
      <c r="BE226" s="551"/>
      <c r="BF226" s="551"/>
      <c r="BG226" s="551"/>
      <c r="BH226" s="551"/>
      <c r="BI226" s="551"/>
      <c r="BJ226" s="551"/>
      <c r="BK226" s="551"/>
    </row>
    <row r="227" spans="1:63" ht="12.75" customHeight="1">
      <c r="A227" s="551"/>
      <c r="B227" s="551"/>
      <c r="C227" s="551"/>
      <c r="D227" s="551"/>
      <c r="E227" s="551"/>
      <c r="F227" s="551"/>
      <c r="G227" s="551"/>
      <c r="H227" s="551"/>
      <c r="I227" s="551"/>
      <c r="J227" s="551"/>
      <c r="K227" s="551"/>
      <c r="L227" s="551"/>
      <c r="M227" s="551"/>
      <c r="N227" s="551"/>
      <c r="O227" s="551"/>
      <c r="P227" s="551"/>
      <c r="Q227" s="551"/>
      <c r="R227" s="551"/>
      <c r="S227" s="551"/>
      <c r="T227" s="551"/>
      <c r="U227" s="551"/>
      <c r="V227" s="551"/>
      <c r="W227" s="551"/>
      <c r="X227" s="551"/>
      <c r="Y227" s="551"/>
      <c r="Z227" s="551"/>
      <c r="AA227" s="551"/>
      <c r="AB227" s="551"/>
      <c r="AC227" s="551"/>
      <c r="AD227" s="551"/>
      <c r="AE227" s="551"/>
      <c r="AF227" s="551"/>
      <c r="AG227" s="551"/>
      <c r="AH227" s="551"/>
      <c r="AI227" s="551"/>
      <c r="AJ227" s="551"/>
      <c r="AK227" s="551"/>
      <c r="AL227" s="551"/>
      <c r="AM227" s="551"/>
      <c r="AN227" s="551"/>
      <c r="AO227" s="551"/>
      <c r="AP227" s="551"/>
      <c r="AQ227" s="551"/>
      <c r="AR227" s="551"/>
      <c r="AS227" s="551"/>
      <c r="AT227" s="551"/>
      <c r="AU227" s="551"/>
      <c r="AV227" s="551"/>
      <c r="AW227" s="551"/>
      <c r="AX227" s="551"/>
      <c r="AY227" s="551"/>
      <c r="AZ227" s="551"/>
      <c r="BA227" s="551"/>
      <c r="BB227" s="551"/>
      <c r="BC227" s="551"/>
      <c r="BD227" s="551"/>
      <c r="BE227" s="551"/>
      <c r="BF227" s="551"/>
      <c r="BG227" s="551"/>
      <c r="BH227" s="551"/>
      <c r="BI227" s="551"/>
      <c r="BJ227" s="551"/>
      <c r="BK227" s="551"/>
    </row>
    <row r="228" spans="1:63" ht="12.75" customHeight="1">
      <c r="A228" s="551"/>
      <c r="B228" s="551"/>
      <c r="C228" s="551"/>
      <c r="D228" s="551"/>
      <c r="E228" s="551"/>
      <c r="F228" s="551"/>
      <c r="G228" s="551"/>
      <c r="H228" s="551"/>
      <c r="I228" s="551"/>
      <c r="J228" s="551"/>
      <c r="K228" s="551"/>
      <c r="L228" s="551"/>
      <c r="M228" s="551"/>
      <c r="N228" s="551"/>
      <c r="O228" s="551"/>
      <c r="P228" s="551"/>
      <c r="Q228" s="551"/>
      <c r="R228" s="551"/>
      <c r="S228" s="551"/>
      <c r="T228" s="551"/>
      <c r="U228" s="551"/>
      <c r="V228" s="551"/>
      <c r="W228" s="551"/>
      <c r="X228" s="551"/>
      <c r="Y228" s="551"/>
      <c r="Z228" s="551"/>
      <c r="AA228" s="551"/>
      <c r="AB228" s="551"/>
      <c r="AC228" s="551"/>
      <c r="AD228" s="551"/>
      <c r="AE228" s="551"/>
      <c r="AF228" s="551"/>
      <c r="AG228" s="551"/>
      <c r="AH228" s="551"/>
      <c r="AI228" s="551"/>
      <c r="AJ228" s="551"/>
      <c r="AK228" s="551"/>
      <c r="AL228" s="551"/>
      <c r="AM228" s="551"/>
      <c r="AN228" s="551"/>
      <c r="AO228" s="551"/>
      <c r="AP228" s="551"/>
      <c r="AQ228" s="551"/>
      <c r="AR228" s="551"/>
      <c r="AS228" s="551"/>
      <c r="AT228" s="551"/>
      <c r="AU228" s="551"/>
      <c r="AV228" s="551"/>
      <c r="AW228" s="551"/>
      <c r="AX228" s="551"/>
      <c r="AY228" s="551"/>
      <c r="AZ228" s="551"/>
      <c r="BA228" s="551"/>
      <c r="BB228" s="551"/>
      <c r="BC228" s="551"/>
      <c r="BD228" s="551"/>
      <c r="BE228" s="551"/>
      <c r="BF228" s="551"/>
      <c r="BG228" s="551"/>
      <c r="BH228" s="551"/>
      <c r="BI228" s="551"/>
      <c r="BJ228" s="551"/>
      <c r="BK228" s="551"/>
    </row>
    <row r="229" spans="1:63" ht="12.75" customHeight="1">
      <c r="A229" s="551"/>
      <c r="B229" s="551"/>
      <c r="C229" s="551"/>
      <c r="D229" s="551"/>
      <c r="E229" s="551"/>
      <c r="F229" s="551"/>
      <c r="G229" s="551"/>
      <c r="H229" s="551"/>
      <c r="I229" s="551"/>
      <c r="J229" s="551"/>
      <c r="K229" s="551"/>
      <c r="L229" s="551"/>
      <c r="M229" s="551"/>
      <c r="N229" s="551"/>
      <c r="O229" s="551"/>
      <c r="P229" s="551"/>
      <c r="Q229" s="551"/>
      <c r="R229" s="551"/>
      <c r="S229" s="551"/>
      <c r="T229" s="551"/>
      <c r="U229" s="551"/>
      <c r="V229" s="551"/>
      <c r="W229" s="551"/>
      <c r="X229" s="551"/>
      <c r="Y229" s="551"/>
      <c r="Z229" s="551"/>
      <c r="AA229" s="551"/>
      <c r="AB229" s="551"/>
      <c r="AC229" s="551"/>
      <c r="AD229" s="551"/>
      <c r="AE229" s="551"/>
      <c r="AF229" s="551"/>
      <c r="AG229" s="551"/>
      <c r="AH229" s="551"/>
      <c r="AI229" s="551"/>
      <c r="AJ229" s="551"/>
      <c r="AK229" s="551"/>
      <c r="AL229" s="551"/>
      <c r="AM229" s="551"/>
      <c r="AN229" s="551"/>
      <c r="AO229" s="551"/>
      <c r="AP229" s="551"/>
      <c r="AQ229" s="551"/>
      <c r="AR229" s="551"/>
      <c r="AS229" s="551"/>
      <c r="AT229" s="551"/>
      <c r="AU229" s="551"/>
      <c r="AV229" s="551"/>
      <c r="AW229" s="551"/>
      <c r="AX229" s="551"/>
      <c r="AY229" s="551"/>
      <c r="AZ229" s="551"/>
      <c r="BA229" s="551"/>
      <c r="BB229" s="551"/>
      <c r="BC229" s="551"/>
      <c r="BD229" s="551"/>
      <c r="BE229" s="551"/>
      <c r="BF229" s="551"/>
      <c r="BG229" s="551"/>
      <c r="BH229" s="551"/>
      <c r="BI229" s="551"/>
      <c r="BJ229" s="551"/>
      <c r="BK229" s="551"/>
    </row>
    <row r="230" spans="1:63" ht="12.75" customHeight="1">
      <c r="A230" s="551"/>
      <c r="B230" s="551"/>
      <c r="C230" s="551"/>
      <c r="D230" s="551"/>
      <c r="E230" s="551"/>
      <c r="F230" s="551"/>
      <c r="G230" s="551"/>
      <c r="H230" s="551"/>
      <c r="I230" s="551"/>
      <c r="J230" s="551"/>
      <c r="K230" s="551"/>
      <c r="L230" s="551"/>
      <c r="M230" s="551"/>
      <c r="N230" s="551"/>
      <c r="O230" s="551"/>
      <c r="P230" s="551"/>
      <c r="Q230" s="551"/>
      <c r="R230" s="551"/>
      <c r="S230" s="551"/>
      <c r="T230" s="551"/>
      <c r="U230" s="551"/>
      <c r="V230" s="551"/>
      <c r="W230" s="551"/>
      <c r="X230" s="551"/>
      <c r="Y230" s="551"/>
      <c r="Z230" s="551"/>
      <c r="AA230" s="551"/>
      <c r="AB230" s="551"/>
      <c r="AC230" s="551"/>
      <c r="AD230" s="551"/>
      <c r="AE230" s="551"/>
      <c r="AF230" s="551"/>
      <c r="AG230" s="551"/>
      <c r="AH230" s="551"/>
      <c r="AI230" s="551"/>
      <c r="AJ230" s="551"/>
      <c r="AK230" s="551"/>
      <c r="AL230" s="551"/>
      <c r="AM230" s="551"/>
      <c r="AN230" s="551"/>
      <c r="AO230" s="551"/>
      <c r="AP230" s="551"/>
      <c r="AQ230" s="551"/>
      <c r="AR230" s="551"/>
      <c r="AS230" s="551"/>
      <c r="AT230" s="551"/>
      <c r="AU230" s="551"/>
      <c r="AV230" s="551"/>
      <c r="AW230" s="551"/>
      <c r="AX230" s="551"/>
      <c r="AY230" s="551"/>
      <c r="AZ230" s="551"/>
      <c r="BA230" s="551"/>
      <c r="BB230" s="551"/>
      <c r="BC230" s="551"/>
      <c r="BD230" s="551"/>
      <c r="BE230" s="551"/>
      <c r="BF230" s="551"/>
      <c r="BG230" s="551"/>
      <c r="BH230" s="551"/>
      <c r="BI230" s="551"/>
      <c r="BJ230" s="551"/>
      <c r="BK230" s="551"/>
    </row>
    <row r="231" spans="1:63" ht="12.75" customHeight="1">
      <c r="A231" s="551"/>
      <c r="B231" s="551"/>
      <c r="C231" s="551"/>
      <c r="D231" s="551"/>
      <c r="E231" s="551"/>
      <c r="F231" s="551"/>
      <c r="G231" s="551"/>
      <c r="H231" s="551"/>
      <c r="I231" s="551"/>
      <c r="J231" s="551"/>
      <c r="K231" s="551"/>
      <c r="L231" s="551"/>
      <c r="M231" s="551"/>
      <c r="N231" s="551"/>
      <c r="O231" s="551"/>
      <c r="P231" s="551"/>
      <c r="Q231" s="551"/>
      <c r="R231" s="551"/>
      <c r="S231" s="551"/>
      <c r="T231" s="551"/>
      <c r="U231" s="551"/>
      <c r="V231" s="551"/>
      <c r="W231" s="551"/>
      <c r="X231" s="551"/>
      <c r="Y231" s="551"/>
      <c r="Z231" s="551"/>
      <c r="AA231" s="551"/>
      <c r="AB231" s="551"/>
      <c r="AC231" s="551"/>
      <c r="AD231" s="551"/>
      <c r="AE231" s="551"/>
      <c r="AF231" s="551"/>
      <c r="AG231" s="551"/>
      <c r="AH231" s="551"/>
      <c r="AI231" s="551"/>
      <c r="AJ231" s="551"/>
      <c r="AK231" s="551"/>
      <c r="AL231" s="551"/>
      <c r="AM231" s="551"/>
      <c r="AN231" s="551"/>
      <c r="AO231" s="551"/>
      <c r="AP231" s="551"/>
      <c r="AQ231" s="551"/>
      <c r="AR231" s="551"/>
      <c r="AS231" s="551"/>
      <c r="AT231" s="551"/>
      <c r="AU231" s="551"/>
      <c r="AV231" s="551"/>
      <c r="AW231" s="551"/>
      <c r="AX231" s="551"/>
      <c r="AY231" s="551"/>
      <c r="AZ231" s="551"/>
      <c r="BA231" s="551"/>
      <c r="BB231" s="551"/>
      <c r="BC231" s="551"/>
      <c r="BD231" s="551"/>
      <c r="BE231" s="551"/>
      <c r="BF231" s="551"/>
      <c r="BG231" s="551"/>
      <c r="BH231" s="551"/>
      <c r="BI231" s="551"/>
      <c r="BJ231" s="551"/>
      <c r="BK231" s="551"/>
    </row>
    <row r="232" spans="1:63" ht="12.75" customHeight="1">
      <c r="A232" s="551"/>
      <c r="B232" s="551"/>
      <c r="C232" s="551"/>
      <c r="D232" s="551"/>
      <c r="E232" s="551"/>
      <c r="F232" s="551"/>
      <c r="G232" s="551"/>
      <c r="H232" s="551"/>
      <c r="I232" s="551"/>
      <c r="J232" s="551"/>
      <c r="K232" s="551"/>
      <c r="L232" s="551"/>
      <c r="M232" s="551"/>
      <c r="N232" s="551"/>
      <c r="O232" s="551"/>
      <c r="P232" s="551"/>
      <c r="Q232" s="551"/>
      <c r="R232" s="551"/>
      <c r="S232" s="551"/>
      <c r="T232" s="551"/>
      <c r="U232" s="551"/>
      <c r="V232" s="551"/>
      <c r="W232" s="551"/>
      <c r="X232" s="551"/>
      <c r="Y232" s="551"/>
      <c r="Z232" s="551"/>
      <c r="AA232" s="551"/>
      <c r="AB232" s="551"/>
      <c r="AC232" s="551"/>
      <c r="AD232" s="551"/>
      <c r="AE232" s="551"/>
      <c r="AF232" s="551"/>
      <c r="AG232" s="551"/>
      <c r="AH232" s="551"/>
      <c r="AI232" s="551"/>
      <c r="AJ232" s="551"/>
      <c r="AK232" s="551"/>
      <c r="AL232" s="551"/>
      <c r="AM232" s="551"/>
      <c r="AN232" s="551"/>
      <c r="AO232" s="551"/>
      <c r="AP232" s="551"/>
      <c r="AQ232" s="551"/>
      <c r="AR232" s="551"/>
      <c r="AS232" s="551"/>
      <c r="AT232" s="551"/>
      <c r="AU232" s="551"/>
      <c r="AV232" s="551"/>
      <c r="AW232" s="551"/>
      <c r="AX232" s="551"/>
      <c r="AY232" s="551"/>
      <c r="AZ232" s="551"/>
      <c r="BA232" s="551"/>
      <c r="BB232" s="551"/>
      <c r="BC232" s="551"/>
      <c r="BD232" s="551"/>
      <c r="BE232" s="551"/>
      <c r="BF232" s="551"/>
      <c r="BG232" s="551"/>
      <c r="BH232" s="551"/>
      <c r="BI232" s="551"/>
      <c r="BJ232" s="551"/>
      <c r="BK232" s="551"/>
    </row>
    <row r="233" spans="1:63" ht="12.75" customHeight="1">
      <c r="A233" s="551"/>
      <c r="B233" s="551"/>
      <c r="C233" s="551"/>
      <c r="D233" s="551"/>
      <c r="E233" s="551"/>
      <c r="F233" s="551"/>
      <c r="G233" s="551"/>
      <c r="H233" s="551"/>
      <c r="I233" s="551"/>
      <c r="J233" s="551"/>
      <c r="K233" s="551"/>
      <c r="L233" s="551"/>
      <c r="M233" s="551"/>
      <c r="N233" s="551"/>
      <c r="O233" s="551"/>
      <c r="P233" s="551"/>
      <c r="Q233" s="551"/>
      <c r="R233" s="551"/>
      <c r="S233" s="551"/>
      <c r="T233" s="551"/>
      <c r="U233" s="551"/>
      <c r="V233" s="551"/>
      <c r="W233" s="551"/>
      <c r="X233" s="551"/>
      <c r="Y233" s="551"/>
      <c r="Z233" s="551"/>
      <c r="AA233" s="551"/>
      <c r="AB233" s="551"/>
      <c r="AC233" s="551"/>
      <c r="AD233" s="551"/>
      <c r="AE233" s="551"/>
      <c r="AF233" s="551"/>
      <c r="AG233" s="551"/>
      <c r="AH233" s="551"/>
      <c r="AI233" s="551"/>
      <c r="AJ233" s="551"/>
      <c r="AK233" s="551"/>
      <c r="AL233" s="551"/>
      <c r="AM233" s="551"/>
      <c r="AN233" s="551"/>
      <c r="AO233" s="551"/>
      <c r="AP233" s="551"/>
      <c r="AQ233" s="551"/>
      <c r="AR233" s="551"/>
      <c r="AS233" s="551"/>
      <c r="AT233" s="551"/>
      <c r="AU233" s="551"/>
      <c r="AV233" s="551"/>
      <c r="AW233" s="551"/>
      <c r="AX233" s="551"/>
      <c r="AY233" s="551"/>
      <c r="AZ233" s="551"/>
      <c r="BA233" s="551"/>
      <c r="BB233" s="551"/>
      <c r="BC233" s="551"/>
      <c r="BD233" s="551"/>
      <c r="BE233" s="551"/>
      <c r="BF233" s="551"/>
      <c r="BG233" s="551"/>
      <c r="BH233" s="551"/>
      <c r="BI233" s="551"/>
      <c r="BJ233" s="551"/>
      <c r="BK233" s="551"/>
    </row>
    <row r="234" spans="1:63" ht="12.75" customHeight="1">
      <c r="A234" s="551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1"/>
      <c r="P234" s="551"/>
      <c r="Q234" s="551"/>
      <c r="R234" s="551"/>
      <c r="S234" s="551"/>
      <c r="T234" s="551"/>
      <c r="U234" s="551"/>
      <c r="V234" s="551"/>
      <c r="W234" s="551"/>
      <c r="X234" s="551"/>
      <c r="Y234" s="551"/>
      <c r="Z234" s="551"/>
      <c r="AA234" s="551"/>
      <c r="AB234" s="551"/>
      <c r="AC234" s="551"/>
      <c r="AD234" s="551"/>
      <c r="AE234" s="551"/>
      <c r="AF234" s="551"/>
      <c r="AG234" s="551"/>
      <c r="AH234" s="551"/>
      <c r="AI234" s="551"/>
      <c r="AJ234" s="551"/>
      <c r="AK234" s="551"/>
      <c r="AL234" s="551"/>
      <c r="AM234" s="551"/>
      <c r="AN234" s="551"/>
      <c r="AO234" s="551"/>
      <c r="AP234" s="551"/>
      <c r="AQ234" s="551"/>
      <c r="AR234" s="551"/>
      <c r="AS234" s="551"/>
      <c r="AT234" s="551"/>
      <c r="AU234" s="551"/>
      <c r="AV234" s="551"/>
      <c r="AW234" s="551"/>
      <c r="AX234" s="551"/>
      <c r="AY234" s="551"/>
      <c r="AZ234" s="551"/>
      <c r="BA234" s="551"/>
      <c r="BB234" s="551"/>
      <c r="BC234" s="551"/>
      <c r="BD234" s="551"/>
      <c r="BE234" s="551"/>
      <c r="BF234" s="551"/>
      <c r="BG234" s="551"/>
      <c r="BH234" s="551"/>
      <c r="BI234" s="551"/>
      <c r="BJ234" s="551"/>
      <c r="BK234" s="551"/>
    </row>
    <row r="235" spans="1:63" ht="12.75" customHeight="1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1"/>
      <c r="P235" s="551"/>
      <c r="Q235" s="551"/>
      <c r="R235" s="551"/>
      <c r="S235" s="551"/>
      <c r="T235" s="551"/>
      <c r="U235" s="551"/>
      <c r="V235" s="551"/>
      <c r="W235" s="551"/>
      <c r="X235" s="551"/>
      <c r="Y235" s="551"/>
      <c r="Z235" s="551"/>
      <c r="AA235" s="551"/>
      <c r="AB235" s="551"/>
      <c r="AC235" s="551"/>
      <c r="AD235" s="551"/>
      <c r="AE235" s="551"/>
      <c r="AF235" s="551"/>
      <c r="AG235" s="551"/>
      <c r="AH235" s="551"/>
      <c r="AI235" s="551"/>
      <c r="AJ235" s="551"/>
      <c r="AK235" s="551"/>
      <c r="AL235" s="551"/>
      <c r="AM235" s="551"/>
      <c r="AN235" s="551"/>
      <c r="AO235" s="551"/>
      <c r="AP235" s="551"/>
      <c r="AQ235" s="551"/>
      <c r="AR235" s="551"/>
      <c r="AS235" s="551"/>
      <c r="AT235" s="551"/>
      <c r="AU235" s="551"/>
      <c r="AV235" s="551"/>
      <c r="AW235" s="551"/>
      <c r="AX235" s="551"/>
      <c r="AY235" s="551"/>
      <c r="AZ235" s="551"/>
      <c r="BA235" s="551"/>
      <c r="BB235" s="551"/>
      <c r="BC235" s="551"/>
      <c r="BD235" s="551"/>
      <c r="BE235" s="551"/>
      <c r="BF235" s="551"/>
      <c r="BG235" s="551"/>
      <c r="BH235" s="551"/>
      <c r="BI235" s="551"/>
      <c r="BJ235" s="551"/>
      <c r="BK235" s="551"/>
    </row>
    <row r="236" spans="1:63" ht="12.75" customHeight="1">
      <c r="A236" s="551"/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51"/>
      <c r="AB236" s="551"/>
      <c r="AC236" s="551"/>
      <c r="AD236" s="551"/>
      <c r="AE236" s="551"/>
      <c r="AF236" s="551"/>
      <c r="AG236" s="551"/>
      <c r="AH236" s="551"/>
      <c r="AI236" s="551"/>
      <c r="AJ236" s="551"/>
      <c r="AK236" s="551"/>
      <c r="AL236" s="551"/>
      <c r="AM236" s="551"/>
      <c r="AN236" s="551"/>
      <c r="AO236" s="551"/>
      <c r="AP236" s="551"/>
      <c r="AQ236" s="551"/>
      <c r="AR236" s="551"/>
      <c r="AS236" s="551"/>
      <c r="AT236" s="551"/>
      <c r="AU236" s="551"/>
      <c r="AV236" s="551"/>
      <c r="AW236" s="551"/>
      <c r="AX236" s="551"/>
      <c r="AY236" s="551"/>
      <c r="AZ236" s="551"/>
      <c r="BA236" s="551"/>
      <c r="BB236" s="551"/>
      <c r="BC236" s="551"/>
      <c r="BD236" s="551"/>
      <c r="BE236" s="551"/>
      <c r="BF236" s="551"/>
      <c r="BG236" s="551"/>
      <c r="BH236" s="551"/>
      <c r="BI236" s="551"/>
      <c r="BJ236" s="551"/>
      <c r="BK236" s="551"/>
    </row>
    <row r="237" spans="1:63" ht="12.75" customHeight="1">
      <c r="A237" s="551"/>
      <c r="B237" s="551"/>
      <c r="C237" s="551"/>
      <c r="D237" s="551"/>
      <c r="E237" s="551"/>
      <c r="F237" s="551"/>
      <c r="G237" s="551"/>
      <c r="H237" s="551"/>
      <c r="I237" s="551"/>
      <c r="J237" s="551"/>
      <c r="K237" s="551"/>
      <c r="L237" s="551"/>
      <c r="M237" s="551"/>
      <c r="N237" s="551"/>
      <c r="O237" s="551"/>
      <c r="P237" s="551"/>
      <c r="Q237" s="551"/>
      <c r="R237" s="551"/>
      <c r="S237" s="551"/>
      <c r="T237" s="551"/>
      <c r="U237" s="551"/>
      <c r="V237" s="551"/>
      <c r="W237" s="551"/>
      <c r="X237" s="551"/>
      <c r="Y237" s="551"/>
      <c r="Z237" s="551"/>
      <c r="AA237" s="551"/>
      <c r="AB237" s="551"/>
      <c r="AC237" s="551"/>
      <c r="AD237" s="551"/>
      <c r="AE237" s="551"/>
      <c r="AF237" s="551"/>
      <c r="AG237" s="551"/>
      <c r="AH237" s="551"/>
      <c r="AI237" s="551"/>
      <c r="AJ237" s="551"/>
      <c r="AK237" s="551"/>
      <c r="AL237" s="551"/>
      <c r="AM237" s="551"/>
      <c r="AN237" s="551"/>
      <c r="AO237" s="551"/>
      <c r="AP237" s="551"/>
      <c r="AQ237" s="551"/>
      <c r="AR237" s="551"/>
      <c r="AS237" s="551"/>
      <c r="AT237" s="551"/>
      <c r="AU237" s="551"/>
      <c r="AV237" s="551"/>
      <c r="AW237" s="551"/>
      <c r="AX237" s="551"/>
      <c r="AY237" s="551"/>
      <c r="AZ237" s="551"/>
      <c r="BA237" s="551"/>
      <c r="BB237" s="551"/>
      <c r="BC237" s="551"/>
      <c r="BD237" s="551"/>
      <c r="BE237" s="551"/>
      <c r="BF237" s="551"/>
      <c r="BG237" s="551"/>
      <c r="BH237" s="551"/>
      <c r="BI237" s="551"/>
      <c r="BJ237" s="551"/>
      <c r="BK237" s="551"/>
    </row>
    <row r="238" spans="1:63" ht="12.75" customHeight="1">
      <c r="A238" s="551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1"/>
      <c r="P238" s="551"/>
      <c r="Q238" s="551"/>
      <c r="R238" s="551"/>
      <c r="S238" s="551"/>
      <c r="T238" s="551"/>
      <c r="U238" s="551"/>
      <c r="V238" s="551"/>
      <c r="W238" s="551"/>
      <c r="X238" s="551"/>
      <c r="Y238" s="551"/>
      <c r="Z238" s="551"/>
      <c r="AA238" s="551"/>
      <c r="AB238" s="551"/>
      <c r="AC238" s="551"/>
      <c r="AD238" s="551"/>
      <c r="AE238" s="551"/>
      <c r="AF238" s="551"/>
      <c r="AG238" s="551"/>
      <c r="AH238" s="551"/>
      <c r="AI238" s="551"/>
      <c r="AJ238" s="551"/>
      <c r="AK238" s="551"/>
      <c r="AL238" s="551"/>
      <c r="AM238" s="551"/>
      <c r="AN238" s="551"/>
      <c r="AO238" s="551"/>
      <c r="AP238" s="551"/>
      <c r="AQ238" s="551"/>
      <c r="AR238" s="551"/>
      <c r="AS238" s="551"/>
      <c r="AT238" s="551"/>
      <c r="AU238" s="551"/>
      <c r="AV238" s="551"/>
      <c r="AW238" s="551"/>
      <c r="AX238" s="551"/>
      <c r="AY238" s="551"/>
      <c r="AZ238" s="551"/>
      <c r="BA238" s="551"/>
      <c r="BB238" s="551"/>
      <c r="BC238" s="551"/>
      <c r="BD238" s="551"/>
      <c r="BE238" s="551"/>
      <c r="BF238" s="551"/>
      <c r="BG238" s="551"/>
      <c r="BH238" s="551"/>
      <c r="BI238" s="551"/>
      <c r="BJ238" s="551"/>
      <c r="BK238" s="551"/>
    </row>
    <row r="239" spans="1:63" ht="12.75" customHeight="1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1"/>
      <c r="P239" s="551"/>
      <c r="Q239" s="551"/>
      <c r="R239" s="551"/>
      <c r="S239" s="551"/>
      <c r="T239" s="551"/>
      <c r="U239" s="551"/>
      <c r="V239" s="551"/>
      <c r="W239" s="551"/>
      <c r="X239" s="551"/>
      <c r="Y239" s="551"/>
      <c r="Z239" s="551"/>
      <c r="AA239" s="551"/>
      <c r="AB239" s="551"/>
      <c r="AC239" s="551"/>
      <c r="AD239" s="551"/>
      <c r="AE239" s="551"/>
      <c r="AF239" s="551"/>
      <c r="AG239" s="551"/>
      <c r="AH239" s="551"/>
      <c r="AI239" s="551"/>
      <c r="AJ239" s="551"/>
      <c r="AK239" s="551"/>
      <c r="AL239" s="551"/>
      <c r="AM239" s="551"/>
      <c r="AN239" s="551"/>
      <c r="AO239" s="551"/>
      <c r="AP239" s="551"/>
      <c r="AQ239" s="551"/>
      <c r="AR239" s="551"/>
      <c r="AS239" s="551"/>
      <c r="AT239" s="551"/>
      <c r="AU239" s="551"/>
      <c r="AV239" s="551"/>
      <c r="AW239" s="551"/>
      <c r="AX239" s="551"/>
      <c r="AY239" s="551"/>
      <c r="AZ239" s="551"/>
      <c r="BA239" s="551"/>
      <c r="BB239" s="551"/>
      <c r="BC239" s="551"/>
      <c r="BD239" s="551"/>
      <c r="BE239" s="551"/>
      <c r="BF239" s="551"/>
      <c r="BG239" s="551"/>
      <c r="BH239" s="551"/>
      <c r="BI239" s="551"/>
      <c r="BJ239" s="551"/>
      <c r="BK239" s="551"/>
    </row>
    <row r="240" spans="1:63" ht="12.75" customHeight="1">
      <c r="A240" s="551"/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51"/>
      <c r="AB240" s="551"/>
      <c r="AC240" s="551"/>
      <c r="AD240" s="551"/>
      <c r="AE240" s="551"/>
      <c r="AF240" s="551"/>
      <c r="AG240" s="551"/>
      <c r="AH240" s="551"/>
      <c r="AI240" s="551"/>
      <c r="AJ240" s="551"/>
      <c r="AK240" s="551"/>
      <c r="AL240" s="551"/>
      <c r="AM240" s="551"/>
      <c r="AN240" s="551"/>
      <c r="AO240" s="551"/>
      <c r="AP240" s="551"/>
      <c r="AQ240" s="551"/>
      <c r="AR240" s="551"/>
      <c r="AS240" s="551"/>
      <c r="AT240" s="551"/>
      <c r="AU240" s="551"/>
      <c r="AV240" s="551"/>
      <c r="AW240" s="551"/>
      <c r="AX240" s="551"/>
      <c r="AY240" s="551"/>
      <c r="AZ240" s="551"/>
      <c r="BA240" s="551"/>
      <c r="BB240" s="551"/>
      <c r="BC240" s="551"/>
      <c r="BD240" s="551"/>
      <c r="BE240" s="551"/>
      <c r="BF240" s="551"/>
      <c r="BG240" s="551"/>
      <c r="BH240" s="551"/>
      <c r="BI240" s="551"/>
      <c r="BJ240" s="551"/>
      <c r="BK240" s="551"/>
    </row>
    <row r="241" spans="1:63" ht="12.75" customHeight="1">
      <c r="A241" s="551"/>
      <c r="B241" s="551"/>
      <c r="C241" s="551"/>
      <c r="D241" s="551"/>
      <c r="E241" s="551"/>
      <c r="F241" s="551"/>
      <c r="G241" s="551"/>
      <c r="H241" s="551"/>
      <c r="I241" s="551"/>
      <c r="J241" s="551"/>
      <c r="K241" s="551"/>
      <c r="L241" s="551"/>
      <c r="M241" s="551"/>
      <c r="N241" s="551"/>
      <c r="O241" s="551"/>
      <c r="P241" s="551"/>
      <c r="Q241" s="551"/>
      <c r="R241" s="551"/>
      <c r="S241" s="551"/>
      <c r="T241" s="551"/>
      <c r="U241" s="551"/>
      <c r="V241" s="551"/>
      <c r="W241" s="551"/>
      <c r="X241" s="551"/>
      <c r="Y241" s="551"/>
      <c r="Z241" s="551"/>
      <c r="AA241" s="551"/>
      <c r="AB241" s="551"/>
      <c r="AC241" s="551"/>
      <c r="AD241" s="551"/>
      <c r="AE241" s="551"/>
      <c r="AF241" s="551"/>
      <c r="AG241" s="551"/>
      <c r="AH241" s="551"/>
      <c r="AI241" s="551"/>
      <c r="AJ241" s="551"/>
      <c r="AK241" s="551"/>
      <c r="AL241" s="551"/>
      <c r="AM241" s="551"/>
      <c r="AN241" s="551"/>
      <c r="AO241" s="551"/>
      <c r="AP241" s="551"/>
      <c r="AQ241" s="551"/>
      <c r="AR241" s="551"/>
      <c r="AS241" s="551"/>
      <c r="AT241" s="551"/>
      <c r="AU241" s="551"/>
      <c r="AV241" s="551"/>
      <c r="AW241" s="551"/>
      <c r="AX241" s="551"/>
      <c r="AY241" s="551"/>
      <c r="AZ241" s="551"/>
      <c r="BA241" s="551"/>
      <c r="BB241" s="551"/>
      <c r="BC241" s="551"/>
      <c r="BD241" s="551"/>
      <c r="BE241" s="551"/>
      <c r="BF241" s="551"/>
      <c r="BG241" s="551"/>
      <c r="BH241" s="551"/>
      <c r="BI241" s="551"/>
      <c r="BJ241" s="551"/>
      <c r="BK241" s="551"/>
    </row>
    <row r="242" spans="1:63" ht="12.75" customHeight="1">
      <c r="A242" s="551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1"/>
      <c r="P242" s="551"/>
      <c r="Q242" s="551"/>
      <c r="R242" s="551"/>
      <c r="S242" s="551"/>
      <c r="T242" s="551"/>
      <c r="U242" s="551"/>
      <c r="V242" s="551"/>
      <c r="W242" s="551"/>
      <c r="X242" s="551"/>
      <c r="Y242" s="551"/>
      <c r="Z242" s="551"/>
      <c r="AA242" s="551"/>
      <c r="AB242" s="551"/>
      <c r="AC242" s="551"/>
      <c r="AD242" s="551"/>
      <c r="AE242" s="551"/>
      <c r="AF242" s="551"/>
      <c r="AG242" s="551"/>
      <c r="AH242" s="551"/>
      <c r="AI242" s="551"/>
      <c r="AJ242" s="551"/>
      <c r="AK242" s="551"/>
      <c r="AL242" s="551"/>
      <c r="AM242" s="551"/>
      <c r="AN242" s="551"/>
      <c r="AO242" s="551"/>
      <c r="AP242" s="551"/>
      <c r="AQ242" s="551"/>
      <c r="AR242" s="551"/>
      <c r="AS242" s="551"/>
      <c r="AT242" s="551"/>
      <c r="AU242" s="551"/>
      <c r="AV242" s="551"/>
      <c r="AW242" s="551"/>
      <c r="AX242" s="551"/>
      <c r="AY242" s="551"/>
      <c r="AZ242" s="551"/>
      <c r="BA242" s="551"/>
      <c r="BB242" s="551"/>
      <c r="BC242" s="551"/>
      <c r="BD242" s="551"/>
      <c r="BE242" s="551"/>
      <c r="BF242" s="551"/>
      <c r="BG242" s="551"/>
      <c r="BH242" s="551"/>
      <c r="BI242" s="551"/>
      <c r="BJ242" s="551"/>
      <c r="BK242" s="551"/>
    </row>
    <row r="243" spans="1:63" ht="12.75" customHeight="1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1"/>
      <c r="P243" s="551"/>
      <c r="Q243" s="551"/>
      <c r="R243" s="551"/>
      <c r="S243" s="551"/>
      <c r="T243" s="551"/>
      <c r="U243" s="551"/>
      <c r="V243" s="551"/>
      <c r="W243" s="551"/>
      <c r="X243" s="551"/>
      <c r="Y243" s="551"/>
      <c r="Z243" s="551"/>
      <c r="AA243" s="551"/>
      <c r="AB243" s="551"/>
      <c r="AC243" s="551"/>
      <c r="AD243" s="551"/>
      <c r="AE243" s="551"/>
      <c r="AF243" s="551"/>
      <c r="AG243" s="551"/>
      <c r="AH243" s="551"/>
      <c r="AI243" s="551"/>
      <c r="AJ243" s="551"/>
      <c r="AK243" s="551"/>
      <c r="AL243" s="551"/>
      <c r="AM243" s="551"/>
      <c r="AN243" s="551"/>
      <c r="AO243" s="551"/>
      <c r="AP243" s="551"/>
      <c r="AQ243" s="551"/>
      <c r="AR243" s="551"/>
      <c r="AS243" s="551"/>
      <c r="AT243" s="551"/>
      <c r="AU243" s="551"/>
      <c r="AV243" s="551"/>
      <c r="AW243" s="551"/>
      <c r="AX243" s="551"/>
      <c r="AY243" s="551"/>
      <c r="AZ243" s="551"/>
      <c r="BA243" s="551"/>
      <c r="BB243" s="551"/>
      <c r="BC243" s="551"/>
      <c r="BD243" s="551"/>
      <c r="BE243" s="551"/>
      <c r="BF243" s="551"/>
      <c r="BG243" s="551"/>
      <c r="BH243" s="551"/>
      <c r="BI243" s="551"/>
      <c r="BJ243" s="551"/>
      <c r="BK243" s="551"/>
    </row>
    <row r="244" spans="1:63" ht="12.75" customHeight="1">
      <c r="A244" s="551"/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51"/>
      <c r="AB244" s="551"/>
      <c r="AC244" s="551"/>
      <c r="AD244" s="551"/>
      <c r="AE244" s="551"/>
      <c r="AF244" s="551"/>
      <c r="AG244" s="551"/>
      <c r="AH244" s="551"/>
      <c r="AI244" s="551"/>
      <c r="AJ244" s="551"/>
      <c r="AK244" s="551"/>
      <c r="AL244" s="551"/>
      <c r="AM244" s="551"/>
      <c r="AN244" s="551"/>
      <c r="AO244" s="551"/>
      <c r="AP244" s="551"/>
      <c r="AQ244" s="551"/>
      <c r="AR244" s="551"/>
      <c r="AS244" s="551"/>
      <c r="AT244" s="551"/>
      <c r="AU244" s="551"/>
      <c r="AV244" s="551"/>
      <c r="AW244" s="551"/>
      <c r="AX244" s="551"/>
      <c r="AY244" s="551"/>
      <c r="AZ244" s="551"/>
      <c r="BA244" s="551"/>
      <c r="BB244" s="551"/>
      <c r="BC244" s="551"/>
      <c r="BD244" s="551"/>
      <c r="BE244" s="551"/>
      <c r="BF244" s="551"/>
      <c r="BG244" s="551"/>
      <c r="BH244" s="551"/>
      <c r="BI244" s="551"/>
      <c r="BJ244" s="551"/>
      <c r="BK244" s="551"/>
    </row>
    <row r="245" spans="1:63" ht="12.75" customHeight="1">
      <c r="A245" s="551"/>
      <c r="B245" s="551"/>
      <c r="C245" s="551"/>
      <c r="D245" s="551"/>
      <c r="E245" s="551"/>
      <c r="F245" s="551"/>
      <c r="G245" s="551"/>
      <c r="H245" s="551"/>
      <c r="I245" s="551"/>
      <c r="J245" s="551"/>
      <c r="K245" s="551"/>
      <c r="L245" s="551"/>
      <c r="M245" s="551"/>
      <c r="N245" s="551"/>
      <c r="O245" s="551"/>
      <c r="P245" s="551"/>
      <c r="Q245" s="551"/>
      <c r="R245" s="551"/>
      <c r="S245" s="551"/>
      <c r="T245" s="551"/>
      <c r="U245" s="551"/>
      <c r="V245" s="551"/>
      <c r="W245" s="551"/>
      <c r="X245" s="551"/>
      <c r="Y245" s="551"/>
      <c r="Z245" s="551"/>
      <c r="AA245" s="551"/>
      <c r="AB245" s="551"/>
      <c r="AC245" s="551"/>
      <c r="AD245" s="551"/>
      <c r="AE245" s="551"/>
      <c r="AF245" s="551"/>
      <c r="AG245" s="551"/>
      <c r="AH245" s="551"/>
      <c r="AI245" s="551"/>
      <c r="AJ245" s="551"/>
      <c r="AK245" s="551"/>
      <c r="AL245" s="551"/>
      <c r="AM245" s="551"/>
      <c r="AN245" s="551"/>
      <c r="AO245" s="551"/>
      <c r="AP245" s="551"/>
      <c r="AQ245" s="551"/>
      <c r="AR245" s="551"/>
      <c r="AS245" s="551"/>
      <c r="AT245" s="551"/>
      <c r="AU245" s="551"/>
      <c r="AV245" s="551"/>
      <c r="AW245" s="551"/>
      <c r="AX245" s="551"/>
      <c r="AY245" s="551"/>
      <c r="AZ245" s="551"/>
      <c r="BA245" s="551"/>
      <c r="BB245" s="551"/>
      <c r="BC245" s="551"/>
      <c r="BD245" s="551"/>
      <c r="BE245" s="551"/>
      <c r="BF245" s="551"/>
      <c r="BG245" s="551"/>
      <c r="BH245" s="551"/>
      <c r="BI245" s="551"/>
      <c r="BJ245" s="551"/>
      <c r="BK245" s="551"/>
    </row>
    <row r="246" spans="1:63" ht="12.75" customHeight="1">
      <c r="A246" s="551"/>
      <c r="B246" s="551"/>
      <c r="C246" s="551"/>
      <c r="D246" s="551"/>
      <c r="E246" s="551"/>
      <c r="F246" s="551"/>
      <c r="G246" s="551"/>
      <c r="H246" s="551"/>
      <c r="I246" s="551"/>
      <c r="J246" s="551"/>
      <c r="K246" s="551"/>
      <c r="L246" s="551"/>
      <c r="M246" s="551"/>
      <c r="N246" s="551"/>
      <c r="O246" s="551"/>
      <c r="P246" s="551"/>
      <c r="Q246" s="551"/>
      <c r="R246" s="551"/>
      <c r="S246" s="551"/>
      <c r="T246" s="551"/>
      <c r="U246" s="551"/>
      <c r="V246" s="551"/>
      <c r="W246" s="551"/>
      <c r="X246" s="551"/>
      <c r="Y246" s="551"/>
      <c r="Z246" s="551"/>
      <c r="AA246" s="551"/>
      <c r="AB246" s="551"/>
      <c r="AC246" s="551"/>
      <c r="AD246" s="551"/>
      <c r="AE246" s="551"/>
      <c r="AF246" s="551"/>
      <c r="AG246" s="551"/>
      <c r="AH246" s="551"/>
      <c r="AI246" s="551"/>
      <c r="AJ246" s="551"/>
      <c r="AK246" s="551"/>
      <c r="AL246" s="551"/>
      <c r="AM246" s="551"/>
      <c r="AN246" s="551"/>
      <c r="AO246" s="551"/>
      <c r="AP246" s="551"/>
      <c r="AQ246" s="551"/>
      <c r="AR246" s="551"/>
      <c r="AS246" s="551"/>
      <c r="AT246" s="551"/>
      <c r="AU246" s="551"/>
      <c r="AV246" s="551"/>
      <c r="AW246" s="551"/>
      <c r="AX246" s="551"/>
      <c r="AY246" s="551"/>
      <c r="AZ246" s="551"/>
      <c r="BA246" s="551"/>
      <c r="BB246" s="551"/>
      <c r="BC246" s="551"/>
      <c r="BD246" s="551"/>
      <c r="BE246" s="551"/>
      <c r="BF246" s="551"/>
      <c r="BG246" s="551"/>
      <c r="BH246" s="551"/>
      <c r="BI246" s="551"/>
      <c r="BJ246" s="551"/>
      <c r="BK246" s="551"/>
    </row>
    <row r="247" spans="1:63" ht="12.75" customHeight="1">
      <c r="A247" s="551"/>
      <c r="B247" s="551"/>
      <c r="C247" s="551"/>
      <c r="D247" s="551"/>
      <c r="E247" s="551"/>
      <c r="F247" s="551"/>
      <c r="G247" s="551"/>
      <c r="H247" s="551"/>
      <c r="I247" s="551"/>
      <c r="J247" s="551"/>
      <c r="K247" s="551"/>
      <c r="L247" s="551"/>
      <c r="M247" s="551"/>
      <c r="N247" s="551"/>
      <c r="O247" s="551"/>
      <c r="P247" s="551"/>
      <c r="Q247" s="551"/>
      <c r="R247" s="551"/>
      <c r="S247" s="551"/>
      <c r="T247" s="551"/>
      <c r="U247" s="551"/>
      <c r="V247" s="551"/>
      <c r="W247" s="551"/>
      <c r="X247" s="551"/>
      <c r="Y247" s="551"/>
      <c r="Z247" s="551"/>
      <c r="AA247" s="551"/>
      <c r="AB247" s="551"/>
      <c r="AC247" s="551"/>
      <c r="AD247" s="551"/>
      <c r="AE247" s="551"/>
      <c r="AF247" s="551"/>
      <c r="AG247" s="551"/>
      <c r="AH247" s="551"/>
      <c r="AI247" s="551"/>
      <c r="AJ247" s="551"/>
      <c r="AK247" s="551"/>
      <c r="AL247" s="551"/>
      <c r="AM247" s="551"/>
      <c r="AN247" s="551"/>
      <c r="AO247" s="551"/>
      <c r="AP247" s="551"/>
      <c r="AQ247" s="551"/>
      <c r="AR247" s="551"/>
      <c r="AS247" s="551"/>
      <c r="AT247" s="551"/>
      <c r="AU247" s="551"/>
      <c r="AV247" s="551"/>
      <c r="AW247" s="551"/>
      <c r="AX247" s="551"/>
      <c r="AY247" s="551"/>
      <c r="AZ247" s="551"/>
      <c r="BA247" s="551"/>
      <c r="BB247" s="551"/>
      <c r="BC247" s="551"/>
      <c r="BD247" s="551"/>
      <c r="BE247" s="551"/>
      <c r="BF247" s="551"/>
      <c r="BG247" s="551"/>
      <c r="BH247" s="551"/>
      <c r="BI247" s="551"/>
      <c r="BJ247" s="551"/>
      <c r="BK247" s="551"/>
    </row>
    <row r="248" spans="1:63" ht="12.75" customHeight="1">
      <c r="A248" s="551"/>
      <c r="B248" s="551"/>
      <c r="C248" s="551"/>
      <c r="D248" s="551"/>
      <c r="E248" s="551"/>
      <c r="F248" s="551"/>
      <c r="G248" s="551"/>
      <c r="H248" s="551"/>
      <c r="I248" s="551"/>
      <c r="J248" s="551"/>
      <c r="K248" s="551"/>
      <c r="L248" s="551"/>
      <c r="M248" s="551"/>
      <c r="N248" s="551"/>
      <c r="O248" s="551"/>
      <c r="P248" s="551"/>
      <c r="Q248" s="551"/>
      <c r="R248" s="551"/>
      <c r="S248" s="551"/>
      <c r="T248" s="551"/>
      <c r="U248" s="551"/>
      <c r="V248" s="551"/>
      <c r="W248" s="551"/>
      <c r="X248" s="551"/>
      <c r="Y248" s="551"/>
      <c r="Z248" s="551"/>
      <c r="AA248" s="551"/>
      <c r="AB248" s="551"/>
      <c r="AC248" s="551"/>
      <c r="AD248" s="551"/>
      <c r="AE248" s="551"/>
      <c r="AF248" s="551"/>
      <c r="AG248" s="551"/>
      <c r="AH248" s="551"/>
      <c r="AI248" s="551"/>
      <c r="AJ248" s="551"/>
      <c r="AK248" s="551"/>
      <c r="AL248" s="551"/>
      <c r="AM248" s="551"/>
      <c r="AN248" s="551"/>
      <c r="AO248" s="551"/>
      <c r="AP248" s="551"/>
      <c r="AQ248" s="551"/>
      <c r="AR248" s="551"/>
      <c r="AS248" s="551"/>
      <c r="AT248" s="551"/>
      <c r="AU248" s="551"/>
      <c r="AV248" s="551"/>
      <c r="AW248" s="551"/>
      <c r="AX248" s="551"/>
      <c r="AY248" s="551"/>
      <c r="AZ248" s="551"/>
      <c r="BA248" s="551"/>
      <c r="BB248" s="551"/>
      <c r="BC248" s="551"/>
      <c r="BD248" s="551"/>
      <c r="BE248" s="551"/>
      <c r="BF248" s="551"/>
      <c r="BG248" s="551"/>
      <c r="BH248" s="551"/>
      <c r="BI248" s="551"/>
      <c r="BJ248" s="551"/>
      <c r="BK248" s="551"/>
    </row>
    <row r="249" spans="1:63" ht="12.75" customHeight="1">
      <c r="A249" s="551"/>
      <c r="B249" s="551"/>
      <c r="C249" s="551"/>
      <c r="D249" s="551"/>
      <c r="E249" s="551"/>
      <c r="F249" s="551"/>
      <c r="G249" s="551"/>
      <c r="H249" s="551"/>
      <c r="I249" s="551"/>
      <c r="J249" s="551"/>
      <c r="K249" s="551"/>
      <c r="L249" s="551"/>
      <c r="M249" s="551"/>
      <c r="N249" s="551"/>
      <c r="O249" s="551"/>
      <c r="P249" s="551"/>
      <c r="Q249" s="551"/>
      <c r="R249" s="551"/>
      <c r="S249" s="551"/>
      <c r="T249" s="551"/>
      <c r="U249" s="551"/>
      <c r="V249" s="551"/>
      <c r="W249" s="551"/>
      <c r="X249" s="551"/>
      <c r="Y249" s="551"/>
      <c r="Z249" s="551"/>
      <c r="AA249" s="551"/>
      <c r="AB249" s="551"/>
      <c r="AC249" s="551"/>
      <c r="AD249" s="551"/>
      <c r="AE249" s="551"/>
      <c r="AF249" s="551"/>
      <c r="AG249" s="551"/>
      <c r="AH249" s="551"/>
      <c r="AI249" s="551"/>
      <c r="AJ249" s="551"/>
      <c r="AK249" s="551"/>
      <c r="AL249" s="551"/>
      <c r="AM249" s="551"/>
      <c r="AN249" s="551"/>
      <c r="AO249" s="551"/>
      <c r="AP249" s="551"/>
      <c r="AQ249" s="551"/>
      <c r="AR249" s="551"/>
      <c r="AS249" s="551"/>
      <c r="AT249" s="551"/>
      <c r="AU249" s="551"/>
      <c r="AV249" s="551"/>
      <c r="AW249" s="551"/>
      <c r="AX249" s="551"/>
      <c r="AY249" s="551"/>
      <c r="AZ249" s="551"/>
      <c r="BA249" s="551"/>
      <c r="BB249" s="551"/>
      <c r="BC249" s="551"/>
      <c r="BD249" s="551"/>
      <c r="BE249" s="551"/>
      <c r="BF249" s="551"/>
      <c r="BG249" s="551"/>
      <c r="BH249" s="551"/>
      <c r="BI249" s="551"/>
      <c r="BJ249" s="551"/>
      <c r="BK249" s="551"/>
    </row>
    <row r="250" spans="1:63" ht="12.75" customHeight="1">
      <c r="A250" s="551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1"/>
      <c r="P250" s="551"/>
      <c r="Q250" s="551"/>
      <c r="R250" s="551"/>
      <c r="S250" s="551"/>
      <c r="T250" s="551"/>
      <c r="U250" s="551"/>
      <c r="V250" s="551"/>
      <c r="W250" s="551"/>
      <c r="X250" s="551"/>
      <c r="Y250" s="551"/>
      <c r="Z250" s="551"/>
      <c r="AA250" s="551"/>
      <c r="AB250" s="551"/>
      <c r="AC250" s="551"/>
      <c r="AD250" s="551"/>
      <c r="AE250" s="551"/>
      <c r="AF250" s="551"/>
      <c r="AG250" s="551"/>
      <c r="AH250" s="551"/>
      <c r="AI250" s="551"/>
      <c r="AJ250" s="551"/>
      <c r="AK250" s="551"/>
      <c r="AL250" s="551"/>
      <c r="AM250" s="551"/>
      <c r="AN250" s="551"/>
      <c r="AO250" s="551"/>
      <c r="AP250" s="551"/>
      <c r="AQ250" s="551"/>
      <c r="AR250" s="551"/>
      <c r="AS250" s="551"/>
      <c r="AT250" s="551"/>
      <c r="AU250" s="551"/>
      <c r="AV250" s="551"/>
      <c r="AW250" s="551"/>
      <c r="AX250" s="551"/>
      <c r="AY250" s="551"/>
      <c r="AZ250" s="551"/>
      <c r="BA250" s="551"/>
      <c r="BB250" s="551"/>
      <c r="BC250" s="551"/>
      <c r="BD250" s="551"/>
      <c r="BE250" s="551"/>
      <c r="BF250" s="551"/>
      <c r="BG250" s="551"/>
      <c r="BH250" s="551"/>
      <c r="BI250" s="551"/>
      <c r="BJ250" s="551"/>
      <c r="BK250" s="551"/>
    </row>
    <row r="251" spans="1:63" ht="12.75" customHeight="1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1"/>
      <c r="P251" s="551"/>
      <c r="Q251" s="551"/>
      <c r="R251" s="551"/>
      <c r="S251" s="551"/>
      <c r="T251" s="551"/>
      <c r="U251" s="551"/>
      <c r="V251" s="551"/>
      <c r="W251" s="551"/>
      <c r="X251" s="551"/>
      <c r="Y251" s="551"/>
      <c r="Z251" s="551"/>
      <c r="AA251" s="551"/>
      <c r="AB251" s="551"/>
      <c r="AC251" s="551"/>
      <c r="AD251" s="551"/>
      <c r="AE251" s="551"/>
      <c r="AF251" s="551"/>
      <c r="AG251" s="551"/>
      <c r="AH251" s="551"/>
      <c r="AI251" s="551"/>
      <c r="AJ251" s="551"/>
      <c r="AK251" s="551"/>
      <c r="AL251" s="551"/>
      <c r="AM251" s="551"/>
      <c r="AN251" s="551"/>
      <c r="AO251" s="551"/>
      <c r="AP251" s="551"/>
      <c r="AQ251" s="551"/>
      <c r="AR251" s="551"/>
      <c r="AS251" s="551"/>
      <c r="AT251" s="551"/>
      <c r="AU251" s="551"/>
      <c r="AV251" s="551"/>
      <c r="AW251" s="551"/>
      <c r="AX251" s="551"/>
      <c r="AY251" s="551"/>
      <c r="AZ251" s="551"/>
      <c r="BA251" s="551"/>
      <c r="BB251" s="551"/>
      <c r="BC251" s="551"/>
      <c r="BD251" s="551"/>
      <c r="BE251" s="551"/>
      <c r="BF251" s="551"/>
      <c r="BG251" s="551"/>
      <c r="BH251" s="551"/>
      <c r="BI251" s="551"/>
      <c r="BJ251" s="551"/>
      <c r="BK251" s="551"/>
    </row>
    <row r="252" spans="1:63" ht="12.75" customHeight="1">
      <c r="A252" s="551"/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51"/>
      <c r="AB252" s="551"/>
      <c r="AC252" s="551"/>
      <c r="AD252" s="551"/>
      <c r="AE252" s="551"/>
      <c r="AF252" s="551"/>
      <c r="AG252" s="551"/>
      <c r="AH252" s="551"/>
      <c r="AI252" s="551"/>
      <c r="AJ252" s="551"/>
      <c r="AK252" s="551"/>
      <c r="AL252" s="551"/>
      <c r="AM252" s="551"/>
      <c r="AN252" s="551"/>
      <c r="AO252" s="551"/>
      <c r="AP252" s="551"/>
      <c r="AQ252" s="551"/>
      <c r="AR252" s="551"/>
      <c r="AS252" s="551"/>
      <c r="AT252" s="551"/>
      <c r="AU252" s="551"/>
      <c r="AV252" s="551"/>
      <c r="AW252" s="551"/>
      <c r="AX252" s="551"/>
      <c r="AY252" s="551"/>
      <c r="AZ252" s="551"/>
      <c r="BA252" s="551"/>
      <c r="BB252" s="551"/>
      <c r="BC252" s="551"/>
      <c r="BD252" s="551"/>
      <c r="BE252" s="551"/>
      <c r="BF252" s="551"/>
      <c r="BG252" s="551"/>
      <c r="BH252" s="551"/>
      <c r="BI252" s="551"/>
      <c r="BJ252" s="551"/>
      <c r="BK252" s="551"/>
    </row>
    <row r="253" spans="1:63" ht="12.75" customHeight="1">
      <c r="A253" s="551"/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51"/>
      <c r="AB253" s="551"/>
      <c r="AC253" s="551"/>
      <c r="AD253" s="551"/>
      <c r="AE253" s="551"/>
      <c r="AF253" s="551"/>
      <c r="AG253" s="551"/>
      <c r="AH253" s="551"/>
      <c r="AI253" s="551"/>
      <c r="AJ253" s="551"/>
      <c r="AK253" s="551"/>
      <c r="AL253" s="551"/>
      <c r="AM253" s="551"/>
      <c r="AN253" s="551"/>
      <c r="AO253" s="551"/>
      <c r="AP253" s="551"/>
      <c r="AQ253" s="551"/>
      <c r="AR253" s="551"/>
      <c r="AS253" s="551"/>
      <c r="AT253" s="551"/>
      <c r="AU253" s="551"/>
      <c r="AV253" s="551"/>
      <c r="AW253" s="551"/>
      <c r="AX253" s="551"/>
      <c r="AY253" s="551"/>
      <c r="AZ253" s="551"/>
      <c r="BA253" s="551"/>
      <c r="BB253" s="551"/>
      <c r="BC253" s="551"/>
      <c r="BD253" s="551"/>
      <c r="BE253" s="551"/>
      <c r="BF253" s="551"/>
      <c r="BG253" s="551"/>
      <c r="BH253" s="551"/>
      <c r="BI253" s="551"/>
      <c r="BJ253" s="551"/>
      <c r="BK253" s="551"/>
    </row>
    <row r="254" spans="1:63" ht="12.75" customHeight="1">
      <c r="A254" s="551"/>
      <c r="B254" s="551"/>
      <c r="C254" s="551"/>
      <c r="D254" s="551"/>
      <c r="E254" s="551"/>
      <c r="F254" s="551"/>
      <c r="G254" s="551"/>
      <c r="H254" s="551"/>
      <c r="I254" s="551"/>
      <c r="J254" s="551"/>
      <c r="K254" s="551"/>
      <c r="L254" s="551"/>
      <c r="M254" s="551"/>
      <c r="N254" s="551"/>
      <c r="O254" s="551"/>
      <c r="P254" s="551"/>
      <c r="Q254" s="551"/>
      <c r="R254" s="551"/>
      <c r="S254" s="551"/>
      <c r="T254" s="551"/>
      <c r="U254" s="551"/>
      <c r="V254" s="551"/>
      <c r="W254" s="551"/>
      <c r="X254" s="551"/>
      <c r="Y254" s="551"/>
      <c r="Z254" s="551"/>
      <c r="AA254" s="551"/>
      <c r="AB254" s="551"/>
      <c r="AC254" s="551"/>
      <c r="AD254" s="551"/>
      <c r="AE254" s="551"/>
      <c r="AF254" s="551"/>
      <c r="AG254" s="551"/>
      <c r="AH254" s="551"/>
      <c r="AI254" s="551"/>
      <c r="AJ254" s="551"/>
      <c r="AK254" s="551"/>
      <c r="AL254" s="551"/>
      <c r="AM254" s="551"/>
      <c r="AN254" s="551"/>
      <c r="AO254" s="551"/>
      <c r="AP254" s="551"/>
      <c r="AQ254" s="551"/>
      <c r="AR254" s="551"/>
      <c r="AS254" s="551"/>
      <c r="AT254" s="551"/>
      <c r="AU254" s="551"/>
      <c r="AV254" s="551"/>
      <c r="AW254" s="551"/>
      <c r="AX254" s="551"/>
      <c r="AY254" s="551"/>
      <c r="AZ254" s="551"/>
      <c r="BA254" s="551"/>
      <c r="BB254" s="551"/>
      <c r="BC254" s="551"/>
      <c r="BD254" s="551"/>
      <c r="BE254" s="551"/>
      <c r="BF254" s="551"/>
      <c r="BG254" s="551"/>
      <c r="BH254" s="551"/>
      <c r="BI254" s="551"/>
      <c r="BJ254" s="551"/>
      <c r="BK254" s="551"/>
    </row>
    <row r="255" spans="1:63" ht="12.75" customHeight="1">
      <c r="A255" s="551"/>
      <c r="B255" s="551"/>
      <c r="C255" s="551"/>
      <c r="D255" s="551"/>
      <c r="E255" s="551"/>
      <c r="F255" s="551"/>
      <c r="G255" s="551"/>
      <c r="H255" s="551"/>
      <c r="I255" s="551"/>
      <c r="J255" s="551"/>
      <c r="K255" s="551"/>
      <c r="L255" s="551"/>
      <c r="M255" s="551"/>
      <c r="N255" s="551"/>
      <c r="O255" s="551"/>
      <c r="P255" s="551"/>
      <c r="Q255" s="551"/>
      <c r="R255" s="551"/>
      <c r="S255" s="551"/>
      <c r="T255" s="551"/>
      <c r="U255" s="551"/>
      <c r="V255" s="551"/>
      <c r="W255" s="551"/>
      <c r="X255" s="551"/>
      <c r="Y255" s="551"/>
      <c r="Z255" s="551"/>
      <c r="AA255" s="551"/>
      <c r="AB255" s="551"/>
      <c r="AC255" s="551"/>
      <c r="AD255" s="551"/>
      <c r="AE255" s="551"/>
      <c r="AF255" s="551"/>
      <c r="AG255" s="551"/>
      <c r="AH255" s="551"/>
      <c r="AI255" s="551"/>
      <c r="AJ255" s="551"/>
      <c r="AK255" s="551"/>
      <c r="AL255" s="551"/>
      <c r="AM255" s="551"/>
      <c r="AN255" s="551"/>
      <c r="AO255" s="551"/>
      <c r="AP255" s="551"/>
      <c r="AQ255" s="551"/>
      <c r="AR255" s="551"/>
      <c r="AS255" s="551"/>
      <c r="AT255" s="551"/>
      <c r="AU255" s="551"/>
      <c r="AV255" s="551"/>
      <c r="AW255" s="551"/>
      <c r="AX255" s="551"/>
      <c r="AY255" s="551"/>
      <c r="AZ255" s="551"/>
      <c r="BA255" s="551"/>
      <c r="BB255" s="551"/>
      <c r="BC255" s="551"/>
      <c r="BD255" s="551"/>
      <c r="BE255" s="551"/>
      <c r="BF255" s="551"/>
      <c r="BG255" s="551"/>
      <c r="BH255" s="551"/>
      <c r="BI255" s="551"/>
      <c r="BJ255" s="551"/>
      <c r="BK255" s="551"/>
    </row>
    <row r="256" spans="1:63" ht="12.75" customHeight="1">
      <c r="A256" s="551"/>
      <c r="B256" s="551"/>
      <c r="C256" s="551"/>
      <c r="D256" s="551"/>
      <c r="E256" s="551"/>
      <c r="F256" s="551"/>
      <c r="G256" s="551"/>
      <c r="H256" s="551"/>
      <c r="I256" s="551"/>
      <c r="J256" s="551"/>
      <c r="K256" s="551"/>
      <c r="L256" s="551"/>
      <c r="M256" s="551"/>
      <c r="N256" s="551"/>
      <c r="O256" s="551"/>
      <c r="P256" s="551"/>
      <c r="Q256" s="551"/>
      <c r="R256" s="551"/>
      <c r="S256" s="551"/>
      <c r="T256" s="551"/>
      <c r="U256" s="551"/>
      <c r="V256" s="551"/>
      <c r="W256" s="551"/>
      <c r="X256" s="551"/>
      <c r="Y256" s="551"/>
      <c r="Z256" s="551"/>
      <c r="AA256" s="551"/>
      <c r="AB256" s="551"/>
      <c r="AC256" s="551"/>
      <c r="AD256" s="551"/>
      <c r="AE256" s="551"/>
      <c r="AF256" s="551"/>
      <c r="AG256" s="551"/>
      <c r="AH256" s="551"/>
      <c r="AI256" s="551"/>
      <c r="AJ256" s="551"/>
      <c r="AK256" s="551"/>
      <c r="AL256" s="551"/>
      <c r="AM256" s="551"/>
      <c r="AN256" s="551"/>
      <c r="AO256" s="551"/>
      <c r="AP256" s="551"/>
      <c r="AQ256" s="551"/>
      <c r="AR256" s="551"/>
      <c r="AS256" s="551"/>
      <c r="AT256" s="551"/>
      <c r="AU256" s="551"/>
      <c r="AV256" s="551"/>
      <c r="AW256" s="551"/>
      <c r="AX256" s="551"/>
      <c r="AY256" s="551"/>
      <c r="AZ256" s="551"/>
      <c r="BA256" s="551"/>
      <c r="BB256" s="551"/>
      <c r="BC256" s="551"/>
      <c r="BD256" s="551"/>
      <c r="BE256" s="551"/>
      <c r="BF256" s="551"/>
      <c r="BG256" s="551"/>
      <c r="BH256" s="551"/>
      <c r="BI256" s="551"/>
      <c r="BJ256" s="551"/>
      <c r="BK256" s="551"/>
    </row>
    <row r="257" spans="1:63" ht="12.75" customHeight="1">
      <c r="A257" s="551"/>
      <c r="B257" s="551"/>
      <c r="C257" s="551"/>
      <c r="D257" s="551"/>
      <c r="E257" s="551"/>
      <c r="F257" s="551"/>
      <c r="G257" s="551"/>
      <c r="H257" s="551"/>
      <c r="I257" s="551"/>
      <c r="J257" s="551"/>
      <c r="K257" s="551"/>
      <c r="L257" s="551"/>
      <c r="M257" s="551"/>
      <c r="N257" s="551"/>
      <c r="O257" s="551"/>
      <c r="P257" s="551"/>
      <c r="Q257" s="551"/>
      <c r="R257" s="551"/>
      <c r="S257" s="551"/>
      <c r="T257" s="551"/>
      <c r="U257" s="551"/>
      <c r="V257" s="551"/>
      <c r="W257" s="551"/>
      <c r="X257" s="551"/>
      <c r="Y257" s="551"/>
      <c r="Z257" s="551"/>
      <c r="AA257" s="551"/>
      <c r="AB257" s="551"/>
      <c r="AC257" s="551"/>
      <c r="AD257" s="551"/>
      <c r="AE257" s="551"/>
      <c r="AF257" s="551"/>
      <c r="AG257" s="551"/>
      <c r="AH257" s="551"/>
      <c r="AI257" s="551"/>
      <c r="AJ257" s="551"/>
      <c r="AK257" s="551"/>
      <c r="AL257" s="551"/>
      <c r="AM257" s="551"/>
      <c r="AN257" s="551"/>
      <c r="AO257" s="551"/>
      <c r="AP257" s="551"/>
      <c r="AQ257" s="551"/>
      <c r="AR257" s="551"/>
      <c r="AS257" s="551"/>
      <c r="AT257" s="551"/>
      <c r="AU257" s="551"/>
      <c r="AV257" s="551"/>
      <c r="AW257" s="551"/>
      <c r="AX257" s="551"/>
      <c r="AY257" s="551"/>
      <c r="AZ257" s="551"/>
      <c r="BA257" s="551"/>
      <c r="BB257" s="551"/>
      <c r="BC257" s="551"/>
      <c r="BD257" s="551"/>
      <c r="BE257" s="551"/>
      <c r="BF257" s="551"/>
      <c r="BG257" s="551"/>
      <c r="BH257" s="551"/>
      <c r="BI257" s="551"/>
      <c r="BJ257" s="551"/>
      <c r="BK257" s="551"/>
    </row>
    <row r="258" spans="1:63" ht="12.75" customHeight="1">
      <c r="A258" s="551"/>
      <c r="B258" s="551"/>
      <c r="C258" s="551"/>
      <c r="D258" s="551"/>
      <c r="E258" s="551"/>
      <c r="F258" s="551"/>
      <c r="G258" s="551"/>
      <c r="H258" s="551"/>
      <c r="I258" s="551"/>
      <c r="J258" s="551"/>
      <c r="K258" s="551"/>
      <c r="L258" s="551"/>
      <c r="M258" s="551"/>
      <c r="N258" s="551"/>
      <c r="O258" s="551"/>
      <c r="P258" s="551"/>
      <c r="Q258" s="551"/>
      <c r="R258" s="551"/>
      <c r="S258" s="551"/>
      <c r="T258" s="551"/>
      <c r="U258" s="551"/>
      <c r="V258" s="551"/>
      <c r="W258" s="551"/>
      <c r="X258" s="551"/>
      <c r="Y258" s="551"/>
      <c r="Z258" s="551"/>
      <c r="AA258" s="551"/>
      <c r="AB258" s="551"/>
      <c r="AC258" s="551"/>
      <c r="AD258" s="551"/>
      <c r="AE258" s="551"/>
      <c r="AF258" s="551"/>
      <c r="AG258" s="551"/>
      <c r="AH258" s="551"/>
      <c r="AI258" s="551"/>
      <c r="AJ258" s="551"/>
      <c r="AK258" s="551"/>
      <c r="AL258" s="551"/>
      <c r="AM258" s="551"/>
      <c r="AN258" s="551"/>
      <c r="AO258" s="551"/>
      <c r="AP258" s="551"/>
      <c r="AQ258" s="551"/>
      <c r="AR258" s="551"/>
      <c r="AS258" s="551"/>
      <c r="AT258" s="551"/>
      <c r="AU258" s="551"/>
      <c r="AV258" s="551"/>
      <c r="AW258" s="551"/>
      <c r="AX258" s="551"/>
      <c r="AY258" s="551"/>
      <c r="AZ258" s="551"/>
      <c r="BA258" s="551"/>
      <c r="BB258" s="551"/>
      <c r="BC258" s="551"/>
      <c r="BD258" s="551"/>
      <c r="BE258" s="551"/>
      <c r="BF258" s="551"/>
      <c r="BG258" s="551"/>
      <c r="BH258" s="551"/>
      <c r="BI258" s="551"/>
      <c r="BJ258" s="551"/>
      <c r="BK258" s="551"/>
    </row>
    <row r="259" spans="1:63" ht="12.75" customHeight="1">
      <c r="A259" s="551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1"/>
      <c r="P259" s="551"/>
      <c r="Q259" s="551"/>
      <c r="R259" s="551"/>
      <c r="S259" s="551"/>
      <c r="T259" s="551"/>
      <c r="U259" s="551"/>
      <c r="V259" s="551"/>
      <c r="W259" s="551"/>
      <c r="X259" s="551"/>
      <c r="Y259" s="551"/>
      <c r="Z259" s="551"/>
      <c r="AA259" s="551"/>
      <c r="AB259" s="551"/>
      <c r="AC259" s="551"/>
      <c r="AD259" s="551"/>
      <c r="AE259" s="551"/>
      <c r="AF259" s="551"/>
      <c r="AG259" s="551"/>
      <c r="AH259" s="551"/>
      <c r="AI259" s="551"/>
      <c r="AJ259" s="551"/>
      <c r="AK259" s="551"/>
      <c r="AL259" s="551"/>
      <c r="AM259" s="551"/>
      <c r="AN259" s="551"/>
      <c r="AO259" s="551"/>
      <c r="AP259" s="551"/>
      <c r="AQ259" s="551"/>
      <c r="AR259" s="551"/>
      <c r="AS259" s="551"/>
      <c r="AT259" s="551"/>
      <c r="AU259" s="551"/>
      <c r="AV259" s="551"/>
      <c r="AW259" s="551"/>
      <c r="AX259" s="551"/>
      <c r="AY259" s="551"/>
      <c r="AZ259" s="551"/>
      <c r="BA259" s="551"/>
      <c r="BB259" s="551"/>
      <c r="BC259" s="551"/>
      <c r="BD259" s="551"/>
      <c r="BE259" s="551"/>
      <c r="BF259" s="551"/>
      <c r="BG259" s="551"/>
      <c r="BH259" s="551"/>
      <c r="BI259" s="551"/>
      <c r="BJ259" s="551"/>
      <c r="BK259" s="551"/>
    </row>
    <row r="260" spans="1:63" ht="12.75" customHeight="1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1"/>
      <c r="P260" s="551"/>
      <c r="Q260" s="551"/>
      <c r="R260" s="551"/>
      <c r="S260" s="551"/>
      <c r="T260" s="551"/>
      <c r="U260" s="551"/>
      <c r="V260" s="551"/>
      <c r="W260" s="551"/>
      <c r="X260" s="551"/>
      <c r="Y260" s="551"/>
      <c r="Z260" s="551"/>
      <c r="AA260" s="551"/>
      <c r="AB260" s="551"/>
      <c r="AC260" s="551"/>
      <c r="AD260" s="551"/>
      <c r="AE260" s="551"/>
      <c r="AF260" s="551"/>
      <c r="AG260" s="551"/>
      <c r="AH260" s="551"/>
      <c r="AI260" s="551"/>
      <c r="AJ260" s="551"/>
      <c r="AK260" s="551"/>
      <c r="AL260" s="551"/>
      <c r="AM260" s="551"/>
      <c r="AN260" s="551"/>
      <c r="AO260" s="551"/>
      <c r="AP260" s="551"/>
      <c r="AQ260" s="551"/>
      <c r="AR260" s="551"/>
      <c r="AS260" s="551"/>
      <c r="AT260" s="551"/>
      <c r="AU260" s="551"/>
      <c r="AV260" s="551"/>
      <c r="AW260" s="551"/>
      <c r="AX260" s="551"/>
      <c r="AY260" s="551"/>
      <c r="AZ260" s="551"/>
      <c r="BA260" s="551"/>
      <c r="BB260" s="551"/>
      <c r="BC260" s="551"/>
      <c r="BD260" s="551"/>
      <c r="BE260" s="551"/>
      <c r="BF260" s="551"/>
      <c r="BG260" s="551"/>
      <c r="BH260" s="551"/>
      <c r="BI260" s="551"/>
      <c r="BJ260" s="551"/>
      <c r="BK260" s="551"/>
    </row>
    <row r="261" spans="1:63" ht="12.75" customHeight="1">
      <c r="A261" s="551"/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51"/>
      <c r="AB261" s="551"/>
      <c r="AC261" s="551"/>
      <c r="AD261" s="551"/>
      <c r="AE261" s="551"/>
      <c r="AF261" s="551"/>
      <c r="AG261" s="551"/>
      <c r="AH261" s="551"/>
      <c r="AI261" s="551"/>
      <c r="AJ261" s="551"/>
      <c r="AK261" s="551"/>
      <c r="AL261" s="551"/>
      <c r="AM261" s="551"/>
      <c r="AN261" s="551"/>
      <c r="AO261" s="551"/>
      <c r="AP261" s="551"/>
      <c r="AQ261" s="551"/>
      <c r="AR261" s="551"/>
      <c r="AS261" s="551"/>
      <c r="AT261" s="551"/>
      <c r="AU261" s="551"/>
      <c r="AV261" s="551"/>
      <c r="AW261" s="551"/>
      <c r="AX261" s="551"/>
      <c r="AY261" s="551"/>
      <c r="AZ261" s="551"/>
      <c r="BA261" s="551"/>
      <c r="BB261" s="551"/>
      <c r="BC261" s="551"/>
      <c r="BD261" s="551"/>
      <c r="BE261" s="551"/>
      <c r="BF261" s="551"/>
      <c r="BG261" s="551"/>
      <c r="BH261" s="551"/>
      <c r="BI261" s="551"/>
      <c r="BJ261" s="551"/>
      <c r="BK261" s="551"/>
    </row>
    <row r="262" spans="1:63" ht="12.75" customHeight="1">
      <c r="A262" s="551"/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51"/>
      <c r="AB262" s="551"/>
      <c r="AC262" s="551"/>
      <c r="AD262" s="551"/>
      <c r="AE262" s="551"/>
      <c r="AF262" s="551"/>
      <c r="AG262" s="551"/>
      <c r="AH262" s="551"/>
      <c r="AI262" s="551"/>
      <c r="AJ262" s="551"/>
      <c r="AK262" s="551"/>
      <c r="AL262" s="551"/>
      <c r="AM262" s="551"/>
      <c r="AN262" s="551"/>
      <c r="AO262" s="551"/>
      <c r="AP262" s="551"/>
      <c r="AQ262" s="551"/>
      <c r="AR262" s="551"/>
      <c r="AS262" s="551"/>
      <c r="AT262" s="551"/>
      <c r="AU262" s="551"/>
      <c r="AV262" s="551"/>
      <c r="AW262" s="551"/>
      <c r="AX262" s="551"/>
      <c r="AY262" s="551"/>
      <c r="AZ262" s="551"/>
      <c r="BA262" s="551"/>
      <c r="BB262" s="551"/>
      <c r="BC262" s="551"/>
      <c r="BD262" s="551"/>
      <c r="BE262" s="551"/>
      <c r="BF262" s="551"/>
      <c r="BG262" s="551"/>
      <c r="BH262" s="551"/>
      <c r="BI262" s="551"/>
      <c r="BJ262" s="551"/>
      <c r="BK262" s="551"/>
    </row>
    <row r="263" spans="1:63" ht="12.75" customHeight="1">
      <c r="A263" s="551"/>
      <c r="B263" s="551"/>
      <c r="C263" s="551"/>
      <c r="D263" s="551"/>
      <c r="E263" s="551"/>
      <c r="F263" s="551"/>
      <c r="G263" s="551"/>
      <c r="H263" s="551"/>
      <c r="I263" s="551"/>
      <c r="J263" s="551"/>
      <c r="K263" s="551"/>
      <c r="L263" s="551"/>
      <c r="M263" s="551"/>
      <c r="N263" s="551"/>
      <c r="O263" s="551"/>
      <c r="P263" s="551"/>
      <c r="Q263" s="551"/>
      <c r="R263" s="551"/>
      <c r="S263" s="551"/>
      <c r="T263" s="551"/>
      <c r="U263" s="551"/>
      <c r="V263" s="551"/>
      <c r="W263" s="551"/>
      <c r="X263" s="551"/>
      <c r="Y263" s="551"/>
      <c r="Z263" s="551"/>
      <c r="AA263" s="551"/>
      <c r="AB263" s="551"/>
      <c r="AC263" s="551"/>
      <c r="AD263" s="551"/>
      <c r="AE263" s="551"/>
      <c r="AF263" s="551"/>
      <c r="AG263" s="551"/>
      <c r="AH263" s="551"/>
      <c r="AI263" s="551"/>
      <c r="AJ263" s="551"/>
      <c r="AK263" s="551"/>
      <c r="AL263" s="551"/>
      <c r="AM263" s="551"/>
      <c r="AN263" s="551"/>
      <c r="AO263" s="551"/>
      <c r="AP263" s="551"/>
      <c r="AQ263" s="551"/>
      <c r="AR263" s="551"/>
      <c r="AS263" s="551"/>
      <c r="AT263" s="551"/>
      <c r="AU263" s="551"/>
      <c r="AV263" s="551"/>
      <c r="AW263" s="551"/>
      <c r="AX263" s="551"/>
      <c r="AY263" s="551"/>
      <c r="AZ263" s="551"/>
      <c r="BA263" s="551"/>
      <c r="BB263" s="551"/>
      <c r="BC263" s="551"/>
      <c r="BD263" s="551"/>
      <c r="BE263" s="551"/>
      <c r="BF263" s="551"/>
      <c r="BG263" s="551"/>
      <c r="BH263" s="551"/>
      <c r="BI263" s="551"/>
      <c r="BJ263" s="551"/>
      <c r="BK263" s="551"/>
    </row>
    <row r="264" spans="1:63" ht="12.75" customHeight="1">
      <c r="A264" s="551"/>
      <c r="B264" s="551"/>
      <c r="C264" s="551"/>
      <c r="D264" s="551"/>
      <c r="E264" s="551"/>
      <c r="F264" s="551"/>
      <c r="G264" s="551"/>
      <c r="H264" s="551"/>
      <c r="I264" s="551"/>
      <c r="J264" s="551"/>
      <c r="K264" s="551"/>
      <c r="L264" s="551"/>
      <c r="M264" s="551"/>
      <c r="N264" s="551"/>
      <c r="O264" s="551"/>
      <c r="P264" s="551"/>
      <c r="Q264" s="551"/>
      <c r="R264" s="551"/>
      <c r="S264" s="551"/>
      <c r="T264" s="551"/>
      <c r="U264" s="551"/>
      <c r="V264" s="551"/>
      <c r="W264" s="551"/>
      <c r="X264" s="551"/>
      <c r="Y264" s="551"/>
      <c r="Z264" s="551"/>
      <c r="AA264" s="551"/>
      <c r="AB264" s="551"/>
      <c r="AC264" s="551"/>
      <c r="AD264" s="551"/>
      <c r="AE264" s="551"/>
      <c r="AF264" s="551"/>
      <c r="AG264" s="551"/>
      <c r="AH264" s="551"/>
      <c r="AI264" s="551"/>
      <c r="AJ264" s="551"/>
      <c r="AK264" s="551"/>
      <c r="AL264" s="551"/>
      <c r="AM264" s="551"/>
      <c r="AN264" s="551"/>
      <c r="AO264" s="551"/>
      <c r="AP264" s="551"/>
      <c r="AQ264" s="551"/>
      <c r="AR264" s="551"/>
      <c r="AS264" s="551"/>
      <c r="AT264" s="551"/>
      <c r="AU264" s="551"/>
      <c r="AV264" s="551"/>
      <c r="AW264" s="551"/>
      <c r="AX264" s="551"/>
      <c r="AY264" s="551"/>
      <c r="AZ264" s="551"/>
      <c r="BA264" s="551"/>
      <c r="BB264" s="551"/>
      <c r="BC264" s="551"/>
      <c r="BD264" s="551"/>
      <c r="BE264" s="551"/>
      <c r="BF264" s="551"/>
      <c r="BG264" s="551"/>
      <c r="BH264" s="551"/>
      <c r="BI264" s="551"/>
      <c r="BJ264" s="551"/>
      <c r="BK264" s="551"/>
    </row>
    <row r="265" spans="1:63" ht="12.75" customHeight="1">
      <c r="A265" s="551"/>
      <c r="B265" s="551"/>
      <c r="C265" s="551"/>
      <c r="D265" s="551"/>
      <c r="E265" s="551"/>
      <c r="F265" s="551"/>
      <c r="G265" s="551"/>
      <c r="H265" s="551"/>
      <c r="I265" s="551"/>
      <c r="J265" s="551"/>
      <c r="K265" s="551"/>
      <c r="L265" s="551"/>
      <c r="M265" s="551"/>
      <c r="N265" s="551"/>
      <c r="O265" s="551"/>
      <c r="P265" s="551"/>
      <c r="Q265" s="551"/>
      <c r="R265" s="551"/>
      <c r="S265" s="551"/>
      <c r="T265" s="551"/>
      <c r="U265" s="551"/>
      <c r="V265" s="551"/>
      <c r="W265" s="551"/>
      <c r="X265" s="551"/>
      <c r="Y265" s="551"/>
      <c r="Z265" s="551"/>
      <c r="AA265" s="551"/>
      <c r="AB265" s="551"/>
      <c r="AC265" s="551"/>
      <c r="AD265" s="551"/>
      <c r="AE265" s="551"/>
      <c r="AF265" s="551"/>
      <c r="AG265" s="551"/>
      <c r="AH265" s="551"/>
      <c r="AI265" s="551"/>
      <c r="AJ265" s="551"/>
      <c r="AK265" s="551"/>
      <c r="AL265" s="551"/>
      <c r="AM265" s="551"/>
      <c r="AN265" s="551"/>
      <c r="AO265" s="551"/>
      <c r="AP265" s="551"/>
      <c r="AQ265" s="551"/>
      <c r="AR265" s="551"/>
      <c r="AS265" s="551"/>
      <c r="AT265" s="551"/>
      <c r="AU265" s="551"/>
      <c r="AV265" s="551"/>
      <c r="AW265" s="551"/>
      <c r="AX265" s="551"/>
      <c r="AY265" s="551"/>
      <c r="AZ265" s="551"/>
      <c r="BA265" s="551"/>
      <c r="BB265" s="551"/>
      <c r="BC265" s="551"/>
      <c r="BD265" s="551"/>
      <c r="BE265" s="551"/>
      <c r="BF265" s="551"/>
      <c r="BG265" s="551"/>
      <c r="BH265" s="551"/>
      <c r="BI265" s="551"/>
      <c r="BJ265" s="551"/>
      <c r="BK265" s="551"/>
    </row>
    <row r="266" spans="1:63" ht="12.75" customHeight="1">
      <c r="A266" s="551"/>
      <c r="B266" s="551"/>
      <c r="C266" s="551"/>
      <c r="D266" s="551"/>
      <c r="E266" s="551"/>
      <c r="F266" s="551"/>
      <c r="G266" s="551"/>
      <c r="H266" s="551"/>
      <c r="I266" s="551"/>
      <c r="J266" s="551"/>
      <c r="K266" s="551"/>
      <c r="L266" s="551"/>
      <c r="M266" s="551"/>
      <c r="N266" s="551"/>
      <c r="O266" s="551"/>
      <c r="P266" s="551"/>
      <c r="Q266" s="551"/>
      <c r="R266" s="551"/>
      <c r="S266" s="551"/>
      <c r="T266" s="551"/>
      <c r="U266" s="551"/>
      <c r="V266" s="551"/>
      <c r="W266" s="551"/>
      <c r="X266" s="551"/>
      <c r="Y266" s="551"/>
      <c r="Z266" s="551"/>
      <c r="AA266" s="551"/>
      <c r="AB266" s="551"/>
      <c r="AC266" s="551"/>
      <c r="AD266" s="551"/>
      <c r="AE266" s="551"/>
      <c r="AF266" s="551"/>
      <c r="AG266" s="551"/>
      <c r="AH266" s="551"/>
      <c r="AI266" s="551"/>
      <c r="AJ266" s="551"/>
      <c r="AK266" s="551"/>
      <c r="AL266" s="551"/>
      <c r="AM266" s="551"/>
      <c r="AN266" s="551"/>
      <c r="AO266" s="551"/>
      <c r="AP266" s="551"/>
      <c r="AQ266" s="551"/>
      <c r="AR266" s="551"/>
      <c r="AS266" s="551"/>
      <c r="AT266" s="551"/>
      <c r="AU266" s="551"/>
      <c r="AV266" s="551"/>
      <c r="AW266" s="551"/>
      <c r="AX266" s="551"/>
      <c r="AY266" s="551"/>
      <c r="AZ266" s="551"/>
      <c r="BA266" s="551"/>
      <c r="BB266" s="551"/>
      <c r="BC266" s="551"/>
      <c r="BD266" s="551"/>
      <c r="BE266" s="551"/>
      <c r="BF266" s="551"/>
      <c r="BG266" s="551"/>
      <c r="BH266" s="551"/>
      <c r="BI266" s="551"/>
      <c r="BJ266" s="551"/>
      <c r="BK266" s="551"/>
    </row>
    <row r="267" spans="1:63" ht="12.75" customHeight="1">
      <c r="A267" s="551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1"/>
      <c r="P267" s="551"/>
      <c r="Q267" s="551"/>
      <c r="R267" s="551"/>
      <c r="S267" s="551"/>
      <c r="T267" s="551"/>
      <c r="U267" s="551"/>
      <c r="V267" s="551"/>
      <c r="W267" s="551"/>
      <c r="X267" s="551"/>
      <c r="Y267" s="551"/>
      <c r="Z267" s="551"/>
      <c r="AA267" s="551"/>
      <c r="AB267" s="551"/>
      <c r="AC267" s="551"/>
      <c r="AD267" s="551"/>
      <c r="AE267" s="551"/>
      <c r="AF267" s="551"/>
      <c r="AG267" s="551"/>
      <c r="AH267" s="551"/>
      <c r="AI267" s="551"/>
      <c r="AJ267" s="551"/>
      <c r="AK267" s="551"/>
      <c r="AL267" s="551"/>
      <c r="AM267" s="551"/>
      <c r="AN267" s="551"/>
      <c r="AO267" s="551"/>
      <c r="AP267" s="551"/>
      <c r="AQ267" s="551"/>
      <c r="AR267" s="551"/>
      <c r="AS267" s="551"/>
      <c r="AT267" s="551"/>
      <c r="AU267" s="551"/>
      <c r="AV267" s="551"/>
      <c r="AW267" s="551"/>
      <c r="AX267" s="551"/>
      <c r="AY267" s="551"/>
      <c r="AZ267" s="551"/>
      <c r="BA267" s="551"/>
      <c r="BB267" s="551"/>
      <c r="BC267" s="551"/>
      <c r="BD267" s="551"/>
      <c r="BE267" s="551"/>
      <c r="BF267" s="551"/>
      <c r="BG267" s="551"/>
      <c r="BH267" s="551"/>
      <c r="BI267" s="551"/>
      <c r="BJ267" s="551"/>
      <c r="BK267" s="551"/>
    </row>
    <row r="268" spans="1:63" ht="12.75" customHeight="1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1"/>
      <c r="P268" s="551"/>
      <c r="Q268" s="551"/>
      <c r="R268" s="551"/>
      <c r="S268" s="551"/>
      <c r="T268" s="551"/>
      <c r="U268" s="551"/>
      <c r="V268" s="551"/>
      <c r="W268" s="551"/>
      <c r="X268" s="551"/>
      <c r="Y268" s="551"/>
      <c r="Z268" s="551"/>
      <c r="AA268" s="551"/>
      <c r="AB268" s="551"/>
      <c r="AC268" s="551"/>
      <c r="AD268" s="551"/>
      <c r="AE268" s="551"/>
      <c r="AF268" s="551"/>
      <c r="AG268" s="551"/>
      <c r="AH268" s="551"/>
      <c r="AI268" s="551"/>
      <c r="AJ268" s="551"/>
      <c r="AK268" s="551"/>
      <c r="AL268" s="551"/>
      <c r="AM268" s="551"/>
      <c r="AN268" s="551"/>
      <c r="AO268" s="551"/>
      <c r="AP268" s="551"/>
      <c r="AQ268" s="551"/>
      <c r="AR268" s="551"/>
      <c r="AS268" s="551"/>
      <c r="AT268" s="551"/>
      <c r="AU268" s="551"/>
      <c r="AV268" s="551"/>
      <c r="AW268" s="551"/>
      <c r="AX268" s="551"/>
      <c r="AY268" s="551"/>
      <c r="AZ268" s="551"/>
      <c r="BA268" s="551"/>
      <c r="BB268" s="551"/>
      <c r="BC268" s="551"/>
      <c r="BD268" s="551"/>
      <c r="BE268" s="551"/>
      <c r="BF268" s="551"/>
      <c r="BG268" s="551"/>
      <c r="BH268" s="551"/>
      <c r="BI268" s="551"/>
      <c r="BJ268" s="551"/>
      <c r="BK268" s="551"/>
    </row>
    <row r="269" spans="1:63" ht="12.75" customHeight="1">
      <c r="A269" s="551"/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51"/>
      <c r="AB269" s="551"/>
      <c r="AC269" s="551"/>
      <c r="AD269" s="551"/>
      <c r="AE269" s="551"/>
      <c r="AF269" s="551"/>
      <c r="AG269" s="551"/>
      <c r="AH269" s="551"/>
      <c r="AI269" s="551"/>
      <c r="AJ269" s="551"/>
      <c r="AK269" s="551"/>
      <c r="AL269" s="551"/>
      <c r="AM269" s="551"/>
      <c r="AN269" s="551"/>
      <c r="AO269" s="551"/>
      <c r="AP269" s="551"/>
      <c r="AQ269" s="551"/>
      <c r="AR269" s="551"/>
      <c r="AS269" s="551"/>
      <c r="AT269" s="551"/>
      <c r="AU269" s="551"/>
      <c r="AV269" s="551"/>
      <c r="AW269" s="551"/>
      <c r="AX269" s="551"/>
      <c r="AY269" s="551"/>
      <c r="AZ269" s="551"/>
      <c r="BA269" s="551"/>
      <c r="BB269" s="551"/>
      <c r="BC269" s="551"/>
      <c r="BD269" s="551"/>
      <c r="BE269" s="551"/>
      <c r="BF269" s="551"/>
      <c r="BG269" s="551"/>
      <c r="BH269" s="551"/>
      <c r="BI269" s="551"/>
      <c r="BJ269" s="551"/>
      <c r="BK269" s="551"/>
    </row>
    <row r="270" spans="1:63" ht="12.75" customHeight="1">
      <c r="A270" s="551"/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51"/>
      <c r="AB270" s="551"/>
      <c r="AC270" s="551"/>
      <c r="AD270" s="551"/>
      <c r="AE270" s="551"/>
      <c r="AF270" s="551"/>
      <c r="AG270" s="551"/>
      <c r="AH270" s="551"/>
      <c r="AI270" s="551"/>
      <c r="AJ270" s="551"/>
      <c r="AK270" s="551"/>
      <c r="AL270" s="551"/>
      <c r="AM270" s="551"/>
      <c r="AN270" s="551"/>
      <c r="AO270" s="551"/>
      <c r="AP270" s="551"/>
      <c r="AQ270" s="551"/>
      <c r="AR270" s="551"/>
      <c r="AS270" s="551"/>
      <c r="AT270" s="551"/>
      <c r="AU270" s="551"/>
      <c r="AV270" s="551"/>
      <c r="AW270" s="551"/>
      <c r="AX270" s="551"/>
      <c r="AY270" s="551"/>
      <c r="AZ270" s="551"/>
      <c r="BA270" s="551"/>
      <c r="BB270" s="551"/>
      <c r="BC270" s="551"/>
      <c r="BD270" s="551"/>
      <c r="BE270" s="551"/>
      <c r="BF270" s="551"/>
      <c r="BG270" s="551"/>
      <c r="BH270" s="551"/>
      <c r="BI270" s="551"/>
      <c r="BJ270" s="551"/>
      <c r="BK270" s="551"/>
    </row>
    <row r="271" spans="1:63" ht="12.75" customHeight="1">
      <c r="A271" s="551"/>
      <c r="B271" s="551"/>
      <c r="C271" s="551"/>
      <c r="D271" s="551"/>
      <c r="E271" s="551"/>
      <c r="F271" s="551"/>
      <c r="G271" s="551"/>
      <c r="H271" s="551"/>
      <c r="I271" s="551"/>
      <c r="J271" s="551"/>
      <c r="K271" s="551"/>
      <c r="L271" s="551"/>
      <c r="M271" s="551"/>
      <c r="N271" s="551"/>
      <c r="O271" s="551"/>
      <c r="P271" s="551"/>
      <c r="Q271" s="551"/>
      <c r="R271" s="551"/>
      <c r="S271" s="551"/>
      <c r="T271" s="551"/>
      <c r="U271" s="551"/>
      <c r="V271" s="551"/>
      <c r="W271" s="551"/>
      <c r="X271" s="551"/>
      <c r="Y271" s="551"/>
      <c r="Z271" s="551"/>
      <c r="AA271" s="551"/>
      <c r="AB271" s="551"/>
      <c r="AC271" s="551"/>
      <c r="AD271" s="551"/>
      <c r="AE271" s="551"/>
      <c r="AF271" s="551"/>
      <c r="AG271" s="551"/>
      <c r="AH271" s="551"/>
      <c r="AI271" s="551"/>
      <c r="AJ271" s="551"/>
      <c r="AK271" s="551"/>
      <c r="AL271" s="551"/>
      <c r="AM271" s="551"/>
      <c r="AN271" s="551"/>
      <c r="AO271" s="551"/>
      <c r="AP271" s="551"/>
      <c r="AQ271" s="551"/>
      <c r="AR271" s="551"/>
      <c r="AS271" s="551"/>
      <c r="AT271" s="551"/>
      <c r="AU271" s="551"/>
      <c r="AV271" s="551"/>
      <c r="AW271" s="551"/>
      <c r="AX271" s="551"/>
      <c r="AY271" s="551"/>
      <c r="AZ271" s="551"/>
      <c r="BA271" s="551"/>
      <c r="BB271" s="551"/>
      <c r="BC271" s="551"/>
      <c r="BD271" s="551"/>
      <c r="BE271" s="551"/>
      <c r="BF271" s="551"/>
      <c r="BG271" s="551"/>
      <c r="BH271" s="551"/>
      <c r="BI271" s="551"/>
      <c r="BJ271" s="551"/>
      <c r="BK271" s="551"/>
    </row>
    <row r="272" spans="1:63" ht="12.75" customHeight="1">
      <c r="A272" s="551"/>
      <c r="B272" s="551"/>
      <c r="C272" s="551"/>
      <c r="D272" s="551"/>
      <c r="E272" s="551"/>
      <c r="F272" s="551"/>
      <c r="G272" s="551"/>
      <c r="H272" s="551"/>
      <c r="I272" s="551"/>
      <c r="J272" s="551"/>
      <c r="K272" s="551"/>
      <c r="L272" s="551"/>
      <c r="M272" s="551"/>
      <c r="N272" s="551"/>
      <c r="O272" s="551"/>
      <c r="P272" s="551"/>
      <c r="Q272" s="551"/>
      <c r="R272" s="551"/>
      <c r="S272" s="551"/>
      <c r="T272" s="551"/>
      <c r="U272" s="551"/>
      <c r="V272" s="551"/>
      <c r="W272" s="551"/>
      <c r="X272" s="551"/>
      <c r="Y272" s="551"/>
      <c r="Z272" s="551"/>
      <c r="AA272" s="551"/>
      <c r="AB272" s="551"/>
      <c r="AC272" s="551"/>
      <c r="AD272" s="551"/>
      <c r="AE272" s="551"/>
      <c r="AF272" s="551"/>
      <c r="AG272" s="551"/>
      <c r="AH272" s="551"/>
      <c r="AI272" s="551"/>
      <c r="AJ272" s="551"/>
      <c r="AK272" s="551"/>
      <c r="AL272" s="551"/>
      <c r="AM272" s="551"/>
      <c r="AN272" s="551"/>
      <c r="AO272" s="551"/>
      <c r="AP272" s="551"/>
      <c r="AQ272" s="551"/>
      <c r="AR272" s="551"/>
      <c r="AS272" s="551"/>
      <c r="AT272" s="551"/>
      <c r="AU272" s="551"/>
      <c r="AV272" s="551"/>
      <c r="AW272" s="551"/>
      <c r="AX272" s="551"/>
      <c r="AY272" s="551"/>
      <c r="AZ272" s="551"/>
      <c r="BA272" s="551"/>
      <c r="BB272" s="551"/>
      <c r="BC272" s="551"/>
      <c r="BD272" s="551"/>
      <c r="BE272" s="551"/>
      <c r="BF272" s="551"/>
      <c r="BG272" s="551"/>
      <c r="BH272" s="551"/>
      <c r="BI272" s="551"/>
      <c r="BJ272" s="551"/>
      <c r="BK272" s="551"/>
    </row>
    <row r="273" spans="1:63" ht="12.75" customHeight="1">
      <c r="A273" s="551"/>
      <c r="B273" s="551"/>
      <c r="C273" s="551"/>
      <c r="D273" s="551"/>
      <c r="E273" s="551"/>
      <c r="F273" s="551"/>
      <c r="G273" s="551"/>
      <c r="H273" s="551"/>
      <c r="I273" s="551"/>
      <c r="J273" s="551"/>
      <c r="K273" s="551"/>
      <c r="L273" s="551"/>
      <c r="M273" s="551"/>
      <c r="N273" s="551"/>
      <c r="O273" s="551"/>
      <c r="P273" s="551"/>
      <c r="Q273" s="551"/>
      <c r="R273" s="551"/>
      <c r="S273" s="551"/>
      <c r="T273" s="551"/>
      <c r="U273" s="551"/>
      <c r="V273" s="551"/>
      <c r="W273" s="551"/>
      <c r="X273" s="551"/>
      <c r="Y273" s="551"/>
      <c r="Z273" s="551"/>
      <c r="AA273" s="551"/>
      <c r="AB273" s="551"/>
      <c r="AC273" s="551"/>
      <c r="AD273" s="551"/>
      <c r="AE273" s="551"/>
      <c r="AF273" s="551"/>
      <c r="AG273" s="551"/>
      <c r="AH273" s="551"/>
      <c r="AI273" s="551"/>
      <c r="AJ273" s="551"/>
      <c r="AK273" s="551"/>
      <c r="AL273" s="551"/>
      <c r="AM273" s="551"/>
      <c r="AN273" s="551"/>
      <c r="AO273" s="551"/>
      <c r="AP273" s="551"/>
      <c r="AQ273" s="551"/>
      <c r="AR273" s="551"/>
      <c r="AS273" s="551"/>
      <c r="AT273" s="551"/>
      <c r="AU273" s="551"/>
      <c r="AV273" s="551"/>
      <c r="AW273" s="551"/>
      <c r="AX273" s="551"/>
      <c r="AY273" s="551"/>
      <c r="AZ273" s="551"/>
      <c r="BA273" s="551"/>
      <c r="BB273" s="551"/>
      <c r="BC273" s="551"/>
      <c r="BD273" s="551"/>
      <c r="BE273" s="551"/>
      <c r="BF273" s="551"/>
      <c r="BG273" s="551"/>
      <c r="BH273" s="551"/>
      <c r="BI273" s="551"/>
      <c r="BJ273" s="551"/>
      <c r="BK273" s="551"/>
    </row>
    <row r="274" spans="1:63" ht="12.75" customHeight="1">
      <c r="A274" s="551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1"/>
      <c r="P274" s="551"/>
      <c r="Q274" s="551"/>
      <c r="R274" s="551"/>
      <c r="S274" s="551"/>
      <c r="T274" s="551"/>
      <c r="U274" s="551"/>
      <c r="V274" s="551"/>
      <c r="W274" s="551"/>
      <c r="X274" s="551"/>
      <c r="Y274" s="551"/>
      <c r="Z274" s="551"/>
      <c r="AA274" s="551"/>
      <c r="AB274" s="551"/>
      <c r="AC274" s="551"/>
      <c r="AD274" s="551"/>
      <c r="AE274" s="551"/>
      <c r="AF274" s="551"/>
      <c r="AG274" s="551"/>
      <c r="AH274" s="551"/>
      <c r="AI274" s="551"/>
      <c r="AJ274" s="551"/>
      <c r="AK274" s="551"/>
      <c r="AL274" s="551"/>
      <c r="AM274" s="551"/>
      <c r="AN274" s="551"/>
      <c r="AO274" s="551"/>
      <c r="AP274" s="551"/>
      <c r="AQ274" s="551"/>
      <c r="AR274" s="551"/>
      <c r="AS274" s="551"/>
      <c r="AT274" s="551"/>
      <c r="AU274" s="551"/>
      <c r="AV274" s="551"/>
      <c r="AW274" s="551"/>
      <c r="AX274" s="551"/>
      <c r="AY274" s="551"/>
      <c r="AZ274" s="551"/>
      <c r="BA274" s="551"/>
      <c r="BB274" s="551"/>
      <c r="BC274" s="551"/>
      <c r="BD274" s="551"/>
      <c r="BE274" s="551"/>
      <c r="BF274" s="551"/>
      <c r="BG274" s="551"/>
      <c r="BH274" s="551"/>
      <c r="BI274" s="551"/>
      <c r="BJ274" s="551"/>
      <c r="BK274" s="551"/>
    </row>
    <row r="275" spans="1:63" ht="12.75" customHeight="1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1"/>
      <c r="P275" s="551"/>
      <c r="Q275" s="551"/>
      <c r="R275" s="551"/>
      <c r="S275" s="551"/>
      <c r="T275" s="551"/>
      <c r="U275" s="551"/>
      <c r="V275" s="551"/>
      <c r="W275" s="551"/>
      <c r="X275" s="551"/>
      <c r="Y275" s="551"/>
      <c r="Z275" s="551"/>
      <c r="AA275" s="551"/>
      <c r="AB275" s="551"/>
      <c r="AC275" s="551"/>
      <c r="AD275" s="551"/>
      <c r="AE275" s="551"/>
      <c r="AF275" s="551"/>
      <c r="AG275" s="551"/>
      <c r="AH275" s="551"/>
      <c r="AI275" s="551"/>
      <c r="AJ275" s="551"/>
      <c r="AK275" s="551"/>
      <c r="AL275" s="551"/>
      <c r="AM275" s="551"/>
      <c r="AN275" s="551"/>
      <c r="AO275" s="551"/>
      <c r="AP275" s="551"/>
      <c r="AQ275" s="551"/>
      <c r="AR275" s="551"/>
      <c r="AS275" s="551"/>
      <c r="AT275" s="551"/>
      <c r="AU275" s="551"/>
      <c r="AV275" s="551"/>
      <c r="AW275" s="551"/>
      <c r="AX275" s="551"/>
      <c r="AY275" s="551"/>
      <c r="AZ275" s="551"/>
      <c r="BA275" s="551"/>
      <c r="BB275" s="551"/>
      <c r="BC275" s="551"/>
      <c r="BD275" s="551"/>
      <c r="BE275" s="551"/>
      <c r="BF275" s="551"/>
      <c r="BG275" s="551"/>
      <c r="BH275" s="551"/>
      <c r="BI275" s="551"/>
      <c r="BJ275" s="551"/>
      <c r="BK275" s="551"/>
    </row>
    <row r="276" spans="1:63" ht="12.75" customHeight="1">
      <c r="A276" s="551"/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51"/>
      <c r="AB276" s="551"/>
      <c r="AC276" s="551"/>
      <c r="AD276" s="551"/>
      <c r="AE276" s="551"/>
      <c r="AF276" s="551"/>
      <c r="AG276" s="551"/>
      <c r="AH276" s="551"/>
      <c r="AI276" s="551"/>
      <c r="AJ276" s="551"/>
      <c r="AK276" s="551"/>
      <c r="AL276" s="551"/>
      <c r="AM276" s="551"/>
      <c r="AN276" s="551"/>
      <c r="AO276" s="551"/>
      <c r="AP276" s="551"/>
      <c r="AQ276" s="551"/>
      <c r="AR276" s="551"/>
      <c r="AS276" s="551"/>
      <c r="AT276" s="551"/>
      <c r="AU276" s="551"/>
      <c r="AV276" s="551"/>
      <c r="AW276" s="551"/>
      <c r="AX276" s="551"/>
      <c r="AY276" s="551"/>
      <c r="AZ276" s="551"/>
      <c r="BA276" s="551"/>
      <c r="BB276" s="551"/>
      <c r="BC276" s="551"/>
      <c r="BD276" s="551"/>
      <c r="BE276" s="551"/>
      <c r="BF276" s="551"/>
      <c r="BG276" s="551"/>
      <c r="BH276" s="551"/>
      <c r="BI276" s="551"/>
      <c r="BJ276" s="551"/>
      <c r="BK276" s="551"/>
    </row>
    <row r="277" spans="1:63" ht="12.75" customHeight="1">
      <c r="A277" s="551"/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51"/>
      <c r="AB277" s="551"/>
      <c r="AC277" s="551"/>
      <c r="AD277" s="551"/>
      <c r="AE277" s="551"/>
      <c r="AF277" s="551"/>
      <c r="AG277" s="551"/>
      <c r="AH277" s="551"/>
      <c r="AI277" s="551"/>
      <c r="AJ277" s="551"/>
      <c r="AK277" s="551"/>
      <c r="AL277" s="551"/>
      <c r="AM277" s="551"/>
      <c r="AN277" s="551"/>
      <c r="AO277" s="551"/>
      <c r="AP277" s="551"/>
      <c r="AQ277" s="551"/>
      <c r="AR277" s="551"/>
      <c r="AS277" s="551"/>
      <c r="AT277" s="551"/>
      <c r="AU277" s="551"/>
      <c r="AV277" s="551"/>
      <c r="AW277" s="551"/>
      <c r="AX277" s="551"/>
      <c r="AY277" s="551"/>
      <c r="AZ277" s="551"/>
      <c r="BA277" s="551"/>
      <c r="BB277" s="551"/>
      <c r="BC277" s="551"/>
      <c r="BD277" s="551"/>
      <c r="BE277" s="551"/>
      <c r="BF277" s="551"/>
      <c r="BG277" s="551"/>
      <c r="BH277" s="551"/>
      <c r="BI277" s="551"/>
      <c r="BJ277" s="551"/>
      <c r="BK277" s="551"/>
    </row>
    <row r="278" spans="1:63" ht="12.75" customHeight="1">
      <c r="A278" s="551"/>
      <c r="B278" s="551"/>
      <c r="C278" s="551"/>
      <c r="D278" s="551"/>
      <c r="E278" s="551"/>
      <c r="F278" s="551"/>
      <c r="G278" s="551"/>
      <c r="H278" s="551"/>
      <c r="I278" s="551"/>
      <c r="J278" s="551"/>
      <c r="K278" s="551"/>
      <c r="L278" s="551"/>
      <c r="M278" s="551"/>
      <c r="N278" s="551"/>
      <c r="O278" s="551"/>
      <c r="P278" s="551"/>
      <c r="Q278" s="551"/>
      <c r="R278" s="551"/>
      <c r="S278" s="551"/>
      <c r="T278" s="551"/>
      <c r="U278" s="551"/>
      <c r="V278" s="551"/>
      <c r="W278" s="551"/>
      <c r="X278" s="551"/>
      <c r="Y278" s="551"/>
      <c r="Z278" s="551"/>
      <c r="AA278" s="551"/>
      <c r="AB278" s="551"/>
      <c r="AC278" s="551"/>
      <c r="AD278" s="551"/>
      <c r="AE278" s="551"/>
      <c r="AF278" s="551"/>
      <c r="AG278" s="551"/>
      <c r="AH278" s="551"/>
      <c r="AI278" s="551"/>
      <c r="AJ278" s="551"/>
      <c r="AK278" s="551"/>
      <c r="AL278" s="551"/>
      <c r="AM278" s="551"/>
      <c r="AN278" s="551"/>
      <c r="AO278" s="551"/>
      <c r="AP278" s="551"/>
      <c r="AQ278" s="551"/>
      <c r="AR278" s="551"/>
      <c r="AS278" s="551"/>
      <c r="AT278" s="551"/>
      <c r="AU278" s="551"/>
      <c r="AV278" s="551"/>
      <c r="AW278" s="551"/>
      <c r="AX278" s="551"/>
      <c r="AY278" s="551"/>
      <c r="AZ278" s="551"/>
      <c r="BA278" s="551"/>
      <c r="BB278" s="551"/>
      <c r="BC278" s="551"/>
      <c r="BD278" s="551"/>
      <c r="BE278" s="551"/>
      <c r="BF278" s="551"/>
      <c r="BG278" s="551"/>
      <c r="BH278" s="551"/>
      <c r="BI278" s="551"/>
      <c r="BJ278" s="551"/>
      <c r="BK278" s="551"/>
    </row>
    <row r="279" spans="1:63" ht="12.75" customHeight="1">
      <c r="A279" s="551"/>
      <c r="B279" s="551"/>
      <c r="C279" s="551"/>
      <c r="D279" s="551"/>
      <c r="E279" s="551"/>
      <c r="F279" s="551"/>
      <c r="G279" s="551"/>
      <c r="H279" s="551"/>
      <c r="I279" s="551"/>
      <c r="J279" s="551"/>
      <c r="K279" s="551"/>
      <c r="L279" s="551"/>
      <c r="M279" s="551"/>
      <c r="N279" s="551"/>
      <c r="O279" s="551"/>
      <c r="P279" s="551"/>
      <c r="Q279" s="551"/>
      <c r="R279" s="551"/>
      <c r="S279" s="551"/>
      <c r="T279" s="551"/>
      <c r="U279" s="551"/>
      <c r="V279" s="551"/>
      <c r="W279" s="551"/>
      <c r="X279" s="551"/>
      <c r="Y279" s="551"/>
      <c r="Z279" s="551"/>
      <c r="AA279" s="551"/>
      <c r="AB279" s="551"/>
      <c r="AC279" s="551"/>
      <c r="AD279" s="551"/>
      <c r="AE279" s="551"/>
      <c r="AF279" s="551"/>
      <c r="AG279" s="551"/>
      <c r="AH279" s="551"/>
      <c r="AI279" s="551"/>
      <c r="AJ279" s="551"/>
      <c r="AK279" s="551"/>
      <c r="AL279" s="551"/>
      <c r="AM279" s="551"/>
      <c r="AN279" s="551"/>
      <c r="AO279" s="551"/>
      <c r="AP279" s="551"/>
      <c r="AQ279" s="551"/>
      <c r="AR279" s="551"/>
      <c r="AS279" s="551"/>
      <c r="AT279" s="551"/>
      <c r="AU279" s="551"/>
      <c r="AV279" s="551"/>
      <c r="AW279" s="551"/>
      <c r="AX279" s="551"/>
      <c r="AY279" s="551"/>
      <c r="AZ279" s="551"/>
      <c r="BA279" s="551"/>
      <c r="BB279" s="551"/>
      <c r="BC279" s="551"/>
      <c r="BD279" s="551"/>
      <c r="BE279" s="551"/>
      <c r="BF279" s="551"/>
      <c r="BG279" s="551"/>
      <c r="BH279" s="551"/>
      <c r="BI279" s="551"/>
      <c r="BJ279" s="551"/>
      <c r="BK279" s="551"/>
    </row>
    <row r="280" spans="1:63" ht="12.75" customHeight="1">
      <c r="A280" s="551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1"/>
      <c r="P280" s="551"/>
      <c r="Q280" s="551"/>
      <c r="R280" s="551"/>
      <c r="S280" s="551"/>
      <c r="T280" s="551"/>
      <c r="U280" s="551"/>
      <c r="V280" s="551"/>
      <c r="W280" s="551"/>
      <c r="X280" s="551"/>
      <c r="Y280" s="551"/>
      <c r="Z280" s="551"/>
      <c r="AA280" s="551"/>
      <c r="AB280" s="551"/>
      <c r="AC280" s="551"/>
      <c r="AD280" s="551"/>
      <c r="AE280" s="551"/>
      <c r="AF280" s="551"/>
      <c r="AG280" s="551"/>
      <c r="AH280" s="551"/>
      <c r="AI280" s="551"/>
      <c r="AJ280" s="551"/>
      <c r="AK280" s="551"/>
      <c r="AL280" s="551"/>
      <c r="AM280" s="551"/>
      <c r="AN280" s="551"/>
      <c r="AO280" s="551"/>
      <c r="AP280" s="551"/>
      <c r="AQ280" s="551"/>
      <c r="AR280" s="551"/>
      <c r="AS280" s="551"/>
      <c r="AT280" s="551"/>
      <c r="AU280" s="551"/>
      <c r="AV280" s="551"/>
      <c r="AW280" s="551"/>
      <c r="AX280" s="551"/>
      <c r="AY280" s="551"/>
      <c r="AZ280" s="551"/>
      <c r="BA280" s="551"/>
      <c r="BB280" s="551"/>
      <c r="BC280" s="551"/>
      <c r="BD280" s="551"/>
      <c r="BE280" s="551"/>
      <c r="BF280" s="551"/>
      <c r="BG280" s="551"/>
      <c r="BH280" s="551"/>
      <c r="BI280" s="551"/>
      <c r="BJ280" s="551"/>
      <c r="BK280" s="551"/>
    </row>
    <row r="281" spans="1:63" ht="12.75" customHeight="1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1"/>
      <c r="P281" s="551"/>
      <c r="Q281" s="551"/>
      <c r="R281" s="551"/>
      <c r="S281" s="551"/>
      <c r="T281" s="551"/>
      <c r="U281" s="551"/>
      <c r="V281" s="551"/>
      <c r="W281" s="551"/>
      <c r="X281" s="551"/>
      <c r="Y281" s="551"/>
      <c r="Z281" s="551"/>
      <c r="AA281" s="551"/>
      <c r="AB281" s="551"/>
      <c r="AC281" s="551"/>
      <c r="AD281" s="551"/>
      <c r="AE281" s="551"/>
      <c r="AF281" s="551"/>
      <c r="AG281" s="551"/>
      <c r="AH281" s="551"/>
      <c r="AI281" s="551"/>
      <c r="AJ281" s="551"/>
      <c r="AK281" s="551"/>
      <c r="AL281" s="551"/>
      <c r="AM281" s="551"/>
      <c r="AN281" s="551"/>
      <c r="AO281" s="551"/>
      <c r="AP281" s="551"/>
      <c r="AQ281" s="551"/>
      <c r="AR281" s="551"/>
      <c r="AS281" s="551"/>
      <c r="AT281" s="551"/>
      <c r="AU281" s="551"/>
      <c r="AV281" s="551"/>
      <c r="AW281" s="551"/>
      <c r="AX281" s="551"/>
      <c r="AY281" s="551"/>
      <c r="AZ281" s="551"/>
      <c r="BA281" s="551"/>
      <c r="BB281" s="551"/>
      <c r="BC281" s="551"/>
      <c r="BD281" s="551"/>
      <c r="BE281" s="551"/>
      <c r="BF281" s="551"/>
      <c r="BG281" s="551"/>
      <c r="BH281" s="551"/>
      <c r="BI281" s="551"/>
      <c r="BJ281" s="551"/>
      <c r="BK281" s="551"/>
    </row>
    <row r="282" spans="1:63" ht="12.75" customHeight="1">
      <c r="A282" s="551"/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51"/>
      <c r="AB282" s="551"/>
      <c r="AC282" s="551"/>
      <c r="AD282" s="551"/>
      <c r="AE282" s="551"/>
      <c r="AF282" s="551"/>
      <c r="AG282" s="551"/>
      <c r="AH282" s="551"/>
      <c r="AI282" s="551"/>
      <c r="AJ282" s="551"/>
      <c r="AK282" s="551"/>
      <c r="AL282" s="551"/>
      <c r="AM282" s="551"/>
      <c r="AN282" s="551"/>
      <c r="AO282" s="551"/>
      <c r="AP282" s="551"/>
      <c r="AQ282" s="551"/>
      <c r="AR282" s="551"/>
      <c r="AS282" s="551"/>
      <c r="AT282" s="551"/>
      <c r="AU282" s="551"/>
      <c r="AV282" s="551"/>
      <c r="AW282" s="551"/>
      <c r="AX282" s="551"/>
      <c r="AY282" s="551"/>
      <c r="AZ282" s="551"/>
      <c r="BA282" s="551"/>
      <c r="BB282" s="551"/>
      <c r="BC282" s="551"/>
      <c r="BD282" s="551"/>
      <c r="BE282" s="551"/>
      <c r="BF282" s="551"/>
      <c r="BG282" s="551"/>
      <c r="BH282" s="551"/>
      <c r="BI282" s="551"/>
      <c r="BJ282" s="551"/>
      <c r="BK282" s="551"/>
    </row>
    <row r="283" spans="1:63" ht="12.75" customHeight="1">
      <c r="A283" s="551"/>
      <c r="B283" s="551"/>
      <c r="C283" s="551"/>
      <c r="D283" s="551"/>
      <c r="E283" s="551"/>
      <c r="F283" s="551"/>
      <c r="G283" s="551"/>
      <c r="H283" s="551"/>
      <c r="I283" s="551"/>
      <c r="J283" s="551"/>
      <c r="K283" s="551"/>
      <c r="L283" s="551"/>
      <c r="M283" s="551"/>
      <c r="N283" s="551"/>
      <c r="O283" s="551"/>
      <c r="P283" s="551"/>
      <c r="Q283" s="551"/>
      <c r="R283" s="551"/>
      <c r="S283" s="551"/>
      <c r="T283" s="551"/>
      <c r="U283" s="551"/>
      <c r="V283" s="551"/>
      <c r="W283" s="551"/>
      <c r="X283" s="551"/>
      <c r="Y283" s="551"/>
      <c r="Z283" s="551"/>
      <c r="AA283" s="551"/>
      <c r="AB283" s="551"/>
      <c r="AC283" s="551"/>
      <c r="AD283" s="551"/>
      <c r="AE283" s="551"/>
      <c r="AF283" s="551"/>
      <c r="AG283" s="551"/>
      <c r="AH283" s="551"/>
      <c r="AI283" s="551"/>
      <c r="AJ283" s="551"/>
      <c r="AK283" s="551"/>
      <c r="AL283" s="551"/>
      <c r="AM283" s="551"/>
      <c r="AN283" s="551"/>
      <c r="AO283" s="551"/>
      <c r="AP283" s="551"/>
      <c r="AQ283" s="551"/>
      <c r="AR283" s="551"/>
      <c r="AS283" s="551"/>
      <c r="AT283" s="551"/>
      <c r="AU283" s="551"/>
      <c r="AV283" s="551"/>
      <c r="AW283" s="551"/>
      <c r="AX283" s="551"/>
      <c r="AY283" s="551"/>
      <c r="AZ283" s="551"/>
      <c r="BA283" s="551"/>
      <c r="BB283" s="551"/>
      <c r="BC283" s="551"/>
      <c r="BD283" s="551"/>
      <c r="BE283" s="551"/>
      <c r="BF283" s="551"/>
      <c r="BG283" s="551"/>
      <c r="BH283" s="551"/>
      <c r="BI283" s="551"/>
      <c r="BJ283" s="551"/>
      <c r="BK283" s="551"/>
    </row>
    <row r="284" spans="1:63" ht="12.75" customHeight="1">
      <c r="A284" s="551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1"/>
      <c r="P284" s="551"/>
      <c r="Q284" s="551"/>
      <c r="R284" s="551"/>
      <c r="S284" s="551"/>
      <c r="T284" s="551"/>
      <c r="U284" s="551"/>
      <c r="V284" s="551"/>
      <c r="W284" s="551"/>
      <c r="X284" s="551"/>
      <c r="Y284" s="551"/>
      <c r="Z284" s="551"/>
      <c r="AA284" s="551"/>
      <c r="AB284" s="551"/>
      <c r="AC284" s="551"/>
      <c r="AD284" s="551"/>
      <c r="AE284" s="551"/>
      <c r="AF284" s="551"/>
      <c r="AG284" s="551"/>
      <c r="AH284" s="551"/>
      <c r="AI284" s="551"/>
      <c r="AJ284" s="551"/>
      <c r="AK284" s="551"/>
      <c r="AL284" s="551"/>
      <c r="AM284" s="551"/>
      <c r="AN284" s="551"/>
      <c r="AO284" s="551"/>
      <c r="AP284" s="551"/>
      <c r="AQ284" s="551"/>
      <c r="AR284" s="551"/>
      <c r="AS284" s="551"/>
      <c r="AT284" s="551"/>
      <c r="AU284" s="551"/>
      <c r="AV284" s="551"/>
      <c r="AW284" s="551"/>
      <c r="AX284" s="551"/>
      <c r="AY284" s="551"/>
      <c r="AZ284" s="551"/>
      <c r="BA284" s="551"/>
      <c r="BB284" s="551"/>
      <c r="BC284" s="551"/>
      <c r="BD284" s="551"/>
      <c r="BE284" s="551"/>
      <c r="BF284" s="551"/>
      <c r="BG284" s="551"/>
      <c r="BH284" s="551"/>
      <c r="BI284" s="551"/>
      <c r="BJ284" s="551"/>
      <c r="BK284" s="551"/>
    </row>
    <row r="285" spans="1:63" ht="12.75" customHeight="1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1"/>
      <c r="P285" s="551"/>
      <c r="Q285" s="551"/>
      <c r="R285" s="551"/>
      <c r="S285" s="551"/>
      <c r="T285" s="551"/>
      <c r="U285" s="551"/>
      <c r="V285" s="551"/>
      <c r="W285" s="551"/>
      <c r="X285" s="551"/>
      <c r="Y285" s="551"/>
      <c r="Z285" s="551"/>
      <c r="AA285" s="551"/>
      <c r="AB285" s="551"/>
      <c r="AC285" s="551"/>
      <c r="AD285" s="551"/>
      <c r="AE285" s="551"/>
      <c r="AF285" s="551"/>
      <c r="AG285" s="551"/>
      <c r="AH285" s="551"/>
      <c r="AI285" s="551"/>
      <c r="AJ285" s="551"/>
      <c r="AK285" s="551"/>
      <c r="AL285" s="551"/>
      <c r="AM285" s="551"/>
      <c r="AN285" s="551"/>
      <c r="AO285" s="551"/>
      <c r="AP285" s="551"/>
      <c r="AQ285" s="551"/>
      <c r="AR285" s="551"/>
      <c r="AS285" s="551"/>
      <c r="AT285" s="551"/>
      <c r="AU285" s="551"/>
      <c r="AV285" s="551"/>
      <c r="AW285" s="551"/>
      <c r="AX285" s="551"/>
      <c r="AY285" s="551"/>
      <c r="AZ285" s="551"/>
      <c r="BA285" s="551"/>
      <c r="BB285" s="551"/>
      <c r="BC285" s="551"/>
      <c r="BD285" s="551"/>
      <c r="BE285" s="551"/>
      <c r="BF285" s="551"/>
      <c r="BG285" s="551"/>
      <c r="BH285" s="551"/>
      <c r="BI285" s="551"/>
      <c r="BJ285" s="551"/>
      <c r="BK285" s="551"/>
    </row>
    <row r="286" spans="1:63" ht="12.75" customHeight="1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51"/>
      <c r="AB286" s="551"/>
      <c r="AC286" s="551"/>
      <c r="AD286" s="551"/>
      <c r="AE286" s="551"/>
      <c r="AF286" s="551"/>
      <c r="AG286" s="551"/>
      <c r="AH286" s="551"/>
      <c r="AI286" s="551"/>
      <c r="AJ286" s="551"/>
      <c r="AK286" s="551"/>
      <c r="AL286" s="551"/>
      <c r="AM286" s="551"/>
      <c r="AN286" s="551"/>
      <c r="AO286" s="551"/>
      <c r="AP286" s="551"/>
      <c r="AQ286" s="551"/>
      <c r="AR286" s="551"/>
      <c r="AS286" s="551"/>
      <c r="AT286" s="551"/>
      <c r="AU286" s="551"/>
      <c r="AV286" s="551"/>
      <c r="AW286" s="551"/>
      <c r="AX286" s="551"/>
      <c r="AY286" s="551"/>
      <c r="AZ286" s="551"/>
      <c r="BA286" s="551"/>
      <c r="BB286" s="551"/>
      <c r="BC286" s="551"/>
      <c r="BD286" s="551"/>
      <c r="BE286" s="551"/>
      <c r="BF286" s="551"/>
      <c r="BG286" s="551"/>
      <c r="BH286" s="551"/>
      <c r="BI286" s="551"/>
      <c r="BJ286" s="551"/>
      <c r="BK286" s="551"/>
    </row>
    <row r="287" spans="1:63" ht="12.75" customHeight="1">
      <c r="A287" s="551"/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51"/>
      <c r="AB287" s="551"/>
      <c r="AC287" s="551"/>
      <c r="AD287" s="551"/>
      <c r="AE287" s="551"/>
      <c r="AF287" s="551"/>
      <c r="AG287" s="551"/>
      <c r="AH287" s="551"/>
      <c r="AI287" s="551"/>
      <c r="AJ287" s="551"/>
      <c r="AK287" s="551"/>
      <c r="AL287" s="551"/>
      <c r="AM287" s="551"/>
      <c r="AN287" s="551"/>
      <c r="AO287" s="551"/>
      <c r="AP287" s="551"/>
      <c r="AQ287" s="551"/>
      <c r="AR287" s="551"/>
      <c r="AS287" s="551"/>
      <c r="AT287" s="551"/>
      <c r="AU287" s="551"/>
      <c r="AV287" s="551"/>
      <c r="AW287" s="551"/>
      <c r="AX287" s="551"/>
      <c r="AY287" s="551"/>
      <c r="AZ287" s="551"/>
      <c r="BA287" s="551"/>
      <c r="BB287" s="551"/>
      <c r="BC287" s="551"/>
      <c r="BD287" s="551"/>
      <c r="BE287" s="551"/>
      <c r="BF287" s="551"/>
      <c r="BG287" s="551"/>
      <c r="BH287" s="551"/>
      <c r="BI287" s="551"/>
      <c r="BJ287" s="551"/>
      <c r="BK287" s="551"/>
    </row>
    <row r="288" spans="1:63" ht="12.75" customHeight="1">
      <c r="A288" s="551"/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51"/>
      <c r="AB288" s="551"/>
      <c r="AC288" s="551"/>
      <c r="AD288" s="551"/>
      <c r="AE288" s="551"/>
      <c r="AF288" s="551"/>
      <c r="AG288" s="551"/>
      <c r="AH288" s="551"/>
      <c r="AI288" s="551"/>
      <c r="AJ288" s="551"/>
      <c r="AK288" s="551"/>
      <c r="AL288" s="551"/>
      <c r="AM288" s="551"/>
      <c r="AN288" s="551"/>
      <c r="AO288" s="551"/>
      <c r="AP288" s="551"/>
      <c r="AQ288" s="551"/>
      <c r="AR288" s="551"/>
      <c r="AS288" s="551"/>
      <c r="AT288" s="551"/>
      <c r="AU288" s="551"/>
      <c r="AV288" s="551"/>
      <c r="AW288" s="551"/>
      <c r="AX288" s="551"/>
      <c r="AY288" s="551"/>
      <c r="AZ288" s="551"/>
      <c r="BA288" s="551"/>
      <c r="BB288" s="551"/>
      <c r="BC288" s="551"/>
      <c r="BD288" s="551"/>
      <c r="BE288" s="551"/>
      <c r="BF288" s="551"/>
      <c r="BG288" s="551"/>
      <c r="BH288" s="551"/>
      <c r="BI288" s="551"/>
      <c r="BJ288" s="551"/>
      <c r="BK288" s="551"/>
    </row>
    <row r="289" spans="1:63" ht="12.75" customHeight="1">
      <c r="A289" s="551"/>
      <c r="B289" s="551"/>
      <c r="C289" s="551"/>
      <c r="D289" s="551"/>
      <c r="E289" s="551"/>
      <c r="F289" s="551"/>
      <c r="G289" s="551"/>
      <c r="H289" s="551"/>
      <c r="I289" s="551"/>
      <c r="J289" s="551"/>
      <c r="K289" s="551"/>
      <c r="L289" s="551"/>
      <c r="M289" s="551"/>
      <c r="N289" s="551"/>
      <c r="O289" s="551"/>
      <c r="P289" s="551"/>
      <c r="Q289" s="551"/>
      <c r="R289" s="551"/>
      <c r="S289" s="551"/>
      <c r="T289" s="551"/>
      <c r="U289" s="551"/>
      <c r="V289" s="551"/>
      <c r="W289" s="551"/>
      <c r="X289" s="551"/>
      <c r="Y289" s="551"/>
      <c r="Z289" s="551"/>
      <c r="AA289" s="551"/>
      <c r="AB289" s="551"/>
      <c r="AC289" s="551"/>
      <c r="AD289" s="551"/>
      <c r="AE289" s="551"/>
      <c r="AF289" s="551"/>
      <c r="AG289" s="551"/>
      <c r="AH289" s="551"/>
      <c r="AI289" s="551"/>
      <c r="AJ289" s="551"/>
      <c r="AK289" s="551"/>
      <c r="AL289" s="551"/>
      <c r="AM289" s="551"/>
      <c r="AN289" s="551"/>
      <c r="AO289" s="551"/>
      <c r="AP289" s="551"/>
      <c r="AQ289" s="551"/>
      <c r="AR289" s="551"/>
      <c r="AS289" s="551"/>
      <c r="AT289" s="551"/>
      <c r="AU289" s="551"/>
      <c r="AV289" s="551"/>
      <c r="AW289" s="551"/>
      <c r="AX289" s="551"/>
      <c r="AY289" s="551"/>
      <c r="AZ289" s="551"/>
      <c r="BA289" s="551"/>
      <c r="BB289" s="551"/>
      <c r="BC289" s="551"/>
      <c r="BD289" s="551"/>
      <c r="BE289" s="551"/>
      <c r="BF289" s="551"/>
      <c r="BG289" s="551"/>
      <c r="BH289" s="551"/>
      <c r="BI289" s="551"/>
      <c r="BJ289" s="551"/>
      <c r="BK289" s="551"/>
    </row>
    <row r="290" spans="1:63" ht="12.75" customHeight="1">
      <c r="A290" s="551"/>
      <c r="B290" s="551"/>
      <c r="C290" s="551"/>
      <c r="D290" s="551"/>
      <c r="E290" s="551"/>
      <c r="F290" s="551"/>
      <c r="G290" s="551"/>
      <c r="H290" s="551"/>
      <c r="I290" s="551"/>
      <c r="J290" s="551"/>
      <c r="K290" s="551"/>
      <c r="L290" s="551"/>
      <c r="M290" s="551"/>
      <c r="N290" s="551"/>
      <c r="O290" s="551"/>
      <c r="P290" s="551"/>
      <c r="Q290" s="551"/>
      <c r="R290" s="551"/>
      <c r="S290" s="551"/>
      <c r="T290" s="551"/>
      <c r="U290" s="551"/>
      <c r="V290" s="551"/>
      <c r="W290" s="551"/>
      <c r="X290" s="551"/>
      <c r="Y290" s="551"/>
      <c r="Z290" s="551"/>
      <c r="AA290" s="551"/>
      <c r="AB290" s="551"/>
      <c r="AC290" s="551"/>
      <c r="AD290" s="551"/>
      <c r="AE290" s="551"/>
      <c r="AF290" s="551"/>
      <c r="AG290" s="551"/>
      <c r="AH290" s="551"/>
      <c r="AI290" s="551"/>
      <c r="AJ290" s="551"/>
      <c r="AK290" s="551"/>
      <c r="AL290" s="551"/>
      <c r="AM290" s="551"/>
      <c r="AN290" s="551"/>
      <c r="AO290" s="551"/>
      <c r="AP290" s="551"/>
      <c r="AQ290" s="551"/>
      <c r="AR290" s="551"/>
      <c r="AS290" s="551"/>
      <c r="AT290" s="551"/>
      <c r="AU290" s="551"/>
      <c r="AV290" s="551"/>
      <c r="AW290" s="551"/>
      <c r="AX290" s="551"/>
      <c r="AY290" s="551"/>
      <c r="AZ290" s="551"/>
      <c r="BA290" s="551"/>
      <c r="BB290" s="551"/>
      <c r="BC290" s="551"/>
      <c r="BD290" s="551"/>
      <c r="BE290" s="551"/>
      <c r="BF290" s="551"/>
      <c r="BG290" s="551"/>
      <c r="BH290" s="551"/>
      <c r="BI290" s="551"/>
      <c r="BJ290" s="551"/>
      <c r="BK290" s="551"/>
    </row>
    <row r="291" spans="1:63" ht="12.75" customHeight="1">
      <c r="A291" s="551"/>
      <c r="B291" s="551"/>
      <c r="C291" s="551"/>
      <c r="D291" s="551"/>
      <c r="E291" s="551"/>
      <c r="F291" s="551"/>
      <c r="G291" s="551"/>
      <c r="H291" s="551"/>
      <c r="I291" s="551"/>
      <c r="J291" s="551"/>
      <c r="K291" s="551"/>
      <c r="L291" s="551"/>
      <c r="M291" s="551"/>
      <c r="N291" s="551"/>
      <c r="O291" s="551"/>
      <c r="P291" s="551"/>
      <c r="Q291" s="551"/>
      <c r="R291" s="551"/>
      <c r="S291" s="551"/>
      <c r="T291" s="551"/>
      <c r="U291" s="551"/>
      <c r="V291" s="551"/>
      <c r="W291" s="551"/>
      <c r="X291" s="551"/>
      <c r="Y291" s="551"/>
      <c r="Z291" s="551"/>
      <c r="AA291" s="551"/>
      <c r="AB291" s="551"/>
      <c r="AC291" s="551"/>
      <c r="AD291" s="551"/>
      <c r="AE291" s="551"/>
      <c r="AF291" s="551"/>
      <c r="AG291" s="551"/>
      <c r="AH291" s="551"/>
      <c r="AI291" s="551"/>
      <c r="AJ291" s="551"/>
      <c r="AK291" s="551"/>
      <c r="AL291" s="551"/>
      <c r="AM291" s="551"/>
      <c r="AN291" s="551"/>
      <c r="AO291" s="551"/>
      <c r="AP291" s="551"/>
      <c r="AQ291" s="551"/>
      <c r="AR291" s="551"/>
      <c r="AS291" s="551"/>
      <c r="AT291" s="551"/>
      <c r="AU291" s="551"/>
      <c r="AV291" s="551"/>
      <c r="AW291" s="551"/>
      <c r="AX291" s="551"/>
      <c r="AY291" s="551"/>
      <c r="AZ291" s="551"/>
      <c r="BA291" s="551"/>
      <c r="BB291" s="551"/>
      <c r="BC291" s="551"/>
      <c r="BD291" s="551"/>
      <c r="BE291" s="551"/>
      <c r="BF291" s="551"/>
      <c r="BG291" s="551"/>
      <c r="BH291" s="551"/>
      <c r="BI291" s="551"/>
      <c r="BJ291" s="551"/>
      <c r="BK291" s="551"/>
    </row>
    <row r="292" spans="1:63" ht="12.75" customHeight="1">
      <c r="A292" s="551"/>
      <c r="B292" s="551"/>
      <c r="C292" s="551"/>
      <c r="D292" s="551"/>
      <c r="E292" s="551"/>
      <c r="F292" s="551"/>
      <c r="G292" s="551"/>
      <c r="H292" s="551"/>
      <c r="I292" s="551"/>
      <c r="J292" s="551"/>
      <c r="K292" s="551"/>
      <c r="L292" s="551"/>
      <c r="M292" s="551"/>
      <c r="N292" s="551"/>
      <c r="O292" s="551"/>
      <c r="P292" s="551"/>
      <c r="Q292" s="551"/>
      <c r="R292" s="551"/>
      <c r="S292" s="551"/>
      <c r="T292" s="551"/>
      <c r="U292" s="551"/>
      <c r="V292" s="551"/>
      <c r="W292" s="551"/>
      <c r="X292" s="551"/>
      <c r="Y292" s="551"/>
      <c r="Z292" s="551"/>
      <c r="AA292" s="551"/>
      <c r="AB292" s="551"/>
      <c r="AC292" s="551"/>
      <c r="AD292" s="551"/>
      <c r="AE292" s="551"/>
      <c r="AF292" s="551"/>
      <c r="AG292" s="551"/>
      <c r="AH292" s="551"/>
      <c r="AI292" s="551"/>
      <c r="AJ292" s="551"/>
      <c r="AK292" s="551"/>
      <c r="AL292" s="551"/>
      <c r="AM292" s="551"/>
      <c r="AN292" s="551"/>
      <c r="AO292" s="551"/>
      <c r="AP292" s="551"/>
      <c r="AQ292" s="551"/>
      <c r="AR292" s="551"/>
      <c r="AS292" s="551"/>
      <c r="AT292" s="551"/>
      <c r="AU292" s="551"/>
      <c r="AV292" s="551"/>
      <c r="AW292" s="551"/>
      <c r="AX292" s="551"/>
      <c r="AY292" s="551"/>
      <c r="AZ292" s="551"/>
      <c r="BA292" s="551"/>
      <c r="BB292" s="551"/>
      <c r="BC292" s="551"/>
      <c r="BD292" s="551"/>
      <c r="BE292" s="551"/>
      <c r="BF292" s="551"/>
      <c r="BG292" s="551"/>
      <c r="BH292" s="551"/>
      <c r="BI292" s="551"/>
      <c r="BJ292" s="551"/>
      <c r="BK292" s="551"/>
    </row>
    <row r="293" spans="1:63" ht="12.75" customHeight="1">
      <c r="A293" s="551"/>
      <c r="B293" s="551"/>
      <c r="C293" s="551"/>
      <c r="D293" s="551"/>
      <c r="E293" s="551"/>
      <c r="F293" s="551"/>
      <c r="G293" s="551"/>
      <c r="H293" s="551"/>
      <c r="I293" s="551"/>
      <c r="J293" s="551"/>
      <c r="K293" s="551"/>
      <c r="L293" s="551"/>
      <c r="M293" s="551"/>
      <c r="N293" s="551"/>
      <c r="O293" s="551"/>
      <c r="P293" s="551"/>
      <c r="Q293" s="551"/>
      <c r="R293" s="551"/>
      <c r="S293" s="551"/>
      <c r="T293" s="551"/>
      <c r="U293" s="551"/>
      <c r="V293" s="551"/>
      <c r="W293" s="551"/>
      <c r="X293" s="551"/>
      <c r="Y293" s="551"/>
      <c r="Z293" s="551"/>
      <c r="AA293" s="551"/>
      <c r="AB293" s="551"/>
      <c r="AC293" s="551"/>
      <c r="AD293" s="551"/>
      <c r="AE293" s="551"/>
      <c r="AF293" s="551"/>
      <c r="AG293" s="551"/>
      <c r="AH293" s="551"/>
      <c r="AI293" s="551"/>
      <c r="AJ293" s="551"/>
      <c r="AK293" s="551"/>
      <c r="AL293" s="551"/>
      <c r="AM293" s="551"/>
      <c r="AN293" s="551"/>
      <c r="AO293" s="551"/>
      <c r="AP293" s="551"/>
      <c r="AQ293" s="551"/>
      <c r="AR293" s="551"/>
      <c r="AS293" s="551"/>
      <c r="AT293" s="551"/>
      <c r="AU293" s="551"/>
      <c r="AV293" s="551"/>
      <c r="AW293" s="551"/>
      <c r="AX293" s="551"/>
      <c r="AY293" s="551"/>
      <c r="AZ293" s="551"/>
      <c r="BA293" s="551"/>
      <c r="BB293" s="551"/>
      <c r="BC293" s="551"/>
      <c r="BD293" s="551"/>
      <c r="BE293" s="551"/>
      <c r="BF293" s="551"/>
      <c r="BG293" s="551"/>
      <c r="BH293" s="551"/>
      <c r="BI293" s="551"/>
      <c r="BJ293" s="551"/>
      <c r="BK293" s="551"/>
    </row>
    <row r="294" spans="1:63" ht="12.75" customHeight="1">
      <c r="A294" s="551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1"/>
      <c r="P294" s="551"/>
      <c r="Q294" s="551"/>
      <c r="R294" s="551"/>
      <c r="S294" s="551"/>
      <c r="T294" s="551"/>
      <c r="U294" s="551"/>
      <c r="V294" s="551"/>
      <c r="W294" s="551"/>
      <c r="X294" s="551"/>
      <c r="Y294" s="551"/>
      <c r="Z294" s="551"/>
      <c r="AA294" s="551"/>
      <c r="AB294" s="551"/>
      <c r="AC294" s="551"/>
      <c r="AD294" s="551"/>
      <c r="AE294" s="551"/>
      <c r="AF294" s="551"/>
      <c r="AG294" s="551"/>
      <c r="AH294" s="551"/>
      <c r="AI294" s="551"/>
      <c r="AJ294" s="551"/>
      <c r="AK294" s="551"/>
      <c r="AL294" s="551"/>
      <c r="AM294" s="551"/>
      <c r="AN294" s="551"/>
      <c r="AO294" s="551"/>
      <c r="AP294" s="551"/>
      <c r="AQ294" s="551"/>
      <c r="AR294" s="551"/>
      <c r="AS294" s="551"/>
      <c r="AT294" s="551"/>
      <c r="AU294" s="551"/>
      <c r="AV294" s="551"/>
      <c r="AW294" s="551"/>
      <c r="AX294" s="551"/>
      <c r="AY294" s="551"/>
      <c r="AZ294" s="551"/>
      <c r="BA294" s="551"/>
      <c r="BB294" s="551"/>
      <c r="BC294" s="551"/>
      <c r="BD294" s="551"/>
      <c r="BE294" s="551"/>
      <c r="BF294" s="551"/>
      <c r="BG294" s="551"/>
      <c r="BH294" s="551"/>
      <c r="BI294" s="551"/>
      <c r="BJ294" s="551"/>
      <c r="BK294" s="551"/>
    </row>
    <row r="295" spans="1:63" ht="12.75" customHeight="1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1"/>
      <c r="P295" s="551"/>
      <c r="Q295" s="551"/>
      <c r="R295" s="551"/>
      <c r="S295" s="551"/>
      <c r="T295" s="551"/>
      <c r="U295" s="551"/>
      <c r="V295" s="551"/>
      <c r="W295" s="551"/>
      <c r="X295" s="551"/>
      <c r="Y295" s="551"/>
      <c r="Z295" s="551"/>
      <c r="AA295" s="551"/>
      <c r="AB295" s="551"/>
      <c r="AC295" s="551"/>
      <c r="AD295" s="551"/>
      <c r="AE295" s="551"/>
      <c r="AF295" s="551"/>
      <c r="AG295" s="551"/>
      <c r="AH295" s="551"/>
      <c r="AI295" s="551"/>
      <c r="AJ295" s="551"/>
      <c r="AK295" s="551"/>
      <c r="AL295" s="551"/>
      <c r="AM295" s="551"/>
      <c r="AN295" s="551"/>
      <c r="AO295" s="551"/>
      <c r="AP295" s="551"/>
      <c r="AQ295" s="551"/>
      <c r="AR295" s="551"/>
      <c r="AS295" s="551"/>
      <c r="AT295" s="551"/>
      <c r="AU295" s="551"/>
      <c r="AV295" s="551"/>
      <c r="AW295" s="551"/>
      <c r="AX295" s="551"/>
      <c r="AY295" s="551"/>
      <c r="AZ295" s="551"/>
      <c r="BA295" s="551"/>
      <c r="BB295" s="551"/>
      <c r="BC295" s="551"/>
      <c r="BD295" s="551"/>
      <c r="BE295" s="551"/>
      <c r="BF295" s="551"/>
      <c r="BG295" s="551"/>
      <c r="BH295" s="551"/>
      <c r="BI295" s="551"/>
      <c r="BJ295" s="551"/>
      <c r="BK295" s="551"/>
    </row>
    <row r="296" spans="1:63" ht="12.75" customHeight="1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51"/>
      <c r="AB296" s="551"/>
      <c r="AC296" s="551"/>
      <c r="AD296" s="551"/>
      <c r="AE296" s="551"/>
      <c r="AF296" s="551"/>
      <c r="AG296" s="551"/>
      <c r="AH296" s="551"/>
      <c r="AI296" s="551"/>
      <c r="AJ296" s="551"/>
      <c r="AK296" s="551"/>
      <c r="AL296" s="551"/>
      <c r="AM296" s="551"/>
      <c r="AN296" s="551"/>
      <c r="AO296" s="551"/>
      <c r="AP296" s="551"/>
      <c r="AQ296" s="551"/>
      <c r="AR296" s="551"/>
      <c r="AS296" s="551"/>
      <c r="AT296" s="551"/>
      <c r="AU296" s="551"/>
      <c r="AV296" s="551"/>
      <c r="AW296" s="551"/>
      <c r="AX296" s="551"/>
      <c r="AY296" s="551"/>
      <c r="AZ296" s="551"/>
      <c r="BA296" s="551"/>
      <c r="BB296" s="551"/>
      <c r="BC296" s="551"/>
      <c r="BD296" s="551"/>
      <c r="BE296" s="551"/>
      <c r="BF296" s="551"/>
      <c r="BG296" s="551"/>
      <c r="BH296" s="551"/>
      <c r="BI296" s="551"/>
      <c r="BJ296" s="551"/>
      <c r="BK296" s="551"/>
    </row>
    <row r="297" spans="1:63" ht="12.75" customHeight="1">
      <c r="A297" s="551"/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51"/>
      <c r="AB297" s="551"/>
      <c r="AC297" s="551"/>
      <c r="AD297" s="551"/>
      <c r="AE297" s="551"/>
      <c r="AF297" s="551"/>
      <c r="AG297" s="551"/>
      <c r="AH297" s="551"/>
      <c r="AI297" s="551"/>
      <c r="AJ297" s="551"/>
      <c r="AK297" s="551"/>
      <c r="AL297" s="551"/>
      <c r="AM297" s="551"/>
      <c r="AN297" s="551"/>
      <c r="AO297" s="551"/>
      <c r="AP297" s="551"/>
      <c r="AQ297" s="551"/>
      <c r="AR297" s="551"/>
      <c r="AS297" s="551"/>
      <c r="AT297" s="551"/>
      <c r="AU297" s="551"/>
      <c r="AV297" s="551"/>
      <c r="AW297" s="551"/>
      <c r="AX297" s="551"/>
      <c r="AY297" s="551"/>
      <c r="AZ297" s="551"/>
      <c r="BA297" s="551"/>
      <c r="BB297" s="551"/>
      <c r="BC297" s="551"/>
      <c r="BD297" s="551"/>
      <c r="BE297" s="551"/>
      <c r="BF297" s="551"/>
      <c r="BG297" s="551"/>
      <c r="BH297" s="551"/>
      <c r="BI297" s="551"/>
      <c r="BJ297" s="551"/>
      <c r="BK297" s="551"/>
    </row>
    <row r="298" spans="1:63" ht="12.75" customHeight="1">
      <c r="A298" s="551"/>
      <c r="B298" s="551"/>
      <c r="C298" s="551"/>
      <c r="D298" s="551"/>
      <c r="E298" s="551"/>
      <c r="F298" s="551"/>
      <c r="G298" s="551"/>
      <c r="H298" s="551"/>
      <c r="I298" s="551"/>
      <c r="J298" s="551"/>
      <c r="K298" s="551"/>
      <c r="L298" s="551"/>
      <c r="M298" s="551"/>
      <c r="N298" s="551"/>
      <c r="O298" s="551"/>
      <c r="P298" s="551"/>
      <c r="Q298" s="551"/>
      <c r="R298" s="551"/>
      <c r="S298" s="551"/>
      <c r="T298" s="551"/>
      <c r="U298" s="551"/>
      <c r="V298" s="551"/>
      <c r="W298" s="551"/>
      <c r="X298" s="551"/>
      <c r="Y298" s="551"/>
      <c r="Z298" s="551"/>
      <c r="AA298" s="551"/>
      <c r="AB298" s="551"/>
      <c r="AC298" s="551"/>
      <c r="AD298" s="551"/>
      <c r="AE298" s="551"/>
      <c r="AF298" s="551"/>
      <c r="AG298" s="551"/>
      <c r="AH298" s="551"/>
      <c r="AI298" s="551"/>
      <c r="AJ298" s="551"/>
      <c r="AK298" s="551"/>
      <c r="AL298" s="551"/>
      <c r="AM298" s="551"/>
      <c r="AN298" s="551"/>
      <c r="AO298" s="551"/>
      <c r="AP298" s="551"/>
      <c r="AQ298" s="551"/>
      <c r="AR298" s="551"/>
      <c r="AS298" s="551"/>
      <c r="AT298" s="551"/>
      <c r="AU298" s="551"/>
      <c r="AV298" s="551"/>
      <c r="AW298" s="551"/>
      <c r="AX298" s="551"/>
      <c r="AY298" s="551"/>
      <c r="AZ298" s="551"/>
      <c r="BA298" s="551"/>
      <c r="BB298" s="551"/>
      <c r="BC298" s="551"/>
      <c r="BD298" s="551"/>
      <c r="BE298" s="551"/>
      <c r="BF298" s="551"/>
      <c r="BG298" s="551"/>
      <c r="BH298" s="551"/>
      <c r="BI298" s="551"/>
      <c r="BJ298" s="551"/>
      <c r="BK298" s="551"/>
    </row>
    <row r="299" spans="1:63" ht="12.75" customHeight="1">
      <c r="A299" s="551"/>
      <c r="B299" s="551"/>
      <c r="C299" s="551"/>
      <c r="D299" s="551"/>
      <c r="E299" s="551"/>
      <c r="F299" s="551"/>
      <c r="G299" s="551"/>
      <c r="H299" s="551"/>
      <c r="I299" s="551"/>
      <c r="J299" s="551"/>
      <c r="K299" s="551"/>
      <c r="L299" s="551"/>
      <c r="M299" s="551"/>
      <c r="N299" s="551"/>
      <c r="O299" s="551"/>
      <c r="P299" s="551"/>
      <c r="Q299" s="551"/>
      <c r="R299" s="551"/>
      <c r="S299" s="551"/>
      <c r="T299" s="551"/>
      <c r="U299" s="551"/>
      <c r="V299" s="551"/>
      <c r="W299" s="551"/>
      <c r="X299" s="551"/>
      <c r="Y299" s="551"/>
      <c r="Z299" s="551"/>
      <c r="AA299" s="551"/>
      <c r="AB299" s="551"/>
      <c r="AC299" s="551"/>
      <c r="AD299" s="551"/>
      <c r="AE299" s="551"/>
      <c r="AF299" s="551"/>
      <c r="AG299" s="551"/>
      <c r="AH299" s="551"/>
      <c r="AI299" s="551"/>
      <c r="AJ299" s="551"/>
      <c r="AK299" s="551"/>
      <c r="AL299" s="551"/>
      <c r="AM299" s="551"/>
      <c r="AN299" s="551"/>
      <c r="AO299" s="551"/>
      <c r="AP299" s="551"/>
      <c r="AQ299" s="551"/>
      <c r="AR299" s="551"/>
      <c r="AS299" s="551"/>
      <c r="AT299" s="551"/>
      <c r="AU299" s="551"/>
      <c r="AV299" s="551"/>
      <c r="AW299" s="551"/>
      <c r="AX299" s="551"/>
      <c r="AY299" s="551"/>
      <c r="AZ299" s="551"/>
      <c r="BA299" s="551"/>
      <c r="BB299" s="551"/>
      <c r="BC299" s="551"/>
      <c r="BD299" s="551"/>
      <c r="BE299" s="551"/>
      <c r="BF299" s="551"/>
      <c r="BG299" s="551"/>
      <c r="BH299" s="551"/>
      <c r="BI299" s="551"/>
      <c r="BJ299" s="551"/>
      <c r="BK299" s="551"/>
    </row>
    <row r="300" spans="1:63" ht="12.75" customHeight="1">
      <c r="A300" s="551"/>
      <c r="B300" s="551"/>
      <c r="C300" s="551"/>
      <c r="D300" s="551"/>
      <c r="E300" s="551"/>
      <c r="F300" s="551"/>
      <c r="G300" s="551"/>
      <c r="H300" s="551"/>
      <c r="I300" s="551"/>
      <c r="J300" s="551"/>
      <c r="K300" s="551"/>
      <c r="L300" s="551"/>
      <c r="M300" s="551"/>
      <c r="N300" s="551"/>
      <c r="O300" s="551"/>
      <c r="P300" s="551"/>
      <c r="Q300" s="551"/>
      <c r="R300" s="551"/>
      <c r="S300" s="551"/>
      <c r="T300" s="551"/>
      <c r="U300" s="551"/>
      <c r="V300" s="551"/>
      <c r="W300" s="551"/>
      <c r="X300" s="551"/>
      <c r="Y300" s="551"/>
      <c r="Z300" s="551"/>
      <c r="AA300" s="551"/>
      <c r="AB300" s="551"/>
      <c r="AC300" s="551"/>
      <c r="AD300" s="551"/>
      <c r="AE300" s="551"/>
      <c r="AF300" s="551"/>
      <c r="AG300" s="551"/>
      <c r="AH300" s="551"/>
      <c r="AI300" s="551"/>
      <c r="AJ300" s="551"/>
      <c r="AK300" s="551"/>
      <c r="AL300" s="551"/>
      <c r="AM300" s="551"/>
      <c r="AN300" s="551"/>
      <c r="AO300" s="551"/>
      <c r="AP300" s="551"/>
      <c r="AQ300" s="551"/>
      <c r="AR300" s="551"/>
      <c r="AS300" s="551"/>
      <c r="AT300" s="551"/>
      <c r="AU300" s="551"/>
      <c r="AV300" s="551"/>
      <c r="AW300" s="551"/>
      <c r="AX300" s="551"/>
      <c r="AY300" s="551"/>
      <c r="AZ300" s="551"/>
      <c r="BA300" s="551"/>
      <c r="BB300" s="551"/>
      <c r="BC300" s="551"/>
      <c r="BD300" s="551"/>
      <c r="BE300" s="551"/>
      <c r="BF300" s="551"/>
      <c r="BG300" s="551"/>
      <c r="BH300" s="551"/>
      <c r="BI300" s="551"/>
      <c r="BJ300" s="551"/>
      <c r="BK300" s="551"/>
    </row>
    <row r="301" spans="1:63" ht="12.75" customHeight="1">
      <c r="A301" s="551"/>
      <c r="B301" s="551"/>
      <c r="C301" s="551"/>
      <c r="D301" s="551"/>
      <c r="E301" s="551"/>
      <c r="F301" s="551"/>
      <c r="G301" s="551"/>
      <c r="H301" s="551"/>
      <c r="I301" s="551"/>
      <c r="J301" s="551"/>
      <c r="K301" s="551"/>
      <c r="L301" s="551"/>
      <c r="M301" s="551"/>
      <c r="N301" s="551"/>
      <c r="O301" s="551"/>
      <c r="P301" s="551"/>
      <c r="Q301" s="551"/>
      <c r="R301" s="551"/>
      <c r="S301" s="551"/>
      <c r="T301" s="551"/>
      <c r="U301" s="551"/>
      <c r="V301" s="551"/>
      <c r="W301" s="551"/>
      <c r="X301" s="551"/>
      <c r="Y301" s="551"/>
      <c r="Z301" s="551"/>
      <c r="AA301" s="551"/>
      <c r="AB301" s="551"/>
      <c r="AC301" s="551"/>
      <c r="AD301" s="551"/>
      <c r="AE301" s="551"/>
      <c r="AF301" s="551"/>
      <c r="AG301" s="551"/>
      <c r="AH301" s="551"/>
      <c r="AI301" s="551"/>
      <c r="AJ301" s="551"/>
      <c r="AK301" s="551"/>
      <c r="AL301" s="551"/>
      <c r="AM301" s="551"/>
      <c r="AN301" s="551"/>
      <c r="AO301" s="551"/>
      <c r="AP301" s="551"/>
      <c r="AQ301" s="551"/>
      <c r="AR301" s="551"/>
      <c r="AS301" s="551"/>
      <c r="AT301" s="551"/>
      <c r="AU301" s="551"/>
      <c r="AV301" s="551"/>
      <c r="AW301" s="551"/>
      <c r="AX301" s="551"/>
      <c r="AY301" s="551"/>
      <c r="AZ301" s="551"/>
      <c r="BA301" s="551"/>
      <c r="BB301" s="551"/>
      <c r="BC301" s="551"/>
      <c r="BD301" s="551"/>
      <c r="BE301" s="551"/>
      <c r="BF301" s="551"/>
      <c r="BG301" s="551"/>
      <c r="BH301" s="551"/>
      <c r="BI301" s="551"/>
      <c r="BJ301" s="551"/>
      <c r="BK301" s="551"/>
    </row>
    <row r="302" spans="1:63" ht="12.75" customHeight="1">
      <c r="A302" s="551"/>
      <c r="B302" s="551"/>
      <c r="C302" s="551"/>
      <c r="D302" s="551"/>
      <c r="E302" s="551"/>
      <c r="F302" s="551"/>
      <c r="G302" s="551"/>
      <c r="H302" s="551"/>
      <c r="I302" s="551"/>
      <c r="J302" s="551"/>
      <c r="K302" s="551"/>
      <c r="L302" s="551"/>
      <c r="M302" s="551"/>
      <c r="N302" s="551"/>
      <c r="O302" s="551"/>
      <c r="P302" s="551"/>
      <c r="Q302" s="551"/>
      <c r="R302" s="551"/>
      <c r="S302" s="551"/>
      <c r="T302" s="551"/>
      <c r="U302" s="551"/>
      <c r="V302" s="551"/>
      <c r="W302" s="551"/>
      <c r="X302" s="551"/>
      <c r="Y302" s="551"/>
      <c r="Z302" s="551"/>
      <c r="AA302" s="551"/>
      <c r="AB302" s="551"/>
      <c r="AC302" s="551"/>
      <c r="AD302" s="551"/>
      <c r="AE302" s="551"/>
      <c r="AF302" s="551"/>
      <c r="AG302" s="551"/>
      <c r="AH302" s="551"/>
      <c r="AI302" s="551"/>
      <c r="AJ302" s="551"/>
      <c r="AK302" s="551"/>
      <c r="AL302" s="551"/>
      <c r="AM302" s="551"/>
      <c r="AN302" s="551"/>
      <c r="AO302" s="551"/>
      <c r="AP302" s="551"/>
      <c r="AQ302" s="551"/>
      <c r="AR302" s="551"/>
      <c r="AS302" s="551"/>
      <c r="AT302" s="551"/>
      <c r="AU302" s="551"/>
      <c r="AV302" s="551"/>
      <c r="AW302" s="551"/>
      <c r="AX302" s="551"/>
      <c r="AY302" s="551"/>
      <c r="AZ302" s="551"/>
      <c r="BA302" s="551"/>
      <c r="BB302" s="551"/>
      <c r="BC302" s="551"/>
      <c r="BD302" s="551"/>
      <c r="BE302" s="551"/>
      <c r="BF302" s="551"/>
      <c r="BG302" s="551"/>
      <c r="BH302" s="551"/>
      <c r="BI302" s="551"/>
      <c r="BJ302" s="551"/>
      <c r="BK302" s="551"/>
    </row>
    <row r="303" spans="1:63" ht="12.75" customHeight="1">
      <c r="A303" s="551"/>
      <c r="B303" s="551"/>
      <c r="C303" s="551"/>
      <c r="D303" s="551"/>
      <c r="E303" s="551"/>
      <c r="F303" s="551"/>
      <c r="G303" s="551"/>
      <c r="H303" s="551"/>
      <c r="I303" s="551"/>
      <c r="J303" s="551"/>
      <c r="K303" s="551"/>
      <c r="L303" s="551"/>
      <c r="M303" s="551"/>
      <c r="N303" s="551"/>
      <c r="O303" s="551"/>
      <c r="P303" s="551"/>
      <c r="Q303" s="551"/>
      <c r="R303" s="551"/>
      <c r="S303" s="551"/>
      <c r="T303" s="551"/>
      <c r="U303" s="551"/>
      <c r="V303" s="551"/>
      <c r="W303" s="551"/>
      <c r="X303" s="551"/>
      <c r="Y303" s="551"/>
      <c r="Z303" s="551"/>
      <c r="AA303" s="551"/>
      <c r="AB303" s="551"/>
      <c r="AC303" s="551"/>
      <c r="AD303" s="551"/>
      <c r="AE303" s="551"/>
      <c r="AF303" s="551"/>
      <c r="AG303" s="551"/>
      <c r="AH303" s="551"/>
      <c r="AI303" s="551"/>
      <c r="AJ303" s="551"/>
      <c r="AK303" s="551"/>
      <c r="AL303" s="551"/>
      <c r="AM303" s="551"/>
      <c r="AN303" s="551"/>
      <c r="AO303" s="551"/>
      <c r="AP303" s="551"/>
      <c r="AQ303" s="551"/>
      <c r="AR303" s="551"/>
      <c r="AS303" s="551"/>
      <c r="AT303" s="551"/>
      <c r="AU303" s="551"/>
      <c r="AV303" s="551"/>
      <c r="AW303" s="551"/>
      <c r="AX303" s="551"/>
      <c r="AY303" s="551"/>
      <c r="AZ303" s="551"/>
      <c r="BA303" s="551"/>
      <c r="BB303" s="551"/>
      <c r="BC303" s="551"/>
      <c r="BD303" s="551"/>
      <c r="BE303" s="551"/>
      <c r="BF303" s="551"/>
      <c r="BG303" s="551"/>
      <c r="BH303" s="551"/>
      <c r="BI303" s="551"/>
      <c r="BJ303" s="551"/>
      <c r="BK303" s="551"/>
    </row>
    <row r="304" spans="1:63" ht="12.75" customHeight="1">
      <c r="A304" s="551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1"/>
      <c r="P304" s="551"/>
      <c r="Q304" s="551"/>
      <c r="R304" s="551"/>
      <c r="S304" s="551"/>
      <c r="T304" s="551"/>
      <c r="U304" s="551"/>
      <c r="V304" s="551"/>
      <c r="W304" s="551"/>
      <c r="X304" s="551"/>
      <c r="Y304" s="551"/>
      <c r="Z304" s="551"/>
      <c r="AA304" s="551"/>
      <c r="AB304" s="551"/>
      <c r="AC304" s="551"/>
      <c r="AD304" s="551"/>
      <c r="AE304" s="551"/>
      <c r="AF304" s="551"/>
      <c r="AG304" s="551"/>
      <c r="AH304" s="551"/>
      <c r="AI304" s="551"/>
      <c r="AJ304" s="551"/>
      <c r="AK304" s="551"/>
      <c r="AL304" s="551"/>
      <c r="AM304" s="551"/>
      <c r="AN304" s="551"/>
      <c r="AO304" s="551"/>
      <c r="AP304" s="551"/>
      <c r="AQ304" s="551"/>
      <c r="AR304" s="551"/>
      <c r="AS304" s="551"/>
      <c r="AT304" s="551"/>
      <c r="AU304" s="551"/>
      <c r="AV304" s="551"/>
      <c r="AW304" s="551"/>
      <c r="AX304" s="551"/>
      <c r="AY304" s="551"/>
      <c r="AZ304" s="551"/>
      <c r="BA304" s="551"/>
      <c r="BB304" s="551"/>
      <c r="BC304" s="551"/>
      <c r="BD304" s="551"/>
      <c r="BE304" s="551"/>
      <c r="BF304" s="551"/>
      <c r="BG304" s="551"/>
      <c r="BH304" s="551"/>
      <c r="BI304" s="551"/>
      <c r="BJ304" s="551"/>
      <c r="BK304" s="551"/>
    </row>
    <row r="305" spans="1:63" ht="12.75" customHeight="1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1"/>
      <c r="P305" s="551"/>
      <c r="Q305" s="551"/>
      <c r="R305" s="551"/>
      <c r="S305" s="551"/>
      <c r="T305" s="551"/>
      <c r="U305" s="551"/>
      <c r="V305" s="551"/>
      <c r="W305" s="551"/>
      <c r="X305" s="551"/>
      <c r="Y305" s="551"/>
      <c r="Z305" s="551"/>
      <c r="AA305" s="551"/>
      <c r="AB305" s="551"/>
      <c r="AC305" s="551"/>
      <c r="AD305" s="551"/>
      <c r="AE305" s="551"/>
      <c r="AF305" s="551"/>
      <c r="AG305" s="551"/>
      <c r="AH305" s="551"/>
      <c r="AI305" s="551"/>
      <c r="AJ305" s="551"/>
      <c r="AK305" s="551"/>
      <c r="AL305" s="551"/>
      <c r="AM305" s="551"/>
      <c r="AN305" s="551"/>
      <c r="AO305" s="551"/>
      <c r="AP305" s="551"/>
      <c r="AQ305" s="551"/>
      <c r="AR305" s="551"/>
      <c r="AS305" s="551"/>
      <c r="AT305" s="551"/>
      <c r="AU305" s="551"/>
      <c r="AV305" s="551"/>
      <c r="AW305" s="551"/>
      <c r="AX305" s="551"/>
      <c r="AY305" s="551"/>
      <c r="AZ305" s="551"/>
      <c r="BA305" s="551"/>
      <c r="BB305" s="551"/>
      <c r="BC305" s="551"/>
      <c r="BD305" s="551"/>
      <c r="BE305" s="551"/>
      <c r="BF305" s="551"/>
      <c r="BG305" s="551"/>
      <c r="BH305" s="551"/>
      <c r="BI305" s="551"/>
      <c r="BJ305" s="551"/>
      <c r="BK305" s="551"/>
    </row>
    <row r="306" spans="1:63" ht="12.75" customHeight="1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51"/>
      <c r="AB306" s="551"/>
      <c r="AC306" s="551"/>
      <c r="AD306" s="551"/>
      <c r="AE306" s="551"/>
      <c r="AF306" s="551"/>
      <c r="AG306" s="551"/>
      <c r="AH306" s="551"/>
      <c r="AI306" s="551"/>
      <c r="AJ306" s="551"/>
      <c r="AK306" s="551"/>
      <c r="AL306" s="551"/>
      <c r="AM306" s="551"/>
      <c r="AN306" s="551"/>
      <c r="AO306" s="551"/>
      <c r="AP306" s="551"/>
      <c r="AQ306" s="551"/>
      <c r="AR306" s="551"/>
      <c r="AS306" s="551"/>
      <c r="AT306" s="551"/>
      <c r="AU306" s="551"/>
      <c r="AV306" s="551"/>
      <c r="AW306" s="551"/>
      <c r="AX306" s="551"/>
      <c r="AY306" s="551"/>
      <c r="AZ306" s="551"/>
      <c r="BA306" s="551"/>
      <c r="BB306" s="551"/>
      <c r="BC306" s="551"/>
      <c r="BD306" s="551"/>
      <c r="BE306" s="551"/>
      <c r="BF306" s="551"/>
      <c r="BG306" s="551"/>
      <c r="BH306" s="551"/>
      <c r="BI306" s="551"/>
      <c r="BJ306" s="551"/>
      <c r="BK306" s="551"/>
    </row>
    <row r="307" spans="1:63" ht="12.75" customHeight="1">
      <c r="A307" s="551"/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51"/>
      <c r="AB307" s="551"/>
      <c r="AC307" s="551"/>
      <c r="AD307" s="551"/>
      <c r="AE307" s="551"/>
      <c r="AF307" s="551"/>
      <c r="AG307" s="551"/>
      <c r="AH307" s="551"/>
      <c r="AI307" s="551"/>
      <c r="AJ307" s="551"/>
      <c r="AK307" s="551"/>
      <c r="AL307" s="551"/>
      <c r="AM307" s="551"/>
      <c r="AN307" s="551"/>
      <c r="AO307" s="551"/>
      <c r="AP307" s="551"/>
      <c r="AQ307" s="551"/>
      <c r="AR307" s="551"/>
      <c r="AS307" s="551"/>
      <c r="AT307" s="551"/>
      <c r="AU307" s="551"/>
      <c r="AV307" s="551"/>
      <c r="AW307" s="551"/>
      <c r="AX307" s="551"/>
      <c r="AY307" s="551"/>
      <c r="AZ307" s="551"/>
      <c r="BA307" s="551"/>
      <c r="BB307" s="551"/>
      <c r="BC307" s="551"/>
      <c r="BD307" s="551"/>
      <c r="BE307" s="551"/>
      <c r="BF307" s="551"/>
      <c r="BG307" s="551"/>
      <c r="BH307" s="551"/>
      <c r="BI307" s="551"/>
      <c r="BJ307" s="551"/>
      <c r="BK307" s="551"/>
    </row>
    <row r="308" spans="1:63" ht="12.75" customHeight="1">
      <c r="A308" s="551"/>
      <c r="B308" s="551"/>
      <c r="C308" s="551"/>
      <c r="D308" s="551"/>
      <c r="E308" s="551"/>
      <c r="F308" s="551"/>
      <c r="G308" s="551"/>
      <c r="H308" s="551"/>
      <c r="I308" s="551"/>
      <c r="J308" s="551"/>
      <c r="K308" s="551"/>
      <c r="L308" s="551"/>
      <c r="M308" s="551"/>
      <c r="N308" s="551"/>
      <c r="O308" s="551"/>
      <c r="P308" s="551"/>
      <c r="Q308" s="551"/>
      <c r="R308" s="551"/>
      <c r="S308" s="551"/>
      <c r="T308" s="551"/>
      <c r="U308" s="551"/>
      <c r="V308" s="551"/>
      <c r="W308" s="551"/>
      <c r="X308" s="551"/>
      <c r="Y308" s="551"/>
      <c r="Z308" s="551"/>
      <c r="AA308" s="551"/>
      <c r="AB308" s="551"/>
      <c r="AC308" s="551"/>
      <c r="AD308" s="551"/>
      <c r="AE308" s="551"/>
      <c r="AF308" s="551"/>
      <c r="AG308" s="551"/>
      <c r="AH308" s="551"/>
      <c r="AI308" s="551"/>
      <c r="AJ308" s="551"/>
      <c r="AK308" s="551"/>
      <c r="AL308" s="551"/>
      <c r="AM308" s="551"/>
      <c r="AN308" s="551"/>
      <c r="AO308" s="551"/>
      <c r="AP308" s="551"/>
      <c r="AQ308" s="551"/>
      <c r="AR308" s="551"/>
      <c r="AS308" s="551"/>
      <c r="AT308" s="551"/>
      <c r="AU308" s="551"/>
      <c r="AV308" s="551"/>
      <c r="AW308" s="551"/>
      <c r="AX308" s="551"/>
      <c r="AY308" s="551"/>
      <c r="AZ308" s="551"/>
      <c r="BA308" s="551"/>
      <c r="BB308" s="551"/>
      <c r="BC308" s="551"/>
      <c r="BD308" s="551"/>
      <c r="BE308" s="551"/>
      <c r="BF308" s="551"/>
      <c r="BG308" s="551"/>
      <c r="BH308" s="551"/>
      <c r="BI308" s="551"/>
      <c r="BJ308" s="551"/>
      <c r="BK308" s="551"/>
    </row>
    <row r="309" spans="1:63" ht="12.75" customHeight="1">
      <c r="A309" s="551"/>
      <c r="B309" s="551"/>
      <c r="C309" s="551"/>
      <c r="D309" s="551"/>
      <c r="E309" s="551"/>
      <c r="F309" s="551"/>
      <c r="G309" s="551"/>
      <c r="H309" s="551"/>
      <c r="I309" s="551"/>
      <c r="J309" s="551"/>
      <c r="K309" s="551"/>
      <c r="L309" s="551"/>
      <c r="M309" s="551"/>
      <c r="N309" s="551"/>
      <c r="O309" s="551"/>
      <c r="P309" s="551"/>
      <c r="Q309" s="551"/>
      <c r="R309" s="551"/>
      <c r="S309" s="551"/>
      <c r="T309" s="551"/>
      <c r="U309" s="551"/>
      <c r="V309" s="551"/>
      <c r="W309" s="551"/>
      <c r="X309" s="551"/>
      <c r="Y309" s="551"/>
      <c r="Z309" s="551"/>
      <c r="AA309" s="551"/>
      <c r="AB309" s="551"/>
      <c r="AC309" s="551"/>
      <c r="AD309" s="551"/>
      <c r="AE309" s="551"/>
      <c r="AF309" s="551"/>
      <c r="AG309" s="551"/>
      <c r="AH309" s="551"/>
      <c r="AI309" s="551"/>
      <c r="AJ309" s="551"/>
      <c r="AK309" s="551"/>
      <c r="AL309" s="551"/>
      <c r="AM309" s="551"/>
      <c r="AN309" s="551"/>
      <c r="AO309" s="551"/>
      <c r="AP309" s="551"/>
      <c r="AQ309" s="551"/>
      <c r="AR309" s="551"/>
      <c r="AS309" s="551"/>
      <c r="AT309" s="551"/>
      <c r="AU309" s="551"/>
      <c r="AV309" s="551"/>
      <c r="AW309" s="551"/>
      <c r="AX309" s="551"/>
      <c r="AY309" s="551"/>
      <c r="AZ309" s="551"/>
      <c r="BA309" s="551"/>
      <c r="BB309" s="551"/>
      <c r="BC309" s="551"/>
      <c r="BD309" s="551"/>
      <c r="BE309" s="551"/>
      <c r="BF309" s="551"/>
      <c r="BG309" s="551"/>
      <c r="BH309" s="551"/>
      <c r="BI309" s="551"/>
      <c r="BJ309" s="551"/>
      <c r="BK309" s="551"/>
    </row>
    <row r="310" spans="1:63" ht="12.75" customHeight="1">
      <c r="A310" s="551"/>
      <c r="B310" s="551"/>
      <c r="C310" s="551"/>
      <c r="D310" s="551"/>
      <c r="E310" s="551"/>
      <c r="F310" s="551"/>
      <c r="G310" s="551"/>
      <c r="H310" s="551"/>
      <c r="I310" s="551"/>
      <c r="J310" s="551"/>
      <c r="K310" s="551"/>
      <c r="L310" s="551"/>
      <c r="M310" s="551"/>
      <c r="N310" s="551"/>
      <c r="O310" s="551"/>
      <c r="P310" s="551"/>
      <c r="Q310" s="551"/>
      <c r="R310" s="551"/>
      <c r="S310" s="551"/>
      <c r="T310" s="551"/>
      <c r="U310" s="551"/>
      <c r="V310" s="551"/>
      <c r="W310" s="551"/>
      <c r="X310" s="551"/>
      <c r="Y310" s="551"/>
      <c r="Z310" s="551"/>
      <c r="AA310" s="551"/>
      <c r="AB310" s="551"/>
      <c r="AC310" s="551"/>
      <c r="AD310" s="551"/>
      <c r="AE310" s="551"/>
      <c r="AF310" s="551"/>
      <c r="AG310" s="551"/>
      <c r="AH310" s="551"/>
      <c r="AI310" s="551"/>
      <c r="AJ310" s="551"/>
      <c r="AK310" s="551"/>
      <c r="AL310" s="551"/>
      <c r="AM310" s="551"/>
      <c r="AN310" s="551"/>
      <c r="AO310" s="551"/>
      <c r="AP310" s="551"/>
      <c r="AQ310" s="551"/>
      <c r="AR310" s="551"/>
      <c r="AS310" s="551"/>
      <c r="AT310" s="551"/>
      <c r="AU310" s="551"/>
      <c r="AV310" s="551"/>
      <c r="AW310" s="551"/>
      <c r="AX310" s="551"/>
      <c r="AY310" s="551"/>
      <c r="AZ310" s="551"/>
      <c r="BA310" s="551"/>
      <c r="BB310" s="551"/>
      <c r="BC310" s="551"/>
      <c r="BD310" s="551"/>
      <c r="BE310" s="551"/>
      <c r="BF310" s="551"/>
      <c r="BG310" s="551"/>
      <c r="BH310" s="551"/>
      <c r="BI310" s="551"/>
      <c r="BJ310" s="551"/>
      <c r="BK310" s="551"/>
    </row>
    <row r="311" spans="1:63" ht="12.75" customHeight="1">
      <c r="A311" s="551"/>
      <c r="B311" s="551"/>
      <c r="C311" s="551"/>
      <c r="D311" s="551"/>
      <c r="E311" s="551"/>
      <c r="F311" s="551"/>
      <c r="G311" s="551"/>
      <c r="H311" s="551"/>
      <c r="I311" s="551"/>
      <c r="J311" s="551"/>
      <c r="K311" s="551"/>
      <c r="L311" s="551"/>
      <c r="M311" s="551"/>
      <c r="N311" s="551"/>
      <c r="O311" s="551"/>
      <c r="P311" s="551"/>
      <c r="Q311" s="551"/>
      <c r="R311" s="551"/>
      <c r="S311" s="551"/>
      <c r="T311" s="551"/>
      <c r="U311" s="551"/>
      <c r="V311" s="551"/>
      <c r="W311" s="551"/>
      <c r="X311" s="551"/>
      <c r="Y311" s="551"/>
      <c r="Z311" s="551"/>
      <c r="AA311" s="551"/>
      <c r="AB311" s="551"/>
      <c r="AC311" s="551"/>
      <c r="AD311" s="551"/>
      <c r="AE311" s="551"/>
      <c r="AF311" s="551"/>
      <c r="AG311" s="551"/>
      <c r="AH311" s="551"/>
      <c r="AI311" s="551"/>
      <c r="AJ311" s="551"/>
      <c r="AK311" s="551"/>
      <c r="AL311" s="551"/>
      <c r="AM311" s="551"/>
      <c r="AN311" s="551"/>
      <c r="AO311" s="551"/>
      <c r="AP311" s="551"/>
      <c r="AQ311" s="551"/>
      <c r="AR311" s="551"/>
      <c r="AS311" s="551"/>
      <c r="AT311" s="551"/>
      <c r="AU311" s="551"/>
      <c r="AV311" s="551"/>
      <c r="AW311" s="551"/>
      <c r="AX311" s="551"/>
      <c r="AY311" s="551"/>
      <c r="AZ311" s="551"/>
      <c r="BA311" s="551"/>
      <c r="BB311" s="551"/>
      <c r="BC311" s="551"/>
      <c r="BD311" s="551"/>
      <c r="BE311" s="551"/>
      <c r="BF311" s="551"/>
      <c r="BG311" s="551"/>
      <c r="BH311" s="551"/>
      <c r="BI311" s="551"/>
      <c r="BJ311" s="551"/>
      <c r="BK311" s="551"/>
    </row>
    <row r="312" spans="1:63" ht="12.75" customHeight="1">
      <c r="A312" s="551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1"/>
      <c r="P312" s="551"/>
      <c r="Q312" s="551"/>
      <c r="R312" s="551"/>
      <c r="S312" s="551"/>
      <c r="T312" s="551"/>
      <c r="U312" s="551"/>
      <c r="V312" s="551"/>
      <c r="W312" s="551"/>
      <c r="X312" s="551"/>
      <c r="Y312" s="551"/>
      <c r="Z312" s="551"/>
      <c r="AA312" s="551"/>
      <c r="AB312" s="551"/>
      <c r="AC312" s="551"/>
      <c r="AD312" s="551"/>
      <c r="AE312" s="551"/>
      <c r="AF312" s="551"/>
      <c r="AG312" s="551"/>
      <c r="AH312" s="551"/>
      <c r="AI312" s="551"/>
      <c r="AJ312" s="551"/>
      <c r="AK312" s="551"/>
      <c r="AL312" s="551"/>
      <c r="AM312" s="551"/>
      <c r="AN312" s="551"/>
      <c r="AO312" s="551"/>
      <c r="AP312" s="551"/>
      <c r="AQ312" s="551"/>
      <c r="AR312" s="551"/>
      <c r="AS312" s="551"/>
      <c r="AT312" s="551"/>
      <c r="AU312" s="551"/>
      <c r="AV312" s="551"/>
      <c r="AW312" s="551"/>
      <c r="AX312" s="551"/>
      <c r="AY312" s="551"/>
      <c r="AZ312" s="551"/>
      <c r="BA312" s="551"/>
      <c r="BB312" s="551"/>
      <c r="BC312" s="551"/>
      <c r="BD312" s="551"/>
      <c r="BE312" s="551"/>
      <c r="BF312" s="551"/>
      <c r="BG312" s="551"/>
      <c r="BH312" s="551"/>
      <c r="BI312" s="551"/>
      <c r="BJ312" s="551"/>
      <c r="BK312" s="551"/>
    </row>
    <row r="313" spans="1:63" ht="12.75" customHeight="1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1"/>
      <c r="P313" s="551"/>
      <c r="Q313" s="551"/>
      <c r="R313" s="551"/>
      <c r="S313" s="551"/>
      <c r="T313" s="551"/>
      <c r="U313" s="551"/>
      <c r="V313" s="551"/>
      <c r="W313" s="551"/>
      <c r="X313" s="551"/>
      <c r="Y313" s="551"/>
      <c r="Z313" s="551"/>
      <c r="AA313" s="551"/>
      <c r="AB313" s="551"/>
      <c r="AC313" s="551"/>
      <c r="AD313" s="551"/>
      <c r="AE313" s="551"/>
      <c r="AF313" s="551"/>
      <c r="AG313" s="551"/>
      <c r="AH313" s="551"/>
      <c r="AI313" s="551"/>
      <c r="AJ313" s="551"/>
      <c r="AK313" s="551"/>
      <c r="AL313" s="551"/>
      <c r="AM313" s="551"/>
      <c r="AN313" s="551"/>
      <c r="AO313" s="551"/>
      <c r="AP313" s="551"/>
      <c r="AQ313" s="551"/>
      <c r="AR313" s="551"/>
      <c r="AS313" s="551"/>
      <c r="AT313" s="551"/>
      <c r="AU313" s="551"/>
      <c r="AV313" s="551"/>
      <c r="AW313" s="551"/>
      <c r="AX313" s="551"/>
      <c r="AY313" s="551"/>
      <c r="AZ313" s="551"/>
      <c r="BA313" s="551"/>
      <c r="BB313" s="551"/>
      <c r="BC313" s="551"/>
      <c r="BD313" s="551"/>
      <c r="BE313" s="551"/>
      <c r="BF313" s="551"/>
      <c r="BG313" s="551"/>
      <c r="BH313" s="551"/>
      <c r="BI313" s="551"/>
      <c r="BJ313" s="551"/>
      <c r="BK313" s="551"/>
    </row>
    <row r="314" spans="1:63" ht="12.75" customHeight="1">
      <c r="A314" s="551"/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51"/>
      <c r="AB314" s="551"/>
      <c r="AC314" s="551"/>
      <c r="AD314" s="551"/>
      <c r="AE314" s="551"/>
      <c r="AF314" s="551"/>
      <c r="AG314" s="551"/>
      <c r="AH314" s="551"/>
      <c r="AI314" s="551"/>
      <c r="AJ314" s="551"/>
      <c r="AK314" s="551"/>
      <c r="AL314" s="551"/>
      <c r="AM314" s="551"/>
      <c r="AN314" s="551"/>
      <c r="AO314" s="551"/>
      <c r="AP314" s="551"/>
      <c r="AQ314" s="551"/>
      <c r="AR314" s="551"/>
      <c r="AS314" s="551"/>
      <c r="AT314" s="551"/>
      <c r="AU314" s="551"/>
      <c r="AV314" s="551"/>
      <c r="AW314" s="551"/>
      <c r="AX314" s="551"/>
      <c r="AY314" s="551"/>
      <c r="AZ314" s="551"/>
      <c r="BA314" s="551"/>
      <c r="BB314" s="551"/>
      <c r="BC314" s="551"/>
      <c r="BD314" s="551"/>
      <c r="BE314" s="551"/>
      <c r="BF314" s="551"/>
      <c r="BG314" s="551"/>
      <c r="BH314" s="551"/>
      <c r="BI314" s="551"/>
      <c r="BJ314" s="551"/>
      <c r="BK314" s="551"/>
    </row>
    <row r="315" spans="1:63" ht="12.75" customHeight="1">
      <c r="A315" s="551"/>
      <c r="B315" s="551"/>
      <c r="C315" s="551"/>
      <c r="D315" s="551"/>
      <c r="E315" s="551"/>
      <c r="F315" s="551"/>
      <c r="G315" s="551"/>
      <c r="H315" s="551"/>
      <c r="I315" s="551"/>
      <c r="J315" s="551"/>
      <c r="K315" s="551"/>
      <c r="L315" s="551"/>
      <c r="M315" s="551"/>
      <c r="N315" s="551"/>
      <c r="O315" s="551"/>
      <c r="P315" s="551"/>
      <c r="Q315" s="551"/>
      <c r="R315" s="551"/>
      <c r="S315" s="551"/>
      <c r="T315" s="551"/>
      <c r="U315" s="551"/>
      <c r="V315" s="551"/>
      <c r="W315" s="551"/>
      <c r="X315" s="551"/>
      <c r="Y315" s="551"/>
      <c r="Z315" s="551"/>
      <c r="AA315" s="551"/>
      <c r="AB315" s="551"/>
      <c r="AC315" s="551"/>
      <c r="AD315" s="551"/>
      <c r="AE315" s="551"/>
      <c r="AF315" s="551"/>
      <c r="AG315" s="551"/>
      <c r="AH315" s="551"/>
      <c r="AI315" s="551"/>
      <c r="AJ315" s="551"/>
      <c r="AK315" s="551"/>
      <c r="AL315" s="551"/>
      <c r="AM315" s="551"/>
      <c r="AN315" s="551"/>
      <c r="AO315" s="551"/>
      <c r="AP315" s="551"/>
      <c r="AQ315" s="551"/>
      <c r="AR315" s="551"/>
      <c r="AS315" s="551"/>
      <c r="AT315" s="551"/>
      <c r="AU315" s="551"/>
      <c r="AV315" s="551"/>
      <c r="AW315" s="551"/>
      <c r="AX315" s="551"/>
      <c r="AY315" s="551"/>
      <c r="AZ315" s="551"/>
      <c r="BA315" s="551"/>
      <c r="BB315" s="551"/>
      <c r="BC315" s="551"/>
      <c r="BD315" s="551"/>
      <c r="BE315" s="551"/>
      <c r="BF315" s="551"/>
      <c r="BG315" s="551"/>
      <c r="BH315" s="551"/>
      <c r="BI315" s="551"/>
      <c r="BJ315" s="551"/>
      <c r="BK315" s="551"/>
    </row>
    <row r="316" spans="1:63" ht="12.75" customHeight="1">
      <c r="A316" s="551"/>
      <c r="B316" s="551"/>
      <c r="C316" s="551"/>
      <c r="D316" s="551"/>
      <c r="E316" s="551"/>
      <c r="F316" s="551"/>
      <c r="G316" s="551"/>
      <c r="H316" s="551"/>
      <c r="I316" s="551"/>
      <c r="J316" s="551"/>
      <c r="K316" s="551"/>
      <c r="L316" s="551"/>
      <c r="M316" s="551"/>
      <c r="N316" s="551"/>
      <c r="O316" s="551"/>
      <c r="P316" s="551"/>
      <c r="Q316" s="551"/>
      <c r="R316" s="551"/>
      <c r="S316" s="551"/>
      <c r="T316" s="551"/>
      <c r="U316" s="551"/>
      <c r="V316" s="551"/>
      <c r="W316" s="551"/>
      <c r="X316" s="551"/>
      <c r="Y316" s="551"/>
      <c r="Z316" s="551"/>
      <c r="AA316" s="551"/>
      <c r="AB316" s="551"/>
      <c r="AC316" s="551"/>
      <c r="AD316" s="551"/>
      <c r="AE316" s="551"/>
      <c r="AF316" s="551"/>
      <c r="AG316" s="551"/>
      <c r="AH316" s="551"/>
      <c r="AI316" s="551"/>
      <c r="AJ316" s="551"/>
      <c r="AK316" s="551"/>
      <c r="AL316" s="551"/>
      <c r="AM316" s="551"/>
      <c r="AN316" s="551"/>
      <c r="AO316" s="551"/>
      <c r="AP316" s="551"/>
      <c r="AQ316" s="551"/>
      <c r="AR316" s="551"/>
      <c r="AS316" s="551"/>
      <c r="AT316" s="551"/>
      <c r="AU316" s="551"/>
      <c r="AV316" s="551"/>
      <c r="AW316" s="551"/>
      <c r="AX316" s="551"/>
      <c r="AY316" s="551"/>
      <c r="AZ316" s="551"/>
      <c r="BA316" s="551"/>
      <c r="BB316" s="551"/>
      <c r="BC316" s="551"/>
      <c r="BD316" s="551"/>
      <c r="BE316" s="551"/>
      <c r="BF316" s="551"/>
      <c r="BG316" s="551"/>
      <c r="BH316" s="551"/>
      <c r="BI316" s="551"/>
      <c r="BJ316" s="551"/>
      <c r="BK316" s="551"/>
    </row>
    <row r="317" spans="1:63" ht="12.75" customHeight="1">
      <c r="A317" s="551"/>
      <c r="B317" s="551"/>
      <c r="C317" s="551"/>
      <c r="D317" s="551"/>
      <c r="E317" s="551"/>
      <c r="F317" s="551"/>
      <c r="G317" s="551"/>
      <c r="H317" s="551"/>
      <c r="I317" s="551"/>
      <c r="J317" s="551"/>
      <c r="K317" s="551"/>
      <c r="L317" s="551"/>
      <c r="M317" s="551"/>
      <c r="N317" s="551"/>
      <c r="O317" s="551"/>
      <c r="P317" s="551"/>
      <c r="Q317" s="551"/>
      <c r="R317" s="551"/>
      <c r="S317" s="551"/>
      <c r="T317" s="551"/>
      <c r="U317" s="551"/>
      <c r="V317" s="551"/>
      <c r="W317" s="551"/>
      <c r="X317" s="551"/>
      <c r="Y317" s="551"/>
      <c r="Z317" s="551"/>
      <c r="AA317" s="551"/>
      <c r="AB317" s="551"/>
      <c r="AC317" s="551"/>
      <c r="AD317" s="551"/>
      <c r="AE317" s="551"/>
      <c r="AF317" s="551"/>
      <c r="AG317" s="551"/>
      <c r="AH317" s="551"/>
      <c r="AI317" s="551"/>
      <c r="AJ317" s="551"/>
      <c r="AK317" s="551"/>
      <c r="AL317" s="551"/>
      <c r="AM317" s="551"/>
      <c r="AN317" s="551"/>
      <c r="AO317" s="551"/>
      <c r="AP317" s="551"/>
      <c r="AQ317" s="551"/>
      <c r="AR317" s="551"/>
      <c r="AS317" s="551"/>
      <c r="AT317" s="551"/>
      <c r="AU317" s="551"/>
      <c r="AV317" s="551"/>
      <c r="AW317" s="551"/>
      <c r="AX317" s="551"/>
      <c r="AY317" s="551"/>
      <c r="AZ317" s="551"/>
      <c r="BA317" s="551"/>
      <c r="BB317" s="551"/>
      <c r="BC317" s="551"/>
      <c r="BD317" s="551"/>
      <c r="BE317" s="551"/>
      <c r="BF317" s="551"/>
      <c r="BG317" s="551"/>
      <c r="BH317" s="551"/>
      <c r="BI317" s="551"/>
      <c r="BJ317" s="551"/>
      <c r="BK317" s="551"/>
    </row>
    <row r="318" spans="1:63" ht="12.75" customHeight="1">
      <c r="A318" s="551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1"/>
      <c r="P318" s="551"/>
      <c r="Q318" s="551"/>
      <c r="R318" s="551"/>
      <c r="S318" s="551"/>
      <c r="T318" s="551"/>
      <c r="U318" s="551"/>
      <c r="V318" s="551"/>
      <c r="W318" s="551"/>
      <c r="X318" s="551"/>
      <c r="Y318" s="551"/>
      <c r="Z318" s="551"/>
      <c r="AA318" s="551"/>
      <c r="AB318" s="551"/>
      <c r="AC318" s="551"/>
      <c r="AD318" s="551"/>
      <c r="AE318" s="551"/>
      <c r="AF318" s="551"/>
      <c r="AG318" s="551"/>
      <c r="AH318" s="551"/>
      <c r="AI318" s="551"/>
      <c r="AJ318" s="551"/>
      <c r="AK318" s="551"/>
      <c r="AL318" s="551"/>
      <c r="AM318" s="551"/>
      <c r="AN318" s="551"/>
      <c r="AO318" s="551"/>
      <c r="AP318" s="551"/>
      <c r="AQ318" s="551"/>
      <c r="AR318" s="551"/>
      <c r="AS318" s="551"/>
      <c r="AT318" s="551"/>
      <c r="AU318" s="551"/>
      <c r="AV318" s="551"/>
      <c r="AW318" s="551"/>
      <c r="AX318" s="551"/>
      <c r="AY318" s="551"/>
      <c r="AZ318" s="551"/>
      <c r="BA318" s="551"/>
      <c r="BB318" s="551"/>
      <c r="BC318" s="551"/>
      <c r="BD318" s="551"/>
      <c r="BE318" s="551"/>
      <c r="BF318" s="551"/>
      <c r="BG318" s="551"/>
      <c r="BH318" s="551"/>
      <c r="BI318" s="551"/>
      <c r="BJ318" s="551"/>
      <c r="BK318" s="551"/>
    </row>
    <row r="319" spans="1:63" ht="12.75" customHeight="1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1"/>
      <c r="P319" s="551"/>
      <c r="Q319" s="551"/>
      <c r="R319" s="551"/>
      <c r="S319" s="551"/>
      <c r="T319" s="551"/>
      <c r="U319" s="551"/>
      <c r="V319" s="551"/>
      <c r="W319" s="551"/>
      <c r="X319" s="551"/>
      <c r="Y319" s="551"/>
      <c r="Z319" s="551"/>
      <c r="AA319" s="551"/>
      <c r="AB319" s="551"/>
      <c r="AC319" s="551"/>
      <c r="AD319" s="551"/>
      <c r="AE319" s="551"/>
      <c r="AF319" s="551"/>
      <c r="AG319" s="551"/>
      <c r="AH319" s="551"/>
      <c r="AI319" s="551"/>
      <c r="AJ319" s="551"/>
      <c r="AK319" s="551"/>
      <c r="AL319" s="551"/>
      <c r="AM319" s="551"/>
      <c r="AN319" s="551"/>
      <c r="AO319" s="551"/>
      <c r="AP319" s="551"/>
      <c r="AQ319" s="551"/>
      <c r="AR319" s="551"/>
      <c r="AS319" s="551"/>
      <c r="AT319" s="551"/>
      <c r="AU319" s="551"/>
      <c r="AV319" s="551"/>
      <c r="AW319" s="551"/>
      <c r="AX319" s="551"/>
      <c r="AY319" s="551"/>
      <c r="AZ319" s="551"/>
      <c r="BA319" s="551"/>
      <c r="BB319" s="551"/>
      <c r="BC319" s="551"/>
      <c r="BD319" s="551"/>
      <c r="BE319" s="551"/>
      <c r="BF319" s="551"/>
      <c r="BG319" s="551"/>
      <c r="BH319" s="551"/>
      <c r="BI319" s="551"/>
      <c r="BJ319" s="551"/>
      <c r="BK319" s="551"/>
    </row>
    <row r="320" spans="1:63" ht="12.75" customHeight="1">
      <c r="A320" s="551"/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51"/>
      <c r="AB320" s="551"/>
      <c r="AC320" s="551"/>
      <c r="AD320" s="551"/>
      <c r="AE320" s="551"/>
      <c r="AF320" s="551"/>
      <c r="AG320" s="551"/>
      <c r="AH320" s="551"/>
      <c r="AI320" s="551"/>
      <c r="AJ320" s="551"/>
      <c r="AK320" s="551"/>
      <c r="AL320" s="551"/>
      <c r="AM320" s="551"/>
      <c r="AN320" s="551"/>
      <c r="AO320" s="551"/>
      <c r="AP320" s="551"/>
      <c r="AQ320" s="551"/>
      <c r="AR320" s="551"/>
      <c r="AS320" s="551"/>
      <c r="AT320" s="551"/>
      <c r="AU320" s="551"/>
      <c r="AV320" s="551"/>
      <c r="AW320" s="551"/>
      <c r="AX320" s="551"/>
      <c r="AY320" s="551"/>
      <c r="AZ320" s="551"/>
      <c r="BA320" s="551"/>
      <c r="BB320" s="551"/>
      <c r="BC320" s="551"/>
      <c r="BD320" s="551"/>
      <c r="BE320" s="551"/>
      <c r="BF320" s="551"/>
      <c r="BG320" s="551"/>
      <c r="BH320" s="551"/>
      <c r="BI320" s="551"/>
      <c r="BJ320" s="551"/>
      <c r="BK320" s="551"/>
    </row>
    <row r="321" spans="1:63" ht="12.75" customHeight="1">
      <c r="A321" s="551"/>
      <c r="B321" s="551"/>
      <c r="C321" s="551"/>
      <c r="D321" s="551"/>
      <c r="E321" s="551"/>
      <c r="F321" s="551"/>
      <c r="G321" s="551"/>
      <c r="H321" s="551"/>
      <c r="I321" s="551"/>
      <c r="J321" s="551"/>
      <c r="K321" s="551"/>
      <c r="L321" s="551"/>
      <c r="M321" s="551"/>
      <c r="N321" s="551"/>
      <c r="O321" s="551"/>
      <c r="P321" s="551"/>
      <c r="Q321" s="551"/>
      <c r="R321" s="551"/>
      <c r="S321" s="551"/>
      <c r="T321" s="551"/>
      <c r="U321" s="551"/>
      <c r="V321" s="551"/>
      <c r="W321" s="551"/>
      <c r="X321" s="551"/>
      <c r="Y321" s="551"/>
      <c r="Z321" s="551"/>
      <c r="AA321" s="551"/>
      <c r="AB321" s="551"/>
      <c r="AC321" s="551"/>
      <c r="AD321" s="551"/>
      <c r="AE321" s="551"/>
      <c r="AF321" s="551"/>
      <c r="AG321" s="551"/>
      <c r="AH321" s="551"/>
      <c r="AI321" s="551"/>
      <c r="AJ321" s="551"/>
      <c r="AK321" s="551"/>
      <c r="AL321" s="551"/>
      <c r="AM321" s="551"/>
      <c r="AN321" s="551"/>
      <c r="AO321" s="551"/>
      <c r="AP321" s="551"/>
      <c r="AQ321" s="551"/>
      <c r="AR321" s="551"/>
      <c r="AS321" s="551"/>
      <c r="AT321" s="551"/>
      <c r="AU321" s="551"/>
      <c r="AV321" s="551"/>
      <c r="AW321" s="551"/>
      <c r="AX321" s="551"/>
      <c r="AY321" s="551"/>
      <c r="AZ321" s="551"/>
      <c r="BA321" s="551"/>
      <c r="BB321" s="551"/>
      <c r="BC321" s="551"/>
      <c r="BD321" s="551"/>
      <c r="BE321" s="551"/>
      <c r="BF321" s="551"/>
      <c r="BG321" s="551"/>
      <c r="BH321" s="551"/>
      <c r="BI321" s="551"/>
      <c r="BJ321" s="551"/>
      <c r="BK321" s="551"/>
    </row>
    <row r="322" spans="1:63" ht="12.75" customHeight="1">
      <c r="A322" s="551"/>
      <c r="B322" s="551"/>
      <c r="C322" s="551"/>
      <c r="D322" s="551"/>
      <c r="E322" s="551"/>
      <c r="F322" s="551"/>
      <c r="G322" s="551"/>
      <c r="H322" s="551"/>
      <c r="I322" s="551"/>
      <c r="J322" s="551"/>
      <c r="K322" s="551"/>
      <c r="L322" s="551"/>
      <c r="M322" s="551"/>
      <c r="N322" s="551"/>
      <c r="O322" s="551"/>
      <c r="P322" s="551"/>
      <c r="Q322" s="551"/>
      <c r="R322" s="551"/>
      <c r="S322" s="551"/>
      <c r="T322" s="551"/>
      <c r="U322" s="551"/>
      <c r="V322" s="551"/>
      <c r="W322" s="551"/>
      <c r="X322" s="551"/>
      <c r="Y322" s="551"/>
      <c r="Z322" s="551"/>
      <c r="AA322" s="551"/>
      <c r="AB322" s="551"/>
      <c r="AC322" s="551"/>
      <c r="AD322" s="551"/>
      <c r="AE322" s="551"/>
      <c r="AF322" s="551"/>
      <c r="AG322" s="551"/>
      <c r="AH322" s="551"/>
      <c r="AI322" s="551"/>
      <c r="AJ322" s="551"/>
      <c r="AK322" s="551"/>
      <c r="AL322" s="551"/>
      <c r="AM322" s="551"/>
      <c r="AN322" s="551"/>
      <c r="AO322" s="551"/>
      <c r="AP322" s="551"/>
      <c r="AQ322" s="551"/>
      <c r="AR322" s="551"/>
      <c r="AS322" s="551"/>
      <c r="AT322" s="551"/>
      <c r="AU322" s="551"/>
      <c r="AV322" s="551"/>
      <c r="AW322" s="551"/>
      <c r="AX322" s="551"/>
      <c r="AY322" s="551"/>
      <c r="AZ322" s="551"/>
      <c r="BA322" s="551"/>
      <c r="BB322" s="551"/>
      <c r="BC322" s="551"/>
      <c r="BD322" s="551"/>
      <c r="BE322" s="551"/>
      <c r="BF322" s="551"/>
      <c r="BG322" s="551"/>
      <c r="BH322" s="551"/>
      <c r="BI322" s="551"/>
      <c r="BJ322" s="551"/>
      <c r="BK322" s="551"/>
    </row>
    <row r="323" spans="1:63" ht="12.75" customHeight="1">
      <c r="A323" s="551"/>
      <c r="B323" s="551"/>
      <c r="C323" s="551"/>
      <c r="D323" s="551"/>
      <c r="E323" s="551"/>
      <c r="F323" s="551"/>
      <c r="G323" s="551"/>
      <c r="H323" s="551"/>
      <c r="I323" s="551"/>
      <c r="J323" s="551"/>
      <c r="K323" s="551"/>
      <c r="L323" s="551"/>
      <c r="M323" s="551"/>
      <c r="N323" s="551"/>
      <c r="O323" s="551"/>
      <c r="P323" s="551"/>
      <c r="Q323" s="551"/>
      <c r="R323" s="551"/>
      <c r="S323" s="551"/>
      <c r="T323" s="551"/>
      <c r="U323" s="551"/>
      <c r="V323" s="551"/>
      <c r="W323" s="551"/>
      <c r="X323" s="551"/>
      <c r="Y323" s="551"/>
      <c r="Z323" s="551"/>
      <c r="AA323" s="551"/>
      <c r="AB323" s="551"/>
      <c r="AC323" s="551"/>
      <c r="AD323" s="551"/>
      <c r="AE323" s="551"/>
      <c r="AF323" s="551"/>
      <c r="AG323" s="551"/>
      <c r="AH323" s="551"/>
      <c r="AI323" s="551"/>
      <c r="AJ323" s="551"/>
      <c r="AK323" s="551"/>
      <c r="AL323" s="551"/>
      <c r="AM323" s="551"/>
      <c r="AN323" s="551"/>
      <c r="AO323" s="551"/>
      <c r="AP323" s="551"/>
      <c r="AQ323" s="551"/>
      <c r="AR323" s="551"/>
      <c r="AS323" s="551"/>
      <c r="AT323" s="551"/>
      <c r="AU323" s="551"/>
      <c r="AV323" s="551"/>
      <c r="AW323" s="551"/>
      <c r="AX323" s="551"/>
      <c r="AY323" s="551"/>
      <c r="AZ323" s="551"/>
      <c r="BA323" s="551"/>
      <c r="BB323" s="551"/>
      <c r="BC323" s="551"/>
      <c r="BD323" s="551"/>
      <c r="BE323" s="551"/>
      <c r="BF323" s="551"/>
      <c r="BG323" s="551"/>
      <c r="BH323" s="551"/>
      <c r="BI323" s="551"/>
      <c r="BJ323" s="551"/>
      <c r="BK323" s="551"/>
    </row>
    <row r="324" spans="1:63" ht="12.75" customHeight="1">
      <c r="A324" s="551"/>
      <c r="B324" s="551"/>
      <c r="C324" s="551"/>
      <c r="D324" s="551"/>
      <c r="E324" s="551"/>
      <c r="F324" s="551"/>
      <c r="G324" s="551"/>
      <c r="H324" s="551"/>
      <c r="I324" s="551"/>
      <c r="J324" s="551"/>
      <c r="K324" s="551"/>
      <c r="L324" s="551"/>
      <c r="M324" s="551"/>
      <c r="N324" s="551"/>
      <c r="O324" s="551"/>
      <c r="P324" s="551"/>
      <c r="Q324" s="551"/>
      <c r="R324" s="551"/>
      <c r="S324" s="551"/>
      <c r="T324" s="551"/>
      <c r="U324" s="551"/>
      <c r="V324" s="551"/>
      <c r="W324" s="551"/>
      <c r="X324" s="551"/>
      <c r="Y324" s="551"/>
      <c r="Z324" s="551"/>
      <c r="AA324" s="551"/>
      <c r="AB324" s="551"/>
      <c r="AC324" s="551"/>
      <c r="AD324" s="551"/>
      <c r="AE324" s="551"/>
      <c r="AF324" s="551"/>
      <c r="AG324" s="551"/>
      <c r="AH324" s="551"/>
      <c r="AI324" s="551"/>
      <c r="AJ324" s="551"/>
      <c r="AK324" s="551"/>
      <c r="AL324" s="551"/>
      <c r="AM324" s="551"/>
      <c r="AN324" s="551"/>
      <c r="AO324" s="551"/>
      <c r="AP324" s="551"/>
      <c r="AQ324" s="551"/>
      <c r="AR324" s="551"/>
      <c r="AS324" s="551"/>
      <c r="AT324" s="551"/>
      <c r="AU324" s="551"/>
      <c r="AV324" s="551"/>
      <c r="AW324" s="551"/>
      <c r="AX324" s="551"/>
      <c r="AY324" s="551"/>
      <c r="AZ324" s="551"/>
      <c r="BA324" s="551"/>
      <c r="BB324" s="551"/>
      <c r="BC324" s="551"/>
      <c r="BD324" s="551"/>
      <c r="BE324" s="551"/>
      <c r="BF324" s="551"/>
      <c r="BG324" s="551"/>
      <c r="BH324" s="551"/>
      <c r="BI324" s="551"/>
      <c r="BJ324" s="551"/>
      <c r="BK324" s="551"/>
    </row>
    <row r="325" spans="1:63" ht="12.75" customHeight="1">
      <c r="A325" s="551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1"/>
      <c r="P325" s="551"/>
      <c r="Q325" s="551"/>
      <c r="R325" s="551"/>
      <c r="S325" s="551"/>
      <c r="T325" s="551"/>
      <c r="U325" s="551"/>
      <c r="V325" s="551"/>
      <c r="W325" s="551"/>
      <c r="X325" s="551"/>
      <c r="Y325" s="551"/>
      <c r="Z325" s="551"/>
      <c r="AA325" s="551"/>
      <c r="AB325" s="551"/>
      <c r="AC325" s="551"/>
      <c r="AD325" s="551"/>
      <c r="AE325" s="551"/>
      <c r="AF325" s="551"/>
      <c r="AG325" s="551"/>
      <c r="AH325" s="551"/>
      <c r="AI325" s="551"/>
      <c r="AJ325" s="551"/>
      <c r="AK325" s="551"/>
      <c r="AL325" s="551"/>
      <c r="AM325" s="551"/>
      <c r="AN325" s="551"/>
      <c r="AO325" s="551"/>
      <c r="AP325" s="551"/>
      <c r="AQ325" s="551"/>
      <c r="AR325" s="551"/>
      <c r="AS325" s="551"/>
      <c r="AT325" s="551"/>
      <c r="AU325" s="551"/>
      <c r="AV325" s="551"/>
      <c r="AW325" s="551"/>
      <c r="AX325" s="551"/>
      <c r="AY325" s="551"/>
      <c r="AZ325" s="551"/>
      <c r="BA325" s="551"/>
      <c r="BB325" s="551"/>
      <c r="BC325" s="551"/>
      <c r="BD325" s="551"/>
      <c r="BE325" s="551"/>
      <c r="BF325" s="551"/>
      <c r="BG325" s="551"/>
      <c r="BH325" s="551"/>
      <c r="BI325" s="551"/>
      <c r="BJ325" s="551"/>
      <c r="BK325" s="551"/>
    </row>
    <row r="326" spans="1:63" ht="12.75" customHeight="1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1"/>
      <c r="P326" s="551"/>
      <c r="Q326" s="551"/>
      <c r="R326" s="551"/>
      <c r="S326" s="551"/>
      <c r="T326" s="551"/>
      <c r="U326" s="551"/>
      <c r="V326" s="551"/>
      <c r="W326" s="551"/>
      <c r="X326" s="551"/>
      <c r="Y326" s="551"/>
      <c r="Z326" s="551"/>
      <c r="AA326" s="551"/>
      <c r="AB326" s="551"/>
      <c r="AC326" s="551"/>
      <c r="AD326" s="551"/>
      <c r="AE326" s="551"/>
      <c r="AF326" s="551"/>
      <c r="AG326" s="551"/>
      <c r="AH326" s="551"/>
      <c r="AI326" s="551"/>
      <c r="AJ326" s="551"/>
      <c r="AK326" s="551"/>
      <c r="AL326" s="551"/>
      <c r="AM326" s="551"/>
      <c r="AN326" s="551"/>
      <c r="AO326" s="551"/>
      <c r="AP326" s="551"/>
      <c r="AQ326" s="551"/>
      <c r="AR326" s="551"/>
      <c r="AS326" s="551"/>
      <c r="AT326" s="551"/>
      <c r="AU326" s="551"/>
      <c r="AV326" s="551"/>
      <c r="AW326" s="551"/>
      <c r="AX326" s="551"/>
      <c r="AY326" s="551"/>
      <c r="AZ326" s="551"/>
      <c r="BA326" s="551"/>
      <c r="BB326" s="551"/>
      <c r="BC326" s="551"/>
      <c r="BD326" s="551"/>
      <c r="BE326" s="551"/>
      <c r="BF326" s="551"/>
      <c r="BG326" s="551"/>
      <c r="BH326" s="551"/>
      <c r="BI326" s="551"/>
      <c r="BJ326" s="551"/>
      <c r="BK326" s="551"/>
    </row>
    <row r="327" spans="1:63" ht="12.75" customHeight="1">
      <c r="A327" s="551"/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51"/>
      <c r="AB327" s="551"/>
      <c r="AC327" s="551"/>
      <c r="AD327" s="551"/>
      <c r="AE327" s="551"/>
      <c r="AF327" s="551"/>
      <c r="AG327" s="551"/>
      <c r="AH327" s="551"/>
      <c r="AI327" s="551"/>
      <c r="AJ327" s="551"/>
      <c r="AK327" s="551"/>
      <c r="AL327" s="551"/>
      <c r="AM327" s="551"/>
      <c r="AN327" s="551"/>
      <c r="AO327" s="551"/>
      <c r="AP327" s="551"/>
      <c r="AQ327" s="551"/>
      <c r="AR327" s="551"/>
      <c r="AS327" s="551"/>
      <c r="AT327" s="551"/>
      <c r="AU327" s="551"/>
      <c r="AV327" s="551"/>
      <c r="AW327" s="551"/>
      <c r="AX327" s="551"/>
      <c r="AY327" s="551"/>
      <c r="AZ327" s="551"/>
      <c r="BA327" s="551"/>
      <c r="BB327" s="551"/>
      <c r="BC327" s="551"/>
      <c r="BD327" s="551"/>
      <c r="BE327" s="551"/>
      <c r="BF327" s="551"/>
      <c r="BG327" s="551"/>
      <c r="BH327" s="551"/>
      <c r="BI327" s="551"/>
      <c r="BJ327" s="551"/>
      <c r="BK327" s="551"/>
    </row>
    <row r="328" spans="1:63" ht="12.75" customHeight="1">
      <c r="A328" s="551"/>
      <c r="B328" s="551"/>
      <c r="C328" s="551"/>
      <c r="D328" s="551"/>
      <c r="E328" s="551"/>
      <c r="F328" s="551"/>
      <c r="G328" s="551"/>
      <c r="H328" s="551"/>
      <c r="I328" s="551"/>
      <c r="J328" s="551"/>
      <c r="K328" s="551"/>
      <c r="L328" s="551"/>
      <c r="M328" s="551"/>
      <c r="N328" s="551"/>
      <c r="O328" s="551"/>
      <c r="P328" s="551"/>
      <c r="Q328" s="551"/>
      <c r="R328" s="551"/>
      <c r="S328" s="551"/>
      <c r="T328" s="551"/>
      <c r="U328" s="551"/>
      <c r="V328" s="551"/>
      <c r="W328" s="551"/>
      <c r="X328" s="551"/>
      <c r="Y328" s="551"/>
      <c r="Z328" s="551"/>
      <c r="AA328" s="551"/>
      <c r="AB328" s="551"/>
      <c r="AC328" s="551"/>
      <c r="AD328" s="551"/>
      <c r="AE328" s="551"/>
      <c r="AF328" s="551"/>
      <c r="AG328" s="551"/>
      <c r="AH328" s="551"/>
      <c r="AI328" s="551"/>
      <c r="AJ328" s="551"/>
      <c r="AK328" s="551"/>
      <c r="AL328" s="551"/>
      <c r="AM328" s="551"/>
      <c r="AN328" s="551"/>
      <c r="AO328" s="551"/>
      <c r="AP328" s="551"/>
      <c r="AQ328" s="551"/>
      <c r="AR328" s="551"/>
      <c r="AS328" s="551"/>
      <c r="AT328" s="551"/>
      <c r="AU328" s="551"/>
      <c r="AV328" s="551"/>
      <c r="AW328" s="551"/>
      <c r="AX328" s="551"/>
      <c r="AY328" s="551"/>
      <c r="AZ328" s="551"/>
      <c r="BA328" s="551"/>
      <c r="BB328" s="551"/>
      <c r="BC328" s="551"/>
      <c r="BD328" s="551"/>
      <c r="BE328" s="551"/>
      <c r="BF328" s="551"/>
      <c r="BG328" s="551"/>
      <c r="BH328" s="551"/>
      <c r="BI328" s="551"/>
      <c r="BJ328" s="551"/>
      <c r="BK328" s="551"/>
    </row>
    <row r="329" spans="1:63" ht="12.75" customHeight="1">
      <c r="A329" s="551"/>
      <c r="B329" s="551"/>
      <c r="C329" s="551"/>
      <c r="D329" s="551"/>
      <c r="E329" s="551"/>
      <c r="F329" s="551"/>
      <c r="G329" s="551"/>
      <c r="H329" s="551"/>
      <c r="I329" s="551"/>
      <c r="J329" s="551"/>
      <c r="K329" s="551"/>
      <c r="L329" s="551"/>
      <c r="M329" s="551"/>
      <c r="N329" s="551"/>
      <c r="O329" s="551"/>
      <c r="P329" s="551"/>
      <c r="Q329" s="551"/>
      <c r="R329" s="551"/>
      <c r="S329" s="551"/>
      <c r="T329" s="551"/>
      <c r="U329" s="551"/>
      <c r="V329" s="551"/>
      <c r="W329" s="551"/>
      <c r="X329" s="551"/>
      <c r="Y329" s="551"/>
      <c r="Z329" s="551"/>
      <c r="AA329" s="551"/>
      <c r="AB329" s="551"/>
      <c r="AC329" s="551"/>
      <c r="AD329" s="551"/>
      <c r="AE329" s="551"/>
      <c r="AF329" s="551"/>
      <c r="AG329" s="551"/>
      <c r="AH329" s="551"/>
      <c r="AI329" s="551"/>
      <c r="AJ329" s="551"/>
      <c r="AK329" s="551"/>
      <c r="AL329" s="551"/>
      <c r="AM329" s="551"/>
      <c r="AN329" s="551"/>
      <c r="AO329" s="551"/>
      <c r="AP329" s="551"/>
      <c r="AQ329" s="551"/>
      <c r="AR329" s="551"/>
      <c r="AS329" s="551"/>
      <c r="AT329" s="551"/>
      <c r="AU329" s="551"/>
      <c r="AV329" s="551"/>
      <c r="AW329" s="551"/>
      <c r="AX329" s="551"/>
      <c r="AY329" s="551"/>
      <c r="AZ329" s="551"/>
      <c r="BA329" s="551"/>
      <c r="BB329" s="551"/>
      <c r="BC329" s="551"/>
      <c r="BD329" s="551"/>
      <c r="BE329" s="551"/>
      <c r="BF329" s="551"/>
      <c r="BG329" s="551"/>
      <c r="BH329" s="551"/>
      <c r="BI329" s="551"/>
      <c r="BJ329" s="551"/>
      <c r="BK329" s="551"/>
    </row>
    <row r="330" spans="1:63" ht="12.75" customHeight="1">
      <c r="A330" s="551"/>
      <c r="B330" s="551"/>
      <c r="C330" s="551"/>
      <c r="D330" s="551"/>
      <c r="E330" s="551"/>
      <c r="F330" s="551"/>
      <c r="G330" s="551"/>
      <c r="H330" s="551"/>
      <c r="I330" s="551"/>
      <c r="J330" s="551"/>
      <c r="K330" s="551"/>
      <c r="L330" s="551"/>
      <c r="M330" s="551"/>
      <c r="N330" s="551"/>
      <c r="O330" s="551"/>
      <c r="P330" s="551"/>
      <c r="Q330" s="551"/>
      <c r="R330" s="551"/>
      <c r="S330" s="551"/>
      <c r="T330" s="551"/>
      <c r="U330" s="551"/>
      <c r="V330" s="551"/>
      <c r="W330" s="551"/>
      <c r="X330" s="551"/>
      <c r="Y330" s="551"/>
      <c r="Z330" s="551"/>
      <c r="AA330" s="551"/>
      <c r="AB330" s="551"/>
      <c r="AC330" s="551"/>
      <c r="AD330" s="551"/>
      <c r="AE330" s="551"/>
      <c r="AF330" s="551"/>
      <c r="AG330" s="551"/>
      <c r="AH330" s="551"/>
      <c r="AI330" s="551"/>
      <c r="AJ330" s="551"/>
      <c r="AK330" s="551"/>
      <c r="AL330" s="551"/>
      <c r="AM330" s="551"/>
      <c r="AN330" s="551"/>
      <c r="AO330" s="551"/>
      <c r="AP330" s="551"/>
      <c r="AQ330" s="551"/>
      <c r="AR330" s="551"/>
      <c r="AS330" s="551"/>
      <c r="AT330" s="551"/>
      <c r="AU330" s="551"/>
      <c r="AV330" s="551"/>
      <c r="AW330" s="551"/>
      <c r="AX330" s="551"/>
      <c r="AY330" s="551"/>
      <c r="AZ330" s="551"/>
      <c r="BA330" s="551"/>
      <c r="BB330" s="551"/>
      <c r="BC330" s="551"/>
      <c r="BD330" s="551"/>
      <c r="BE330" s="551"/>
      <c r="BF330" s="551"/>
      <c r="BG330" s="551"/>
      <c r="BH330" s="551"/>
      <c r="BI330" s="551"/>
      <c r="BJ330" s="551"/>
      <c r="BK330" s="551"/>
    </row>
    <row r="331" spans="1:63" ht="12.75" customHeight="1">
      <c r="A331" s="551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1"/>
      <c r="P331" s="551"/>
      <c r="Q331" s="551"/>
      <c r="R331" s="551"/>
      <c r="S331" s="551"/>
      <c r="T331" s="551"/>
      <c r="U331" s="551"/>
      <c r="V331" s="551"/>
      <c r="W331" s="551"/>
      <c r="X331" s="551"/>
      <c r="Y331" s="551"/>
      <c r="Z331" s="551"/>
      <c r="AA331" s="551"/>
      <c r="AB331" s="551"/>
      <c r="AC331" s="551"/>
      <c r="AD331" s="551"/>
      <c r="AE331" s="551"/>
      <c r="AF331" s="551"/>
      <c r="AG331" s="551"/>
      <c r="AH331" s="551"/>
      <c r="AI331" s="551"/>
      <c r="AJ331" s="551"/>
      <c r="AK331" s="551"/>
      <c r="AL331" s="551"/>
      <c r="AM331" s="551"/>
      <c r="AN331" s="551"/>
      <c r="AO331" s="551"/>
      <c r="AP331" s="551"/>
      <c r="AQ331" s="551"/>
      <c r="AR331" s="551"/>
      <c r="AS331" s="551"/>
      <c r="AT331" s="551"/>
      <c r="AU331" s="551"/>
      <c r="AV331" s="551"/>
      <c r="AW331" s="551"/>
      <c r="AX331" s="551"/>
      <c r="AY331" s="551"/>
      <c r="AZ331" s="551"/>
      <c r="BA331" s="551"/>
      <c r="BB331" s="551"/>
      <c r="BC331" s="551"/>
      <c r="BD331" s="551"/>
      <c r="BE331" s="551"/>
      <c r="BF331" s="551"/>
      <c r="BG331" s="551"/>
      <c r="BH331" s="551"/>
      <c r="BI331" s="551"/>
      <c r="BJ331" s="551"/>
      <c r="BK331" s="551"/>
    </row>
    <row r="332" spans="1:63" ht="12.75" customHeight="1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1"/>
      <c r="P332" s="551"/>
      <c r="Q332" s="551"/>
      <c r="R332" s="551"/>
      <c r="S332" s="551"/>
      <c r="T332" s="551"/>
      <c r="U332" s="551"/>
      <c r="V332" s="551"/>
      <c r="W332" s="551"/>
      <c r="X332" s="551"/>
      <c r="Y332" s="551"/>
      <c r="Z332" s="551"/>
      <c r="AA332" s="551"/>
      <c r="AB332" s="551"/>
      <c r="AC332" s="551"/>
      <c r="AD332" s="551"/>
      <c r="AE332" s="551"/>
      <c r="AF332" s="551"/>
      <c r="AG332" s="551"/>
      <c r="AH332" s="551"/>
      <c r="AI332" s="551"/>
      <c r="AJ332" s="551"/>
      <c r="AK332" s="551"/>
      <c r="AL332" s="551"/>
      <c r="AM332" s="551"/>
      <c r="AN332" s="551"/>
      <c r="AO332" s="551"/>
      <c r="AP332" s="551"/>
      <c r="AQ332" s="551"/>
      <c r="AR332" s="551"/>
      <c r="AS332" s="551"/>
      <c r="AT332" s="551"/>
      <c r="AU332" s="551"/>
      <c r="AV332" s="551"/>
      <c r="AW332" s="551"/>
      <c r="AX332" s="551"/>
      <c r="AY332" s="551"/>
      <c r="AZ332" s="551"/>
      <c r="BA332" s="551"/>
      <c r="BB332" s="551"/>
      <c r="BC332" s="551"/>
      <c r="BD332" s="551"/>
      <c r="BE332" s="551"/>
      <c r="BF332" s="551"/>
      <c r="BG332" s="551"/>
      <c r="BH332" s="551"/>
      <c r="BI332" s="551"/>
      <c r="BJ332" s="551"/>
      <c r="BK332" s="551"/>
    </row>
    <row r="333" spans="1:63" ht="12.75" customHeight="1">
      <c r="A333" s="551"/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51"/>
      <c r="AB333" s="551"/>
      <c r="AC333" s="551"/>
      <c r="AD333" s="551"/>
      <c r="AE333" s="551"/>
      <c r="AF333" s="551"/>
      <c r="AG333" s="551"/>
      <c r="AH333" s="551"/>
      <c r="AI333" s="551"/>
      <c r="AJ333" s="551"/>
      <c r="AK333" s="551"/>
      <c r="AL333" s="551"/>
      <c r="AM333" s="551"/>
      <c r="AN333" s="551"/>
      <c r="AO333" s="551"/>
      <c r="AP333" s="551"/>
      <c r="AQ333" s="551"/>
      <c r="AR333" s="551"/>
      <c r="AS333" s="551"/>
      <c r="AT333" s="551"/>
      <c r="AU333" s="551"/>
      <c r="AV333" s="551"/>
      <c r="AW333" s="551"/>
      <c r="AX333" s="551"/>
      <c r="AY333" s="551"/>
      <c r="AZ333" s="551"/>
      <c r="BA333" s="551"/>
      <c r="BB333" s="551"/>
      <c r="BC333" s="551"/>
      <c r="BD333" s="551"/>
      <c r="BE333" s="551"/>
      <c r="BF333" s="551"/>
      <c r="BG333" s="551"/>
      <c r="BH333" s="551"/>
      <c r="BI333" s="551"/>
      <c r="BJ333" s="551"/>
      <c r="BK333" s="551"/>
    </row>
    <row r="334" spans="1:63" ht="12.75" customHeight="1">
      <c r="A334" s="551"/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51"/>
      <c r="AB334" s="551"/>
      <c r="AC334" s="551"/>
      <c r="AD334" s="551"/>
      <c r="AE334" s="551"/>
      <c r="AF334" s="551"/>
      <c r="AG334" s="551"/>
      <c r="AH334" s="551"/>
      <c r="AI334" s="551"/>
      <c r="AJ334" s="551"/>
      <c r="AK334" s="551"/>
      <c r="AL334" s="551"/>
      <c r="AM334" s="551"/>
      <c r="AN334" s="551"/>
      <c r="AO334" s="551"/>
      <c r="AP334" s="551"/>
      <c r="AQ334" s="551"/>
      <c r="AR334" s="551"/>
      <c r="AS334" s="551"/>
      <c r="AT334" s="551"/>
      <c r="AU334" s="551"/>
      <c r="AV334" s="551"/>
      <c r="AW334" s="551"/>
      <c r="AX334" s="551"/>
      <c r="AY334" s="551"/>
      <c r="AZ334" s="551"/>
      <c r="BA334" s="551"/>
      <c r="BB334" s="551"/>
      <c r="BC334" s="551"/>
      <c r="BD334" s="551"/>
      <c r="BE334" s="551"/>
      <c r="BF334" s="551"/>
      <c r="BG334" s="551"/>
      <c r="BH334" s="551"/>
      <c r="BI334" s="551"/>
      <c r="BJ334" s="551"/>
      <c r="BK334" s="551"/>
    </row>
    <row r="335" spans="1:63" ht="12.75" customHeight="1">
      <c r="A335" s="551"/>
      <c r="B335" s="551"/>
      <c r="C335" s="551"/>
      <c r="D335" s="551"/>
      <c r="E335" s="551"/>
      <c r="F335" s="551"/>
      <c r="G335" s="551"/>
      <c r="H335" s="551"/>
      <c r="I335" s="551"/>
      <c r="J335" s="551"/>
      <c r="K335" s="551"/>
      <c r="L335" s="551"/>
      <c r="M335" s="551"/>
      <c r="N335" s="551"/>
      <c r="O335" s="551"/>
      <c r="P335" s="551"/>
      <c r="Q335" s="551"/>
      <c r="R335" s="551"/>
      <c r="S335" s="551"/>
      <c r="T335" s="551"/>
      <c r="U335" s="551"/>
      <c r="V335" s="551"/>
      <c r="W335" s="551"/>
      <c r="X335" s="551"/>
      <c r="Y335" s="551"/>
      <c r="Z335" s="551"/>
      <c r="AA335" s="551"/>
      <c r="AB335" s="551"/>
      <c r="AC335" s="551"/>
      <c r="AD335" s="551"/>
      <c r="AE335" s="551"/>
      <c r="AF335" s="551"/>
      <c r="AG335" s="551"/>
      <c r="AH335" s="551"/>
      <c r="AI335" s="551"/>
      <c r="AJ335" s="551"/>
      <c r="AK335" s="551"/>
      <c r="AL335" s="551"/>
      <c r="AM335" s="551"/>
      <c r="AN335" s="551"/>
      <c r="AO335" s="551"/>
      <c r="AP335" s="551"/>
      <c r="AQ335" s="551"/>
      <c r="AR335" s="551"/>
      <c r="AS335" s="551"/>
      <c r="AT335" s="551"/>
      <c r="AU335" s="551"/>
      <c r="AV335" s="551"/>
      <c r="AW335" s="551"/>
      <c r="AX335" s="551"/>
      <c r="AY335" s="551"/>
      <c r="AZ335" s="551"/>
      <c r="BA335" s="551"/>
      <c r="BB335" s="551"/>
      <c r="BC335" s="551"/>
      <c r="BD335" s="551"/>
      <c r="BE335" s="551"/>
      <c r="BF335" s="551"/>
      <c r="BG335" s="551"/>
      <c r="BH335" s="551"/>
      <c r="BI335" s="551"/>
      <c r="BJ335" s="551"/>
      <c r="BK335" s="551"/>
    </row>
    <row r="336" spans="1:63" ht="12.75" customHeight="1">
      <c r="A336" s="551"/>
      <c r="B336" s="551"/>
      <c r="C336" s="551"/>
      <c r="D336" s="551"/>
      <c r="E336" s="551"/>
      <c r="F336" s="551"/>
      <c r="G336" s="551"/>
      <c r="H336" s="551"/>
      <c r="I336" s="551"/>
      <c r="J336" s="551"/>
      <c r="K336" s="551"/>
      <c r="L336" s="551"/>
      <c r="M336" s="551"/>
      <c r="N336" s="551"/>
      <c r="O336" s="551"/>
      <c r="P336" s="551"/>
      <c r="Q336" s="551"/>
      <c r="R336" s="551"/>
      <c r="S336" s="551"/>
      <c r="T336" s="551"/>
      <c r="U336" s="551"/>
      <c r="V336" s="551"/>
      <c r="W336" s="551"/>
      <c r="X336" s="551"/>
      <c r="Y336" s="551"/>
      <c r="Z336" s="551"/>
      <c r="AA336" s="551"/>
      <c r="AB336" s="551"/>
      <c r="AC336" s="551"/>
      <c r="AD336" s="551"/>
      <c r="AE336" s="551"/>
      <c r="AF336" s="551"/>
      <c r="AG336" s="551"/>
      <c r="AH336" s="551"/>
      <c r="AI336" s="551"/>
      <c r="AJ336" s="551"/>
      <c r="AK336" s="551"/>
      <c r="AL336" s="551"/>
      <c r="AM336" s="551"/>
      <c r="AN336" s="551"/>
      <c r="AO336" s="551"/>
      <c r="AP336" s="551"/>
      <c r="AQ336" s="551"/>
      <c r="AR336" s="551"/>
      <c r="AS336" s="551"/>
      <c r="AT336" s="551"/>
      <c r="AU336" s="551"/>
      <c r="AV336" s="551"/>
      <c r="AW336" s="551"/>
      <c r="AX336" s="551"/>
      <c r="AY336" s="551"/>
      <c r="AZ336" s="551"/>
      <c r="BA336" s="551"/>
      <c r="BB336" s="551"/>
      <c r="BC336" s="551"/>
      <c r="BD336" s="551"/>
      <c r="BE336" s="551"/>
      <c r="BF336" s="551"/>
      <c r="BG336" s="551"/>
      <c r="BH336" s="551"/>
      <c r="BI336" s="551"/>
      <c r="BJ336" s="551"/>
      <c r="BK336" s="551"/>
    </row>
    <row r="337" spans="1:63" ht="12.75" customHeight="1">
      <c r="A337" s="551"/>
      <c r="B337" s="551"/>
      <c r="C337" s="551"/>
      <c r="D337" s="551"/>
      <c r="E337" s="551"/>
      <c r="F337" s="551"/>
      <c r="G337" s="551"/>
      <c r="H337" s="551"/>
      <c r="I337" s="551"/>
      <c r="J337" s="551"/>
      <c r="K337" s="551"/>
      <c r="L337" s="551"/>
      <c r="M337" s="551"/>
      <c r="N337" s="551"/>
      <c r="O337" s="551"/>
      <c r="P337" s="551"/>
      <c r="Q337" s="551"/>
      <c r="R337" s="551"/>
      <c r="S337" s="551"/>
      <c r="T337" s="551"/>
      <c r="U337" s="551"/>
      <c r="V337" s="551"/>
      <c r="W337" s="551"/>
      <c r="X337" s="551"/>
      <c r="Y337" s="551"/>
      <c r="Z337" s="551"/>
      <c r="AA337" s="551"/>
      <c r="AB337" s="551"/>
      <c r="AC337" s="551"/>
      <c r="AD337" s="551"/>
      <c r="AE337" s="551"/>
      <c r="AF337" s="551"/>
      <c r="AG337" s="551"/>
      <c r="AH337" s="551"/>
      <c r="AI337" s="551"/>
      <c r="AJ337" s="551"/>
      <c r="AK337" s="551"/>
      <c r="AL337" s="551"/>
      <c r="AM337" s="551"/>
      <c r="AN337" s="551"/>
      <c r="AO337" s="551"/>
      <c r="AP337" s="551"/>
      <c r="AQ337" s="551"/>
      <c r="AR337" s="551"/>
      <c r="AS337" s="551"/>
      <c r="AT337" s="551"/>
      <c r="AU337" s="551"/>
      <c r="AV337" s="551"/>
      <c r="AW337" s="551"/>
      <c r="AX337" s="551"/>
      <c r="AY337" s="551"/>
      <c r="AZ337" s="551"/>
      <c r="BA337" s="551"/>
      <c r="BB337" s="551"/>
      <c r="BC337" s="551"/>
      <c r="BD337" s="551"/>
      <c r="BE337" s="551"/>
      <c r="BF337" s="551"/>
      <c r="BG337" s="551"/>
      <c r="BH337" s="551"/>
      <c r="BI337" s="551"/>
      <c r="BJ337" s="551"/>
      <c r="BK337" s="551"/>
    </row>
    <row r="338" spans="1:63" ht="12.75" customHeight="1">
      <c r="A338" s="551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1"/>
      <c r="P338" s="551"/>
      <c r="Q338" s="551"/>
      <c r="R338" s="551"/>
      <c r="S338" s="551"/>
      <c r="T338" s="551"/>
      <c r="U338" s="551"/>
      <c r="V338" s="551"/>
      <c r="W338" s="551"/>
      <c r="X338" s="551"/>
      <c r="Y338" s="551"/>
      <c r="Z338" s="551"/>
      <c r="AA338" s="551"/>
      <c r="AB338" s="551"/>
      <c r="AC338" s="551"/>
      <c r="AD338" s="551"/>
      <c r="AE338" s="551"/>
      <c r="AF338" s="551"/>
      <c r="AG338" s="551"/>
      <c r="AH338" s="551"/>
      <c r="AI338" s="551"/>
      <c r="AJ338" s="551"/>
      <c r="AK338" s="551"/>
      <c r="AL338" s="551"/>
      <c r="AM338" s="551"/>
      <c r="AN338" s="551"/>
      <c r="AO338" s="551"/>
      <c r="AP338" s="551"/>
      <c r="AQ338" s="551"/>
      <c r="AR338" s="551"/>
      <c r="AS338" s="551"/>
      <c r="AT338" s="551"/>
      <c r="AU338" s="551"/>
      <c r="AV338" s="551"/>
      <c r="AW338" s="551"/>
      <c r="AX338" s="551"/>
      <c r="AY338" s="551"/>
      <c r="AZ338" s="551"/>
      <c r="BA338" s="551"/>
      <c r="BB338" s="551"/>
      <c r="BC338" s="551"/>
      <c r="BD338" s="551"/>
      <c r="BE338" s="551"/>
      <c r="BF338" s="551"/>
      <c r="BG338" s="551"/>
      <c r="BH338" s="551"/>
      <c r="BI338" s="551"/>
      <c r="BJ338" s="551"/>
      <c r="BK338" s="551"/>
    </row>
    <row r="339" spans="1:63" ht="12.75" customHeight="1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1"/>
      <c r="P339" s="551"/>
      <c r="Q339" s="551"/>
      <c r="R339" s="551"/>
      <c r="S339" s="551"/>
      <c r="T339" s="551"/>
      <c r="U339" s="551"/>
      <c r="V339" s="551"/>
      <c r="W339" s="551"/>
      <c r="X339" s="551"/>
      <c r="Y339" s="551"/>
      <c r="Z339" s="551"/>
      <c r="AA339" s="551"/>
      <c r="AB339" s="551"/>
      <c r="AC339" s="551"/>
      <c r="AD339" s="551"/>
      <c r="AE339" s="551"/>
      <c r="AF339" s="551"/>
      <c r="AG339" s="551"/>
      <c r="AH339" s="551"/>
      <c r="AI339" s="551"/>
      <c r="AJ339" s="551"/>
      <c r="AK339" s="551"/>
      <c r="AL339" s="551"/>
      <c r="AM339" s="551"/>
      <c r="AN339" s="551"/>
      <c r="AO339" s="551"/>
      <c r="AP339" s="551"/>
      <c r="AQ339" s="551"/>
      <c r="AR339" s="551"/>
      <c r="AS339" s="551"/>
      <c r="AT339" s="551"/>
      <c r="AU339" s="551"/>
      <c r="AV339" s="551"/>
      <c r="AW339" s="551"/>
      <c r="AX339" s="551"/>
      <c r="AY339" s="551"/>
      <c r="AZ339" s="551"/>
      <c r="BA339" s="551"/>
      <c r="BB339" s="551"/>
      <c r="BC339" s="551"/>
      <c r="BD339" s="551"/>
      <c r="BE339" s="551"/>
      <c r="BF339" s="551"/>
      <c r="BG339" s="551"/>
      <c r="BH339" s="551"/>
      <c r="BI339" s="551"/>
      <c r="BJ339" s="551"/>
      <c r="BK339" s="551"/>
    </row>
    <row r="340" spans="1:63" ht="12.75" customHeight="1">
      <c r="A340" s="551"/>
      <c r="B340" s="551"/>
      <c r="C340" s="551"/>
      <c r="D340" s="551"/>
      <c r="E340" s="551"/>
      <c r="F340" s="551"/>
      <c r="G340" s="551"/>
      <c r="H340" s="551"/>
      <c r="I340" s="551"/>
      <c r="J340" s="551"/>
      <c r="K340" s="551"/>
      <c r="L340" s="551"/>
      <c r="M340" s="551"/>
      <c r="N340" s="551"/>
      <c r="O340" s="551"/>
      <c r="P340" s="551"/>
      <c r="Q340" s="551"/>
      <c r="R340" s="551"/>
      <c r="S340" s="551"/>
      <c r="T340" s="551"/>
      <c r="U340" s="551"/>
      <c r="V340" s="551"/>
      <c r="W340" s="551"/>
      <c r="X340" s="551"/>
      <c r="Y340" s="551"/>
      <c r="Z340" s="551"/>
      <c r="AA340" s="551"/>
      <c r="AB340" s="551"/>
      <c r="AC340" s="551"/>
      <c r="AD340" s="551"/>
      <c r="AE340" s="551"/>
      <c r="AF340" s="551"/>
      <c r="AG340" s="551"/>
      <c r="AH340" s="551"/>
      <c r="AI340" s="551"/>
      <c r="AJ340" s="551"/>
      <c r="AK340" s="551"/>
      <c r="AL340" s="551"/>
      <c r="AM340" s="551"/>
      <c r="AN340" s="551"/>
      <c r="AO340" s="551"/>
      <c r="AP340" s="551"/>
      <c r="AQ340" s="551"/>
      <c r="AR340" s="551"/>
      <c r="AS340" s="551"/>
      <c r="AT340" s="551"/>
      <c r="AU340" s="551"/>
      <c r="AV340" s="551"/>
      <c r="AW340" s="551"/>
      <c r="AX340" s="551"/>
      <c r="AY340" s="551"/>
      <c r="AZ340" s="551"/>
      <c r="BA340" s="551"/>
      <c r="BB340" s="551"/>
      <c r="BC340" s="551"/>
      <c r="BD340" s="551"/>
      <c r="BE340" s="551"/>
      <c r="BF340" s="551"/>
      <c r="BG340" s="551"/>
      <c r="BH340" s="551"/>
      <c r="BI340" s="551"/>
      <c r="BJ340" s="551"/>
      <c r="BK340" s="551"/>
    </row>
    <row r="341" spans="1:63" ht="12.75" customHeight="1">
      <c r="A341" s="551"/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51"/>
      <c r="AB341" s="551"/>
      <c r="AC341" s="551"/>
      <c r="AD341" s="551"/>
      <c r="AE341" s="551"/>
      <c r="AF341" s="551"/>
      <c r="AG341" s="551"/>
      <c r="AH341" s="551"/>
      <c r="AI341" s="551"/>
      <c r="AJ341" s="551"/>
      <c r="AK341" s="551"/>
      <c r="AL341" s="551"/>
      <c r="AM341" s="551"/>
      <c r="AN341" s="551"/>
      <c r="AO341" s="551"/>
      <c r="AP341" s="551"/>
      <c r="AQ341" s="551"/>
      <c r="AR341" s="551"/>
      <c r="AS341" s="551"/>
      <c r="AT341" s="551"/>
      <c r="AU341" s="551"/>
      <c r="AV341" s="551"/>
      <c r="AW341" s="551"/>
      <c r="AX341" s="551"/>
      <c r="AY341" s="551"/>
      <c r="AZ341" s="551"/>
      <c r="BA341" s="551"/>
      <c r="BB341" s="551"/>
      <c r="BC341" s="551"/>
      <c r="BD341" s="551"/>
      <c r="BE341" s="551"/>
      <c r="BF341" s="551"/>
      <c r="BG341" s="551"/>
      <c r="BH341" s="551"/>
      <c r="BI341" s="551"/>
      <c r="BJ341" s="551"/>
      <c r="BK341" s="551"/>
    </row>
    <row r="342" spans="1:63" ht="12.75" customHeight="1">
      <c r="A342" s="551"/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51"/>
      <c r="AB342" s="551"/>
      <c r="AC342" s="551"/>
      <c r="AD342" s="551"/>
      <c r="AE342" s="551"/>
      <c r="AF342" s="551"/>
      <c r="AG342" s="551"/>
      <c r="AH342" s="551"/>
      <c r="AI342" s="551"/>
      <c r="AJ342" s="551"/>
      <c r="AK342" s="551"/>
      <c r="AL342" s="551"/>
      <c r="AM342" s="551"/>
      <c r="AN342" s="551"/>
      <c r="AO342" s="551"/>
      <c r="AP342" s="551"/>
      <c r="AQ342" s="551"/>
      <c r="AR342" s="551"/>
      <c r="AS342" s="551"/>
      <c r="AT342" s="551"/>
      <c r="AU342" s="551"/>
      <c r="AV342" s="551"/>
      <c r="AW342" s="551"/>
      <c r="AX342" s="551"/>
      <c r="AY342" s="551"/>
      <c r="AZ342" s="551"/>
      <c r="BA342" s="551"/>
      <c r="BB342" s="551"/>
      <c r="BC342" s="551"/>
      <c r="BD342" s="551"/>
      <c r="BE342" s="551"/>
      <c r="BF342" s="551"/>
      <c r="BG342" s="551"/>
      <c r="BH342" s="551"/>
      <c r="BI342" s="551"/>
      <c r="BJ342" s="551"/>
      <c r="BK342" s="551"/>
    </row>
    <row r="343" spans="1:63" ht="12.75" customHeight="1">
      <c r="A343" s="551"/>
      <c r="B343" s="551"/>
      <c r="C343" s="551"/>
      <c r="D343" s="551"/>
      <c r="E343" s="551"/>
      <c r="F343" s="551"/>
      <c r="G343" s="551"/>
      <c r="H343" s="551"/>
      <c r="I343" s="551"/>
      <c r="J343" s="551"/>
      <c r="K343" s="551"/>
      <c r="L343" s="551"/>
      <c r="M343" s="551"/>
      <c r="N343" s="551"/>
      <c r="O343" s="551"/>
      <c r="P343" s="551"/>
      <c r="Q343" s="551"/>
      <c r="R343" s="551"/>
      <c r="S343" s="551"/>
      <c r="T343" s="551"/>
      <c r="U343" s="551"/>
      <c r="V343" s="551"/>
      <c r="W343" s="551"/>
      <c r="X343" s="551"/>
      <c r="Y343" s="551"/>
      <c r="Z343" s="551"/>
      <c r="AA343" s="551"/>
      <c r="AB343" s="551"/>
      <c r="AC343" s="551"/>
      <c r="AD343" s="551"/>
      <c r="AE343" s="551"/>
      <c r="AF343" s="551"/>
      <c r="AG343" s="551"/>
      <c r="AH343" s="551"/>
      <c r="AI343" s="551"/>
      <c r="AJ343" s="551"/>
      <c r="AK343" s="551"/>
      <c r="AL343" s="551"/>
      <c r="AM343" s="551"/>
      <c r="AN343" s="551"/>
      <c r="AO343" s="551"/>
      <c r="AP343" s="551"/>
      <c r="AQ343" s="551"/>
      <c r="AR343" s="551"/>
      <c r="AS343" s="551"/>
      <c r="AT343" s="551"/>
      <c r="AU343" s="551"/>
      <c r="AV343" s="551"/>
      <c r="AW343" s="551"/>
      <c r="AX343" s="551"/>
      <c r="AY343" s="551"/>
      <c r="AZ343" s="551"/>
      <c r="BA343" s="551"/>
      <c r="BB343" s="551"/>
      <c r="BC343" s="551"/>
      <c r="BD343" s="551"/>
      <c r="BE343" s="551"/>
      <c r="BF343" s="551"/>
      <c r="BG343" s="551"/>
      <c r="BH343" s="551"/>
      <c r="BI343" s="551"/>
      <c r="BJ343" s="551"/>
      <c r="BK343" s="551"/>
    </row>
    <row r="344" spans="1:63" ht="12.75" customHeight="1">
      <c r="A344" s="551"/>
      <c r="B344" s="551"/>
      <c r="C344" s="551"/>
      <c r="D344" s="551"/>
      <c r="E344" s="551"/>
      <c r="F344" s="551"/>
      <c r="G344" s="551"/>
      <c r="H344" s="551"/>
      <c r="I344" s="551"/>
      <c r="J344" s="551"/>
      <c r="K344" s="551"/>
      <c r="L344" s="551"/>
      <c r="M344" s="551"/>
      <c r="N344" s="551"/>
      <c r="O344" s="551"/>
      <c r="P344" s="551"/>
      <c r="Q344" s="551"/>
      <c r="R344" s="551"/>
      <c r="S344" s="551"/>
      <c r="T344" s="551"/>
      <c r="U344" s="551"/>
      <c r="V344" s="551"/>
      <c r="W344" s="551"/>
      <c r="X344" s="551"/>
      <c r="Y344" s="551"/>
      <c r="Z344" s="551"/>
      <c r="AA344" s="551"/>
      <c r="AB344" s="551"/>
      <c r="AC344" s="551"/>
      <c r="AD344" s="551"/>
      <c r="AE344" s="551"/>
      <c r="AF344" s="551"/>
      <c r="AG344" s="551"/>
      <c r="AH344" s="551"/>
      <c r="AI344" s="551"/>
      <c r="AJ344" s="551"/>
      <c r="AK344" s="551"/>
      <c r="AL344" s="551"/>
      <c r="AM344" s="551"/>
      <c r="AN344" s="551"/>
      <c r="AO344" s="551"/>
      <c r="AP344" s="551"/>
      <c r="AQ344" s="551"/>
      <c r="AR344" s="551"/>
      <c r="AS344" s="551"/>
      <c r="AT344" s="551"/>
      <c r="AU344" s="551"/>
      <c r="AV344" s="551"/>
      <c r="AW344" s="551"/>
      <c r="AX344" s="551"/>
      <c r="AY344" s="551"/>
      <c r="AZ344" s="551"/>
      <c r="BA344" s="551"/>
      <c r="BB344" s="551"/>
      <c r="BC344" s="551"/>
      <c r="BD344" s="551"/>
      <c r="BE344" s="551"/>
      <c r="BF344" s="551"/>
      <c r="BG344" s="551"/>
      <c r="BH344" s="551"/>
      <c r="BI344" s="551"/>
      <c r="BJ344" s="551"/>
      <c r="BK344" s="551"/>
    </row>
    <row r="345" spans="1:63" ht="12.75" customHeight="1">
      <c r="A345" s="551"/>
      <c r="B345" s="551"/>
      <c r="C345" s="551"/>
      <c r="D345" s="551"/>
      <c r="E345" s="551"/>
      <c r="F345" s="551"/>
      <c r="G345" s="551"/>
      <c r="H345" s="551"/>
      <c r="I345" s="551"/>
      <c r="J345" s="551"/>
      <c r="K345" s="551"/>
      <c r="L345" s="551"/>
      <c r="M345" s="551"/>
      <c r="N345" s="551"/>
      <c r="O345" s="551"/>
      <c r="P345" s="551"/>
      <c r="Q345" s="551"/>
      <c r="R345" s="551"/>
      <c r="S345" s="551"/>
      <c r="T345" s="551"/>
      <c r="U345" s="551"/>
      <c r="V345" s="551"/>
      <c r="W345" s="551"/>
      <c r="X345" s="551"/>
      <c r="Y345" s="551"/>
      <c r="Z345" s="551"/>
      <c r="AA345" s="551"/>
      <c r="AB345" s="551"/>
      <c r="AC345" s="551"/>
      <c r="AD345" s="551"/>
      <c r="AE345" s="551"/>
      <c r="AF345" s="551"/>
      <c r="AG345" s="551"/>
      <c r="AH345" s="551"/>
      <c r="AI345" s="551"/>
      <c r="AJ345" s="551"/>
      <c r="AK345" s="551"/>
      <c r="AL345" s="551"/>
      <c r="AM345" s="551"/>
      <c r="AN345" s="551"/>
      <c r="AO345" s="551"/>
      <c r="AP345" s="551"/>
      <c r="AQ345" s="551"/>
      <c r="AR345" s="551"/>
      <c r="AS345" s="551"/>
      <c r="AT345" s="551"/>
      <c r="AU345" s="551"/>
      <c r="AV345" s="551"/>
      <c r="AW345" s="551"/>
      <c r="AX345" s="551"/>
      <c r="AY345" s="551"/>
      <c r="AZ345" s="551"/>
      <c r="BA345" s="551"/>
      <c r="BB345" s="551"/>
      <c r="BC345" s="551"/>
      <c r="BD345" s="551"/>
      <c r="BE345" s="551"/>
      <c r="BF345" s="551"/>
      <c r="BG345" s="551"/>
      <c r="BH345" s="551"/>
      <c r="BI345" s="551"/>
      <c r="BJ345" s="551"/>
      <c r="BK345" s="551"/>
    </row>
    <row r="346" spans="1:63" ht="12.75" customHeight="1">
      <c r="A346" s="551"/>
      <c r="B346" s="551"/>
      <c r="C346" s="551"/>
      <c r="D346" s="551"/>
      <c r="E346" s="551"/>
      <c r="F346" s="551"/>
      <c r="G346" s="551"/>
      <c r="H346" s="551"/>
      <c r="I346" s="551"/>
      <c r="J346" s="551"/>
      <c r="K346" s="551"/>
      <c r="L346" s="551"/>
      <c r="M346" s="551"/>
      <c r="N346" s="551"/>
      <c r="O346" s="551"/>
      <c r="P346" s="551"/>
      <c r="Q346" s="551"/>
      <c r="R346" s="551"/>
      <c r="S346" s="551"/>
      <c r="T346" s="551"/>
      <c r="U346" s="551"/>
      <c r="V346" s="551"/>
      <c r="W346" s="551"/>
      <c r="X346" s="551"/>
      <c r="Y346" s="551"/>
      <c r="Z346" s="551"/>
      <c r="AA346" s="551"/>
      <c r="AB346" s="551"/>
      <c r="AC346" s="551"/>
      <c r="AD346" s="551"/>
      <c r="AE346" s="551"/>
      <c r="AF346" s="551"/>
      <c r="AG346" s="551"/>
      <c r="AH346" s="551"/>
      <c r="AI346" s="551"/>
      <c r="AJ346" s="551"/>
      <c r="AK346" s="551"/>
      <c r="AL346" s="551"/>
      <c r="AM346" s="551"/>
      <c r="AN346" s="551"/>
      <c r="AO346" s="551"/>
      <c r="AP346" s="551"/>
      <c r="AQ346" s="551"/>
      <c r="AR346" s="551"/>
      <c r="AS346" s="551"/>
      <c r="AT346" s="551"/>
      <c r="AU346" s="551"/>
      <c r="AV346" s="551"/>
      <c r="AW346" s="551"/>
      <c r="AX346" s="551"/>
      <c r="AY346" s="551"/>
      <c r="AZ346" s="551"/>
      <c r="BA346" s="551"/>
      <c r="BB346" s="551"/>
      <c r="BC346" s="551"/>
      <c r="BD346" s="551"/>
      <c r="BE346" s="551"/>
      <c r="BF346" s="551"/>
      <c r="BG346" s="551"/>
      <c r="BH346" s="551"/>
      <c r="BI346" s="551"/>
      <c r="BJ346" s="551"/>
      <c r="BK346" s="551"/>
    </row>
    <row r="347" spans="1:63" ht="12.75" customHeight="1">
      <c r="A347" s="551"/>
      <c r="B347" s="551"/>
      <c r="C347" s="551"/>
      <c r="D347" s="551"/>
      <c r="E347" s="551"/>
      <c r="F347" s="551"/>
      <c r="G347" s="551"/>
      <c r="H347" s="551"/>
      <c r="I347" s="551"/>
      <c r="J347" s="551"/>
      <c r="K347" s="551"/>
      <c r="L347" s="551"/>
      <c r="M347" s="551"/>
      <c r="N347" s="551"/>
      <c r="O347" s="551"/>
      <c r="P347" s="551"/>
      <c r="Q347" s="551"/>
      <c r="R347" s="551"/>
      <c r="S347" s="551"/>
      <c r="T347" s="551"/>
      <c r="U347" s="551"/>
      <c r="V347" s="551"/>
      <c r="W347" s="551"/>
      <c r="X347" s="551"/>
      <c r="Y347" s="551"/>
      <c r="Z347" s="551"/>
      <c r="AA347" s="551"/>
      <c r="AB347" s="551"/>
      <c r="AC347" s="551"/>
      <c r="AD347" s="551"/>
      <c r="AE347" s="551"/>
      <c r="AF347" s="551"/>
      <c r="AG347" s="551"/>
      <c r="AH347" s="551"/>
      <c r="AI347" s="551"/>
      <c r="AJ347" s="551"/>
      <c r="AK347" s="551"/>
      <c r="AL347" s="551"/>
      <c r="AM347" s="551"/>
      <c r="AN347" s="551"/>
      <c r="AO347" s="551"/>
      <c r="AP347" s="551"/>
      <c r="AQ347" s="551"/>
      <c r="AR347" s="551"/>
      <c r="AS347" s="551"/>
      <c r="AT347" s="551"/>
      <c r="AU347" s="551"/>
      <c r="AV347" s="551"/>
      <c r="AW347" s="551"/>
      <c r="AX347" s="551"/>
      <c r="AY347" s="551"/>
      <c r="AZ347" s="551"/>
      <c r="BA347" s="551"/>
      <c r="BB347" s="551"/>
      <c r="BC347" s="551"/>
      <c r="BD347" s="551"/>
      <c r="BE347" s="551"/>
      <c r="BF347" s="551"/>
      <c r="BG347" s="551"/>
      <c r="BH347" s="551"/>
      <c r="BI347" s="551"/>
      <c r="BJ347" s="551"/>
      <c r="BK347" s="551"/>
    </row>
    <row r="348" spans="1:63" ht="12.75" customHeight="1">
      <c r="A348" s="551"/>
      <c r="B348" s="551"/>
      <c r="C348" s="551"/>
      <c r="D348" s="551"/>
      <c r="E348" s="551"/>
      <c r="F348" s="551"/>
      <c r="G348" s="551"/>
      <c r="H348" s="551"/>
      <c r="I348" s="551"/>
      <c r="J348" s="551"/>
      <c r="K348" s="551"/>
      <c r="L348" s="551"/>
      <c r="M348" s="551"/>
      <c r="N348" s="551"/>
      <c r="O348" s="551"/>
      <c r="P348" s="551"/>
      <c r="Q348" s="551"/>
      <c r="R348" s="551"/>
      <c r="S348" s="551"/>
      <c r="T348" s="551"/>
      <c r="U348" s="551"/>
      <c r="V348" s="551"/>
      <c r="W348" s="551"/>
      <c r="X348" s="551"/>
      <c r="Y348" s="551"/>
      <c r="Z348" s="551"/>
      <c r="AA348" s="551"/>
      <c r="AB348" s="551"/>
      <c r="AC348" s="551"/>
      <c r="AD348" s="551"/>
      <c r="AE348" s="551"/>
      <c r="AF348" s="551"/>
      <c r="AG348" s="551"/>
      <c r="AH348" s="551"/>
      <c r="AI348" s="551"/>
      <c r="AJ348" s="551"/>
      <c r="AK348" s="551"/>
      <c r="AL348" s="551"/>
      <c r="AM348" s="551"/>
      <c r="AN348" s="551"/>
      <c r="AO348" s="551"/>
      <c r="AP348" s="551"/>
      <c r="AQ348" s="551"/>
      <c r="AR348" s="551"/>
      <c r="AS348" s="551"/>
      <c r="AT348" s="551"/>
      <c r="AU348" s="551"/>
      <c r="AV348" s="551"/>
      <c r="AW348" s="551"/>
      <c r="AX348" s="551"/>
      <c r="AY348" s="551"/>
      <c r="AZ348" s="551"/>
      <c r="BA348" s="551"/>
      <c r="BB348" s="551"/>
      <c r="BC348" s="551"/>
      <c r="BD348" s="551"/>
      <c r="BE348" s="551"/>
      <c r="BF348" s="551"/>
      <c r="BG348" s="551"/>
      <c r="BH348" s="551"/>
      <c r="BI348" s="551"/>
      <c r="BJ348" s="551"/>
      <c r="BK348" s="551"/>
    </row>
    <row r="349" spans="1:63" ht="12.75" customHeight="1">
      <c r="A349" s="551"/>
      <c r="B349" s="551"/>
      <c r="C349" s="551"/>
      <c r="D349" s="551"/>
      <c r="E349" s="551"/>
      <c r="F349" s="551"/>
      <c r="G349" s="551"/>
      <c r="H349" s="551"/>
      <c r="I349" s="551"/>
      <c r="J349" s="551"/>
      <c r="K349" s="551"/>
      <c r="L349" s="551"/>
      <c r="M349" s="551"/>
      <c r="N349" s="551"/>
      <c r="O349" s="551"/>
      <c r="P349" s="551"/>
      <c r="Q349" s="551"/>
      <c r="R349" s="551"/>
      <c r="S349" s="551"/>
      <c r="T349" s="551"/>
      <c r="U349" s="551"/>
      <c r="V349" s="551"/>
      <c r="W349" s="551"/>
      <c r="X349" s="551"/>
      <c r="Y349" s="551"/>
      <c r="Z349" s="551"/>
      <c r="AA349" s="551"/>
      <c r="AB349" s="551"/>
      <c r="AC349" s="551"/>
      <c r="AD349" s="551"/>
      <c r="AE349" s="551"/>
      <c r="AF349" s="551"/>
      <c r="AG349" s="551"/>
      <c r="AH349" s="551"/>
      <c r="AI349" s="551"/>
      <c r="AJ349" s="551"/>
      <c r="AK349" s="551"/>
      <c r="AL349" s="551"/>
      <c r="AM349" s="551"/>
      <c r="AN349" s="551"/>
      <c r="AO349" s="551"/>
      <c r="AP349" s="551"/>
      <c r="AQ349" s="551"/>
      <c r="AR349" s="551"/>
      <c r="AS349" s="551"/>
      <c r="AT349" s="551"/>
      <c r="AU349" s="551"/>
      <c r="AV349" s="551"/>
      <c r="AW349" s="551"/>
      <c r="AX349" s="551"/>
      <c r="AY349" s="551"/>
      <c r="AZ349" s="551"/>
      <c r="BA349" s="551"/>
      <c r="BB349" s="551"/>
      <c r="BC349" s="551"/>
      <c r="BD349" s="551"/>
      <c r="BE349" s="551"/>
      <c r="BF349" s="551"/>
      <c r="BG349" s="551"/>
      <c r="BH349" s="551"/>
      <c r="BI349" s="551"/>
      <c r="BJ349" s="551"/>
      <c r="BK349" s="551"/>
    </row>
    <row r="350" spans="1:63" ht="12.75" customHeight="1">
      <c r="A350" s="551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1"/>
      <c r="P350" s="551"/>
      <c r="Q350" s="551"/>
      <c r="R350" s="551"/>
      <c r="S350" s="551"/>
      <c r="T350" s="551"/>
      <c r="U350" s="551"/>
      <c r="V350" s="551"/>
      <c r="W350" s="551"/>
      <c r="X350" s="551"/>
      <c r="Y350" s="551"/>
      <c r="Z350" s="551"/>
      <c r="AA350" s="551"/>
      <c r="AB350" s="551"/>
      <c r="AC350" s="551"/>
      <c r="AD350" s="551"/>
      <c r="AE350" s="551"/>
      <c r="AF350" s="551"/>
      <c r="AG350" s="551"/>
      <c r="AH350" s="551"/>
      <c r="AI350" s="551"/>
      <c r="AJ350" s="551"/>
      <c r="AK350" s="551"/>
      <c r="AL350" s="551"/>
      <c r="AM350" s="551"/>
      <c r="AN350" s="551"/>
      <c r="AO350" s="551"/>
      <c r="AP350" s="551"/>
      <c r="AQ350" s="551"/>
      <c r="AR350" s="551"/>
      <c r="AS350" s="551"/>
      <c r="AT350" s="551"/>
      <c r="AU350" s="551"/>
      <c r="AV350" s="551"/>
      <c r="AW350" s="551"/>
      <c r="AX350" s="551"/>
      <c r="AY350" s="551"/>
      <c r="AZ350" s="551"/>
      <c r="BA350" s="551"/>
      <c r="BB350" s="551"/>
      <c r="BC350" s="551"/>
      <c r="BD350" s="551"/>
      <c r="BE350" s="551"/>
      <c r="BF350" s="551"/>
      <c r="BG350" s="551"/>
      <c r="BH350" s="551"/>
      <c r="BI350" s="551"/>
      <c r="BJ350" s="551"/>
      <c r="BK350" s="551"/>
    </row>
    <row r="351" spans="1:63" ht="12.75" customHeight="1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1"/>
      <c r="P351" s="551"/>
      <c r="Q351" s="551"/>
      <c r="R351" s="551"/>
      <c r="S351" s="551"/>
      <c r="T351" s="551"/>
      <c r="U351" s="551"/>
      <c r="V351" s="551"/>
      <c r="W351" s="551"/>
      <c r="X351" s="551"/>
      <c r="Y351" s="551"/>
      <c r="Z351" s="551"/>
      <c r="AA351" s="551"/>
      <c r="AB351" s="551"/>
      <c r="AC351" s="551"/>
      <c r="AD351" s="551"/>
      <c r="AE351" s="551"/>
      <c r="AF351" s="551"/>
      <c r="AG351" s="551"/>
      <c r="AH351" s="551"/>
      <c r="AI351" s="551"/>
      <c r="AJ351" s="551"/>
      <c r="AK351" s="551"/>
      <c r="AL351" s="551"/>
      <c r="AM351" s="551"/>
      <c r="AN351" s="551"/>
      <c r="AO351" s="551"/>
      <c r="AP351" s="551"/>
      <c r="AQ351" s="551"/>
      <c r="AR351" s="551"/>
      <c r="AS351" s="551"/>
      <c r="AT351" s="551"/>
      <c r="AU351" s="551"/>
      <c r="AV351" s="551"/>
      <c r="AW351" s="551"/>
      <c r="AX351" s="551"/>
      <c r="AY351" s="551"/>
      <c r="AZ351" s="551"/>
      <c r="BA351" s="551"/>
      <c r="BB351" s="551"/>
      <c r="BC351" s="551"/>
      <c r="BD351" s="551"/>
      <c r="BE351" s="551"/>
      <c r="BF351" s="551"/>
      <c r="BG351" s="551"/>
      <c r="BH351" s="551"/>
      <c r="BI351" s="551"/>
      <c r="BJ351" s="551"/>
      <c r="BK351" s="551"/>
    </row>
    <row r="352" spans="1:63" ht="12.75" customHeight="1">
      <c r="A352" s="551"/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51"/>
      <c r="AB352" s="551"/>
      <c r="AC352" s="551"/>
      <c r="AD352" s="551"/>
      <c r="AE352" s="551"/>
      <c r="AF352" s="551"/>
      <c r="AG352" s="551"/>
      <c r="AH352" s="551"/>
      <c r="AI352" s="551"/>
      <c r="AJ352" s="551"/>
      <c r="AK352" s="551"/>
      <c r="AL352" s="551"/>
      <c r="AM352" s="551"/>
      <c r="AN352" s="551"/>
      <c r="AO352" s="551"/>
      <c r="AP352" s="551"/>
      <c r="AQ352" s="551"/>
      <c r="AR352" s="551"/>
      <c r="AS352" s="551"/>
      <c r="AT352" s="551"/>
      <c r="AU352" s="551"/>
      <c r="AV352" s="551"/>
      <c r="AW352" s="551"/>
      <c r="AX352" s="551"/>
      <c r="AY352" s="551"/>
      <c r="AZ352" s="551"/>
      <c r="BA352" s="551"/>
      <c r="BB352" s="551"/>
      <c r="BC352" s="551"/>
      <c r="BD352" s="551"/>
      <c r="BE352" s="551"/>
      <c r="BF352" s="551"/>
      <c r="BG352" s="551"/>
      <c r="BH352" s="551"/>
      <c r="BI352" s="551"/>
      <c r="BJ352" s="551"/>
      <c r="BK352" s="551"/>
    </row>
    <row r="353" spans="1:63" ht="12.75" customHeight="1">
      <c r="A353" s="551"/>
      <c r="B353" s="551"/>
      <c r="C353" s="551"/>
      <c r="D353" s="551"/>
      <c r="E353" s="551"/>
      <c r="F353" s="551"/>
      <c r="G353" s="551"/>
      <c r="H353" s="551"/>
      <c r="I353" s="551"/>
      <c r="J353" s="551"/>
      <c r="K353" s="551"/>
      <c r="L353" s="551"/>
      <c r="M353" s="551"/>
      <c r="N353" s="551"/>
      <c r="O353" s="551"/>
      <c r="P353" s="551"/>
      <c r="Q353" s="551"/>
      <c r="R353" s="551"/>
      <c r="S353" s="551"/>
      <c r="T353" s="551"/>
      <c r="U353" s="551"/>
      <c r="V353" s="551"/>
      <c r="W353" s="551"/>
      <c r="X353" s="551"/>
      <c r="Y353" s="551"/>
      <c r="Z353" s="551"/>
      <c r="AA353" s="551"/>
      <c r="AB353" s="551"/>
      <c r="AC353" s="551"/>
      <c r="AD353" s="551"/>
      <c r="AE353" s="551"/>
      <c r="AF353" s="551"/>
      <c r="AG353" s="551"/>
      <c r="AH353" s="551"/>
      <c r="AI353" s="551"/>
      <c r="AJ353" s="551"/>
      <c r="AK353" s="551"/>
      <c r="AL353" s="551"/>
      <c r="AM353" s="551"/>
      <c r="AN353" s="551"/>
      <c r="AO353" s="551"/>
      <c r="AP353" s="551"/>
      <c r="AQ353" s="551"/>
      <c r="AR353" s="551"/>
      <c r="AS353" s="551"/>
      <c r="AT353" s="551"/>
      <c r="AU353" s="551"/>
      <c r="AV353" s="551"/>
      <c r="AW353" s="551"/>
      <c r="AX353" s="551"/>
      <c r="AY353" s="551"/>
      <c r="AZ353" s="551"/>
      <c r="BA353" s="551"/>
      <c r="BB353" s="551"/>
      <c r="BC353" s="551"/>
      <c r="BD353" s="551"/>
      <c r="BE353" s="551"/>
      <c r="BF353" s="551"/>
      <c r="BG353" s="551"/>
      <c r="BH353" s="551"/>
      <c r="BI353" s="551"/>
      <c r="BJ353" s="551"/>
      <c r="BK353" s="551"/>
    </row>
    <row r="354" spans="1:63" ht="12.75" customHeight="1">
      <c r="A354" s="551"/>
      <c r="B354" s="551"/>
      <c r="C354" s="551"/>
      <c r="D354" s="551"/>
      <c r="E354" s="551"/>
      <c r="F354" s="551"/>
      <c r="G354" s="551"/>
      <c r="H354" s="551"/>
      <c r="I354" s="551"/>
      <c r="J354" s="551"/>
      <c r="K354" s="551"/>
      <c r="L354" s="551"/>
      <c r="M354" s="551"/>
      <c r="N354" s="551"/>
      <c r="O354" s="551"/>
      <c r="P354" s="551"/>
      <c r="Q354" s="551"/>
      <c r="R354" s="551"/>
      <c r="S354" s="551"/>
      <c r="T354" s="551"/>
      <c r="U354" s="551"/>
      <c r="V354" s="551"/>
      <c r="W354" s="551"/>
      <c r="X354" s="551"/>
      <c r="Y354" s="551"/>
      <c r="Z354" s="551"/>
      <c r="AA354" s="551"/>
      <c r="AB354" s="551"/>
      <c r="AC354" s="551"/>
      <c r="AD354" s="551"/>
      <c r="AE354" s="551"/>
      <c r="AF354" s="551"/>
      <c r="AG354" s="551"/>
      <c r="AH354" s="551"/>
      <c r="AI354" s="551"/>
      <c r="AJ354" s="551"/>
      <c r="AK354" s="551"/>
      <c r="AL354" s="551"/>
      <c r="AM354" s="551"/>
      <c r="AN354" s="551"/>
      <c r="AO354" s="551"/>
      <c r="AP354" s="551"/>
      <c r="AQ354" s="551"/>
      <c r="AR354" s="551"/>
      <c r="AS354" s="551"/>
      <c r="AT354" s="551"/>
      <c r="AU354" s="551"/>
      <c r="AV354" s="551"/>
      <c r="AW354" s="551"/>
      <c r="AX354" s="551"/>
      <c r="AY354" s="551"/>
      <c r="AZ354" s="551"/>
      <c r="BA354" s="551"/>
      <c r="BB354" s="551"/>
      <c r="BC354" s="551"/>
      <c r="BD354" s="551"/>
      <c r="BE354" s="551"/>
      <c r="BF354" s="551"/>
      <c r="BG354" s="551"/>
      <c r="BH354" s="551"/>
      <c r="BI354" s="551"/>
      <c r="BJ354" s="551"/>
      <c r="BK354" s="551"/>
    </row>
    <row r="355" spans="1:63" ht="12.75" customHeight="1">
      <c r="A355" s="551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1"/>
      <c r="P355" s="551"/>
      <c r="Q355" s="551"/>
      <c r="R355" s="551"/>
      <c r="S355" s="551"/>
      <c r="T355" s="551"/>
      <c r="U355" s="551"/>
      <c r="V355" s="551"/>
      <c r="W355" s="551"/>
      <c r="X355" s="551"/>
      <c r="Y355" s="551"/>
      <c r="Z355" s="551"/>
      <c r="AA355" s="551"/>
      <c r="AB355" s="551"/>
      <c r="AC355" s="551"/>
      <c r="AD355" s="551"/>
      <c r="AE355" s="551"/>
      <c r="AF355" s="551"/>
      <c r="AG355" s="551"/>
      <c r="AH355" s="551"/>
      <c r="AI355" s="551"/>
      <c r="AJ355" s="551"/>
      <c r="AK355" s="551"/>
      <c r="AL355" s="551"/>
      <c r="AM355" s="551"/>
      <c r="AN355" s="551"/>
      <c r="AO355" s="551"/>
      <c r="AP355" s="551"/>
      <c r="AQ355" s="551"/>
      <c r="AR355" s="551"/>
      <c r="AS355" s="551"/>
      <c r="AT355" s="551"/>
      <c r="AU355" s="551"/>
      <c r="AV355" s="551"/>
      <c r="AW355" s="551"/>
      <c r="AX355" s="551"/>
      <c r="AY355" s="551"/>
      <c r="AZ355" s="551"/>
      <c r="BA355" s="551"/>
      <c r="BB355" s="551"/>
      <c r="BC355" s="551"/>
      <c r="BD355" s="551"/>
      <c r="BE355" s="551"/>
      <c r="BF355" s="551"/>
      <c r="BG355" s="551"/>
      <c r="BH355" s="551"/>
      <c r="BI355" s="551"/>
      <c r="BJ355" s="551"/>
      <c r="BK355" s="551"/>
    </row>
    <row r="356" spans="1:63" ht="12.75" customHeight="1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1"/>
      <c r="P356" s="551"/>
      <c r="Q356" s="551"/>
      <c r="R356" s="551"/>
      <c r="S356" s="551"/>
      <c r="T356" s="551"/>
      <c r="U356" s="551"/>
      <c r="V356" s="551"/>
      <c r="W356" s="551"/>
      <c r="X356" s="551"/>
      <c r="Y356" s="551"/>
      <c r="Z356" s="551"/>
      <c r="AA356" s="551"/>
      <c r="AB356" s="551"/>
      <c r="AC356" s="551"/>
      <c r="AD356" s="551"/>
      <c r="AE356" s="551"/>
      <c r="AF356" s="551"/>
      <c r="AG356" s="551"/>
      <c r="AH356" s="551"/>
      <c r="AI356" s="551"/>
      <c r="AJ356" s="551"/>
      <c r="AK356" s="551"/>
      <c r="AL356" s="551"/>
      <c r="AM356" s="551"/>
      <c r="AN356" s="551"/>
      <c r="AO356" s="551"/>
      <c r="AP356" s="551"/>
      <c r="AQ356" s="551"/>
      <c r="AR356" s="551"/>
      <c r="AS356" s="551"/>
      <c r="AT356" s="551"/>
      <c r="AU356" s="551"/>
      <c r="AV356" s="551"/>
      <c r="AW356" s="551"/>
      <c r="AX356" s="551"/>
      <c r="AY356" s="551"/>
      <c r="AZ356" s="551"/>
      <c r="BA356" s="551"/>
      <c r="BB356" s="551"/>
      <c r="BC356" s="551"/>
      <c r="BD356" s="551"/>
      <c r="BE356" s="551"/>
      <c r="BF356" s="551"/>
      <c r="BG356" s="551"/>
      <c r="BH356" s="551"/>
      <c r="BI356" s="551"/>
      <c r="BJ356" s="551"/>
      <c r="BK356" s="551"/>
    </row>
    <row r="357" spans="1:63" ht="12.75" customHeight="1">
      <c r="A357" s="551"/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51"/>
      <c r="AB357" s="551"/>
      <c r="AC357" s="551"/>
      <c r="AD357" s="551"/>
      <c r="AE357" s="551"/>
      <c r="AF357" s="551"/>
      <c r="AG357" s="551"/>
      <c r="AH357" s="551"/>
      <c r="AI357" s="551"/>
      <c r="AJ357" s="551"/>
      <c r="AK357" s="551"/>
      <c r="AL357" s="551"/>
      <c r="AM357" s="551"/>
      <c r="AN357" s="551"/>
      <c r="AO357" s="551"/>
      <c r="AP357" s="551"/>
      <c r="AQ357" s="551"/>
      <c r="AR357" s="551"/>
      <c r="AS357" s="551"/>
      <c r="AT357" s="551"/>
      <c r="AU357" s="551"/>
      <c r="AV357" s="551"/>
      <c r="AW357" s="551"/>
      <c r="AX357" s="551"/>
      <c r="AY357" s="551"/>
      <c r="AZ357" s="551"/>
      <c r="BA357" s="551"/>
      <c r="BB357" s="551"/>
      <c r="BC357" s="551"/>
      <c r="BD357" s="551"/>
      <c r="BE357" s="551"/>
      <c r="BF357" s="551"/>
      <c r="BG357" s="551"/>
      <c r="BH357" s="551"/>
      <c r="BI357" s="551"/>
      <c r="BJ357" s="551"/>
      <c r="BK357" s="551"/>
    </row>
    <row r="358" spans="1:63" ht="12.75" customHeight="1">
      <c r="A358" s="551"/>
      <c r="B358" s="551"/>
      <c r="C358" s="551"/>
      <c r="D358" s="551"/>
      <c r="E358" s="551"/>
      <c r="F358" s="551"/>
      <c r="G358" s="551"/>
      <c r="H358" s="551"/>
      <c r="I358" s="551"/>
      <c r="J358" s="551"/>
      <c r="K358" s="551"/>
      <c r="L358" s="551"/>
      <c r="M358" s="551"/>
      <c r="N358" s="551"/>
      <c r="O358" s="551"/>
      <c r="P358" s="551"/>
      <c r="Q358" s="551"/>
      <c r="R358" s="551"/>
      <c r="S358" s="551"/>
      <c r="T358" s="551"/>
      <c r="U358" s="551"/>
      <c r="V358" s="551"/>
      <c r="W358" s="551"/>
      <c r="X358" s="551"/>
      <c r="Y358" s="551"/>
      <c r="Z358" s="551"/>
      <c r="AA358" s="551"/>
      <c r="AB358" s="551"/>
      <c r="AC358" s="551"/>
      <c r="AD358" s="551"/>
      <c r="AE358" s="551"/>
      <c r="AF358" s="551"/>
      <c r="AG358" s="551"/>
      <c r="AH358" s="551"/>
      <c r="AI358" s="551"/>
      <c r="AJ358" s="551"/>
      <c r="AK358" s="551"/>
      <c r="AL358" s="551"/>
      <c r="AM358" s="551"/>
      <c r="AN358" s="551"/>
      <c r="AO358" s="551"/>
      <c r="AP358" s="551"/>
      <c r="AQ358" s="551"/>
      <c r="AR358" s="551"/>
      <c r="AS358" s="551"/>
      <c r="AT358" s="551"/>
      <c r="AU358" s="551"/>
      <c r="AV358" s="551"/>
      <c r="AW358" s="551"/>
      <c r="AX358" s="551"/>
      <c r="AY358" s="551"/>
      <c r="AZ358" s="551"/>
      <c r="BA358" s="551"/>
      <c r="BB358" s="551"/>
      <c r="BC358" s="551"/>
      <c r="BD358" s="551"/>
      <c r="BE358" s="551"/>
      <c r="BF358" s="551"/>
      <c r="BG358" s="551"/>
      <c r="BH358" s="551"/>
      <c r="BI358" s="551"/>
      <c r="BJ358" s="551"/>
      <c r="BK358" s="551"/>
    </row>
    <row r="359" spans="1:63" ht="12.75" customHeight="1">
      <c r="A359" s="551"/>
      <c r="B359" s="551"/>
      <c r="C359" s="551"/>
      <c r="D359" s="551"/>
      <c r="E359" s="551"/>
      <c r="F359" s="551"/>
      <c r="G359" s="551"/>
      <c r="H359" s="551"/>
      <c r="I359" s="551"/>
      <c r="J359" s="551"/>
      <c r="K359" s="551"/>
      <c r="L359" s="551"/>
      <c r="M359" s="551"/>
      <c r="N359" s="551"/>
      <c r="O359" s="551"/>
      <c r="P359" s="551"/>
      <c r="Q359" s="551"/>
      <c r="R359" s="551"/>
      <c r="S359" s="551"/>
      <c r="T359" s="551"/>
      <c r="U359" s="551"/>
      <c r="V359" s="551"/>
      <c r="W359" s="551"/>
      <c r="X359" s="551"/>
      <c r="Y359" s="551"/>
      <c r="Z359" s="551"/>
      <c r="AA359" s="551"/>
      <c r="AB359" s="551"/>
      <c r="AC359" s="551"/>
      <c r="AD359" s="551"/>
      <c r="AE359" s="551"/>
      <c r="AF359" s="551"/>
      <c r="AG359" s="551"/>
      <c r="AH359" s="551"/>
      <c r="AI359" s="551"/>
      <c r="AJ359" s="551"/>
      <c r="AK359" s="551"/>
      <c r="AL359" s="551"/>
      <c r="AM359" s="551"/>
      <c r="AN359" s="551"/>
      <c r="AO359" s="551"/>
      <c r="AP359" s="551"/>
      <c r="AQ359" s="551"/>
      <c r="AR359" s="551"/>
      <c r="AS359" s="551"/>
      <c r="AT359" s="551"/>
      <c r="AU359" s="551"/>
      <c r="AV359" s="551"/>
      <c r="AW359" s="551"/>
      <c r="AX359" s="551"/>
      <c r="AY359" s="551"/>
      <c r="AZ359" s="551"/>
      <c r="BA359" s="551"/>
      <c r="BB359" s="551"/>
      <c r="BC359" s="551"/>
      <c r="BD359" s="551"/>
      <c r="BE359" s="551"/>
      <c r="BF359" s="551"/>
      <c r="BG359" s="551"/>
      <c r="BH359" s="551"/>
      <c r="BI359" s="551"/>
      <c r="BJ359" s="551"/>
      <c r="BK359" s="551"/>
    </row>
    <row r="360" spans="1:63" ht="12.75" customHeight="1">
      <c r="A360" s="551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1"/>
      <c r="P360" s="551"/>
      <c r="Q360" s="551"/>
      <c r="R360" s="551"/>
      <c r="S360" s="551"/>
      <c r="T360" s="551"/>
      <c r="U360" s="551"/>
      <c r="V360" s="551"/>
      <c r="W360" s="551"/>
      <c r="X360" s="551"/>
      <c r="Y360" s="551"/>
      <c r="Z360" s="551"/>
      <c r="AA360" s="551"/>
      <c r="AB360" s="551"/>
      <c r="AC360" s="551"/>
      <c r="AD360" s="551"/>
      <c r="AE360" s="551"/>
      <c r="AF360" s="551"/>
      <c r="AG360" s="551"/>
      <c r="AH360" s="551"/>
      <c r="AI360" s="551"/>
      <c r="AJ360" s="551"/>
      <c r="AK360" s="551"/>
      <c r="AL360" s="551"/>
      <c r="AM360" s="551"/>
      <c r="AN360" s="551"/>
      <c r="AO360" s="551"/>
      <c r="AP360" s="551"/>
      <c r="AQ360" s="551"/>
      <c r="AR360" s="551"/>
      <c r="AS360" s="551"/>
      <c r="AT360" s="551"/>
      <c r="AU360" s="551"/>
      <c r="AV360" s="551"/>
      <c r="AW360" s="551"/>
      <c r="AX360" s="551"/>
      <c r="AY360" s="551"/>
      <c r="AZ360" s="551"/>
      <c r="BA360" s="551"/>
      <c r="BB360" s="551"/>
      <c r="BC360" s="551"/>
      <c r="BD360" s="551"/>
      <c r="BE360" s="551"/>
      <c r="BF360" s="551"/>
      <c r="BG360" s="551"/>
      <c r="BH360" s="551"/>
      <c r="BI360" s="551"/>
      <c r="BJ360" s="551"/>
      <c r="BK360" s="551"/>
    </row>
    <row r="361" spans="1:63" ht="12.75" customHeight="1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1"/>
      <c r="P361" s="551"/>
      <c r="Q361" s="551"/>
      <c r="R361" s="551"/>
      <c r="S361" s="551"/>
      <c r="T361" s="551"/>
      <c r="U361" s="551"/>
      <c r="V361" s="551"/>
      <c r="W361" s="551"/>
      <c r="X361" s="551"/>
      <c r="Y361" s="551"/>
      <c r="Z361" s="551"/>
      <c r="AA361" s="551"/>
      <c r="AB361" s="551"/>
      <c r="AC361" s="551"/>
      <c r="AD361" s="551"/>
      <c r="AE361" s="551"/>
      <c r="AF361" s="551"/>
      <c r="AG361" s="551"/>
      <c r="AH361" s="551"/>
      <c r="AI361" s="551"/>
      <c r="AJ361" s="551"/>
      <c r="AK361" s="551"/>
      <c r="AL361" s="551"/>
      <c r="AM361" s="551"/>
      <c r="AN361" s="551"/>
      <c r="AO361" s="551"/>
      <c r="AP361" s="551"/>
      <c r="AQ361" s="551"/>
      <c r="AR361" s="551"/>
      <c r="AS361" s="551"/>
      <c r="AT361" s="551"/>
      <c r="AU361" s="551"/>
      <c r="AV361" s="551"/>
      <c r="AW361" s="551"/>
      <c r="AX361" s="551"/>
      <c r="AY361" s="551"/>
      <c r="AZ361" s="551"/>
      <c r="BA361" s="551"/>
      <c r="BB361" s="551"/>
      <c r="BC361" s="551"/>
      <c r="BD361" s="551"/>
      <c r="BE361" s="551"/>
      <c r="BF361" s="551"/>
      <c r="BG361" s="551"/>
      <c r="BH361" s="551"/>
      <c r="BI361" s="551"/>
      <c r="BJ361" s="551"/>
      <c r="BK361" s="551"/>
    </row>
    <row r="362" spans="1:63" ht="12.75" customHeight="1">
      <c r="A362" s="551"/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51"/>
      <c r="AB362" s="551"/>
      <c r="AC362" s="551"/>
      <c r="AD362" s="551"/>
      <c r="AE362" s="551"/>
      <c r="AF362" s="551"/>
      <c r="AG362" s="551"/>
      <c r="AH362" s="551"/>
      <c r="AI362" s="551"/>
      <c r="AJ362" s="551"/>
      <c r="AK362" s="551"/>
      <c r="AL362" s="551"/>
      <c r="AM362" s="551"/>
      <c r="AN362" s="551"/>
      <c r="AO362" s="551"/>
      <c r="AP362" s="551"/>
      <c r="AQ362" s="551"/>
      <c r="AR362" s="551"/>
      <c r="AS362" s="551"/>
      <c r="AT362" s="551"/>
      <c r="AU362" s="551"/>
      <c r="AV362" s="551"/>
      <c r="AW362" s="551"/>
      <c r="AX362" s="551"/>
      <c r="AY362" s="551"/>
      <c r="AZ362" s="551"/>
      <c r="BA362" s="551"/>
      <c r="BB362" s="551"/>
      <c r="BC362" s="551"/>
      <c r="BD362" s="551"/>
      <c r="BE362" s="551"/>
      <c r="BF362" s="551"/>
      <c r="BG362" s="551"/>
      <c r="BH362" s="551"/>
      <c r="BI362" s="551"/>
      <c r="BJ362" s="551"/>
      <c r="BK362" s="551"/>
    </row>
    <row r="363" spans="1:63" ht="12.75" customHeight="1">
      <c r="A363" s="551"/>
      <c r="B363" s="551"/>
      <c r="C363" s="551"/>
      <c r="D363" s="551"/>
      <c r="E363" s="551"/>
      <c r="F363" s="551"/>
      <c r="G363" s="551"/>
      <c r="H363" s="551"/>
      <c r="I363" s="551"/>
      <c r="J363" s="551"/>
      <c r="K363" s="551"/>
      <c r="L363" s="551"/>
      <c r="M363" s="551"/>
      <c r="N363" s="551"/>
      <c r="O363" s="551"/>
      <c r="P363" s="551"/>
      <c r="Q363" s="551"/>
      <c r="R363" s="551"/>
      <c r="S363" s="551"/>
      <c r="T363" s="551"/>
      <c r="U363" s="551"/>
      <c r="V363" s="551"/>
      <c r="W363" s="551"/>
      <c r="X363" s="551"/>
      <c r="Y363" s="551"/>
      <c r="Z363" s="551"/>
      <c r="AA363" s="551"/>
      <c r="AB363" s="551"/>
      <c r="AC363" s="551"/>
      <c r="AD363" s="551"/>
      <c r="AE363" s="551"/>
      <c r="AF363" s="551"/>
      <c r="AG363" s="551"/>
      <c r="AH363" s="551"/>
      <c r="AI363" s="551"/>
      <c r="AJ363" s="551"/>
      <c r="AK363" s="551"/>
      <c r="AL363" s="551"/>
      <c r="AM363" s="551"/>
      <c r="AN363" s="551"/>
      <c r="AO363" s="551"/>
      <c r="AP363" s="551"/>
      <c r="AQ363" s="551"/>
      <c r="AR363" s="551"/>
      <c r="AS363" s="551"/>
      <c r="AT363" s="551"/>
      <c r="AU363" s="551"/>
      <c r="AV363" s="551"/>
      <c r="AW363" s="551"/>
      <c r="AX363" s="551"/>
      <c r="AY363" s="551"/>
      <c r="AZ363" s="551"/>
      <c r="BA363" s="551"/>
      <c r="BB363" s="551"/>
      <c r="BC363" s="551"/>
      <c r="BD363" s="551"/>
      <c r="BE363" s="551"/>
      <c r="BF363" s="551"/>
      <c r="BG363" s="551"/>
      <c r="BH363" s="551"/>
      <c r="BI363" s="551"/>
      <c r="BJ363" s="551"/>
      <c r="BK363" s="551"/>
    </row>
    <row r="364" spans="1:63" ht="12.75" customHeight="1">
      <c r="A364" s="551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1"/>
      <c r="P364" s="551"/>
      <c r="Q364" s="551"/>
      <c r="R364" s="551"/>
      <c r="S364" s="551"/>
      <c r="T364" s="551"/>
      <c r="U364" s="551"/>
      <c r="V364" s="551"/>
      <c r="W364" s="551"/>
      <c r="X364" s="551"/>
      <c r="Y364" s="551"/>
      <c r="Z364" s="551"/>
      <c r="AA364" s="551"/>
      <c r="AB364" s="551"/>
      <c r="AC364" s="551"/>
      <c r="AD364" s="551"/>
      <c r="AE364" s="551"/>
      <c r="AF364" s="551"/>
      <c r="AG364" s="551"/>
      <c r="AH364" s="551"/>
      <c r="AI364" s="551"/>
      <c r="AJ364" s="551"/>
      <c r="AK364" s="551"/>
      <c r="AL364" s="551"/>
      <c r="AM364" s="551"/>
      <c r="AN364" s="551"/>
      <c r="AO364" s="551"/>
      <c r="AP364" s="551"/>
      <c r="AQ364" s="551"/>
      <c r="AR364" s="551"/>
      <c r="AS364" s="551"/>
      <c r="AT364" s="551"/>
      <c r="AU364" s="551"/>
      <c r="AV364" s="551"/>
      <c r="AW364" s="551"/>
      <c r="AX364" s="551"/>
      <c r="AY364" s="551"/>
      <c r="AZ364" s="551"/>
      <c r="BA364" s="551"/>
      <c r="BB364" s="551"/>
      <c r="BC364" s="551"/>
      <c r="BD364" s="551"/>
      <c r="BE364" s="551"/>
      <c r="BF364" s="551"/>
      <c r="BG364" s="551"/>
      <c r="BH364" s="551"/>
      <c r="BI364" s="551"/>
      <c r="BJ364" s="551"/>
      <c r="BK364" s="551"/>
    </row>
    <row r="365" spans="1:63" ht="12.75" customHeight="1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1"/>
      <c r="P365" s="551"/>
      <c r="Q365" s="551"/>
      <c r="R365" s="551"/>
      <c r="S365" s="551"/>
      <c r="T365" s="551"/>
      <c r="U365" s="551"/>
      <c r="V365" s="551"/>
      <c r="W365" s="551"/>
      <c r="X365" s="551"/>
      <c r="Y365" s="551"/>
      <c r="Z365" s="551"/>
      <c r="AA365" s="551"/>
      <c r="AB365" s="551"/>
      <c r="AC365" s="551"/>
      <c r="AD365" s="551"/>
      <c r="AE365" s="551"/>
      <c r="AF365" s="551"/>
      <c r="AG365" s="551"/>
      <c r="AH365" s="551"/>
      <c r="AI365" s="551"/>
      <c r="AJ365" s="551"/>
      <c r="AK365" s="551"/>
      <c r="AL365" s="551"/>
      <c r="AM365" s="551"/>
      <c r="AN365" s="551"/>
      <c r="AO365" s="551"/>
      <c r="AP365" s="551"/>
      <c r="AQ365" s="551"/>
      <c r="AR365" s="551"/>
      <c r="AS365" s="551"/>
      <c r="AT365" s="551"/>
      <c r="AU365" s="551"/>
      <c r="AV365" s="551"/>
      <c r="AW365" s="551"/>
      <c r="AX365" s="551"/>
      <c r="AY365" s="551"/>
      <c r="AZ365" s="551"/>
      <c r="BA365" s="551"/>
      <c r="BB365" s="551"/>
      <c r="BC365" s="551"/>
      <c r="BD365" s="551"/>
      <c r="BE365" s="551"/>
      <c r="BF365" s="551"/>
      <c r="BG365" s="551"/>
      <c r="BH365" s="551"/>
      <c r="BI365" s="551"/>
      <c r="BJ365" s="551"/>
      <c r="BK365" s="551"/>
    </row>
    <row r="366" spans="1:63" ht="12.75" customHeight="1">
      <c r="A366" s="551"/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51"/>
      <c r="AB366" s="551"/>
      <c r="AC366" s="551"/>
      <c r="AD366" s="551"/>
      <c r="AE366" s="551"/>
      <c r="AF366" s="551"/>
      <c r="AG366" s="551"/>
      <c r="AH366" s="551"/>
      <c r="AI366" s="551"/>
      <c r="AJ366" s="551"/>
      <c r="AK366" s="551"/>
      <c r="AL366" s="551"/>
      <c r="AM366" s="551"/>
      <c r="AN366" s="551"/>
      <c r="AO366" s="551"/>
      <c r="AP366" s="551"/>
      <c r="AQ366" s="551"/>
      <c r="AR366" s="551"/>
      <c r="AS366" s="551"/>
      <c r="AT366" s="551"/>
      <c r="AU366" s="551"/>
      <c r="AV366" s="551"/>
      <c r="AW366" s="551"/>
      <c r="AX366" s="551"/>
      <c r="AY366" s="551"/>
      <c r="AZ366" s="551"/>
      <c r="BA366" s="551"/>
      <c r="BB366" s="551"/>
      <c r="BC366" s="551"/>
      <c r="BD366" s="551"/>
      <c r="BE366" s="551"/>
      <c r="BF366" s="551"/>
      <c r="BG366" s="551"/>
      <c r="BH366" s="551"/>
      <c r="BI366" s="551"/>
      <c r="BJ366" s="551"/>
      <c r="BK366" s="551"/>
    </row>
    <row r="367" spans="1:63" ht="12.75" customHeight="1">
      <c r="A367" s="551"/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51"/>
      <c r="AB367" s="551"/>
      <c r="AC367" s="551"/>
      <c r="AD367" s="551"/>
      <c r="AE367" s="551"/>
      <c r="AF367" s="551"/>
      <c r="AG367" s="551"/>
      <c r="AH367" s="551"/>
      <c r="AI367" s="551"/>
      <c r="AJ367" s="551"/>
      <c r="AK367" s="551"/>
      <c r="AL367" s="551"/>
      <c r="AM367" s="551"/>
      <c r="AN367" s="551"/>
      <c r="AO367" s="551"/>
      <c r="AP367" s="551"/>
      <c r="AQ367" s="551"/>
      <c r="AR367" s="551"/>
      <c r="AS367" s="551"/>
      <c r="AT367" s="551"/>
      <c r="AU367" s="551"/>
      <c r="AV367" s="551"/>
      <c r="AW367" s="551"/>
      <c r="AX367" s="551"/>
      <c r="AY367" s="551"/>
      <c r="AZ367" s="551"/>
      <c r="BA367" s="551"/>
      <c r="BB367" s="551"/>
      <c r="BC367" s="551"/>
      <c r="BD367" s="551"/>
      <c r="BE367" s="551"/>
      <c r="BF367" s="551"/>
      <c r="BG367" s="551"/>
      <c r="BH367" s="551"/>
      <c r="BI367" s="551"/>
      <c r="BJ367" s="551"/>
      <c r="BK367" s="551"/>
    </row>
    <row r="368" spans="1:63" ht="12.75" customHeight="1">
      <c r="A368" s="551"/>
      <c r="B368" s="551"/>
      <c r="C368" s="551"/>
      <c r="D368" s="551"/>
      <c r="E368" s="551"/>
      <c r="F368" s="551"/>
      <c r="G368" s="551"/>
      <c r="H368" s="551"/>
      <c r="I368" s="551"/>
      <c r="J368" s="551"/>
      <c r="K368" s="551"/>
      <c r="L368" s="551"/>
      <c r="M368" s="551"/>
      <c r="N368" s="551"/>
      <c r="O368" s="551"/>
      <c r="P368" s="551"/>
      <c r="Q368" s="551"/>
      <c r="R368" s="551"/>
      <c r="S368" s="551"/>
      <c r="T368" s="551"/>
      <c r="U368" s="551"/>
      <c r="V368" s="551"/>
      <c r="W368" s="551"/>
      <c r="X368" s="551"/>
      <c r="Y368" s="551"/>
      <c r="Z368" s="551"/>
      <c r="AA368" s="551"/>
      <c r="AB368" s="551"/>
      <c r="AC368" s="551"/>
      <c r="AD368" s="551"/>
      <c r="AE368" s="551"/>
      <c r="AF368" s="551"/>
      <c r="AG368" s="551"/>
      <c r="AH368" s="551"/>
      <c r="AI368" s="551"/>
      <c r="AJ368" s="551"/>
      <c r="AK368" s="551"/>
      <c r="AL368" s="551"/>
      <c r="AM368" s="551"/>
      <c r="AN368" s="551"/>
      <c r="AO368" s="551"/>
      <c r="AP368" s="551"/>
      <c r="AQ368" s="551"/>
      <c r="AR368" s="551"/>
      <c r="AS368" s="551"/>
      <c r="AT368" s="551"/>
      <c r="AU368" s="551"/>
      <c r="AV368" s="551"/>
      <c r="AW368" s="551"/>
      <c r="AX368" s="551"/>
      <c r="AY368" s="551"/>
      <c r="AZ368" s="551"/>
      <c r="BA368" s="551"/>
      <c r="BB368" s="551"/>
      <c r="BC368" s="551"/>
      <c r="BD368" s="551"/>
      <c r="BE368" s="551"/>
      <c r="BF368" s="551"/>
      <c r="BG368" s="551"/>
      <c r="BH368" s="551"/>
      <c r="BI368" s="551"/>
      <c r="BJ368" s="551"/>
      <c r="BK368" s="551"/>
    </row>
    <row r="369" spans="1:63" ht="12.75" customHeight="1">
      <c r="A369" s="551"/>
      <c r="B369" s="551"/>
      <c r="C369" s="551"/>
      <c r="D369" s="551"/>
      <c r="E369" s="551"/>
      <c r="F369" s="551"/>
      <c r="G369" s="551"/>
      <c r="H369" s="551"/>
      <c r="I369" s="551"/>
      <c r="J369" s="551"/>
      <c r="K369" s="551"/>
      <c r="L369" s="551"/>
      <c r="M369" s="551"/>
      <c r="N369" s="551"/>
      <c r="O369" s="551"/>
      <c r="P369" s="551"/>
      <c r="Q369" s="551"/>
      <c r="R369" s="551"/>
      <c r="S369" s="551"/>
      <c r="T369" s="551"/>
      <c r="U369" s="551"/>
      <c r="V369" s="551"/>
      <c r="W369" s="551"/>
      <c r="X369" s="551"/>
      <c r="Y369" s="551"/>
      <c r="Z369" s="551"/>
      <c r="AA369" s="551"/>
      <c r="AB369" s="551"/>
      <c r="AC369" s="551"/>
      <c r="AD369" s="551"/>
      <c r="AE369" s="551"/>
      <c r="AF369" s="551"/>
      <c r="AG369" s="551"/>
      <c r="AH369" s="551"/>
      <c r="AI369" s="551"/>
      <c r="AJ369" s="551"/>
      <c r="AK369" s="551"/>
      <c r="AL369" s="551"/>
      <c r="AM369" s="551"/>
      <c r="AN369" s="551"/>
      <c r="AO369" s="551"/>
      <c r="AP369" s="551"/>
      <c r="AQ369" s="551"/>
      <c r="AR369" s="551"/>
      <c r="AS369" s="551"/>
      <c r="AT369" s="551"/>
      <c r="AU369" s="551"/>
      <c r="AV369" s="551"/>
      <c r="AW369" s="551"/>
      <c r="AX369" s="551"/>
      <c r="AY369" s="551"/>
      <c r="AZ369" s="551"/>
      <c r="BA369" s="551"/>
      <c r="BB369" s="551"/>
      <c r="BC369" s="551"/>
      <c r="BD369" s="551"/>
      <c r="BE369" s="551"/>
      <c r="BF369" s="551"/>
      <c r="BG369" s="551"/>
      <c r="BH369" s="551"/>
      <c r="BI369" s="551"/>
      <c r="BJ369" s="551"/>
      <c r="BK369" s="551"/>
    </row>
    <row r="370" spans="1:63" ht="12.75" customHeight="1">
      <c r="A370" s="551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1"/>
      <c r="P370" s="551"/>
      <c r="Q370" s="551"/>
      <c r="R370" s="551"/>
      <c r="S370" s="551"/>
      <c r="T370" s="551"/>
      <c r="U370" s="551"/>
      <c r="V370" s="551"/>
      <c r="W370" s="551"/>
      <c r="X370" s="551"/>
      <c r="Y370" s="551"/>
      <c r="Z370" s="551"/>
      <c r="AA370" s="551"/>
      <c r="AB370" s="551"/>
      <c r="AC370" s="551"/>
      <c r="AD370" s="551"/>
      <c r="AE370" s="551"/>
      <c r="AF370" s="551"/>
      <c r="AG370" s="551"/>
      <c r="AH370" s="551"/>
      <c r="AI370" s="551"/>
      <c r="AJ370" s="551"/>
      <c r="AK370" s="551"/>
      <c r="AL370" s="551"/>
      <c r="AM370" s="551"/>
      <c r="AN370" s="551"/>
      <c r="AO370" s="551"/>
      <c r="AP370" s="551"/>
      <c r="AQ370" s="551"/>
      <c r="AR370" s="551"/>
      <c r="AS370" s="551"/>
      <c r="AT370" s="551"/>
      <c r="AU370" s="551"/>
      <c r="AV370" s="551"/>
      <c r="AW370" s="551"/>
      <c r="AX370" s="551"/>
      <c r="AY370" s="551"/>
      <c r="AZ370" s="551"/>
      <c r="BA370" s="551"/>
      <c r="BB370" s="551"/>
      <c r="BC370" s="551"/>
      <c r="BD370" s="551"/>
      <c r="BE370" s="551"/>
      <c r="BF370" s="551"/>
      <c r="BG370" s="551"/>
      <c r="BH370" s="551"/>
      <c r="BI370" s="551"/>
      <c r="BJ370" s="551"/>
      <c r="BK370" s="551"/>
    </row>
    <row r="371" spans="1:63" ht="12.75" customHeight="1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1"/>
      <c r="P371" s="551"/>
      <c r="Q371" s="551"/>
      <c r="R371" s="551"/>
      <c r="S371" s="551"/>
      <c r="T371" s="551"/>
      <c r="U371" s="551"/>
      <c r="V371" s="551"/>
      <c r="W371" s="551"/>
      <c r="X371" s="551"/>
      <c r="Y371" s="551"/>
      <c r="Z371" s="551"/>
      <c r="AA371" s="551"/>
      <c r="AB371" s="551"/>
      <c r="AC371" s="551"/>
      <c r="AD371" s="551"/>
      <c r="AE371" s="551"/>
      <c r="AF371" s="551"/>
      <c r="AG371" s="551"/>
      <c r="AH371" s="551"/>
      <c r="AI371" s="551"/>
      <c r="AJ371" s="551"/>
      <c r="AK371" s="551"/>
      <c r="AL371" s="551"/>
      <c r="AM371" s="551"/>
      <c r="AN371" s="551"/>
      <c r="AO371" s="551"/>
      <c r="AP371" s="551"/>
      <c r="AQ371" s="551"/>
      <c r="AR371" s="551"/>
      <c r="AS371" s="551"/>
      <c r="AT371" s="551"/>
      <c r="AU371" s="551"/>
      <c r="AV371" s="551"/>
      <c r="AW371" s="551"/>
      <c r="AX371" s="551"/>
      <c r="AY371" s="551"/>
      <c r="AZ371" s="551"/>
      <c r="BA371" s="551"/>
      <c r="BB371" s="551"/>
      <c r="BC371" s="551"/>
      <c r="BD371" s="551"/>
      <c r="BE371" s="551"/>
      <c r="BF371" s="551"/>
      <c r="BG371" s="551"/>
      <c r="BH371" s="551"/>
      <c r="BI371" s="551"/>
      <c r="BJ371" s="551"/>
      <c r="BK371" s="551"/>
    </row>
    <row r="372" spans="1:63" ht="12.75" customHeight="1">
      <c r="A372" s="551"/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51"/>
      <c r="AB372" s="551"/>
      <c r="AC372" s="551"/>
      <c r="AD372" s="551"/>
      <c r="AE372" s="551"/>
      <c r="AF372" s="551"/>
      <c r="AG372" s="551"/>
      <c r="AH372" s="551"/>
      <c r="AI372" s="551"/>
      <c r="AJ372" s="551"/>
      <c r="AK372" s="551"/>
      <c r="AL372" s="551"/>
      <c r="AM372" s="551"/>
      <c r="AN372" s="551"/>
      <c r="AO372" s="551"/>
      <c r="AP372" s="551"/>
      <c r="AQ372" s="551"/>
      <c r="AR372" s="551"/>
      <c r="AS372" s="551"/>
      <c r="AT372" s="551"/>
      <c r="AU372" s="551"/>
      <c r="AV372" s="551"/>
      <c r="AW372" s="551"/>
      <c r="AX372" s="551"/>
      <c r="AY372" s="551"/>
      <c r="AZ372" s="551"/>
      <c r="BA372" s="551"/>
      <c r="BB372" s="551"/>
      <c r="BC372" s="551"/>
      <c r="BD372" s="551"/>
      <c r="BE372" s="551"/>
      <c r="BF372" s="551"/>
      <c r="BG372" s="551"/>
      <c r="BH372" s="551"/>
      <c r="BI372" s="551"/>
      <c r="BJ372" s="551"/>
      <c r="BK372" s="551"/>
    </row>
    <row r="373" spans="1:63" ht="12.75" customHeight="1">
      <c r="A373" s="551"/>
      <c r="B373" s="551"/>
      <c r="C373" s="551"/>
      <c r="D373" s="551"/>
      <c r="E373" s="551"/>
      <c r="F373" s="551"/>
      <c r="G373" s="551"/>
      <c r="H373" s="551"/>
      <c r="I373" s="551"/>
      <c r="J373" s="551"/>
      <c r="K373" s="551"/>
      <c r="L373" s="551"/>
      <c r="M373" s="551"/>
      <c r="N373" s="551"/>
      <c r="O373" s="551"/>
      <c r="P373" s="551"/>
      <c r="Q373" s="551"/>
      <c r="R373" s="551"/>
      <c r="S373" s="551"/>
      <c r="T373" s="551"/>
      <c r="U373" s="551"/>
      <c r="V373" s="551"/>
      <c r="W373" s="551"/>
      <c r="X373" s="551"/>
      <c r="Y373" s="551"/>
      <c r="Z373" s="551"/>
      <c r="AA373" s="551"/>
      <c r="AB373" s="551"/>
      <c r="AC373" s="551"/>
      <c r="AD373" s="551"/>
      <c r="AE373" s="551"/>
      <c r="AF373" s="551"/>
      <c r="AG373" s="551"/>
      <c r="AH373" s="551"/>
      <c r="AI373" s="551"/>
      <c r="AJ373" s="551"/>
      <c r="AK373" s="551"/>
      <c r="AL373" s="551"/>
      <c r="AM373" s="551"/>
      <c r="AN373" s="551"/>
      <c r="AO373" s="551"/>
      <c r="AP373" s="551"/>
      <c r="AQ373" s="551"/>
      <c r="AR373" s="551"/>
      <c r="AS373" s="551"/>
      <c r="AT373" s="551"/>
      <c r="AU373" s="551"/>
      <c r="AV373" s="551"/>
      <c r="AW373" s="551"/>
      <c r="AX373" s="551"/>
      <c r="AY373" s="551"/>
      <c r="AZ373" s="551"/>
      <c r="BA373" s="551"/>
      <c r="BB373" s="551"/>
      <c r="BC373" s="551"/>
      <c r="BD373" s="551"/>
      <c r="BE373" s="551"/>
      <c r="BF373" s="551"/>
      <c r="BG373" s="551"/>
      <c r="BH373" s="551"/>
      <c r="BI373" s="551"/>
      <c r="BJ373" s="551"/>
      <c r="BK373" s="551"/>
    </row>
    <row r="374" spans="1:63" ht="12.75" customHeight="1">
      <c r="A374" s="551"/>
      <c r="B374" s="551"/>
      <c r="C374" s="551"/>
      <c r="D374" s="551"/>
      <c r="E374" s="551"/>
      <c r="F374" s="551"/>
      <c r="G374" s="551"/>
      <c r="H374" s="551"/>
      <c r="I374" s="551"/>
      <c r="J374" s="551"/>
      <c r="K374" s="551"/>
      <c r="L374" s="551"/>
      <c r="M374" s="551"/>
      <c r="N374" s="551"/>
      <c r="O374" s="551"/>
      <c r="P374" s="551"/>
      <c r="Q374" s="551"/>
      <c r="R374" s="551"/>
      <c r="S374" s="551"/>
      <c r="T374" s="551"/>
      <c r="U374" s="551"/>
      <c r="V374" s="551"/>
      <c r="W374" s="551"/>
      <c r="X374" s="551"/>
      <c r="Y374" s="551"/>
      <c r="Z374" s="551"/>
      <c r="AA374" s="551"/>
      <c r="AB374" s="551"/>
      <c r="AC374" s="551"/>
      <c r="AD374" s="551"/>
      <c r="AE374" s="551"/>
      <c r="AF374" s="551"/>
      <c r="AG374" s="551"/>
      <c r="AH374" s="551"/>
      <c r="AI374" s="551"/>
      <c r="AJ374" s="551"/>
      <c r="AK374" s="551"/>
      <c r="AL374" s="551"/>
      <c r="AM374" s="551"/>
      <c r="AN374" s="551"/>
      <c r="AO374" s="551"/>
      <c r="AP374" s="551"/>
      <c r="AQ374" s="551"/>
      <c r="AR374" s="551"/>
      <c r="AS374" s="551"/>
      <c r="AT374" s="551"/>
      <c r="AU374" s="551"/>
      <c r="AV374" s="551"/>
      <c r="AW374" s="551"/>
      <c r="AX374" s="551"/>
      <c r="AY374" s="551"/>
      <c r="AZ374" s="551"/>
      <c r="BA374" s="551"/>
      <c r="BB374" s="551"/>
      <c r="BC374" s="551"/>
      <c r="BD374" s="551"/>
      <c r="BE374" s="551"/>
      <c r="BF374" s="551"/>
      <c r="BG374" s="551"/>
      <c r="BH374" s="551"/>
      <c r="BI374" s="551"/>
      <c r="BJ374" s="551"/>
      <c r="BK374" s="551"/>
    </row>
    <row r="375" spans="1:63" ht="12.75" customHeight="1">
      <c r="A375" s="551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1"/>
      <c r="P375" s="551"/>
      <c r="Q375" s="551"/>
      <c r="R375" s="551"/>
      <c r="S375" s="551"/>
      <c r="T375" s="551"/>
      <c r="U375" s="551"/>
      <c r="V375" s="551"/>
      <c r="W375" s="551"/>
      <c r="X375" s="551"/>
      <c r="Y375" s="551"/>
      <c r="Z375" s="551"/>
      <c r="AA375" s="551"/>
      <c r="AB375" s="551"/>
      <c r="AC375" s="551"/>
      <c r="AD375" s="551"/>
      <c r="AE375" s="551"/>
      <c r="AF375" s="551"/>
      <c r="AG375" s="551"/>
      <c r="AH375" s="551"/>
      <c r="AI375" s="551"/>
      <c r="AJ375" s="551"/>
      <c r="AK375" s="551"/>
      <c r="AL375" s="551"/>
      <c r="AM375" s="551"/>
      <c r="AN375" s="551"/>
      <c r="AO375" s="551"/>
      <c r="AP375" s="551"/>
      <c r="AQ375" s="551"/>
      <c r="AR375" s="551"/>
      <c r="AS375" s="551"/>
      <c r="AT375" s="551"/>
      <c r="AU375" s="551"/>
      <c r="AV375" s="551"/>
      <c r="AW375" s="551"/>
      <c r="AX375" s="551"/>
      <c r="AY375" s="551"/>
      <c r="AZ375" s="551"/>
      <c r="BA375" s="551"/>
      <c r="BB375" s="551"/>
      <c r="BC375" s="551"/>
      <c r="BD375" s="551"/>
      <c r="BE375" s="551"/>
      <c r="BF375" s="551"/>
      <c r="BG375" s="551"/>
      <c r="BH375" s="551"/>
      <c r="BI375" s="551"/>
      <c r="BJ375" s="551"/>
      <c r="BK375" s="551"/>
    </row>
    <row r="376" spans="1:63" ht="12.75" customHeight="1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1"/>
      <c r="P376" s="551"/>
      <c r="Q376" s="551"/>
      <c r="R376" s="551"/>
      <c r="S376" s="551"/>
      <c r="T376" s="551"/>
      <c r="U376" s="551"/>
      <c r="V376" s="551"/>
      <c r="W376" s="551"/>
      <c r="X376" s="551"/>
      <c r="Y376" s="551"/>
      <c r="Z376" s="551"/>
      <c r="AA376" s="551"/>
      <c r="AB376" s="551"/>
      <c r="AC376" s="551"/>
      <c r="AD376" s="551"/>
      <c r="AE376" s="551"/>
      <c r="AF376" s="551"/>
      <c r="AG376" s="551"/>
      <c r="AH376" s="551"/>
      <c r="AI376" s="551"/>
      <c r="AJ376" s="551"/>
      <c r="AK376" s="551"/>
      <c r="AL376" s="551"/>
      <c r="AM376" s="551"/>
      <c r="AN376" s="551"/>
      <c r="AO376" s="551"/>
      <c r="AP376" s="551"/>
      <c r="AQ376" s="551"/>
      <c r="AR376" s="551"/>
      <c r="AS376" s="551"/>
      <c r="AT376" s="551"/>
      <c r="AU376" s="551"/>
      <c r="AV376" s="551"/>
      <c r="AW376" s="551"/>
      <c r="AX376" s="551"/>
      <c r="AY376" s="551"/>
      <c r="AZ376" s="551"/>
      <c r="BA376" s="551"/>
      <c r="BB376" s="551"/>
      <c r="BC376" s="551"/>
      <c r="BD376" s="551"/>
      <c r="BE376" s="551"/>
      <c r="BF376" s="551"/>
      <c r="BG376" s="551"/>
      <c r="BH376" s="551"/>
      <c r="BI376" s="551"/>
      <c r="BJ376" s="551"/>
      <c r="BK376" s="551"/>
    </row>
    <row r="377" spans="1:63" ht="12.75" customHeight="1">
      <c r="A377" s="551"/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51"/>
      <c r="AB377" s="551"/>
      <c r="AC377" s="551"/>
      <c r="AD377" s="551"/>
      <c r="AE377" s="551"/>
      <c r="AF377" s="551"/>
      <c r="AG377" s="551"/>
      <c r="AH377" s="551"/>
      <c r="AI377" s="551"/>
      <c r="AJ377" s="551"/>
      <c r="AK377" s="551"/>
      <c r="AL377" s="551"/>
      <c r="AM377" s="551"/>
      <c r="AN377" s="551"/>
      <c r="AO377" s="551"/>
      <c r="AP377" s="551"/>
      <c r="AQ377" s="551"/>
      <c r="AR377" s="551"/>
      <c r="AS377" s="551"/>
      <c r="AT377" s="551"/>
      <c r="AU377" s="551"/>
      <c r="AV377" s="551"/>
      <c r="AW377" s="551"/>
      <c r="AX377" s="551"/>
      <c r="AY377" s="551"/>
      <c r="AZ377" s="551"/>
      <c r="BA377" s="551"/>
      <c r="BB377" s="551"/>
      <c r="BC377" s="551"/>
      <c r="BD377" s="551"/>
      <c r="BE377" s="551"/>
      <c r="BF377" s="551"/>
      <c r="BG377" s="551"/>
      <c r="BH377" s="551"/>
      <c r="BI377" s="551"/>
      <c r="BJ377" s="551"/>
      <c r="BK377" s="551"/>
    </row>
    <row r="378" spans="1:63" ht="12.75" customHeight="1">
      <c r="A378" s="551"/>
      <c r="B378" s="551"/>
      <c r="C378" s="551"/>
      <c r="D378" s="551"/>
      <c r="E378" s="551"/>
      <c r="F378" s="551"/>
      <c r="G378" s="551"/>
      <c r="H378" s="551"/>
      <c r="I378" s="551"/>
      <c r="J378" s="551"/>
      <c r="K378" s="551"/>
      <c r="L378" s="551"/>
      <c r="M378" s="551"/>
      <c r="N378" s="551"/>
      <c r="O378" s="551"/>
      <c r="P378" s="551"/>
      <c r="Q378" s="551"/>
      <c r="R378" s="551"/>
      <c r="S378" s="551"/>
      <c r="T378" s="551"/>
      <c r="U378" s="551"/>
      <c r="V378" s="551"/>
      <c r="W378" s="551"/>
      <c r="X378" s="551"/>
      <c r="Y378" s="551"/>
      <c r="Z378" s="551"/>
      <c r="AA378" s="551"/>
      <c r="AB378" s="551"/>
      <c r="AC378" s="551"/>
      <c r="AD378" s="551"/>
      <c r="AE378" s="551"/>
      <c r="AF378" s="551"/>
      <c r="AG378" s="551"/>
      <c r="AH378" s="551"/>
      <c r="AI378" s="551"/>
      <c r="AJ378" s="551"/>
      <c r="AK378" s="551"/>
      <c r="AL378" s="551"/>
      <c r="AM378" s="551"/>
      <c r="AN378" s="551"/>
      <c r="AO378" s="551"/>
      <c r="AP378" s="551"/>
      <c r="AQ378" s="551"/>
      <c r="AR378" s="551"/>
      <c r="AS378" s="551"/>
      <c r="AT378" s="551"/>
      <c r="AU378" s="551"/>
      <c r="AV378" s="551"/>
      <c r="AW378" s="551"/>
      <c r="AX378" s="551"/>
      <c r="AY378" s="551"/>
      <c r="AZ378" s="551"/>
      <c r="BA378" s="551"/>
      <c r="BB378" s="551"/>
      <c r="BC378" s="551"/>
      <c r="BD378" s="551"/>
      <c r="BE378" s="551"/>
      <c r="BF378" s="551"/>
      <c r="BG378" s="551"/>
      <c r="BH378" s="551"/>
      <c r="BI378" s="551"/>
      <c r="BJ378" s="551"/>
      <c r="BK378" s="551"/>
    </row>
    <row r="379" spans="1:63" ht="12.75" customHeight="1">
      <c r="A379" s="551"/>
      <c r="B379" s="551"/>
      <c r="C379" s="551"/>
      <c r="D379" s="551"/>
      <c r="E379" s="551"/>
      <c r="F379" s="551"/>
      <c r="G379" s="551"/>
      <c r="H379" s="551"/>
      <c r="I379" s="551"/>
      <c r="J379" s="551"/>
      <c r="K379" s="551"/>
      <c r="L379" s="551"/>
      <c r="M379" s="551"/>
      <c r="N379" s="551"/>
      <c r="O379" s="551"/>
      <c r="P379" s="551"/>
      <c r="Q379" s="551"/>
      <c r="R379" s="551"/>
      <c r="S379" s="551"/>
      <c r="T379" s="551"/>
      <c r="U379" s="551"/>
      <c r="V379" s="551"/>
      <c r="W379" s="551"/>
      <c r="X379" s="551"/>
      <c r="Y379" s="551"/>
      <c r="Z379" s="551"/>
      <c r="AA379" s="551"/>
      <c r="AB379" s="551"/>
      <c r="AC379" s="551"/>
      <c r="AD379" s="551"/>
      <c r="AE379" s="551"/>
      <c r="AF379" s="551"/>
      <c r="AG379" s="551"/>
      <c r="AH379" s="551"/>
      <c r="AI379" s="551"/>
      <c r="AJ379" s="551"/>
      <c r="AK379" s="551"/>
      <c r="AL379" s="551"/>
      <c r="AM379" s="551"/>
      <c r="AN379" s="551"/>
      <c r="AO379" s="551"/>
      <c r="AP379" s="551"/>
      <c r="AQ379" s="551"/>
      <c r="AR379" s="551"/>
      <c r="AS379" s="551"/>
      <c r="AT379" s="551"/>
      <c r="AU379" s="551"/>
      <c r="AV379" s="551"/>
      <c r="AW379" s="551"/>
      <c r="AX379" s="551"/>
      <c r="AY379" s="551"/>
      <c r="AZ379" s="551"/>
      <c r="BA379" s="551"/>
      <c r="BB379" s="551"/>
      <c r="BC379" s="551"/>
      <c r="BD379" s="551"/>
      <c r="BE379" s="551"/>
      <c r="BF379" s="551"/>
      <c r="BG379" s="551"/>
      <c r="BH379" s="551"/>
      <c r="BI379" s="551"/>
      <c r="BJ379" s="551"/>
      <c r="BK379" s="551"/>
    </row>
    <row r="380" spans="1:63" ht="12.75" customHeight="1">
      <c r="A380" s="551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1"/>
      <c r="P380" s="551"/>
      <c r="Q380" s="551"/>
      <c r="R380" s="551"/>
      <c r="S380" s="551"/>
      <c r="T380" s="551"/>
      <c r="U380" s="551"/>
      <c r="V380" s="551"/>
      <c r="W380" s="551"/>
      <c r="X380" s="551"/>
      <c r="Y380" s="551"/>
      <c r="Z380" s="551"/>
      <c r="AA380" s="551"/>
      <c r="AB380" s="551"/>
      <c r="AC380" s="551"/>
      <c r="AD380" s="551"/>
      <c r="AE380" s="551"/>
      <c r="AF380" s="551"/>
      <c r="AG380" s="551"/>
      <c r="AH380" s="551"/>
      <c r="AI380" s="551"/>
      <c r="AJ380" s="551"/>
      <c r="AK380" s="551"/>
      <c r="AL380" s="551"/>
      <c r="AM380" s="551"/>
      <c r="AN380" s="551"/>
      <c r="AO380" s="551"/>
      <c r="AP380" s="551"/>
      <c r="AQ380" s="551"/>
      <c r="AR380" s="551"/>
      <c r="AS380" s="551"/>
      <c r="AT380" s="551"/>
      <c r="AU380" s="551"/>
      <c r="AV380" s="551"/>
      <c r="AW380" s="551"/>
      <c r="AX380" s="551"/>
      <c r="AY380" s="551"/>
      <c r="AZ380" s="551"/>
      <c r="BA380" s="551"/>
      <c r="BB380" s="551"/>
      <c r="BC380" s="551"/>
      <c r="BD380" s="551"/>
      <c r="BE380" s="551"/>
      <c r="BF380" s="551"/>
      <c r="BG380" s="551"/>
      <c r="BH380" s="551"/>
      <c r="BI380" s="551"/>
      <c r="BJ380" s="551"/>
      <c r="BK380" s="551"/>
    </row>
    <row r="381" spans="1:63" ht="12.75" customHeight="1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1"/>
      <c r="P381" s="551"/>
      <c r="Q381" s="551"/>
      <c r="R381" s="551"/>
      <c r="S381" s="551"/>
      <c r="T381" s="551"/>
      <c r="U381" s="551"/>
      <c r="V381" s="551"/>
      <c r="W381" s="551"/>
      <c r="X381" s="551"/>
      <c r="Y381" s="551"/>
      <c r="Z381" s="551"/>
      <c r="AA381" s="551"/>
      <c r="AB381" s="551"/>
      <c r="AC381" s="551"/>
      <c r="AD381" s="551"/>
      <c r="AE381" s="551"/>
      <c r="AF381" s="551"/>
      <c r="AG381" s="551"/>
      <c r="AH381" s="551"/>
      <c r="AI381" s="551"/>
      <c r="AJ381" s="551"/>
      <c r="AK381" s="551"/>
      <c r="AL381" s="551"/>
      <c r="AM381" s="551"/>
      <c r="AN381" s="551"/>
      <c r="AO381" s="551"/>
      <c r="AP381" s="551"/>
      <c r="AQ381" s="551"/>
      <c r="AR381" s="551"/>
      <c r="AS381" s="551"/>
      <c r="AT381" s="551"/>
      <c r="AU381" s="551"/>
      <c r="AV381" s="551"/>
      <c r="AW381" s="551"/>
      <c r="AX381" s="551"/>
      <c r="AY381" s="551"/>
      <c r="AZ381" s="551"/>
      <c r="BA381" s="551"/>
      <c r="BB381" s="551"/>
      <c r="BC381" s="551"/>
      <c r="BD381" s="551"/>
      <c r="BE381" s="551"/>
      <c r="BF381" s="551"/>
      <c r="BG381" s="551"/>
      <c r="BH381" s="551"/>
      <c r="BI381" s="551"/>
      <c r="BJ381" s="551"/>
      <c r="BK381" s="551"/>
    </row>
    <row r="382" spans="1:63" ht="12.75" customHeight="1">
      <c r="A382" s="551"/>
      <c r="B382" s="551"/>
      <c r="C382" s="551"/>
      <c r="D382" s="551"/>
      <c r="E382" s="551"/>
      <c r="F382" s="551"/>
      <c r="G382" s="551"/>
      <c r="H382" s="551"/>
      <c r="I382" s="551"/>
      <c r="J382" s="551"/>
      <c r="K382" s="551"/>
      <c r="L382" s="551"/>
      <c r="M382" s="551"/>
      <c r="N382" s="551"/>
      <c r="O382" s="551"/>
      <c r="P382" s="551"/>
      <c r="Q382" s="551"/>
      <c r="R382" s="551"/>
      <c r="S382" s="551"/>
      <c r="T382" s="551"/>
      <c r="U382" s="551"/>
      <c r="V382" s="551"/>
      <c r="W382" s="551"/>
      <c r="X382" s="551"/>
      <c r="Y382" s="551"/>
      <c r="Z382" s="551"/>
      <c r="AA382" s="551"/>
      <c r="AB382" s="551"/>
      <c r="AC382" s="551"/>
      <c r="AD382" s="551"/>
      <c r="AE382" s="551"/>
      <c r="AF382" s="551"/>
      <c r="AG382" s="551"/>
      <c r="AH382" s="551"/>
      <c r="AI382" s="551"/>
      <c r="AJ382" s="551"/>
      <c r="AK382" s="551"/>
      <c r="AL382" s="551"/>
      <c r="AM382" s="551"/>
      <c r="AN382" s="551"/>
      <c r="AO382" s="551"/>
      <c r="AP382" s="551"/>
      <c r="AQ382" s="551"/>
      <c r="AR382" s="551"/>
      <c r="AS382" s="551"/>
      <c r="AT382" s="551"/>
      <c r="AU382" s="551"/>
      <c r="AV382" s="551"/>
      <c r="AW382" s="551"/>
      <c r="AX382" s="551"/>
      <c r="AY382" s="551"/>
      <c r="AZ382" s="551"/>
      <c r="BA382" s="551"/>
      <c r="BB382" s="551"/>
      <c r="BC382" s="551"/>
      <c r="BD382" s="551"/>
      <c r="BE382" s="551"/>
      <c r="BF382" s="551"/>
      <c r="BG382" s="551"/>
      <c r="BH382" s="551"/>
      <c r="BI382" s="551"/>
      <c r="BJ382" s="551"/>
      <c r="BK382" s="551"/>
    </row>
    <row r="383" spans="1:63" ht="12.75" customHeight="1">
      <c r="A383" s="551"/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51"/>
      <c r="AB383" s="551"/>
      <c r="AC383" s="551"/>
      <c r="AD383" s="551"/>
      <c r="AE383" s="551"/>
      <c r="AF383" s="551"/>
      <c r="AG383" s="551"/>
      <c r="AH383" s="551"/>
      <c r="AI383" s="551"/>
      <c r="AJ383" s="551"/>
      <c r="AK383" s="551"/>
      <c r="AL383" s="551"/>
      <c r="AM383" s="551"/>
      <c r="AN383" s="551"/>
      <c r="AO383" s="551"/>
      <c r="AP383" s="551"/>
      <c r="AQ383" s="551"/>
      <c r="AR383" s="551"/>
      <c r="AS383" s="551"/>
      <c r="AT383" s="551"/>
      <c r="AU383" s="551"/>
      <c r="AV383" s="551"/>
      <c r="AW383" s="551"/>
      <c r="AX383" s="551"/>
      <c r="AY383" s="551"/>
      <c r="AZ383" s="551"/>
      <c r="BA383" s="551"/>
      <c r="BB383" s="551"/>
      <c r="BC383" s="551"/>
      <c r="BD383" s="551"/>
      <c r="BE383" s="551"/>
      <c r="BF383" s="551"/>
      <c r="BG383" s="551"/>
      <c r="BH383" s="551"/>
      <c r="BI383" s="551"/>
      <c r="BJ383" s="551"/>
      <c r="BK383" s="551"/>
    </row>
    <row r="384" spans="1:63" ht="12.75" customHeight="1">
      <c r="A384" s="551"/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51"/>
      <c r="AB384" s="551"/>
      <c r="AC384" s="551"/>
      <c r="AD384" s="551"/>
      <c r="AE384" s="551"/>
      <c r="AF384" s="551"/>
      <c r="AG384" s="551"/>
      <c r="AH384" s="551"/>
      <c r="AI384" s="551"/>
      <c r="AJ384" s="551"/>
      <c r="AK384" s="551"/>
      <c r="AL384" s="551"/>
      <c r="AM384" s="551"/>
      <c r="AN384" s="551"/>
      <c r="AO384" s="551"/>
      <c r="AP384" s="551"/>
      <c r="AQ384" s="551"/>
      <c r="AR384" s="551"/>
      <c r="AS384" s="551"/>
      <c r="AT384" s="551"/>
      <c r="AU384" s="551"/>
      <c r="AV384" s="551"/>
      <c r="AW384" s="551"/>
      <c r="AX384" s="551"/>
      <c r="AY384" s="551"/>
      <c r="AZ384" s="551"/>
      <c r="BA384" s="551"/>
      <c r="BB384" s="551"/>
      <c r="BC384" s="551"/>
      <c r="BD384" s="551"/>
      <c r="BE384" s="551"/>
      <c r="BF384" s="551"/>
      <c r="BG384" s="551"/>
      <c r="BH384" s="551"/>
      <c r="BI384" s="551"/>
      <c r="BJ384" s="551"/>
      <c r="BK384" s="551"/>
    </row>
    <row r="385" spans="1:63" ht="12.75" customHeight="1">
      <c r="A385" s="551"/>
      <c r="B385" s="551"/>
      <c r="C385" s="551"/>
      <c r="D385" s="551"/>
      <c r="E385" s="551"/>
      <c r="F385" s="551"/>
      <c r="G385" s="551"/>
      <c r="H385" s="551"/>
      <c r="I385" s="551"/>
      <c r="J385" s="551"/>
      <c r="K385" s="551"/>
      <c r="L385" s="551"/>
      <c r="M385" s="551"/>
      <c r="N385" s="551"/>
      <c r="O385" s="551"/>
      <c r="P385" s="551"/>
      <c r="Q385" s="551"/>
      <c r="R385" s="551"/>
      <c r="S385" s="551"/>
      <c r="T385" s="551"/>
      <c r="U385" s="551"/>
      <c r="V385" s="551"/>
      <c r="W385" s="551"/>
      <c r="X385" s="551"/>
      <c r="Y385" s="551"/>
      <c r="Z385" s="551"/>
      <c r="AA385" s="551"/>
      <c r="AB385" s="551"/>
      <c r="AC385" s="551"/>
      <c r="AD385" s="551"/>
      <c r="AE385" s="551"/>
      <c r="AF385" s="551"/>
      <c r="AG385" s="551"/>
      <c r="AH385" s="551"/>
      <c r="AI385" s="551"/>
      <c r="AJ385" s="551"/>
      <c r="AK385" s="551"/>
      <c r="AL385" s="551"/>
      <c r="AM385" s="551"/>
      <c r="AN385" s="551"/>
      <c r="AO385" s="551"/>
      <c r="AP385" s="551"/>
      <c r="AQ385" s="551"/>
      <c r="AR385" s="551"/>
      <c r="AS385" s="551"/>
      <c r="AT385" s="551"/>
      <c r="AU385" s="551"/>
      <c r="AV385" s="551"/>
      <c r="AW385" s="551"/>
      <c r="AX385" s="551"/>
      <c r="AY385" s="551"/>
      <c r="AZ385" s="551"/>
      <c r="BA385" s="551"/>
      <c r="BB385" s="551"/>
      <c r="BC385" s="551"/>
      <c r="BD385" s="551"/>
      <c r="BE385" s="551"/>
      <c r="BF385" s="551"/>
      <c r="BG385" s="551"/>
      <c r="BH385" s="551"/>
      <c r="BI385" s="551"/>
      <c r="BJ385" s="551"/>
      <c r="BK385" s="551"/>
    </row>
    <row r="386" spans="1:63" ht="12.75" customHeight="1">
      <c r="A386" s="551"/>
      <c r="B386" s="551"/>
      <c r="C386" s="551"/>
      <c r="D386" s="551"/>
      <c r="E386" s="551"/>
      <c r="F386" s="551"/>
      <c r="G386" s="551"/>
      <c r="H386" s="551"/>
      <c r="I386" s="551"/>
      <c r="J386" s="551"/>
      <c r="K386" s="551"/>
      <c r="L386" s="551"/>
      <c r="M386" s="551"/>
      <c r="N386" s="551"/>
      <c r="O386" s="551"/>
      <c r="P386" s="551"/>
      <c r="Q386" s="551"/>
      <c r="R386" s="551"/>
      <c r="S386" s="551"/>
      <c r="T386" s="551"/>
      <c r="U386" s="551"/>
      <c r="V386" s="551"/>
      <c r="W386" s="551"/>
      <c r="X386" s="551"/>
      <c r="Y386" s="551"/>
      <c r="Z386" s="551"/>
      <c r="AA386" s="551"/>
      <c r="AB386" s="551"/>
      <c r="AC386" s="551"/>
      <c r="AD386" s="551"/>
      <c r="AE386" s="551"/>
      <c r="AF386" s="551"/>
      <c r="AG386" s="551"/>
      <c r="AH386" s="551"/>
      <c r="AI386" s="551"/>
      <c r="AJ386" s="551"/>
      <c r="AK386" s="551"/>
      <c r="AL386" s="551"/>
      <c r="AM386" s="551"/>
      <c r="AN386" s="551"/>
      <c r="AO386" s="551"/>
      <c r="AP386" s="551"/>
      <c r="AQ386" s="551"/>
      <c r="AR386" s="551"/>
      <c r="AS386" s="551"/>
      <c r="AT386" s="551"/>
      <c r="AU386" s="551"/>
      <c r="AV386" s="551"/>
      <c r="AW386" s="551"/>
      <c r="AX386" s="551"/>
      <c r="AY386" s="551"/>
      <c r="AZ386" s="551"/>
      <c r="BA386" s="551"/>
      <c r="BB386" s="551"/>
      <c r="BC386" s="551"/>
      <c r="BD386" s="551"/>
      <c r="BE386" s="551"/>
      <c r="BF386" s="551"/>
      <c r="BG386" s="551"/>
      <c r="BH386" s="551"/>
      <c r="BI386" s="551"/>
      <c r="BJ386" s="551"/>
      <c r="BK386" s="551"/>
    </row>
    <row r="387" spans="1:63" ht="12.75" customHeight="1">
      <c r="A387" s="551"/>
      <c r="B387" s="551"/>
      <c r="C387" s="551"/>
      <c r="D387" s="551"/>
      <c r="E387" s="551"/>
      <c r="F387" s="551"/>
      <c r="G387" s="551"/>
      <c r="H387" s="551"/>
      <c r="I387" s="551"/>
      <c r="J387" s="551"/>
      <c r="K387" s="551"/>
      <c r="L387" s="551"/>
      <c r="M387" s="551"/>
      <c r="N387" s="551"/>
      <c r="O387" s="551"/>
      <c r="P387" s="551"/>
      <c r="Q387" s="551"/>
      <c r="R387" s="551"/>
      <c r="S387" s="551"/>
      <c r="T387" s="551"/>
      <c r="U387" s="551"/>
      <c r="V387" s="551"/>
      <c r="W387" s="551"/>
      <c r="X387" s="551"/>
      <c r="Y387" s="551"/>
      <c r="Z387" s="551"/>
      <c r="AA387" s="551"/>
      <c r="AB387" s="551"/>
      <c r="AC387" s="551"/>
      <c r="AD387" s="551"/>
      <c r="AE387" s="551"/>
      <c r="AF387" s="551"/>
      <c r="AG387" s="551"/>
      <c r="AH387" s="551"/>
      <c r="AI387" s="551"/>
      <c r="AJ387" s="551"/>
      <c r="AK387" s="551"/>
      <c r="AL387" s="551"/>
      <c r="AM387" s="551"/>
      <c r="AN387" s="551"/>
      <c r="AO387" s="551"/>
      <c r="AP387" s="551"/>
      <c r="AQ387" s="551"/>
      <c r="AR387" s="551"/>
      <c r="AS387" s="551"/>
      <c r="AT387" s="551"/>
      <c r="AU387" s="551"/>
      <c r="AV387" s="551"/>
      <c r="AW387" s="551"/>
      <c r="AX387" s="551"/>
      <c r="AY387" s="551"/>
      <c r="AZ387" s="551"/>
      <c r="BA387" s="551"/>
      <c r="BB387" s="551"/>
      <c r="BC387" s="551"/>
      <c r="BD387" s="551"/>
      <c r="BE387" s="551"/>
      <c r="BF387" s="551"/>
      <c r="BG387" s="551"/>
      <c r="BH387" s="551"/>
      <c r="BI387" s="551"/>
      <c r="BJ387" s="551"/>
      <c r="BK387" s="551"/>
    </row>
    <row r="388" spans="1:63" ht="12.75" customHeight="1">
      <c r="A388" s="551"/>
      <c r="B388" s="551"/>
      <c r="C388" s="551"/>
      <c r="D388" s="551"/>
      <c r="E388" s="551"/>
      <c r="F388" s="551"/>
      <c r="G388" s="551"/>
      <c r="H388" s="551"/>
      <c r="I388" s="551"/>
      <c r="J388" s="551"/>
      <c r="K388" s="551"/>
      <c r="L388" s="551"/>
      <c r="M388" s="551"/>
      <c r="N388" s="551"/>
      <c r="O388" s="551"/>
      <c r="P388" s="551"/>
      <c r="Q388" s="551"/>
      <c r="R388" s="551"/>
      <c r="S388" s="551"/>
      <c r="T388" s="551"/>
      <c r="U388" s="551"/>
      <c r="V388" s="551"/>
      <c r="W388" s="551"/>
      <c r="X388" s="551"/>
      <c r="Y388" s="551"/>
      <c r="Z388" s="551"/>
      <c r="AA388" s="551"/>
      <c r="AB388" s="551"/>
      <c r="AC388" s="551"/>
      <c r="AD388" s="551"/>
      <c r="AE388" s="551"/>
      <c r="AF388" s="551"/>
      <c r="AG388" s="551"/>
      <c r="AH388" s="551"/>
      <c r="AI388" s="551"/>
      <c r="AJ388" s="551"/>
      <c r="AK388" s="551"/>
      <c r="AL388" s="551"/>
      <c r="AM388" s="551"/>
      <c r="AN388" s="551"/>
      <c r="AO388" s="551"/>
      <c r="AP388" s="551"/>
      <c r="AQ388" s="551"/>
      <c r="AR388" s="551"/>
      <c r="AS388" s="551"/>
      <c r="AT388" s="551"/>
      <c r="AU388" s="551"/>
      <c r="AV388" s="551"/>
      <c r="AW388" s="551"/>
      <c r="AX388" s="551"/>
      <c r="AY388" s="551"/>
      <c r="AZ388" s="551"/>
      <c r="BA388" s="551"/>
      <c r="BB388" s="551"/>
      <c r="BC388" s="551"/>
      <c r="BD388" s="551"/>
      <c r="BE388" s="551"/>
      <c r="BF388" s="551"/>
      <c r="BG388" s="551"/>
      <c r="BH388" s="551"/>
      <c r="BI388" s="551"/>
      <c r="BJ388" s="551"/>
      <c r="BK388" s="551"/>
    </row>
    <row r="389" spans="1:63" ht="12.75" customHeight="1">
      <c r="A389" s="551"/>
      <c r="B389" s="551"/>
      <c r="C389" s="551"/>
      <c r="D389" s="551"/>
      <c r="E389" s="551"/>
      <c r="F389" s="551"/>
      <c r="G389" s="551"/>
      <c r="H389" s="551"/>
      <c r="I389" s="551"/>
      <c r="J389" s="551"/>
      <c r="K389" s="551"/>
      <c r="L389" s="551"/>
      <c r="M389" s="551"/>
      <c r="N389" s="551"/>
      <c r="O389" s="551"/>
      <c r="P389" s="551"/>
      <c r="Q389" s="551"/>
      <c r="R389" s="551"/>
      <c r="S389" s="551"/>
      <c r="T389" s="551"/>
      <c r="U389" s="551"/>
      <c r="V389" s="551"/>
      <c r="W389" s="551"/>
      <c r="X389" s="551"/>
      <c r="Y389" s="551"/>
      <c r="Z389" s="551"/>
      <c r="AA389" s="551"/>
      <c r="AB389" s="551"/>
      <c r="AC389" s="551"/>
      <c r="AD389" s="551"/>
      <c r="AE389" s="551"/>
      <c r="AF389" s="551"/>
      <c r="AG389" s="551"/>
      <c r="AH389" s="551"/>
      <c r="AI389" s="551"/>
      <c r="AJ389" s="551"/>
      <c r="AK389" s="551"/>
      <c r="AL389" s="551"/>
      <c r="AM389" s="551"/>
      <c r="AN389" s="551"/>
      <c r="AO389" s="551"/>
      <c r="AP389" s="551"/>
      <c r="AQ389" s="551"/>
      <c r="AR389" s="551"/>
      <c r="AS389" s="551"/>
      <c r="AT389" s="551"/>
      <c r="AU389" s="551"/>
      <c r="AV389" s="551"/>
      <c r="AW389" s="551"/>
      <c r="AX389" s="551"/>
      <c r="AY389" s="551"/>
      <c r="AZ389" s="551"/>
      <c r="BA389" s="551"/>
      <c r="BB389" s="551"/>
      <c r="BC389" s="551"/>
      <c r="BD389" s="551"/>
      <c r="BE389" s="551"/>
      <c r="BF389" s="551"/>
      <c r="BG389" s="551"/>
      <c r="BH389" s="551"/>
      <c r="BI389" s="551"/>
      <c r="BJ389" s="551"/>
      <c r="BK389" s="551"/>
    </row>
    <row r="390" spans="1:63" ht="12.75" customHeight="1">
      <c r="A390" s="551"/>
      <c r="B390" s="551"/>
      <c r="C390" s="551"/>
      <c r="D390" s="551"/>
      <c r="E390" s="551"/>
      <c r="F390" s="551"/>
      <c r="G390" s="551"/>
      <c r="H390" s="551"/>
      <c r="I390" s="551"/>
      <c r="J390" s="551"/>
      <c r="K390" s="551"/>
      <c r="L390" s="551"/>
      <c r="M390" s="551"/>
      <c r="N390" s="551"/>
      <c r="O390" s="551"/>
      <c r="P390" s="551"/>
      <c r="Q390" s="551"/>
      <c r="R390" s="551"/>
      <c r="S390" s="551"/>
      <c r="T390" s="551"/>
      <c r="U390" s="551"/>
      <c r="V390" s="551"/>
      <c r="W390" s="551"/>
      <c r="X390" s="551"/>
      <c r="Y390" s="551"/>
      <c r="Z390" s="551"/>
      <c r="AA390" s="551"/>
      <c r="AB390" s="551"/>
      <c r="AC390" s="551"/>
      <c r="AD390" s="551"/>
      <c r="AE390" s="551"/>
      <c r="AF390" s="551"/>
      <c r="AG390" s="551"/>
      <c r="AH390" s="551"/>
      <c r="AI390" s="551"/>
      <c r="AJ390" s="551"/>
      <c r="AK390" s="551"/>
      <c r="AL390" s="551"/>
      <c r="AM390" s="551"/>
      <c r="AN390" s="551"/>
      <c r="AO390" s="551"/>
      <c r="AP390" s="551"/>
      <c r="AQ390" s="551"/>
      <c r="AR390" s="551"/>
      <c r="AS390" s="551"/>
      <c r="AT390" s="551"/>
      <c r="AU390" s="551"/>
      <c r="AV390" s="551"/>
      <c r="AW390" s="551"/>
      <c r="AX390" s="551"/>
      <c r="AY390" s="551"/>
      <c r="AZ390" s="551"/>
      <c r="BA390" s="551"/>
      <c r="BB390" s="551"/>
      <c r="BC390" s="551"/>
      <c r="BD390" s="551"/>
      <c r="BE390" s="551"/>
      <c r="BF390" s="551"/>
      <c r="BG390" s="551"/>
      <c r="BH390" s="551"/>
      <c r="BI390" s="551"/>
      <c r="BJ390" s="551"/>
      <c r="BK390" s="551"/>
    </row>
    <row r="391" spans="1:63" ht="12.75" customHeight="1">
      <c r="A391" s="551"/>
      <c r="B391" s="551"/>
      <c r="C391" s="551"/>
      <c r="D391" s="551"/>
      <c r="E391" s="551"/>
      <c r="F391" s="551"/>
      <c r="G391" s="551"/>
      <c r="H391" s="551"/>
      <c r="I391" s="551"/>
      <c r="J391" s="551"/>
      <c r="K391" s="551"/>
      <c r="L391" s="551"/>
      <c r="M391" s="551"/>
      <c r="N391" s="551"/>
      <c r="O391" s="551"/>
      <c r="P391" s="551"/>
      <c r="Q391" s="551"/>
      <c r="R391" s="551"/>
      <c r="S391" s="551"/>
      <c r="T391" s="551"/>
      <c r="U391" s="551"/>
      <c r="V391" s="551"/>
      <c r="W391" s="551"/>
      <c r="X391" s="551"/>
      <c r="Y391" s="551"/>
      <c r="Z391" s="551"/>
      <c r="AA391" s="551"/>
      <c r="AB391" s="551"/>
      <c r="AC391" s="551"/>
      <c r="AD391" s="551"/>
      <c r="AE391" s="551"/>
      <c r="AF391" s="551"/>
      <c r="AG391" s="551"/>
      <c r="AH391" s="551"/>
      <c r="AI391" s="551"/>
      <c r="AJ391" s="551"/>
      <c r="AK391" s="551"/>
      <c r="AL391" s="551"/>
      <c r="AM391" s="551"/>
      <c r="AN391" s="551"/>
      <c r="AO391" s="551"/>
      <c r="AP391" s="551"/>
      <c r="AQ391" s="551"/>
      <c r="AR391" s="551"/>
      <c r="AS391" s="551"/>
      <c r="AT391" s="551"/>
      <c r="AU391" s="551"/>
      <c r="AV391" s="551"/>
      <c r="AW391" s="551"/>
      <c r="AX391" s="551"/>
      <c r="AY391" s="551"/>
      <c r="AZ391" s="551"/>
      <c r="BA391" s="551"/>
      <c r="BB391" s="551"/>
      <c r="BC391" s="551"/>
      <c r="BD391" s="551"/>
      <c r="BE391" s="551"/>
      <c r="BF391" s="551"/>
      <c r="BG391" s="551"/>
      <c r="BH391" s="551"/>
      <c r="BI391" s="551"/>
      <c r="BJ391" s="551"/>
      <c r="BK391" s="551"/>
    </row>
    <row r="392" spans="1:63" ht="12.75" customHeight="1">
      <c r="A392" s="551"/>
      <c r="B392" s="551"/>
      <c r="C392" s="551"/>
      <c r="D392" s="551"/>
      <c r="E392" s="551"/>
      <c r="F392" s="551"/>
      <c r="G392" s="551"/>
      <c r="H392" s="551"/>
      <c r="I392" s="551"/>
      <c r="J392" s="551"/>
      <c r="K392" s="551"/>
      <c r="L392" s="551"/>
      <c r="M392" s="551"/>
      <c r="N392" s="551"/>
      <c r="O392" s="551"/>
      <c r="P392" s="551"/>
      <c r="Q392" s="551"/>
      <c r="R392" s="551"/>
      <c r="S392" s="551"/>
      <c r="T392" s="551"/>
      <c r="U392" s="551"/>
      <c r="V392" s="551"/>
      <c r="W392" s="551"/>
      <c r="X392" s="551"/>
      <c r="Y392" s="551"/>
      <c r="Z392" s="551"/>
      <c r="AA392" s="551"/>
      <c r="AB392" s="551"/>
      <c r="AC392" s="551"/>
      <c r="AD392" s="551"/>
      <c r="AE392" s="551"/>
      <c r="AF392" s="551"/>
      <c r="AG392" s="551"/>
      <c r="AH392" s="551"/>
      <c r="AI392" s="551"/>
      <c r="AJ392" s="551"/>
      <c r="AK392" s="551"/>
      <c r="AL392" s="551"/>
      <c r="AM392" s="551"/>
      <c r="AN392" s="551"/>
      <c r="AO392" s="551"/>
      <c r="AP392" s="551"/>
      <c r="AQ392" s="551"/>
      <c r="AR392" s="551"/>
      <c r="AS392" s="551"/>
      <c r="AT392" s="551"/>
      <c r="AU392" s="551"/>
      <c r="AV392" s="551"/>
      <c r="AW392" s="551"/>
      <c r="AX392" s="551"/>
      <c r="AY392" s="551"/>
      <c r="AZ392" s="551"/>
      <c r="BA392" s="551"/>
      <c r="BB392" s="551"/>
      <c r="BC392" s="551"/>
      <c r="BD392" s="551"/>
      <c r="BE392" s="551"/>
      <c r="BF392" s="551"/>
      <c r="BG392" s="551"/>
      <c r="BH392" s="551"/>
      <c r="BI392" s="551"/>
      <c r="BJ392" s="551"/>
      <c r="BK392" s="551"/>
    </row>
    <row r="393" spans="1:63" ht="12.75" customHeight="1">
      <c r="A393" s="551"/>
      <c r="B393" s="551"/>
      <c r="C393" s="551"/>
      <c r="D393" s="551"/>
      <c r="E393" s="551"/>
      <c r="F393" s="551"/>
      <c r="G393" s="551"/>
      <c r="H393" s="551"/>
      <c r="I393" s="551"/>
      <c r="J393" s="551"/>
      <c r="K393" s="551"/>
      <c r="L393" s="551"/>
      <c r="M393" s="551"/>
      <c r="N393" s="551"/>
      <c r="O393" s="551"/>
      <c r="P393" s="551"/>
      <c r="Q393" s="551"/>
      <c r="R393" s="551"/>
      <c r="S393" s="551"/>
      <c r="T393" s="551"/>
      <c r="U393" s="551"/>
      <c r="V393" s="551"/>
      <c r="W393" s="551"/>
      <c r="X393" s="551"/>
      <c r="Y393" s="551"/>
      <c r="Z393" s="551"/>
      <c r="AA393" s="551"/>
      <c r="AB393" s="551"/>
      <c r="AC393" s="551"/>
      <c r="AD393" s="551"/>
      <c r="AE393" s="551"/>
      <c r="AF393" s="551"/>
      <c r="AG393" s="551"/>
      <c r="AH393" s="551"/>
      <c r="AI393" s="551"/>
      <c r="AJ393" s="551"/>
      <c r="AK393" s="551"/>
      <c r="AL393" s="551"/>
      <c r="AM393" s="551"/>
      <c r="AN393" s="551"/>
      <c r="AO393" s="551"/>
      <c r="AP393" s="551"/>
      <c r="AQ393" s="551"/>
      <c r="AR393" s="551"/>
      <c r="AS393" s="551"/>
      <c r="AT393" s="551"/>
      <c r="AU393" s="551"/>
      <c r="AV393" s="551"/>
      <c r="AW393" s="551"/>
      <c r="AX393" s="551"/>
      <c r="AY393" s="551"/>
      <c r="AZ393" s="551"/>
      <c r="BA393" s="551"/>
      <c r="BB393" s="551"/>
      <c r="BC393" s="551"/>
      <c r="BD393" s="551"/>
      <c r="BE393" s="551"/>
      <c r="BF393" s="551"/>
      <c r="BG393" s="551"/>
      <c r="BH393" s="551"/>
      <c r="BI393" s="551"/>
      <c r="BJ393" s="551"/>
      <c r="BK393" s="551"/>
    </row>
    <row r="394" spans="1:63" ht="12.75" customHeight="1">
      <c r="A394" s="551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1"/>
      <c r="P394" s="551"/>
      <c r="Q394" s="551"/>
      <c r="R394" s="551"/>
      <c r="S394" s="551"/>
      <c r="T394" s="551"/>
      <c r="U394" s="551"/>
      <c r="V394" s="551"/>
      <c r="W394" s="551"/>
      <c r="X394" s="551"/>
      <c r="Y394" s="551"/>
      <c r="Z394" s="551"/>
      <c r="AA394" s="551"/>
      <c r="AB394" s="551"/>
      <c r="AC394" s="551"/>
      <c r="AD394" s="551"/>
      <c r="AE394" s="551"/>
      <c r="AF394" s="551"/>
      <c r="AG394" s="551"/>
      <c r="AH394" s="551"/>
      <c r="AI394" s="551"/>
      <c r="AJ394" s="551"/>
      <c r="AK394" s="551"/>
      <c r="AL394" s="551"/>
      <c r="AM394" s="551"/>
      <c r="AN394" s="551"/>
      <c r="AO394" s="551"/>
      <c r="AP394" s="551"/>
      <c r="AQ394" s="551"/>
      <c r="AR394" s="551"/>
      <c r="AS394" s="551"/>
      <c r="AT394" s="551"/>
      <c r="AU394" s="551"/>
      <c r="AV394" s="551"/>
      <c r="AW394" s="551"/>
      <c r="AX394" s="551"/>
      <c r="AY394" s="551"/>
      <c r="AZ394" s="551"/>
      <c r="BA394" s="551"/>
      <c r="BB394" s="551"/>
      <c r="BC394" s="551"/>
      <c r="BD394" s="551"/>
      <c r="BE394" s="551"/>
      <c r="BF394" s="551"/>
      <c r="BG394" s="551"/>
      <c r="BH394" s="551"/>
      <c r="BI394" s="551"/>
      <c r="BJ394" s="551"/>
      <c r="BK394" s="551"/>
    </row>
    <row r="395" spans="1:63" ht="12.75" customHeight="1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1"/>
      <c r="P395" s="551"/>
      <c r="Q395" s="551"/>
      <c r="R395" s="551"/>
      <c r="S395" s="551"/>
      <c r="T395" s="551"/>
      <c r="U395" s="551"/>
      <c r="V395" s="551"/>
      <c r="W395" s="551"/>
      <c r="X395" s="551"/>
      <c r="Y395" s="551"/>
      <c r="Z395" s="551"/>
      <c r="AA395" s="551"/>
      <c r="AB395" s="551"/>
      <c r="AC395" s="551"/>
      <c r="AD395" s="551"/>
      <c r="AE395" s="551"/>
      <c r="AF395" s="551"/>
      <c r="AG395" s="551"/>
      <c r="AH395" s="551"/>
      <c r="AI395" s="551"/>
      <c r="AJ395" s="551"/>
      <c r="AK395" s="551"/>
      <c r="AL395" s="551"/>
      <c r="AM395" s="551"/>
      <c r="AN395" s="551"/>
      <c r="AO395" s="551"/>
      <c r="AP395" s="551"/>
      <c r="AQ395" s="551"/>
      <c r="AR395" s="551"/>
      <c r="AS395" s="551"/>
      <c r="AT395" s="551"/>
      <c r="AU395" s="551"/>
      <c r="AV395" s="551"/>
      <c r="AW395" s="551"/>
      <c r="AX395" s="551"/>
      <c r="AY395" s="551"/>
      <c r="AZ395" s="551"/>
      <c r="BA395" s="551"/>
      <c r="BB395" s="551"/>
      <c r="BC395" s="551"/>
      <c r="BD395" s="551"/>
      <c r="BE395" s="551"/>
      <c r="BF395" s="551"/>
      <c r="BG395" s="551"/>
      <c r="BH395" s="551"/>
      <c r="BI395" s="551"/>
      <c r="BJ395" s="551"/>
      <c r="BK395" s="551"/>
    </row>
    <row r="396" spans="1:63" ht="12.75" customHeight="1">
      <c r="A396" s="551"/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51"/>
      <c r="AB396" s="551"/>
      <c r="AC396" s="551"/>
      <c r="AD396" s="551"/>
      <c r="AE396" s="551"/>
      <c r="AF396" s="551"/>
      <c r="AG396" s="551"/>
      <c r="AH396" s="551"/>
      <c r="AI396" s="551"/>
      <c r="AJ396" s="551"/>
      <c r="AK396" s="551"/>
      <c r="AL396" s="551"/>
      <c r="AM396" s="551"/>
      <c r="AN396" s="551"/>
      <c r="AO396" s="551"/>
      <c r="AP396" s="551"/>
      <c r="AQ396" s="551"/>
      <c r="AR396" s="551"/>
      <c r="AS396" s="551"/>
      <c r="AT396" s="551"/>
      <c r="AU396" s="551"/>
      <c r="AV396" s="551"/>
      <c r="AW396" s="551"/>
      <c r="AX396" s="551"/>
      <c r="AY396" s="551"/>
      <c r="AZ396" s="551"/>
      <c r="BA396" s="551"/>
      <c r="BB396" s="551"/>
      <c r="BC396" s="551"/>
      <c r="BD396" s="551"/>
      <c r="BE396" s="551"/>
      <c r="BF396" s="551"/>
      <c r="BG396" s="551"/>
      <c r="BH396" s="551"/>
      <c r="BI396" s="551"/>
      <c r="BJ396" s="551"/>
      <c r="BK396" s="551"/>
    </row>
    <row r="397" spans="1:63" ht="12.75" customHeight="1">
      <c r="A397" s="551"/>
      <c r="B397" s="551"/>
      <c r="C397" s="551"/>
      <c r="D397" s="551"/>
      <c r="E397" s="551"/>
      <c r="F397" s="551"/>
      <c r="G397" s="551"/>
      <c r="H397" s="551"/>
      <c r="I397" s="551"/>
      <c r="J397" s="551"/>
      <c r="K397" s="551"/>
      <c r="L397" s="551"/>
      <c r="M397" s="551"/>
      <c r="N397" s="551"/>
      <c r="O397" s="551"/>
      <c r="P397" s="551"/>
      <c r="Q397" s="551"/>
      <c r="R397" s="551"/>
      <c r="S397" s="551"/>
      <c r="T397" s="551"/>
      <c r="U397" s="551"/>
      <c r="V397" s="551"/>
      <c r="W397" s="551"/>
      <c r="X397" s="551"/>
      <c r="Y397" s="551"/>
      <c r="Z397" s="551"/>
      <c r="AA397" s="551"/>
      <c r="AB397" s="551"/>
      <c r="AC397" s="551"/>
      <c r="AD397" s="551"/>
      <c r="AE397" s="551"/>
      <c r="AF397" s="551"/>
      <c r="AG397" s="551"/>
      <c r="AH397" s="551"/>
      <c r="AI397" s="551"/>
      <c r="AJ397" s="551"/>
      <c r="AK397" s="551"/>
      <c r="AL397" s="551"/>
      <c r="AM397" s="551"/>
      <c r="AN397" s="551"/>
      <c r="AO397" s="551"/>
      <c r="AP397" s="551"/>
      <c r="AQ397" s="551"/>
      <c r="AR397" s="551"/>
      <c r="AS397" s="551"/>
      <c r="AT397" s="551"/>
      <c r="AU397" s="551"/>
      <c r="AV397" s="551"/>
      <c r="AW397" s="551"/>
      <c r="AX397" s="551"/>
      <c r="AY397" s="551"/>
      <c r="AZ397" s="551"/>
      <c r="BA397" s="551"/>
      <c r="BB397" s="551"/>
      <c r="BC397" s="551"/>
      <c r="BD397" s="551"/>
      <c r="BE397" s="551"/>
      <c r="BF397" s="551"/>
      <c r="BG397" s="551"/>
      <c r="BH397" s="551"/>
      <c r="BI397" s="551"/>
      <c r="BJ397" s="551"/>
      <c r="BK397" s="551"/>
    </row>
    <row r="398" spans="1:63" ht="12.75" customHeight="1">
      <c r="A398" s="551"/>
      <c r="B398" s="551"/>
      <c r="C398" s="551"/>
      <c r="D398" s="551"/>
      <c r="E398" s="551"/>
      <c r="F398" s="551"/>
      <c r="G398" s="551"/>
      <c r="H398" s="551"/>
      <c r="I398" s="551"/>
      <c r="J398" s="551"/>
      <c r="K398" s="551"/>
      <c r="L398" s="551"/>
      <c r="M398" s="551"/>
      <c r="N398" s="551"/>
      <c r="O398" s="551"/>
      <c r="P398" s="551"/>
      <c r="Q398" s="551"/>
      <c r="R398" s="551"/>
      <c r="S398" s="551"/>
      <c r="T398" s="551"/>
      <c r="U398" s="551"/>
      <c r="V398" s="551"/>
      <c r="W398" s="551"/>
      <c r="X398" s="551"/>
      <c r="Y398" s="551"/>
      <c r="Z398" s="551"/>
      <c r="AA398" s="551"/>
      <c r="AB398" s="551"/>
      <c r="AC398" s="551"/>
      <c r="AD398" s="551"/>
      <c r="AE398" s="551"/>
      <c r="AF398" s="551"/>
      <c r="AG398" s="551"/>
      <c r="AH398" s="551"/>
      <c r="AI398" s="551"/>
      <c r="AJ398" s="551"/>
      <c r="AK398" s="551"/>
      <c r="AL398" s="551"/>
      <c r="AM398" s="551"/>
      <c r="AN398" s="551"/>
      <c r="AO398" s="551"/>
      <c r="AP398" s="551"/>
      <c r="AQ398" s="551"/>
      <c r="AR398" s="551"/>
      <c r="AS398" s="551"/>
      <c r="AT398" s="551"/>
      <c r="AU398" s="551"/>
      <c r="AV398" s="551"/>
      <c r="AW398" s="551"/>
      <c r="AX398" s="551"/>
      <c r="AY398" s="551"/>
      <c r="AZ398" s="551"/>
      <c r="BA398" s="551"/>
      <c r="BB398" s="551"/>
      <c r="BC398" s="551"/>
      <c r="BD398" s="551"/>
      <c r="BE398" s="551"/>
      <c r="BF398" s="551"/>
      <c r="BG398" s="551"/>
      <c r="BH398" s="551"/>
      <c r="BI398" s="551"/>
      <c r="BJ398" s="551"/>
      <c r="BK398" s="551"/>
    </row>
    <row r="399" spans="1:63" ht="12.75" customHeight="1">
      <c r="A399" s="551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1"/>
      <c r="P399" s="551"/>
      <c r="Q399" s="551"/>
      <c r="R399" s="551"/>
      <c r="S399" s="551"/>
      <c r="T399" s="551"/>
      <c r="U399" s="551"/>
      <c r="V399" s="551"/>
      <c r="W399" s="551"/>
      <c r="X399" s="551"/>
      <c r="Y399" s="551"/>
      <c r="Z399" s="551"/>
      <c r="AA399" s="551"/>
      <c r="AB399" s="551"/>
      <c r="AC399" s="551"/>
      <c r="AD399" s="551"/>
      <c r="AE399" s="551"/>
      <c r="AF399" s="551"/>
      <c r="AG399" s="551"/>
      <c r="AH399" s="551"/>
      <c r="AI399" s="551"/>
      <c r="AJ399" s="551"/>
      <c r="AK399" s="551"/>
      <c r="AL399" s="551"/>
      <c r="AM399" s="551"/>
      <c r="AN399" s="551"/>
      <c r="AO399" s="551"/>
      <c r="AP399" s="551"/>
      <c r="AQ399" s="551"/>
      <c r="AR399" s="551"/>
      <c r="AS399" s="551"/>
      <c r="AT399" s="551"/>
      <c r="AU399" s="551"/>
      <c r="AV399" s="551"/>
      <c r="AW399" s="551"/>
      <c r="AX399" s="551"/>
      <c r="AY399" s="551"/>
      <c r="AZ399" s="551"/>
      <c r="BA399" s="551"/>
      <c r="BB399" s="551"/>
      <c r="BC399" s="551"/>
      <c r="BD399" s="551"/>
      <c r="BE399" s="551"/>
      <c r="BF399" s="551"/>
      <c r="BG399" s="551"/>
      <c r="BH399" s="551"/>
      <c r="BI399" s="551"/>
      <c r="BJ399" s="551"/>
      <c r="BK399" s="551"/>
    </row>
    <row r="400" spans="1:63" ht="12.75" customHeight="1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1"/>
      <c r="P400" s="551"/>
      <c r="Q400" s="551"/>
      <c r="R400" s="551"/>
      <c r="S400" s="551"/>
      <c r="T400" s="551"/>
      <c r="U400" s="551"/>
      <c r="V400" s="551"/>
      <c r="W400" s="551"/>
      <c r="X400" s="551"/>
      <c r="Y400" s="551"/>
      <c r="Z400" s="551"/>
      <c r="AA400" s="551"/>
      <c r="AB400" s="551"/>
      <c r="AC400" s="551"/>
      <c r="AD400" s="551"/>
      <c r="AE400" s="551"/>
      <c r="AF400" s="551"/>
      <c r="AG400" s="551"/>
      <c r="AH400" s="551"/>
      <c r="AI400" s="551"/>
      <c r="AJ400" s="551"/>
      <c r="AK400" s="551"/>
      <c r="AL400" s="551"/>
      <c r="AM400" s="551"/>
      <c r="AN400" s="551"/>
      <c r="AO400" s="551"/>
      <c r="AP400" s="551"/>
      <c r="AQ400" s="551"/>
      <c r="AR400" s="551"/>
      <c r="AS400" s="551"/>
      <c r="AT400" s="551"/>
      <c r="AU400" s="551"/>
      <c r="AV400" s="551"/>
      <c r="AW400" s="551"/>
      <c r="AX400" s="551"/>
      <c r="AY400" s="551"/>
      <c r="AZ400" s="551"/>
      <c r="BA400" s="551"/>
      <c r="BB400" s="551"/>
      <c r="BC400" s="551"/>
      <c r="BD400" s="551"/>
      <c r="BE400" s="551"/>
      <c r="BF400" s="551"/>
      <c r="BG400" s="551"/>
      <c r="BH400" s="551"/>
      <c r="BI400" s="551"/>
      <c r="BJ400" s="551"/>
      <c r="BK400" s="551"/>
    </row>
    <row r="401" spans="1:63" ht="12.75" customHeight="1">
      <c r="A401" s="551"/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51"/>
      <c r="AB401" s="551"/>
      <c r="AC401" s="551"/>
      <c r="AD401" s="551"/>
      <c r="AE401" s="551"/>
      <c r="AF401" s="551"/>
      <c r="AG401" s="551"/>
      <c r="AH401" s="551"/>
      <c r="AI401" s="551"/>
      <c r="AJ401" s="551"/>
      <c r="AK401" s="551"/>
      <c r="AL401" s="551"/>
      <c r="AM401" s="551"/>
      <c r="AN401" s="551"/>
      <c r="AO401" s="551"/>
      <c r="AP401" s="551"/>
      <c r="AQ401" s="551"/>
      <c r="AR401" s="551"/>
      <c r="AS401" s="551"/>
      <c r="AT401" s="551"/>
      <c r="AU401" s="551"/>
      <c r="AV401" s="551"/>
      <c r="AW401" s="551"/>
      <c r="AX401" s="551"/>
      <c r="AY401" s="551"/>
      <c r="AZ401" s="551"/>
      <c r="BA401" s="551"/>
      <c r="BB401" s="551"/>
      <c r="BC401" s="551"/>
      <c r="BD401" s="551"/>
      <c r="BE401" s="551"/>
      <c r="BF401" s="551"/>
      <c r="BG401" s="551"/>
      <c r="BH401" s="551"/>
      <c r="BI401" s="551"/>
      <c r="BJ401" s="551"/>
      <c r="BK401" s="551"/>
    </row>
    <row r="402" spans="1:63" ht="12.75" customHeight="1">
      <c r="A402" s="551"/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51"/>
      <c r="AB402" s="551"/>
      <c r="AC402" s="551"/>
      <c r="AD402" s="551"/>
      <c r="AE402" s="551"/>
      <c r="AF402" s="551"/>
      <c r="AG402" s="551"/>
      <c r="AH402" s="551"/>
      <c r="AI402" s="551"/>
      <c r="AJ402" s="551"/>
      <c r="AK402" s="551"/>
      <c r="AL402" s="551"/>
      <c r="AM402" s="551"/>
      <c r="AN402" s="551"/>
      <c r="AO402" s="551"/>
      <c r="AP402" s="551"/>
      <c r="AQ402" s="551"/>
      <c r="AR402" s="551"/>
      <c r="AS402" s="551"/>
      <c r="AT402" s="551"/>
      <c r="AU402" s="551"/>
      <c r="AV402" s="551"/>
      <c r="AW402" s="551"/>
      <c r="AX402" s="551"/>
      <c r="AY402" s="551"/>
      <c r="AZ402" s="551"/>
      <c r="BA402" s="551"/>
      <c r="BB402" s="551"/>
      <c r="BC402" s="551"/>
      <c r="BD402" s="551"/>
      <c r="BE402" s="551"/>
      <c r="BF402" s="551"/>
      <c r="BG402" s="551"/>
      <c r="BH402" s="551"/>
      <c r="BI402" s="551"/>
      <c r="BJ402" s="551"/>
      <c r="BK402" s="551"/>
    </row>
    <row r="403" spans="1:63" ht="12.75" customHeight="1">
      <c r="A403" s="551"/>
      <c r="B403" s="551"/>
      <c r="C403" s="551"/>
      <c r="D403" s="551"/>
      <c r="E403" s="551"/>
      <c r="F403" s="551"/>
      <c r="G403" s="551"/>
      <c r="H403" s="551"/>
      <c r="I403" s="551"/>
      <c r="J403" s="551"/>
      <c r="K403" s="551"/>
      <c r="L403" s="551"/>
      <c r="M403" s="551"/>
      <c r="N403" s="551"/>
      <c r="O403" s="551"/>
      <c r="P403" s="551"/>
      <c r="Q403" s="551"/>
      <c r="R403" s="551"/>
      <c r="S403" s="551"/>
      <c r="T403" s="551"/>
      <c r="U403" s="551"/>
      <c r="V403" s="551"/>
      <c r="W403" s="551"/>
      <c r="X403" s="551"/>
      <c r="Y403" s="551"/>
      <c r="Z403" s="551"/>
      <c r="AA403" s="551"/>
      <c r="AB403" s="551"/>
      <c r="AC403" s="551"/>
      <c r="AD403" s="551"/>
      <c r="AE403" s="551"/>
      <c r="AF403" s="551"/>
      <c r="AG403" s="551"/>
      <c r="AH403" s="551"/>
      <c r="AI403" s="551"/>
      <c r="AJ403" s="551"/>
      <c r="AK403" s="551"/>
      <c r="AL403" s="551"/>
      <c r="AM403" s="551"/>
      <c r="AN403" s="551"/>
      <c r="AO403" s="551"/>
      <c r="AP403" s="551"/>
      <c r="AQ403" s="551"/>
      <c r="AR403" s="551"/>
      <c r="AS403" s="551"/>
      <c r="AT403" s="551"/>
      <c r="AU403" s="551"/>
      <c r="AV403" s="551"/>
      <c r="AW403" s="551"/>
      <c r="AX403" s="551"/>
      <c r="AY403" s="551"/>
      <c r="AZ403" s="551"/>
      <c r="BA403" s="551"/>
      <c r="BB403" s="551"/>
      <c r="BC403" s="551"/>
      <c r="BD403" s="551"/>
      <c r="BE403" s="551"/>
      <c r="BF403" s="551"/>
      <c r="BG403" s="551"/>
      <c r="BH403" s="551"/>
      <c r="BI403" s="551"/>
      <c r="BJ403" s="551"/>
      <c r="BK403" s="551"/>
    </row>
    <row r="404" spans="1:63" ht="12.75" customHeight="1">
      <c r="A404" s="551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1"/>
      <c r="P404" s="551"/>
      <c r="Q404" s="551"/>
      <c r="R404" s="551"/>
      <c r="S404" s="551"/>
      <c r="T404" s="551"/>
      <c r="U404" s="551"/>
      <c r="V404" s="551"/>
      <c r="W404" s="551"/>
      <c r="X404" s="551"/>
      <c r="Y404" s="551"/>
      <c r="Z404" s="551"/>
      <c r="AA404" s="551"/>
      <c r="AB404" s="551"/>
      <c r="AC404" s="551"/>
      <c r="AD404" s="551"/>
      <c r="AE404" s="551"/>
      <c r="AF404" s="551"/>
      <c r="AG404" s="551"/>
      <c r="AH404" s="551"/>
      <c r="AI404" s="551"/>
      <c r="AJ404" s="551"/>
      <c r="AK404" s="551"/>
      <c r="AL404" s="551"/>
      <c r="AM404" s="551"/>
      <c r="AN404" s="551"/>
      <c r="AO404" s="551"/>
      <c r="AP404" s="551"/>
      <c r="AQ404" s="551"/>
      <c r="AR404" s="551"/>
      <c r="AS404" s="551"/>
      <c r="AT404" s="551"/>
      <c r="AU404" s="551"/>
      <c r="AV404" s="551"/>
      <c r="AW404" s="551"/>
      <c r="AX404" s="551"/>
      <c r="AY404" s="551"/>
      <c r="AZ404" s="551"/>
      <c r="BA404" s="551"/>
      <c r="BB404" s="551"/>
      <c r="BC404" s="551"/>
      <c r="BD404" s="551"/>
      <c r="BE404" s="551"/>
      <c r="BF404" s="551"/>
      <c r="BG404" s="551"/>
      <c r="BH404" s="551"/>
      <c r="BI404" s="551"/>
      <c r="BJ404" s="551"/>
      <c r="BK404" s="551"/>
    </row>
    <row r="405" spans="1:63" ht="12.75" customHeight="1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1"/>
      <c r="P405" s="551"/>
      <c r="Q405" s="551"/>
      <c r="R405" s="551"/>
      <c r="S405" s="551"/>
      <c r="T405" s="551"/>
      <c r="U405" s="551"/>
      <c r="V405" s="551"/>
      <c r="W405" s="551"/>
      <c r="X405" s="551"/>
      <c r="Y405" s="551"/>
      <c r="Z405" s="551"/>
      <c r="AA405" s="551"/>
      <c r="AB405" s="551"/>
      <c r="AC405" s="551"/>
      <c r="AD405" s="551"/>
      <c r="AE405" s="551"/>
      <c r="AF405" s="551"/>
      <c r="AG405" s="551"/>
      <c r="AH405" s="551"/>
      <c r="AI405" s="551"/>
      <c r="AJ405" s="551"/>
      <c r="AK405" s="551"/>
      <c r="AL405" s="551"/>
      <c r="AM405" s="551"/>
      <c r="AN405" s="551"/>
      <c r="AO405" s="551"/>
      <c r="AP405" s="551"/>
      <c r="AQ405" s="551"/>
      <c r="AR405" s="551"/>
      <c r="AS405" s="551"/>
      <c r="AT405" s="551"/>
      <c r="AU405" s="551"/>
      <c r="AV405" s="551"/>
      <c r="AW405" s="551"/>
      <c r="AX405" s="551"/>
      <c r="AY405" s="551"/>
      <c r="AZ405" s="551"/>
      <c r="BA405" s="551"/>
      <c r="BB405" s="551"/>
      <c r="BC405" s="551"/>
      <c r="BD405" s="551"/>
      <c r="BE405" s="551"/>
      <c r="BF405" s="551"/>
      <c r="BG405" s="551"/>
      <c r="BH405" s="551"/>
      <c r="BI405" s="551"/>
      <c r="BJ405" s="551"/>
      <c r="BK405" s="551"/>
    </row>
    <row r="406" spans="1:63" ht="12.75" customHeight="1">
      <c r="A406" s="551"/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51"/>
      <c r="AB406" s="551"/>
      <c r="AC406" s="551"/>
      <c r="AD406" s="551"/>
      <c r="AE406" s="551"/>
      <c r="AF406" s="551"/>
      <c r="AG406" s="551"/>
      <c r="AH406" s="551"/>
      <c r="AI406" s="551"/>
      <c r="AJ406" s="551"/>
      <c r="AK406" s="551"/>
      <c r="AL406" s="551"/>
      <c r="AM406" s="551"/>
      <c r="AN406" s="551"/>
      <c r="AO406" s="551"/>
      <c r="AP406" s="551"/>
      <c r="AQ406" s="551"/>
      <c r="AR406" s="551"/>
      <c r="AS406" s="551"/>
      <c r="AT406" s="551"/>
      <c r="AU406" s="551"/>
      <c r="AV406" s="551"/>
      <c r="AW406" s="551"/>
      <c r="AX406" s="551"/>
      <c r="AY406" s="551"/>
      <c r="AZ406" s="551"/>
      <c r="BA406" s="551"/>
      <c r="BB406" s="551"/>
      <c r="BC406" s="551"/>
      <c r="BD406" s="551"/>
      <c r="BE406" s="551"/>
      <c r="BF406" s="551"/>
      <c r="BG406" s="551"/>
      <c r="BH406" s="551"/>
      <c r="BI406" s="551"/>
      <c r="BJ406" s="551"/>
      <c r="BK406" s="551"/>
    </row>
    <row r="407" spans="1:63" ht="12.75" customHeight="1">
      <c r="A407" s="551"/>
      <c r="B407" s="551"/>
      <c r="C407" s="551"/>
      <c r="D407" s="551"/>
      <c r="E407" s="551"/>
      <c r="F407" s="551"/>
      <c r="G407" s="551"/>
      <c r="H407" s="551"/>
      <c r="I407" s="551"/>
      <c r="J407" s="551"/>
      <c r="K407" s="551"/>
      <c r="L407" s="551"/>
      <c r="M407" s="551"/>
      <c r="N407" s="551"/>
      <c r="O407" s="551"/>
      <c r="P407" s="551"/>
      <c r="Q407" s="551"/>
      <c r="R407" s="551"/>
      <c r="S407" s="551"/>
      <c r="T407" s="551"/>
      <c r="U407" s="551"/>
      <c r="V407" s="551"/>
      <c r="W407" s="551"/>
      <c r="X407" s="551"/>
      <c r="Y407" s="551"/>
      <c r="Z407" s="551"/>
      <c r="AA407" s="551"/>
      <c r="AB407" s="551"/>
      <c r="AC407" s="551"/>
      <c r="AD407" s="551"/>
      <c r="AE407" s="551"/>
      <c r="AF407" s="551"/>
      <c r="AG407" s="551"/>
      <c r="AH407" s="551"/>
      <c r="AI407" s="551"/>
      <c r="AJ407" s="551"/>
      <c r="AK407" s="551"/>
      <c r="AL407" s="551"/>
      <c r="AM407" s="551"/>
      <c r="AN407" s="551"/>
      <c r="AO407" s="551"/>
      <c r="AP407" s="551"/>
      <c r="AQ407" s="551"/>
      <c r="AR407" s="551"/>
      <c r="AS407" s="551"/>
      <c r="AT407" s="551"/>
      <c r="AU407" s="551"/>
      <c r="AV407" s="551"/>
      <c r="AW407" s="551"/>
      <c r="AX407" s="551"/>
      <c r="AY407" s="551"/>
      <c r="AZ407" s="551"/>
      <c r="BA407" s="551"/>
      <c r="BB407" s="551"/>
      <c r="BC407" s="551"/>
      <c r="BD407" s="551"/>
      <c r="BE407" s="551"/>
      <c r="BF407" s="551"/>
      <c r="BG407" s="551"/>
      <c r="BH407" s="551"/>
      <c r="BI407" s="551"/>
      <c r="BJ407" s="551"/>
      <c r="BK407" s="551"/>
    </row>
    <row r="408" spans="1:63" ht="12.75" customHeight="1">
      <c r="A408" s="551"/>
      <c r="B408" s="551"/>
      <c r="C408" s="551"/>
      <c r="D408" s="551"/>
      <c r="E408" s="551"/>
      <c r="F408" s="551"/>
      <c r="G408" s="551"/>
      <c r="H408" s="551"/>
      <c r="I408" s="551"/>
      <c r="J408" s="551"/>
      <c r="K408" s="551"/>
      <c r="L408" s="551"/>
      <c r="M408" s="551"/>
      <c r="N408" s="551"/>
      <c r="O408" s="551"/>
      <c r="P408" s="551"/>
      <c r="Q408" s="551"/>
      <c r="R408" s="551"/>
      <c r="S408" s="551"/>
      <c r="T408" s="551"/>
      <c r="U408" s="551"/>
      <c r="V408" s="551"/>
      <c r="W408" s="551"/>
      <c r="X408" s="551"/>
      <c r="Y408" s="551"/>
      <c r="Z408" s="551"/>
      <c r="AA408" s="551"/>
      <c r="AB408" s="551"/>
      <c r="AC408" s="551"/>
      <c r="AD408" s="551"/>
      <c r="AE408" s="551"/>
      <c r="AF408" s="551"/>
      <c r="AG408" s="551"/>
      <c r="AH408" s="551"/>
      <c r="AI408" s="551"/>
      <c r="AJ408" s="551"/>
      <c r="AK408" s="551"/>
      <c r="AL408" s="551"/>
      <c r="AM408" s="551"/>
      <c r="AN408" s="551"/>
      <c r="AO408" s="551"/>
      <c r="AP408" s="551"/>
      <c r="AQ408" s="551"/>
      <c r="AR408" s="551"/>
      <c r="AS408" s="551"/>
      <c r="AT408" s="551"/>
      <c r="AU408" s="551"/>
      <c r="AV408" s="551"/>
      <c r="AW408" s="551"/>
      <c r="AX408" s="551"/>
      <c r="AY408" s="551"/>
      <c r="AZ408" s="551"/>
      <c r="BA408" s="551"/>
      <c r="BB408" s="551"/>
      <c r="BC408" s="551"/>
      <c r="BD408" s="551"/>
      <c r="BE408" s="551"/>
      <c r="BF408" s="551"/>
      <c r="BG408" s="551"/>
      <c r="BH408" s="551"/>
      <c r="BI408" s="551"/>
      <c r="BJ408" s="551"/>
      <c r="BK408" s="551"/>
    </row>
    <row r="409" spans="1:63" ht="12.75" customHeight="1">
      <c r="A409" s="551"/>
      <c r="B409" s="551"/>
      <c r="C409" s="551"/>
      <c r="D409" s="551"/>
      <c r="E409" s="551"/>
      <c r="F409" s="551"/>
      <c r="G409" s="551"/>
      <c r="H409" s="551"/>
      <c r="I409" s="551"/>
      <c r="J409" s="551"/>
      <c r="K409" s="551"/>
      <c r="L409" s="551"/>
      <c r="M409" s="551"/>
      <c r="N409" s="551"/>
      <c r="O409" s="551"/>
      <c r="P409" s="551"/>
      <c r="Q409" s="551"/>
      <c r="R409" s="551"/>
      <c r="S409" s="551"/>
      <c r="T409" s="551"/>
      <c r="U409" s="551"/>
      <c r="V409" s="551"/>
      <c r="W409" s="551"/>
      <c r="X409" s="551"/>
      <c r="Y409" s="551"/>
      <c r="Z409" s="551"/>
      <c r="AA409" s="551"/>
      <c r="AB409" s="551"/>
      <c r="AC409" s="551"/>
      <c r="AD409" s="551"/>
      <c r="AE409" s="551"/>
      <c r="AF409" s="551"/>
      <c r="AG409" s="551"/>
      <c r="AH409" s="551"/>
      <c r="AI409" s="551"/>
      <c r="AJ409" s="551"/>
      <c r="AK409" s="551"/>
      <c r="AL409" s="551"/>
      <c r="AM409" s="551"/>
      <c r="AN409" s="551"/>
      <c r="AO409" s="551"/>
      <c r="AP409" s="551"/>
      <c r="AQ409" s="551"/>
      <c r="AR409" s="551"/>
      <c r="AS409" s="551"/>
      <c r="AT409" s="551"/>
      <c r="AU409" s="551"/>
      <c r="AV409" s="551"/>
      <c r="AW409" s="551"/>
      <c r="AX409" s="551"/>
      <c r="AY409" s="551"/>
      <c r="AZ409" s="551"/>
      <c r="BA409" s="551"/>
      <c r="BB409" s="551"/>
      <c r="BC409" s="551"/>
      <c r="BD409" s="551"/>
      <c r="BE409" s="551"/>
      <c r="BF409" s="551"/>
      <c r="BG409" s="551"/>
      <c r="BH409" s="551"/>
      <c r="BI409" s="551"/>
      <c r="BJ409" s="551"/>
      <c r="BK409" s="551"/>
    </row>
    <row r="410" spans="1:63" ht="12.75" customHeight="1">
      <c r="A410" s="551"/>
      <c r="B410" s="551"/>
      <c r="C410" s="551"/>
      <c r="D410" s="551"/>
      <c r="E410" s="551"/>
      <c r="F410" s="551"/>
      <c r="G410" s="551"/>
      <c r="H410" s="551"/>
      <c r="I410" s="551"/>
      <c r="J410" s="551"/>
      <c r="K410" s="551"/>
      <c r="L410" s="551"/>
      <c r="M410" s="551"/>
      <c r="N410" s="551"/>
      <c r="O410" s="551"/>
      <c r="P410" s="551"/>
      <c r="Q410" s="551"/>
      <c r="R410" s="551"/>
      <c r="S410" s="551"/>
      <c r="T410" s="551"/>
      <c r="U410" s="551"/>
      <c r="V410" s="551"/>
      <c r="W410" s="551"/>
      <c r="X410" s="551"/>
      <c r="Y410" s="551"/>
      <c r="Z410" s="551"/>
      <c r="AA410" s="551"/>
      <c r="AB410" s="551"/>
      <c r="AC410" s="551"/>
      <c r="AD410" s="551"/>
      <c r="AE410" s="551"/>
      <c r="AF410" s="551"/>
      <c r="AG410" s="551"/>
      <c r="AH410" s="551"/>
      <c r="AI410" s="551"/>
      <c r="AJ410" s="551"/>
      <c r="AK410" s="551"/>
      <c r="AL410" s="551"/>
      <c r="AM410" s="551"/>
      <c r="AN410" s="551"/>
      <c r="AO410" s="551"/>
      <c r="AP410" s="551"/>
      <c r="AQ410" s="551"/>
      <c r="AR410" s="551"/>
      <c r="AS410" s="551"/>
      <c r="AT410" s="551"/>
      <c r="AU410" s="551"/>
      <c r="AV410" s="551"/>
      <c r="AW410" s="551"/>
      <c r="AX410" s="551"/>
      <c r="AY410" s="551"/>
      <c r="AZ410" s="551"/>
      <c r="BA410" s="551"/>
      <c r="BB410" s="551"/>
      <c r="BC410" s="551"/>
      <c r="BD410" s="551"/>
      <c r="BE410" s="551"/>
      <c r="BF410" s="551"/>
      <c r="BG410" s="551"/>
      <c r="BH410" s="551"/>
      <c r="BI410" s="551"/>
      <c r="BJ410" s="551"/>
      <c r="BK410" s="551"/>
    </row>
    <row r="411" spans="1:63" ht="12.75" customHeight="1">
      <c r="A411" s="551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1"/>
      <c r="P411" s="551"/>
      <c r="Q411" s="551"/>
      <c r="R411" s="551"/>
      <c r="S411" s="551"/>
      <c r="T411" s="551"/>
      <c r="U411" s="551"/>
      <c r="V411" s="551"/>
      <c r="W411" s="551"/>
      <c r="X411" s="551"/>
      <c r="Y411" s="551"/>
      <c r="Z411" s="551"/>
      <c r="AA411" s="551"/>
      <c r="AB411" s="551"/>
      <c r="AC411" s="551"/>
      <c r="AD411" s="551"/>
      <c r="AE411" s="551"/>
      <c r="AF411" s="551"/>
      <c r="AG411" s="551"/>
      <c r="AH411" s="551"/>
      <c r="AI411" s="551"/>
      <c r="AJ411" s="551"/>
      <c r="AK411" s="551"/>
      <c r="AL411" s="551"/>
      <c r="AM411" s="551"/>
      <c r="AN411" s="551"/>
      <c r="AO411" s="551"/>
      <c r="AP411" s="551"/>
      <c r="AQ411" s="551"/>
      <c r="AR411" s="551"/>
      <c r="AS411" s="551"/>
      <c r="AT411" s="551"/>
      <c r="AU411" s="551"/>
      <c r="AV411" s="551"/>
      <c r="AW411" s="551"/>
      <c r="AX411" s="551"/>
      <c r="AY411" s="551"/>
      <c r="AZ411" s="551"/>
      <c r="BA411" s="551"/>
      <c r="BB411" s="551"/>
      <c r="BC411" s="551"/>
      <c r="BD411" s="551"/>
      <c r="BE411" s="551"/>
      <c r="BF411" s="551"/>
      <c r="BG411" s="551"/>
      <c r="BH411" s="551"/>
      <c r="BI411" s="551"/>
      <c r="BJ411" s="551"/>
      <c r="BK411" s="551"/>
    </row>
    <row r="412" spans="1:63" ht="12.75" customHeight="1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1"/>
      <c r="P412" s="551"/>
      <c r="Q412" s="551"/>
      <c r="R412" s="551"/>
      <c r="S412" s="551"/>
      <c r="T412" s="551"/>
      <c r="U412" s="551"/>
      <c r="V412" s="551"/>
      <c r="W412" s="551"/>
      <c r="X412" s="551"/>
      <c r="Y412" s="551"/>
      <c r="Z412" s="551"/>
      <c r="AA412" s="551"/>
      <c r="AB412" s="551"/>
      <c r="AC412" s="551"/>
      <c r="AD412" s="551"/>
      <c r="AE412" s="551"/>
      <c r="AF412" s="551"/>
      <c r="AG412" s="551"/>
      <c r="AH412" s="551"/>
      <c r="AI412" s="551"/>
      <c r="AJ412" s="551"/>
      <c r="AK412" s="551"/>
      <c r="AL412" s="551"/>
      <c r="AM412" s="551"/>
      <c r="AN412" s="551"/>
      <c r="AO412" s="551"/>
      <c r="AP412" s="551"/>
      <c r="AQ412" s="551"/>
      <c r="AR412" s="551"/>
      <c r="AS412" s="551"/>
      <c r="AT412" s="551"/>
      <c r="AU412" s="551"/>
      <c r="AV412" s="551"/>
      <c r="AW412" s="551"/>
      <c r="AX412" s="551"/>
      <c r="AY412" s="551"/>
      <c r="AZ412" s="551"/>
      <c r="BA412" s="551"/>
      <c r="BB412" s="551"/>
      <c r="BC412" s="551"/>
      <c r="BD412" s="551"/>
      <c r="BE412" s="551"/>
      <c r="BF412" s="551"/>
      <c r="BG412" s="551"/>
      <c r="BH412" s="551"/>
      <c r="BI412" s="551"/>
      <c r="BJ412" s="551"/>
      <c r="BK412" s="551"/>
    </row>
    <row r="413" spans="1:63" ht="12.75" customHeight="1">
      <c r="A413" s="551"/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51"/>
      <c r="AB413" s="551"/>
      <c r="AC413" s="551"/>
      <c r="AD413" s="551"/>
      <c r="AE413" s="551"/>
      <c r="AF413" s="551"/>
      <c r="AG413" s="551"/>
      <c r="AH413" s="551"/>
      <c r="AI413" s="551"/>
      <c r="AJ413" s="551"/>
      <c r="AK413" s="551"/>
      <c r="AL413" s="551"/>
      <c r="AM413" s="551"/>
      <c r="AN413" s="551"/>
      <c r="AO413" s="551"/>
      <c r="AP413" s="551"/>
      <c r="AQ413" s="551"/>
      <c r="AR413" s="551"/>
      <c r="AS413" s="551"/>
      <c r="AT413" s="551"/>
      <c r="AU413" s="551"/>
      <c r="AV413" s="551"/>
      <c r="AW413" s="551"/>
      <c r="AX413" s="551"/>
      <c r="AY413" s="551"/>
      <c r="AZ413" s="551"/>
      <c r="BA413" s="551"/>
      <c r="BB413" s="551"/>
      <c r="BC413" s="551"/>
      <c r="BD413" s="551"/>
      <c r="BE413" s="551"/>
      <c r="BF413" s="551"/>
      <c r="BG413" s="551"/>
      <c r="BH413" s="551"/>
      <c r="BI413" s="551"/>
      <c r="BJ413" s="551"/>
      <c r="BK413" s="551"/>
    </row>
    <row r="414" spans="1:63" ht="12.75" customHeight="1">
      <c r="A414" s="551"/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51"/>
      <c r="AB414" s="551"/>
      <c r="AC414" s="551"/>
      <c r="AD414" s="551"/>
      <c r="AE414" s="551"/>
      <c r="AF414" s="551"/>
      <c r="AG414" s="551"/>
      <c r="AH414" s="551"/>
      <c r="AI414" s="551"/>
      <c r="AJ414" s="551"/>
      <c r="AK414" s="551"/>
      <c r="AL414" s="551"/>
      <c r="AM414" s="551"/>
      <c r="AN414" s="551"/>
      <c r="AO414" s="551"/>
      <c r="AP414" s="551"/>
      <c r="AQ414" s="551"/>
      <c r="AR414" s="551"/>
      <c r="AS414" s="551"/>
      <c r="AT414" s="551"/>
      <c r="AU414" s="551"/>
      <c r="AV414" s="551"/>
      <c r="AW414" s="551"/>
      <c r="AX414" s="551"/>
      <c r="AY414" s="551"/>
      <c r="AZ414" s="551"/>
      <c r="BA414" s="551"/>
      <c r="BB414" s="551"/>
      <c r="BC414" s="551"/>
      <c r="BD414" s="551"/>
      <c r="BE414" s="551"/>
      <c r="BF414" s="551"/>
      <c r="BG414" s="551"/>
      <c r="BH414" s="551"/>
      <c r="BI414" s="551"/>
      <c r="BJ414" s="551"/>
      <c r="BK414" s="551"/>
    </row>
    <row r="415" spans="1:63" ht="12.75" customHeight="1">
      <c r="A415" s="551"/>
      <c r="B415" s="551"/>
      <c r="C415" s="551"/>
      <c r="D415" s="551"/>
      <c r="E415" s="551"/>
      <c r="F415" s="551"/>
      <c r="G415" s="551"/>
      <c r="H415" s="551"/>
      <c r="I415" s="551"/>
      <c r="J415" s="551"/>
      <c r="K415" s="551"/>
      <c r="L415" s="551"/>
      <c r="M415" s="551"/>
      <c r="N415" s="551"/>
      <c r="O415" s="551"/>
      <c r="P415" s="551"/>
      <c r="Q415" s="551"/>
      <c r="R415" s="551"/>
      <c r="S415" s="551"/>
      <c r="T415" s="551"/>
      <c r="U415" s="551"/>
      <c r="V415" s="551"/>
      <c r="W415" s="551"/>
      <c r="X415" s="551"/>
      <c r="Y415" s="551"/>
      <c r="Z415" s="551"/>
      <c r="AA415" s="551"/>
      <c r="AB415" s="551"/>
      <c r="AC415" s="551"/>
      <c r="AD415" s="551"/>
      <c r="AE415" s="551"/>
      <c r="AF415" s="551"/>
      <c r="AG415" s="551"/>
      <c r="AH415" s="551"/>
      <c r="AI415" s="551"/>
      <c r="AJ415" s="551"/>
      <c r="AK415" s="551"/>
      <c r="AL415" s="551"/>
      <c r="AM415" s="551"/>
      <c r="AN415" s="551"/>
      <c r="AO415" s="551"/>
      <c r="AP415" s="551"/>
      <c r="AQ415" s="551"/>
      <c r="AR415" s="551"/>
      <c r="AS415" s="551"/>
      <c r="AT415" s="551"/>
      <c r="AU415" s="551"/>
      <c r="AV415" s="551"/>
      <c r="AW415" s="551"/>
      <c r="AX415" s="551"/>
      <c r="AY415" s="551"/>
      <c r="AZ415" s="551"/>
      <c r="BA415" s="551"/>
      <c r="BB415" s="551"/>
      <c r="BC415" s="551"/>
      <c r="BD415" s="551"/>
      <c r="BE415" s="551"/>
      <c r="BF415" s="551"/>
      <c r="BG415" s="551"/>
      <c r="BH415" s="551"/>
      <c r="BI415" s="551"/>
      <c r="BJ415" s="551"/>
      <c r="BK415" s="551"/>
    </row>
    <row r="416" spans="1:63" ht="12.75" customHeight="1">
      <c r="A416" s="551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1"/>
      <c r="P416" s="551"/>
      <c r="Q416" s="551"/>
      <c r="R416" s="551"/>
      <c r="S416" s="551"/>
      <c r="T416" s="551"/>
      <c r="U416" s="551"/>
      <c r="V416" s="551"/>
      <c r="W416" s="551"/>
      <c r="X416" s="551"/>
      <c r="Y416" s="551"/>
      <c r="Z416" s="551"/>
      <c r="AA416" s="551"/>
      <c r="AB416" s="551"/>
      <c r="AC416" s="551"/>
      <c r="AD416" s="551"/>
      <c r="AE416" s="551"/>
      <c r="AF416" s="551"/>
      <c r="AG416" s="551"/>
      <c r="AH416" s="551"/>
      <c r="AI416" s="551"/>
      <c r="AJ416" s="551"/>
      <c r="AK416" s="551"/>
      <c r="AL416" s="551"/>
      <c r="AM416" s="551"/>
      <c r="AN416" s="551"/>
      <c r="AO416" s="551"/>
      <c r="AP416" s="551"/>
      <c r="AQ416" s="551"/>
      <c r="AR416" s="551"/>
      <c r="AS416" s="551"/>
      <c r="AT416" s="551"/>
      <c r="AU416" s="551"/>
      <c r="AV416" s="551"/>
      <c r="AW416" s="551"/>
      <c r="AX416" s="551"/>
      <c r="AY416" s="551"/>
      <c r="AZ416" s="551"/>
      <c r="BA416" s="551"/>
      <c r="BB416" s="551"/>
      <c r="BC416" s="551"/>
      <c r="BD416" s="551"/>
      <c r="BE416" s="551"/>
      <c r="BF416" s="551"/>
      <c r="BG416" s="551"/>
      <c r="BH416" s="551"/>
      <c r="BI416" s="551"/>
      <c r="BJ416" s="551"/>
      <c r="BK416" s="551"/>
    </row>
    <row r="417" spans="1:63" ht="12.75" customHeight="1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1"/>
      <c r="P417" s="551"/>
      <c r="Q417" s="551"/>
      <c r="R417" s="551"/>
      <c r="S417" s="551"/>
      <c r="T417" s="551"/>
      <c r="U417" s="551"/>
      <c r="V417" s="551"/>
      <c r="W417" s="551"/>
      <c r="X417" s="551"/>
      <c r="Y417" s="551"/>
      <c r="Z417" s="551"/>
      <c r="AA417" s="551"/>
      <c r="AB417" s="551"/>
      <c r="AC417" s="551"/>
      <c r="AD417" s="551"/>
      <c r="AE417" s="551"/>
      <c r="AF417" s="551"/>
      <c r="AG417" s="551"/>
      <c r="AH417" s="551"/>
      <c r="AI417" s="551"/>
      <c r="AJ417" s="551"/>
      <c r="AK417" s="551"/>
      <c r="AL417" s="551"/>
      <c r="AM417" s="551"/>
      <c r="AN417" s="551"/>
      <c r="AO417" s="551"/>
      <c r="AP417" s="551"/>
      <c r="AQ417" s="551"/>
      <c r="AR417" s="551"/>
      <c r="AS417" s="551"/>
      <c r="AT417" s="551"/>
      <c r="AU417" s="551"/>
      <c r="AV417" s="551"/>
      <c r="AW417" s="551"/>
      <c r="AX417" s="551"/>
      <c r="AY417" s="551"/>
      <c r="AZ417" s="551"/>
      <c r="BA417" s="551"/>
      <c r="BB417" s="551"/>
      <c r="BC417" s="551"/>
      <c r="BD417" s="551"/>
      <c r="BE417" s="551"/>
      <c r="BF417" s="551"/>
      <c r="BG417" s="551"/>
      <c r="BH417" s="551"/>
      <c r="BI417" s="551"/>
      <c r="BJ417" s="551"/>
      <c r="BK417" s="551"/>
    </row>
    <row r="418" spans="1:63" ht="12.75" customHeight="1">
      <c r="A418" s="551"/>
      <c r="B418" s="551"/>
      <c r="C418" s="551"/>
      <c r="D418" s="551"/>
      <c r="E418" s="551"/>
      <c r="F418" s="551"/>
      <c r="G418" s="551"/>
      <c r="H418" s="551"/>
      <c r="I418" s="551"/>
      <c r="J418" s="551"/>
      <c r="K418" s="551"/>
      <c r="L418" s="551"/>
      <c r="M418" s="551"/>
      <c r="N418" s="551"/>
      <c r="O418" s="551"/>
      <c r="P418" s="551"/>
      <c r="Q418" s="551"/>
      <c r="R418" s="551"/>
      <c r="S418" s="551"/>
      <c r="T418" s="551"/>
      <c r="U418" s="551"/>
      <c r="V418" s="551"/>
      <c r="W418" s="551"/>
      <c r="X418" s="551"/>
      <c r="Y418" s="551"/>
      <c r="Z418" s="551"/>
      <c r="AA418" s="551"/>
      <c r="AB418" s="551"/>
      <c r="AC418" s="551"/>
      <c r="AD418" s="551"/>
      <c r="AE418" s="551"/>
      <c r="AF418" s="551"/>
      <c r="AG418" s="551"/>
      <c r="AH418" s="551"/>
      <c r="AI418" s="551"/>
      <c r="AJ418" s="551"/>
      <c r="AK418" s="551"/>
      <c r="AL418" s="551"/>
      <c r="AM418" s="551"/>
      <c r="AN418" s="551"/>
      <c r="AO418" s="551"/>
      <c r="AP418" s="551"/>
      <c r="AQ418" s="551"/>
      <c r="AR418" s="551"/>
      <c r="AS418" s="551"/>
      <c r="AT418" s="551"/>
      <c r="AU418" s="551"/>
      <c r="AV418" s="551"/>
      <c r="AW418" s="551"/>
      <c r="AX418" s="551"/>
      <c r="AY418" s="551"/>
      <c r="AZ418" s="551"/>
      <c r="BA418" s="551"/>
      <c r="BB418" s="551"/>
      <c r="BC418" s="551"/>
      <c r="BD418" s="551"/>
      <c r="BE418" s="551"/>
      <c r="BF418" s="551"/>
      <c r="BG418" s="551"/>
      <c r="BH418" s="551"/>
      <c r="BI418" s="551"/>
      <c r="BJ418" s="551"/>
      <c r="BK418" s="551"/>
    </row>
    <row r="419" spans="1:63" ht="12.75" customHeight="1">
      <c r="A419" s="551"/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51"/>
      <c r="AB419" s="551"/>
      <c r="AC419" s="551"/>
      <c r="AD419" s="551"/>
      <c r="AE419" s="551"/>
      <c r="AF419" s="551"/>
      <c r="AG419" s="551"/>
      <c r="AH419" s="551"/>
      <c r="AI419" s="551"/>
      <c r="AJ419" s="551"/>
      <c r="AK419" s="551"/>
      <c r="AL419" s="551"/>
      <c r="AM419" s="551"/>
      <c r="AN419" s="551"/>
      <c r="AO419" s="551"/>
      <c r="AP419" s="551"/>
      <c r="AQ419" s="551"/>
      <c r="AR419" s="551"/>
      <c r="AS419" s="551"/>
      <c r="AT419" s="551"/>
      <c r="AU419" s="551"/>
      <c r="AV419" s="551"/>
      <c r="AW419" s="551"/>
      <c r="AX419" s="551"/>
      <c r="AY419" s="551"/>
      <c r="AZ419" s="551"/>
      <c r="BA419" s="551"/>
      <c r="BB419" s="551"/>
      <c r="BC419" s="551"/>
      <c r="BD419" s="551"/>
      <c r="BE419" s="551"/>
      <c r="BF419" s="551"/>
      <c r="BG419" s="551"/>
      <c r="BH419" s="551"/>
      <c r="BI419" s="551"/>
      <c r="BJ419" s="551"/>
      <c r="BK419" s="551"/>
    </row>
    <row r="420" spans="1:63" ht="12.75" customHeight="1">
      <c r="A420" s="551"/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51"/>
      <c r="AB420" s="551"/>
      <c r="AC420" s="551"/>
      <c r="AD420" s="551"/>
      <c r="AE420" s="551"/>
      <c r="AF420" s="551"/>
      <c r="AG420" s="551"/>
      <c r="AH420" s="551"/>
      <c r="AI420" s="551"/>
      <c r="AJ420" s="551"/>
      <c r="AK420" s="551"/>
      <c r="AL420" s="551"/>
      <c r="AM420" s="551"/>
      <c r="AN420" s="551"/>
      <c r="AO420" s="551"/>
      <c r="AP420" s="551"/>
      <c r="AQ420" s="551"/>
      <c r="AR420" s="551"/>
      <c r="AS420" s="551"/>
      <c r="AT420" s="551"/>
      <c r="AU420" s="551"/>
      <c r="AV420" s="551"/>
      <c r="AW420" s="551"/>
      <c r="AX420" s="551"/>
      <c r="AY420" s="551"/>
      <c r="AZ420" s="551"/>
      <c r="BA420" s="551"/>
      <c r="BB420" s="551"/>
      <c r="BC420" s="551"/>
      <c r="BD420" s="551"/>
      <c r="BE420" s="551"/>
      <c r="BF420" s="551"/>
      <c r="BG420" s="551"/>
      <c r="BH420" s="551"/>
      <c r="BI420" s="551"/>
      <c r="BJ420" s="551"/>
      <c r="BK420" s="551"/>
    </row>
    <row r="421" spans="1:63" ht="12.75" customHeight="1">
      <c r="A421" s="551"/>
      <c r="B421" s="551"/>
      <c r="C421" s="551"/>
      <c r="D421" s="551"/>
      <c r="E421" s="551"/>
      <c r="F421" s="551"/>
      <c r="G421" s="551"/>
      <c r="H421" s="551"/>
      <c r="I421" s="551"/>
      <c r="J421" s="551"/>
      <c r="K421" s="551"/>
      <c r="L421" s="551"/>
      <c r="M421" s="551"/>
      <c r="N421" s="551"/>
      <c r="O421" s="551"/>
      <c r="P421" s="551"/>
      <c r="Q421" s="551"/>
      <c r="R421" s="551"/>
      <c r="S421" s="551"/>
      <c r="T421" s="551"/>
      <c r="U421" s="551"/>
      <c r="V421" s="551"/>
      <c r="W421" s="551"/>
      <c r="X421" s="551"/>
      <c r="Y421" s="551"/>
      <c r="Z421" s="551"/>
      <c r="AA421" s="551"/>
      <c r="AB421" s="551"/>
      <c r="AC421" s="551"/>
      <c r="AD421" s="551"/>
      <c r="AE421" s="551"/>
      <c r="AF421" s="551"/>
      <c r="AG421" s="551"/>
      <c r="AH421" s="551"/>
      <c r="AI421" s="551"/>
      <c r="AJ421" s="551"/>
      <c r="AK421" s="551"/>
      <c r="AL421" s="551"/>
      <c r="AM421" s="551"/>
      <c r="AN421" s="551"/>
      <c r="AO421" s="551"/>
      <c r="AP421" s="551"/>
      <c r="AQ421" s="551"/>
      <c r="AR421" s="551"/>
      <c r="AS421" s="551"/>
      <c r="AT421" s="551"/>
      <c r="AU421" s="551"/>
      <c r="AV421" s="551"/>
      <c r="AW421" s="551"/>
      <c r="AX421" s="551"/>
      <c r="AY421" s="551"/>
      <c r="AZ421" s="551"/>
      <c r="BA421" s="551"/>
      <c r="BB421" s="551"/>
      <c r="BC421" s="551"/>
      <c r="BD421" s="551"/>
      <c r="BE421" s="551"/>
      <c r="BF421" s="551"/>
      <c r="BG421" s="551"/>
      <c r="BH421" s="551"/>
      <c r="BI421" s="551"/>
      <c r="BJ421" s="551"/>
      <c r="BK421" s="551"/>
    </row>
    <row r="422" spans="1:63" ht="12.75" customHeight="1">
      <c r="A422" s="551"/>
      <c r="B422" s="551"/>
      <c r="C422" s="551"/>
      <c r="D422" s="551"/>
      <c r="E422" s="551"/>
      <c r="F422" s="551"/>
      <c r="G422" s="551"/>
      <c r="H422" s="551"/>
      <c r="I422" s="551"/>
      <c r="J422" s="551"/>
      <c r="K422" s="551"/>
      <c r="L422" s="551"/>
      <c r="M422" s="551"/>
      <c r="N422" s="551"/>
      <c r="O422" s="551"/>
      <c r="P422" s="551"/>
      <c r="Q422" s="551"/>
      <c r="R422" s="551"/>
      <c r="S422" s="551"/>
      <c r="T422" s="551"/>
      <c r="U422" s="551"/>
      <c r="V422" s="551"/>
      <c r="W422" s="551"/>
      <c r="X422" s="551"/>
      <c r="Y422" s="551"/>
      <c r="Z422" s="551"/>
      <c r="AA422" s="551"/>
      <c r="AB422" s="551"/>
      <c r="AC422" s="551"/>
      <c r="AD422" s="551"/>
      <c r="AE422" s="551"/>
      <c r="AF422" s="551"/>
      <c r="AG422" s="551"/>
      <c r="AH422" s="551"/>
      <c r="AI422" s="551"/>
      <c r="AJ422" s="551"/>
      <c r="AK422" s="551"/>
      <c r="AL422" s="551"/>
      <c r="AM422" s="551"/>
      <c r="AN422" s="551"/>
      <c r="AO422" s="551"/>
      <c r="AP422" s="551"/>
      <c r="AQ422" s="551"/>
      <c r="AR422" s="551"/>
      <c r="AS422" s="551"/>
      <c r="AT422" s="551"/>
      <c r="AU422" s="551"/>
      <c r="AV422" s="551"/>
      <c r="AW422" s="551"/>
      <c r="AX422" s="551"/>
      <c r="AY422" s="551"/>
      <c r="AZ422" s="551"/>
      <c r="BA422" s="551"/>
      <c r="BB422" s="551"/>
      <c r="BC422" s="551"/>
      <c r="BD422" s="551"/>
      <c r="BE422" s="551"/>
      <c r="BF422" s="551"/>
      <c r="BG422" s="551"/>
      <c r="BH422" s="551"/>
      <c r="BI422" s="551"/>
      <c r="BJ422" s="551"/>
      <c r="BK422" s="551"/>
    </row>
    <row r="423" spans="1:63" ht="12.75" customHeight="1">
      <c r="A423" s="551"/>
      <c r="B423" s="551"/>
      <c r="C423" s="551"/>
      <c r="D423" s="551"/>
      <c r="E423" s="551"/>
      <c r="F423" s="551"/>
      <c r="G423" s="551"/>
      <c r="H423" s="551"/>
      <c r="I423" s="551"/>
      <c r="J423" s="551"/>
      <c r="K423" s="551"/>
      <c r="L423" s="551"/>
      <c r="M423" s="551"/>
      <c r="N423" s="551"/>
      <c r="O423" s="551"/>
      <c r="P423" s="551"/>
      <c r="Q423" s="551"/>
      <c r="R423" s="551"/>
      <c r="S423" s="551"/>
      <c r="T423" s="551"/>
      <c r="U423" s="551"/>
      <c r="V423" s="551"/>
      <c r="W423" s="551"/>
      <c r="X423" s="551"/>
      <c r="Y423" s="551"/>
      <c r="Z423" s="551"/>
      <c r="AA423" s="551"/>
      <c r="AB423" s="551"/>
      <c r="AC423" s="551"/>
      <c r="AD423" s="551"/>
      <c r="AE423" s="551"/>
      <c r="AF423" s="551"/>
      <c r="AG423" s="551"/>
      <c r="AH423" s="551"/>
      <c r="AI423" s="551"/>
      <c r="AJ423" s="551"/>
      <c r="AK423" s="551"/>
      <c r="AL423" s="551"/>
      <c r="AM423" s="551"/>
      <c r="AN423" s="551"/>
      <c r="AO423" s="551"/>
      <c r="AP423" s="551"/>
      <c r="AQ423" s="551"/>
      <c r="AR423" s="551"/>
      <c r="AS423" s="551"/>
      <c r="AT423" s="551"/>
      <c r="AU423" s="551"/>
      <c r="AV423" s="551"/>
      <c r="AW423" s="551"/>
      <c r="AX423" s="551"/>
      <c r="AY423" s="551"/>
      <c r="AZ423" s="551"/>
      <c r="BA423" s="551"/>
      <c r="BB423" s="551"/>
      <c r="BC423" s="551"/>
      <c r="BD423" s="551"/>
      <c r="BE423" s="551"/>
      <c r="BF423" s="551"/>
      <c r="BG423" s="551"/>
      <c r="BH423" s="551"/>
      <c r="BI423" s="551"/>
      <c r="BJ423" s="551"/>
      <c r="BK423" s="551"/>
    </row>
    <row r="424" spans="1:63" ht="12.75" customHeight="1">
      <c r="A424" s="551"/>
      <c r="B424" s="551"/>
      <c r="C424" s="551"/>
      <c r="D424" s="551"/>
      <c r="E424" s="551"/>
      <c r="F424" s="551"/>
      <c r="G424" s="551"/>
      <c r="H424" s="551"/>
      <c r="I424" s="551"/>
      <c r="J424" s="551"/>
      <c r="K424" s="551"/>
      <c r="L424" s="551"/>
      <c r="M424" s="551"/>
      <c r="N424" s="551"/>
      <c r="O424" s="551"/>
      <c r="P424" s="551"/>
      <c r="Q424" s="551"/>
      <c r="R424" s="551"/>
      <c r="S424" s="551"/>
      <c r="T424" s="551"/>
      <c r="U424" s="551"/>
      <c r="V424" s="551"/>
      <c r="W424" s="551"/>
      <c r="X424" s="551"/>
      <c r="Y424" s="551"/>
      <c r="Z424" s="551"/>
      <c r="AA424" s="551"/>
      <c r="AB424" s="551"/>
      <c r="AC424" s="551"/>
      <c r="AD424" s="551"/>
      <c r="AE424" s="551"/>
      <c r="AF424" s="551"/>
      <c r="AG424" s="551"/>
      <c r="AH424" s="551"/>
      <c r="AI424" s="551"/>
      <c r="AJ424" s="551"/>
      <c r="AK424" s="551"/>
      <c r="AL424" s="551"/>
      <c r="AM424" s="551"/>
      <c r="AN424" s="551"/>
      <c r="AO424" s="551"/>
      <c r="AP424" s="551"/>
      <c r="AQ424" s="551"/>
      <c r="AR424" s="551"/>
      <c r="AS424" s="551"/>
      <c r="AT424" s="551"/>
      <c r="AU424" s="551"/>
      <c r="AV424" s="551"/>
      <c r="AW424" s="551"/>
      <c r="AX424" s="551"/>
      <c r="AY424" s="551"/>
      <c r="AZ424" s="551"/>
      <c r="BA424" s="551"/>
      <c r="BB424" s="551"/>
      <c r="BC424" s="551"/>
      <c r="BD424" s="551"/>
      <c r="BE424" s="551"/>
      <c r="BF424" s="551"/>
      <c r="BG424" s="551"/>
      <c r="BH424" s="551"/>
      <c r="BI424" s="551"/>
      <c r="BJ424" s="551"/>
      <c r="BK424" s="551"/>
    </row>
    <row r="425" spans="1:63" ht="12.75" customHeight="1">
      <c r="A425" s="551"/>
      <c r="B425" s="551"/>
      <c r="C425" s="551"/>
      <c r="D425" s="551"/>
      <c r="E425" s="551"/>
      <c r="F425" s="551"/>
      <c r="G425" s="551"/>
      <c r="H425" s="551"/>
      <c r="I425" s="551"/>
      <c r="J425" s="551"/>
      <c r="K425" s="551"/>
      <c r="L425" s="551"/>
      <c r="M425" s="551"/>
      <c r="N425" s="551"/>
      <c r="O425" s="551"/>
      <c r="P425" s="551"/>
      <c r="Q425" s="551"/>
      <c r="R425" s="551"/>
      <c r="S425" s="551"/>
      <c r="T425" s="551"/>
      <c r="U425" s="551"/>
      <c r="V425" s="551"/>
      <c r="W425" s="551"/>
      <c r="X425" s="551"/>
      <c r="Y425" s="551"/>
      <c r="Z425" s="551"/>
      <c r="AA425" s="551"/>
      <c r="AB425" s="551"/>
      <c r="AC425" s="551"/>
      <c r="AD425" s="551"/>
      <c r="AE425" s="551"/>
      <c r="AF425" s="551"/>
      <c r="AG425" s="551"/>
      <c r="AH425" s="551"/>
      <c r="AI425" s="551"/>
      <c r="AJ425" s="551"/>
      <c r="AK425" s="551"/>
      <c r="AL425" s="551"/>
      <c r="AM425" s="551"/>
      <c r="AN425" s="551"/>
      <c r="AO425" s="551"/>
      <c r="AP425" s="551"/>
      <c r="AQ425" s="551"/>
      <c r="AR425" s="551"/>
      <c r="AS425" s="551"/>
      <c r="AT425" s="551"/>
      <c r="AU425" s="551"/>
      <c r="AV425" s="551"/>
      <c r="AW425" s="551"/>
      <c r="AX425" s="551"/>
      <c r="AY425" s="551"/>
      <c r="AZ425" s="551"/>
      <c r="BA425" s="551"/>
      <c r="BB425" s="551"/>
      <c r="BC425" s="551"/>
      <c r="BD425" s="551"/>
      <c r="BE425" s="551"/>
      <c r="BF425" s="551"/>
      <c r="BG425" s="551"/>
      <c r="BH425" s="551"/>
      <c r="BI425" s="551"/>
      <c r="BJ425" s="551"/>
      <c r="BK425" s="551"/>
    </row>
    <row r="426" spans="1:63" ht="12.75" customHeight="1">
      <c r="A426" s="551"/>
      <c r="B426" s="551"/>
      <c r="C426" s="551"/>
      <c r="D426" s="551"/>
      <c r="E426" s="551"/>
      <c r="F426" s="551"/>
      <c r="G426" s="551"/>
      <c r="H426" s="551"/>
      <c r="I426" s="551"/>
      <c r="J426" s="551"/>
      <c r="K426" s="551"/>
      <c r="L426" s="551"/>
      <c r="M426" s="551"/>
      <c r="N426" s="551"/>
      <c r="O426" s="551"/>
      <c r="P426" s="551"/>
      <c r="Q426" s="551"/>
      <c r="R426" s="551"/>
      <c r="S426" s="551"/>
      <c r="T426" s="551"/>
      <c r="U426" s="551"/>
      <c r="V426" s="551"/>
      <c r="W426" s="551"/>
      <c r="X426" s="551"/>
      <c r="Y426" s="551"/>
      <c r="Z426" s="551"/>
      <c r="AA426" s="551"/>
      <c r="AB426" s="551"/>
      <c r="AC426" s="551"/>
      <c r="AD426" s="551"/>
      <c r="AE426" s="551"/>
      <c r="AF426" s="551"/>
      <c r="AG426" s="551"/>
      <c r="AH426" s="551"/>
      <c r="AI426" s="551"/>
      <c r="AJ426" s="551"/>
      <c r="AK426" s="551"/>
      <c r="AL426" s="551"/>
      <c r="AM426" s="551"/>
      <c r="AN426" s="551"/>
      <c r="AO426" s="551"/>
      <c r="AP426" s="551"/>
      <c r="AQ426" s="551"/>
      <c r="AR426" s="551"/>
      <c r="AS426" s="551"/>
      <c r="AT426" s="551"/>
      <c r="AU426" s="551"/>
      <c r="AV426" s="551"/>
      <c r="AW426" s="551"/>
      <c r="AX426" s="551"/>
      <c r="AY426" s="551"/>
      <c r="AZ426" s="551"/>
      <c r="BA426" s="551"/>
      <c r="BB426" s="551"/>
      <c r="BC426" s="551"/>
      <c r="BD426" s="551"/>
      <c r="BE426" s="551"/>
      <c r="BF426" s="551"/>
      <c r="BG426" s="551"/>
      <c r="BH426" s="551"/>
      <c r="BI426" s="551"/>
      <c r="BJ426" s="551"/>
      <c r="BK426" s="551"/>
    </row>
    <row r="427" spans="1:63" ht="12.75" customHeight="1">
      <c r="A427" s="551"/>
      <c r="B427" s="551"/>
      <c r="C427" s="551"/>
      <c r="D427" s="551"/>
      <c r="E427" s="551"/>
      <c r="F427" s="551"/>
      <c r="G427" s="551"/>
      <c r="H427" s="551"/>
      <c r="I427" s="551"/>
      <c r="J427" s="551"/>
      <c r="K427" s="551"/>
      <c r="L427" s="551"/>
      <c r="M427" s="551"/>
      <c r="N427" s="551"/>
      <c r="O427" s="551"/>
      <c r="P427" s="551"/>
      <c r="Q427" s="551"/>
      <c r="R427" s="551"/>
      <c r="S427" s="551"/>
      <c r="T427" s="551"/>
      <c r="U427" s="551"/>
      <c r="V427" s="551"/>
      <c r="W427" s="551"/>
      <c r="X427" s="551"/>
      <c r="Y427" s="551"/>
      <c r="Z427" s="551"/>
      <c r="AA427" s="551"/>
      <c r="AB427" s="551"/>
      <c r="AC427" s="551"/>
      <c r="AD427" s="551"/>
      <c r="AE427" s="551"/>
      <c r="AF427" s="551"/>
      <c r="AG427" s="551"/>
      <c r="AH427" s="551"/>
      <c r="AI427" s="551"/>
      <c r="AJ427" s="551"/>
      <c r="AK427" s="551"/>
      <c r="AL427" s="551"/>
      <c r="AM427" s="551"/>
      <c r="AN427" s="551"/>
      <c r="AO427" s="551"/>
      <c r="AP427" s="551"/>
      <c r="AQ427" s="551"/>
      <c r="AR427" s="551"/>
      <c r="AS427" s="551"/>
      <c r="AT427" s="551"/>
      <c r="AU427" s="551"/>
      <c r="AV427" s="551"/>
      <c r="AW427" s="551"/>
      <c r="AX427" s="551"/>
      <c r="AY427" s="551"/>
      <c r="AZ427" s="551"/>
      <c r="BA427" s="551"/>
      <c r="BB427" s="551"/>
      <c r="BC427" s="551"/>
      <c r="BD427" s="551"/>
      <c r="BE427" s="551"/>
      <c r="BF427" s="551"/>
      <c r="BG427" s="551"/>
      <c r="BH427" s="551"/>
      <c r="BI427" s="551"/>
      <c r="BJ427" s="551"/>
      <c r="BK427" s="551"/>
    </row>
    <row r="428" spans="1:63" ht="12.75" customHeight="1">
      <c r="A428" s="551"/>
      <c r="B428" s="551"/>
      <c r="C428" s="551"/>
      <c r="D428" s="551"/>
      <c r="E428" s="551"/>
      <c r="F428" s="551"/>
      <c r="G428" s="551"/>
      <c r="H428" s="551"/>
      <c r="I428" s="551"/>
      <c r="J428" s="551"/>
      <c r="K428" s="551"/>
      <c r="L428" s="551"/>
      <c r="M428" s="551"/>
      <c r="N428" s="551"/>
      <c r="O428" s="551"/>
      <c r="P428" s="551"/>
      <c r="Q428" s="551"/>
      <c r="R428" s="551"/>
      <c r="S428" s="551"/>
      <c r="T428" s="551"/>
      <c r="U428" s="551"/>
      <c r="V428" s="551"/>
      <c r="W428" s="551"/>
      <c r="X428" s="551"/>
      <c r="Y428" s="551"/>
      <c r="Z428" s="551"/>
      <c r="AA428" s="551"/>
      <c r="AB428" s="551"/>
      <c r="AC428" s="551"/>
      <c r="AD428" s="551"/>
      <c r="AE428" s="551"/>
      <c r="AF428" s="551"/>
      <c r="AG428" s="551"/>
      <c r="AH428" s="551"/>
      <c r="AI428" s="551"/>
      <c r="AJ428" s="551"/>
      <c r="AK428" s="551"/>
      <c r="AL428" s="551"/>
      <c r="AM428" s="551"/>
      <c r="AN428" s="551"/>
      <c r="AO428" s="551"/>
      <c r="AP428" s="551"/>
      <c r="AQ428" s="551"/>
      <c r="AR428" s="551"/>
      <c r="AS428" s="551"/>
      <c r="AT428" s="551"/>
      <c r="AU428" s="551"/>
      <c r="AV428" s="551"/>
      <c r="AW428" s="551"/>
      <c r="AX428" s="551"/>
      <c r="AY428" s="551"/>
      <c r="AZ428" s="551"/>
      <c r="BA428" s="551"/>
      <c r="BB428" s="551"/>
      <c r="BC428" s="551"/>
      <c r="BD428" s="551"/>
      <c r="BE428" s="551"/>
      <c r="BF428" s="551"/>
      <c r="BG428" s="551"/>
      <c r="BH428" s="551"/>
      <c r="BI428" s="551"/>
      <c r="BJ428" s="551"/>
      <c r="BK428" s="551"/>
    </row>
    <row r="429" spans="1:63" ht="12.75" customHeight="1">
      <c r="A429" s="551"/>
      <c r="B429" s="551"/>
      <c r="C429" s="551"/>
      <c r="D429" s="551"/>
      <c r="E429" s="551"/>
      <c r="F429" s="551"/>
      <c r="G429" s="551"/>
      <c r="H429" s="551"/>
      <c r="I429" s="551"/>
      <c r="J429" s="551"/>
      <c r="K429" s="551"/>
      <c r="L429" s="551"/>
      <c r="M429" s="551"/>
      <c r="N429" s="551"/>
      <c r="O429" s="551"/>
      <c r="P429" s="551"/>
      <c r="Q429" s="551"/>
      <c r="R429" s="551"/>
      <c r="S429" s="551"/>
      <c r="T429" s="551"/>
      <c r="U429" s="551"/>
      <c r="V429" s="551"/>
      <c r="W429" s="551"/>
      <c r="X429" s="551"/>
      <c r="Y429" s="551"/>
      <c r="Z429" s="551"/>
      <c r="AA429" s="551"/>
      <c r="AB429" s="551"/>
      <c r="AC429" s="551"/>
      <c r="AD429" s="551"/>
      <c r="AE429" s="551"/>
      <c r="AF429" s="551"/>
      <c r="AG429" s="551"/>
      <c r="AH429" s="551"/>
      <c r="AI429" s="551"/>
      <c r="AJ429" s="551"/>
      <c r="AK429" s="551"/>
      <c r="AL429" s="551"/>
      <c r="AM429" s="551"/>
      <c r="AN429" s="551"/>
      <c r="AO429" s="551"/>
      <c r="AP429" s="551"/>
      <c r="AQ429" s="551"/>
      <c r="AR429" s="551"/>
      <c r="AS429" s="551"/>
      <c r="AT429" s="551"/>
      <c r="AU429" s="551"/>
      <c r="AV429" s="551"/>
      <c r="AW429" s="551"/>
      <c r="AX429" s="551"/>
      <c r="AY429" s="551"/>
      <c r="AZ429" s="551"/>
      <c r="BA429" s="551"/>
      <c r="BB429" s="551"/>
      <c r="BC429" s="551"/>
      <c r="BD429" s="551"/>
      <c r="BE429" s="551"/>
      <c r="BF429" s="551"/>
      <c r="BG429" s="551"/>
      <c r="BH429" s="551"/>
      <c r="BI429" s="551"/>
      <c r="BJ429" s="551"/>
      <c r="BK429" s="551"/>
    </row>
    <row r="430" spans="1:63" ht="12.75" customHeight="1">
      <c r="A430" s="551"/>
      <c r="B430" s="551"/>
      <c r="C430" s="551"/>
      <c r="D430" s="551"/>
      <c r="E430" s="551"/>
      <c r="F430" s="551"/>
      <c r="G430" s="551"/>
      <c r="H430" s="551"/>
      <c r="I430" s="551"/>
      <c r="J430" s="551"/>
      <c r="K430" s="551"/>
      <c r="L430" s="551"/>
      <c r="M430" s="551"/>
      <c r="N430" s="551"/>
      <c r="O430" s="551"/>
      <c r="P430" s="551"/>
      <c r="Q430" s="551"/>
      <c r="R430" s="551"/>
      <c r="S430" s="551"/>
      <c r="T430" s="551"/>
      <c r="U430" s="551"/>
      <c r="V430" s="551"/>
      <c r="W430" s="551"/>
      <c r="X430" s="551"/>
      <c r="Y430" s="551"/>
      <c r="Z430" s="551"/>
      <c r="AA430" s="551"/>
      <c r="AB430" s="551"/>
      <c r="AC430" s="551"/>
      <c r="AD430" s="551"/>
      <c r="AE430" s="551"/>
      <c r="AF430" s="551"/>
      <c r="AG430" s="551"/>
      <c r="AH430" s="551"/>
      <c r="AI430" s="551"/>
      <c r="AJ430" s="551"/>
      <c r="AK430" s="551"/>
      <c r="AL430" s="551"/>
      <c r="AM430" s="551"/>
      <c r="AN430" s="551"/>
      <c r="AO430" s="551"/>
      <c r="AP430" s="551"/>
      <c r="AQ430" s="551"/>
      <c r="AR430" s="551"/>
      <c r="AS430" s="551"/>
      <c r="AT430" s="551"/>
      <c r="AU430" s="551"/>
      <c r="AV430" s="551"/>
      <c r="AW430" s="551"/>
      <c r="AX430" s="551"/>
      <c r="AY430" s="551"/>
      <c r="AZ430" s="551"/>
      <c r="BA430" s="551"/>
      <c r="BB430" s="551"/>
      <c r="BC430" s="551"/>
      <c r="BD430" s="551"/>
      <c r="BE430" s="551"/>
      <c r="BF430" s="551"/>
      <c r="BG430" s="551"/>
      <c r="BH430" s="551"/>
      <c r="BI430" s="551"/>
      <c r="BJ430" s="551"/>
      <c r="BK430" s="551"/>
    </row>
    <row r="431" spans="1:63" ht="12.75" customHeight="1">
      <c r="A431" s="551"/>
      <c r="B431" s="551"/>
      <c r="C431" s="551"/>
      <c r="D431" s="551"/>
      <c r="E431" s="551"/>
      <c r="F431" s="551"/>
      <c r="G431" s="551"/>
      <c r="H431" s="551"/>
      <c r="I431" s="551"/>
      <c r="J431" s="551"/>
      <c r="K431" s="551"/>
      <c r="L431" s="551"/>
      <c r="M431" s="551"/>
      <c r="N431" s="551"/>
      <c r="O431" s="551"/>
      <c r="P431" s="551"/>
      <c r="Q431" s="551"/>
      <c r="R431" s="551"/>
      <c r="S431" s="551"/>
      <c r="T431" s="551"/>
      <c r="U431" s="551"/>
      <c r="V431" s="551"/>
      <c r="W431" s="551"/>
      <c r="X431" s="551"/>
      <c r="Y431" s="551"/>
      <c r="Z431" s="551"/>
      <c r="AA431" s="551"/>
      <c r="AB431" s="551"/>
      <c r="AC431" s="551"/>
      <c r="AD431" s="551"/>
      <c r="AE431" s="551"/>
      <c r="AF431" s="551"/>
      <c r="AG431" s="551"/>
      <c r="AH431" s="551"/>
      <c r="AI431" s="551"/>
      <c r="AJ431" s="551"/>
      <c r="AK431" s="551"/>
      <c r="AL431" s="551"/>
      <c r="AM431" s="551"/>
      <c r="AN431" s="551"/>
      <c r="AO431" s="551"/>
      <c r="AP431" s="551"/>
      <c r="AQ431" s="551"/>
      <c r="AR431" s="551"/>
      <c r="AS431" s="551"/>
      <c r="AT431" s="551"/>
      <c r="AU431" s="551"/>
      <c r="AV431" s="551"/>
      <c r="AW431" s="551"/>
      <c r="AX431" s="551"/>
      <c r="AY431" s="551"/>
      <c r="AZ431" s="551"/>
      <c r="BA431" s="551"/>
      <c r="BB431" s="551"/>
      <c r="BC431" s="551"/>
      <c r="BD431" s="551"/>
      <c r="BE431" s="551"/>
      <c r="BF431" s="551"/>
      <c r="BG431" s="551"/>
      <c r="BH431" s="551"/>
      <c r="BI431" s="551"/>
      <c r="BJ431" s="551"/>
      <c r="BK431" s="551"/>
    </row>
    <row r="432" spans="1:63" ht="12.75" customHeight="1">
      <c r="A432" s="551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1"/>
      <c r="P432" s="551"/>
      <c r="Q432" s="551"/>
      <c r="R432" s="551"/>
      <c r="S432" s="551"/>
      <c r="T432" s="551"/>
      <c r="U432" s="551"/>
      <c r="V432" s="551"/>
      <c r="W432" s="551"/>
      <c r="X432" s="551"/>
      <c r="Y432" s="551"/>
      <c r="Z432" s="551"/>
      <c r="AA432" s="551"/>
      <c r="AB432" s="551"/>
      <c r="AC432" s="551"/>
      <c r="AD432" s="551"/>
      <c r="AE432" s="551"/>
      <c r="AF432" s="551"/>
      <c r="AG432" s="551"/>
      <c r="AH432" s="551"/>
      <c r="AI432" s="551"/>
      <c r="AJ432" s="551"/>
      <c r="AK432" s="551"/>
      <c r="AL432" s="551"/>
      <c r="AM432" s="551"/>
      <c r="AN432" s="551"/>
      <c r="AO432" s="551"/>
      <c r="AP432" s="551"/>
      <c r="AQ432" s="551"/>
      <c r="AR432" s="551"/>
      <c r="AS432" s="551"/>
      <c r="AT432" s="551"/>
      <c r="AU432" s="551"/>
      <c r="AV432" s="551"/>
      <c r="AW432" s="551"/>
      <c r="AX432" s="551"/>
      <c r="AY432" s="551"/>
      <c r="AZ432" s="551"/>
      <c r="BA432" s="551"/>
      <c r="BB432" s="551"/>
      <c r="BC432" s="551"/>
      <c r="BD432" s="551"/>
      <c r="BE432" s="551"/>
      <c r="BF432" s="551"/>
      <c r="BG432" s="551"/>
      <c r="BH432" s="551"/>
      <c r="BI432" s="551"/>
      <c r="BJ432" s="551"/>
      <c r="BK432" s="551"/>
    </row>
    <row r="433" spans="1:63" ht="12.75" customHeight="1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1"/>
      <c r="P433" s="551"/>
      <c r="Q433" s="551"/>
      <c r="R433" s="551"/>
      <c r="S433" s="551"/>
      <c r="T433" s="551"/>
      <c r="U433" s="551"/>
      <c r="V433" s="551"/>
      <c r="W433" s="551"/>
      <c r="X433" s="551"/>
      <c r="Y433" s="551"/>
      <c r="Z433" s="551"/>
      <c r="AA433" s="551"/>
      <c r="AB433" s="551"/>
      <c r="AC433" s="551"/>
      <c r="AD433" s="551"/>
      <c r="AE433" s="551"/>
      <c r="AF433" s="551"/>
      <c r="AG433" s="551"/>
      <c r="AH433" s="551"/>
      <c r="AI433" s="551"/>
      <c r="AJ433" s="551"/>
      <c r="AK433" s="551"/>
      <c r="AL433" s="551"/>
      <c r="AM433" s="551"/>
      <c r="AN433" s="551"/>
      <c r="AO433" s="551"/>
      <c r="AP433" s="551"/>
      <c r="AQ433" s="551"/>
      <c r="AR433" s="551"/>
      <c r="AS433" s="551"/>
      <c r="AT433" s="551"/>
      <c r="AU433" s="551"/>
      <c r="AV433" s="551"/>
      <c r="AW433" s="551"/>
      <c r="AX433" s="551"/>
      <c r="AY433" s="551"/>
      <c r="AZ433" s="551"/>
      <c r="BA433" s="551"/>
      <c r="BB433" s="551"/>
      <c r="BC433" s="551"/>
      <c r="BD433" s="551"/>
      <c r="BE433" s="551"/>
      <c r="BF433" s="551"/>
      <c r="BG433" s="551"/>
      <c r="BH433" s="551"/>
      <c r="BI433" s="551"/>
      <c r="BJ433" s="551"/>
      <c r="BK433" s="551"/>
    </row>
    <row r="434" spans="1:63" ht="12.75" customHeight="1">
      <c r="A434" s="551"/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51"/>
      <c r="AB434" s="551"/>
      <c r="AC434" s="551"/>
      <c r="AD434" s="551"/>
      <c r="AE434" s="551"/>
      <c r="AF434" s="551"/>
      <c r="AG434" s="551"/>
      <c r="AH434" s="551"/>
      <c r="AI434" s="551"/>
      <c r="AJ434" s="551"/>
      <c r="AK434" s="551"/>
      <c r="AL434" s="551"/>
      <c r="AM434" s="551"/>
      <c r="AN434" s="551"/>
      <c r="AO434" s="551"/>
      <c r="AP434" s="551"/>
      <c r="AQ434" s="551"/>
      <c r="AR434" s="551"/>
      <c r="AS434" s="551"/>
      <c r="AT434" s="551"/>
      <c r="AU434" s="551"/>
      <c r="AV434" s="551"/>
      <c r="AW434" s="551"/>
      <c r="AX434" s="551"/>
      <c r="AY434" s="551"/>
      <c r="AZ434" s="551"/>
      <c r="BA434" s="551"/>
      <c r="BB434" s="551"/>
      <c r="BC434" s="551"/>
      <c r="BD434" s="551"/>
      <c r="BE434" s="551"/>
      <c r="BF434" s="551"/>
      <c r="BG434" s="551"/>
      <c r="BH434" s="551"/>
      <c r="BI434" s="551"/>
      <c r="BJ434" s="551"/>
      <c r="BK434" s="551"/>
    </row>
    <row r="435" spans="1:63" ht="12.75" customHeight="1">
      <c r="A435" s="551"/>
      <c r="B435" s="551"/>
      <c r="C435" s="551"/>
      <c r="D435" s="551"/>
      <c r="E435" s="551"/>
      <c r="F435" s="551"/>
      <c r="G435" s="551"/>
      <c r="H435" s="551"/>
      <c r="I435" s="551"/>
      <c r="J435" s="551"/>
      <c r="K435" s="551"/>
      <c r="L435" s="551"/>
      <c r="M435" s="551"/>
      <c r="N435" s="551"/>
      <c r="O435" s="551"/>
      <c r="P435" s="551"/>
      <c r="Q435" s="551"/>
      <c r="R435" s="551"/>
      <c r="S435" s="551"/>
      <c r="T435" s="551"/>
      <c r="U435" s="551"/>
      <c r="V435" s="551"/>
      <c r="W435" s="551"/>
      <c r="X435" s="551"/>
      <c r="Y435" s="551"/>
      <c r="Z435" s="551"/>
      <c r="AA435" s="551"/>
      <c r="AB435" s="551"/>
      <c r="AC435" s="551"/>
      <c r="AD435" s="551"/>
      <c r="AE435" s="551"/>
      <c r="AF435" s="551"/>
      <c r="AG435" s="551"/>
      <c r="AH435" s="551"/>
      <c r="AI435" s="551"/>
      <c r="AJ435" s="551"/>
      <c r="AK435" s="551"/>
      <c r="AL435" s="551"/>
      <c r="AM435" s="551"/>
      <c r="AN435" s="551"/>
      <c r="AO435" s="551"/>
      <c r="AP435" s="551"/>
      <c r="AQ435" s="551"/>
      <c r="AR435" s="551"/>
      <c r="AS435" s="551"/>
      <c r="AT435" s="551"/>
      <c r="AU435" s="551"/>
      <c r="AV435" s="551"/>
      <c r="AW435" s="551"/>
      <c r="AX435" s="551"/>
      <c r="AY435" s="551"/>
      <c r="AZ435" s="551"/>
      <c r="BA435" s="551"/>
      <c r="BB435" s="551"/>
      <c r="BC435" s="551"/>
      <c r="BD435" s="551"/>
      <c r="BE435" s="551"/>
      <c r="BF435" s="551"/>
      <c r="BG435" s="551"/>
      <c r="BH435" s="551"/>
      <c r="BI435" s="551"/>
      <c r="BJ435" s="551"/>
      <c r="BK435" s="551"/>
    </row>
    <row r="436" spans="1:63" ht="12.75" customHeight="1">
      <c r="A436" s="551"/>
      <c r="B436" s="551"/>
      <c r="C436" s="551"/>
      <c r="D436" s="551"/>
      <c r="E436" s="551"/>
      <c r="F436" s="551"/>
      <c r="G436" s="551"/>
      <c r="H436" s="551"/>
      <c r="I436" s="551"/>
      <c r="J436" s="551"/>
      <c r="K436" s="551"/>
      <c r="L436" s="551"/>
      <c r="M436" s="551"/>
      <c r="N436" s="551"/>
      <c r="O436" s="551"/>
      <c r="P436" s="551"/>
      <c r="Q436" s="551"/>
      <c r="R436" s="551"/>
      <c r="S436" s="551"/>
      <c r="T436" s="551"/>
      <c r="U436" s="551"/>
      <c r="V436" s="551"/>
      <c r="W436" s="551"/>
      <c r="X436" s="551"/>
      <c r="Y436" s="551"/>
      <c r="Z436" s="551"/>
      <c r="AA436" s="551"/>
      <c r="AB436" s="551"/>
      <c r="AC436" s="551"/>
      <c r="AD436" s="551"/>
      <c r="AE436" s="551"/>
      <c r="AF436" s="551"/>
      <c r="AG436" s="551"/>
      <c r="AH436" s="551"/>
      <c r="AI436" s="551"/>
      <c r="AJ436" s="551"/>
      <c r="AK436" s="551"/>
      <c r="AL436" s="551"/>
      <c r="AM436" s="551"/>
      <c r="AN436" s="551"/>
      <c r="AO436" s="551"/>
      <c r="AP436" s="551"/>
      <c r="AQ436" s="551"/>
      <c r="AR436" s="551"/>
      <c r="AS436" s="551"/>
      <c r="AT436" s="551"/>
      <c r="AU436" s="551"/>
      <c r="AV436" s="551"/>
      <c r="AW436" s="551"/>
      <c r="AX436" s="551"/>
      <c r="AY436" s="551"/>
      <c r="AZ436" s="551"/>
      <c r="BA436" s="551"/>
      <c r="BB436" s="551"/>
      <c r="BC436" s="551"/>
      <c r="BD436" s="551"/>
      <c r="BE436" s="551"/>
      <c r="BF436" s="551"/>
      <c r="BG436" s="551"/>
      <c r="BH436" s="551"/>
      <c r="BI436" s="551"/>
      <c r="BJ436" s="551"/>
      <c r="BK436" s="551"/>
    </row>
    <row r="437" spans="1:63" ht="12.75" customHeight="1">
      <c r="A437" s="551"/>
      <c r="B437" s="551"/>
      <c r="C437" s="551"/>
      <c r="D437" s="551"/>
      <c r="E437" s="551"/>
      <c r="F437" s="551"/>
      <c r="G437" s="551"/>
      <c r="H437" s="551"/>
      <c r="I437" s="551"/>
      <c r="J437" s="551"/>
      <c r="K437" s="551"/>
      <c r="L437" s="551"/>
      <c r="M437" s="551"/>
      <c r="N437" s="551"/>
      <c r="O437" s="551"/>
      <c r="P437" s="551"/>
      <c r="Q437" s="551"/>
      <c r="R437" s="551"/>
      <c r="S437" s="551"/>
      <c r="T437" s="551"/>
      <c r="U437" s="551"/>
      <c r="V437" s="551"/>
      <c r="W437" s="551"/>
      <c r="X437" s="551"/>
      <c r="Y437" s="551"/>
      <c r="Z437" s="551"/>
      <c r="AA437" s="551"/>
      <c r="AB437" s="551"/>
      <c r="AC437" s="551"/>
      <c r="AD437" s="551"/>
      <c r="AE437" s="551"/>
      <c r="AF437" s="551"/>
      <c r="AG437" s="551"/>
      <c r="AH437" s="551"/>
      <c r="AI437" s="551"/>
      <c r="AJ437" s="551"/>
      <c r="AK437" s="551"/>
      <c r="AL437" s="551"/>
      <c r="AM437" s="551"/>
      <c r="AN437" s="551"/>
      <c r="AO437" s="551"/>
      <c r="AP437" s="551"/>
      <c r="AQ437" s="551"/>
      <c r="AR437" s="551"/>
      <c r="AS437" s="551"/>
      <c r="AT437" s="551"/>
      <c r="AU437" s="551"/>
      <c r="AV437" s="551"/>
      <c r="AW437" s="551"/>
      <c r="AX437" s="551"/>
      <c r="AY437" s="551"/>
      <c r="AZ437" s="551"/>
      <c r="BA437" s="551"/>
      <c r="BB437" s="551"/>
      <c r="BC437" s="551"/>
      <c r="BD437" s="551"/>
      <c r="BE437" s="551"/>
      <c r="BF437" s="551"/>
      <c r="BG437" s="551"/>
      <c r="BH437" s="551"/>
      <c r="BI437" s="551"/>
      <c r="BJ437" s="551"/>
      <c r="BK437" s="551"/>
    </row>
    <row r="438" spans="1:63" ht="12.75" customHeight="1">
      <c r="A438" s="551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1"/>
      <c r="P438" s="551"/>
      <c r="Q438" s="551"/>
      <c r="R438" s="551"/>
      <c r="S438" s="551"/>
      <c r="T438" s="551"/>
      <c r="U438" s="551"/>
      <c r="V438" s="551"/>
      <c r="W438" s="551"/>
      <c r="X438" s="551"/>
      <c r="Y438" s="551"/>
      <c r="Z438" s="551"/>
      <c r="AA438" s="551"/>
      <c r="AB438" s="551"/>
      <c r="AC438" s="551"/>
      <c r="AD438" s="551"/>
      <c r="AE438" s="551"/>
      <c r="AF438" s="551"/>
      <c r="AG438" s="551"/>
      <c r="AH438" s="551"/>
      <c r="AI438" s="551"/>
      <c r="AJ438" s="551"/>
      <c r="AK438" s="551"/>
      <c r="AL438" s="551"/>
      <c r="AM438" s="551"/>
      <c r="AN438" s="551"/>
      <c r="AO438" s="551"/>
      <c r="AP438" s="551"/>
      <c r="AQ438" s="551"/>
      <c r="AR438" s="551"/>
      <c r="AS438" s="551"/>
      <c r="AT438" s="551"/>
      <c r="AU438" s="551"/>
      <c r="AV438" s="551"/>
      <c r="AW438" s="551"/>
      <c r="AX438" s="551"/>
      <c r="AY438" s="551"/>
      <c r="AZ438" s="551"/>
      <c r="BA438" s="551"/>
      <c r="BB438" s="551"/>
      <c r="BC438" s="551"/>
      <c r="BD438" s="551"/>
      <c r="BE438" s="551"/>
      <c r="BF438" s="551"/>
      <c r="BG438" s="551"/>
      <c r="BH438" s="551"/>
      <c r="BI438" s="551"/>
      <c r="BJ438" s="551"/>
      <c r="BK438" s="551"/>
    </row>
    <row r="439" spans="1:63" ht="12.75" customHeight="1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1"/>
      <c r="P439" s="551"/>
      <c r="Q439" s="551"/>
      <c r="R439" s="551"/>
      <c r="S439" s="551"/>
      <c r="T439" s="551"/>
      <c r="U439" s="551"/>
      <c r="V439" s="551"/>
      <c r="W439" s="551"/>
      <c r="X439" s="551"/>
      <c r="Y439" s="551"/>
      <c r="Z439" s="551"/>
      <c r="AA439" s="551"/>
      <c r="AB439" s="551"/>
      <c r="AC439" s="551"/>
      <c r="AD439" s="551"/>
      <c r="AE439" s="551"/>
      <c r="AF439" s="551"/>
      <c r="AG439" s="551"/>
      <c r="AH439" s="551"/>
      <c r="AI439" s="551"/>
      <c r="AJ439" s="551"/>
      <c r="AK439" s="551"/>
      <c r="AL439" s="551"/>
      <c r="AM439" s="551"/>
      <c r="AN439" s="551"/>
      <c r="AO439" s="551"/>
      <c r="AP439" s="551"/>
      <c r="AQ439" s="551"/>
      <c r="AR439" s="551"/>
      <c r="AS439" s="551"/>
      <c r="AT439" s="551"/>
      <c r="AU439" s="551"/>
      <c r="AV439" s="551"/>
      <c r="AW439" s="551"/>
      <c r="AX439" s="551"/>
      <c r="AY439" s="551"/>
      <c r="AZ439" s="551"/>
      <c r="BA439" s="551"/>
      <c r="BB439" s="551"/>
      <c r="BC439" s="551"/>
      <c r="BD439" s="551"/>
      <c r="BE439" s="551"/>
      <c r="BF439" s="551"/>
      <c r="BG439" s="551"/>
      <c r="BH439" s="551"/>
      <c r="BI439" s="551"/>
      <c r="BJ439" s="551"/>
      <c r="BK439" s="551"/>
    </row>
    <row r="440" spans="1:63" ht="12.75" customHeight="1">
      <c r="A440" s="551"/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51"/>
      <c r="AB440" s="551"/>
      <c r="AC440" s="551"/>
      <c r="AD440" s="551"/>
      <c r="AE440" s="551"/>
      <c r="AF440" s="551"/>
      <c r="AG440" s="551"/>
      <c r="AH440" s="551"/>
      <c r="AI440" s="551"/>
      <c r="AJ440" s="551"/>
      <c r="AK440" s="551"/>
      <c r="AL440" s="551"/>
      <c r="AM440" s="551"/>
      <c r="AN440" s="551"/>
      <c r="AO440" s="551"/>
      <c r="AP440" s="551"/>
      <c r="AQ440" s="551"/>
      <c r="AR440" s="551"/>
      <c r="AS440" s="551"/>
      <c r="AT440" s="551"/>
      <c r="AU440" s="551"/>
      <c r="AV440" s="551"/>
      <c r="AW440" s="551"/>
      <c r="AX440" s="551"/>
      <c r="AY440" s="551"/>
      <c r="AZ440" s="551"/>
      <c r="BA440" s="551"/>
      <c r="BB440" s="551"/>
      <c r="BC440" s="551"/>
      <c r="BD440" s="551"/>
      <c r="BE440" s="551"/>
      <c r="BF440" s="551"/>
      <c r="BG440" s="551"/>
      <c r="BH440" s="551"/>
      <c r="BI440" s="551"/>
      <c r="BJ440" s="551"/>
      <c r="BK440" s="551"/>
    </row>
    <row r="441" spans="1:63" ht="12.75" customHeight="1">
      <c r="A441" s="551"/>
      <c r="B441" s="551"/>
      <c r="C441" s="551"/>
      <c r="D441" s="551"/>
      <c r="E441" s="551"/>
      <c r="F441" s="551"/>
      <c r="G441" s="551"/>
      <c r="H441" s="551"/>
      <c r="I441" s="551"/>
      <c r="J441" s="551"/>
      <c r="K441" s="551"/>
      <c r="L441" s="551"/>
      <c r="M441" s="551"/>
      <c r="N441" s="551"/>
      <c r="O441" s="551"/>
      <c r="P441" s="551"/>
      <c r="Q441" s="551"/>
      <c r="R441" s="551"/>
      <c r="S441" s="551"/>
      <c r="T441" s="551"/>
      <c r="U441" s="551"/>
      <c r="V441" s="551"/>
      <c r="W441" s="551"/>
      <c r="X441" s="551"/>
      <c r="Y441" s="551"/>
      <c r="Z441" s="551"/>
      <c r="AA441" s="551"/>
      <c r="AB441" s="551"/>
      <c r="AC441" s="551"/>
      <c r="AD441" s="551"/>
      <c r="AE441" s="551"/>
      <c r="AF441" s="551"/>
      <c r="AG441" s="551"/>
      <c r="AH441" s="551"/>
      <c r="AI441" s="551"/>
      <c r="AJ441" s="551"/>
      <c r="AK441" s="551"/>
      <c r="AL441" s="551"/>
      <c r="AM441" s="551"/>
      <c r="AN441" s="551"/>
      <c r="AO441" s="551"/>
      <c r="AP441" s="551"/>
      <c r="AQ441" s="551"/>
      <c r="AR441" s="551"/>
      <c r="AS441" s="551"/>
      <c r="AT441" s="551"/>
      <c r="AU441" s="551"/>
      <c r="AV441" s="551"/>
      <c r="AW441" s="551"/>
      <c r="AX441" s="551"/>
      <c r="AY441" s="551"/>
      <c r="AZ441" s="551"/>
      <c r="BA441" s="551"/>
      <c r="BB441" s="551"/>
      <c r="BC441" s="551"/>
      <c r="BD441" s="551"/>
      <c r="BE441" s="551"/>
      <c r="BF441" s="551"/>
      <c r="BG441" s="551"/>
      <c r="BH441" s="551"/>
      <c r="BI441" s="551"/>
      <c r="BJ441" s="551"/>
      <c r="BK441" s="551"/>
    </row>
    <row r="442" spans="1:63" ht="12.75" customHeight="1">
      <c r="A442" s="551"/>
      <c r="B442" s="551"/>
      <c r="C442" s="551"/>
      <c r="D442" s="551"/>
      <c r="E442" s="551"/>
      <c r="F442" s="551"/>
      <c r="G442" s="551"/>
      <c r="H442" s="551"/>
      <c r="I442" s="551"/>
      <c r="J442" s="551"/>
      <c r="K442" s="551"/>
      <c r="L442" s="551"/>
      <c r="M442" s="551"/>
      <c r="N442" s="551"/>
      <c r="O442" s="551"/>
      <c r="P442" s="551"/>
      <c r="Q442" s="551"/>
      <c r="R442" s="551"/>
      <c r="S442" s="551"/>
      <c r="T442" s="551"/>
      <c r="U442" s="551"/>
      <c r="V442" s="551"/>
      <c r="W442" s="551"/>
      <c r="X442" s="551"/>
      <c r="Y442" s="551"/>
      <c r="Z442" s="551"/>
      <c r="AA442" s="551"/>
      <c r="AB442" s="551"/>
      <c r="AC442" s="551"/>
      <c r="AD442" s="551"/>
      <c r="AE442" s="551"/>
      <c r="AF442" s="551"/>
      <c r="AG442" s="551"/>
      <c r="AH442" s="551"/>
      <c r="AI442" s="551"/>
      <c r="AJ442" s="551"/>
      <c r="AK442" s="551"/>
      <c r="AL442" s="551"/>
      <c r="AM442" s="551"/>
      <c r="AN442" s="551"/>
      <c r="AO442" s="551"/>
      <c r="AP442" s="551"/>
      <c r="AQ442" s="551"/>
      <c r="AR442" s="551"/>
      <c r="AS442" s="551"/>
      <c r="AT442" s="551"/>
      <c r="AU442" s="551"/>
      <c r="AV442" s="551"/>
      <c r="AW442" s="551"/>
      <c r="AX442" s="551"/>
      <c r="AY442" s="551"/>
      <c r="AZ442" s="551"/>
      <c r="BA442" s="551"/>
      <c r="BB442" s="551"/>
      <c r="BC442" s="551"/>
      <c r="BD442" s="551"/>
      <c r="BE442" s="551"/>
      <c r="BF442" s="551"/>
      <c r="BG442" s="551"/>
      <c r="BH442" s="551"/>
      <c r="BI442" s="551"/>
      <c r="BJ442" s="551"/>
      <c r="BK442" s="551"/>
    </row>
    <row r="443" spans="1:63" ht="12.75" customHeight="1">
      <c r="A443" s="551"/>
      <c r="B443" s="551"/>
      <c r="C443" s="551"/>
      <c r="D443" s="551"/>
      <c r="E443" s="551"/>
      <c r="F443" s="551"/>
      <c r="G443" s="551"/>
      <c r="H443" s="551"/>
      <c r="I443" s="551"/>
      <c r="J443" s="551"/>
      <c r="K443" s="551"/>
      <c r="L443" s="551"/>
      <c r="M443" s="551"/>
      <c r="N443" s="551"/>
      <c r="O443" s="551"/>
      <c r="P443" s="551"/>
      <c r="Q443" s="551"/>
      <c r="R443" s="551"/>
      <c r="S443" s="551"/>
      <c r="T443" s="551"/>
      <c r="U443" s="551"/>
      <c r="V443" s="551"/>
      <c r="W443" s="551"/>
      <c r="X443" s="551"/>
      <c r="Y443" s="551"/>
      <c r="Z443" s="551"/>
      <c r="AA443" s="551"/>
      <c r="AB443" s="551"/>
      <c r="AC443" s="551"/>
      <c r="AD443" s="551"/>
      <c r="AE443" s="551"/>
      <c r="AF443" s="551"/>
      <c r="AG443" s="551"/>
      <c r="AH443" s="551"/>
      <c r="AI443" s="551"/>
      <c r="AJ443" s="551"/>
      <c r="AK443" s="551"/>
      <c r="AL443" s="551"/>
      <c r="AM443" s="551"/>
      <c r="AN443" s="551"/>
      <c r="AO443" s="551"/>
      <c r="AP443" s="551"/>
      <c r="AQ443" s="551"/>
      <c r="AR443" s="551"/>
      <c r="AS443" s="551"/>
      <c r="AT443" s="551"/>
      <c r="AU443" s="551"/>
      <c r="AV443" s="551"/>
      <c r="AW443" s="551"/>
      <c r="AX443" s="551"/>
      <c r="AY443" s="551"/>
      <c r="AZ443" s="551"/>
      <c r="BA443" s="551"/>
      <c r="BB443" s="551"/>
      <c r="BC443" s="551"/>
      <c r="BD443" s="551"/>
      <c r="BE443" s="551"/>
      <c r="BF443" s="551"/>
      <c r="BG443" s="551"/>
      <c r="BH443" s="551"/>
      <c r="BI443" s="551"/>
      <c r="BJ443" s="551"/>
      <c r="BK443" s="551"/>
    </row>
    <row r="444" spans="1:63" ht="12.75" customHeight="1">
      <c r="A444" s="551"/>
      <c r="B444" s="551"/>
      <c r="C444" s="551"/>
      <c r="D444" s="551"/>
      <c r="E444" s="551"/>
      <c r="F444" s="551"/>
      <c r="G444" s="551"/>
      <c r="H444" s="551"/>
      <c r="I444" s="551"/>
      <c r="J444" s="551"/>
      <c r="K444" s="551"/>
      <c r="L444" s="551"/>
      <c r="M444" s="551"/>
      <c r="N444" s="551"/>
      <c r="O444" s="551"/>
      <c r="P444" s="551"/>
      <c r="Q444" s="551"/>
      <c r="R444" s="551"/>
      <c r="S444" s="551"/>
      <c r="T444" s="551"/>
      <c r="U444" s="551"/>
      <c r="V444" s="551"/>
      <c r="W444" s="551"/>
      <c r="X444" s="551"/>
      <c r="Y444" s="551"/>
      <c r="Z444" s="551"/>
      <c r="AA444" s="551"/>
      <c r="AB444" s="551"/>
      <c r="AC444" s="551"/>
      <c r="AD444" s="551"/>
      <c r="AE444" s="551"/>
      <c r="AF444" s="551"/>
      <c r="AG444" s="551"/>
      <c r="AH444" s="551"/>
      <c r="AI444" s="551"/>
      <c r="AJ444" s="551"/>
      <c r="AK444" s="551"/>
      <c r="AL444" s="551"/>
      <c r="AM444" s="551"/>
      <c r="AN444" s="551"/>
      <c r="AO444" s="551"/>
      <c r="AP444" s="551"/>
      <c r="AQ444" s="551"/>
      <c r="AR444" s="551"/>
      <c r="AS444" s="551"/>
      <c r="AT444" s="551"/>
      <c r="AU444" s="551"/>
      <c r="AV444" s="551"/>
      <c r="AW444" s="551"/>
      <c r="AX444" s="551"/>
      <c r="AY444" s="551"/>
      <c r="AZ444" s="551"/>
      <c r="BA444" s="551"/>
      <c r="BB444" s="551"/>
      <c r="BC444" s="551"/>
      <c r="BD444" s="551"/>
      <c r="BE444" s="551"/>
      <c r="BF444" s="551"/>
      <c r="BG444" s="551"/>
      <c r="BH444" s="551"/>
      <c r="BI444" s="551"/>
      <c r="BJ444" s="551"/>
      <c r="BK444" s="551"/>
    </row>
    <row r="445" spans="1:63" ht="12.75" customHeight="1">
      <c r="A445" s="551"/>
      <c r="B445" s="551"/>
      <c r="C445" s="551"/>
      <c r="D445" s="551"/>
      <c r="E445" s="551"/>
      <c r="F445" s="551"/>
      <c r="G445" s="551"/>
      <c r="H445" s="551"/>
      <c r="I445" s="551"/>
      <c r="J445" s="551"/>
      <c r="K445" s="551"/>
      <c r="L445" s="551"/>
      <c r="M445" s="551"/>
      <c r="N445" s="551"/>
      <c r="O445" s="551"/>
      <c r="P445" s="551"/>
      <c r="Q445" s="551"/>
      <c r="R445" s="551"/>
      <c r="S445" s="551"/>
      <c r="T445" s="551"/>
      <c r="U445" s="551"/>
      <c r="V445" s="551"/>
      <c r="W445" s="551"/>
      <c r="X445" s="551"/>
      <c r="Y445" s="551"/>
      <c r="Z445" s="551"/>
      <c r="AA445" s="551"/>
      <c r="AB445" s="551"/>
      <c r="AC445" s="551"/>
      <c r="AD445" s="551"/>
      <c r="AE445" s="551"/>
      <c r="AF445" s="551"/>
      <c r="AG445" s="551"/>
      <c r="AH445" s="551"/>
      <c r="AI445" s="551"/>
      <c r="AJ445" s="551"/>
      <c r="AK445" s="551"/>
      <c r="AL445" s="551"/>
      <c r="AM445" s="551"/>
      <c r="AN445" s="551"/>
      <c r="AO445" s="551"/>
      <c r="AP445" s="551"/>
      <c r="AQ445" s="551"/>
      <c r="AR445" s="551"/>
      <c r="AS445" s="551"/>
      <c r="AT445" s="551"/>
      <c r="AU445" s="551"/>
      <c r="AV445" s="551"/>
      <c r="AW445" s="551"/>
      <c r="AX445" s="551"/>
      <c r="AY445" s="551"/>
      <c r="AZ445" s="551"/>
      <c r="BA445" s="551"/>
      <c r="BB445" s="551"/>
      <c r="BC445" s="551"/>
      <c r="BD445" s="551"/>
      <c r="BE445" s="551"/>
      <c r="BF445" s="551"/>
      <c r="BG445" s="551"/>
      <c r="BH445" s="551"/>
      <c r="BI445" s="551"/>
      <c r="BJ445" s="551"/>
      <c r="BK445" s="551"/>
    </row>
    <row r="446" spans="1:63" ht="12.75" customHeight="1">
      <c r="A446" s="551"/>
      <c r="B446" s="551"/>
      <c r="C446" s="551"/>
      <c r="D446" s="551"/>
      <c r="E446" s="551"/>
      <c r="F446" s="551"/>
      <c r="G446" s="551"/>
      <c r="H446" s="551"/>
      <c r="I446" s="551"/>
      <c r="J446" s="551"/>
      <c r="K446" s="551"/>
      <c r="L446" s="551"/>
      <c r="M446" s="551"/>
      <c r="N446" s="551"/>
      <c r="O446" s="551"/>
      <c r="P446" s="551"/>
      <c r="Q446" s="551"/>
      <c r="R446" s="551"/>
      <c r="S446" s="551"/>
      <c r="T446" s="551"/>
      <c r="U446" s="551"/>
      <c r="V446" s="551"/>
      <c r="W446" s="551"/>
      <c r="X446" s="551"/>
      <c r="Y446" s="551"/>
      <c r="Z446" s="551"/>
      <c r="AA446" s="551"/>
      <c r="AB446" s="551"/>
      <c r="AC446" s="551"/>
      <c r="AD446" s="551"/>
      <c r="AE446" s="551"/>
      <c r="AF446" s="551"/>
      <c r="AG446" s="551"/>
      <c r="AH446" s="551"/>
      <c r="AI446" s="551"/>
      <c r="AJ446" s="551"/>
      <c r="AK446" s="551"/>
      <c r="AL446" s="551"/>
      <c r="AM446" s="551"/>
      <c r="AN446" s="551"/>
      <c r="AO446" s="551"/>
      <c r="AP446" s="551"/>
      <c r="AQ446" s="551"/>
      <c r="AR446" s="551"/>
      <c r="AS446" s="551"/>
      <c r="AT446" s="551"/>
      <c r="AU446" s="551"/>
      <c r="AV446" s="551"/>
      <c r="AW446" s="551"/>
      <c r="AX446" s="551"/>
      <c r="AY446" s="551"/>
      <c r="AZ446" s="551"/>
      <c r="BA446" s="551"/>
      <c r="BB446" s="551"/>
      <c r="BC446" s="551"/>
      <c r="BD446" s="551"/>
      <c r="BE446" s="551"/>
      <c r="BF446" s="551"/>
      <c r="BG446" s="551"/>
      <c r="BH446" s="551"/>
      <c r="BI446" s="551"/>
      <c r="BJ446" s="551"/>
      <c r="BK446" s="551"/>
    </row>
    <row r="447" spans="1:63" ht="12.75" customHeight="1">
      <c r="A447" s="551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1"/>
      <c r="P447" s="551"/>
      <c r="Q447" s="551"/>
      <c r="R447" s="551"/>
      <c r="S447" s="551"/>
      <c r="T447" s="551"/>
      <c r="U447" s="551"/>
      <c r="V447" s="551"/>
      <c r="W447" s="551"/>
      <c r="X447" s="551"/>
      <c r="Y447" s="551"/>
      <c r="Z447" s="551"/>
      <c r="AA447" s="551"/>
      <c r="AB447" s="551"/>
      <c r="AC447" s="551"/>
      <c r="AD447" s="551"/>
      <c r="AE447" s="551"/>
      <c r="AF447" s="551"/>
      <c r="AG447" s="551"/>
      <c r="AH447" s="551"/>
      <c r="AI447" s="551"/>
      <c r="AJ447" s="551"/>
      <c r="AK447" s="551"/>
      <c r="AL447" s="551"/>
      <c r="AM447" s="551"/>
      <c r="AN447" s="551"/>
      <c r="AO447" s="551"/>
      <c r="AP447" s="551"/>
      <c r="AQ447" s="551"/>
      <c r="AR447" s="551"/>
      <c r="AS447" s="551"/>
      <c r="AT447" s="551"/>
      <c r="AU447" s="551"/>
      <c r="AV447" s="551"/>
      <c r="AW447" s="551"/>
      <c r="AX447" s="551"/>
      <c r="AY447" s="551"/>
      <c r="AZ447" s="551"/>
      <c r="BA447" s="551"/>
      <c r="BB447" s="551"/>
      <c r="BC447" s="551"/>
      <c r="BD447" s="551"/>
      <c r="BE447" s="551"/>
      <c r="BF447" s="551"/>
      <c r="BG447" s="551"/>
      <c r="BH447" s="551"/>
      <c r="BI447" s="551"/>
      <c r="BJ447" s="551"/>
      <c r="BK447" s="551"/>
    </row>
    <row r="448" spans="1:63" ht="12.75" customHeight="1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1"/>
      <c r="P448" s="551"/>
      <c r="Q448" s="551"/>
      <c r="R448" s="551"/>
      <c r="S448" s="551"/>
      <c r="T448" s="551"/>
      <c r="U448" s="551"/>
      <c r="V448" s="551"/>
      <c r="W448" s="551"/>
      <c r="X448" s="551"/>
      <c r="Y448" s="551"/>
      <c r="Z448" s="551"/>
      <c r="AA448" s="551"/>
      <c r="AB448" s="551"/>
      <c r="AC448" s="551"/>
      <c r="AD448" s="551"/>
      <c r="AE448" s="551"/>
      <c r="AF448" s="551"/>
      <c r="AG448" s="551"/>
      <c r="AH448" s="551"/>
      <c r="AI448" s="551"/>
      <c r="AJ448" s="551"/>
      <c r="AK448" s="551"/>
      <c r="AL448" s="551"/>
      <c r="AM448" s="551"/>
      <c r="AN448" s="551"/>
      <c r="AO448" s="551"/>
      <c r="AP448" s="551"/>
      <c r="AQ448" s="551"/>
      <c r="AR448" s="551"/>
      <c r="AS448" s="551"/>
      <c r="AT448" s="551"/>
      <c r="AU448" s="551"/>
      <c r="AV448" s="551"/>
      <c r="AW448" s="551"/>
      <c r="AX448" s="551"/>
      <c r="AY448" s="551"/>
      <c r="AZ448" s="551"/>
      <c r="BA448" s="551"/>
      <c r="BB448" s="551"/>
      <c r="BC448" s="551"/>
      <c r="BD448" s="551"/>
      <c r="BE448" s="551"/>
      <c r="BF448" s="551"/>
      <c r="BG448" s="551"/>
      <c r="BH448" s="551"/>
      <c r="BI448" s="551"/>
      <c r="BJ448" s="551"/>
      <c r="BK448" s="551"/>
    </row>
    <row r="449" spans="1:63" ht="12.75" customHeight="1">
      <c r="A449" s="551"/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51"/>
      <c r="AB449" s="551"/>
      <c r="AC449" s="551"/>
      <c r="AD449" s="551"/>
      <c r="AE449" s="551"/>
      <c r="AF449" s="551"/>
      <c r="AG449" s="551"/>
      <c r="AH449" s="551"/>
      <c r="AI449" s="551"/>
      <c r="AJ449" s="551"/>
      <c r="AK449" s="551"/>
      <c r="AL449" s="551"/>
      <c r="AM449" s="551"/>
      <c r="AN449" s="551"/>
      <c r="AO449" s="551"/>
      <c r="AP449" s="551"/>
      <c r="AQ449" s="551"/>
      <c r="AR449" s="551"/>
      <c r="AS449" s="551"/>
      <c r="AT449" s="551"/>
      <c r="AU449" s="551"/>
      <c r="AV449" s="551"/>
      <c r="AW449" s="551"/>
      <c r="AX449" s="551"/>
      <c r="AY449" s="551"/>
      <c r="AZ449" s="551"/>
      <c r="BA449" s="551"/>
      <c r="BB449" s="551"/>
      <c r="BC449" s="551"/>
      <c r="BD449" s="551"/>
      <c r="BE449" s="551"/>
      <c r="BF449" s="551"/>
      <c r="BG449" s="551"/>
      <c r="BH449" s="551"/>
      <c r="BI449" s="551"/>
      <c r="BJ449" s="551"/>
      <c r="BK449" s="551"/>
    </row>
    <row r="450" spans="1:63" ht="12.75" customHeight="1">
      <c r="A450" s="551"/>
      <c r="B450" s="551"/>
      <c r="C450" s="551"/>
      <c r="D450" s="551"/>
      <c r="E450" s="551"/>
      <c r="F450" s="551"/>
      <c r="G450" s="551"/>
      <c r="H450" s="551"/>
      <c r="I450" s="551"/>
      <c r="J450" s="551"/>
      <c r="K450" s="551"/>
      <c r="L450" s="551"/>
      <c r="M450" s="551"/>
      <c r="N450" s="551"/>
      <c r="O450" s="551"/>
      <c r="P450" s="551"/>
      <c r="Q450" s="551"/>
      <c r="R450" s="551"/>
      <c r="S450" s="551"/>
      <c r="T450" s="551"/>
      <c r="U450" s="551"/>
      <c r="V450" s="551"/>
      <c r="W450" s="551"/>
      <c r="X450" s="551"/>
      <c r="Y450" s="551"/>
      <c r="Z450" s="551"/>
      <c r="AA450" s="551"/>
      <c r="AB450" s="551"/>
      <c r="AC450" s="551"/>
      <c r="AD450" s="551"/>
      <c r="AE450" s="551"/>
      <c r="AF450" s="551"/>
      <c r="AG450" s="551"/>
      <c r="AH450" s="551"/>
      <c r="AI450" s="551"/>
      <c r="AJ450" s="551"/>
      <c r="AK450" s="551"/>
      <c r="AL450" s="551"/>
      <c r="AM450" s="551"/>
      <c r="AN450" s="551"/>
      <c r="AO450" s="551"/>
      <c r="AP450" s="551"/>
      <c r="AQ450" s="551"/>
      <c r="AR450" s="551"/>
      <c r="AS450" s="551"/>
      <c r="AT450" s="551"/>
      <c r="AU450" s="551"/>
      <c r="AV450" s="551"/>
      <c r="AW450" s="551"/>
      <c r="AX450" s="551"/>
      <c r="AY450" s="551"/>
      <c r="AZ450" s="551"/>
      <c r="BA450" s="551"/>
      <c r="BB450" s="551"/>
      <c r="BC450" s="551"/>
      <c r="BD450" s="551"/>
      <c r="BE450" s="551"/>
      <c r="BF450" s="551"/>
      <c r="BG450" s="551"/>
      <c r="BH450" s="551"/>
      <c r="BI450" s="551"/>
      <c r="BJ450" s="551"/>
      <c r="BK450" s="551"/>
    </row>
    <row r="451" spans="1:63" ht="12.75" customHeight="1">
      <c r="A451" s="551"/>
      <c r="B451" s="551"/>
      <c r="C451" s="551"/>
      <c r="D451" s="551"/>
      <c r="E451" s="551"/>
      <c r="F451" s="551"/>
      <c r="G451" s="551"/>
      <c r="H451" s="551"/>
      <c r="I451" s="551"/>
      <c r="J451" s="551"/>
      <c r="K451" s="551"/>
      <c r="L451" s="551"/>
      <c r="M451" s="551"/>
      <c r="N451" s="551"/>
      <c r="O451" s="551"/>
      <c r="P451" s="551"/>
      <c r="Q451" s="551"/>
      <c r="R451" s="551"/>
      <c r="S451" s="551"/>
      <c r="T451" s="551"/>
      <c r="U451" s="551"/>
      <c r="V451" s="551"/>
      <c r="W451" s="551"/>
      <c r="X451" s="551"/>
      <c r="Y451" s="551"/>
      <c r="Z451" s="551"/>
      <c r="AA451" s="551"/>
      <c r="AB451" s="551"/>
      <c r="AC451" s="551"/>
      <c r="AD451" s="551"/>
      <c r="AE451" s="551"/>
      <c r="AF451" s="551"/>
      <c r="AG451" s="551"/>
      <c r="AH451" s="551"/>
      <c r="AI451" s="551"/>
      <c r="AJ451" s="551"/>
      <c r="AK451" s="551"/>
      <c r="AL451" s="551"/>
      <c r="AM451" s="551"/>
      <c r="AN451" s="551"/>
      <c r="AO451" s="551"/>
      <c r="AP451" s="551"/>
      <c r="AQ451" s="551"/>
      <c r="AR451" s="551"/>
      <c r="AS451" s="551"/>
      <c r="AT451" s="551"/>
      <c r="AU451" s="551"/>
      <c r="AV451" s="551"/>
      <c r="AW451" s="551"/>
      <c r="AX451" s="551"/>
      <c r="AY451" s="551"/>
      <c r="AZ451" s="551"/>
      <c r="BA451" s="551"/>
      <c r="BB451" s="551"/>
      <c r="BC451" s="551"/>
      <c r="BD451" s="551"/>
      <c r="BE451" s="551"/>
      <c r="BF451" s="551"/>
      <c r="BG451" s="551"/>
      <c r="BH451" s="551"/>
      <c r="BI451" s="551"/>
      <c r="BJ451" s="551"/>
      <c r="BK451" s="551"/>
    </row>
    <row r="452" spans="1:63" ht="12.75" customHeight="1">
      <c r="A452" s="551"/>
      <c r="B452" s="551"/>
      <c r="C452" s="551"/>
      <c r="D452" s="551"/>
      <c r="E452" s="551"/>
      <c r="F452" s="551"/>
      <c r="G452" s="551"/>
      <c r="H452" s="551"/>
      <c r="I452" s="551"/>
      <c r="J452" s="551"/>
      <c r="K452" s="551"/>
      <c r="L452" s="551"/>
      <c r="M452" s="551"/>
      <c r="N452" s="551"/>
      <c r="O452" s="551"/>
      <c r="P452" s="551"/>
      <c r="Q452" s="551"/>
      <c r="R452" s="551"/>
      <c r="S452" s="551"/>
      <c r="T452" s="551"/>
      <c r="U452" s="551"/>
      <c r="V452" s="551"/>
      <c r="W452" s="551"/>
      <c r="X452" s="551"/>
      <c r="Y452" s="551"/>
      <c r="Z452" s="551"/>
      <c r="AA452" s="551"/>
      <c r="AB452" s="551"/>
      <c r="AC452" s="551"/>
      <c r="AD452" s="551"/>
      <c r="AE452" s="551"/>
      <c r="AF452" s="551"/>
      <c r="AG452" s="551"/>
      <c r="AH452" s="551"/>
      <c r="AI452" s="551"/>
      <c r="AJ452" s="551"/>
      <c r="AK452" s="551"/>
      <c r="AL452" s="551"/>
      <c r="AM452" s="551"/>
      <c r="AN452" s="551"/>
      <c r="AO452" s="551"/>
      <c r="AP452" s="551"/>
      <c r="AQ452" s="551"/>
      <c r="AR452" s="551"/>
      <c r="AS452" s="551"/>
      <c r="AT452" s="551"/>
      <c r="AU452" s="551"/>
      <c r="AV452" s="551"/>
      <c r="AW452" s="551"/>
      <c r="AX452" s="551"/>
      <c r="AY452" s="551"/>
      <c r="AZ452" s="551"/>
      <c r="BA452" s="551"/>
      <c r="BB452" s="551"/>
      <c r="BC452" s="551"/>
      <c r="BD452" s="551"/>
      <c r="BE452" s="551"/>
      <c r="BF452" s="551"/>
      <c r="BG452" s="551"/>
      <c r="BH452" s="551"/>
      <c r="BI452" s="551"/>
      <c r="BJ452" s="551"/>
      <c r="BK452" s="551"/>
    </row>
    <row r="453" spans="1:63" ht="12.75" customHeight="1">
      <c r="A453" s="551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1"/>
      <c r="P453" s="551"/>
      <c r="Q453" s="551"/>
      <c r="R453" s="551"/>
      <c r="S453" s="551"/>
      <c r="T453" s="551"/>
      <c r="U453" s="551"/>
      <c r="V453" s="551"/>
      <c r="W453" s="551"/>
      <c r="X453" s="551"/>
      <c r="Y453" s="551"/>
      <c r="Z453" s="551"/>
      <c r="AA453" s="551"/>
      <c r="AB453" s="551"/>
      <c r="AC453" s="551"/>
      <c r="AD453" s="551"/>
      <c r="AE453" s="551"/>
      <c r="AF453" s="551"/>
      <c r="AG453" s="551"/>
      <c r="AH453" s="551"/>
      <c r="AI453" s="551"/>
      <c r="AJ453" s="551"/>
      <c r="AK453" s="551"/>
      <c r="AL453" s="551"/>
      <c r="AM453" s="551"/>
      <c r="AN453" s="551"/>
      <c r="AO453" s="551"/>
      <c r="AP453" s="551"/>
      <c r="AQ453" s="551"/>
      <c r="AR453" s="551"/>
      <c r="AS453" s="551"/>
      <c r="AT453" s="551"/>
      <c r="AU453" s="551"/>
      <c r="AV453" s="551"/>
      <c r="AW453" s="551"/>
      <c r="AX453" s="551"/>
      <c r="AY453" s="551"/>
      <c r="AZ453" s="551"/>
      <c r="BA453" s="551"/>
      <c r="BB453" s="551"/>
      <c r="BC453" s="551"/>
      <c r="BD453" s="551"/>
      <c r="BE453" s="551"/>
      <c r="BF453" s="551"/>
      <c r="BG453" s="551"/>
      <c r="BH453" s="551"/>
      <c r="BI453" s="551"/>
      <c r="BJ453" s="551"/>
      <c r="BK453" s="551"/>
    </row>
    <row r="454" spans="1:63" ht="12.75" customHeight="1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1"/>
      <c r="P454" s="551"/>
      <c r="Q454" s="551"/>
      <c r="R454" s="551"/>
      <c r="S454" s="551"/>
      <c r="T454" s="551"/>
      <c r="U454" s="551"/>
      <c r="V454" s="551"/>
      <c r="W454" s="551"/>
      <c r="X454" s="551"/>
      <c r="Y454" s="551"/>
      <c r="Z454" s="551"/>
      <c r="AA454" s="551"/>
      <c r="AB454" s="551"/>
      <c r="AC454" s="551"/>
      <c r="AD454" s="551"/>
      <c r="AE454" s="551"/>
      <c r="AF454" s="551"/>
      <c r="AG454" s="551"/>
      <c r="AH454" s="551"/>
      <c r="AI454" s="551"/>
      <c r="AJ454" s="551"/>
      <c r="AK454" s="551"/>
      <c r="AL454" s="551"/>
      <c r="AM454" s="551"/>
      <c r="AN454" s="551"/>
      <c r="AO454" s="551"/>
      <c r="AP454" s="551"/>
      <c r="AQ454" s="551"/>
      <c r="AR454" s="551"/>
      <c r="AS454" s="551"/>
      <c r="AT454" s="551"/>
      <c r="AU454" s="551"/>
      <c r="AV454" s="551"/>
      <c r="AW454" s="551"/>
      <c r="AX454" s="551"/>
      <c r="AY454" s="551"/>
      <c r="AZ454" s="551"/>
      <c r="BA454" s="551"/>
      <c r="BB454" s="551"/>
      <c r="BC454" s="551"/>
      <c r="BD454" s="551"/>
      <c r="BE454" s="551"/>
      <c r="BF454" s="551"/>
      <c r="BG454" s="551"/>
      <c r="BH454" s="551"/>
      <c r="BI454" s="551"/>
      <c r="BJ454" s="551"/>
      <c r="BK454" s="551"/>
    </row>
    <row r="455" spans="1:63" ht="12.75" customHeight="1">
      <c r="A455" s="551"/>
      <c r="B455" s="551"/>
      <c r="C455" s="551"/>
      <c r="D455" s="551"/>
      <c r="E455" s="551"/>
      <c r="F455" s="551"/>
      <c r="G455" s="551"/>
      <c r="H455" s="551"/>
      <c r="I455" s="551"/>
      <c r="J455" s="551"/>
      <c r="K455" s="551"/>
      <c r="L455" s="551"/>
      <c r="M455" s="551"/>
      <c r="N455" s="551"/>
      <c r="O455" s="551"/>
      <c r="P455" s="551"/>
      <c r="Q455" s="551"/>
      <c r="R455" s="551"/>
      <c r="S455" s="551"/>
      <c r="T455" s="551"/>
      <c r="U455" s="551"/>
      <c r="V455" s="551"/>
      <c r="W455" s="551"/>
      <c r="X455" s="551"/>
      <c r="Y455" s="551"/>
      <c r="Z455" s="551"/>
      <c r="AA455" s="551"/>
      <c r="AB455" s="551"/>
      <c r="AC455" s="551"/>
      <c r="AD455" s="551"/>
      <c r="AE455" s="551"/>
      <c r="AF455" s="551"/>
      <c r="AG455" s="551"/>
      <c r="AH455" s="551"/>
      <c r="AI455" s="551"/>
      <c r="AJ455" s="551"/>
      <c r="AK455" s="551"/>
      <c r="AL455" s="551"/>
      <c r="AM455" s="551"/>
      <c r="AN455" s="551"/>
      <c r="AO455" s="551"/>
      <c r="AP455" s="551"/>
      <c r="AQ455" s="551"/>
      <c r="AR455" s="551"/>
      <c r="AS455" s="551"/>
      <c r="AT455" s="551"/>
      <c r="AU455" s="551"/>
      <c r="AV455" s="551"/>
      <c r="AW455" s="551"/>
      <c r="AX455" s="551"/>
      <c r="AY455" s="551"/>
      <c r="AZ455" s="551"/>
      <c r="BA455" s="551"/>
      <c r="BB455" s="551"/>
      <c r="BC455" s="551"/>
      <c r="BD455" s="551"/>
      <c r="BE455" s="551"/>
      <c r="BF455" s="551"/>
      <c r="BG455" s="551"/>
      <c r="BH455" s="551"/>
      <c r="BI455" s="551"/>
      <c r="BJ455" s="551"/>
      <c r="BK455" s="551"/>
    </row>
    <row r="456" spans="1:63" ht="12.75" customHeight="1">
      <c r="A456" s="551"/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51"/>
      <c r="AB456" s="551"/>
      <c r="AC456" s="551"/>
      <c r="AD456" s="551"/>
      <c r="AE456" s="551"/>
      <c r="AF456" s="551"/>
      <c r="AG456" s="551"/>
      <c r="AH456" s="551"/>
      <c r="AI456" s="551"/>
      <c r="AJ456" s="551"/>
      <c r="AK456" s="551"/>
      <c r="AL456" s="551"/>
      <c r="AM456" s="551"/>
      <c r="AN456" s="551"/>
      <c r="AO456" s="551"/>
      <c r="AP456" s="551"/>
      <c r="AQ456" s="551"/>
      <c r="AR456" s="551"/>
      <c r="AS456" s="551"/>
      <c r="AT456" s="551"/>
      <c r="AU456" s="551"/>
      <c r="AV456" s="551"/>
      <c r="AW456" s="551"/>
      <c r="AX456" s="551"/>
      <c r="AY456" s="551"/>
      <c r="AZ456" s="551"/>
      <c r="BA456" s="551"/>
      <c r="BB456" s="551"/>
      <c r="BC456" s="551"/>
      <c r="BD456" s="551"/>
      <c r="BE456" s="551"/>
      <c r="BF456" s="551"/>
      <c r="BG456" s="551"/>
      <c r="BH456" s="551"/>
      <c r="BI456" s="551"/>
      <c r="BJ456" s="551"/>
      <c r="BK456" s="551"/>
    </row>
    <row r="457" spans="1:63" ht="12.75" customHeight="1">
      <c r="A457" s="551"/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51"/>
      <c r="AB457" s="551"/>
      <c r="AC457" s="551"/>
      <c r="AD457" s="551"/>
      <c r="AE457" s="551"/>
      <c r="AF457" s="551"/>
      <c r="AG457" s="551"/>
      <c r="AH457" s="551"/>
      <c r="AI457" s="551"/>
      <c r="AJ457" s="551"/>
      <c r="AK457" s="551"/>
      <c r="AL457" s="551"/>
      <c r="AM457" s="551"/>
      <c r="AN457" s="551"/>
      <c r="AO457" s="551"/>
      <c r="AP457" s="551"/>
      <c r="AQ457" s="551"/>
      <c r="AR457" s="551"/>
      <c r="AS457" s="551"/>
      <c r="AT457" s="551"/>
      <c r="AU457" s="551"/>
      <c r="AV457" s="551"/>
      <c r="AW457" s="551"/>
      <c r="AX457" s="551"/>
      <c r="AY457" s="551"/>
      <c r="AZ457" s="551"/>
      <c r="BA457" s="551"/>
      <c r="BB457" s="551"/>
      <c r="BC457" s="551"/>
      <c r="BD457" s="551"/>
      <c r="BE457" s="551"/>
      <c r="BF457" s="551"/>
      <c r="BG457" s="551"/>
      <c r="BH457" s="551"/>
      <c r="BI457" s="551"/>
      <c r="BJ457" s="551"/>
      <c r="BK457" s="551"/>
    </row>
    <row r="458" spans="1:63" ht="12.75" customHeight="1">
      <c r="A458" s="551"/>
      <c r="B458" s="551"/>
      <c r="C458" s="551"/>
      <c r="D458" s="551"/>
      <c r="E458" s="551"/>
      <c r="F458" s="551"/>
      <c r="G458" s="551"/>
      <c r="H458" s="551"/>
      <c r="I458" s="551"/>
      <c r="J458" s="551"/>
      <c r="K458" s="551"/>
      <c r="L458" s="551"/>
      <c r="M458" s="551"/>
      <c r="N458" s="551"/>
      <c r="O458" s="551"/>
      <c r="P458" s="551"/>
      <c r="Q458" s="551"/>
      <c r="R458" s="551"/>
      <c r="S458" s="551"/>
      <c r="T458" s="551"/>
      <c r="U458" s="551"/>
      <c r="V458" s="551"/>
      <c r="W458" s="551"/>
      <c r="X458" s="551"/>
      <c r="Y458" s="551"/>
      <c r="Z458" s="551"/>
      <c r="AA458" s="551"/>
      <c r="AB458" s="551"/>
      <c r="AC458" s="551"/>
      <c r="AD458" s="551"/>
      <c r="AE458" s="551"/>
      <c r="AF458" s="551"/>
      <c r="AG458" s="551"/>
      <c r="AH458" s="551"/>
      <c r="AI458" s="551"/>
      <c r="AJ458" s="551"/>
      <c r="AK458" s="551"/>
      <c r="AL458" s="551"/>
      <c r="AM458" s="551"/>
      <c r="AN458" s="551"/>
      <c r="AO458" s="551"/>
      <c r="AP458" s="551"/>
      <c r="AQ458" s="551"/>
      <c r="AR458" s="551"/>
      <c r="AS458" s="551"/>
      <c r="AT458" s="551"/>
      <c r="AU458" s="551"/>
      <c r="AV458" s="551"/>
      <c r="AW458" s="551"/>
      <c r="AX458" s="551"/>
      <c r="AY458" s="551"/>
      <c r="AZ458" s="551"/>
      <c r="BA458" s="551"/>
      <c r="BB458" s="551"/>
      <c r="BC458" s="551"/>
      <c r="BD458" s="551"/>
      <c r="BE458" s="551"/>
      <c r="BF458" s="551"/>
      <c r="BG458" s="551"/>
      <c r="BH458" s="551"/>
      <c r="BI458" s="551"/>
      <c r="BJ458" s="551"/>
      <c r="BK458" s="551"/>
    </row>
    <row r="459" spans="1:63" ht="12.75" customHeight="1">
      <c r="A459" s="551"/>
      <c r="B459" s="551"/>
      <c r="C459" s="551"/>
      <c r="D459" s="551"/>
      <c r="E459" s="551"/>
      <c r="F459" s="551"/>
      <c r="G459" s="551"/>
      <c r="H459" s="551"/>
      <c r="I459" s="551"/>
      <c r="J459" s="551"/>
      <c r="K459" s="551"/>
      <c r="L459" s="551"/>
      <c r="M459" s="551"/>
      <c r="N459" s="551"/>
      <c r="O459" s="551"/>
      <c r="P459" s="551"/>
      <c r="Q459" s="551"/>
      <c r="R459" s="551"/>
      <c r="S459" s="551"/>
      <c r="T459" s="551"/>
      <c r="U459" s="551"/>
      <c r="V459" s="551"/>
      <c r="W459" s="551"/>
      <c r="X459" s="551"/>
      <c r="Y459" s="551"/>
      <c r="Z459" s="551"/>
      <c r="AA459" s="551"/>
      <c r="AB459" s="551"/>
      <c r="AC459" s="551"/>
      <c r="AD459" s="551"/>
      <c r="AE459" s="551"/>
      <c r="AF459" s="551"/>
      <c r="AG459" s="551"/>
      <c r="AH459" s="551"/>
      <c r="AI459" s="551"/>
      <c r="AJ459" s="551"/>
      <c r="AK459" s="551"/>
      <c r="AL459" s="551"/>
      <c r="AM459" s="551"/>
      <c r="AN459" s="551"/>
      <c r="AO459" s="551"/>
      <c r="AP459" s="551"/>
      <c r="AQ459" s="551"/>
      <c r="AR459" s="551"/>
      <c r="AS459" s="551"/>
      <c r="AT459" s="551"/>
      <c r="AU459" s="551"/>
      <c r="AV459" s="551"/>
      <c r="AW459" s="551"/>
      <c r="AX459" s="551"/>
      <c r="AY459" s="551"/>
      <c r="AZ459" s="551"/>
      <c r="BA459" s="551"/>
      <c r="BB459" s="551"/>
      <c r="BC459" s="551"/>
      <c r="BD459" s="551"/>
      <c r="BE459" s="551"/>
      <c r="BF459" s="551"/>
      <c r="BG459" s="551"/>
      <c r="BH459" s="551"/>
      <c r="BI459" s="551"/>
      <c r="BJ459" s="551"/>
      <c r="BK459" s="551"/>
    </row>
    <row r="460" spans="1:63" ht="12.75" customHeight="1">
      <c r="A460" s="551"/>
      <c r="B460" s="551"/>
      <c r="C460" s="551"/>
      <c r="D460" s="551"/>
      <c r="E460" s="551"/>
      <c r="F460" s="551"/>
      <c r="G460" s="551"/>
      <c r="H460" s="551"/>
      <c r="I460" s="551"/>
      <c r="J460" s="551"/>
      <c r="K460" s="551"/>
      <c r="L460" s="551"/>
      <c r="M460" s="551"/>
      <c r="N460" s="551"/>
      <c r="O460" s="551"/>
      <c r="P460" s="551"/>
      <c r="Q460" s="551"/>
      <c r="R460" s="551"/>
      <c r="S460" s="551"/>
      <c r="T460" s="551"/>
      <c r="U460" s="551"/>
      <c r="V460" s="551"/>
      <c r="W460" s="551"/>
      <c r="X460" s="551"/>
      <c r="Y460" s="551"/>
      <c r="Z460" s="551"/>
      <c r="AA460" s="551"/>
      <c r="AB460" s="551"/>
      <c r="AC460" s="551"/>
      <c r="AD460" s="551"/>
      <c r="AE460" s="551"/>
      <c r="AF460" s="551"/>
      <c r="AG460" s="551"/>
      <c r="AH460" s="551"/>
      <c r="AI460" s="551"/>
      <c r="AJ460" s="551"/>
      <c r="AK460" s="551"/>
      <c r="AL460" s="551"/>
      <c r="AM460" s="551"/>
      <c r="AN460" s="551"/>
      <c r="AO460" s="551"/>
      <c r="AP460" s="551"/>
      <c r="AQ460" s="551"/>
      <c r="AR460" s="551"/>
      <c r="AS460" s="551"/>
      <c r="AT460" s="551"/>
      <c r="AU460" s="551"/>
      <c r="AV460" s="551"/>
      <c r="AW460" s="551"/>
      <c r="AX460" s="551"/>
      <c r="AY460" s="551"/>
      <c r="AZ460" s="551"/>
      <c r="BA460" s="551"/>
      <c r="BB460" s="551"/>
      <c r="BC460" s="551"/>
      <c r="BD460" s="551"/>
      <c r="BE460" s="551"/>
      <c r="BF460" s="551"/>
      <c r="BG460" s="551"/>
      <c r="BH460" s="551"/>
      <c r="BI460" s="551"/>
      <c r="BJ460" s="551"/>
      <c r="BK460" s="551"/>
    </row>
    <row r="461" spans="1:63" ht="12.75" customHeight="1">
      <c r="A461" s="551"/>
      <c r="B461" s="551"/>
      <c r="C461" s="551"/>
      <c r="D461" s="551"/>
      <c r="E461" s="551"/>
      <c r="F461" s="551"/>
      <c r="G461" s="551"/>
      <c r="H461" s="551"/>
      <c r="I461" s="551"/>
      <c r="J461" s="551"/>
      <c r="K461" s="551"/>
      <c r="L461" s="551"/>
      <c r="M461" s="551"/>
      <c r="N461" s="551"/>
      <c r="O461" s="551"/>
      <c r="P461" s="551"/>
      <c r="Q461" s="551"/>
      <c r="R461" s="551"/>
      <c r="S461" s="551"/>
      <c r="T461" s="551"/>
      <c r="U461" s="551"/>
      <c r="V461" s="551"/>
      <c r="W461" s="551"/>
      <c r="X461" s="551"/>
      <c r="Y461" s="551"/>
      <c r="Z461" s="551"/>
      <c r="AA461" s="551"/>
      <c r="AB461" s="551"/>
      <c r="AC461" s="551"/>
      <c r="AD461" s="551"/>
      <c r="AE461" s="551"/>
      <c r="AF461" s="551"/>
      <c r="AG461" s="551"/>
      <c r="AH461" s="551"/>
      <c r="AI461" s="551"/>
      <c r="AJ461" s="551"/>
      <c r="AK461" s="551"/>
      <c r="AL461" s="551"/>
      <c r="AM461" s="551"/>
      <c r="AN461" s="551"/>
      <c r="AO461" s="551"/>
      <c r="AP461" s="551"/>
      <c r="AQ461" s="551"/>
      <c r="AR461" s="551"/>
      <c r="AS461" s="551"/>
      <c r="AT461" s="551"/>
      <c r="AU461" s="551"/>
      <c r="AV461" s="551"/>
      <c r="AW461" s="551"/>
      <c r="AX461" s="551"/>
      <c r="AY461" s="551"/>
      <c r="AZ461" s="551"/>
      <c r="BA461" s="551"/>
      <c r="BB461" s="551"/>
      <c r="BC461" s="551"/>
      <c r="BD461" s="551"/>
      <c r="BE461" s="551"/>
      <c r="BF461" s="551"/>
      <c r="BG461" s="551"/>
      <c r="BH461" s="551"/>
      <c r="BI461" s="551"/>
      <c r="BJ461" s="551"/>
      <c r="BK461" s="551"/>
    </row>
    <row r="462" spans="1:63" ht="12.75" customHeight="1">
      <c r="A462" s="551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1"/>
      <c r="P462" s="551"/>
      <c r="Q462" s="551"/>
      <c r="R462" s="551"/>
      <c r="S462" s="551"/>
      <c r="T462" s="551"/>
      <c r="U462" s="551"/>
      <c r="V462" s="551"/>
      <c r="W462" s="551"/>
      <c r="X462" s="551"/>
      <c r="Y462" s="551"/>
      <c r="Z462" s="551"/>
      <c r="AA462" s="551"/>
      <c r="AB462" s="551"/>
      <c r="AC462" s="551"/>
      <c r="AD462" s="551"/>
      <c r="AE462" s="551"/>
      <c r="AF462" s="551"/>
      <c r="AG462" s="551"/>
      <c r="AH462" s="551"/>
      <c r="AI462" s="551"/>
      <c r="AJ462" s="551"/>
      <c r="AK462" s="551"/>
      <c r="AL462" s="551"/>
      <c r="AM462" s="551"/>
      <c r="AN462" s="551"/>
      <c r="AO462" s="551"/>
      <c r="AP462" s="551"/>
      <c r="AQ462" s="551"/>
      <c r="AR462" s="551"/>
      <c r="AS462" s="551"/>
      <c r="AT462" s="551"/>
      <c r="AU462" s="551"/>
      <c r="AV462" s="551"/>
      <c r="AW462" s="551"/>
      <c r="AX462" s="551"/>
      <c r="AY462" s="551"/>
      <c r="AZ462" s="551"/>
      <c r="BA462" s="551"/>
      <c r="BB462" s="551"/>
      <c r="BC462" s="551"/>
      <c r="BD462" s="551"/>
      <c r="BE462" s="551"/>
      <c r="BF462" s="551"/>
      <c r="BG462" s="551"/>
      <c r="BH462" s="551"/>
      <c r="BI462" s="551"/>
      <c r="BJ462" s="551"/>
      <c r="BK462" s="551"/>
    </row>
    <row r="463" spans="1:63" ht="12.75" customHeight="1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1"/>
      <c r="P463" s="551"/>
      <c r="Q463" s="551"/>
      <c r="R463" s="551"/>
      <c r="S463" s="551"/>
      <c r="T463" s="551"/>
      <c r="U463" s="551"/>
      <c r="V463" s="551"/>
      <c r="W463" s="551"/>
      <c r="X463" s="551"/>
      <c r="Y463" s="551"/>
      <c r="Z463" s="551"/>
      <c r="AA463" s="551"/>
      <c r="AB463" s="551"/>
      <c r="AC463" s="551"/>
      <c r="AD463" s="551"/>
      <c r="AE463" s="551"/>
      <c r="AF463" s="551"/>
      <c r="AG463" s="551"/>
      <c r="AH463" s="551"/>
      <c r="AI463" s="551"/>
      <c r="AJ463" s="551"/>
      <c r="AK463" s="551"/>
      <c r="AL463" s="551"/>
      <c r="AM463" s="551"/>
      <c r="AN463" s="551"/>
      <c r="AO463" s="551"/>
      <c r="AP463" s="551"/>
      <c r="AQ463" s="551"/>
      <c r="AR463" s="551"/>
      <c r="AS463" s="551"/>
      <c r="AT463" s="551"/>
      <c r="AU463" s="551"/>
      <c r="AV463" s="551"/>
      <c r="AW463" s="551"/>
      <c r="AX463" s="551"/>
      <c r="AY463" s="551"/>
      <c r="AZ463" s="551"/>
      <c r="BA463" s="551"/>
      <c r="BB463" s="551"/>
      <c r="BC463" s="551"/>
      <c r="BD463" s="551"/>
      <c r="BE463" s="551"/>
      <c r="BF463" s="551"/>
      <c r="BG463" s="551"/>
      <c r="BH463" s="551"/>
      <c r="BI463" s="551"/>
      <c r="BJ463" s="551"/>
      <c r="BK463" s="551"/>
    </row>
    <row r="464" spans="1:63" ht="12.75" customHeight="1">
      <c r="A464" s="551"/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51"/>
      <c r="AB464" s="551"/>
      <c r="AC464" s="551"/>
      <c r="AD464" s="551"/>
      <c r="AE464" s="551"/>
      <c r="AF464" s="551"/>
      <c r="AG464" s="551"/>
      <c r="AH464" s="551"/>
      <c r="AI464" s="551"/>
      <c r="AJ464" s="551"/>
      <c r="AK464" s="551"/>
      <c r="AL464" s="551"/>
      <c r="AM464" s="551"/>
      <c r="AN464" s="551"/>
      <c r="AO464" s="551"/>
      <c r="AP464" s="551"/>
      <c r="AQ464" s="551"/>
      <c r="AR464" s="551"/>
      <c r="AS464" s="551"/>
      <c r="AT464" s="551"/>
      <c r="AU464" s="551"/>
      <c r="AV464" s="551"/>
      <c r="AW464" s="551"/>
      <c r="AX464" s="551"/>
      <c r="AY464" s="551"/>
      <c r="AZ464" s="551"/>
      <c r="BA464" s="551"/>
      <c r="BB464" s="551"/>
      <c r="BC464" s="551"/>
      <c r="BD464" s="551"/>
      <c r="BE464" s="551"/>
      <c r="BF464" s="551"/>
      <c r="BG464" s="551"/>
      <c r="BH464" s="551"/>
      <c r="BI464" s="551"/>
      <c r="BJ464" s="551"/>
      <c r="BK464" s="551"/>
    </row>
    <row r="465" spans="1:63" ht="12.75" customHeight="1">
      <c r="A465" s="551"/>
      <c r="B465" s="551"/>
      <c r="C465" s="551"/>
      <c r="D465" s="551"/>
      <c r="E465" s="551"/>
      <c r="F465" s="551"/>
      <c r="G465" s="551"/>
      <c r="H465" s="551"/>
      <c r="I465" s="551"/>
      <c r="J465" s="551"/>
      <c r="K465" s="551"/>
      <c r="L465" s="551"/>
      <c r="M465" s="551"/>
      <c r="N465" s="551"/>
      <c r="O465" s="551"/>
      <c r="P465" s="551"/>
      <c r="Q465" s="551"/>
      <c r="R465" s="551"/>
      <c r="S465" s="551"/>
      <c r="T465" s="551"/>
      <c r="U465" s="551"/>
      <c r="V465" s="551"/>
      <c r="W465" s="551"/>
      <c r="X465" s="551"/>
      <c r="Y465" s="551"/>
      <c r="Z465" s="551"/>
      <c r="AA465" s="551"/>
      <c r="AB465" s="551"/>
      <c r="AC465" s="551"/>
      <c r="AD465" s="551"/>
      <c r="AE465" s="551"/>
      <c r="AF465" s="551"/>
      <c r="AG465" s="551"/>
      <c r="AH465" s="551"/>
      <c r="AI465" s="551"/>
      <c r="AJ465" s="551"/>
      <c r="AK465" s="551"/>
      <c r="AL465" s="551"/>
      <c r="AM465" s="551"/>
      <c r="AN465" s="551"/>
      <c r="AO465" s="551"/>
      <c r="AP465" s="551"/>
      <c r="AQ465" s="551"/>
      <c r="AR465" s="551"/>
      <c r="AS465" s="551"/>
      <c r="AT465" s="551"/>
      <c r="AU465" s="551"/>
      <c r="AV465" s="551"/>
      <c r="AW465" s="551"/>
      <c r="AX465" s="551"/>
      <c r="AY465" s="551"/>
      <c r="AZ465" s="551"/>
      <c r="BA465" s="551"/>
      <c r="BB465" s="551"/>
      <c r="BC465" s="551"/>
      <c r="BD465" s="551"/>
      <c r="BE465" s="551"/>
      <c r="BF465" s="551"/>
      <c r="BG465" s="551"/>
      <c r="BH465" s="551"/>
      <c r="BI465" s="551"/>
      <c r="BJ465" s="551"/>
      <c r="BK465" s="551"/>
    </row>
    <row r="466" spans="1:63" ht="12.75" customHeight="1">
      <c r="A466" s="551"/>
      <c r="B466" s="551"/>
      <c r="C466" s="551"/>
      <c r="D466" s="551"/>
      <c r="E466" s="551"/>
      <c r="F466" s="551"/>
      <c r="G466" s="551"/>
      <c r="H466" s="551"/>
      <c r="I466" s="551"/>
      <c r="J466" s="551"/>
      <c r="K466" s="551"/>
      <c r="L466" s="551"/>
      <c r="M466" s="551"/>
      <c r="N466" s="551"/>
      <c r="O466" s="551"/>
      <c r="P466" s="551"/>
      <c r="Q466" s="551"/>
      <c r="R466" s="551"/>
      <c r="S466" s="551"/>
      <c r="T466" s="551"/>
      <c r="U466" s="551"/>
      <c r="V466" s="551"/>
      <c r="W466" s="551"/>
      <c r="X466" s="551"/>
      <c r="Y466" s="551"/>
      <c r="Z466" s="551"/>
      <c r="AA466" s="551"/>
      <c r="AB466" s="551"/>
      <c r="AC466" s="551"/>
      <c r="AD466" s="551"/>
      <c r="AE466" s="551"/>
      <c r="AF466" s="551"/>
      <c r="AG466" s="551"/>
      <c r="AH466" s="551"/>
      <c r="AI466" s="551"/>
      <c r="AJ466" s="551"/>
      <c r="AK466" s="551"/>
      <c r="AL466" s="551"/>
      <c r="AM466" s="551"/>
      <c r="AN466" s="551"/>
      <c r="AO466" s="551"/>
      <c r="AP466" s="551"/>
      <c r="AQ466" s="551"/>
      <c r="AR466" s="551"/>
      <c r="AS466" s="551"/>
      <c r="AT466" s="551"/>
      <c r="AU466" s="551"/>
      <c r="AV466" s="551"/>
      <c r="AW466" s="551"/>
      <c r="AX466" s="551"/>
      <c r="AY466" s="551"/>
      <c r="AZ466" s="551"/>
      <c r="BA466" s="551"/>
      <c r="BB466" s="551"/>
      <c r="BC466" s="551"/>
      <c r="BD466" s="551"/>
      <c r="BE466" s="551"/>
      <c r="BF466" s="551"/>
      <c r="BG466" s="551"/>
      <c r="BH466" s="551"/>
      <c r="BI466" s="551"/>
      <c r="BJ466" s="551"/>
      <c r="BK466" s="551"/>
    </row>
    <row r="467" spans="1:63" ht="12.75" customHeight="1">
      <c r="A467" s="551"/>
      <c r="B467" s="551"/>
      <c r="C467" s="551"/>
      <c r="D467" s="551"/>
      <c r="E467" s="551"/>
      <c r="F467" s="551"/>
      <c r="G467" s="551"/>
      <c r="H467" s="551"/>
      <c r="I467" s="551"/>
      <c r="J467" s="551"/>
      <c r="K467" s="551"/>
      <c r="L467" s="551"/>
      <c r="M467" s="551"/>
      <c r="N467" s="551"/>
      <c r="O467" s="551"/>
      <c r="P467" s="551"/>
      <c r="Q467" s="551"/>
      <c r="R467" s="551"/>
      <c r="S467" s="551"/>
      <c r="T467" s="551"/>
      <c r="U467" s="551"/>
      <c r="V467" s="551"/>
      <c r="W467" s="551"/>
      <c r="X467" s="551"/>
      <c r="Y467" s="551"/>
      <c r="Z467" s="551"/>
      <c r="AA467" s="551"/>
      <c r="AB467" s="551"/>
      <c r="AC467" s="551"/>
      <c r="AD467" s="551"/>
      <c r="AE467" s="551"/>
      <c r="AF467" s="551"/>
      <c r="AG467" s="551"/>
      <c r="AH467" s="551"/>
      <c r="AI467" s="551"/>
      <c r="AJ467" s="551"/>
      <c r="AK467" s="551"/>
      <c r="AL467" s="551"/>
      <c r="AM467" s="551"/>
      <c r="AN467" s="551"/>
      <c r="AO467" s="551"/>
      <c r="AP467" s="551"/>
      <c r="AQ467" s="551"/>
      <c r="AR467" s="551"/>
      <c r="AS467" s="551"/>
      <c r="AT467" s="551"/>
      <c r="AU467" s="551"/>
      <c r="AV467" s="551"/>
      <c r="AW467" s="551"/>
      <c r="AX467" s="551"/>
      <c r="AY467" s="551"/>
      <c r="AZ467" s="551"/>
      <c r="BA467" s="551"/>
      <c r="BB467" s="551"/>
      <c r="BC467" s="551"/>
      <c r="BD467" s="551"/>
      <c r="BE467" s="551"/>
      <c r="BF467" s="551"/>
      <c r="BG467" s="551"/>
      <c r="BH467" s="551"/>
      <c r="BI467" s="551"/>
      <c r="BJ467" s="551"/>
      <c r="BK467" s="551"/>
    </row>
    <row r="468" spans="1:63" ht="12.75" customHeight="1">
      <c r="A468" s="551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1"/>
      <c r="P468" s="551"/>
      <c r="Q468" s="551"/>
      <c r="R468" s="551"/>
      <c r="S468" s="551"/>
      <c r="T468" s="551"/>
      <c r="U468" s="551"/>
      <c r="V468" s="551"/>
      <c r="W468" s="551"/>
      <c r="X468" s="551"/>
      <c r="Y468" s="551"/>
      <c r="Z468" s="551"/>
      <c r="AA468" s="551"/>
      <c r="AB468" s="551"/>
      <c r="AC468" s="551"/>
      <c r="AD468" s="551"/>
      <c r="AE468" s="551"/>
      <c r="AF468" s="551"/>
      <c r="AG468" s="551"/>
      <c r="AH468" s="551"/>
      <c r="AI468" s="551"/>
      <c r="AJ468" s="551"/>
      <c r="AK468" s="551"/>
      <c r="AL468" s="551"/>
      <c r="AM468" s="551"/>
      <c r="AN468" s="551"/>
      <c r="AO468" s="551"/>
      <c r="AP468" s="551"/>
      <c r="AQ468" s="551"/>
      <c r="AR468" s="551"/>
      <c r="AS468" s="551"/>
      <c r="AT468" s="551"/>
      <c r="AU468" s="551"/>
      <c r="AV468" s="551"/>
      <c r="AW468" s="551"/>
      <c r="AX468" s="551"/>
      <c r="AY468" s="551"/>
      <c r="AZ468" s="551"/>
      <c r="BA468" s="551"/>
      <c r="BB468" s="551"/>
      <c r="BC468" s="551"/>
      <c r="BD468" s="551"/>
      <c r="BE468" s="551"/>
      <c r="BF468" s="551"/>
      <c r="BG468" s="551"/>
      <c r="BH468" s="551"/>
      <c r="BI468" s="551"/>
      <c r="BJ468" s="551"/>
      <c r="BK468" s="551"/>
    </row>
    <row r="469" spans="1:63" ht="12.75" customHeight="1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1"/>
      <c r="P469" s="551"/>
      <c r="Q469" s="551"/>
      <c r="R469" s="551"/>
      <c r="S469" s="551"/>
      <c r="T469" s="551"/>
      <c r="U469" s="551"/>
      <c r="V469" s="551"/>
      <c r="W469" s="551"/>
      <c r="X469" s="551"/>
      <c r="Y469" s="551"/>
      <c r="Z469" s="551"/>
      <c r="AA469" s="551"/>
      <c r="AB469" s="551"/>
      <c r="AC469" s="551"/>
      <c r="AD469" s="551"/>
      <c r="AE469" s="551"/>
      <c r="AF469" s="551"/>
      <c r="AG469" s="551"/>
      <c r="AH469" s="551"/>
      <c r="AI469" s="551"/>
      <c r="AJ469" s="551"/>
      <c r="AK469" s="551"/>
      <c r="AL469" s="551"/>
      <c r="AM469" s="551"/>
      <c r="AN469" s="551"/>
      <c r="AO469" s="551"/>
      <c r="AP469" s="551"/>
      <c r="AQ469" s="551"/>
      <c r="AR469" s="551"/>
      <c r="AS469" s="551"/>
      <c r="AT469" s="551"/>
      <c r="AU469" s="551"/>
      <c r="AV469" s="551"/>
      <c r="AW469" s="551"/>
      <c r="AX469" s="551"/>
      <c r="AY469" s="551"/>
      <c r="AZ469" s="551"/>
      <c r="BA469" s="551"/>
      <c r="BB469" s="551"/>
      <c r="BC469" s="551"/>
      <c r="BD469" s="551"/>
      <c r="BE469" s="551"/>
      <c r="BF469" s="551"/>
      <c r="BG469" s="551"/>
      <c r="BH469" s="551"/>
      <c r="BI469" s="551"/>
      <c r="BJ469" s="551"/>
      <c r="BK469" s="551"/>
    </row>
    <row r="470" spans="1:63" ht="12.75" customHeight="1">
      <c r="A470" s="551"/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51"/>
      <c r="AB470" s="551"/>
      <c r="AC470" s="551"/>
      <c r="AD470" s="551"/>
      <c r="AE470" s="551"/>
      <c r="AF470" s="551"/>
      <c r="AG470" s="551"/>
      <c r="AH470" s="551"/>
      <c r="AI470" s="551"/>
      <c r="AJ470" s="551"/>
      <c r="AK470" s="551"/>
      <c r="AL470" s="551"/>
      <c r="AM470" s="551"/>
      <c r="AN470" s="551"/>
      <c r="AO470" s="551"/>
      <c r="AP470" s="551"/>
      <c r="AQ470" s="551"/>
      <c r="AR470" s="551"/>
      <c r="AS470" s="551"/>
      <c r="AT470" s="551"/>
      <c r="AU470" s="551"/>
      <c r="AV470" s="551"/>
      <c r="AW470" s="551"/>
      <c r="AX470" s="551"/>
      <c r="AY470" s="551"/>
      <c r="AZ470" s="551"/>
      <c r="BA470" s="551"/>
      <c r="BB470" s="551"/>
      <c r="BC470" s="551"/>
      <c r="BD470" s="551"/>
      <c r="BE470" s="551"/>
      <c r="BF470" s="551"/>
      <c r="BG470" s="551"/>
      <c r="BH470" s="551"/>
      <c r="BI470" s="551"/>
      <c r="BJ470" s="551"/>
      <c r="BK470" s="551"/>
    </row>
    <row r="471" spans="1:63" ht="12.75" customHeight="1">
      <c r="A471" s="551"/>
      <c r="B471" s="551"/>
      <c r="C471" s="551"/>
      <c r="D471" s="551"/>
      <c r="E471" s="551"/>
      <c r="F471" s="551"/>
      <c r="G471" s="551"/>
      <c r="H471" s="551"/>
      <c r="I471" s="551"/>
      <c r="J471" s="551"/>
      <c r="K471" s="551"/>
      <c r="L471" s="551"/>
      <c r="M471" s="551"/>
      <c r="N471" s="551"/>
      <c r="O471" s="551"/>
      <c r="P471" s="551"/>
      <c r="Q471" s="551"/>
      <c r="R471" s="551"/>
      <c r="S471" s="551"/>
      <c r="T471" s="551"/>
      <c r="U471" s="551"/>
      <c r="V471" s="551"/>
      <c r="W471" s="551"/>
      <c r="X471" s="551"/>
      <c r="Y471" s="551"/>
      <c r="Z471" s="551"/>
      <c r="AA471" s="551"/>
      <c r="AB471" s="551"/>
      <c r="AC471" s="551"/>
      <c r="AD471" s="551"/>
      <c r="AE471" s="551"/>
      <c r="AF471" s="551"/>
      <c r="AG471" s="551"/>
      <c r="AH471" s="551"/>
      <c r="AI471" s="551"/>
      <c r="AJ471" s="551"/>
      <c r="AK471" s="551"/>
      <c r="AL471" s="551"/>
      <c r="AM471" s="551"/>
      <c r="AN471" s="551"/>
      <c r="AO471" s="551"/>
      <c r="AP471" s="551"/>
      <c r="AQ471" s="551"/>
      <c r="AR471" s="551"/>
      <c r="AS471" s="551"/>
      <c r="AT471" s="551"/>
      <c r="AU471" s="551"/>
      <c r="AV471" s="551"/>
      <c r="AW471" s="551"/>
      <c r="AX471" s="551"/>
      <c r="AY471" s="551"/>
      <c r="AZ471" s="551"/>
      <c r="BA471" s="551"/>
      <c r="BB471" s="551"/>
      <c r="BC471" s="551"/>
      <c r="BD471" s="551"/>
      <c r="BE471" s="551"/>
      <c r="BF471" s="551"/>
      <c r="BG471" s="551"/>
      <c r="BH471" s="551"/>
      <c r="BI471" s="551"/>
      <c r="BJ471" s="551"/>
      <c r="BK471" s="551"/>
    </row>
    <row r="472" spans="1:63" ht="12.75" customHeight="1">
      <c r="A472" s="551"/>
      <c r="B472" s="551"/>
      <c r="C472" s="551"/>
      <c r="D472" s="551"/>
      <c r="E472" s="551"/>
      <c r="F472" s="551"/>
      <c r="G472" s="551"/>
      <c r="H472" s="551"/>
      <c r="I472" s="551"/>
      <c r="J472" s="551"/>
      <c r="K472" s="551"/>
      <c r="L472" s="551"/>
      <c r="M472" s="551"/>
      <c r="N472" s="551"/>
      <c r="O472" s="551"/>
      <c r="P472" s="551"/>
      <c r="Q472" s="551"/>
      <c r="R472" s="551"/>
      <c r="S472" s="551"/>
      <c r="T472" s="551"/>
      <c r="U472" s="551"/>
      <c r="V472" s="551"/>
      <c r="W472" s="551"/>
      <c r="X472" s="551"/>
      <c r="Y472" s="551"/>
      <c r="Z472" s="551"/>
      <c r="AA472" s="551"/>
      <c r="AB472" s="551"/>
      <c r="AC472" s="551"/>
      <c r="AD472" s="551"/>
      <c r="AE472" s="551"/>
      <c r="AF472" s="551"/>
      <c r="AG472" s="551"/>
      <c r="AH472" s="551"/>
      <c r="AI472" s="551"/>
      <c r="AJ472" s="551"/>
      <c r="AK472" s="551"/>
      <c r="AL472" s="551"/>
      <c r="AM472" s="551"/>
      <c r="AN472" s="551"/>
      <c r="AO472" s="551"/>
      <c r="AP472" s="551"/>
      <c r="AQ472" s="551"/>
      <c r="AR472" s="551"/>
      <c r="AS472" s="551"/>
      <c r="AT472" s="551"/>
      <c r="AU472" s="551"/>
      <c r="AV472" s="551"/>
      <c r="AW472" s="551"/>
      <c r="AX472" s="551"/>
      <c r="AY472" s="551"/>
      <c r="AZ472" s="551"/>
      <c r="BA472" s="551"/>
      <c r="BB472" s="551"/>
      <c r="BC472" s="551"/>
      <c r="BD472" s="551"/>
      <c r="BE472" s="551"/>
      <c r="BF472" s="551"/>
      <c r="BG472" s="551"/>
      <c r="BH472" s="551"/>
      <c r="BI472" s="551"/>
      <c r="BJ472" s="551"/>
      <c r="BK472" s="551"/>
    </row>
    <row r="473" spans="1:63" ht="12.75" customHeight="1">
      <c r="A473" s="551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1"/>
      <c r="P473" s="551"/>
      <c r="Q473" s="551"/>
      <c r="R473" s="551"/>
      <c r="S473" s="551"/>
      <c r="T473" s="551"/>
      <c r="U473" s="551"/>
      <c r="V473" s="551"/>
      <c r="W473" s="551"/>
      <c r="X473" s="551"/>
      <c r="Y473" s="551"/>
      <c r="Z473" s="551"/>
      <c r="AA473" s="551"/>
      <c r="AB473" s="551"/>
      <c r="AC473" s="551"/>
      <c r="AD473" s="551"/>
      <c r="AE473" s="551"/>
      <c r="AF473" s="551"/>
      <c r="AG473" s="551"/>
      <c r="AH473" s="551"/>
      <c r="AI473" s="551"/>
      <c r="AJ473" s="551"/>
      <c r="AK473" s="551"/>
      <c r="AL473" s="551"/>
      <c r="AM473" s="551"/>
      <c r="AN473" s="551"/>
      <c r="AO473" s="551"/>
      <c r="AP473" s="551"/>
      <c r="AQ473" s="551"/>
      <c r="AR473" s="551"/>
      <c r="AS473" s="551"/>
      <c r="AT473" s="551"/>
      <c r="AU473" s="551"/>
      <c r="AV473" s="551"/>
      <c r="AW473" s="551"/>
      <c r="AX473" s="551"/>
      <c r="AY473" s="551"/>
      <c r="AZ473" s="551"/>
      <c r="BA473" s="551"/>
      <c r="BB473" s="551"/>
      <c r="BC473" s="551"/>
      <c r="BD473" s="551"/>
      <c r="BE473" s="551"/>
      <c r="BF473" s="551"/>
      <c r="BG473" s="551"/>
      <c r="BH473" s="551"/>
      <c r="BI473" s="551"/>
      <c r="BJ473" s="551"/>
      <c r="BK473" s="551"/>
    </row>
    <row r="474" spans="1:63" ht="12.75" customHeight="1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1"/>
      <c r="P474" s="551"/>
      <c r="Q474" s="551"/>
      <c r="R474" s="551"/>
      <c r="S474" s="551"/>
      <c r="T474" s="551"/>
      <c r="U474" s="551"/>
      <c r="V474" s="551"/>
      <c r="W474" s="551"/>
      <c r="X474" s="551"/>
      <c r="Y474" s="551"/>
      <c r="Z474" s="551"/>
      <c r="AA474" s="551"/>
      <c r="AB474" s="551"/>
      <c r="AC474" s="551"/>
      <c r="AD474" s="551"/>
      <c r="AE474" s="551"/>
      <c r="AF474" s="551"/>
      <c r="AG474" s="551"/>
      <c r="AH474" s="551"/>
      <c r="AI474" s="551"/>
      <c r="AJ474" s="551"/>
      <c r="AK474" s="551"/>
      <c r="AL474" s="551"/>
      <c r="AM474" s="551"/>
      <c r="AN474" s="551"/>
      <c r="AO474" s="551"/>
      <c r="AP474" s="551"/>
      <c r="AQ474" s="551"/>
      <c r="AR474" s="551"/>
      <c r="AS474" s="551"/>
      <c r="AT474" s="551"/>
      <c r="AU474" s="551"/>
      <c r="AV474" s="551"/>
      <c r="AW474" s="551"/>
      <c r="AX474" s="551"/>
      <c r="AY474" s="551"/>
      <c r="AZ474" s="551"/>
      <c r="BA474" s="551"/>
      <c r="BB474" s="551"/>
      <c r="BC474" s="551"/>
      <c r="BD474" s="551"/>
      <c r="BE474" s="551"/>
      <c r="BF474" s="551"/>
      <c r="BG474" s="551"/>
      <c r="BH474" s="551"/>
      <c r="BI474" s="551"/>
      <c r="BJ474" s="551"/>
      <c r="BK474" s="551"/>
    </row>
    <row r="475" spans="1:63" ht="12.75" customHeight="1">
      <c r="A475" s="551"/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51"/>
      <c r="AB475" s="551"/>
      <c r="AC475" s="551"/>
      <c r="AD475" s="551"/>
      <c r="AE475" s="551"/>
      <c r="AF475" s="551"/>
      <c r="AG475" s="551"/>
      <c r="AH475" s="551"/>
      <c r="AI475" s="551"/>
      <c r="AJ475" s="551"/>
      <c r="AK475" s="551"/>
      <c r="AL475" s="551"/>
      <c r="AM475" s="551"/>
      <c r="AN475" s="551"/>
      <c r="AO475" s="551"/>
      <c r="AP475" s="551"/>
      <c r="AQ475" s="551"/>
      <c r="AR475" s="551"/>
      <c r="AS475" s="551"/>
      <c r="AT475" s="551"/>
      <c r="AU475" s="551"/>
      <c r="AV475" s="551"/>
      <c r="AW475" s="551"/>
      <c r="AX475" s="551"/>
      <c r="AY475" s="551"/>
      <c r="AZ475" s="551"/>
      <c r="BA475" s="551"/>
      <c r="BB475" s="551"/>
      <c r="BC475" s="551"/>
      <c r="BD475" s="551"/>
      <c r="BE475" s="551"/>
      <c r="BF475" s="551"/>
      <c r="BG475" s="551"/>
      <c r="BH475" s="551"/>
      <c r="BI475" s="551"/>
      <c r="BJ475" s="551"/>
      <c r="BK475" s="551"/>
    </row>
    <row r="476" spans="1:63" ht="12.75" customHeight="1">
      <c r="A476" s="551"/>
      <c r="B476" s="551"/>
      <c r="C476" s="551"/>
      <c r="D476" s="551"/>
      <c r="E476" s="551"/>
      <c r="F476" s="551"/>
      <c r="G476" s="551"/>
      <c r="H476" s="551"/>
      <c r="I476" s="551"/>
      <c r="J476" s="551"/>
      <c r="K476" s="551"/>
      <c r="L476" s="551"/>
      <c r="M476" s="551"/>
      <c r="N476" s="551"/>
      <c r="O476" s="551"/>
      <c r="P476" s="551"/>
      <c r="Q476" s="551"/>
      <c r="R476" s="551"/>
      <c r="S476" s="551"/>
      <c r="T476" s="551"/>
      <c r="U476" s="551"/>
      <c r="V476" s="551"/>
      <c r="W476" s="551"/>
      <c r="X476" s="551"/>
      <c r="Y476" s="551"/>
      <c r="Z476" s="551"/>
      <c r="AA476" s="551"/>
      <c r="AB476" s="551"/>
      <c r="AC476" s="551"/>
      <c r="AD476" s="551"/>
      <c r="AE476" s="551"/>
      <c r="AF476" s="551"/>
      <c r="AG476" s="551"/>
      <c r="AH476" s="551"/>
      <c r="AI476" s="551"/>
      <c r="AJ476" s="551"/>
      <c r="AK476" s="551"/>
      <c r="AL476" s="551"/>
      <c r="AM476" s="551"/>
      <c r="AN476" s="551"/>
      <c r="AO476" s="551"/>
      <c r="AP476" s="551"/>
      <c r="AQ476" s="551"/>
      <c r="AR476" s="551"/>
      <c r="AS476" s="551"/>
      <c r="AT476" s="551"/>
      <c r="AU476" s="551"/>
      <c r="AV476" s="551"/>
      <c r="AW476" s="551"/>
      <c r="AX476" s="551"/>
      <c r="AY476" s="551"/>
      <c r="AZ476" s="551"/>
      <c r="BA476" s="551"/>
      <c r="BB476" s="551"/>
      <c r="BC476" s="551"/>
      <c r="BD476" s="551"/>
      <c r="BE476" s="551"/>
      <c r="BF476" s="551"/>
      <c r="BG476" s="551"/>
      <c r="BH476" s="551"/>
      <c r="BI476" s="551"/>
      <c r="BJ476" s="551"/>
      <c r="BK476" s="551"/>
    </row>
    <row r="477" spans="1:63" ht="12.75" customHeight="1">
      <c r="A477" s="551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1"/>
      <c r="P477" s="551"/>
      <c r="Q477" s="551"/>
      <c r="R477" s="551"/>
      <c r="S477" s="551"/>
      <c r="T477" s="551"/>
      <c r="U477" s="551"/>
      <c r="V477" s="551"/>
      <c r="W477" s="551"/>
      <c r="X477" s="551"/>
      <c r="Y477" s="551"/>
      <c r="Z477" s="551"/>
      <c r="AA477" s="551"/>
      <c r="AB477" s="551"/>
      <c r="AC477" s="551"/>
      <c r="AD477" s="551"/>
      <c r="AE477" s="551"/>
      <c r="AF477" s="551"/>
      <c r="AG477" s="551"/>
      <c r="AH477" s="551"/>
      <c r="AI477" s="551"/>
      <c r="AJ477" s="551"/>
      <c r="AK477" s="551"/>
      <c r="AL477" s="551"/>
      <c r="AM477" s="551"/>
      <c r="AN477" s="551"/>
      <c r="AO477" s="551"/>
      <c r="AP477" s="551"/>
      <c r="AQ477" s="551"/>
      <c r="AR477" s="551"/>
      <c r="AS477" s="551"/>
      <c r="AT477" s="551"/>
      <c r="AU477" s="551"/>
      <c r="AV477" s="551"/>
      <c r="AW477" s="551"/>
      <c r="AX477" s="551"/>
      <c r="AY477" s="551"/>
      <c r="AZ477" s="551"/>
      <c r="BA477" s="551"/>
      <c r="BB477" s="551"/>
      <c r="BC477" s="551"/>
      <c r="BD477" s="551"/>
      <c r="BE477" s="551"/>
      <c r="BF477" s="551"/>
      <c r="BG477" s="551"/>
      <c r="BH477" s="551"/>
      <c r="BI477" s="551"/>
      <c r="BJ477" s="551"/>
      <c r="BK477" s="551"/>
    </row>
    <row r="478" spans="1:63" ht="12.75" customHeight="1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1"/>
      <c r="P478" s="551"/>
      <c r="Q478" s="551"/>
      <c r="R478" s="551"/>
      <c r="S478" s="551"/>
      <c r="T478" s="551"/>
      <c r="U478" s="551"/>
      <c r="V478" s="551"/>
      <c r="W478" s="551"/>
      <c r="X478" s="551"/>
      <c r="Y478" s="551"/>
      <c r="Z478" s="551"/>
      <c r="AA478" s="551"/>
      <c r="AB478" s="551"/>
      <c r="AC478" s="551"/>
      <c r="AD478" s="551"/>
      <c r="AE478" s="551"/>
      <c r="AF478" s="551"/>
      <c r="AG478" s="551"/>
      <c r="AH478" s="551"/>
      <c r="AI478" s="551"/>
      <c r="AJ478" s="551"/>
      <c r="AK478" s="551"/>
      <c r="AL478" s="551"/>
      <c r="AM478" s="551"/>
      <c r="AN478" s="551"/>
      <c r="AO478" s="551"/>
      <c r="AP478" s="551"/>
      <c r="AQ478" s="551"/>
      <c r="AR478" s="551"/>
      <c r="AS478" s="551"/>
      <c r="AT478" s="551"/>
      <c r="AU478" s="551"/>
      <c r="AV478" s="551"/>
      <c r="AW478" s="551"/>
      <c r="AX478" s="551"/>
      <c r="AY478" s="551"/>
      <c r="AZ478" s="551"/>
      <c r="BA478" s="551"/>
      <c r="BB478" s="551"/>
      <c r="BC478" s="551"/>
      <c r="BD478" s="551"/>
      <c r="BE478" s="551"/>
      <c r="BF478" s="551"/>
      <c r="BG478" s="551"/>
      <c r="BH478" s="551"/>
      <c r="BI478" s="551"/>
      <c r="BJ478" s="551"/>
      <c r="BK478" s="551"/>
    </row>
    <row r="479" spans="1:63" ht="12.75" customHeight="1">
      <c r="A479" s="551"/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51"/>
      <c r="AB479" s="551"/>
      <c r="AC479" s="551"/>
      <c r="AD479" s="551"/>
      <c r="AE479" s="551"/>
      <c r="AF479" s="551"/>
      <c r="AG479" s="551"/>
      <c r="AH479" s="551"/>
      <c r="AI479" s="551"/>
      <c r="AJ479" s="551"/>
      <c r="AK479" s="551"/>
      <c r="AL479" s="551"/>
      <c r="AM479" s="551"/>
      <c r="AN479" s="551"/>
      <c r="AO479" s="551"/>
      <c r="AP479" s="551"/>
      <c r="AQ479" s="551"/>
      <c r="AR479" s="551"/>
      <c r="AS479" s="551"/>
      <c r="AT479" s="551"/>
      <c r="AU479" s="551"/>
      <c r="AV479" s="551"/>
      <c r="AW479" s="551"/>
      <c r="AX479" s="551"/>
      <c r="AY479" s="551"/>
      <c r="AZ479" s="551"/>
      <c r="BA479" s="551"/>
      <c r="BB479" s="551"/>
      <c r="BC479" s="551"/>
      <c r="BD479" s="551"/>
      <c r="BE479" s="551"/>
      <c r="BF479" s="551"/>
      <c r="BG479" s="551"/>
      <c r="BH479" s="551"/>
      <c r="BI479" s="551"/>
      <c r="BJ479" s="551"/>
      <c r="BK479" s="551"/>
    </row>
    <row r="480" spans="1:63" ht="12.75" customHeight="1">
      <c r="A480" s="551"/>
      <c r="B480" s="551"/>
      <c r="C480" s="551"/>
      <c r="D480" s="551"/>
      <c r="E480" s="551"/>
      <c r="F480" s="551"/>
      <c r="G480" s="551"/>
      <c r="H480" s="551"/>
      <c r="I480" s="551"/>
      <c r="J480" s="551"/>
      <c r="K480" s="551"/>
      <c r="L480" s="551"/>
      <c r="M480" s="551"/>
      <c r="N480" s="551"/>
      <c r="O480" s="551"/>
      <c r="P480" s="551"/>
      <c r="Q480" s="551"/>
      <c r="R480" s="551"/>
      <c r="S480" s="551"/>
      <c r="T480" s="551"/>
      <c r="U480" s="551"/>
      <c r="V480" s="551"/>
      <c r="W480" s="551"/>
      <c r="X480" s="551"/>
      <c r="Y480" s="551"/>
      <c r="Z480" s="551"/>
      <c r="AA480" s="551"/>
      <c r="AB480" s="551"/>
      <c r="AC480" s="551"/>
      <c r="AD480" s="551"/>
      <c r="AE480" s="551"/>
      <c r="AF480" s="551"/>
      <c r="AG480" s="551"/>
      <c r="AH480" s="551"/>
      <c r="AI480" s="551"/>
      <c r="AJ480" s="551"/>
      <c r="AK480" s="551"/>
      <c r="AL480" s="551"/>
      <c r="AM480" s="551"/>
      <c r="AN480" s="551"/>
      <c r="AO480" s="551"/>
      <c r="AP480" s="551"/>
      <c r="AQ480" s="551"/>
      <c r="AR480" s="551"/>
      <c r="AS480" s="551"/>
      <c r="AT480" s="551"/>
      <c r="AU480" s="551"/>
      <c r="AV480" s="551"/>
      <c r="AW480" s="551"/>
      <c r="AX480" s="551"/>
      <c r="AY480" s="551"/>
      <c r="AZ480" s="551"/>
      <c r="BA480" s="551"/>
      <c r="BB480" s="551"/>
      <c r="BC480" s="551"/>
      <c r="BD480" s="551"/>
      <c r="BE480" s="551"/>
      <c r="BF480" s="551"/>
      <c r="BG480" s="551"/>
      <c r="BH480" s="551"/>
      <c r="BI480" s="551"/>
      <c r="BJ480" s="551"/>
      <c r="BK480" s="551"/>
    </row>
    <row r="481" spans="1:63" ht="12.75" customHeight="1">
      <c r="A481" s="551"/>
      <c r="B481" s="551"/>
      <c r="C481" s="551"/>
      <c r="D481" s="551"/>
      <c r="E481" s="551"/>
      <c r="F481" s="551"/>
      <c r="G481" s="551"/>
      <c r="H481" s="551"/>
      <c r="I481" s="551"/>
      <c r="J481" s="551"/>
      <c r="K481" s="551"/>
      <c r="L481" s="551"/>
      <c r="M481" s="551"/>
      <c r="N481" s="551"/>
      <c r="O481" s="551"/>
      <c r="P481" s="551"/>
      <c r="Q481" s="551"/>
      <c r="R481" s="551"/>
      <c r="S481" s="551"/>
      <c r="T481" s="551"/>
      <c r="U481" s="551"/>
      <c r="V481" s="551"/>
      <c r="W481" s="551"/>
      <c r="X481" s="551"/>
      <c r="Y481" s="551"/>
      <c r="Z481" s="551"/>
      <c r="AA481" s="551"/>
      <c r="AB481" s="551"/>
      <c r="AC481" s="551"/>
      <c r="AD481" s="551"/>
      <c r="AE481" s="551"/>
      <c r="AF481" s="551"/>
      <c r="AG481" s="551"/>
      <c r="AH481" s="551"/>
      <c r="AI481" s="551"/>
      <c r="AJ481" s="551"/>
      <c r="AK481" s="551"/>
      <c r="AL481" s="551"/>
      <c r="AM481" s="551"/>
      <c r="AN481" s="551"/>
      <c r="AO481" s="551"/>
      <c r="AP481" s="551"/>
      <c r="AQ481" s="551"/>
      <c r="AR481" s="551"/>
      <c r="AS481" s="551"/>
      <c r="AT481" s="551"/>
      <c r="AU481" s="551"/>
      <c r="AV481" s="551"/>
      <c r="AW481" s="551"/>
      <c r="AX481" s="551"/>
      <c r="AY481" s="551"/>
      <c r="AZ481" s="551"/>
      <c r="BA481" s="551"/>
      <c r="BB481" s="551"/>
      <c r="BC481" s="551"/>
      <c r="BD481" s="551"/>
      <c r="BE481" s="551"/>
      <c r="BF481" s="551"/>
      <c r="BG481" s="551"/>
      <c r="BH481" s="551"/>
      <c r="BI481" s="551"/>
      <c r="BJ481" s="551"/>
      <c r="BK481" s="551"/>
    </row>
    <row r="482" spans="1:63" ht="12.75" customHeight="1">
      <c r="A482" s="551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1"/>
      <c r="P482" s="551"/>
      <c r="Q482" s="551"/>
      <c r="R482" s="551"/>
      <c r="S482" s="551"/>
      <c r="T482" s="551"/>
      <c r="U482" s="551"/>
      <c r="V482" s="551"/>
      <c r="W482" s="551"/>
      <c r="X482" s="551"/>
      <c r="Y482" s="551"/>
      <c r="Z482" s="551"/>
      <c r="AA482" s="551"/>
      <c r="AB482" s="551"/>
      <c r="AC482" s="551"/>
      <c r="AD482" s="551"/>
      <c r="AE482" s="551"/>
      <c r="AF482" s="551"/>
      <c r="AG482" s="551"/>
      <c r="AH482" s="551"/>
      <c r="AI482" s="551"/>
      <c r="AJ482" s="551"/>
      <c r="AK482" s="551"/>
      <c r="AL482" s="551"/>
      <c r="AM482" s="551"/>
      <c r="AN482" s="551"/>
      <c r="AO482" s="551"/>
      <c r="AP482" s="551"/>
      <c r="AQ482" s="551"/>
      <c r="AR482" s="551"/>
      <c r="AS482" s="551"/>
      <c r="AT482" s="551"/>
      <c r="AU482" s="551"/>
      <c r="AV482" s="551"/>
      <c r="AW482" s="551"/>
      <c r="AX482" s="551"/>
      <c r="AY482" s="551"/>
      <c r="AZ482" s="551"/>
      <c r="BA482" s="551"/>
      <c r="BB482" s="551"/>
      <c r="BC482" s="551"/>
      <c r="BD482" s="551"/>
      <c r="BE482" s="551"/>
      <c r="BF482" s="551"/>
      <c r="BG482" s="551"/>
      <c r="BH482" s="551"/>
      <c r="BI482" s="551"/>
      <c r="BJ482" s="551"/>
      <c r="BK482" s="551"/>
    </row>
    <row r="483" spans="1:63" ht="12.75" customHeight="1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1"/>
      <c r="P483" s="551"/>
      <c r="Q483" s="551"/>
      <c r="R483" s="551"/>
      <c r="S483" s="551"/>
      <c r="T483" s="551"/>
      <c r="U483" s="551"/>
      <c r="V483" s="551"/>
      <c r="W483" s="551"/>
      <c r="X483" s="551"/>
      <c r="Y483" s="551"/>
      <c r="Z483" s="551"/>
      <c r="AA483" s="551"/>
      <c r="AB483" s="551"/>
      <c r="AC483" s="551"/>
      <c r="AD483" s="551"/>
      <c r="AE483" s="551"/>
      <c r="AF483" s="551"/>
      <c r="AG483" s="551"/>
      <c r="AH483" s="551"/>
      <c r="AI483" s="551"/>
      <c r="AJ483" s="551"/>
      <c r="AK483" s="551"/>
      <c r="AL483" s="551"/>
      <c r="AM483" s="551"/>
      <c r="AN483" s="551"/>
      <c r="AO483" s="551"/>
      <c r="AP483" s="551"/>
      <c r="AQ483" s="551"/>
      <c r="AR483" s="551"/>
      <c r="AS483" s="551"/>
      <c r="AT483" s="551"/>
      <c r="AU483" s="551"/>
      <c r="AV483" s="551"/>
      <c r="AW483" s="551"/>
      <c r="AX483" s="551"/>
      <c r="AY483" s="551"/>
      <c r="AZ483" s="551"/>
      <c r="BA483" s="551"/>
      <c r="BB483" s="551"/>
      <c r="BC483" s="551"/>
      <c r="BD483" s="551"/>
      <c r="BE483" s="551"/>
      <c r="BF483" s="551"/>
      <c r="BG483" s="551"/>
      <c r="BH483" s="551"/>
      <c r="BI483" s="551"/>
      <c r="BJ483" s="551"/>
      <c r="BK483" s="551"/>
    </row>
    <row r="484" spans="1:63" ht="12.75" customHeight="1">
      <c r="A484" s="551"/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51"/>
      <c r="AB484" s="551"/>
      <c r="AC484" s="551"/>
      <c r="AD484" s="551"/>
      <c r="AE484" s="551"/>
      <c r="AF484" s="551"/>
      <c r="AG484" s="551"/>
      <c r="AH484" s="551"/>
      <c r="AI484" s="551"/>
      <c r="AJ484" s="551"/>
      <c r="AK484" s="551"/>
      <c r="AL484" s="551"/>
      <c r="AM484" s="551"/>
      <c r="AN484" s="551"/>
      <c r="AO484" s="551"/>
      <c r="AP484" s="551"/>
      <c r="AQ484" s="551"/>
      <c r="AR484" s="551"/>
      <c r="AS484" s="551"/>
      <c r="AT484" s="551"/>
      <c r="AU484" s="551"/>
      <c r="AV484" s="551"/>
      <c r="AW484" s="551"/>
      <c r="AX484" s="551"/>
      <c r="AY484" s="551"/>
      <c r="AZ484" s="551"/>
      <c r="BA484" s="551"/>
      <c r="BB484" s="551"/>
      <c r="BC484" s="551"/>
      <c r="BD484" s="551"/>
      <c r="BE484" s="551"/>
      <c r="BF484" s="551"/>
      <c r="BG484" s="551"/>
      <c r="BH484" s="551"/>
      <c r="BI484" s="551"/>
      <c r="BJ484" s="551"/>
      <c r="BK484" s="551"/>
    </row>
    <row r="485" spans="1:63" ht="12.75" customHeight="1">
      <c r="A485" s="551"/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51"/>
      <c r="AB485" s="551"/>
      <c r="AC485" s="551"/>
      <c r="AD485" s="551"/>
      <c r="AE485" s="551"/>
      <c r="AF485" s="551"/>
      <c r="AG485" s="551"/>
      <c r="AH485" s="551"/>
      <c r="AI485" s="551"/>
      <c r="AJ485" s="551"/>
      <c r="AK485" s="551"/>
      <c r="AL485" s="551"/>
      <c r="AM485" s="551"/>
      <c r="AN485" s="551"/>
      <c r="AO485" s="551"/>
      <c r="AP485" s="551"/>
      <c r="AQ485" s="551"/>
      <c r="AR485" s="551"/>
      <c r="AS485" s="551"/>
      <c r="AT485" s="551"/>
      <c r="AU485" s="551"/>
      <c r="AV485" s="551"/>
      <c r="AW485" s="551"/>
      <c r="AX485" s="551"/>
      <c r="AY485" s="551"/>
      <c r="AZ485" s="551"/>
      <c r="BA485" s="551"/>
      <c r="BB485" s="551"/>
      <c r="BC485" s="551"/>
      <c r="BD485" s="551"/>
      <c r="BE485" s="551"/>
      <c r="BF485" s="551"/>
      <c r="BG485" s="551"/>
      <c r="BH485" s="551"/>
      <c r="BI485" s="551"/>
      <c r="BJ485" s="551"/>
      <c r="BK485" s="551"/>
    </row>
    <row r="486" spans="1:63" ht="12.75" customHeight="1">
      <c r="A486" s="551"/>
      <c r="B486" s="551"/>
      <c r="C486" s="551"/>
      <c r="D486" s="551"/>
      <c r="E486" s="551"/>
      <c r="F486" s="551"/>
      <c r="G486" s="551"/>
      <c r="H486" s="551"/>
      <c r="I486" s="551"/>
      <c r="J486" s="551"/>
      <c r="K486" s="551"/>
      <c r="L486" s="551"/>
      <c r="M486" s="551"/>
      <c r="N486" s="551"/>
      <c r="O486" s="551"/>
      <c r="P486" s="551"/>
      <c r="Q486" s="551"/>
      <c r="R486" s="551"/>
      <c r="S486" s="551"/>
      <c r="T486" s="551"/>
      <c r="U486" s="551"/>
      <c r="V486" s="551"/>
      <c r="W486" s="551"/>
      <c r="X486" s="551"/>
      <c r="Y486" s="551"/>
      <c r="Z486" s="551"/>
      <c r="AA486" s="551"/>
      <c r="AB486" s="551"/>
      <c r="AC486" s="551"/>
      <c r="AD486" s="551"/>
      <c r="AE486" s="551"/>
      <c r="AF486" s="551"/>
      <c r="AG486" s="551"/>
      <c r="AH486" s="551"/>
      <c r="AI486" s="551"/>
      <c r="AJ486" s="551"/>
      <c r="AK486" s="551"/>
      <c r="AL486" s="551"/>
      <c r="AM486" s="551"/>
      <c r="AN486" s="551"/>
      <c r="AO486" s="551"/>
      <c r="AP486" s="551"/>
      <c r="AQ486" s="551"/>
      <c r="AR486" s="551"/>
      <c r="AS486" s="551"/>
      <c r="AT486" s="551"/>
      <c r="AU486" s="551"/>
      <c r="AV486" s="551"/>
      <c r="AW486" s="551"/>
      <c r="AX486" s="551"/>
      <c r="AY486" s="551"/>
      <c r="AZ486" s="551"/>
      <c r="BA486" s="551"/>
      <c r="BB486" s="551"/>
      <c r="BC486" s="551"/>
      <c r="BD486" s="551"/>
      <c r="BE486" s="551"/>
      <c r="BF486" s="551"/>
      <c r="BG486" s="551"/>
      <c r="BH486" s="551"/>
      <c r="BI486" s="551"/>
      <c r="BJ486" s="551"/>
      <c r="BK486" s="551"/>
    </row>
    <row r="487" spans="1:63" ht="12.75" customHeight="1">
      <c r="A487" s="551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1"/>
      <c r="P487" s="551"/>
      <c r="Q487" s="551"/>
      <c r="R487" s="551"/>
      <c r="S487" s="551"/>
      <c r="T487" s="551"/>
      <c r="U487" s="551"/>
      <c r="V487" s="551"/>
      <c r="W487" s="551"/>
      <c r="X487" s="551"/>
      <c r="Y487" s="551"/>
      <c r="Z487" s="551"/>
      <c r="AA487" s="551"/>
      <c r="AB487" s="551"/>
      <c r="AC487" s="551"/>
      <c r="AD487" s="551"/>
      <c r="AE487" s="551"/>
      <c r="AF487" s="551"/>
      <c r="AG487" s="551"/>
      <c r="AH487" s="551"/>
      <c r="AI487" s="551"/>
      <c r="AJ487" s="551"/>
      <c r="AK487" s="551"/>
      <c r="AL487" s="551"/>
      <c r="AM487" s="551"/>
      <c r="AN487" s="551"/>
      <c r="AO487" s="551"/>
      <c r="AP487" s="551"/>
      <c r="AQ487" s="551"/>
      <c r="AR487" s="551"/>
      <c r="AS487" s="551"/>
      <c r="AT487" s="551"/>
      <c r="AU487" s="551"/>
      <c r="AV487" s="551"/>
      <c r="AW487" s="551"/>
      <c r="AX487" s="551"/>
      <c r="AY487" s="551"/>
      <c r="AZ487" s="551"/>
      <c r="BA487" s="551"/>
      <c r="BB487" s="551"/>
      <c r="BC487" s="551"/>
      <c r="BD487" s="551"/>
      <c r="BE487" s="551"/>
      <c r="BF487" s="551"/>
      <c r="BG487" s="551"/>
      <c r="BH487" s="551"/>
      <c r="BI487" s="551"/>
      <c r="BJ487" s="551"/>
      <c r="BK487" s="551"/>
    </row>
    <row r="488" spans="1:63" ht="12.75" customHeight="1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1"/>
      <c r="P488" s="551"/>
      <c r="Q488" s="551"/>
      <c r="R488" s="551"/>
      <c r="S488" s="551"/>
      <c r="T488" s="551"/>
      <c r="U488" s="551"/>
      <c r="V488" s="551"/>
      <c r="W488" s="551"/>
      <c r="X488" s="551"/>
      <c r="Y488" s="551"/>
      <c r="Z488" s="551"/>
      <c r="AA488" s="551"/>
      <c r="AB488" s="551"/>
      <c r="AC488" s="551"/>
      <c r="AD488" s="551"/>
      <c r="AE488" s="551"/>
      <c r="AF488" s="551"/>
      <c r="AG488" s="551"/>
      <c r="AH488" s="551"/>
      <c r="AI488" s="551"/>
      <c r="AJ488" s="551"/>
      <c r="AK488" s="551"/>
      <c r="AL488" s="551"/>
      <c r="AM488" s="551"/>
      <c r="AN488" s="551"/>
      <c r="AO488" s="551"/>
      <c r="AP488" s="551"/>
      <c r="AQ488" s="551"/>
      <c r="AR488" s="551"/>
      <c r="AS488" s="551"/>
      <c r="AT488" s="551"/>
      <c r="AU488" s="551"/>
      <c r="AV488" s="551"/>
      <c r="AW488" s="551"/>
      <c r="AX488" s="551"/>
      <c r="AY488" s="551"/>
      <c r="AZ488" s="551"/>
      <c r="BA488" s="551"/>
      <c r="BB488" s="551"/>
      <c r="BC488" s="551"/>
      <c r="BD488" s="551"/>
      <c r="BE488" s="551"/>
      <c r="BF488" s="551"/>
      <c r="BG488" s="551"/>
      <c r="BH488" s="551"/>
      <c r="BI488" s="551"/>
      <c r="BJ488" s="551"/>
      <c r="BK488" s="551"/>
    </row>
    <row r="489" spans="1:63" ht="12.75" customHeight="1">
      <c r="A489" s="551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551"/>
      <c r="P489" s="551"/>
      <c r="Q489" s="551"/>
      <c r="R489" s="551"/>
      <c r="S489" s="551"/>
      <c r="T489" s="551"/>
      <c r="U489" s="551"/>
      <c r="V489" s="551"/>
      <c r="W489" s="551"/>
      <c r="X489" s="551"/>
      <c r="Y489" s="551"/>
      <c r="Z489" s="551"/>
      <c r="AA489" s="551"/>
      <c r="AB489" s="551"/>
      <c r="AC489" s="551"/>
      <c r="AD489" s="551"/>
      <c r="AE489" s="551"/>
      <c r="AF489" s="551"/>
      <c r="AG489" s="551"/>
      <c r="AH489" s="551"/>
      <c r="AI489" s="551"/>
      <c r="AJ489" s="551"/>
      <c r="AK489" s="551"/>
      <c r="AL489" s="551"/>
      <c r="AM489" s="551"/>
      <c r="AN489" s="551"/>
      <c r="AO489" s="551"/>
      <c r="AP489" s="551"/>
      <c r="AQ489" s="551"/>
      <c r="AR489" s="551"/>
      <c r="AS489" s="551"/>
      <c r="AT489" s="551"/>
      <c r="AU489" s="551"/>
      <c r="AV489" s="551"/>
      <c r="AW489" s="551"/>
      <c r="AX489" s="551"/>
      <c r="AY489" s="551"/>
      <c r="AZ489" s="551"/>
      <c r="BA489" s="551"/>
      <c r="BB489" s="551"/>
      <c r="BC489" s="551"/>
      <c r="BD489" s="551"/>
      <c r="BE489" s="551"/>
      <c r="BF489" s="551"/>
      <c r="BG489" s="551"/>
      <c r="BH489" s="551"/>
      <c r="BI489" s="551"/>
      <c r="BJ489" s="551"/>
      <c r="BK489" s="551"/>
    </row>
    <row r="490" spans="1:63" ht="12.75" customHeight="1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551"/>
      <c r="P490" s="551"/>
      <c r="Q490" s="551"/>
      <c r="R490" s="551"/>
      <c r="S490" s="551"/>
      <c r="T490" s="551"/>
      <c r="U490" s="551"/>
      <c r="V490" s="551"/>
      <c r="W490" s="551"/>
      <c r="X490" s="551"/>
      <c r="Y490" s="551"/>
      <c r="Z490" s="551"/>
      <c r="AA490" s="551"/>
      <c r="AB490" s="551"/>
      <c r="AC490" s="551"/>
      <c r="AD490" s="551"/>
      <c r="AE490" s="551"/>
      <c r="AF490" s="551"/>
      <c r="AG490" s="551"/>
      <c r="AH490" s="551"/>
      <c r="AI490" s="551"/>
      <c r="AJ490" s="551"/>
      <c r="AK490" s="551"/>
      <c r="AL490" s="551"/>
      <c r="AM490" s="551"/>
      <c r="AN490" s="551"/>
      <c r="AO490" s="551"/>
      <c r="AP490" s="551"/>
      <c r="AQ490" s="551"/>
      <c r="AR490" s="551"/>
      <c r="AS490" s="551"/>
      <c r="AT490" s="551"/>
      <c r="AU490" s="551"/>
      <c r="AV490" s="551"/>
      <c r="AW490" s="551"/>
      <c r="AX490" s="551"/>
      <c r="AY490" s="551"/>
      <c r="AZ490" s="551"/>
      <c r="BA490" s="551"/>
      <c r="BB490" s="551"/>
      <c r="BC490" s="551"/>
      <c r="BD490" s="551"/>
      <c r="BE490" s="551"/>
      <c r="BF490" s="551"/>
      <c r="BG490" s="551"/>
      <c r="BH490" s="551"/>
      <c r="BI490" s="551"/>
      <c r="BJ490" s="551"/>
      <c r="BK490" s="551"/>
    </row>
    <row r="491" spans="1:63" ht="12.75" customHeight="1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551"/>
      <c r="P491" s="551"/>
      <c r="Q491" s="551"/>
      <c r="R491" s="551"/>
      <c r="S491" s="551"/>
      <c r="T491" s="551"/>
      <c r="U491" s="551"/>
      <c r="V491" s="551"/>
      <c r="W491" s="551"/>
      <c r="X491" s="551"/>
      <c r="Y491" s="551"/>
      <c r="Z491" s="551"/>
      <c r="AA491" s="551"/>
      <c r="AB491" s="551"/>
      <c r="AC491" s="551"/>
      <c r="AD491" s="551"/>
      <c r="AE491" s="551"/>
      <c r="AF491" s="551"/>
      <c r="AG491" s="551"/>
      <c r="AH491" s="551"/>
      <c r="AI491" s="551"/>
      <c r="AJ491" s="551"/>
      <c r="AK491" s="551"/>
      <c r="AL491" s="551"/>
      <c r="AM491" s="551"/>
      <c r="AN491" s="551"/>
      <c r="AO491" s="551"/>
      <c r="AP491" s="551"/>
      <c r="AQ491" s="551"/>
      <c r="AR491" s="551"/>
      <c r="AS491" s="551"/>
      <c r="AT491" s="551"/>
      <c r="AU491" s="551"/>
      <c r="AV491" s="551"/>
      <c r="AW491" s="551"/>
      <c r="AX491" s="551"/>
      <c r="AY491" s="551"/>
      <c r="AZ491" s="551"/>
      <c r="BA491" s="551"/>
      <c r="BB491" s="551"/>
      <c r="BC491" s="551"/>
      <c r="BD491" s="551"/>
      <c r="BE491" s="551"/>
      <c r="BF491" s="551"/>
      <c r="BG491" s="551"/>
      <c r="BH491" s="551"/>
      <c r="BI491" s="551"/>
      <c r="BJ491" s="551"/>
      <c r="BK491" s="551"/>
    </row>
    <row r="492" spans="1:63" ht="12.75" customHeight="1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551"/>
      <c r="P492" s="551"/>
      <c r="Q492" s="551"/>
      <c r="R492" s="551"/>
      <c r="S492" s="551"/>
      <c r="T492" s="551"/>
      <c r="U492" s="551"/>
      <c r="V492" s="551"/>
      <c r="W492" s="551"/>
      <c r="X492" s="551"/>
      <c r="Y492" s="551"/>
      <c r="Z492" s="551"/>
      <c r="AA492" s="551"/>
      <c r="AB492" s="551"/>
      <c r="AC492" s="551"/>
      <c r="AD492" s="551"/>
      <c r="AE492" s="551"/>
      <c r="AF492" s="551"/>
      <c r="AG492" s="551"/>
      <c r="AH492" s="551"/>
      <c r="AI492" s="551"/>
      <c r="AJ492" s="551"/>
      <c r="AK492" s="551"/>
      <c r="AL492" s="551"/>
      <c r="AM492" s="551"/>
      <c r="AN492" s="551"/>
      <c r="AO492" s="551"/>
      <c r="AP492" s="551"/>
      <c r="AQ492" s="551"/>
      <c r="AR492" s="551"/>
      <c r="AS492" s="551"/>
      <c r="AT492" s="551"/>
      <c r="AU492" s="551"/>
      <c r="AV492" s="551"/>
      <c r="AW492" s="551"/>
      <c r="AX492" s="551"/>
      <c r="AY492" s="551"/>
      <c r="AZ492" s="551"/>
      <c r="BA492" s="551"/>
      <c r="BB492" s="551"/>
      <c r="BC492" s="551"/>
      <c r="BD492" s="551"/>
      <c r="BE492" s="551"/>
      <c r="BF492" s="551"/>
      <c r="BG492" s="551"/>
      <c r="BH492" s="551"/>
      <c r="BI492" s="551"/>
      <c r="BJ492" s="551"/>
      <c r="BK492" s="551"/>
    </row>
    <row r="493" spans="1:63" ht="12.75" customHeight="1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551"/>
      <c r="P493" s="551"/>
      <c r="Q493" s="551"/>
      <c r="R493" s="551"/>
      <c r="S493" s="551"/>
      <c r="T493" s="551"/>
      <c r="U493" s="551"/>
      <c r="V493" s="551"/>
      <c r="W493" s="551"/>
      <c r="X493" s="551"/>
      <c r="Y493" s="551"/>
      <c r="Z493" s="551"/>
      <c r="AA493" s="551"/>
      <c r="AB493" s="551"/>
      <c r="AC493" s="551"/>
      <c r="AD493" s="551"/>
      <c r="AE493" s="551"/>
      <c r="AF493" s="551"/>
      <c r="AG493" s="551"/>
      <c r="AH493" s="551"/>
      <c r="AI493" s="551"/>
      <c r="AJ493" s="551"/>
      <c r="AK493" s="551"/>
      <c r="AL493" s="551"/>
      <c r="AM493" s="551"/>
      <c r="AN493" s="551"/>
      <c r="AO493" s="551"/>
      <c r="AP493" s="551"/>
      <c r="AQ493" s="551"/>
      <c r="AR493" s="551"/>
      <c r="AS493" s="551"/>
      <c r="AT493" s="551"/>
      <c r="AU493" s="551"/>
      <c r="AV493" s="551"/>
      <c r="AW493" s="551"/>
      <c r="AX493" s="551"/>
      <c r="AY493" s="551"/>
      <c r="AZ493" s="551"/>
      <c r="BA493" s="551"/>
      <c r="BB493" s="551"/>
      <c r="BC493" s="551"/>
      <c r="BD493" s="551"/>
      <c r="BE493" s="551"/>
      <c r="BF493" s="551"/>
      <c r="BG493" s="551"/>
      <c r="BH493" s="551"/>
      <c r="BI493" s="551"/>
      <c r="BJ493" s="551"/>
      <c r="BK493" s="551"/>
    </row>
    <row r="494" spans="1:63" ht="12.75" customHeight="1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551"/>
      <c r="P494" s="551"/>
      <c r="Q494" s="551"/>
      <c r="R494" s="551"/>
      <c r="S494" s="551"/>
      <c r="T494" s="551"/>
      <c r="U494" s="551"/>
      <c r="V494" s="551"/>
      <c r="W494" s="551"/>
      <c r="X494" s="551"/>
      <c r="Y494" s="551"/>
      <c r="Z494" s="551"/>
      <c r="AA494" s="551"/>
      <c r="AB494" s="551"/>
      <c r="AC494" s="551"/>
      <c r="AD494" s="551"/>
      <c r="AE494" s="551"/>
      <c r="AF494" s="551"/>
      <c r="AG494" s="551"/>
      <c r="AH494" s="551"/>
      <c r="AI494" s="551"/>
      <c r="AJ494" s="551"/>
      <c r="AK494" s="551"/>
      <c r="AL494" s="551"/>
      <c r="AM494" s="551"/>
      <c r="AN494" s="551"/>
      <c r="AO494" s="551"/>
      <c r="AP494" s="551"/>
      <c r="AQ494" s="551"/>
      <c r="AR494" s="551"/>
      <c r="AS494" s="551"/>
      <c r="AT494" s="551"/>
      <c r="AU494" s="551"/>
      <c r="AV494" s="551"/>
      <c r="AW494" s="551"/>
      <c r="AX494" s="551"/>
      <c r="AY494" s="551"/>
      <c r="AZ494" s="551"/>
      <c r="BA494" s="551"/>
      <c r="BB494" s="551"/>
      <c r="BC494" s="551"/>
      <c r="BD494" s="551"/>
      <c r="BE494" s="551"/>
      <c r="BF494" s="551"/>
      <c r="BG494" s="551"/>
      <c r="BH494" s="551"/>
      <c r="BI494" s="551"/>
      <c r="BJ494" s="551"/>
      <c r="BK494" s="551"/>
    </row>
    <row r="495" spans="1:63" ht="12.75" customHeight="1">
      <c r="A495" s="551"/>
      <c r="B495" s="551"/>
      <c r="C495" s="551"/>
      <c r="D495" s="551"/>
      <c r="E495" s="551"/>
      <c r="F495" s="551"/>
      <c r="G495" s="551"/>
      <c r="H495" s="551"/>
      <c r="I495" s="551"/>
      <c r="J495" s="551"/>
      <c r="K495" s="551"/>
      <c r="L495" s="551"/>
      <c r="M495" s="551"/>
      <c r="N495" s="551"/>
      <c r="O495" s="551"/>
      <c r="P495" s="551"/>
      <c r="Q495" s="551"/>
      <c r="R495" s="551"/>
      <c r="S495" s="551"/>
      <c r="T495" s="551"/>
      <c r="U495" s="551"/>
      <c r="V495" s="551"/>
      <c r="W495" s="551"/>
      <c r="X495" s="551"/>
      <c r="Y495" s="551"/>
      <c r="Z495" s="551"/>
      <c r="AA495" s="551"/>
      <c r="AB495" s="551"/>
      <c r="AC495" s="551"/>
      <c r="AD495" s="551"/>
      <c r="AE495" s="551"/>
      <c r="AF495" s="551"/>
      <c r="AG495" s="551"/>
      <c r="AH495" s="551"/>
      <c r="AI495" s="551"/>
      <c r="AJ495" s="551"/>
      <c r="AK495" s="551"/>
      <c r="AL495" s="551"/>
      <c r="AM495" s="551"/>
      <c r="AN495" s="551"/>
      <c r="AO495" s="551"/>
      <c r="AP495" s="551"/>
      <c r="AQ495" s="551"/>
      <c r="AR495" s="551"/>
      <c r="AS495" s="551"/>
      <c r="AT495" s="551"/>
      <c r="AU495" s="551"/>
      <c r="AV495" s="551"/>
      <c r="AW495" s="551"/>
      <c r="AX495" s="551"/>
      <c r="AY495" s="551"/>
      <c r="AZ495" s="551"/>
      <c r="BA495" s="551"/>
      <c r="BB495" s="551"/>
      <c r="BC495" s="551"/>
      <c r="BD495" s="551"/>
      <c r="BE495" s="551"/>
      <c r="BF495" s="551"/>
      <c r="BG495" s="551"/>
      <c r="BH495" s="551"/>
      <c r="BI495" s="551"/>
      <c r="BJ495" s="551"/>
      <c r="BK495" s="551"/>
    </row>
    <row r="496" spans="1:63" ht="12.75" customHeight="1">
      <c r="A496" s="551"/>
      <c r="B496" s="551"/>
      <c r="C496" s="551"/>
      <c r="D496" s="551"/>
      <c r="E496" s="551"/>
      <c r="F496" s="551"/>
      <c r="G496" s="551"/>
      <c r="H496" s="551"/>
      <c r="I496" s="551"/>
      <c r="J496" s="551"/>
      <c r="K496" s="551"/>
      <c r="L496" s="551"/>
      <c r="M496" s="551"/>
      <c r="N496" s="551"/>
      <c r="O496" s="551"/>
      <c r="P496" s="551"/>
      <c r="Q496" s="551"/>
      <c r="R496" s="551"/>
      <c r="S496" s="551"/>
      <c r="T496" s="551"/>
      <c r="U496" s="551"/>
      <c r="V496" s="551"/>
      <c r="W496" s="551"/>
      <c r="X496" s="551"/>
      <c r="Y496" s="551"/>
      <c r="Z496" s="551"/>
      <c r="AA496" s="551"/>
      <c r="AB496" s="551"/>
      <c r="AC496" s="551"/>
      <c r="AD496" s="551"/>
      <c r="AE496" s="551"/>
      <c r="AF496" s="551"/>
      <c r="AG496" s="551"/>
      <c r="AH496" s="551"/>
      <c r="AI496" s="551"/>
      <c r="AJ496" s="551"/>
      <c r="AK496" s="551"/>
      <c r="AL496" s="551"/>
      <c r="AM496" s="551"/>
      <c r="AN496" s="551"/>
      <c r="AO496" s="551"/>
      <c r="AP496" s="551"/>
      <c r="AQ496" s="551"/>
      <c r="AR496" s="551"/>
      <c r="AS496" s="551"/>
      <c r="AT496" s="551"/>
      <c r="AU496" s="551"/>
      <c r="AV496" s="551"/>
      <c r="AW496" s="551"/>
      <c r="AX496" s="551"/>
      <c r="AY496" s="551"/>
      <c r="AZ496" s="551"/>
      <c r="BA496" s="551"/>
      <c r="BB496" s="551"/>
      <c r="BC496" s="551"/>
      <c r="BD496" s="551"/>
      <c r="BE496" s="551"/>
      <c r="BF496" s="551"/>
      <c r="BG496" s="551"/>
      <c r="BH496" s="551"/>
      <c r="BI496" s="551"/>
      <c r="BJ496" s="551"/>
      <c r="BK496" s="551"/>
    </row>
    <row r="497" spans="1:63" ht="12.75" customHeight="1">
      <c r="A497" s="551"/>
      <c r="B497" s="551"/>
      <c r="C497" s="551"/>
      <c r="D497" s="551"/>
      <c r="E497" s="551"/>
      <c r="F497" s="551"/>
      <c r="G497" s="551"/>
      <c r="H497" s="551"/>
      <c r="I497" s="551"/>
      <c r="J497" s="551"/>
      <c r="K497" s="551"/>
      <c r="L497" s="551"/>
      <c r="M497" s="551"/>
      <c r="N497" s="551"/>
      <c r="O497" s="551"/>
      <c r="P497" s="551"/>
      <c r="Q497" s="551"/>
      <c r="R497" s="551"/>
      <c r="S497" s="551"/>
      <c r="T497" s="551"/>
      <c r="U497" s="551"/>
      <c r="V497" s="551"/>
      <c r="W497" s="551"/>
      <c r="X497" s="551"/>
      <c r="Y497" s="551"/>
      <c r="Z497" s="551"/>
      <c r="AA497" s="551"/>
      <c r="AB497" s="551"/>
      <c r="AC497" s="551"/>
      <c r="AD497" s="551"/>
      <c r="AE497" s="551"/>
      <c r="AF497" s="551"/>
      <c r="AG497" s="551"/>
      <c r="AH497" s="551"/>
      <c r="AI497" s="551"/>
      <c r="AJ497" s="551"/>
      <c r="AK497" s="551"/>
      <c r="AL497" s="551"/>
      <c r="AM497" s="551"/>
      <c r="AN497" s="551"/>
      <c r="AO497" s="551"/>
      <c r="AP497" s="551"/>
      <c r="AQ497" s="551"/>
      <c r="AR497" s="551"/>
      <c r="AS497" s="551"/>
      <c r="AT497" s="551"/>
      <c r="AU497" s="551"/>
      <c r="AV497" s="551"/>
      <c r="AW497" s="551"/>
      <c r="AX497" s="551"/>
      <c r="AY497" s="551"/>
      <c r="AZ497" s="551"/>
      <c r="BA497" s="551"/>
      <c r="BB497" s="551"/>
      <c r="BC497" s="551"/>
      <c r="BD497" s="551"/>
      <c r="BE497" s="551"/>
      <c r="BF497" s="551"/>
      <c r="BG497" s="551"/>
      <c r="BH497" s="551"/>
      <c r="BI497" s="551"/>
      <c r="BJ497" s="551"/>
      <c r="BK497" s="551"/>
    </row>
    <row r="498" spans="1:63" ht="12.75" customHeight="1">
      <c r="A498" s="551"/>
      <c r="B498" s="551"/>
      <c r="C498" s="551"/>
      <c r="D498" s="551"/>
      <c r="E498" s="551"/>
      <c r="F498" s="551"/>
      <c r="G498" s="551"/>
      <c r="H498" s="551"/>
      <c r="I498" s="551"/>
      <c r="J498" s="551"/>
      <c r="K498" s="551"/>
      <c r="L498" s="551"/>
      <c r="M498" s="551"/>
      <c r="N498" s="551"/>
      <c r="O498" s="551"/>
      <c r="P498" s="551"/>
      <c r="Q498" s="551"/>
      <c r="R498" s="551"/>
      <c r="S498" s="551"/>
      <c r="T498" s="551"/>
      <c r="U498" s="551"/>
      <c r="V498" s="551"/>
      <c r="W498" s="551"/>
      <c r="X498" s="551"/>
      <c r="Y498" s="551"/>
      <c r="Z498" s="551"/>
      <c r="AA498" s="551"/>
      <c r="AB498" s="551"/>
      <c r="AC498" s="551"/>
      <c r="AD498" s="551"/>
      <c r="AE498" s="551"/>
      <c r="AF498" s="551"/>
      <c r="AG498" s="551"/>
      <c r="AH498" s="551"/>
      <c r="AI498" s="551"/>
      <c r="AJ498" s="551"/>
      <c r="AK498" s="551"/>
      <c r="AL498" s="551"/>
      <c r="AM498" s="551"/>
      <c r="AN498" s="551"/>
      <c r="AO498" s="551"/>
      <c r="AP498" s="551"/>
      <c r="AQ498" s="551"/>
      <c r="AR498" s="551"/>
      <c r="AS498" s="551"/>
      <c r="AT498" s="551"/>
      <c r="AU498" s="551"/>
      <c r="AV498" s="551"/>
      <c r="AW498" s="551"/>
      <c r="AX498" s="551"/>
      <c r="AY498" s="551"/>
      <c r="AZ498" s="551"/>
      <c r="BA498" s="551"/>
      <c r="BB498" s="551"/>
      <c r="BC498" s="551"/>
      <c r="BD498" s="551"/>
      <c r="BE498" s="551"/>
      <c r="BF498" s="551"/>
      <c r="BG498" s="551"/>
      <c r="BH498" s="551"/>
      <c r="BI498" s="551"/>
      <c r="BJ498" s="551"/>
      <c r="BK498" s="551"/>
    </row>
    <row r="499" spans="1:63" ht="12.75" customHeight="1">
      <c r="A499" s="551"/>
      <c r="B499" s="551"/>
      <c r="C499" s="551"/>
      <c r="D499" s="551"/>
      <c r="E499" s="551"/>
      <c r="F499" s="551"/>
      <c r="G499" s="551"/>
      <c r="H499" s="551"/>
      <c r="I499" s="551"/>
      <c r="J499" s="551"/>
      <c r="K499" s="551"/>
      <c r="L499" s="551"/>
      <c r="M499" s="551"/>
      <c r="N499" s="551"/>
      <c r="O499" s="551"/>
      <c r="P499" s="551"/>
      <c r="Q499" s="551"/>
      <c r="R499" s="551"/>
      <c r="S499" s="551"/>
      <c r="T499" s="551"/>
      <c r="U499" s="551"/>
      <c r="V499" s="551"/>
      <c r="W499" s="551"/>
      <c r="X499" s="551"/>
      <c r="Y499" s="551"/>
      <c r="Z499" s="551"/>
      <c r="AA499" s="551"/>
      <c r="AB499" s="551"/>
      <c r="AC499" s="551"/>
      <c r="AD499" s="551"/>
      <c r="AE499" s="551"/>
      <c r="AF499" s="551"/>
      <c r="AG499" s="551"/>
      <c r="AH499" s="551"/>
      <c r="AI499" s="551"/>
      <c r="AJ499" s="551"/>
      <c r="AK499" s="551"/>
      <c r="AL499" s="551"/>
      <c r="AM499" s="551"/>
      <c r="AN499" s="551"/>
      <c r="AO499" s="551"/>
      <c r="AP499" s="551"/>
      <c r="AQ499" s="551"/>
      <c r="AR499" s="551"/>
      <c r="AS499" s="551"/>
      <c r="AT499" s="551"/>
      <c r="AU499" s="551"/>
      <c r="AV499" s="551"/>
      <c r="AW499" s="551"/>
      <c r="AX499" s="551"/>
      <c r="AY499" s="551"/>
      <c r="AZ499" s="551"/>
      <c r="BA499" s="551"/>
      <c r="BB499" s="551"/>
      <c r="BC499" s="551"/>
      <c r="BD499" s="551"/>
      <c r="BE499" s="551"/>
      <c r="BF499" s="551"/>
      <c r="BG499" s="551"/>
      <c r="BH499" s="551"/>
      <c r="BI499" s="551"/>
      <c r="BJ499" s="551"/>
      <c r="BK499" s="551"/>
    </row>
    <row r="500" spans="1:63" ht="12.75" customHeight="1">
      <c r="A500" s="551"/>
      <c r="B500" s="551"/>
      <c r="C500" s="551"/>
      <c r="D500" s="551"/>
      <c r="E500" s="551"/>
      <c r="F500" s="551"/>
      <c r="G500" s="551"/>
      <c r="H500" s="551"/>
      <c r="I500" s="551"/>
      <c r="J500" s="551"/>
      <c r="K500" s="551"/>
      <c r="L500" s="551"/>
      <c r="M500" s="551"/>
      <c r="N500" s="551"/>
      <c r="O500" s="551"/>
      <c r="P500" s="551"/>
      <c r="Q500" s="551"/>
      <c r="R500" s="551"/>
      <c r="S500" s="551"/>
      <c r="T500" s="551"/>
      <c r="U500" s="551"/>
      <c r="V500" s="551"/>
      <c r="W500" s="551"/>
      <c r="X500" s="551"/>
      <c r="Y500" s="551"/>
      <c r="Z500" s="551"/>
      <c r="AA500" s="551"/>
      <c r="AB500" s="551"/>
      <c r="AC500" s="551"/>
      <c r="AD500" s="551"/>
      <c r="AE500" s="551"/>
      <c r="AF500" s="551"/>
      <c r="AG500" s="551"/>
      <c r="AH500" s="551"/>
      <c r="AI500" s="551"/>
      <c r="AJ500" s="551"/>
      <c r="AK500" s="551"/>
      <c r="AL500" s="551"/>
      <c r="AM500" s="551"/>
      <c r="AN500" s="551"/>
      <c r="AO500" s="551"/>
      <c r="AP500" s="551"/>
      <c r="AQ500" s="551"/>
      <c r="AR500" s="551"/>
      <c r="AS500" s="551"/>
      <c r="AT500" s="551"/>
      <c r="AU500" s="551"/>
      <c r="AV500" s="551"/>
      <c r="AW500" s="551"/>
      <c r="AX500" s="551"/>
      <c r="AY500" s="551"/>
      <c r="AZ500" s="551"/>
      <c r="BA500" s="551"/>
      <c r="BB500" s="551"/>
      <c r="BC500" s="551"/>
      <c r="BD500" s="551"/>
      <c r="BE500" s="551"/>
      <c r="BF500" s="551"/>
      <c r="BG500" s="551"/>
      <c r="BH500" s="551"/>
      <c r="BI500" s="551"/>
      <c r="BJ500" s="551"/>
      <c r="BK500" s="551"/>
    </row>
    <row r="501" spans="1:63" ht="12.75" customHeight="1">
      <c r="A501" s="551"/>
      <c r="B501" s="551"/>
      <c r="C501" s="551"/>
      <c r="D501" s="551"/>
      <c r="E501" s="551"/>
      <c r="F501" s="551"/>
      <c r="G501" s="551"/>
      <c r="H501" s="551"/>
      <c r="I501" s="551"/>
      <c r="J501" s="551"/>
      <c r="K501" s="551"/>
      <c r="L501" s="551"/>
      <c r="M501" s="551"/>
      <c r="N501" s="551"/>
      <c r="O501" s="551"/>
      <c r="P501" s="551"/>
      <c r="Q501" s="551"/>
      <c r="R501" s="551"/>
      <c r="S501" s="551"/>
      <c r="T501" s="551"/>
      <c r="U501" s="551"/>
      <c r="V501" s="551"/>
      <c r="W501" s="551"/>
      <c r="X501" s="551"/>
      <c r="Y501" s="551"/>
      <c r="Z501" s="551"/>
      <c r="AA501" s="551"/>
      <c r="AB501" s="551"/>
      <c r="AC501" s="551"/>
      <c r="AD501" s="551"/>
      <c r="AE501" s="551"/>
      <c r="AF501" s="551"/>
      <c r="AG501" s="551"/>
      <c r="AH501" s="551"/>
      <c r="AI501" s="551"/>
      <c r="AJ501" s="551"/>
      <c r="AK501" s="551"/>
      <c r="AL501" s="551"/>
      <c r="AM501" s="551"/>
      <c r="AN501" s="551"/>
      <c r="AO501" s="551"/>
      <c r="AP501" s="551"/>
      <c r="AQ501" s="551"/>
      <c r="AR501" s="551"/>
      <c r="AS501" s="551"/>
      <c r="AT501" s="551"/>
      <c r="AU501" s="551"/>
      <c r="AV501" s="551"/>
      <c r="AW501" s="551"/>
      <c r="AX501" s="551"/>
      <c r="AY501" s="551"/>
      <c r="AZ501" s="551"/>
      <c r="BA501" s="551"/>
      <c r="BB501" s="551"/>
      <c r="BC501" s="551"/>
      <c r="BD501" s="551"/>
      <c r="BE501" s="551"/>
      <c r="BF501" s="551"/>
      <c r="BG501" s="551"/>
      <c r="BH501" s="551"/>
      <c r="BI501" s="551"/>
      <c r="BJ501" s="551"/>
      <c r="BK501" s="551"/>
    </row>
    <row r="502" spans="1:63" ht="12.75" customHeight="1">
      <c r="A502" s="551"/>
      <c r="B502" s="551"/>
      <c r="C502" s="551"/>
      <c r="D502" s="551"/>
      <c r="E502" s="551"/>
      <c r="F502" s="551"/>
      <c r="G502" s="551"/>
      <c r="H502" s="551"/>
      <c r="I502" s="551"/>
      <c r="J502" s="551"/>
      <c r="K502" s="551"/>
      <c r="L502" s="551"/>
      <c r="M502" s="551"/>
      <c r="N502" s="551"/>
      <c r="O502" s="551"/>
      <c r="P502" s="551"/>
      <c r="Q502" s="551"/>
      <c r="R502" s="551"/>
      <c r="S502" s="551"/>
      <c r="T502" s="551"/>
      <c r="U502" s="551"/>
      <c r="V502" s="551"/>
      <c r="W502" s="551"/>
      <c r="X502" s="551"/>
      <c r="Y502" s="551"/>
      <c r="Z502" s="551"/>
      <c r="AA502" s="551"/>
      <c r="AB502" s="551"/>
      <c r="AC502" s="551"/>
      <c r="AD502" s="551"/>
      <c r="AE502" s="551"/>
      <c r="AF502" s="551"/>
      <c r="AG502" s="551"/>
      <c r="AH502" s="551"/>
      <c r="AI502" s="551"/>
      <c r="AJ502" s="551"/>
      <c r="AK502" s="551"/>
      <c r="AL502" s="551"/>
      <c r="AM502" s="551"/>
      <c r="AN502" s="551"/>
      <c r="AO502" s="551"/>
      <c r="AP502" s="551"/>
      <c r="AQ502" s="551"/>
      <c r="AR502" s="551"/>
      <c r="AS502" s="551"/>
      <c r="AT502" s="551"/>
      <c r="AU502" s="551"/>
      <c r="AV502" s="551"/>
      <c r="AW502" s="551"/>
      <c r="AX502" s="551"/>
      <c r="AY502" s="551"/>
      <c r="AZ502" s="551"/>
      <c r="BA502" s="551"/>
      <c r="BB502" s="551"/>
      <c r="BC502" s="551"/>
      <c r="BD502" s="551"/>
      <c r="BE502" s="551"/>
      <c r="BF502" s="551"/>
      <c r="BG502" s="551"/>
      <c r="BH502" s="551"/>
      <c r="BI502" s="551"/>
      <c r="BJ502" s="551"/>
      <c r="BK502" s="551"/>
    </row>
    <row r="503" spans="1:63" ht="12.75" customHeight="1">
      <c r="A503" s="551"/>
      <c r="B503" s="551"/>
      <c r="C503" s="551"/>
      <c r="D503" s="551"/>
      <c r="E503" s="551"/>
      <c r="F503" s="551"/>
      <c r="G503" s="551"/>
      <c r="H503" s="551"/>
      <c r="I503" s="551"/>
      <c r="J503" s="551"/>
      <c r="K503" s="551"/>
      <c r="L503" s="551"/>
      <c r="M503" s="551"/>
      <c r="N503" s="551"/>
      <c r="O503" s="551"/>
      <c r="P503" s="551"/>
      <c r="Q503" s="551"/>
      <c r="R503" s="551"/>
      <c r="S503" s="551"/>
      <c r="T503" s="551"/>
      <c r="U503" s="551"/>
      <c r="V503" s="551"/>
      <c r="W503" s="551"/>
      <c r="X503" s="551"/>
      <c r="Y503" s="551"/>
      <c r="Z503" s="551"/>
      <c r="AA503" s="551"/>
      <c r="AB503" s="551"/>
      <c r="AC503" s="551"/>
      <c r="AD503" s="551"/>
      <c r="AE503" s="551"/>
      <c r="AF503" s="551"/>
      <c r="AG503" s="551"/>
      <c r="AH503" s="551"/>
      <c r="AI503" s="551"/>
      <c r="AJ503" s="551"/>
      <c r="AK503" s="551"/>
      <c r="AL503" s="551"/>
      <c r="AM503" s="551"/>
      <c r="AN503" s="551"/>
      <c r="AO503" s="551"/>
      <c r="AP503" s="551"/>
      <c r="AQ503" s="551"/>
      <c r="AR503" s="551"/>
      <c r="AS503" s="551"/>
      <c r="AT503" s="551"/>
      <c r="AU503" s="551"/>
      <c r="AV503" s="551"/>
      <c r="AW503" s="551"/>
      <c r="AX503" s="551"/>
      <c r="AY503" s="551"/>
      <c r="AZ503" s="551"/>
      <c r="BA503" s="551"/>
      <c r="BB503" s="551"/>
      <c r="BC503" s="551"/>
      <c r="BD503" s="551"/>
      <c r="BE503" s="551"/>
      <c r="BF503" s="551"/>
      <c r="BG503" s="551"/>
      <c r="BH503" s="551"/>
      <c r="BI503" s="551"/>
      <c r="BJ503" s="551"/>
      <c r="BK503" s="551"/>
    </row>
    <row r="504" spans="1:63" ht="12.75" customHeight="1">
      <c r="A504" s="551"/>
      <c r="B504" s="551"/>
      <c r="C504" s="551"/>
      <c r="D504" s="551"/>
      <c r="E504" s="551"/>
      <c r="F504" s="551"/>
      <c r="G504" s="551"/>
      <c r="H504" s="551"/>
      <c r="I504" s="551"/>
      <c r="J504" s="551"/>
      <c r="K504" s="551"/>
      <c r="L504" s="551"/>
      <c r="M504" s="551"/>
      <c r="N504" s="551"/>
      <c r="O504" s="551"/>
      <c r="P504" s="551"/>
      <c r="Q504" s="551"/>
      <c r="R504" s="551"/>
      <c r="S504" s="551"/>
      <c r="T504" s="551"/>
      <c r="U504" s="551"/>
      <c r="V504" s="551"/>
      <c r="W504" s="551"/>
      <c r="X504" s="551"/>
      <c r="Y504" s="551"/>
      <c r="Z504" s="551"/>
      <c r="AA504" s="551"/>
      <c r="AB504" s="551"/>
      <c r="AC504" s="551"/>
      <c r="AD504" s="551"/>
      <c r="AE504" s="551"/>
      <c r="AF504" s="551"/>
      <c r="AG504" s="551"/>
      <c r="AH504" s="551"/>
      <c r="AI504" s="551"/>
      <c r="AJ504" s="551"/>
      <c r="AK504" s="551"/>
      <c r="AL504" s="551"/>
      <c r="AM504" s="551"/>
      <c r="AN504" s="551"/>
      <c r="AO504" s="551"/>
      <c r="AP504" s="551"/>
      <c r="AQ504" s="551"/>
      <c r="AR504" s="551"/>
      <c r="AS504" s="551"/>
      <c r="AT504" s="551"/>
      <c r="AU504" s="551"/>
      <c r="AV504" s="551"/>
      <c r="AW504" s="551"/>
      <c r="AX504" s="551"/>
      <c r="AY504" s="551"/>
      <c r="AZ504" s="551"/>
      <c r="BA504" s="551"/>
      <c r="BB504" s="551"/>
      <c r="BC504" s="551"/>
      <c r="BD504" s="551"/>
      <c r="BE504" s="551"/>
      <c r="BF504" s="551"/>
      <c r="BG504" s="551"/>
      <c r="BH504" s="551"/>
      <c r="BI504" s="551"/>
      <c r="BJ504" s="551"/>
      <c r="BK504" s="551"/>
    </row>
    <row r="505" spans="1:63" ht="12.75" customHeight="1">
      <c r="A505" s="551"/>
      <c r="B505" s="551"/>
      <c r="C505" s="551"/>
      <c r="D505" s="551"/>
      <c r="E505" s="551"/>
      <c r="F505" s="551"/>
      <c r="G505" s="551"/>
      <c r="H505" s="551"/>
      <c r="I505" s="551"/>
      <c r="J505" s="551"/>
      <c r="K505" s="551"/>
      <c r="L505" s="551"/>
      <c r="M505" s="551"/>
      <c r="N505" s="551"/>
      <c r="O505" s="551"/>
      <c r="P505" s="551"/>
      <c r="Q505" s="551"/>
      <c r="R505" s="551"/>
      <c r="S505" s="551"/>
      <c r="T505" s="551"/>
      <c r="U505" s="551"/>
      <c r="V505" s="551"/>
      <c r="W505" s="551"/>
      <c r="X505" s="551"/>
      <c r="Y505" s="551"/>
      <c r="Z505" s="551"/>
      <c r="AA505" s="551"/>
      <c r="AB505" s="551"/>
      <c r="AC505" s="551"/>
      <c r="AD505" s="551"/>
      <c r="AE505" s="551"/>
      <c r="AF505" s="551"/>
      <c r="AG505" s="551"/>
      <c r="AH505" s="551"/>
      <c r="AI505" s="551"/>
      <c r="AJ505" s="551"/>
      <c r="AK505" s="551"/>
      <c r="AL505" s="551"/>
      <c r="AM505" s="551"/>
      <c r="AN505" s="551"/>
      <c r="AO505" s="551"/>
      <c r="AP505" s="551"/>
      <c r="AQ505" s="551"/>
      <c r="AR505" s="551"/>
      <c r="AS505" s="551"/>
      <c r="AT505" s="551"/>
      <c r="AU505" s="551"/>
      <c r="AV505" s="551"/>
      <c r="AW505" s="551"/>
      <c r="AX505" s="551"/>
      <c r="AY505" s="551"/>
      <c r="AZ505" s="551"/>
      <c r="BA505" s="551"/>
      <c r="BB505" s="551"/>
      <c r="BC505" s="551"/>
      <c r="BD505" s="551"/>
      <c r="BE505" s="551"/>
      <c r="BF505" s="551"/>
      <c r="BG505" s="551"/>
      <c r="BH505" s="551"/>
      <c r="BI505" s="551"/>
      <c r="BJ505" s="551"/>
      <c r="BK505" s="551"/>
    </row>
    <row r="506" spans="1:63" ht="12.75" customHeight="1">
      <c r="A506" s="551"/>
      <c r="B506" s="551"/>
      <c r="C506" s="551"/>
      <c r="D506" s="551"/>
      <c r="E506" s="551"/>
      <c r="F506" s="551"/>
      <c r="G506" s="551"/>
      <c r="H506" s="551"/>
      <c r="I506" s="551"/>
      <c r="J506" s="551"/>
      <c r="K506" s="551"/>
      <c r="L506" s="551"/>
      <c r="M506" s="551"/>
      <c r="N506" s="551"/>
      <c r="O506" s="551"/>
      <c r="P506" s="551"/>
      <c r="Q506" s="551"/>
      <c r="R506" s="551"/>
      <c r="S506" s="551"/>
      <c r="T506" s="551"/>
      <c r="U506" s="551"/>
      <c r="V506" s="551"/>
      <c r="W506" s="551"/>
      <c r="X506" s="551"/>
      <c r="Y506" s="551"/>
      <c r="Z506" s="551"/>
      <c r="AA506" s="551"/>
      <c r="AB506" s="551"/>
      <c r="AC506" s="551"/>
      <c r="AD506" s="551"/>
      <c r="AE506" s="551"/>
      <c r="AF506" s="551"/>
      <c r="AG506" s="551"/>
      <c r="AH506" s="551"/>
      <c r="AI506" s="551"/>
      <c r="AJ506" s="551"/>
      <c r="AK506" s="551"/>
      <c r="AL506" s="551"/>
      <c r="AM506" s="551"/>
      <c r="AN506" s="551"/>
      <c r="AO506" s="551"/>
      <c r="AP506" s="551"/>
      <c r="AQ506" s="551"/>
      <c r="AR506" s="551"/>
      <c r="AS506" s="551"/>
      <c r="AT506" s="551"/>
      <c r="AU506" s="551"/>
      <c r="AV506" s="551"/>
      <c r="AW506" s="551"/>
      <c r="AX506" s="551"/>
      <c r="AY506" s="551"/>
      <c r="AZ506" s="551"/>
      <c r="BA506" s="551"/>
      <c r="BB506" s="551"/>
      <c r="BC506" s="551"/>
      <c r="BD506" s="551"/>
      <c r="BE506" s="551"/>
      <c r="BF506" s="551"/>
      <c r="BG506" s="551"/>
      <c r="BH506" s="551"/>
      <c r="BI506" s="551"/>
      <c r="BJ506" s="551"/>
      <c r="BK506" s="551"/>
    </row>
    <row r="507" spans="1:63" ht="12.75" customHeight="1">
      <c r="A507" s="551"/>
      <c r="B507" s="551"/>
      <c r="C507" s="551"/>
      <c r="D507" s="551"/>
      <c r="E507" s="551"/>
      <c r="F507" s="551"/>
      <c r="G507" s="551"/>
      <c r="H507" s="551"/>
      <c r="I507" s="551"/>
      <c r="J507" s="551"/>
      <c r="K507" s="551"/>
      <c r="L507" s="551"/>
      <c r="M507" s="551"/>
      <c r="N507" s="551"/>
      <c r="O507" s="551"/>
      <c r="P507" s="551"/>
      <c r="Q507" s="551"/>
      <c r="R507" s="551"/>
      <c r="S507" s="551"/>
      <c r="T507" s="551"/>
      <c r="U507" s="551"/>
      <c r="V507" s="551"/>
      <c r="W507" s="551"/>
      <c r="X507" s="551"/>
      <c r="Y507" s="551"/>
      <c r="Z507" s="551"/>
      <c r="AA507" s="551"/>
      <c r="AB507" s="551"/>
      <c r="AC507" s="551"/>
      <c r="AD507" s="551"/>
      <c r="AE507" s="551"/>
      <c r="AF507" s="551"/>
      <c r="AG507" s="551"/>
      <c r="AH507" s="551"/>
      <c r="AI507" s="551"/>
      <c r="AJ507" s="551"/>
      <c r="AK507" s="551"/>
      <c r="AL507" s="551"/>
      <c r="AM507" s="551"/>
      <c r="AN507" s="551"/>
      <c r="AO507" s="551"/>
      <c r="AP507" s="551"/>
      <c r="AQ507" s="551"/>
      <c r="AR507" s="551"/>
      <c r="AS507" s="551"/>
      <c r="AT507" s="551"/>
      <c r="AU507" s="551"/>
      <c r="AV507" s="551"/>
      <c r="AW507" s="551"/>
      <c r="AX507" s="551"/>
      <c r="AY507" s="551"/>
      <c r="AZ507" s="551"/>
      <c r="BA507" s="551"/>
      <c r="BB507" s="551"/>
      <c r="BC507" s="551"/>
      <c r="BD507" s="551"/>
      <c r="BE507" s="551"/>
      <c r="BF507" s="551"/>
      <c r="BG507" s="551"/>
      <c r="BH507" s="551"/>
      <c r="BI507" s="551"/>
      <c r="BJ507" s="551"/>
      <c r="BK507" s="551"/>
    </row>
    <row r="508" spans="1:63" ht="12.75" customHeight="1">
      <c r="A508" s="551"/>
      <c r="B508" s="551"/>
      <c r="C508" s="551"/>
      <c r="D508" s="551"/>
      <c r="E508" s="551"/>
      <c r="F508" s="551"/>
      <c r="G508" s="551"/>
      <c r="H508" s="551"/>
      <c r="I508" s="551"/>
      <c r="J508" s="551"/>
      <c r="K508" s="551"/>
      <c r="L508" s="551"/>
      <c r="M508" s="551"/>
      <c r="N508" s="551"/>
      <c r="O508" s="551"/>
      <c r="P508" s="551"/>
      <c r="Q508" s="551"/>
      <c r="R508" s="551"/>
      <c r="S508" s="551"/>
      <c r="T508" s="551"/>
      <c r="U508" s="551"/>
      <c r="V508" s="551"/>
      <c r="W508" s="551"/>
      <c r="X508" s="551"/>
      <c r="Y508" s="551"/>
      <c r="Z508" s="551"/>
      <c r="AA508" s="551"/>
      <c r="AB508" s="551"/>
      <c r="AC508" s="551"/>
      <c r="AD508" s="551"/>
      <c r="AE508" s="551"/>
      <c r="AF508" s="551"/>
      <c r="AG508" s="551"/>
      <c r="AH508" s="551"/>
      <c r="AI508" s="551"/>
      <c r="AJ508" s="551"/>
      <c r="AK508" s="551"/>
      <c r="AL508" s="551"/>
      <c r="AM508" s="551"/>
      <c r="AN508" s="551"/>
      <c r="AO508" s="551"/>
      <c r="AP508" s="551"/>
      <c r="AQ508" s="551"/>
      <c r="AR508" s="551"/>
      <c r="AS508" s="551"/>
      <c r="AT508" s="551"/>
      <c r="AU508" s="551"/>
      <c r="AV508" s="551"/>
      <c r="AW508" s="551"/>
      <c r="AX508" s="551"/>
      <c r="AY508" s="551"/>
      <c r="AZ508" s="551"/>
      <c r="BA508" s="551"/>
      <c r="BB508" s="551"/>
      <c r="BC508" s="551"/>
      <c r="BD508" s="551"/>
      <c r="BE508" s="551"/>
      <c r="BF508" s="551"/>
      <c r="BG508" s="551"/>
      <c r="BH508" s="551"/>
      <c r="BI508" s="551"/>
      <c r="BJ508" s="551"/>
      <c r="BK508" s="551"/>
    </row>
    <row r="509" spans="1:63" ht="12.75" customHeight="1">
      <c r="A509" s="551"/>
      <c r="B509" s="551"/>
      <c r="C509" s="551"/>
      <c r="D509" s="551"/>
      <c r="E509" s="551"/>
      <c r="F509" s="551"/>
      <c r="G509" s="551"/>
      <c r="H509" s="551"/>
      <c r="I509" s="551"/>
      <c r="J509" s="551"/>
      <c r="K509" s="551"/>
      <c r="L509" s="551"/>
      <c r="M509" s="551"/>
      <c r="N509" s="551"/>
      <c r="O509" s="551"/>
      <c r="P509" s="551"/>
      <c r="Q509" s="551"/>
      <c r="R509" s="551"/>
      <c r="S509" s="551"/>
      <c r="T509" s="551"/>
      <c r="U509" s="551"/>
      <c r="V509" s="551"/>
      <c r="W509" s="551"/>
      <c r="X509" s="551"/>
      <c r="Y509" s="551"/>
      <c r="Z509" s="551"/>
      <c r="AA509" s="551"/>
      <c r="AB509" s="551"/>
      <c r="AC509" s="551"/>
      <c r="AD509" s="551"/>
      <c r="AE509" s="551"/>
      <c r="AF509" s="551"/>
      <c r="AG509" s="551"/>
      <c r="AH509" s="551"/>
      <c r="AI509" s="551"/>
      <c r="AJ509" s="551"/>
      <c r="AK509" s="551"/>
      <c r="AL509" s="551"/>
      <c r="AM509" s="551"/>
      <c r="AN509" s="551"/>
      <c r="AO509" s="551"/>
      <c r="AP509" s="551"/>
      <c r="AQ509" s="551"/>
      <c r="AR509" s="551"/>
      <c r="AS509" s="551"/>
      <c r="AT509" s="551"/>
      <c r="AU509" s="551"/>
      <c r="AV509" s="551"/>
      <c r="AW509" s="551"/>
      <c r="AX509" s="551"/>
      <c r="AY509" s="551"/>
      <c r="AZ509" s="551"/>
      <c r="BA509" s="551"/>
      <c r="BB509" s="551"/>
      <c r="BC509" s="551"/>
      <c r="BD509" s="551"/>
      <c r="BE509" s="551"/>
      <c r="BF509" s="551"/>
      <c r="BG509" s="551"/>
      <c r="BH509" s="551"/>
      <c r="BI509" s="551"/>
      <c r="BJ509" s="551"/>
      <c r="BK509" s="551"/>
    </row>
    <row r="510" spans="1:63" ht="12.75" customHeight="1">
      <c r="A510" s="551"/>
      <c r="B510" s="551"/>
      <c r="C510" s="551"/>
      <c r="D510" s="551"/>
      <c r="E510" s="551"/>
      <c r="F510" s="551"/>
      <c r="G510" s="551"/>
      <c r="H510" s="551"/>
      <c r="I510" s="551"/>
      <c r="J510" s="551"/>
      <c r="K510" s="551"/>
      <c r="L510" s="551"/>
      <c r="M510" s="551"/>
      <c r="N510" s="551"/>
      <c r="O510" s="551"/>
      <c r="P510" s="551"/>
      <c r="Q510" s="551"/>
      <c r="R510" s="551"/>
      <c r="S510" s="551"/>
      <c r="T510" s="551"/>
      <c r="U510" s="551"/>
      <c r="V510" s="551"/>
      <c r="W510" s="551"/>
      <c r="X510" s="551"/>
      <c r="Y510" s="551"/>
      <c r="Z510" s="551"/>
      <c r="AA510" s="551"/>
      <c r="AB510" s="551"/>
      <c r="AC510" s="551"/>
      <c r="AD510" s="551"/>
      <c r="AE510" s="551"/>
      <c r="AF510" s="551"/>
      <c r="AG510" s="551"/>
      <c r="AH510" s="551"/>
      <c r="AI510" s="551"/>
      <c r="AJ510" s="551"/>
      <c r="AK510" s="551"/>
      <c r="AL510" s="551"/>
      <c r="AM510" s="551"/>
      <c r="AN510" s="551"/>
      <c r="AO510" s="551"/>
      <c r="AP510" s="551"/>
      <c r="AQ510" s="551"/>
      <c r="AR510" s="551"/>
      <c r="AS510" s="551"/>
      <c r="AT510" s="551"/>
      <c r="AU510" s="551"/>
      <c r="AV510" s="551"/>
      <c r="AW510" s="551"/>
      <c r="AX510" s="551"/>
      <c r="AY510" s="551"/>
      <c r="AZ510" s="551"/>
      <c r="BA510" s="551"/>
      <c r="BB510" s="551"/>
      <c r="BC510" s="551"/>
      <c r="BD510" s="551"/>
      <c r="BE510" s="551"/>
      <c r="BF510" s="551"/>
      <c r="BG510" s="551"/>
      <c r="BH510" s="551"/>
      <c r="BI510" s="551"/>
      <c r="BJ510" s="551"/>
      <c r="BK510" s="551"/>
    </row>
    <row r="511" spans="1:63" ht="12.75" customHeight="1">
      <c r="A511" s="551"/>
      <c r="B511" s="551"/>
      <c r="C511" s="551"/>
      <c r="D511" s="551"/>
      <c r="E511" s="551"/>
      <c r="F511" s="551"/>
      <c r="G511" s="551"/>
      <c r="H511" s="551"/>
      <c r="I511" s="551"/>
      <c r="J511" s="551"/>
      <c r="K511" s="551"/>
      <c r="L511" s="551"/>
      <c r="M511" s="551"/>
      <c r="N511" s="551"/>
      <c r="O511" s="551"/>
      <c r="P511" s="551"/>
      <c r="Q511" s="551"/>
      <c r="R511" s="551"/>
      <c r="S511" s="551"/>
      <c r="T511" s="551"/>
      <c r="U511" s="551"/>
      <c r="V511" s="551"/>
      <c r="W511" s="551"/>
      <c r="X511" s="551"/>
      <c r="Y511" s="551"/>
      <c r="Z511" s="551"/>
      <c r="AA511" s="551"/>
      <c r="AB511" s="551"/>
      <c r="AC511" s="551"/>
      <c r="AD511" s="551"/>
      <c r="AE511" s="551"/>
      <c r="AF511" s="551"/>
      <c r="AG511" s="551"/>
      <c r="AH511" s="551"/>
      <c r="AI511" s="551"/>
      <c r="AJ511" s="551"/>
      <c r="AK511" s="551"/>
      <c r="AL511" s="551"/>
      <c r="AM511" s="551"/>
      <c r="AN511" s="551"/>
      <c r="AO511" s="551"/>
      <c r="AP511" s="551"/>
      <c r="AQ511" s="551"/>
      <c r="AR511" s="551"/>
      <c r="AS511" s="551"/>
      <c r="AT511" s="551"/>
      <c r="AU511" s="551"/>
      <c r="AV511" s="551"/>
      <c r="AW511" s="551"/>
      <c r="AX511" s="551"/>
      <c r="AY511" s="551"/>
      <c r="AZ511" s="551"/>
      <c r="BA511" s="551"/>
      <c r="BB511" s="551"/>
      <c r="BC511" s="551"/>
      <c r="BD511" s="551"/>
      <c r="BE511" s="551"/>
      <c r="BF511" s="551"/>
      <c r="BG511" s="551"/>
      <c r="BH511" s="551"/>
      <c r="BI511" s="551"/>
      <c r="BJ511" s="551"/>
      <c r="BK511" s="551"/>
    </row>
    <row r="512" spans="1:63" ht="12.75" customHeight="1">
      <c r="A512" s="551"/>
      <c r="B512" s="551"/>
      <c r="C512" s="551"/>
      <c r="D512" s="551"/>
      <c r="E512" s="551"/>
      <c r="F512" s="551"/>
      <c r="G512" s="551"/>
      <c r="H512" s="551"/>
      <c r="I512" s="551"/>
      <c r="J512" s="551"/>
      <c r="K512" s="551"/>
      <c r="L512" s="551"/>
      <c r="M512" s="551"/>
      <c r="N512" s="551"/>
      <c r="O512" s="551"/>
      <c r="P512" s="551"/>
      <c r="Q512" s="551"/>
      <c r="R512" s="551"/>
      <c r="S512" s="551"/>
      <c r="T512" s="551"/>
      <c r="U512" s="551"/>
      <c r="V512" s="551"/>
      <c r="W512" s="551"/>
      <c r="X512" s="551"/>
      <c r="Y512" s="551"/>
      <c r="Z512" s="551"/>
      <c r="AA512" s="551"/>
      <c r="AB512" s="551"/>
      <c r="AC512" s="551"/>
      <c r="AD512" s="551"/>
      <c r="AE512" s="551"/>
      <c r="AF512" s="551"/>
      <c r="AG512" s="551"/>
      <c r="AH512" s="551"/>
      <c r="AI512" s="551"/>
      <c r="AJ512" s="551"/>
      <c r="AK512" s="551"/>
      <c r="AL512" s="551"/>
      <c r="AM512" s="551"/>
      <c r="AN512" s="551"/>
      <c r="AO512" s="551"/>
      <c r="AP512" s="551"/>
      <c r="AQ512" s="551"/>
      <c r="AR512" s="551"/>
      <c r="AS512" s="551"/>
      <c r="AT512" s="551"/>
      <c r="AU512" s="551"/>
      <c r="AV512" s="551"/>
      <c r="AW512" s="551"/>
      <c r="AX512" s="551"/>
      <c r="AY512" s="551"/>
      <c r="AZ512" s="551"/>
      <c r="BA512" s="551"/>
      <c r="BB512" s="551"/>
      <c r="BC512" s="551"/>
      <c r="BD512" s="551"/>
      <c r="BE512" s="551"/>
      <c r="BF512" s="551"/>
      <c r="BG512" s="551"/>
      <c r="BH512" s="551"/>
      <c r="BI512" s="551"/>
      <c r="BJ512" s="551"/>
      <c r="BK512" s="551"/>
    </row>
    <row r="513" spans="1:63" ht="12.75" customHeight="1">
      <c r="A513" s="551"/>
      <c r="B513" s="551"/>
      <c r="C513" s="551"/>
      <c r="D513" s="551"/>
      <c r="E513" s="551"/>
      <c r="F513" s="551"/>
      <c r="G513" s="551"/>
      <c r="H513" s="551"/>
      <c r="I513" s="551"/>
      <c r="J513" s="551"/>
      <c r="K513" s="551"/>
      <c r="L513" s="551"/>
      <c r="M513" s="551"/>
      <c r="N513" s="551"/>
      <c r="O513" s="551"/>
      <c r="P513" s="551"/>
      <c r="Q513" s="551"/>
      <c r="R513" s="551"/>
      <c r="S513" s="551"/>
      <c r="T513" s="551"/>
      <c r="U513" s="551"/>
      <c r="V513" s="551"/>
      <c r="W513" s="551"/>
      <c r="X513" s="551"/>
      <c r="Y513" s="551"/>
      <c r="Z513" s="551"/>
      <c r="AA513" s="551"/>
      <c r="AB513" s="551"/>
      <c r="AC513" s="551"/>
      <c r="AD513" s="551"/>
      <c r="AE513" s="551"/>
      <c r="AF513" s="551"/>
      <c r="AG513" s="551"/>
      <c r="AH513" s="551"/>
      <c r="AI513" s="551"/>
      <c r="AJ513" s="551"/>
      <c r="AK513" s="551"/>
      <c r="AL513" s="551"/>
      <c r="AM513" s="551"/>
      <c r="AN513" s="551"/>
      <c r="AO513" s="551"/>
      <c r="AP513" s="551"/>
      <c r="AQ513" s="551"/>
      <c r="AR513" s="551"/>
      <c r="AS513" s="551"/>
      <c r="AT513" s="551"/>
      <c r="AU513" s="551"/>
      <c r="AV513" s="551"/>
      <c r="AW513" s="551"/>
      <c r="AX513" s="551"/>
      <c r="AY513" s="551"/>
      <c r="AZ513" s="551"/>
      <c r="BA513" s="551"/>
      <c r="BB513" s="551"/>
      <c r="BC513" s="551"/>
      <c r="BD513" s="551"/>
      <c r="BE513" s="551"/>
      <c r="BF513" s="551"/>
      <c r="BG513" s="551"/>
      <c r="BH513" s="551"/>
      <c r="BI513" s="551"/>
      <c r="BJ513" s="551"/>
      <c r="BK513" s="551"/>
    </row>
    <row r="514" spans="1:63" ht="12.75" customHeight="1">
      <c r="A514" s="551"/>
      <c r="B514" s="551"/>
      <c r="C514" s="551"/>
      <c r="D514" s="551"/>
      <c r="E514" s="551"/>
      <c r="F514" s="551"/>
      <c r="G514" s="551"/>
      <c r="H514" s="551"/>
      <c r="I514" s="551"/>
      <c r="J514" s="551"/>
      <c r="K514" s="551"/>
      <c r="L514" s="551"/>
      <c r="M514" s="551"/>
      <c r="N514" s="551"/>
      <c r="O514" s="551"/>
      <c r="P514" s="551"/>
      <c r="Q514" s="551"/>
      <c r="R514" s="551"/>
      <c r="S514" s="551"/>
      <c r="T514" s="551"/>
      <c r="U514" s="551"/>
      <c r="V514" s="551"/>
      <c r="W514" s="551"/>
      <c r="X514" s="551"/>
      <c r="Y514" s="551"/>
      <c r="Z514" s="551"/>
      <c r="AA514" s="551"/>
      <c r="AB514" s="551"/>
      <c r="AC514" s="551"/>
      <c r="AD514" s="551"/>
      <c r="AE514" s="551"/>
      <c r="AF514" s="551"/>
      <c r="AG514" s="551"/>
      <c r="AH514" s="551"/>
      <c r="AI514" s="551"/>
      <c r="AJ514" s="551"/>
      <c r="AK514" s="551"/>
      <c r="AL514" s="551"/>
      <c r="AM514" s="551"/>
      <c r="AN514" s="551"/>
      <c r="AO514" s="551"/>
      <c r="AP514" s="551"/>
      <c r="AQ514" s="551"/>
      <c r="AR514" s="551"/>
      <c r="AS514" s="551"/>
      <c r="AT514" s="551"/>
      <c r="AU514" s="551"/>
      <c r="AV514" s="551"/>
      <c r="AW514" s="551"/>
      <c r="AX514" s="551"/>
      <c r="AY514" s="551"/>
      <c r="AZ514" s="551"/>
      <c r="BA514" s="551"/>
      <c r="BB514" s="551"/>
      <c r="BC514" s="551"/>
      <c r="BD514" s="551"/>
      <c r="BE514" s="551"/>
      <c r="BF514" s="551"/>
      <c r="BG514" s="551"/>
      <c r="BH514" s="551"/>
      <c r="BI514" s="551"/>
      <c r="BJ514" s="551"/>
      <c r="BK514" s="551"/>
    </row>
    <row r="515" spans="1:63" ht="12.75" customHeight="1">
      <c r="A515" s="551"/>
      <c r="B515" s="551"/>
      <c r="C515" s="551"/>
      <c r="D515" s="551"/>
      <c r="E515" s="551"/>
      <c r="F515" s="551"/>
      <c r="G515" s="551"/>
      <c r="H515" s="551"/>
      <c r="I515" s="551"/>
      <c r="J515" s="551"/>
      <c r="K515" s="551"/>
      <c r="L515" s="551"/>
      <c r="M515" s="551"/>
      <c r="N515" s="551"/>
      <c r="O515" s="551"/>
      <c r="P515" s="551"/>
      <c r="Q515" s="551"/>
      <c r="R515" s="551"/>
      <c r="S515" s="551"/>
      <c r="T515" s="551"/>
      <c r="U515" s="551"/>
      <c r="V515" s="551"/>
      <c r="W515" s="551"/>
      <c r="X515" s="551"/>
      <c r="Y515" s="551"/>
      <c r="Z515" s="551"/>
      <c r="AA515" s="551"/>
      <c r="AB515" s="551"/>
      <c r="AC515" s="551"/>
      <c r="AD515" s="551"/>
      <c r="AE515" s="551"/>
      <c r="AF515" s="551"/>
      <c r="AG515" s="551"/>
      <c r="AH515" s="551"/>
      <c r="AI515" s="551"/>
      <c r="AJ515" s="551"/>
      <c r="AK515" s="551"/>
      <c r="AL515" s="551"/>
      <c r="AM515" s="551"/>
      <c r="AN515" s="551"/>
      <c r="AO515" s="551"/>
      <c r="AP515" s="551"/>
      <c r="AQ515" s="551"/>
      <c r="AR515" s="551"/>
      <c r="AS515" s="551"/>
      <c r="AT515" s="551"/>
      <c r="AU515" s="551"/>
      <c r="AV515" s="551"/>
      <c r="AW515" s="551"/>
      <c r="AX515" s="551"/>
      <c r="AY515" s="551"/>
      <c r="AZ515" s="551"/>
      <c r="BA515" s="551"/>
      <c r="BB515" s="551"/>
      <c r="BC515" s="551"/>
      <c r="BD515" s="551"/>
      <c r="BE515" s="551"/>
      <c r="BF515" s="551"/>
      <c r="BG515" s="551"/>
      <c r="BH515" s="551"/>
      <c r="BI515" s="551"/>
      <c r="BJ515" s="551"/>
      <c r="BK515" s="551"/>
    </row>
    <row r="516" spans="1:63" ht="12.75" customHeight="1">
      <c r="A516" s="551"/>
      <c r="B516" s="551"/>
      <c r="C516" s="551"/>
      <c r="D516" s="551"/>
      <c r="E516" s="551"/>
      <c r="F516" s="551"/>
      <c r="G516" s="551"/>
      <c r="H516" s="551"/>
      <c r="I516" s="551"/>
      <c r="J516" s="551"/>
      <c r="K516" s="551"/>
      <c r="L516" s="551"/>
      <c r="M516" s="551"/>
      <c r="N516" s="551"/>
      <c r="O516" s="551"/>
      <c r="P516" s="551"/>
      <c r="Q516" s="551"/>
      <c r="R516" s="551"/>
      <c r="S516" s="551"/>
      <c r="T516" s="551"/>
      <c r="U516" s="551"/>
      <c r="V516" s="551"/>
      <c r="W516" s="551"/>
      <c r="X516" s="551"/>
      <c r="Y516" s="551"/>
      <c r="Z516" s="551"/>
      <c r="AA516" s="551"/>
      <c r="AB516" s="551"/>
      <c r="AC516" s="551"/>
      <c r="AD516" s="551"/>
      <c r="AE516" s="551"/>
      <c r="AF516" s="551"/>
      <c r="AG516" s="551"/>
      <c r="AH516" s="551"/>
      <c r="AI516" s="551"/>
      <c r="AJ516" s="551"/>
      <c r="AK516" s="551"/>
      <c r="AL516" s="551"/>
      <c r="AM516" s="551"/>
      <c r="AN516" s="551"/>
      <c r="AO516" s="551"/>
      <c r="AP516" s="551"/>
      <c r="AQ516" s="551"/>
      <c r="AR516" s="551"/>
      <c r="AS516" s="551"/>
      <c r="AT516" s="551"/>
      <c r="AU516" s="551"/>
      <c r="AV516" s="551"/>
      <c r="AW516" s="551"/>
      <c r="AX516" s="551"/>
      <c r="AY516" s="551"/>
      <c r="AZ516" s="551"/>
      <c r="BA516" s="551"/>
      <c r="BB516" s="551"/>
      <c r="BC516" s="551"/>
      <c r="BD516" s="551"/>
      <c r="BE516" s="551"/>
      <c r="BF516" s="551"/>
      <c r="BG516" s="551"/>
      <c r="BH516" s="551"/>
      <c r="BI516" s="551"/>
      <c r="BJ516" s="551"/>
      <c r="BK516" s="551"/>
    </row>
    <row r="517" spans="1:63" ht="12.75" customHeight="1">
      <c r="A517" s="551"/>
      <c r="B517" s="551"/>
      <c r="C517" s="551"/>
      <c r="D517" s="551"/>
      <c r="E517" s="551"/>
      <c r="F517" s="551"/>
      <c r="G517" s="551"/>
      <c r="H517" s="551"/>
      <c r="I517" s="551"/>
      <c r="J517" s="551"/>
      <c r="K517" s="551"/>
      <c r="L517" s="551"/>
      <c r="M517" s="551"/>
      <c r="N517" s="551"/>
      <c r="O517" s="551"/>
      <c r="P517" s="551"/>
      <c r="Q517" s="551"/>
      <c r="R517" s="551"/>
      <c r="S517" s="551"/>
      <c r="T517" s="551"/>
      <c r="U517" s="551"/>
      <c r="V517" s="551"/>
      <c r="W517" s="551"/>
      <c r="X517" s="551"/>
      <c r="Y517" s="551"/>
      <c r="Z517" s="551"/>
      <c r="AA517" s="551"/>
      <c r="AB517" s="551"/>
      <c r="AC517" s="551"/>
      <c r="AD517" s="551"/>
      <c r="AE517" s="551"/>
      <c r="AF517" s="551"/>
      <c r="AG517" s="551"/>
      <c r="AH517" s="551"/>
      <c r="AI517" s="551"/>
      <c r="AJ517" s="551"/>
      <c r="AK517" s="551"/>
      <c r="AL517" s="551"/>
      <c r="AM517" s="551"/>
      <c r="AN517" s="551"/>
      <c r="AO517" s="551"/>
      <c r="AP517" s="551"/>
      <c r="AQ517" s="551"/>
      <c r="AR517" s="551"/>
      <c r="AS517" s="551"/>
      <c r="AT517" s="551"/>
      <c r="AU517" s="551"/>
      <c r="AV517" s="551"/>
      <c r="AW517" s="551"/>
      <c r="AX517" s="551"/>
      <c r="AY517" s="551"/>
      <c r="AZ517" s="551"/>
      <c r="BA517" s="551"/>
      <c r="BB517" s="551"/>
      <c r="BC517" s="551"/>
      <c r="BD517" s="551"/>
      <c r="BE517" s="551"/>
      <c r="BF517" s="551"/>
      <c r="BG517" s="551"/>
      <c r="BH517" s="551"/>
      <c r="BI517" s="551"/>
      <c r="BJ517" s="551"/>
      <c r="BK517" s="551"/>
    </row>
    <row r="518" spans="1:63" ht="12.75" customHeight="1">
      <c r="A518" s="551"/>
      <c r="B518" s="551"/>
      <c r="C518" s="551"/>
      <c r="D518" s="551"/>
      <c r="E518" s="551"/>
      <c r="F518" s="551"/>
      <c r="G518" s="551"/>
      <c r="H518" s="551"/>
      <c r="I518" s="551"/>
      <c r="J518" s="551"/>
      <c r="K518" s="551"/>
      <c r="L518" s="551"/>
      <c r="M518" s="551"/>
      <c r="N518" s="551"/>
      <c r="O518" s="551"/>
      <c r="P518" s="551"/>
      <c r="Q518" s="551"/>
      <c r="R518" s="551"/>
      <c r="S518" s="551"/>
      <c r="T518" s="551"/>
      <c r="U518" s="551"/>
      <c r="V518" s="551"/>
      <c r="W518" s="551"/>
      <c r="X518" s="551"/>
      <c r="Y518" s="551"/>
      <c r="Z518" s="551"/>
      <c r="AA518" s="551"/>
      <c r="AB518" s="551"/>
      <c r="AC518" s="551"/>
      <c r="AD518" s="551"/>
      <c r="AE518" s="551"/>
      <c r="AF518" s="551"/>
      <c r="AG518" s="551"/>
      <c r="AH518" s="551"/>
      <c r="AI518" s="551"/>
      <c r="AJ518" s="551"/>
      <c r="AK518" s="551"/>
      <c r="AL518" s="551"/>
      <c r="AM518" s="551"/>
      <c r="AN518" s="551"/>
      <c r="AO518" s="551"/>
      <c r="AP518" s="551"/>
      <c r="AQ518" s="551"/>
      <c r="AR518" s="551"/>
      <c r="AS518" s="551"/>
      <c r="AT518" s="551"/>
      <c r="AU518" s="551"/>
      <c r="AV518" s="551"/>
      <c r="AW518" s="551"/>
      <c r="AX518" s="551"/>
      <c r="AY518" s="551"/>
      <c r="AZ518" s="551"/>
      <c r="BA518" s="551"/>
      <c r="BB518" s="551"/>
      <c r="BC518" s="551"/>
      <c r="BD518" s="551"/>
      <c r="BE518" s="551"/>
      <c r="BF518" s="551"/>
      <c r="BG518" s="551"/>
      <c r="BH518" s="551"/>
      <c r="BI518" s="551"/>
      <c r="BJ518" s="551"/>
      <c r="BK518" s="551"/>
    </row>
    <row r="519" spans="1:63" ht="12.75" customHeight="1">
      <c r="A519" s="551"/>
      <c r="B519" s="551"/>
      <c r="C519" s="551"/>
      <c r="D519" s="551"/>
      <c r="E519" s="551"/>
      <c r="F519" s="551"/>
      <c r="G519" s="551"/>
      <c r="H519" s="551"/>
      <c r="I519" s="551"/>
      <c r="J519" s="551"/>
      <c r="K519" s="551"/>
      <c r="L519" s="551"/>
      <c r="M519" s="551"/>
      <c r="N519" s="551"/>
      <c r="O519" s="551"/>
      <c r="P519" s="551"/>
      <c r="Q519" s="551"/>
      <c r="R519" s="551"/>
      <c r="S519" s="551"/>
      <c r="T519" s="551"/>
      <c r="U519" s="551"/>
      <c r="V519" s="551"/>
      <c r="W519" s="551"/>
      <c r="X519" s="551"/>
      <c r="Y519" s="551"/>
      <c r="Z519" s="551"/>
      <c r="AA519" s="551"/>
      <c r="AB519" s="551"/>
      <c r="AC519" s="551"/>
      <c r="AD519" s="551"/>
      <c r="AE519" s="551"/>
      <c r="AF519" s="551"/>
      <c r="AG519" s="551"/>
      <c r="AH519" s="551"/>
      <c r="AI519" s="551"/>
      <c r="AJ519" s="551"/>
      <c r="AK519" s="551"/>
      <c r="AL519" s="551"/>
      <c r="AM519" s="551"/>
      <c r="AN519" s="551"/>
      <c r="AO519" s="551"/>
      <c r="AP519" s="551"/>
      <c r="AQ519" s="551"/>
      <c r="AR519" s="551"/>
      <c r="AS519" s="551"/>
      <c r="AT519" s="551"/>
      <c r="AU519" s="551"/>
      <c r="AV519" s="551"/>
      <c r="AW519" s="551"/>
      <c r="AX519" s="551"/>
      <c r="AY519" s="551"/>
      <c r="AZ519" s="551"/>
      <c r="BA519" s="551"/>
      <c r="BB519" s="551"/>
      <c r="BC519" s="551"/>
      <c r="BD519" s="551"/>
      <c r="BE519" s="551"/>
      <c r="BF519" s="551"/>
      <c r="BG519" s="551"/>
      <c r="BH519" s="551"/>
      <c r="BI519" s="551"/>
      <c r="BJ519" s="551"/>
      <c r="BK519" s="551"/>
    </row>
    <row r="520" spans="1:63" ht="12.75" customHeight="1">
      <c r="A520" s="551"/>
      <c r="B520" s="551"/>
      <c r="C520" s="551"/>
      <c r="D520" s="551"/>
      <c r="E520" s="551"/>
      <c r="F520" s="551"/>
      <c r="G520" s="551"/>
      <c r="H520" s="551"/>
      <c r="I520" s="551"/>
      <c r="J520" s="551"/>
      <c r="K520" s="551"/>
      <c r="L520" s="551"/>
      <c r="M520" s="551"/>
      <c r="N520" s="551"/>
      <c r="O520" s="551"/>
      <c r="P520" s="551"/>
      <c r="Q520" s="551"/>
      <c r="R520" s="551"/>
      <c r="S520" s="551"/>
      <c r="T520" s="551"/>
      <c r="U520" s="551"/>
      <c r="V520" s="551"/>
      <c r="W520" s="551"/>
      <c r="X520" s="551"/>
      <c r="Y520" s="551"/>
      <c r="Z520" s="551"/>
      <c r="AA520" s="551"/>
      <c r="AB520" s="551"/>
      <c r="AC520" s="551"/>
      <c r="AD520" s="551"/>
      <c r="AE520" s="551"/>
      <c r="AF520" s="551"/>
      <c r="AG520" s="551"/>
      <c r="AH520" s="551"/>
      <c r="AI520" s="551"/>
      <c r="AJ520" s="551"/>
      <c r="AK520" s="551"/>
      <c r="AL520" s="551"/>
      <c r="AM520" s="551"/>
      <c r="AN520" s="551"/>
      <c r="AO520" s="551"/>
      <c r="AP520" s="551"/>
      <c r="AQ520" s="551"/>
      <c r="AR520" s="551"/>
      <c r="AS520" s="551"/>
      <c r="AT520" s="551"/>
      <c r="AU520" s="551"/>
      <c r="AV520" s="551"/>
      <c r="AW520" s="551"/>
      <c r="AX520" s="551"/>
      <c r="AY520" s="551"/>
      <c r="AZ520" s="551"/>
      <c r="BA520" s="551"/>
      <c r="BB520" s="551"/>
      <c r="BC520" s="551"/>
      <c r="BD520" s="551"/>
      <c r="BE520" s="551"/>
      <c r="BF520" s="551"/>
      <c r="BG520" s="551"/>
      <c r="BH520" s="551"/>
      <c r="BI520" s="551"/>
      <c r="BJ520" s="551"/>
      <c r="BK520" s="551"/>
    </row>
    <row r="521" spans="1:63" ht="12.75" customHeight="1">
      <c r="A521" s="551"/>
      <c r="B521" s="551"/>
      <c r="C521" s="551"/>
      <c r="D521" s="551"/>
      <c r="E521" s="551"/>
      <c r="F521" s="551"/>
      <c r="G521" s="551"/>
      <c r="H521" s="551"/>
      <c r="I521" s="551"/>
      <c r="J521" s="551"/>
      <c r="K521" s="551"/>
      <c r="L521" s="551"/>
      <c r="M521" s="551"/>
      <c r="N521" s="551"/>
      <c r="O521" s="551"/>
      <c r="P521" s="551"/>
      <c r="Q521" s="551"/>
      <c r="R521" s="551"/>
      <c r="S521" s="551"/>
      <c r="T521" s="551"/>
      <c r="U521" s="551"/>
      <c r="V521" s="551"/>
      <c r="W521" s="551"/>
      <c r="X521" s="551"/>
      <c r="Y521" s="551"/>
      <c r="Z521" s="551"/>
      <c r="AA521" s="551"/>
      <c r="AB521" s="551"/>
      <c r="AC521" s="551"/>
      <c r="AD521" s="551"/>
      <c r="AE521" s="551"/>
      <c r="AF521" s="551"/>
      <c r="AG521" s="551"/>
      <c r="AH521" s="551"/>
      <c r="AI521" s="551"/>
      <c r="AJ521" s="551"/>
      <c r="AK521" s="551"/>
      <c r="AL521" s="551"/>
      <c r="AM521" s="551"/>
      <c r="AN521" s="551"/>
      <c r="AO521" s="551"/>
      <c r="AP521" s="551"/>
      <c r="AQ521" s="551"/>
      <c r="AR521" s="551"/>
      <c r="AS521" s="551"/>
      <c r="AT521" s="551"/>
      <c r="AU521" s="551"/>
      <c r="AV521" s="551"/>
      <c r="AW521" s="551"/>
      <c r="AX521" s="551"/>
      <c r="AY521" s="551"/>
      <c r="AZ521" s="551"/>
      <c r="BA521" s="551"/>
      <c r="BB521" s="551"/>
      <c r="BC521" s="551"/>
      <c r="BD521" s="551"/>
      <c r="BE521" s="551"/>
      <c r="BF521" s="551"/>
      <c r="BG521" s="551"/>
      <c r="BH521" s="551"/>
      <c r="BI521" s="551"/>
      <c r="BJ521" s="551"/>
      <c r="BK521" s="551"/>
    </row>
    <row r="522" spans="1:63" ht="12.75" customHeight="1">
      <c r="A522" s="551"/>
      <c r="B522" s="551"/>
      <c r="C522" s="551"/>
      <c r="D522" s="551"/>
      <c r="E522" s="551"/>
      <c r="F522" s="551"/>
      <c r="G522" s="551"/>
      <c r="H522" s="551"/>
      <c r="I522" s="551"/>
      <c r="J522" s="551"/>
      <c r="K522" s="551"/>
      <c r="L522" s="551"/>
      <c r="M522" s="551"/>
      <c r="N522" s="551"/>
      <c r="O522" s="551"/>
      <c r="P522" s="551"/>
      <c r="Q522" s="551"/>
      <c r="R522" s="551"/>
      <c r="S522" s="551"/>
      <c r="T522" s="551"/>
      <c r="U522" s="551"/>
      <c r="V522" s="551"/>
      <c r="W522" s="551"/>
      <c r="X522" s="551"/>
      <c r="Y522" s="551"/>
      <c r="Z522" s="551"/>
      <c r="AA522" s="551"/>
      <c r="AB522" s="551"/>
      <c r="AC522" s="551"/>
      <c r="AD522" s="551"/>
      <c r="AE522" s="551"/>
      <c r="AF522" s="551"/>
      <c r="AG522" s="551"/>
      <c r="AH522" s="551"/>
      <c r="AI522" s="551"/>
      <c r="AJ522" s="551"/>
      <c r="AK522" s="551"/>
      <c r="AL522" s="551"/>
      <c r="AM522" s="551"/>
      <c r="AN522" s="551"/>
      <c r="AO522" s="551"/>
      <c r="AP522" s="551"/>
      <c r="AQ522" s="551"/>
      <c r="AR522" s="551"/>
      <c r="AS522" s="551"/>
      <c r="AT522" s="551"/>
      <c r="AU522" s="551"/>
      <c r="AV522" s="551"/>
      <c r="AW522" s="551"/>
      <c r="AX522" s="551"/>
      <c r="AY522" s="551"/>
      <c r="AZ522" s="551"/>
      <c r="BA522" s="551"/>
      <c r="BB522" s="551"/>
      <c r="BC522" s="551"/>
      <c r="BD522" s="551"/>
      <c r="BE522" s="551"/>
      <c r="BF522" s="551"/>
      <c r="BG522" s="551"/>
      <c r="BH522" s="551"/>
      <c r="BI522" s="551"/>
      <c r="BJ522" s="551"/>
      <c r="BK522" s="551"/>
    </row>
    <row r="523" spans="1:63" ht="12.75" customHeight="1">
      <c r="A523" s="551"/>
      <c r="B523" s="551"/>
      <c r="C523" s="551"/>
      <c r="D523" s="551"/>
      <c r="E523" s="551"/>
      <c r="F523" s="551"/>
      <c r="G523" s="551"/>
      <c r="H523" s="551"/>
      <c r="I523" s="551"/>
      <c r="J523" s="551"/>
      <c r="K523" s="551"/>
      <c r="L523" s="551"/>
      <c r="M523" s="551"/>
      <c r="N523" s="551"/>
      <c r="O523" s="551"/>
      <c r="P523" s="551"/>
      <c r="Q523" s="551"/>
      <c r="R523" s="551"/>
      <c r="S523" s="551"/>
      <c r="T523" s="551"/>
      <c r="U523" s="551"/>
      <c r="V523" s="551"/>
      <c r="W523" s="551"/>
      <c r="X523" s="551"/>
      <c r="Y523" s="551"/>
      <c r="Z523" s="551"/>
      <c r="AA523" s="551"/>
      <c r="AB523" s="551"/>
      <c r="AC523" s="551"/>
      <c r="AD523" s="551"/>
      <c r="AE523" s="551"/>
      <c r="AF523" s="551"/>
      <c r="AG523" s="551"/>
      <c r="AH523" s="551"/>
      <c r="AI523" s="551"/>
      <c r="AJ523" s="551"/>
      <c r="AK523" s="551"/>
      <c r="AL523" s="551"/>
      <c r="AM523" s="551"/>
      <c r="AN523" s="551"/>
      <c r="AO523" s="551"/>
      <c r="AP523" s="551"/>
      <c r="AQ523" s="551"/>
      <c r="AR523" s="551"/>
      <c r="AS523" s="551"/>
      <c r="AT523" s="551"/>
      <c r="AU523" s="551"/>
      <c r="AV523" s="551"/>
      <c r="AW523" s="551"/>
      <c r="AX523" s="551"/>
      <c r="AY523" s="551"/>
      <c r="AZ523" s="551"/>
      <c r="BA523" s="551"/>
      <c r="BB523" s="551"/>
      <c r="BC523" s="551"/>
      <c r="BD523" s="551"/>
      <c r="BE523" s="551"/>
      <c r="BF523" s="551"/>
      <c r="BG523" s="551"/>
      <c r="BH523" s="551"/>
      <c r="BI523" s="551"/>
      <c r="BJ523" s="551"/>
      <c r="BK523" s="551"/>
    </row>
    <row r="524" spans="1:63" ht="12.75" customHeight="1">
      <c r="A524" s="551"/>
      <c r="B524" s="551"/>
      <c r="C524" s="551"/>
      <c r="D524" s="551"/>
      <c r="E524" s="551"/>
      <c r="F524" s="551"/>
      <c r="G524" s="551"/>
      <c r="H524" s="551"/>
      <c r="I524" s="551"/>
      <c r="J524" s="551"/>
      <c r="K524" s="551"/>
      <c r="L524" s="551"/>
      <c r="M524" s="551"/>
      <c r="N524" s="551"/>
      <c r="O524" s="551"/>
      <c r="P524" s="551"/>
      <c r="Q524" s="551"/>
      <c r="R524" s="551"/>
      <c r="S524" s="551"/>
      <c r="T524" s="551"/>
      <c r="U524" s="551"/>
      <c r="V524" s="551"/>
      <c r="W524" s="551"/>
      <c r="X524" s="551"/>
      <c r="Y524" s="551"/>
      <c r="Z524" s="551"/>
      <c r="AA524" s="551"/>
      <c r="AB524" s="551"/>
      <c r="AC524" s="551"/>
      <c r="AD524" s="551"/>
      <c r="AE524" s="551"/>
      <c r="AF524" s="551"/>
      <c r="AG524" s="551"/>
      <c r="AH524" s="551"/>
      <c r="AI524" s="551"/>
      <c r="AJ524" s="551"/>
      <c r="AK524" s="551"/>
      <c r="AL524" s="551"/>
      <c r="AM524" s="551"/>
      <c r="AN524" s="551"/>
      <c r="AO524" s="551"/>
      <c r="AP524" s="551"/>
      <c r="AQ524" s="551"/>
      <c r="AR524" s="551"/>
      <c r="AS524" s="551"/>
      <c r="AT524" s="551"/>
      <c r="AU524" s="551"/>
      <c r="AV524" s="551"/>
      <c r="AW524" s="551"/>
      <c r="AX524" s="551"/>
      <c r="AY524" s="551"/>
      <c r="AZ524" s="551"/>
      <c r="BA524" s="551"/>
      <c r="BB524" s="551"/>
      <c r="BC524" s="551"/>
      <c r="BD524" s="551"/>
      <c r="BE524" s="551"/>
      <c r="BF524" s="551"/>
      <c r="BG524" s="551"/>
      <c r="BH524" s="551"/>
      <c r="BI524" s="551"/>
      <c r="BJ524" s="551"/>
      <c r="BK524" s="551"/>
    </row>
    <row r="525" spans="1:63" ht="12.75" customHeight="1">
      <c r="A525" s="551"/>
      <c r="B525" s="551"/>
      <c r="C525" s="551"/>
      <c r="D525" s="551"/>
      <c r="E525" s="551"/>
      <c r="F525" s="551"/>
      <c r="G525" s="551"/>
      <c r="H525" s="551"/>
      <c r="I525" s="551"/>
      <c r="J525" s="551"/>
      <c r="K525" s="551"/>
      <c r="L525" s="551"/>
      <c r="M525" s="551"/>
      <c r="N525" s="551"/>
      <c r="O525" s="551"/>
      <c r="P525" s="551"/>
      <c r="Q525" s="551"/>
      <c r="R525" s="551"/>
      <c r="S525" s="551"/>
      <c r="T525" s="551"/>
      <c r="U525" s="551"/>
      <c r="V525" s="551"/>
      <c r="W525" s="551"/>
      <c r="X525" s="551"/>
      <c r="Y525" s="551"/>
      <c r="Z525" s="551"/>
      <c r="AA525" s="551"/>
      <c r="AB525" s="551"/>
      <c r="AC525" s="551"/>
      <c r="AD525" s="551"/>
      <c r="AE525" s="551"/>
      <c r="AF525" s="551"/>
      <c r="AG525" s="551"/>
      <c r="AH525" s="551"/>
      <c r="AI525" s="551"/>
      <c r="AJ525" s="551"/>
      <c r="AK525" s="551"/>
      <c r="AL525" s="551"/>
      <c r="AM525" s="551"/>
      <c r="AN525" s="551"/>
      <c r="AO525" s="551"/>
      <c r="AP525" s="551"/>
      <c r="AQ525" s="551"/>
      <c r="AR525" s="551"/>
      <c r="AS525" s="551"/>
      <c r="AT525" s="551"/>
      <c r="AU525" s="551"/>
      <c r="AV525" s="551"/>
      <c r="AW525" s="551"/>
      <c r="AX525" s="551"/>
      <c r="AY525" s="551"/>
      <c r="AZ525" s="551"/>
      <c r="BA525" s="551"/>
      <c r="BB525" s="551"/>
      <c r="BC525" s="551"/>
      <c r="BD525" s="551"/>
      <c r="BE525" s="551"/>
      <c r="BF525" s="551"/>
      <c r="BG525" s="551"/>
      <c r="BH525" s="551"/>
      <c r="BI525" s="551"/>
      <c r="BJ525" s="551"/>
      <c r="BK525" s="551"/>
    </row>
    <row r="526" spans="1:63" ht="12.75" customHeight="1">
      <c r="A526" s="551"/>
      <c r="B526" s="551"/>
      <c r="C526" s="551"/>
      <c r="D526" s="551"/>
      <c r="E526" s="551"/>
      <c r="F526" s="551"/>
      <c r="G526" s="551"/>
      <c r="H526" s="551"/>
      <c r="I526" s="551"/>
      <c r="J526" s="551"/>
      <c r="K526" s="551"/>
      <c r="L526" s="551"/>
      <c r="M526" s="551"/>
      <c r="N526" s="551"/>
      <c r="O526" s="551"/>
      <c r="P526" s="551"/>
      <c r="Q526" s="551"/>
      <c r="R526" s="551"/>
      <c r="S526" s="551"/>
      <c r="T526" s="551"/>
      <c r="U526" s="551"/>
      <c r="V526" s="551"/>
      <c r="W526" s="551"/>
      <c r="X526" s="551"/>
      <c r="Y526" s="551"/>
      <c r="Z526" s="551"/>
      <c r="AA526" s="551"/>
      <c r="AB526" s="551"/>
      <c r="AC526" s="551"/>
      <c r="AD526" s="551"/>
      <c r="AE526" s="551"/>
      <c r="AF526" s="551"/>
      <c r="AG526" s="551"/>
      <c r="AH526" s="551"/>
      <c r="AI526" s="551"/>
      <c r="AJ526" s="551"/>
      <c r="AK526" s="551"/>
      <c r="AL526" s="551"/>
      <c r="AM526" s="551"/>
      <c r="AN526" s="551"/>
      <c r="AO526" s="551"/>
      <c r="AP526" s="551"/>
      <c r="AQ526" s="551"/>
      <c r="AR526" s="551"/>
      <c r="AS526" s="551"/>
      <c r="AT526" s="551"/>
      <c r="AU526" s="551"/>
      <c r="AV526" s="551"/>
      <c r="AW526" s="551"/>
      <c r="AX526" s="551"/>
      <c r="AY526" s="551"/>
      <c r="AZ526" s="551"/>
      <c r="BA526" s="551"/>
      <c r="BB526" s="551"/>
      <c r="BC526" s="551"/>
      <c r="BD526" s="551"/>
      <c r="BE526" s="551"/>
      <c r="BF526" s="551"/>
      <c r="BG526" s="551"/>
      <c r="BH526" s="551"/>
      <c r="BI526" s="551"/>
      <c r="BJ526" s="551"/>
      <c r="BK526" s="551"/>
    </row>
    <row r="527" spans="1:63" ht="12.75" customHeight="1">
      <c r="A527" s="551"/>
      <c r="B527" s="551"/>
      <c r="C527" s="551"/>
      <c r="D527" s="551"/>
      <c r="E527" s="551"/>
      <c r="F527" s="551"/>
      <c r="G527" s="551"/>
      <c r="H527" s="551"/>
      <c r="I527" s="551"/>
      <c r="J527" s="551"/>
      <c r="K527" s="551"/>
      <c r="L527" s="551"/>
      <c r="M527" s="551"/>
      <c r="N527" s="551"/>
      <c r="O527" s="551"/>
      <c r="P527" s="551"/>
      <c r="Q527" s="551"/>
      <c r="R527" s="551"/>
      <c r="S527" s="551"/>
      <c r="T527" s="551"/>
      <c r="U527" s="551"/>
      <c r="V527" s="551"/>
      <c r="W527" s="551"/>
      <c r="X527" s="551"/>
      <c r="Y527" s="551"/>
      <c r="Z527" s="551"/>
      <c r="AA527" s="551"/>
      <c r="AB527" s="551"/>
      <c r="AC527" s="551"/>
      <c r="AD527" s="551"/>
      <c r="AE527" s="551"/>
      <c r="AF527" s="551"/>
      <c r="AG527" s="551"/>
      <c r="AH527" s="551"/>
      <c r="AI527" s="551"/>
      <c r="AJ527" s="551"/>
      <c r="AK527" s="551"/>
      <c r="AL527" s="551"/>
      <c r="AM527" s="551"/>
      <c r="AN527" s="551"/>
      <c r="AO527" s="551"/>
      <c r="AP527" s="551"/>
      <c r="AQ527" s="551"/>
      <c r="AR527" s="551"/>
      <c r="AS527" s="551"/>
      <c r="AT527" s="551"/>
      <c r="AU527" s="551"/>
      <c r="AV527" s="551"/>
      <c r="AW527" s="551"/>
      <c r="AX527" s="551"/>
      <c r="AY527" s="551"/>
      <c r="AZ527" s="551"/>
      <c r="BA527" s="551"/>
      <c r="BB527" s="551"/>
      <c r="BC527" s="551"/>
      <c r="BD527" s="551"/>
      <c r="BE527" s="551"/>
      <c r="BF527" s="551"/>
      <c r="BG527" s="551"/>
      <c r="BH527" s="551"/>
      <c r="BI527" s="551"/>
      <c r="BJ527" s="551"/>
      <c r="BK527" s="551"/>
    </row>
    <row r="528" spans="1:63" ht="12.75" customHeight="1">
      <c r="A528" s="551"/>
      <c r="B528" s="551"/>
      <c r="C528" s="551"/>
      <c r="D528" s="551"/>
      <c r="E528" s="551"/>
      <c r="F528" s="551"/>
      <c r="G528" s="551"/>
      <c r="H528" s="551"/>
      <c r="I528" s="551"/>
      <c r="J528" s="551"/>
      <c r="K528" s="551"/>
      <c r="L528" s="551"/>
      <c r="M528" s="551"/>
      <c r="N528" s="551"/>
      <c r="O528" s="551"/>
      <c r="P528" s="551"/>
      <c r="Q528" s="551"/>
      <c r="R528" s="551"/>
      <c r="S528" s="551"/>
      <c r="T528" s="551"/>
      <c r="U528" s="551"/>
      <c r="V528" s="551"/>
      <c r="W528" s="551"/>
      <c r="X528" s="551"/>
      <c r="Y528" s="551"/>
      <c r="Z528" s="551"/>
      <c r="AA528" s="551"/>
      <c r="AB528" s="551"/>
      <c r="AC528" s="551"/>
      <c r="AD528" s="551"/>
      <c r="AE528" s="551"/>
      <c r="AF528" s="551"/>
      <c r="AG528" s="551"/>
      <c r="AH528" s="551"/>
      <c r="AI528" s="551"/>
      <c r="AJ528" s="551"/>
      <c r="AK528" s="551"/>
      <c r="AL528" s="551"/>
      <c r="AM528" s="551"/>
      <c r="AN528" s="551"/>
      <c r="AO528" s="551"/>
      <c r="AP528" s="551"/>
      <c r="AQ528" s="551"/>
      <c r="AR528" s="551"/>
      <c r="AS528" s="551"/>
      <c r="AT528" s="551"/>
      <c r="AU528" s="551"/>
      <c r="AV528" s="551"/>
      <c r="AW528" s="551"/>
      <c r="AX528" s="551"/>
      <c r="AY528" s="551"/>
      <c r="AZ528" s="551"/>
      <c r="BA528" s="551"/>
      <c r="BB528" s="551"/>
      <c r="BC528" s="551"/>
      <c r="BD528" s="551"/>
      <c r="BE528" s="551"/>
      <c r="BF528" s="551"/>
      <c r="BG528" s="551"/>
      <c r="BH528" s="551"/>
      <c r="BI528" s="551"/>
      <c r="BJ528" s="551"/>
      <c r="BK528" s="551"/>
    </row>
    <row r="529" spans="1:63" ht="12.75" customHeight="1">
      <c r="A529" s="551"/>
      <c r="B529" s="551"/>
      <c r="C529" s="551"/>
      <c r="D529" s="551"/>
      <c r="E529" s="551"/>
      <c r="F529" s="551"/>
      <c r="G529" s="551"/>
      <c r="H529" s="551"/>
      <c r="I529" s="551"/>
      <c r="J529" s="551"/>
      <c r="K529" s="551"/>
      <c r="L529" s="551"/>
      <c r="M529" s="551"/>
      <c r="N529" s="551"/>
      <c r="O529" s="551"/>
      <c r="P529" s="551"/>
      <c r="Q529" s="551"/>
      <c r="R529" s="551"/>
      <c r="S529" s="551"/>
      <c r="T529" s="551"/>
      <c r="U529" s="551"/>
      <c r="V529" s="551"/>
      <c r="W529" s="551"/>
      <c r="X529" s="551"/>
      <c r="Y529" s="551"/>
      <c r="Z529" s="551"/>
      <c r="AA529" s="551"/>
      <c r="AB529" s="551"/>
      <c r="AC529" s="551"/>
      <c r="AD529" s="551"/>
      <c r="AE529" s="551"/>
      <c r="AF529" s="551"/>
      <c r="AG529" s="551"/>
      <c r="AH529" s="551"/>
      <c r="AI529" s="551"/>
      <c r="AJ529" s="551"/>
      <c r="AK529" s="551"/>
      <c r="AL529" s="551"/>
      <c r="AM529" s="551"/>
      <c r="AN529" s="551"/>
      <c r="AO529" s="551"/>
      <c r="AP529" s="551"/>
      <c r="AQ529" s="551"/>
      <c r="AR529" s="551"/>
      <c r="AS529" s="551"/>
      <c r="AT529" s="551"/>
      <c r="AU529" s="551"/>
      <c r="AV529" s="551"/>
      <c r="AW529" s="551"/>
      <c r="AX529" s="551"/>
      <c r="AY529" s="551"/>
      <c r="AZ529" s="551"/>
      <c r="BA529" s="551"/>
      <c r="BB529" s="551"/>
      <c r="BC529" s="551"/>
      <c r="BD529" s="551"/>
      <c r="BE529" s="551"/>
      <c r="BF529" s="551"/>
      <c r="BG529" s="551"/>
      <c r="BH529" s="551"/>
      <c r="BI529" s="551"/>
      <c r="BJ529" s="551"/>
      <c r="BK529" s="551"/>
    </row>
    <row r="530" spans="1:63" ht="12.75" customHeight="1">
      <c r="A530" s="551"/>
      <c r="B530" s="551"/>
      <c r="C530" s="551"/>
      <c r="D530" s="551"/>
      <c r="E530" s="551"/>
      <c r="F530" s="551"/>
      <c r="G530" s="551"/>
      <c r="H530" s="551"/>
      <c r="I530" s="551"/>
      <c r="J530" s="551"/>
      <c r="K530" s="551"/>
      <c r="L530" s="551"/>
      <c r="M530" s="551"/>
      <c r="N530" s="551"/>
      <c r="O530" s="551"/>
      <c r="P530" s="551"/>
      <c r="Q530" s="551"/>
      <c r="R530" s="551"/>
      <c r="S530" s="551"/>
      <c r="T530" s="551"/>
      <c r="U530" s="551"/>
      <c r="V530" s="551"/>
      <c r="W530" s="551"/>
      <c r="X530" s="551"/>
      <c r="Y530" s="551"/>
      <c r="Z530" s="551"/>
      <c r="AA530" s="551"/>
      <c r="AB530" s="551"/>
      <c r="AC530" s="551"/>
      <c r="AD530" s="551"/>
      <c r="AE530" s="551"/>
      <c r="AF530" s="551"/>
      <c r="AG530" s="551"/>
      <c r="AH530" s="551"/>
      <c r="AI530" s="551"/>
      <c r="AJ530" s="551"/>
      <c r="AK530" s="551"/>
      <c r="AL530" s="551"/>
      <c r="AM530" s="551"/>
      <c r="AN530" s="551"/>
      <c r="AO530" s="551"/>
      <c r="AP530" s="551"/>
      <c r="AQ530" s="551"/>
      <c r="AR530" s="551"/>
      <c r="AS530" s="551"/>
      <c r="AT530" s="551"/>
      <c r="AU530" s="551"/>
      <c r="AV530" s="551"/>
      <c r="AW530" s="551"/>
      <c r="AX530" s="551"/>
      <c r="AY530" s="551"/>
      <c r="AZ530" s="551"/>
      <c r="BA530" s="551"/>
      <c r="BB530" s="551"/>
      <c r="BC530" s="551"/>
      <c r="BD530" s="551"/>
      <c r="BE530" s="551"/>
      <c r="BF530" s="551"/>
      <c r="BG530" s="551"/>
      <c r="BH530" s="551"/>
      <c r="BI530" s="551"/>
      <c r="BJ530" s="551"/>
      <c r="BK530" s="551"/>
    </row>
    <row r="531" spans="1:63" ht="12.75" customHeight="1">
      <c r="A531" s="551"/>
      <c r="B531" s="551"/>
      <c r="C531" s="551"/>
      <c r="D531" s="551"/>
      <c r="E531" s="551"/>
      <c r="F531" s="551"/>
      <c r="G531" s="551"/>
      <c r="H531" s="551"/>
      <c r="I531" s="551"/>
      <c r="J531" s="551"/>
      <c r="K531" s="551"/>
      <c r="L531" s="551"/>
      <c r="M531" s="551"/>
      <c r="N531" s="551"/>
      <c r="O531" s="551"/>
      <c r="P531" s="551"/>
      <c r="Q531" s="551"/>
      <c r="R531" s="551"/>
      <c r="S531" s="551"/>
      <c r="T531" s="551"/>
      <c r="U531" s="551"/>
      <c r="V531" s="551"/>
      <c r="W531" s="551"/>
      <c r="X531" s="551"/>
      <c r="Y531" s="551"/>
      <c r="Z531" s="551"/>
      <c r="AA531" s="551"/>
      <c r="AB531" s="551"/>
      <c r="AC531" s="551"/>
      <c r="AD531" s="551"/>
      <c r="AE531" s="551"/>
      <c r="AF531" s="551"/>
      <c r="AG531" s="551"/>
      <c r="AH531" s="551"/>
      <c r="AI531" s="551"/>
      <c r="AJ531" s="551"/>
      <c r="AK531" s="551"/>
      <c r="AL531" s="551"/>
      <c r="AM531" s="551"/>
      <c r="AN531" s="551"/>
      <c r="AO531" s="551"/>
      <c r="AP531" s="551"/>
      <c r="AQ531" s="551"/>
      <c r="AR531" s="551"/>
      <c r="AS531" s="551"/>
      <c r="AT531" s="551"/>
      <c r="AU531" s="551"/>
      <c r="AV531" s="551"/>
      <c r="AW531" s="551"/>
      <c r="AX531" s="551"/>
      <c r="AY531" s="551"/>
      <c r="AZ531" s="551"/>
      <c r="BA531" s="551"/>
      <c r="BB531" s="551"/>
      <c r="BC531" s="551"/>
      <c r="BD531" s="551"/>
      <c r="BE531" s="551"/>
      <c r="BF531" s="551"/>
      <c r="BG531" s="551"/>
      <c r="BH531" s="551"/>
      <c r="BI531" s="551"/>
      <c r="BJ531" s="551"/>
      <c r="BK531" s="551"/>
    </row>
    <row r="532" spans="1:63" ht="12.75" customHeight="1">
      <c r="A532" s="551"/>
      <c r="B532" s="551"/>
      <c r="C532" s="551"/>
      <c r="D532" s="551"/>
      <c r="E532" s="551"/>
      <c r="F532" s="551"/>
      <c r="G532" s="551"/>
      <c r="H532" s="551"/>
      <c r="I532" s="551"/>
      <c r="J532" s="551"/>
      <c r="K532" s="551"/>
      <c r="L532" s="551"/>
      <c r="M532" s="551"/>
      <c r="N532" s="551"/>
      <c r="O532" s="551"/>
      <c r="P532" s="551"/>
      <c r="Q532" s="551"/>
      <c r="R532" s="551"/>
      <c r="S532" s="551"/>
      <c r="T532" s="551"/>
      <c r="U532" s="551"/>
      <c r="V532" s="551"/>
      <c r="W532" s="551"/>
      <c r="X532" s="551"/>
      <c r="Y532" s="551"/>
      <c r="Z532" s="551"/>
      <c r="AA532" s="551"/>
      <c r="AB532" s="551"/>
      <c r="AC532" s="551"/>
      <c r="AD532" s="551"/>
      <c r="AE532" s="551"/>
      <c r="AF532" s="551"/>
      <c r="AG532" s="551"/>
      <c r="AH532" s="551"/>
      <c r="AI532" s="551"/>
      <c r="AJ532" s="551"/>
      <c r="AK532" s="551"/>
      <c r="AL532" s="551"/>
      <c r="AM532" s="551"/>
      <c r="AN532" s="551"/>
      <c r="AO532" s="551"/>
      <c r="AP532" s="551"/>
      <c r="AQ532" s="551"/>
      <c r="AR532" s="551"/>
      <c r="AS532" s="551"/>
      <c r="AT532" s="551"/>
      <c r="AU532" s="551"/>
      <c r="AV532" s="551"/>
      <c r="AW532" s="551"/>
      <c r="AX532" s="551"/>
      <c r="AY532" s="551"/>
      <c r="AZ532" s="551"/>
      <c r="BA532" s="551"/>
      <c r="BB532" s="551"/>
      <c r="BC532" s="551"/>
      <c r="BD532" s="551"/>
      <c r="BE532" s="551"/>
      <c r="BF532" s="551"/>
      <c r="BG532" s="551"/>
      <c r="BH532" s="551"/>
      <c r="BI532" s="551"/>
      <c r="BJ532" s="551"/>
      <c r="BK532" s="551"/>
    </row>
    <row r="533" spans="1:63" ht="12.75" customHeight="1">
      <c r="A533" s="551"/>
      <c r="B533" s="551"/>
      <c r="C533" s="551"/>
      <c r="D533" s="551"/>
      <c r="E533" s="551"/>
      <c r="F533" s="551"/>
      <c r="G533" s="551"/>
      <c r="H533" s="551"/>
      <c r="I533" s="551"/>
      <c r="J533" s="551"/>
      <c r="K533" s="551"/>
      <c r="L533" s="551"/>
      <c r="M533" s="551"/>
      <c r="N533" s="551"/>
      <c r="O533" s="551"/>
      <c r="P533" s="551"/>
      <c r="Q533" s="551"/>
      <c r="R533" s="551"/>
      <c r="S533" s="551"/>
      <c r="T533" s="551"/>
      <c r="U533" s="551"/>
      <c r="V533" s="551"/>
      <c r="W533" s="551"/>
      <c r="X533" s="551"/>
      <c r="Y533" s="551"/>
      <c r="Z533" s="551"/>
      <c r="AA533" s="551"/>
      <c r="AB533" s="551"/>
      <c r="AC533" s="551"/>
      <c r="AD533" s="551"/>
      <c r="AE533" s="551"/>
      <c r="AF533" s="551"/>
      <c r="AG533" s="551"/>
      <c r="AH533" s="551"/>
      <c r="AI533" s="551"/>
      <c r="AJ533" s="551"/>
      <c r="AK533" s="551"/>
      <c r="AL533" s="551"/>
      <c r="AM533" s="551"/>
      <c r="AN533" s="551"/>
      <c r="AO533" s="551"/>
      <c r="AP533" s="551"/>
      <c r="AQ533" s="551"/>
      <c r="AR533" s="551"/>
      <c r="AS533" s="551"/>
      <c r="AT533" s="551"/>
      <c r="AU533" s="551"/>
      <c r="AV533" s="551"/>
      <c r="AW533" s="551"/>
      <c r="AX533" s="551"/>
      <c r="AY533" s="551"/>
      <c r="AZ533" s="551"/>
      <c r="BA533" s="551"/>
      <c r="BB533" s="551"/>
      <c r="BC533" s="551"/>
      <c r="BD533" s="551"/>
      <c r="BE533" s="551"/>
      <c r="BF533" s="551"/>
      <c r="BG533" s="551"/>
      <c r="BH533" s="551"/>
      <c r="BI533" s="551"/>
      <c r="BJ533" s="551"/>
      <c r="BK533" s="551"/>
    </row>
    <row r="534" spans="1:63" ht="12.75" customHeight="1">
      <c r="A534" s="551"/>
      <c r="B534" s="551"/>
      <c r="C534" s="551"/>
      <c r="D534" s="551"/>
      <c r="E534" s="551"/>
      <c r="F534" s="551"/>
      <c r="G534" s="551"/>
      <c r="H534" s="551"/>
      <c r="I534" s="551"/>
      <c r="J534" s="551"/>
      <c r="K534" s="551"/>
      <c r="L534" s="551"/>
      <c r="M534" s="551"/>
      <c r="N534" s="551"/>
      <c r="O534" s="551"/>
      <c r="P534" s="551"/>
      <c r="Q534" s="551"/>
      <c r="R534" s="551"/>
      <c r="S534" s="551"/>
      <c r="T534" s="551"/>
      <c r="U534" s="551"/>
      <c r="V534" s="551"/>
      <c r="W534" s="551"/>
      <c r="X534" s="551"/>
      <c r="Y534" s="551"/>
      <c r="Z534" s="551"/>
      <c r="AA534" s="551"/>
      <c r="AB534" s="551"/>
      <c r="AC534" s="551"/>
      <c r="AD534" s="551"/>
      <c r="AE534" s="551"/>
      <c r="AF534" s="551"/>
      <c r="AG534" s="551"/>
      <c r="AH534" s="551"/>
      <c r="AI534" s="551"/>
      <c r="AJ534" s="551"/>
      <c r="AK534" s="551"/>
      <c r="AL534" s="551"/>
      <c r="AM534" s="551"/>
      <c r="AN534" s="551"/>
      <c r="AO534" s="551"/>
      <c r="AP534" s="551"/>
      <c r="AQ534" s="551"/>
      <c r="AR534" s="551"/>
      <c r="AS534" s="551"/>
      <c r="AT534" s="551"/>
      <c r="AU534" s="551"/>
      <c r="AV534" s="551"/>
      <c r="AW534" s="551"/>
      <c r="AX534" s="551"/>
      <c r="AY534" s="551"/>
      <c r="AZ534" s="551"/>
      <c r="BA534" s="551"/>
      <c r="BB534" s="551"/>
      <c r="BC534" s="551"/>
      <c r="BD534" s="551"/>
      <c r="BE534" s="551"/>
      <c r="BF534" s="551"/>
      <c r="BG534" s="551"/>
      <c r="BH534" s="551"/>
      <c r="BI534" s="551"/>
      <c r="BJ534" s="551"/>
      <c r="BK534" s="551"/>
    </row>
    <row r="535" spans="1:63" ht="12.75" customHeight="1">
      <c r="A535" s="551"/>
      <c r="B535" s="551"/>
      <c r="C535" s="551"/>
      <c r="D535" s="551"/>
      <c r="E535" s="551"/>
      <c r="F535" s="551"/>
      <c r="G535" s="551"/>
      <c r="H535" s="551"/>
      <c r="I535" s="551"/>
      <c r="J535" s="551"/>
      <c r="K535" s="551"/>
      <c r="L535" s="551"/>
      <c r="M535" s="551"/>
      <c r="N535" s="551"/>
      <c r="O535" s="551"/>
      <c r="P535" s="551"/>
      <c r="Q535" s="551"/>
      <c r="R535" s="551"/>
      <c r="S535" s="551"/>
      <c r="T535" s="551"/>
      <c r="U535" s="551"/>
      <c r="V535" s="551"/>
      <c r="W535" s="551"/>
      <c r="X535" s="551"/>
      <c r="Y535" s="551"/>
      <c r="Z535" s="551"/>
      <c r="AA535" s="551"/>
      <c r="AB535" s="551"/>
      <c r="AC535" s="551"/>
      <c r="AD535" s="551"/>
      <c r="AE535" s="551"/>
      <c r="AF535" s="551"/>
      <c r="AG535" s="551"/>
      <c r="AH535" s="551"/>
      <c r="AI535" s="551"/>
      <c r="AJ535" s="551"/>
      <c r="AK535" s="551"/>
      <c r="AL535" s="551"/>
      <c r="AM535" s="551"/>
      <c r="AN535" s="551"/>
      <c r="AO535" s="551"/>
      <c r="AP535" s="551"/>
      <c r="AQ535" s="551"/>
      <c r="AR535" s="551"/>
      <c r="AS535" s="551"/>
      <c r="AT535" s="551"/>
      <c r="AU535" s="551"/>
      <c r="AV535" s="551"/>
      <c r="AW535" s="551"/>
      <c r="AX535" s="551"/>
      <c r="AY535" s="551"/>
      <c r="AZ535" s="551"/>
      <c r="BA535" s="551"/>
      <c r="BB535" s="551"/>
      <c r="BC535" s="551"/>
      <c r="BD535" s="551"/>
      <c r="BE535" s="551"/>
      <c r="BF535" s="551"/>
      <c r="BG535" s="551"/>
      <c r="BH535" s="551"/>
      <c r="BI535" s="551"/>
      <c r="BJ535" s="551"/>
      <c r="BK535" s="551"/>
    </row>
    <row r="536" spans="1:63" ht="12.75" customHeight="1">
      <c r="A536" s="551"/>
      <c r="B536" s="551"/>
      <c r="C536" s="551"/>
      <c r="D536" s="551"/>
      <c r="E536" s="551"/>
      <c r="F536" s="551"/>
      <c r="G536" s="551"/>
      <c r="H536" s="551"/>
      <c r="I536" s="551"/>
      <c r="J536" s="551"/>
      <c r="K536" s="551"/>
      <c r="L536" s="551"/>
      <c r="M536" s="551"/>
      <c r="N536" s="551"/>
      <c r="O536" s="551"/>
      <c r="P536" s="551"/>
      <c r="Q536" s="551"/>
      <c r="R536" s="551"/>
      <c r="S536" s="551"/>
      <c r="T536" s="551"/>
      <c r="U536" s="551"/>
      <c r="V536" s="551"/>
      <c r="W536" s="551"/>
      <c r="X536" s="551"/>
      <c r="Y536" s="551"/>
      <c r="Z536" s="551"/>
      <c r="AA536" s="551"/>
      <c r="AB536" s="551"/>
      <c r="AC536" s="551"/>
      <c r="AD536" s="551"/>
      <c r="AE536" s="551"/>
      <c r="AF536" s="551"/>
      <c r="AG536" s="551"/>
      <c r="AH536" s="551"/>
      <c r="AI536" s="551"/>
      <c r="AJ536" s="551"/>
      <c r="AK536" s="551"/>
      <c r="AL536" s="551"/>
      <c r="AM536" s="551"/>
      <c r="AN536" s="551"/>
      <c r="AO536" s="551"/>
      <c r="AP536" s="551"/>
      <c r="AQ536" s="551"/>
      <c r="AR536" s="551"/>
      <c r="AS536" s="551"/>
      <c r="AT536" s="551"/>
      <c r="AU536" s="551"/>
      <c r="AV536" s="551"/>
      <c r="AW536" s="551"/>
      <c r="AX536" s="551"/>
      <c r="AY536" s="551"/>
      <c r="AZ536" s="551"/>
      <c r="BA536" s="551"/>
      <c r="BB536" s="551"/>
      <c r="BC536" s="551"/>
      <c r="BD536" s="551"/>
      <c r="BE536" s="551"/>
      <c r="BF536" s="551"/>
      <c r="BG536" s="551"/>
      <c r="BH536" s="551"/>
      <c r="BI536" s="551"/>
      <c r="BJ536" s="551"/>
      <c r="BK536" s="551"/>
    </row>
    <row r="537" spans="1:63" ht="12.75" customHeight="1">
      <c r="A537" s="551"/>
      <c r="B537" s="551"/>
      <c r="C537" s="551"/>
      <c r="D537" s="551"/>
      <c r="E537" s="551"/>
      <c r="F537" s="551"/>
      <c r="G537" s="551"/>
      <c r="H537" s="551"/>
      <c r="I537" s="551"/>
      <c r="J537" s="551"/>
      <c r="K537" s="551"/>
      <c r="L537" s="551"/>
      <c r="M537" s="551"/>
      <c r="N537" s="551"/>
      <c r="O537" s="551"/>
      <c r="P537" s="551"/>
      <c r="Q537" s="551"/>
      <c r="R537" s="551"/>
      <c r="S537" s="551"/>
      <c r="T537" s="551"/>
      <c r="U537" s="551"/>
      <c r="V537" s="551"/>
      <c r="W537" s="551"/>
      <c r="X537" s="551"/>
      <c r="Y537" s="551"/>
      <c r="Z537" s="551"/>
      <c r="AA537" s="551"/>
      <c r="AB537" s="551"/>
      <c r="AC537" s="551"/>
      <c r="AD537" s="551"/>
      <c r="AE537" s="551"/>
      <c r="AF537" s="551"/>
      <c r="AG537" s="551"/>
      <c r="AH537" s="551"/>
      <c r="AI537" s="551"/>
      <c r="AJ537" s="551"/>
      <c r="AK537" s="551"/>
      <c r="AL537" s="551"/>
      <c r="AM537" s="551"/>
      <c r="AN537" s="551"/>
      <c r="AO537" s="551"/>
      <c r="AP537" s="551"/>
      <c r="AQ537" s="551"/>
      <c r="AR537" s="551"/>
      <c r="AS537" s="551"/>
      <c r="AT537" s="551"/>
      <c r="AU537" s="551"/>
      <c r="AV537" s="551"/>
      <c r="AW537" s="551"/>
      <c r="AX537" s="551"/>
      <c r="AY537" s="551"/>
      <c r="AZ537" s="551"/>
      <c r="BA537" s="551"/>
      <c r="BB537" s="551"/>
      <c r="BC537" s="551"/>
      <c r="BD537" s="551"/>
      <c r="BE537" s="551"/>
      <c r="BF537" s="551"/>
      <c r="BG537" s="551"/>
      <c r="BH537" s="551"/>
      <c r="BI537" s="551"/>
      <c r="BJ537" s="551"/>
      <c r="BK537" s="551"/>
    </row>
    <row r="538" spans="1:63" ht="12.75" customHeight="1">
      <c r="A538" s="551"/>
      <c r="B538" s="551"/>
      <c r="C538" s="551"/>
      <c r="D538" s="551"/>
      <c r="E538" s="551"/>
      <c r="F538" s="551"/>
      <c r="G538" s="551"/>
      <c r="H538" s="551"/>
      <c r="I538" s="551"/>
      <c r="J538" s="551"/>
      <c r="K538" s="551"/>
      <c r="L538" s="551"/>
      <c r="M538" s="551"/>
      <c r="N538" s="551"/>
      <c r="O538" s="551"/>
      <c r="P538" s="551"/>
      <c r="Q538" s="551"/>
      <c r="R538" s="551"/>
      <c r="S538" s="551"/>
      <c r="T538" s="551"/>
      <c r="U538" s="551"/>
      <c r="V538" s="551"/>
      <c r="W538" s="551"/>
      <c r="X538" s="551"/>
      <c r="Y538" s="551"/>
      <c r="Z538" s="551"/>
      <c r="AA538" s="551"/>
      <c r="AB538" s="551"/>
      <c r="AC538" s="551"/>
      <c r="AD538" s="551"/>
      <c r="AE538" s="551"/>
      <c r="AF538" s="551"/>
      <c r="AG538" s="551"/>
      <c r="AH538" s="551"/>
      <c r="AI538" s="551"/>
      <c r="AJ538" s="551"/>
      <c r="AK538" s="551"/>
      <c r="AL538" s="551"/>
      <c r="AM538" s="551"/>
      <c r="AN538" s="551"/>
      <c r="AO538" s="551"/>
      <c r="AP538" s="551"/>
      <c r="AQ538" s="551"/>
      <c r="AR538" s="551"/>
      <c r="AS538" s="551"/>
      <c r="AT538" s="551"/>
      <c r="AU538" s="551"/>
      <c r="AV538" s="551"/>
      <c r="AW538" s="551"/>
      <c r="AX538" s="551"/>
      <c r="AY538" s="551"/>
      <c r="AZ538" s="551"/>
      <c r="BA538" s="551"/>
      <c r="BB538" s="551"/>
      <c r="BC538" s="551"/>
      <c r="BD538" s="551"/>
      <c r="BE538" s="551"/>
      <c r="BF538" s="551"/>
      <c r="BG538" s="551"/>
      <c r="BH538" s="551"/>
      <c r="BI538" s="551"/>
      <c r="BJ538" s="551"/>
      <c r="BK538" s="551"/>
    </row>
    <row r="539" spans="1:63" ht="12.75" customHeight="1">
      <c r="A539" s="551"/>
      <c r="B539" s="551"/>
      <c r="C539" s="551"/>
      <c r="D539" s="551"/>
      <c r="E539" s="551"/>
      <c r="F539" s="551"/>
      <c r="G539" s="551"/>
      <c r="H539" s="551"/>
      <c r="I539" s="551"/>
      <c r="J539" s="551"/>
      <c r="K539" s="551"/>
      <c r="L539" s="551"/>
      <c r="M539" s="551"/>
      <c r="N539" s="551"/>
      <c r="O539" s="551"/>
      <c r="P539" s="551"/>
      <c r="Q539" s="551"/>
      <c r="R539" s="551"/>
      <c r="S539" s="551"/>
      <c r="T539" s="551"/>
      <c r="U539" s="551"/>
      <c r="V539" s="551"/>
      <c r="W539" s="551"/>
      <c r="X539" s="551"/>
      <c r="Y539" s="551"/>
      <c r="Z539" s="551"/>
      <c r="AA539" s="551"/>
      <c r="AB539" s="551"/>
      <c r="AC539" s="551"/>
      <c r="AD539" s="551"/>
      <c r="AE539" s="551"/>
      <c r="AF539" s="551"/>
      <c r="AG539" s="551"/>
      <c r="AH539" s="551"/>
      <c r="AI539" s="551"/>
      <c r="AJ539" s="551"/>
      <c r="AK539" s="551"/>
      <c r="AL539" s="551"/>
      <c r="AM539" s="551"/>
      <c r="AN539" s="551"/>
      <c r="AO539" s="551"/>
      <c r="AP539" s="551"/>
      <c r="AQ539" s="551"/>
      <c r="AR539" s="551"/>
      <c r="AS539" s="551"/>
      <c r="AT539" s="551"/>
      <c r="AU539" s="551"/>
      <c r="AV539" s="551"/>
      <c r="AW539" s="551"/>
      <c r="AX539" s="551"/>
      <c r="AY539" s="551"/>
      <c r="AZ539" s="551"/>
      <c r="BA539" s="551"/>
      <c r="BB539" s="551"/>
      <c r="BC539" s="551"/>
      <c r="BD539" s="551"/>
      <c r="BE539" s="551"/>
      <c r="BF539" s="551"/>
      <c r="BG539" s="551"/>
      <c r="BH539" s="551"/>
      <c r="BI539" s="551"/>
      <c r="BJ539" s="551"/>
      <c r="BK539" s="551"/>
    </row>
    <row r="540" spans="1:63" ht="12.75" customHeight="1">
      <c r="A540" s="551"/>
      <c r="B540" s="551"/>
      <c r="C540" s="551"/>
      <c r="D540" s="551"/>
      <c r="E540" s="551"/>
      <c r="F540" s="551"/>
      <c r="G540" s="551"/>
      <c r="H540" s="551"/>
      <c r="I540" s="551"/>
      <c r="J540" s="551"/>
      <c r="K540" s="551"/>
      <c r="L540" s="551"/>
      <c r="M540" s="551"/>
      <c r="N540" s="551"/>
      <c r="O540" s="551"/>
      <c r="P540" s="551"/>
      <c r="Q540" s="551"/>
      <c r="R540" s="551"/>
      <c r="S540" s="551"/>
      <c r="T540" s="551"/>
      <c r="U540" s="551"/>
      <c r="V540" s="551"/>
      <c r="W540" s="551"/>
      <c r="X540" s="551"/>
      <c r="Y540" s="551"/>
      <c r="Z540" s="551"/>
      <c r="AA540" s="551"/>
      <c r="AB540" s="551"/>
      <c r="AC540" s="551"/>
      <c r="AD540" s="551"/>
      <c r="AE540" s="551"/>
      <c r="AF540" s="551"/>
      <c r="AG540" s="551"/>
      <c r="AH540" s="551"/>
      <c r="AI540" s="551"/>
      <c r="AJ540" s="551"/>
      <c r="AK540" s="551"/>
      <c r="AL540" s="551"/>
      <c r="AM540" s="551"/>
      <c r="AN540" s="551"/>
      <c r="AO540" s="551"/>
      <c r="AP540" s="551"/>
      <c r="AQ540" s="551"/>
      <c r="AR540" s="551"/>
      <c r="AS540" s="551"/>
      <c r="AT540" s="551"/>
      <c r="AU540" s="551"/>
      <c r="AV540" s="551"/>
      <c r="AW540" s="551"/>
      <c r="AX540" s="551"/>
      <c r="AY540" s="551"/>
      <c r="AZ540" s="551"/>
      <c r="BA540" s="551"/>
      <c r="BB540" s="551"/>
      <c r="BC540" s="551"/>
      <c r="BD540" s="551"/>
      <c r="BE540" s="551"/>
      <c r="BF540" s="551"/>
      <c r="BG540" s="551"/>
      <c r="BH540" s="551"/>
      <c r="BI540" s="551"/>
      <c r="BJ540" s="551"/>
      <c r="BK540" s="551"/>
    </row>
    <row r="541" spans="1:63" ht="12.75" customHeight="1">
      <c r="A541" s="551"/>
      <c r="B541" s="551"/>
      <c r="C541" s="551"/>
      <c r="D541" s="551"/>
      <c r="E541" s="551"/>
      <c r="F541" s="551"/>
      <c r="G541" s="551"/>
      <c r="H541" s="551"/>
      <c r="I541" s="551"/>
      <c r="J541" s="551"/>
      <c r="K541" s="551"/>
      <c r="L541" s="551"/>
      <c r="M541" s="551"/>
      <c r="N541" s="551"/>
      <c r="O541" s="551"/>
      <c r="P541" s="551"/>
      <c r="Q541" s="551"/>
      <c r="R541" s="551"/>
      <c r="S541" s="551"/>
      <c r="T541" s="551"/>
      <c r="U541" s="551"/>
      <c r="V541" s="551"/>
      <c r="W541" s="551"/>
      <c r="X541" s="551"/>
      <c r="Y541" s="551"/>
      <c r="Z541" s="551"/>
      <c r="AA541" s="551"/>
      <c r="AB541" s="551"/>
      <c r="AC541" s="551"/>
      <c r="AD541" s="551"/>
      <c r="AE541" s="551"/>
      <c r="AF541" s="551"/>
      <c r="AG541" s="551"/>
      <c r="AH541" s="551"/>
      <c r="AI541" s="551"/>
      <c r="AJ541" s="551"/>
      <c r="AK541" s="551"/>
      <c r="AL541" s="551"/>
      <c r="AM541" s="551"/>
      <c r="AN541" s="551"/>
      <c r="AO541" s="551"/>
      <c r="AP541" s="551"/>
      <c r="AQ541" s="551"/>
      <c r="AR541" s="551"/>
      <c r="AS541" s="551"/>
      <c r="AT541" s="551"/>
      <c r="AU541" s="551"/>
      <c r="AV541" s="551"/>
      <c r="AW541" s="551"/>
      <c r="AX541" s="551"/>
      <c r="AY541" s="551"/>
      <c r="AZ541" s="551"/>
      <c r="BA541" s="551"/>
      <c r="BB541" s="551"/>
      <c r="BC541" s="551"/>
      <c r="BD541" s="551"/>
      <c r="BE541" s="551"/>
      <c r="BF541" s="551"/>
      <c r="BG541" s="551"/>
      <c r="BH541" s="551"/>
      <c r="BI541" s="551"/>
      <c r="BJ541" s="551"/>
      <c r="BK541" s="551"/>
    </row>
    <row r="542" spans="1:63" ht="12.75" customHeight="1">
      <c r="A542" s="551"/>
      <c r="B542" s="551"/>
      <c r="C542" s="551"/>
      <c r="D542" s="551"/>
      <c r="E542" s="551"/>
      <c r="F542" s="551"/>
      <c r="G542" s="551"/>
      <c r="H542" s="551"/>
      <c r="I542" s="551"/>
      <c r="J542" s="551"/>
      <c r="K542" s="551"/>
      <c r="L542" s="551"/>
      <c r="M542" s="551"/>
      <c r="N542" s="551"/>
      <c r="O542" s="551"/>
      <c r="P542" s="551"/>
      <c r="Q542" s="551"/>
      <c r="R542" s="551"/>
      <c r="S542" s="551"/>
      <c r="T542" s="551"/>
      <c r="U542" s="551"/>
      <c r="V542" s="551"/>
      <c r="W542" s="551"/>
      <c r="X542" s="551"/>
      <c r="Y542" s="551"/>
      <c r="Z542" s="551"/>
      <c r="AA542" s="551"/>
      <c r="AB542" s="551"/>
      <c r="AC542" s="551"/>
      <c r="AD542" s="551"/>
      <c r="AE542" s="551"/>
      <c r="AF542" s="551"/>
      <c r="AG542" s="551"/>
      <c r="AH542" s="551"/>
      <c r="AI542" s="551"/>
      <c r="AJ542" s="551"/>
      <c r="AK542" s="551"/>
      <c r="AL542" s="551"/>
      <c r="AM542" s="551"/>
      <c r="AN542" s="551"/>
      <c r="AO542" s="551"/>
      <c r="AP542" s="551"/>
      <c r="AQ542" s="551"/>
      <c r="AR542" s="551"/>
      <c r="AS542" s="551"/>
      <c r="AT542" s="551"/>
      <c r="AU542" s="551"/>
      <c r="AV542" s="551"/>
      <c r="AW542" s="551"/>
      <c r="AX542" s="551"/>
      <c r="AY542" s="551"/>
      <c r="AZ542" s="551"/>
      <c r="BA542" s="551"/>
      <c r="BB542" s="551"/>
      <c r="BC542" s="551"/>
      <c r="BD542" s="551"/>
      <c r="BE542" s="551"/>
      <c r="BF542" s="551"/>
      <c r="BG542" s="551"/>
      <c r="BH542" s="551"/>
      <c r="BI542" s="551"/>
      <c r="BJ542" s="551"/>
      <c r="BK542" s="551"/>
    </row>
    <row r="543" spans="1:63" ht="12.75" customHeight="1">
      <c r="A543" s="551"/>
      <c r="B543" s="551"/>
      <c r="C543" s="551"/>
      <c r="D543" s="551"/>
      <c r="E543" s="551"/>
      <c r="F543" s="551"/>
      <c r="G543" s="551"/>
      <c r="H543" s="551"/>
      <c r="I543" s="551"/>
      <c r="J543" s="551"/>
      <c r="K543" s="551"/>
      <c r="L543" s="551"/>
      <c r="M543" s="551"/>
      <c r="N543" s="551"/>
      <c r="O543" s="551"/>
      <c r="P543" s="551"/>
      <c r="Q543" s="551"/>
      <c r="R543" s="551"/>
      <c r="S543" s="551"/>
      <c r="T543" s="551"/>
      <c r="U543" s="551"/>
      <c r="V543" s="551"/>
      <c r="W543" s="551"/>
      <c r="X543" s="551"/>
      <c r="Y543" s="551"/>
      <c r="Z543" s="551"/>
      <c r="AA543" s="551"/>
      <c r="AB543" s="551"/>
      <c r="AC543" s="551"/>
      <c r="AD543" s="551"/>
      <c r="AE543" s="551"/>
      <c r="AF543" s="551"/>
      <c r="AG543" s="551"/>
      <c r="AH543" s="551"/>
      <c r="AI543" s="551"/>
      <c r="AJ543" s="551"/>
      <c r="AK543" s="551"/>
      <c r="AL543" s="551"/>
      <c r="AM543" s="551"/>
      <c r="AN543" s="551"/>
      <c r="AO543" s="551"/>
      <c r="AP543" s="551"/>
      <c r="AQ543" s="551"/>
      <c r="AR543" s="551"/>
      <c r="AS543" s="551"/>
      <c r="AT543" s="551"/>
      <c r="AU543" s="551"/>
      <c r="AV543" s="551"/>
      <c r="AW543" s="551"/>
      <c r="AX543" s="551"/>
      <c r="AY543" s="551"/>
      <c r="AZ543" s="551"/>
      <c r="BA543" s="551"/>
      <c r="BB543" s="551"/>
      <c r="BC543" s="551"/>
      <c r="BD543" s="551"/>
      <c r="BE543" s="551"/>
      <c r="BF543" s="551"/>
      <c r="BG543" s="551"/>
      <c r="BH543" s="551"/>
      <c r="BI543" s="551"/>
      <c r="BJ543" s="551"/>
      <c r="BK543" s="551"/>
    </row>
    <row r="544" spans="1:63" ht="12.75" customHeight="1">
      <c r="A544" s="551"/>
      <c r="B544" s="551"/>
      <c r="C544" s="551"/>
      <c r="D544" s="551"/>
      <c r="E544" s="551"/>
      <c r="F544" s="551"/>
      <c r="G544" s="551"/>
      <c r="H544" s="551"/>
      <c r="I544" s="551"/>
      <c r="J544" s="551"/>
      <c r="K544" s="551"/>
      <c r="L544" s="551"/>
      <c r="M544" s="551"/>
      <c r="N544" s="551"/>
      <c r="O544" s="551"/>
      <c r="P544" s="551"/>
      <c r="Q544" s="551"/>
      <c r="R544" s="551"/>
      <c r="S544" s="551"/>
      <c r="T544" s="551"/>
      <c r="U544" s="551"/>
      <c r="V544" s="551"/>
      <c r="W544" s="551"/>
      <c r="X544" s="551"/>
      <c r="Y544" s="551"/>
      <c r="Z544" s="551"/>
      <c r="AA544" s="551"/>
      <c r="AB544" s="551"/>
      <c r="AC544" s="551"/>
      <c r="AD544" s="551"/>
      <c r="AE544" s="551"/>
      <c r="AF544" s="551"/>
      <c r="AG544" s="551"/>
      <c r="AH544" s="551"/>
      <c r="AI544" s="551"/>
      <c r="AJ544" s="551"/>
      <c r="AK544" s="551"/>
      <c r="AL544" s="551"/>
      <c r="AM544" s="551"/>
      <c r="AN544" s="551"/>
      <c r="AO544" s="551"/>
      <c r="AP544" s="551"/>
      <c r="AQ544" s="551"/>
      <c r="AR544" s="551"/>
      <c r="AS544" s="551"/>
      <c r="AT544" s="551"/>
      <c r="AU544" s="551"/>
      <c r="AV544" s="551"/>
      <c r="AW544" s="551"/>
      <c r="AX544" s="551"/>
      <c r="AY544" s="551"/>
      <c r="AZ544" s="551"/>
      <c r="BA544" s="551"/>
      <c r="BB544" s="551"/>
      <c r="BC544" s="551"/>
      <c r="BD544" s="551"/>
      <c r="BE544" s="551"/>
      <c r="BF544" s="551"/>
      <c r="BG544" s="551"/>
      <c r="BH544" s="551"/>
      <c r="BI544" s="551"/>
      <c r="BJ544" s="551"/>
      <c r="BK544" s="551"/>
    </row>
    <row r="545" spans="1:63" ht="12.75" customHeight="1">
      <c r="A545" s="551"/>
      <c r="B545" s="551"/>
      <c r="C545" s="551"/>
      <c r="D545" s="551"/>
      <c r="E545" s="551"/>
      <c r="F545" s="551"/>
      <c r="G545" s="551"/>
      <c r="H545" s="551"/>
      <c r="I545" s="551"/>
      <c r="J545" s="551"/>
      <c r="K545" s="551"/>
      <c r="L545" s="551"/>
      <c r="M545" s="551"/>
      <c r="N545" s="551"/>
      <c r="O545" s="551"/>
      <c r="P545" s="551"/>
      <c r="Q545" s="551"/>
      <c r="R545" s="551"/>
      <c r="S545" s="551"/>
      <c r="T545" s="551"/>
      <c r="U545" s="551"/>
      <c r="V545" s="551"/>
      <c r="W545" s="551"/>
      <c r="X545" s="551"/>
      <c r="Y545" s="551"/>
      <c r="Z545" s="551"/>
      <c r="AA545" s="551"/>
      <c r="AB545" s="551"/>
      <c r="AC545" s="551"/>
      <c r="AD545" s="551"/>
      <c r="AE545" s="551"/>
      <c r="AF545" s="551"/>
      <c r="AG545" s="551"/>
      <c r="AH545" s="551"/>
      <c r="AI545" s="551"/>
      <c r="AJ545" s="551"/>
      <c r="AK545" s="551"/>
      <c r="AL545" s="551"/>
      <c r="AM545" s="551"/>
      <c r="AN545" s="551"/>
      <c r="AO545" s="551"/>
      <c r="AP545" s="551"/>
      <c r="AQ545" s="551"/>
      <c r="AR545" s="551"/>
      <c r="AS545" s="551"/>
      <c r="AT545" s="551"/>
      <c r="AU545" s="551"/>
      <c r="AV545" s="551"/>
      <c r="AW545" s="551"/>
      <c r="AX545" s="551"/>
      <c r="AY545" s="551"/>
      <c r="AZ545" s="551"/>
      <c r="BA545" s="551"/>
      <c r="BB545" s="551"/>
      <c r="BC545" s="551"/>
      <c r="BD545" s="551"/>
      <c r="BE545" s="551"/>
      <c r="BF545" s="551"/>
      <c r="BG545" s="551"/>
      <c r="BH545" s="551"/>
      <c r="BI545" s="551"/>
      <c r="BJ545" s="551"/>
      <c r="BK545" s="551"/>
    </row>
    <row r="546" spans="1:63" ht="12.75" customHeight="1">
      <c r="A546" s="551"/>
      <c r="B546" s="551"/>
      <c r="C546" s="551"/>
      <c r="D546" s="551"/>
      <c r="E546" s="551"/>
      <c r="F546" s="551"/>
      <c r="G546" s="551"/>
      <c r="H546" s="551"/>
      <c r="I546" s="551"/>
      <c r="J546" s="551"/>
      <c r="K546" s="551"/>
      <c r="L546" s="551"/>
      <c r="M546" s="551"/>
      <c r="N546" s="551"/>
      <c r="O546" s="551"/>
      <c r="P546" s="551"/>
      <c r="Q546" s="551"/>
      <c r="R546" s="551"/>
      <c r="S546" s="551"/>
      <c r="T546" s="551"/>
      <c r="U546" s="551"/>
      <c r="V546" s="551"/>
      <c r="W546" s="551"/>
      <c r="X546" s="551"/>
      <c r="Y546" s="551"/>
      <c r="Z546" s="551"/>
      <c r="AA546" s="551"/>
      <c r="AB546" s="551"/>
      <c r="AC546" s="551"/>
      <c r="AD546" s="551"/>
      <c r="AE546" s="551"/>
      <c r="AF546" s="551"/>
      <c r="AG546" s="551"/>
      <c r="AH546" s="551"/>
      <c r="AI546" s="551"/>
      <c r="AJ546" s="551"/>
      <c r="AK546" s="551"/>
      <c r="AL546" s="551"/>
      <c r="AM546" s="551"/>
      <c r="AN546" s="551"/>
      <c r="AO546" s="551"/>
      <c r="AP546" s="551"/>
      <c r="AQ546" s="551"/>
      <c r="AR546" s="551"/>
      <c r="AS546" s="551"/>
      <c r="AT546" s="551"/>
      <c r="AU546" s="551"/>
      <c r="AV546" s="551"/>
      <c r="AW546" s="551"/>
      <c r="AX546" s="551"/>
      <c r="AY546" s="551"/>
      <c r="AZ546" s="551"/>
      <c r="BA546" s="551"/>
      <c r="BB546" s="551"/>
      <c r="BC546" s="551"/>
      <c r="BD546" s="551"/>
      <c r="BE546" s="551"/>
      <c r="BF546" s="551"/>
      <c r="BG546" s="551"/>
      <c r="BH546" s="551"/>
      <c r="BI546" s="551"/>
      <c r="BJ546" s="551"/>
      <c r="BK546" s="551"/>
    </row>
    <row r="547" spans="1:63" ht="12.75" customHeight="1">
      <c r="A547" s="551"/>
      <c r="B547" s="551"/>
      <c r="C547" s="551"/>
      <c r="D547" s="551"/>
      <c r="E547" s="551"/>
      <c r="F547" s="551"/>
      <c r="G547" s="551"/>
      <c r="H547" s="551"/>
      <c r="I547" s="551"/>
      <c r="J547" s="551"/>
      <c r="K547" s="551"/>
      <c r="L547" s="551"/>
      <c r="M547" s="551"/>
      <c r="N547" s="551"/>
      <c r="O547" s="551"/>
      <c r="P547" s="551"/>
      <c r="Q547" s="551"/>
      <c r="R547" s="551"/>
      <c r="S547" s="551"/>
      <c r="T547" s="551"/>
      <c r="U547" s="551"/>
      <c r="V547" s="551"/>
      <c r="W547" s="551"/>
      <c r="X547" s="551"/>
      <c r="Y547" s="551"/>
      <c r="Z547" s="551"/>
      <c r="AA547" s="551"/>
      <c r="AB547" s="551"/>
      <c r="AC547" s="551"/>
      <c r="AD547" s="551"/>
      <c r="AE547" s="551"/>
      <c r="AF547" s="551"/>
      <c r="AG547" s="551"/>
      <c r="AH547" s="551"/>
      <c r="AI547" s="551"/>
      <c r="AJ547" s="551"/>
      <c r="AK547" s="551"/>
      <c r="AL547" s="551"/>
      <c r="AM547" s="551"/>
      <c r="AN547" s="551"/>
      <c r="AO547" s="551"/>
      <c r="AP547" s="551"/>
      <c r="AQ547" s="551"/>
      <c r="AR547" s="551"/>
      <c r="AS547" s="551"/>
      <c r="AT547" s="551"/>
      <c r="AU547" s="551"/>
      <c r="AV547" s="551"/>
      <c r="AW547" s="551"/>
      <c r="AX547" s="551"/>
      <c r="AY547" s="551"/>
      <c r="AZ547" s="551"/>
      <c r="BA547" s="551"/>
      <c r="BB547" s="551"/>
      <c r="BC547" s="551"/>
      <c r="BD547" s="551"/>
      <c r="BE547" s="551"/>
      <c r="BF547" s="551"/>
      <c r="BG547" s="551"/>
      <c r="BH547" s="551"/>
      <c r="BI547" s="551"/>
      <c r="BJ547" s="551"/>
      <c r="BK547" s="551"/>
    </row>
    <row r="548" spans="1:63" ht="12.75" customHeight="1">
      <c r="A548" s="551"/>
      <c r="B548" s="551"/>
      <c r="C548" s="551"/>
      <c r="D548" s="551"/>
      <c r="E548" s="551"/>
      <c r="F548" s="551"/>
      <c r="G548" s="551"/>
      <c r="H548" s="551"/>
      <c r="I548" s="551"/>
      <c r="J548" s="551"/>
      <c r="K548" s="551"/>
      <c r="L548" s="551"/>
      <c r="M548" s="551"/>
      <c r="N548" s="551"/>
      <c r="O548" s="551"/>
      <c r="P548" s="551"/>
      <c r="Q548" s="551"/>
      <c r="R548" s="551"/>
      <c r="S548" s="551"/>
      <c r="T548" s="551"/>
      <c r="U548" s="551"/>
      <c r="V548" s="551"/>
      <c r="W548" s="551"/>
      <c r="X548" s="551"/>
      <c r="Y548" s="551"/>
      <c r="Z548" s="551"/>
      <c r="AA548" s="551"/>
      <c r="AB548" s="551"/>
      <c r="AC548" s="551"/>
      <c r="AD548" s="551"/>
      <c r="AE548" s="551"/>
      <c r="AF548" s="551"/>
      <c r="AG548" s="551"/>
      <c r="AH548" s="551"/>
      <c r="AI548" s="551"/>
      <c r="AJ548" s="551"/>
      <c r="AK548" s="551"/>
      <c r="AL548" s="551"/>
      <c r="AM548" s="551"/>
      <c r="AN548" s="551"/>
      <c r="AO548" s="551"/>
      <c r="AP548" s="551"/>
      <c r="AQ548" s="551"/>
      <c r="AR548" s="551"/>
      <c r="AS548" s="551"/>
      <c r="AT548" s="551"/>
      <c r="AU548" s="551"/>
      <c r="AV548" s="551"/>
      <c r="AW548" s="551"/>
      <c r="AX548" s="551"/>
      <c r="AY548" s="551"/>
      <c r="AZ548" s="551"/>
      <c r="BA548" s="551"/>
      <c r="BB548" s="551"/>
      <c r="BC548" s="551"/>
      <c r="BD548" s="551"/>
      <c r="BE548" s="551"/>
      <c r="BF548" s="551"/>
      <c r="BG548" s="551"/>
      <c r="BH548" s="551"/>
      <c r="BI548" s="551"/>
      <c r="BJ548" s="551"/>
      <c r="BK548" s="551"/>
    </row>
    <row r="549" spans="1:63" ht="12.75" customHeight="1">
      <c r="A549" s="551"/>
      <c r="B549" s="551"/>
      <c r="C549" s="551"/>
      <c r="D549" s="551"/>
      <c r="E549" s="551"/>
      <c r="F549" s="551"/>
      <c r="G549" s="551"/>
      <c r="H549" s="551"/>
      <c r="I549" s="551"/>
      <c r="J549" s="551"/>
      <c r="K549" s="551"/>
      <c r="L549" s="551"/>
      <c r="M549" s="551"/>
      <c r="N549" s="551"/>
      <c r="O549" s="551"/>
      <c r="P549" s="551"/>
      <c r="Q549" s="551"/>
      <c r="R549" s="551"/>
      <c r="S549" s="551"/>
      <c r="T549" s="551"/>
      <c r="U549" s="551"/>
      <c r="V549" s="551"/>
      <c r="W549" s="551"/>
      <c r="X549" s="551"/>
      <c r="Y549" s="551"/>
      <c r="Z549" s="551"/>
      <c r="AA549" s="551"/>
      <c r="AB549" s="551"/>
      <c r="AC549" s="551"/>
      <c r="AD549" s="551"/>
      <c r="AE549" s="551"/>
      <c r="AF549" s="551"/>
      <c r="AG549" s="551"/>
      <c r="AH549" s="551"/>
      <c r="AI549" s="551"/>
      <c r="AJ549" s="551"/>
      <c r="AK549" s="551"/>
      <c r="AL549" s="551"/>
      <c r="AM549" s="551"/>
      <c r="AN549" s="551"/>
      <c r="AO549" s="551"/>
      <c r="AP549" s="551"/>
      <c r="AQ549" s="551"/>
      <c r="AR549" s="551"/>
      <c r="AS549" s="551"/>
      <c r="AT549" s="551"/>
      <c r="AU549" s="551"/>
      <c r="AV549" s="551"/>
      <c r="AW549" s="551"/>
      <c r="AX549" s="551"/>
      <c r="AY549" s="551"/>
      <c r="AZ549" s="551"/>
      <c r="BA549" s="551"/>
      <c r="BB549" s="551"/>
      <c r="BC549" s="551"/>
      <c r="BD549" s="551"/>
      <c r="BE549" s="551"/>
      <c r="BF549" s="551"/>
      <c r="BG549" s="551"/>
      <c r="BH549" s="551"/>
      <c r="BI549" s="551"/>
      <c r="BJ549" s="551"/>
      <c r="BK549" s="551"/>
    </row>
    <row r="550" spans="1:63" ht="12.75" customHeight="1">
      <c r="A550" s="551"/>
      <c r="B550" s="551"/>
      <c r="C550" s="551"/>
      <c r="D550" s="551"/>
      <c r="E550" s="551"/>
      <c r="F550" s="551"/>
      <c r="G550" s="551"/>
      <c r="H550" s="551"/>
      <c r="I550" s="551"/>
      <c r="J550" s="551"/>
      <c r="K550" s="551"/>
      <c r="L550" s="551"/>
      <c r="M550" s="551"/>
      <c r="N550" s="551"/>
      <c r="O550" s="551"/>
      <c r="P550" s="551"/>
      <c r="Q550" s="551"/>
      <c r="R550" s="551"/>
      <c r="S550" s="551"/>
      <c r="T550" s="551"/>
      <c r="U550" s="551"/>
      <c r="V550" s="551"/>
      <c r="W550" s="551"/>
      <c r="X550" s="551"/>
      <c r="Y550" s="551"/>
      <c r="Z550" s="551"/>
      <c r="AA550" s="551"/>
      <c r="AB550" s="551"/>
      <c r="AC550" s="551"/>
      <c r="AD550" s="551"/>
      <c r="AE550" s="551"/>
      <c r="AF550" s="551"/>
      <c r="AG550" s="551"/>
      <c r="AH550" s="551"/>
      <c r="AI550" s="551"/>
      <c r="AJ550" s="551"/>
      <c r="AK550" s="551"/>
      <c r="AL550" s="551"/>
      <c r="AM550" s="551"/>
      <c r="AN550" s="551"/>
      <c r="AO550" s="551"/>
      <c r="AP550" s="551"/>
      <c r="AQ550" s="551"/>
      <c r="AR550" s="551"/>
      <c r="AS550" s="551"/>
      <c r="AT550" s="551"/>
      <c r="AU550" s="551"/>
      <c r="AV550" s="551"/>
      <c r="AW550" s="551"/>
      <c r="AX550" s="551"/>
      <c r="AY550" s="551"/>
      <c r="AZ550" s="551"/>
      <c r="BA550" s="551"/>
      <c r="BB550" s="551"/>
      <c r="BC550" s="551"/>
      <c r="BD550" s="551"/>
      <c r="BE550" s="551"/>
      <c r="BF550" s="551"/>
      <c r="BG550" s="551"/>
      <c r="BH550" s="551"/>
      <c r="BI550" s="551"/>
      <c r="BJ550" s="551"/>
      <c r="BK550" s="551"/>
    </row>
    <row r="551" spans="1:63" ht="12.75" customHeight="1">
      <c r="A551" s="551"/>
      <c r="B551" s="551"/>
      <c r="C551" s="551"/>
      <c r="D551" s="551"/>
      <c r="E551" s="551"/>
      <c r="F551" s="551"/>
      <c r="G551" s="551"/>
      <c r="H551" s="551"/>
      <c r="I551" s="551"/>
      <c r="J551" s="551"/>
      <c r="K551" s="551"/>
      <c r="L551" s="551"/>
      <c r="M551" s="551"/>
      <c r="N551" s="551"/>
      <c r="O551" s="551"/>
      <c r="P551" s="551"/>
      <c r="Q551" s="551"/>
      <c r="R551" s="551"/>
      <c r="S551" s="551"/>
      <c r="T551" s="551"/>
      <c r="U551" s="551"/>
      <c r="V551" s="551"/>
      <c r="W551" s="551"/>
      <c r="X551" s="551"/>
      <c r="Y551" s="551"/>
      <c r="Z551" s="551"/>
      <c r="AA551" s="551"/>
      <c r="AB551" s="551"/>
      <c r="AC551" s="551"/>
      <c r="AD551" s="551"/>
      <c r="AE551" s="551"/>
      <c r="AF551" s="551"/>
      <c r="AG551" s="551"/>
      <c r="AH551" s="551"/>
      <c r="AI551" s="551"/>
      <c r="AJ551" s="551"/>
      <c r="AK551" s="551"/>
      <c r="AL551" s="551"/>
      <c r="AM551" s="551"/>
      <c r="AN551" s="551"/>
      <c r="AO551" s="551"/>
      <c r="AP551" s="551"/>
      <c r="AQ551" s="551"/>
      <c r="AR551" s="551"/>
      <c r="AS551" s="551"/>
      <c r="AT551" s="551"/>
      <c r="AU551" s="551"/>
      <c r="AV551" s="551"/>
      <c r="AW551" s="551"/>
      <c r="AX551" s="551"/>
      <c r="AY551" s="551"/>
      <c r="AZ551" s="551"/>
      <c r="BA551" s="551"/>
      <c r="BB551" s="551"/>
      <c r="BC551" s="551"/>
      <c r="BD551" s="551"/>
      <c r="BE551" s="551"/>
      <c r="BF551" s="551"/>
      <c r="BG551" s="551"/>
      <c r="BH551" s="551"/>
      <c r="BI551" s="551"/>
      <c r="BJ551" s="551"/>
      <c r="BK551" s="551"/>
    </row>
    <row r="552" spans="1:63" ht="12.75" customHeight="1">
      <c r="A552" s="551"/>
      <c r="B552" s="551"/>
      <c r="C552" s="551"/>
      <c r="D552" s="551"/>
      <c r="E552" s="551"/>
      <c r="F552" s="551"/>
      <c r="G552" s="551"/>
      <c r="H552" s="551"/>
      <c r="I552" s="551"/>
      <c r="J552" s="551"/>
      <c r="K552" s="551"/>
      <c r="L552" s="551"/>
      <c r="M552" s="551"/>
      <c r="N552" s="551"/>
      <c r="O552" s="551"/>
      <c r="P552" s="551"/>
      <c r="Q552" s="551"/>
      <c r="R552" s="551"/>
      <c r="S552" s="551"/>
      <c r="T552" s="551"/>
      <c r="U552" s="551"/>
      <c r="V552" s="551"/>
      <c r="W552" s="551"/>
      <c r="X552" s="551"/>
      <c r="Y552" s="551"/>
      <c r="Z552" s="551"/>
      <c r="AA552" s="551"/>
      <c r="AB552" s="551"/>
      <c r="AC552" s="551"/>
      <c r="AD552" s="551"/>
      <c r="AE552" s="551"/>
      <c r="AF552" s="551"/>
      <c r="AG552" s="551"/>
      <c r="AH552" s="551"/>
      <c r="AI552" s="551"/>
      <c r="AJ552" s="551"/>
      <c r="AK552" s="551"/>
      <c r="AL552" s="551"/>
      <c r="AM552" s="551"/>
      <c r="AN552" s="551"/>
      <c r="AO552" s="551"/>
      <c r="AP552" s="551"/>
      <c r="AQ552" s="551"/>
      <c r="AR552" s="551"/>
      <c r="AS552" s="551"/>
      <c r="AT552" s="551"/>
      <c r="AU552" s="551"/>
      <c r="AV552" s="551"/>
      <c r="AW552" s="551"/>
      <c r="AX552" s="551"/>
      <c r="AY552" s="551"/>
      <c r="AZ552" s="551"/>
      <c r="BA552" s="551"/>
      <c r="BB552" s="551"/>
      <c r="BC552" s="551"/>
      <c r="BD552" s="551"/>
      <c r="BE552" s="551"/>
      <c r="BF552" s="551"/>
      <c r="BG552" s="551"/>
      <c r="BH552" s="551"/>
      <c r="BI552" s="551"/>
      <c r="BJ552" s="551"/>
      <c r="BK552" s="551"/>
    </row>
    <row r="553" spans="1:63" ht="12.75" customHeight="1">
      <c r="A553" s="551"/>
      <c r="B553" s="551"/>
      <c r="C553" s="551"/>
      <c r="D553" s="551"/>
      <c r="E553" s="551"/>
      <c r="F553" s="551"/>
      <c r="G553" s="551"/>
      <c r="H553" s="551"/>
      <c r="I553" s="551"/>
      <c r="J553" s="551"/>
      <c r="K553" s="551"/>
      <c r="L553" s="551"/>
      <c r="M553" s="551"/>
      <c r="N553" s="551"/>
      <c r="O553" s="551"/>
      <c r="P553" s="551"/>
      <c r="Q553" s="551"/>
      <c r="R553" s="551"/>
      <c r="S553" s="551"/>
      <c r="T553" s="551"/>
      <c r="U553" s="551"/>
      <c r="V553" s="551"/>
      <c r="W553" s="551"/>
      <c r="X553" s="551"/>
      <c r="Y553" s="551"/>
      <c r="Z553" s="551"/>
      <c r="AA553" s="551"/>
      <c r="AB553" s="551"/>
      <c r="AC553" s="551"/>
      <c r="AD553" s="551"/>
      <c r="AE553" s="551"/>
      <c r="AF553" s="551"/>
      <c r="AG553" s="551"/>
      <c r="AH553" s="551"/>
      <c r="AI553" s="551"/>
      <c r="AJ553" s="551"/>
      <c r="AK553" s="551"/>
      <c r="AL553" s="551"/>
      <c r="AM553" s="551"/>
      <c r="AN553" s="551"/>
      <c r="AO553" s="551"/>
      <c r="AP553" s="551"/>
      <c r="AQ553" s="551"/>
      <c r="AR553" s="551"/>
      <c r="AS553" s="551"/>
      <c r="AT553" s="551"/>
      <c r="AU553" s="551"/>
      <c r="AV553" s="551"/>
      <c r="AW553" s="551"/>
      <c r="AX553" s="551"/>
      <c r="AY553" s="551"/>
      <c r="AZ553" s="551"/>
      <c r="BA553" s="551"/>
      <c r="BB553" s="551"/>
      <c r="BC553" s="551"/>
      <c r="BD553" s="551"/>
      <c r="BE553" s="551"/>
      <c r="BF553" s="551"/>
      <c r="BG553" s="551"/>
      <c r="BH553" s="551"/>
      <c r="BI553" s="551"/>
      <c r="BJ553" s="551"/>
      <c r="BK553" s="551"/>
    </row>
    <row r="554" spans="1:63" ht="12.75" customHeight="1">
      <c r="A554" s="551"/>
      <c r="B554" s="551"/>
      <c r="C554" s="551"/>
      <c r="D554" s="551"/>
      <c r="E554" s="551"/>
      <c r="F554" s="551"/>
      <c r="G554" s="551"/>
      <c r="H554" s="551"/>
      <c r="I554" s="551"/>
      <c r="J554" s="551"/>
      <c r="K554" s="551"/>
      <c r="L554" s="551"/>
      <c r="M554" s="551"/>
      <c r="N554" s="551"/>
      <c r="O554" s="551"/>
      <c r="P554" s="551"/>
      <c r="Q554" s="551"/>
      <c r="R554" s="551"/>
      <c r="S554" s="551"/>
      <c r="T554" s="551"/>
      <c r="U554" s="551"/>
      <c r="V554" s="551"/>
      <c r="W554" s="551"/>
      <c r="X554" s="551"/>
      <c r="Y554" s="551"/>
      <c r="Z554" s="551"/>
      <c r="AA554" s="551"/>
      <c r="AB554" s="551"/>
      <c r="AC554" s="551"/>
      <c r="AD554" s="551"/>
      <c r="AE554" s="551"/>
      <c r="AF554" s="551"/>
      <c r="AG554" s="551"/>
      <c r="AH554" s="551"/>
      <c r="AI554" s="551"/>
      <c r="AJ554" s="551"/>
      <c r="AK554" s="551"/>
      <c r="AL554" s="551"/>
      <c r="AM554" s="551"/>
      <c r="AN554" s="551"/>
      <c r="AO554" s="551"/>
      <c r="AP554" s="551"/>
      <c r="AQ554" s="551"/>
      <c r="AR554" s="551"/>
      <c r="AS554" s="551"/>
      <c r="AT554" s="551"/>
      <c r="AU554" s="551"/>
      <c r="AV554" s="551"/>
      <c r="AW554" s="551"/>
      <c r="AX554" s="551"/>
      <c r="AY554" s="551"/>
      <c r="AZ554" s="551"/>
      <c r="BA554" s="551"/>
      <c r="BB554" s="551"/>
      <c r="BC554" s="551"/>
      <c r="BD554" s="551"/>
      <c r="BE554" s="551"/>
      <c r="BF554" s="551"/>
      <c r="BG554" s="551"/>
      <c r="BH554" s="551"/>
      <c r="BI554" s="551"/>
      <c r="BJ554" s="551"/>
      <c r="BK554" s="551"/>
    </row>
    <row r="555" spans="1:63" ht="12.75" customHeight="1">
      <c r="A555" s="551"/>
      <c r="B555" s="551"/>
      <c r="C555" s="551"/>
      <c r="D555" s="551"/>
      <c r="E555" s="551"/>
      <c r="F555" s="551"/>
      <c r="G555" s="551"/>
      <c r="H555" s="551"/>
      <c r="I555" s="551"/>
      <c r="J555" s="551"/>
      <c r="K555" s="551"/>
      <c r="L555" s="551"/>
      <c r="M555" s="551"/>
      <c r="N555" s="551"/>
      <c r="O555" s="551"/>
      <c r="P555" s="551"/>
      <c r="Q555" s="551"/>
      <c r="R555" s="551"/>
      <c r="S555" s="551"/>
      <c r="T555" s="551"/>
      <c r="U555" s="551"/>
      <c r="V555" s="551"/>
      <c r="W555" s="551"/>
      <c r="X555" s="551"/>
      <c r="Y555" s="551"/>
      <c r="Z555" s="551"/>
      <c r="AA555" s="551"/>
      <c r="AB555" s="551"/>
      <c r="AC555" s="551"/>
      <c r="AD555" s="551"/>
      <c r="AE555" s="551"/>
      <c r="AF555" s="551"/>
      <c r="AG555" s="551"/>
      <c r="AH555" s="551"/>
      <c r="AI555" s="551"/>
      <c r="AJ555" s="551"/>
      <c r="AK555" s="551"/>
      <c r="AL555" s="551"/>
      <c r="AM555" s="551"/>
      <c r="AN555" s="551"/>
      <c r="AO555" s="551"/>
      <c r="AP555" s="551"/>
      <c r="AQ555" s="551"/>
      <c r="AR555" s="551"/>
      <c r="AS555" s="551"/>
      <c r="AT555" s="551"/>
      <c r="AU555" s="551"/>
      <c r="AV555" s="551"/>
      <c r="AW555" s="551"/>
      <c r="AX555" s="551"/>
      <c r="AY555" s="551"/>
      <c r="AZ555" s="551"/>
      <c r="BA555" s="551"/>
      <c r="BB555" s="551"/>
      <c r="BC555" s="551"/>
      <c r="BD555" s="551"/>
      <c r="BE555" s="551"/>
      <c r="BF555" s="551"/>
      <c r="BG555" s="551"/>
      <c r="BH555" s="551"/>
      <c r="BI555" s="551"/>
      <c r="BJ555" s="551"/>
      <c r="BK555" s="551"/>
    </row>
    <row r="556" spans="1:63" ht="12.75" customHeight="1">
      <c r="A556" s="551"/>
      <c r="B556" s="551"/>
      <c r="C556" s="551"/>
      <c r="D556" s="551"/>
      <c r="E556" s="551"/>
      <c r="F556" s="551"/>
      <c r="G556" s="551"/>
      <c r="H556" s="551"/>
      <c r="I556" s="551"/>
      <c r="J556" s="551"/>
      <c r="K556" s="551"/>
      <c r="L556" s="551"/>
      <c r="M556" s="551"/>
      <c r="N556" s="551"/>
      <c r="O556" s="551"/>
      <c r="P556" s="551"/>
      <c r="Q556" s="551"/>
      <c r="R556" s="551"/>
      <c r="S556" s="551"/>
      <c r="T556" s="551"/>
      <c r="U556" s="551"/>
      <c r="V556" s="551"/>
      <c r="W556" s="551"/>
      <c r="X556" s="551"/>
      <c r="Y556" s="551"/>
      <c r="Z556" s="551"/>
      <c r="AA556" s="551"/>
      <c r="AB556" s="551"/>
      <c r="AC556" s="551"/>
      <c r="AD556" s="551"/>
      <c r="AE556" s="551"/>
      <c r="AF556" s="551"/>
      <c r="AG556" s="551"/>
      <c r="AH556" s="551"/>
      <c r="AI556" s="551"/>
      <c r="AJ556" s="551"/>
      <c r="AK556" s="551"/>
      <c r="AL556" s="551"/>
      <c r="AM556" s="551"/>
      <c r="AN556" s="551"/>
      <c r="AO556" s="551"/>
      <c r="AP556" s="551"/>
      <c r="AQ556" s="551"/>
      <c r="AR556" s="551"/>
      <c r="AS556" s="551"/>
      <c r="AT556" s="551"/>
      <c r="AU556" s="551"/>
      <c r="AV556" s="551"/>
      <c r="AW556" s="551"/>
      <c r="AX556" s="551"/>
      <c r="AY556" s="551"/>
      <c r="AZ556" s="551"/>
      <c r="BA556" s="551"/>
      <c r="BB556" s="551"/>
      <c r="BC556" s="551"/>
      <c r="BD556" s="551"/>
      <c r="BE556" s="551"/>
      <c r="BF556" s="551"/>
      <c r="BG556" s="551"/>
      <c r="BH556" s="551"/>
      <c r="BI556" s="551"/>
      <c r="BJ556" s="551"/>
      <c r="BK556" s="551"/>
    </row>
    <row r="557" spans="1:63" ht="12.75" customHeight="1">
      <c r="A557" s="551"/>
      <c r="B557" s="551"/>
      <c r="C557" s="551"/>
      <c r="D557" s="551"/>
      <c r="E557" s="551"/>
      <c r="F557" s="551"/>
      <c r="G557" s="551"/>
      <c r="H557" s="551"/>
      <c r="I557" s="551"/>
      <c r="J557" s="551"/>
      <c r="K557" s="551"/>
      <c r="L557" s="551"/>
      <c r="M557" s="551"/>
      <c r="N557" s="551"/>
      <c r="O557" s="551"/>
      <c r="P557" s="551"/>
      <c r="Q557" s="551"/>
      <c r="R557" s="551"/>
      <c r="S557" s="551"/>
      <c r="T557" s="551"/>
      <c r="U557" s="551"/>
      <c r="V557" s="551"/>
      <c r="W557" s="551"/>
      <c r="X557" s="551"/>
      <c r="Y557" s="551"/>
      <c r="Z557" s="551"/>
      <c r="AA557" s="551"/>
      <c r="AB557" s="551"/>
      <c r="AC557" s="551"/>
      <c r="AD557" s="551"/>
      <c r="AE557" s="551"/>
      <c r="AF557" s="551"/>
      <c r="AG557" s="551"/>
      <c r="AH557" s="551"/>
      <c r="AI557" s="551"/>
      <c r="AJ557" s="551"/>
      <c r="AK557" s="551"/>
      <c r="AL557" s="551"/>
      <c r="AM557" s="551"/>
      <c r="AN557" s="551"/>
      <c r="AO557" s="551"/>
      <c r="AP557" s="551"/>
      <c r="AQ557" s="551"/>
      <c r="AR557" s="551"/>
      <c r="AS557" s="551"/>
      <c r="AT557" s="551"/>
      <c r="AU557" s="551"/>
      <c r="AV557" s="551"/>
      <c r="AW557" s="551"/>
      <c r="AX557" s="551"/>
      <c r="AY557" s="551"/>
      <c r="AZ557" s="551"/>
      <c r="BA557" s="551"/>
      <c r="BB557" s="551"/>
      <c r="BC557" s="551"/>
      <c r="BD557" s="551"/>
      <c r="BE557" s="551"/>
      <c r="BF557" s="551"/>
      <c r="BG557" s="551"/>
      <c r="BH557" s="551"/>
      <c r="BI557" s="551"/>
      <c r="BJ557" s="551"/>
      <c r="BK557" s="551"/>
    </row>
    <row r="558" spans="1:63" ht="12.75" customHeight="1">
      <c r="A558" s="551"/>
      <c r="B558" s="551"/>
      <c r="C558" s="551"/>
      <c r="D558" s="551"/>
      <c r="E558" s="551"/>
      <c r="F558" s="551"/>
      <c r="G558" s="551"/>
      <c r="H558" s="551"/>
      <c r="I558" s="551"/>
      <c r="J558" s="551"/>
      <c r="K558" s="551"/>
      <c r="L558" s="551"/>
      <c r="M558" s="551"/>
      <c r="N558" s="551"/>
      <c r="O558" s="551"/>
      <c r="P558" s="551"/>
      <c r="Q558" s="551"/>
      <c r="R558" s="551"/>
      <c r="S558" s="551"/>
      <c r="T558" s="551"/>
      <c r="U558" s="551"/>
      <c r="V558" s="551"/>
      <c r="W558" s="551"/>
      <c r="X558" s="551"/>
      <c r="Y558" s="551"/>
      <c r="Z558" s="551"/>
      <c r="AA558" s="551"/>
      <c r="AB558" s="551"/>
      <c r="AC558" s="551"/>
      <c r="AD558" s="551"/>
      <c r="AE558" s="551"/>
      <c r="AF558" s="551"/>
      <c r="AG558" s="551"/>
      <c r="AH558" s="551"/>
      <c r="AI558" s="551"/>
      <c r="AJ558" s="551"/>
      <c r="AK558" s="551"/>
      <c r="AL558" s="551"/>
      <c r="AM558" s="551"/>
      <c r="AN558" s="551"/>
      <c r="AO558" s="551"/>
      <c r="AP558" s="551"/>
      <c r="AQ558" s="551"/>
      <c r="AR558" s="551"/>
      <c r="AS558" s="551"/>
      <c r="AT558" s="551"/>
      <c r="AU558" s="551"/>
      <c r="AV558" s="551"/>
      <c r="AW558" s="551"/>
      <c r="AX558" s="551"/>
      <c r="AY558" s="551"/>
      <c r="AZ558" s="551"/>
      <c r="BA558" s="551"/>
      <c r="BB558" s="551"/>
      <c r="BC558" s="551"/>
      <c r="BD558" s="551"/>
      <c r="BE558" s="551"/>
      <c r="BF558" s="551"/>
      <c r="BG558" s="551"/>
      <c r="BH558" s="551"/>
      <c r="BI558" s="551"/>
      <c r="BJ558" s="551"/>
      <c r="BK558" s="551"/>
    </row>
    <row r="559" spans="1:63" ht="12.75" customHeight="1">
      <c r="A559" s="551"/>
      <c r="B559" s="551"/>
      <c r="C559" s="551"/>
      <c r="D559" s="551"/>
      <c r="E559" s="551"/>
      <c r="F559" s="551"/>
      <c r="G559" s="551"/>
      <c r="H559" s="551"/>
      <c r="I559" s="551"/>
      <c r="J559" s="551"/>
      <c r="K559" s="551"/>
      <c r="L559" s="551"/>
      <c r="M559" s="551"/>
      <c r="N559" s="551"/>
      <c r="O559" s="551"/>
      <c r="P559" s="551"/>
      <c r="Q559" s="551"/>
      <c r="R559" s="551"/>
      <c r="S559" s="551"/>
      <c r="T559" s="551"/>
      <c r="U559" s="551"/>
      <c r="V559" s="551"/>
      <c r="W559" s="551"/>
      <c r="X559" s="551"/>
      <c r="Y559" s="551"/>
      <c r="Z559" s="551"/>
      <c r="AA559" s="551"/>
      <c r="AB559" s="551"/>
      <c r="AC559" s="551"/>
      <c r="AD559" s="551"/>
      <c r="AE559" s="551"/>
      <c r="AF559" s="551"/>
      <c r="AG559" s="551"/>
      <c r="AH559" s="551"/>
      <c r="AI559" s="551"/>
      <c r="AJ559" s="551"/>
      <c r="AK559" s="551"/>
      <c r="AL559" s="551"/>
      <c r="AM559" s="551"/>
      <c r="AN559" s="551"/>
      <c r="AO559" s="551"/>
      <c r="AP559" s="551"/>
      <c r="AQ559" s="551"/>
      <c r="AR559" s="551"/>
      <c r="AS559" s="551"/>
      <c r="AT559" s="551"/>
      <c r="AU559" s="551"/>
      <c r="AV559" s="551"/>
      <c r="AW559" s="551"/>
      <c r="AX559" s="551"/>
      <c r="AY559" s="551"/>
      <c r="AZ559" s="551"/>
      <c r="BA559" s="551"/>
      <c r="BB559" s="551"/>
      <c r="BC559" s="551"/>
      <c r="BD559" s="551"/>
      <c r="BE559" s="551"/>
      <c r="BF559" s="551"/>
      <c r="BG559" s="551"/>
      <c r="BH559" s="551"/>
      <c r="BI559" s="551"/>
      <c r="BJ559" s="551"/>
      <c r="BK559" s="551"/>
    </row>
    <row r="560" spans="1:63" ht="12.75" customHeight="1">
      <c r="A560" s="551"/>
      <c r="B560" s="551"/>
      <c r="C560" s="551"/>
      <c r="D560" s="551"/>
      <c r="E560" s="551"/>
      <c r="F560" s="551"/>
      <c r="G560" s="551"/>
      <c r="H560" s="551"/>
      <c r="I560" s="551"/>
      <c r="J560" s="551"/>
      <c r="K560" s="551"/>
      <c r="L560" s="551"/>
      <c r="M560" s="551"/>
      <c r="N560" s="551"/>
      <c r="O560" s="551"/>
      <c r="P560" s="551"/>
      <c r="Q560" s="551"/>
      <c r="R560" s="551"/>
      <c r="S560" s="551"/>
      <c r="T560" s="551"/>
      <c r="U560" s="551"/>
      <c r="V560" s="551"/>
      <c r="W560" s="551"/>
      <c r="X560" s="551"/>
      <c r="Y560" s="551"/>
      <c r="Z560" s="551"/>
      <c r="AA560" s="551"/>
      <c r="AB560" s="551"/>
      <c r="AC560" s="551"/>
      <c r="AD560" s="551"/>
      <c r="AE560" s="551"/>
      <c r="AF560" s="551"/>
      <c r="AG560" s="551"/>
      <c r="AH560" s="551"/>
      <c r="AI560" s="551"/>
      <c r="AJ560" s="551"/>
      <c r="AK560" s="551"/>
      <c r="AL560" s="551"/>
      <c r="AM560" s="551"/>
      <c r="AN560" s="551"/>
      <c r="AO560" s="551"/>
      <c r="AP560" s="551"/>
      <c r="AQ560" s="551"/>
      <c r="AR560" s="551"/>
      <c r="AS560" s="551"/>
      <c r="AT560" s="551"/>
      <c r="AU560" s="551"/>
      <c r="AV560" s="551"/>
      <c r="AW560" s="551"/>
      <c r="AX560" s="551"/>
      <c r="AY560" s="551"/>
      <c r="AZ560" s="551"/>
      <c r="BA560" s="551"/>
      <c r="BB560" s="551"/>
      <c r="BC560" s="551"/>
      <c r="BD560" s="551"/>
      <c r="BE560" s="551"/>
      <c r="BF560" s="551"/>
      <c r="BG560" s="551"/>
      <c r="BH560" s="551"/>
      <c r="BI560" s="551"/>
      <c r="BJ560" s="551"/>
      <c r="BK560" s="551"/>
    </row>
    <row r="561" spans="1:63" ht="12.75" customHeight="1">
      <c r="A561" s="551"/>
      <c r="B561" s="551"/>
      <c r="C561" s="551"/>
      <c r="D561" s="551"/>
      <c r="E561" s="551"/>
      <c r="F561" s="551"/>
      <c r="G561" s="551"/>
      <c r="H561" s="551"/>
      <c r="I561" s="551"/>
      <c r="J561" s="551"/>
      <c r="K561" s="551"/>
      <c r="L561" s="551"/>
      <c r="M561" s="551"/>
      <c r="N561" s="551"/>
      <c r="O561" s="551"/>
      <c r="P561" s="551"/>
      <c r="Q561" s="551"/>
      <c r="R561" s="551"/>
      <c r="S561" s="551"/>
      <c r="T561" s="551"/>
      <c r="U561" s="551"/>
      <c r="V561" s="551"/>
      <c r="W561" s="551"/>
      <c r="X561" s="551"/>
      <c r="Y561" s="551"/>
      <c r="Z561" s="551"/>
      <c r="AA561" s="551"/>
      <c r="AB561" s="551"/>
      <c r="AC561" s="551"/>
      <c r="AD561" s="551"/>
      <c r="AE561" s="551"/>
      <c r="AF561" s="551"/>
      <c r="AG561" s="551"/>
      <c r="AH561" s="551"/>
      <c r="AI561" s="551"/>
      <c r="AJ561" s="551"/>
      <c r="AK561" s="551"/>
      <c r="AL561" s="551"/>
      <c r="AM561" s="551"/>
      <c r="AN561" s="551"/>
      <c r="AO561" s="551"/>
      <c r="AP561" s="551"/>
      <c r="AQ561" s="551"/>
      <c r="AR561" s="551"/>
      <c r="AS561" s="551"/>
      <c r="AT561" s="551"/>
      <c r="AU561" s="551"/>
      <c r="AV561" s="551"/>
      <c r="AW561" s="551"/>
      <c r="AX561" s="551"/>
      <c r="AY561" s="551"/>
      <c r="AZ561" s="551"/>
      <c r="BA561" s="551"/>
      <c r="BB561" s="551"/>
      <c r="BC561" s="551"/>
      <c r="BD561" s="551"/>
      <c r="BE561" s="551"/>
      <c r="BF561" s="551"/>
      <c r="BG561" s="551"/>
      <c r="BH561" s="551"/>
      <c r="BI561" s="551"/>
      <c r="BJ561" s="551"/>
      <c r="BK561" s="551"/>
    </row>
    <row r="562" spans="1:63" ht="12.75" customHeight="1">
      <c r="A562" s="551"/>
      <c r="B562" s="551"/>
      <c r="C562" s="551"/>
      <c r="D562" s="551"/>
      <c r="E562" s="551"/>
      <c r="F562" s="551"/>
      <c r="G562" s="551"/>
      <c r="H562" s="551"/>
      <c r="I562" s="551"/>
      <c r="J562" s="551"/>
      <c r="K562" s="551"/>
      <c r="L562" s="551"/>
      <c r="M562" s="551"/>
      <c r="N562" s="551"/>
      <c r="O562" s="551"/>
      <c r="P562" s="551"/>
      <c r="Q562" s="551"/>
      <c r="R562" s="551"/>
      <c r="S562" s="551"/>
      <c r="T562" s="551"/>
      <c r="U562" s="551"/>
      <c r="V562" s="551"/>
      <c r="W562" s="551"/>
      <c r="X562" s="551"/>
      <c r="Y562" s="551"/>
      <c r="Z562" s="551"/>
      <c r="AA562" s="551"/>
      <c r="AB562" s="551"/>
      <c r="AC562" s="551"/>
      <c r="AD562" s="551"/>
      <c r="AE562" s="551"/>
      <c r="AF562" s="551"/>
      <c r="AG562" s="551"/>
      <c r="AH562" s="551"/>
      <c r="AI562" s="551"/>
      <c r="AJ562" s="551"/>
      <c r="AK562" s="551"/>
      <c r="AL562" s="551"/>
      <c r="AM562" s="551"/>
      <c r="AN562" s="551"/>
      <c r="AO562" s="551"/>
      <c r="AP562" s="551"/>
      <c r="AQ562" s="551"/>
      <c r="AR562" s="551"/>
      <c r="AS562" s="551"/>
      <c r="AT562" s="551"/>
      <c r="AU562" s="551"/>
      <c r="AV562" s="551"/>
      <c r="AW562" s="551"/>
      <c r="AX562" s="551"/>
      <c r="AY562" s="551"/>
      <c r="AZ562" s="551"/>
      <c r="BA562" s="551"/>
      <c r="BB562" s="551"/>
      <c r="BC562" s="551"/>
      <c r="BD562" s="551"/>
      <c r="BE562" s="551"/>
      <c r="BF562" s="551"/>
      <c r="BG562" s="551"/>
      <c r="BH562" s="551"/>
      <c r="BI562" s="551"/>
      <c r="BJ562" s="551"/>
      <c r="BK562" s="551"/>
    </row>
    <row r="563" spans="1:63" ht="12.75" customHeight="1">
      <c r="A563" s="551"/>
      <c r="B563" s="551"/>
      <c r="C563" s="551"/>
      <c r="D563" s="551"/>
      <c r="E563" s="551"/>
      <c r="F563" s="551"/>
      <c r="G563" s="551"/>
      <c r="H563" s="551"/>
      <c r="I563" s="551"/>
      <c r="J563" s="551"/>
      <c r="K563" s="551"/>
      <c r="L563" s="551"/>
      <c r="M563" s="551"/>
      <c r="N563" s="551"/>
      <c r="O563" s="551"/>
      <c r="P563" s="551"/>
      <c r="Q563" s="551"/>
      <c r="R563" s="551"/>
      <c r="S563" s="551"/>
      <c r="T563" s="551"/>
      <c r="U563" s="551"/>
      <c r="V563" s="551"/>
      <c r="W563" s="551"/>
      <c r="X563" s="551"/>
      <c r="Y563" s="551"/>
      <c r="Z563" s="551"/>
      <c r="AA563" s="551"/>
      <c r="AB563" s="551"/>
      <c r="AC563" s="551"/>
      <c r="AD563" s="551"/>
      <c r="AE563" s="551"/>
      <c r="AF563" s="551"/>
      <c r="AG563" s="551"/>
      <c r="AH563" s="551"/>
      <c r="AI563" s="551"/>
      <c r="AJ563" s="551"/>
      <c r="AK563" s="551"/>
      <c r="AL563" s="551"/>
      <c r="AM563" s="551"/>
      <c r="AN563" s="551"/>
      <c r="AO563" s="551"/>
      <c r="AP563" s="551"/>
      <c r="AQ563" s="551"/>
      <c r="AR563" s="551"/>
      <c r="AS563" s="551"/>
      <c r="AT563" s="551"/>
      <c r="AU563" s="551"/>
      <c r="AV563" s="551"/>
      <c r="AW563" s="551"/>
      <c r="AX563" s="551"/>
      <c r="AY563" s="551"/>
      <c r="AZ563" s="551"/>
      <c r="BA563" s="551"/>
      <c r="BB563" s="551"/>
      <c r="BC563" s="551"/>
      <c r="BD563" s="551"/>
      <c r="BE563" s="551"/>
      <c r="BF563" s="551"/>
      <c r="BG563" s="551"/>
      <c r="BH563" s="551"/>
      <c r="BI563" s="551"/>
      <c r="BJ563" s="551"/>
      <c r="BK563" s="551"/>
    </row>
    <row r="564" spans="1:63" ht="12.75" customHeight="1">
      <c r="A564" s="551"/>
      <c r="B564" s="551"/>
      <c r="C564" s="551"/>
      <c r="D564" s="551"/>
      <c r="E564" s="551"/>
      <c r="F564" s="551"/>
      <c r="G564" s="551"/>
      <c r="H564" s="551"/>
      <c r="I564" s="551"/>
      <c r="J564" s="551"/>
      <c r="K564" s="551"/>
      <c r="L564" s="551"/>
      <c r="M564" s="551"/>
      <c r="N564" s="551"/>
      <c r="O564" s="551"/>
      <c r="P564" s="551"/>
      <c r="Q564" s="551"/>
      <c r="R564" s="551"/>
      <c r="S564" s="551"/>
      <c r="T564" s="551"/>
      <c r="U564" s="551"/>
      <c r="V564" s="551"/>
      <c r="W564" s="551"/>
      <c r="X564" s="551"/>
      <c r="Y564" s="551"/>
      <c r="Z564" s="551"/>
      <c r="AA564" s="551"/>
      <c r="AB564" s="551"/>
      <c r="AC564" s="551"/>
      <c r="AD564" s="551"/>
      <c r="AE564" s="551"/>
      <c r="AF564" s="551"/>
      <c r="AG564" s="551"/>
      <c r="AH564" s="551"/>
      <c r="AI564" s="551"/>
      <c r="AJ564" s="551"/>
      <c r="AK564" s="551"/>
      <c r="AL564" s="551"/>
      <c r="AM564" s="551"/>
      <c r="AN564" s="551"/>
      <c r="AO564" s="551"/>
      <c r="AP564" s="551"/>
      <c r="AQ564" s="551"/>
      <c r="AR564" s="551"/>
      <c r="AS564" s="551"/>
      <c r="AT564" s="551"/>
      <c r="AU564" s="551"/>
      <c r="AV564" s="551"/>
      <c r="AW564" s="551"/>
      <c r="AX564" s="551"/>
      <c r="AY564" s="551"/>
      <c r="AZ564" s="551"/>
      <c r="BA564" s="551"/>
      <c r="BB564" s="551"/>
      <c r="BC564" s="551"/>
      <c r="BD564" s="551"/>
      <c r="BE564" s="551"/>
      <c r="BF564" s="551"/>
      <c r="BG564" s="551"/>
      <c r="BH564" s="551"/>
      <c r="BI564" s="551"/>
      <c r="BJ564" s="551"/>
      <c r="BK564" s="551"/>
    </row>
    <row r="565" spans="1:63" ht="12.75" customHeight="1">
      <c r="A565" s="551"/>
      <c r="B565" s="551"/>
      <c r="C565" s="551"/>
      <c r="D565" s="551"/>
      <c r="E565" s="551"/>
      <c r="F565" s="551"/>
      <c r="G565" s="551"/>
      <c r="H565" s="551"/>
      <c r="I565" s="551"/>
      <c r="J565" s="551"/>
      <c r="K565" s="551"/>
      <c r="L565" s="551"/>
      <c r="M565" s="551"/>
      <c r="N565" s="551"/>
      <c r="O565" s="551"/>
      <c r="P565" s="551"/>
      <c r="Q565" s="551"/>
      <c r="R565" s="551"/>
      <c r="S565" s="551"/>
      <c r="T565" s="551"/>
      <c r="U565" s="551"/>
      <c r="V565" s="551"/>
      <c r="W565" s="551"/>
      <c r="X565" s="551"/>
      <c r="Y565" s="551"/>
      <c r="Z565" s="551"/>
      <c r="AA565" s="551"/>
      <c r="AB565" s="551"/>
      <c r="AC565" s="551"/>
      <c r="AD565" s="551"/>
      <c r="AE565" s="551"/>
      <c r="AF565" s="551"/>
      <c r="AG565" s="551"/>
      <c r="AH565" s="551"/>
      <c r="AI565" s="551"/>
      <c r="AJ565" s="551"/>
      <c r="AK565" s="551"/>
      <c r="AL565" s="551"/>
      <c r="AM565" s="551"/>
      <c r="AN565" s="551"/>
      <c r="AO565" s="551"/>
      <c r="AP565" s="551"/>
      <c r="AQ565" s="551"/>
      <c r="AR565" s="551"/>
      <c r="AS565" s="551"/>
      <c r="AT565" s="551"/>
      <c r="AU565" s="551"/>
      <c r="AV565" s="551"/>
      <c r="AW565" s="551"/>
      <c r="AX565" s="551"/>
      <c r="AY565" s="551"/>
      <c r="AZ565" s="551"/>
      <c r="BA565" s="551"/>
      <c r="BB565" s="551"/>
      <c r="BC565" s="551"/>
      <c r="BD565" s="551"/>
      <c r="BE565" s="551"/>
      <c r="BF565" s="551"/>
      <c r="BG565" s="551"/>
      <c r="BH565" s="551"/>
      <c r="BI565" s="551"/>
      <c r="BJ565" s="551"/>
      <c r="BK565" s="551"/>
    </row>
    <row r="566" spans="1:63" ht="12.75" customHeight="1">
      <c r="A566" s="551"/>
      <c r="B566" s="551"/>
      <c r="C566" s="551"/>
      <c r="D566" s="551"/>
      <c r="E566" s="551"/>
      <c r="F566" s="551"/>
      <c r="G566" s="551"/>
      <c r="H566" s="551"/>
      <c r="I566" s="551"/>
      <c r="J566" s="551"/>
      <c r="K566" s="551"/>
      <c r="L566" s="551"/>
      <c r="M566" s="551"/>
      <c r="N566" s="551"/>
      <c r="O566" s="551"/>
      <c r="P566" s="551"/>
      <c r="Q566" s="551"/>
      <c r="R566" s="551"/>
      <c r="S566" s="551"/>
      <c r="T566" s="551"/>
      <c r="U566" s="551"/>
      <c r="V566" s="551"/>
      <c r="W566" s="551"/>
      <c r="X566" s="551"/>
      <c r="Y566" s="551"/>
      <c r="Z566" s="551"/>
      <c r="AA566" s="551"/>
      <c r="AB566" s="551"/>
      <c r="AC566" s="551"/>
      <c r="AD566" s="551"/>
      <c r="AE566" s="551"/>
      <c r="AF566" s="551"/>
      <c r="AG566" s="551"/>
      <c r="AH566" s="551"/>
      <c r="AI566" s="551"/>
      <c r="AJ566" s="551"/>
      <c r="AK566" s="551"/>
      <c r="AL566" s="551"/>
      <c r="AM566" s="551"/>
      <c r="AN566" s="551"/>
      <c r="AO566" s="551"/>
      <c r="AP566" s="551"/>
      <c r="AQ566" s="551"/>
      <c r="AR566" s="551"/>
      <c r="AS566" s="551"/>
      <c r="AT566" s="551"/>
      <c r="AU566" s="551"/>
      <c r="AV566" s="551"/>
      <c r="AW566" s="551"/>
      <c r="AX566" s="551"/>
      <c r="AY566" s="551"/>
      <c r="AZ566" s="551"/>
      <c r="BA566" s="551"/>
      <c r="BB566" s="551"/>
      <c r="BC566" s="551"/>
      <c r="BD566" s="551"/>
      <c r="BE566" s="551"/>
      <c r="BF566" s="551"/>
      <c r="BG566" s="551"/>
      <c r="BH566" s="551"/>
      <c r="BI566" s="551"/>
      <c r="BJ566" s="551"/>
      <c r="BK566" s="551"/>
    </row>
    <row r="567" spans="1:63" ht="12.75" customHeight="1">
      <c r="A567" s="551"/>
      <c r="B567" s="551"/>
      <c r="C567" s="551"/>
      <c r="D567" s="551"/>
      <c r="E567" s="551"/>
      <c r="F567" s="551"/>
      <c r="G567" s="551"/>
      <c r="H567" s="551"/>
      <c r="I567" s="551"/>
      <c r="J567" s="551"/>
      <c r="K567" s="551"/>
      <c r="L567" s="551"/>
      <c r="M567" s="551"/>
      <c r="N567" s="551"/>
      <c r="O567" s="551"/>
      <c r="P567" s="551"/>
      <c r="Q567" s="551"/>
      <c r="R567" s="551"/>
      <c r="S567" s="551"/>
      <c r="T567" s="551"/>
      <c r="U567" s="551"/>
      <c r="V567" s="551"/>
      <c r="W567" s="551"/>
      <c r="X567" s="551"/>
      <c r="Y567" s="551"/>
      <c r="Z567" s="551"/>
      <c r="AA567" s="551"/>
      <c r="AB567" s="551"/>
      <c r="AC567" s="551"/>
      <c r="AD567" s="551"/>
      <c r="AE567" s="551"/>
      <c r="AF567" s="551"/>
      <c r="AG567" s="551"/>
      <c r="AH567" s="551"/>
      <c r="AI567" s="551"/>
      <c r="AJ567" s="551"/>
      <c r="AK567" s="551"/>
      <c r="AL567" s="551"/>
      <c r="AM567" s="551"/>
      <c r="AN567" s="551"/>
      <c r="AO567" s="551"/>
      <c r="AP567" s="551"/>
      <c r="AQ567" s="551"/>
      <c r="AR567" s="551"/>
      <c r="AS567" s="551"/>
      <c r="AT567" s="551"/>
      <c r="AU567" s="551"/>
      <c r="AV567" s="551"/>
      <c r="AW567" s="551"/>
      <c r="AX567" s="551"/>
      <c r="AY567" s="551"/>
      <c r="AZ567" s="551"/>
      <c r="BA567" s="551"/>
      <c r="BB567" s="551"/>
      <c r="BC567" s="551"/>
      <c r="BD567" s="551"/>
      <c r="BE567" s="551"/>
      <c r="BF567" s="551"/>
      <c r="BG567" s="551"/>
      <c r="BH567" s="551"/>
      <c r="BI567" s="551"/>
      <c r="BJ567" s="551"/>
      <c r="BK567" s="551"/>
    </row>
    <row r="568" spans="1:63" ht="12.75" customHeight="1">
      <c r="A568" s="551"/>
      <c r="B568" s="551"/>
      <c r="C568" s="551"/>
      <c r="D568" s="551"/>
      <c r="E568" s="551"/>
      <c r="F568" s="551"/>
      <c r="G568" s="551"/>
      <c r="H568" s="551"/>
      <c r="I568" s="551"/>
      <c r="J568" s="551"/>
      <c r="K568" s="551"/>
      <c r="L568" s="551"/>
      <c r="M568" s="551"/>
      <c r="N568" s="551"/>
      <c r="O568" s="551"/>
      <c r="P568" s="551"/>
      <c r="Q568" s="551"/>
      <c r="R568" s="551"/>
      <c r="S568" s="551"/>
      <c r="T568" s="551"/>
      <c r="U568" s="551"/>
      <c r="V568" s="551"/>
      <c r="W568" s="551"/>
      <c r="X568" s="551"/>
      <c r="Y568" s="551"/>
      <c r="Z568" s="551"/>
      <c r="AA568" s="551"/>
      <c r="AB568" s="551"/>
      <c r="AC568" s="551"/>
      <c r="AD568" s="551"/>
      <c r="AE568" s="551"/>
      <c r="AF568" s="551"/>
      <c r="AG568" s="551"/>
      <c r="AH568" s="551"/>
      <c r="AI568" s="551"/>
      <c r="AJ568" s="551"/>
      <c r="AK568" s="551"/>
      <c r="AL568" s="551"/>
      <c r="AM568" s="551"/>
      <c r="AN568" s="551"/>
      <c r="AO568" s="551"/>
      <c r="AP568" s="551"/>
      <c r="AQ568" s="551"/>
      <c r="AR568" s="551"/>
      <c r="AS568" s="551"/>
      <c r="AT568" s="551"/>
      <c r="AU568" s="551"/>
      <c r="AV568" s="551"/>
      <c r="AW568" s="551"/>
      <c r="AX568" s="551"/>
      <c r="AY568" s="551"/>
      <c r="AZ568" s="551"/>
      <c r="BA568" s="551"/>
      <c r="BB568" s="551"/>
      <c r="BC568" s="551"/>
      <c r="BD568" s="551"/>
      <c r="BE568" s="551"/>
      <c r="BF568" s="551"/>
      <c r="BG568" s="551"/>
      <c r="BH568" s="551"/>
      <c r="BI568" s="551"/>
      <c r="BJ568" s="551"/>
      <c r="BK568" s="551"/>
    </row>
    <row r="569" spans="1:63" ht="12.75" customHeight="1">
      <c r="A569" s="551"/>
      <c r="B569" s="551"/>
      <c r="C569" s="551"/>
      <c r="D569" s="551"/>
      <c r="E569" s="551"/>
      <c r="F569" s="551"/>
      <c r="G569" s="551"/>
      <c r="H569" s="551"/>
      <c r="I569" s="551"/>
      <c r="J569" s="551"/>
      <c r="K569" s="551"/>
      <c r="L569" s="551"/>
      <c r="M569" s="551"/>
      <c r="N569" s="551"/>
      <c r="O569" s="551"/>
      <c r="P569" s="551"/>
      <c r="Q569" s="551"/>
      <c r="R569" s="551"/>
      <c r="S569" s="551"/>
      <c r="T569" s="551"/>
      <c r="U569" s="551"/>
      <c r="V569" s="551"/>
      <c r="W569" s="551"/>
      <c r="X569" s="551"/>
      <c r="Y569" s="551"/>
      <c r="Z569" s="551"/>
      <c r="AA569" s="551"/>
      <c r="AB569" s="551"/>
      <c r="AC569" s="551"/>
      <c r="AD569" s="551"/>
      <c r="AE569" s="551"/>
      <c r="AF569" s="551"/>
      <c r="AG569" s="551"/>
      <c r="AH569" s="551"/>
      <c r="AI569" s="551"/>
      <c r="AJ569" s="551"/>
      <c r="AK569" s="551"/>
      <c r="AL569" s="551"/>
      <c r="AM569" s="551"/>
      <c r="AN569" s="551"/>
      <c r="AO569" s="551"/>
      <c r="AP569" s="551"/>
      <c r="AQ569" s="551"/>
      <c r="AR569" s="551"/>
      <c r="AS569" s="551"/>
      <c r="AT569" s="551"/>
      <c r="AU569" s="551"/>
      <c r="AV569" s="551"/>
      <c r="AW569" s="551"/>
      <c r="AX569" s="551"/>
      <c r="AY569" s="551"/>
      <c r="AZ569" s="551"/>
      <c r="BA569" s="551"/>
      <c r="BB569" s="551"/>
      <c r="BC569" s="551"/>
      <c r="BD569" s="551"/>
      <c r="BE569" s="551"/>
      <c r="BF569" s="551"/>
      <c r="BG569" s="551"/>
      <c r="BH569" s="551"/>
      <c r="BI569" s="551"/>
      <c r="BJ569" s="551"/>
      <c r="BK569" s="551"/>
    </row>
    <row r="570" spans="1:63" ht="12.75" customHeight="1">
      <c r="A570" s="551"/>
      <c r="B570" s="551"/>
      <c r="C570" s="551"/>
      <c r="D570" s="551"/>
      <c r="E570" s="551"/>
      <c r="F570" s="551"/>
      <c r="G570" s="551"/>
      <c r="H570" s="551"/>
      <c r="I570" s="551"/>
      <c r="J570" s="551"/>
      <c r="K570" s="551"/>
      <c r="L570" s="551"/>
      <c r="M570" s="551"/>
      <c r="N570" s="551"/>
      <c r="O570" s="551"/>
      <c r="P570" s="551"/>
      <c r="Q570" s="551"/>
      <c r="R570" s="551"/>
      <c r="S570" s="551"/>
      <c r="T570" s="551"/>
      <c r="U570" s="551"/>
      <c r="V570" s="551"/>
      <c r="W570" s="551"/>
      <c r="X570" s="551"/>
      <c r="Y570" s="551"/>
      <c r="Z570" s="551"/>
      <c r="AA570" s="551"/>
      <c r="AB570" s="551"/>
      <c r="AC570" s="551"/>
      <c r="AD570" s="551"/>
      <c r="AE570" s="551"/>
      <c r="AF570" s="551"/>
      <c r="AG570" s="551"/>
      <c r="AH570" s="551"/>
      <c r="AI570" s="551"/>
      <c r="AJ570" s="551"/>
      <c r="AK570" s="551"/>
      <c r="AL570" s="551"/>
      <c r="AM570" s="551"/>
      <c r="AN570" s="551"/>
      <c r="AO570" s="551"/>
      <c r="AP570" s="551"/>
      <c r="AQ570" s="551"/>
      <c r="AR570" s="551"/>
      <c r="AS570" s="551"/>
      <c r="AT570" s="551"/>
      <c r="AU570" s="551"/>
      <c r="AV570" s="551"/>
      <c r="AW570" s="551"/>
      <c r="AX570" s="551"/>
      <c r="AY570" s="551"/>
      <c r="AZ570" s="551"/>
      <c r="BA570" s="551"/>
      <c r="BB570" s="551"/>
      <c r="BC570" s="551"/>
      <c r="BD570" s="551"/>
      <c r="BE570" s="551"/>
      <c r="BF570" s="551"/>
      <c r="BG570" s="551"/>
      <c r="BH570" s="551"/>
      <c r="BI570" s="551"/>
      <c r="BJ570" s="551"/>
      <c r="BK570" s="551"/>
    </row>
    <row r="571" spans="1:63" ht="12.75" customHeight="1">
      <c r="A571" s="551"/>
      <c r="B571" s="551"/>
      <c r="C571" s="551"/>
      <c r="D571" s="551"/>
      <c r="E571" s="551"/>
      <c r="F571" s="551"/>
      <c r="G571" s="551"/>
      <c r="H571" s="551"/>
      <c r="I571" s="551"/>
      <c r="J571" s="551"/>
      <c r="K571" s="551"/>
      <c r="L571" s="551"/>
      <c r="M571" s="551"/>
      <c r="N571" s="551"/>
      <c r="O571" s="551"/>
      <c r="P571" s="551"/>
      <c r="Q571" s="551"/>
      <c r="R571" s="551"/>
      <c r="S571" s="551"/>
      <c r="T571" s="551"/>
      <c r="U571" s="551"/>
      <c r="V571" s="551"/>
      <c r="W571" s="551"/>
      <c r="X571" s="551"/>
      <c r="Y571" s="551"/>
      <c r="Z571" s="551"/>
      <c r="AA571" s="551"/>
      <c r="AB571" s="551"/>
      <c r="AC571" s="551"/>
      <c r="AD571" s="551"/>
      <c r="AE571" s="551"/>
      <c r="AF571" s="551"/>
      <c r="AG571" s="551"/>
      <c r="AH571" s="551"/>
      <c r="AI571" s="551"/>
      <c r="AJ571" s="551"/>
      <c r="AK571" s="551"/>
      <c r="AL571" s="551"/>
      <c r="AM571" s="551"/>
      <c r="AN571" s="551"/>
      <c r="AO571" s="551"/>
      <c r="AP571" s="551"/>
      <c r="AQ571" s="551"/>
      <c r="AR571" s="551"/>
      <c r="AS571" s="551"/>
      <c r="AT571" s="551"/>
      <c r="AU571" s="551"/>
      <c r="AV571" s="551"/>
      <c r="AW571" s="551"/>
      <c r="AX571" s="551"/>
      <c r="AY571" s="551"/>
      <c r="AZ571" s="551"/>
      <c r="BA571" s="551"/>
      <c r="BB571" s="551"/>
      <c r="BC571" s="551"/>
      <c r="BD571" s="551"/>
      <c r="BE571" s="551"/>
      <c r="BF571" s="551"/>
      <c r="BG571" s="551"/>
      <c r="BH571" s="551"/>
      <c r="BI571" s="551"/>
      <c r="BJ571" s="551"/>
      <c r="BK571" s="551"/>
    </row>
    <row r="572" spans="1:63" ht="12.75" customHeight="1">
      <c r="A572" s="551"/>
      <c r="B572" s="551"/>
      <c r="C572" s="551"/>
      <c r="D572" s="551"/>
      <c r="E572" s="551"/>
      <c r="F572" s="551"/>
      <c r="G572" s="551"/>
      <c r="H572" s="551"/>
      <c r="I572" s="551"/>
      <c r="J572" s="551"/>
      <c r="K572" s="551"/>
      <c r="L572" s="551"/>
      <c r="M572" s="551"/>
      <c r="N572" s="551"/>
      <c r="O572" s="551"/>
      <c r="P572" s="551"/>
      <c r="Q572" s="551"/>
      <c r="R572" s="551"/>
      <c r="S572" s="551"/>
      <c r="T572" s="551"/>
      <c r="U572" s="551"/>
      <c r="V572" s="551"/>
      <c r="W572" s="551"/>
      <c r="X572" s="551"/>
      <c r="Y572" s="551"/>
      <c r="Z572" s="551"/>
      <c r="AA572" s="551"/>
      <c r="AB572" s="551"/>
      <c r="AC572" s="551"/>
      <c r="AD572" s="551"/>
      <c r="AE572" s="551"/>
      <c r="AF572" s="551"/>
      <c r="AG572" s="551"/>
      <c r="AH572" s="551"/>
      <c r="AI572" s="551"/>
      <c r="AJ572" s="551"/>
      <c r="AK572" s="551"/>
      <c r="AL572" s="551"/>
      <c r="AM572" s="551"/>
      <c r="AN572" s="551"/>
      <c r="AO572" s="551"/>
      <c r="AP572" s="551"/>
      <c r="AQ572" s="551"/>
      <c r="AR572" s="551"/>
      <c r="AS572" s="551"/>
      <c r="AT572" s="551"/>
      <c r="AU572" s="551"/>
      <c r="AV572" s="551"/>
      <c r="AW572" s="551"/>
      <c r="AX572" s="551"/>
      <c r="AY572" s="551"/>
      <c r="AZ572" s="551"/>
      <c r="BA572" s="551"/>
      <c r="BB572" s="551"/>
      <c r="BC572" s="551"/>
      <c r="BD572" s="551"/>
      <c r="BE572" s="551"/>
      <c r="BF572" s="551"/>
      <c r="BG572" s="551"/>
      <c r="BH572" s="551"/>
      <c r="BI572" s="551"/>
      <c r="BJ572" s="551"/>
      <c r="BK572" s="551"/>
    </row>
    <row r="573" spans="1:63" ht="12.75" customHeight="1">
      <c r="A573" s="551"/>
      <c r="B573" s="551"/>
      <c r="C573" s="551"/>
      <c r="D573" s="551"/>
      <c r="E573" s="551"/>
      <c r="F573" s="551"/>
      <c r="G573" s="551"/>
      <c r="H573" s="551"/>
      <c r="I573" s="551"/>
      <c r="J573" s="551"/>
      <c r="K573" s="551"/>
      <c r="L573" s="551"/>
      <c r="M573" s="551"/>
      <c r="N573" s="551"/>
      <c r="O573" s="551"/>
      <c r="P573" s="551"/>
      <c r="Q573" s="551"/>
      <c r="R573" s="551"/>
      <c r="S573" s="551"/>
      <c r="T573" s="551"/>
      <c r="U573" s="551"/>
      <c r="V573" s="551"/>
      <c r="W573" s="551"/>
      <c r="X573" s="551"/>
      <c r="Y573" s="551"/>
      <c r="Z573" s="551"/>
      <c r="AA573" s="551"/>
      <c r="AB573" s="551"/>
      <c r="AC573" s="551"/>
      <c r="AD573" s="551"/>
      <c r="AE573" s="551"/>
      <c r="AF573" s="551"/>
      <c r="AG573" s="551"/>
      <c r="AH573" s="551"/>
      <c r="AI573" s="551"/>
      <c r="AJ573" s="551"/>
      <c r="AK573" s="551"/>
      <c r="AL573" s="551"/>
      <c r="AM573" s="551"/>
      <c r="AN573" s="551"/>
      <c r="AO573" s="551"/>
      <c r="AP573" s="551"/>
      <c r="AQ573" s="551"/>
      <c r="AR573" s="551"/>
      <c r="AS573" s="551"/>
      <c r="AT573" s="551"/>
      <c r="AU573" s="551"/>
      <c r="AV573" s="551"/>
      <c r="AW573" s="551"/>
      <c r="AX573" s="551"/>
      <c r="AY573" s="551"/>
      <c r="AZ573" s="551"/>
      <c r="BA573" s="551"/>
      <c r="BB573" s="551"/>
      <c r="BC573" s="551"/>
      <c r="BD573" s="551"/>
      <c r="BE573" s="551"/>
      <c r="BF573" s="551"/>
      <c r="BG573" s="551"/>
      <c r="BH573" s="551"/>
      <c r="BI573" s="551"/>
      <c r="BJ573" s="551"/>
      <c r="BK573" s="551"/>
    </row>
    <row r="574" spans="1:63" ht="12.75" customHeight="1">
      <c r="A574" s="551"/>
      <c r="B574" s="551"/>
      <c r="C574" s="551"/>
      <c r="D574" s="551"/>
      <c r="E574" s="551"/>
      <c r="F574" s="551"/>
      <c r="G574" s="551"/>
      <c r="H574" s="551"/>
      <c r="I574" s="551"/>
      <c r="J574" s="551"/>
      <c r="K574" s="551"/>
      <c r="L574" s="551"/>
      <c r="M574" s="551"/>
      <c r="N574" s="551"/>
      <c r="O574" s="551"/>
      <c r="P574" s="551"/>
      <c r="Q574" s="551"/>
      <c r="R574" s="551"/>
      <c r="S574" s="551"/>
      <c r="T574" s="551"/>
      <c r="U574" s="551"/>
      <c r="V574" s="551"/>
      <c r="W574" s="551"/>
      <c r="X574" s="551"/>
      <c r="Y574" s="551"/>
      <c r="Z574" s="551"/>
      <c r="AA574" s="551"/>
      <c r="AB574" s="551"/>
      <c r="AC574" s="551"/>
      <c r="AD574" s="551"/>
      <c r="AE574" s="551"/>
      <c r="AF574" s="551"/>
      <c r="AG574" s="551"/>
      <c r="AH574" s="551"/>
      <c r="AI574" s="551"/>
      <c r="AJ574" s="551"/>
      <c r="AK574" s="551"/>
      <c r="AL574" s="551"/>
      <c r="AM574" s="551"/>
      <c r="AN574" s="551"/>
      <c r="AO574" s="551"/>
      <c r="AP574" s="551"/>
      <c r="AQ574" s="551"/>
      <c r="AR574" s="551"/>
      <c r="AS574" s="551"/>
      <c r="AT574" s="551"/>
      <c r="AU574" s="551"/>
      <c r="AV574" s="551"/>
      <c r="AW574" s="551"/>
      <c r="AX574" s="551"/>
      <c r="AY574" s="551"/>
      <c r="AZ574" s="551"/>
      <c r="BA574" s="551"/>
      <c r="BB574" s="551"/>
      <c r="BC574" s="551"/>
      <c r="BD574" s="551"/>
      <c r="BE574" s="551"/>
      <c r="BF574" s="551"/>
      <c r="BG574" s="551"/>
      <c r="BH574" s="551"/>
      <c r="BI574" s="551"/>
      <c r="BJ574" s="551"/>
      <c r="BK574" s="551"/>
    </row>
    <row r="575" spans="1:63" ht="12.75" customHeight="1">
      <c r="A575" s="551"/>
      <c r="B575" s="551"/>
      <c r="C575" s="551"/>
      <c r="D575" s="551"/>
      <c r="E575" s="551"/>
      <c r="F575" s="551"/>
      <c r="G575" s="551"/>
      <c r="H575" s="551"/>
      <c r="I575" s="551"/>
      <c r="J575" s="551"/>
      <c r="K575" s="551"/>
      <c r="L575" s="551"/>
      <c r="M575" s="551"/>
      <c r="N575" s="551"/>
      <c r="O575" s="551"/>
      <c r="P575" s="551"/>
      <c r="Q575" s="551"/>
      <c r="R575" s="551"/>
      <c r="S575" s="551"/>
      <c r="T575" s="551"/>
      <c r="U575" s="551"/>
      <c r="V575" s="551"/>
      <c r="W575" s="551"/>
      <c r="X575" s="551"/>
      <c r="Y575" s="551"/>
      <c r="Z575" s="551"/>
      <c r="AA575" s="551"/>
      <c r="AB575" s="551"/>
      <c r="AC575" s="551"/>
      <c r="AD575" s="551"/>
      <c r="AE575" s="551"/>
      <c r="AF575" s="551"/>
      <c r="AG575" s="551"/>
      <c r="AH575" s="551"/>
      <c r="AI575" s="551"/>
      <c r="AJ575" s="551"/>
      <c r="AK575" s="551"/>
      <c r="AL575" s="551"/>
      <c r="AM575" s="551"/>
      <c r="AN575" s="551"/>
      <c r="AO575" s="551"/>
      <c r="AP575" s="551"/>
      <c r="AQ575" s="551"/>
      <c r="AR575" s="551"/>
      <c r="AS575" s="551"/>
      <c r="AT575" s="551"/>
      <c r="AU575" s="551"/>
      <c r="AV575" s="551"/>
      <c r="AW575" s="551"/>
      <c r="AX575" s="551"/>
      <c r="AY575" s="551"/>
      <c r="AZ575" s="551"/>
      <c r="BA575" s="551"/>
      <c r="BB575" s="551"/>
      <c r="BC575" s="551"/>
      <c r="BD575" s="551"/>
      <c r="BE575" s="551"/>
      <c r="BF575" s="551"/>
      <c r="BG575" s="551"/>
      <c r="BH575" s="551"/>
      <c r="BI575" s="551"/>
      <c r="BJ575" s="551"/>
      <c r="BK575" s="551"/>
    </row>
    <row r="576" spans="1:63" ht="12.75" customHeight="1">
      <c r="A576" s="551"/>
      <c r="B576" s="551"/>
      <c r="C576" s="551"/>
      <c r="D576" s="551"/>
      <c r="E576" s="551"/>
      <c r="F576" s="551"/>
      <c r="G576" s="551"/>
      <c r="H576" s="551"/>
      <c r="I576" s="551"/>
      <c r="J576" s="551"/>
      <c r="K576" s="551"/>
      <c r="L576" s="551"/>
      <c r="M576" s="551"/>
      <c r="N576" s="551"/>
      <c r="O576" s="551"/>
      <c r="P576" s="551"/>
      <c r="Q576" s="551"/>
      <c r="R576" s="551"/>
      <c r="S576" s="551"/>
      <c r="T576" s="551"/>
      <c r="U576" s="551"/>
      <c r="V576" s="551"/>
      <c r="W576" s="551"/>
      <c r="X576" s="551"/>
      <c r="Y576" s="551"/>
      <c r="Z576" s="551"/>
      <c r="AA576" s="551"/>
      <c r="AB576" s="551"/>
      <c r="AC576" s="551"/>
      <c r="AD576" s="551"/>
      <c r="AE576" s="551"/>
      <c r="AF576" s="551"/>
      <c r="AG576" s="551"/>
      <c r="AH576" s="551"/>
      <c r="AI576" s="551"/>
      <c r="AJ576" s="551"/>
      <c r="AK576" s="551"/>
      <c r="AL576" s="551"/>
      <c r="AM576" s="551"/>
      <c r="AN576" s="551"/>
      <c r="AO576" s="551"/>
      <c r="AP576" s="551"/>
      <c r="AQ576" s="551"/>
      <c r="AR576" s="551"/>
      <c r="AS576" s="551"/>
      <c r="AT576" s="551"/>
      <c r="AU576" s="551"/>
      <c r="AV576" s="551"/>
      <c r="AW576" s="551"/>
      <c r="AX576" s="551"/>
      <c r="AY576" s="551"/>
      <c r="AZ576" s="551"/>
      <c r="BA576" s="551"/>
      <c r="BB576" s="551"/>
      <c r="BC576" s="551"/>
      <c r="BD576" s="551"/>
      <c r="BE576" s="551"/>
      <c r="BF576" s="551"/>
      <c r="BG576" s="551"/>
      <c r="BH576" s="551"/>
      <c r="BI576" s="551"/>
      <c r="BJ576" s="551"/>
      <c r="BK576" s="551"/>
    </row>
    <row r="577" spans="1:63" ht="12.75" customHeight="1">
      <c r="A577" s="551"/>
      <c r="B577" s="551"/>
      <c r="C577" s="551"/>
      <c r="D577" s="551"/>
      <c r="E577" s="551"/>
      <c r="F577" s="551"/>
      <c r="G577" s="551"/>
      <c r="H577" s="551"/>
      <c r="I577" s="551"/>
      <c r="J577" s="551"/>
      <c r="K577" s="551"/>
      <c r="L577" s="551"/>
      <c r="M577" s="551"/>
      <c r="N577" s="551"/>
      <c r="O577" s="551"/>
      <c r="P577" s="551"/>
      <c r="Q577" s="551"/>
      <c r="R577" s="551"/>
      <c r="S577" s="551"/>
      <c r="T577" s="551"/>
      <c r="U577" s="551"/>
      <c r="V577" s="551"/>
      <c r="W577" s="551"/>
      <c r="X577" s="551"/>
      <c r="Y577" s="551"/>
      <c r="Z577" s="551"/>
      <c r="AA577" s="551"/>
      <c r="AB577" s="551"/>
      <c r="AC577" s="551"/>
      <c r="AD577" s="551"/>
      <c r="AE577" s="551"/>
      <c r="AF577" s="551"/>
      <c r="AG577" s="551"/>
      <c r="AH577" s="551"/>
      <c r="AI577" s="551"/>
      <c r="AJ577" s="551"/>
      <c r="AK577" s="551"/>
      <c r="AL577" s="551"/>
      <c r="AM577" s="551"/>
      <c r="AN577" s="551"/>
      <c r="AO577" s="551"/>
      <c r="AP577" s="551"/>
      <c r="AQ577" s="551"/>
      <c r="AR577" s="551"/>
      <c r="AS577" s="551"/>
      <c r="AT577" s="551"/>
      <c r="AU577" s="551"/>
      <c r="AV577" s="551"/>
      <c r="AW577" s="551"/>
      <c r="AX577" s="551"/>
      <c r="AY577" s="551"/>
      <c r="AZ577" s="551"/>
      <c r="BA577" s="551"/>
      <c r="BB577" s="551"/>
      <c r="BC577" s="551"/>
      <c r="BD577" s="551"/>
      <c r="BE577" s="551"/>
      <c r="BF577" s="551"/>
      <c r="BG577" s="551"/>
      <c r="BH577" s="551"/>
      <c r="BI577" s="551"/>
      <c r="BJ577" s="551"/>
      <c r="BK577" s="551"/>
    </row>
    <row r="578" spans="1:63" ht="12.75" customHeight="1">
      <c r="A578" s="551"/>
      <c r="B578" s="551"/>
      <c r="C578" s="551"/>
      <c r="D578" s="551"/>
      <c r="E578" s="551"/>
      <c r="F578" s="551"/>
      <c r="G578" s="551"/>
      <c r="H578" s="551"/>
      <c r="I578" s="551"/>
      <c r="J578" s="551"/>
      <c r="K578" s="551"/>
      <c r="L578" s="551"/>
      <c r="M578" s="551"/>
      <c r="N578" s="551"/>
      <c r="O578" s="551"/>
      <c r="P578" s="551"/>
      <c r="Q578" s="551"/>
      <c r="R578" s="551"/>
      <c r="S578" s="551"/>
      <c r="T578" s="551"/>
      <c r="U578" s="551"/>
      <c r="V578" s="551"/>
      <c r="W578" s="551"/>
      <c r="X578" s="551"/>
      <c r="Y578" s="551"/>
      <c r="Z578" s="551"/>
      <c r="AA578" s="551"/>
      <c r="AB578" s="551"/>
      <c r="AC578" s="551"/>
      <c r="AD578" s="551"/>
      <c r="AE578" s="551"/>
      <c r="AF578" s="551"/>
      <c r="AG578" s="551"/>
      <c r="AH578" s="551"/>
      <c r="AI578" s="551"/>
      <c r="AJ578" s="551"/>
      <c r="AK578" s="551"/>
      <c r="AL578" s="551"/>
      <c r="AM578" s="551"/>
      <c r="AN578" s="551"/>
      <c r="AO578" s="551"/>
      <c r="AP578" s="551"/>
      <c r="AQ578" s="551"/>
      <c r="AR578" s="551"/>
      <c r="AS578" s="551"/>
      <c r="AT578" s="551"/>
      <c r="AU578" s="551"/>
      <c r="AV578" s="551"/>
      <c r="AW578" s="551"/>
      <c r="AX578" s="551"/>
      <c r="AY578" s="551"/>
      <c r="AZ578" s="551"/>
      <c r="BA578" s="551"/>
      <c r="BB578" s="551"/>
      <c r="BC578" s="551"/>
      <c r="BD578" s="551"/>
      <c r="BE578" s="551"/>
      <c r="BF578" s="551"/>
      <c r="BG578" s="551"/>
      <c r="BH578" s="551"/>
      <c r="BI578" s="551"/>
      <c r="BJ578" s="551"/>
      <c r="BK578" s="551"/>
    </row>
    <row r="579" spans="1:63" ht="12.75" customHeight="1">
      <c r="A579" s="551"/>
      <c r="B579" s="551"/>
      <c r="C579" s="551"/>
      <c r="D579" s="551"/>
      <c r="E579" s="551"/>
      <c r="F579" s="551"/>
      <c r="G579" s="551"/>
      <c r="H579" s="551"/>
      <c r="I579" s="551"/>
      <c r="J579" s="551"/>
      <c r="K579" s="551"/>
      <c r="L579" s="551"/>
      <c r="M579" s="551"/>
      <c r="N579" s="551"/>
      <c r="O579" s="551"/>
      <c r="P579" s="551"/>
      <c r="Q579" s="551"/>
      <c r="R579" s="551"/>
      <c r="S579" s="551"/>
      <c r="T579" s="551"/>
      <c r="U579" s="551"/>
      <c r="V579" s="551"/>
      <c r="W579" s="551"/>
      <c r="X579" s="551"/>
      <c r="Y579" s="551"/>
      <c r="Z579" s="551"/>
      <c r="AA579" s="551"/>
      <c r="AB579" s="551"/>
      <c r="AC579" s="551"/>
      <c r="AD579" s="551"/>
      <c r="AE579" s="551"/>
      <c r="AF579" s="551"/>
      <c r="AG579" s="551"/>
      <c r="AH579" s="551"/>
      <c r="AI579" s="551"/>
      <c r="AJ579" s="551"/>
      <c r="AK579" s="551"/>
      <c r="AL579" s="551"/>
      <c r="AM579" s="551"/>
      <c r="AN579" s="551"/>
      <c r="AO579" s="551"/>
      <c r="AP579" s="551"/>
      <c r="AQ579" s="551"/>
      <c r="AR579" s="551"/>
      <c r="AS579" s="551"/>
      <c r="AT579" s="551"/>
      <c r="AU579" s="551"/>
      <c r="AV579" s="551"/>
      <c r="AW579" s="551"/>
      <c r="AX579" s="551"/>
      <c r="AY579" s="551"/>
      <c r="AZ579" s="551"/>
      <c r="BA579" s="551"/>
      <c r="BB579" s="551"/>
      <c r="BC579" s="551"/>
      <c r="BD579" s="551"/>
      <c r="BE579" s="551"/>
      <c r="BF579" s="551"/>
      <c r="BG579" s="551"/>
      <c r="BH579" s="551"/>
      <c r="BI579" s="551"/>
      <c r="BJ579" s="551"/>
      <c r="BK579" s="551"/>
    </row>
    <row r="580" spans="1:63" ht="12.75" customHeight="1">
      <c r="A580" s="551"/>
      <c r="B580" s="551"/>
      <c r="C580" s="551"/>
      <c r="D580" s="551"/>
      <c r="E580" s="551"/>
      <c r="F580" s="551"/>
      <c r="G580" s="551"/>
      <c r="H580" s="551"/>
      <c r="I580" s="551"/>
      <c r="J580" s="551"/>
      <c r="K580" s="551"/>
      <c r="L580" s="551"/>
      <c r="M580" s="551"/>
      <c r="N580" s="551"/>
      <c r="O580" s="551"/>
      <c r="P580" s="551"/>
      <c r="Q580" s="551"/>
      <c r="R580" s="551"/>
      <c r="S580" s="551"/>
      <c r="T580" s="551"/>
      <c r="U580" s="551"/>
      <c r="V580" s="551"/>
      <c r="W580" s="551"/>
      <c r="X580" s="551"/>
      <c r="Y580" s="551"/>
      <c r="Z580" s="551"/>
      <c r="AA580" s="551"/>
      <c r="AB580" s="551"/>
      <c r="AC580" s="551"/>
      <c r="AD580" s="551"/>
      <c r="AE580" s="551"/>
      <c r="AF580" s="551"/>
      <c r="AG580" s="551"/>
      <c r="AH580" s="551"/>
      <c r="AI580" s="551"/>
      <c r="AJ580" s="551"/>
      <c r="AK580" s="551"/>
      <c r="AL580" s="551"/>
      <c r="AM580" s="551"/>
      <c r="AN580" s="551"/>
      <c r="AO580" s="551"/>
      <c r="AP580" s="551"/>
      <c r="AQ580" s="551"/>
      <c r="AR580" s="551"/>
      <c r="AS580" s="551"/>
      <c r="AT580" s="551"/>
      <c r="AU580" s="551"/>
      <c r="AV580" s="551"/>
      <c r="AW580" s="551"/>
      <c r="AX580" s="551"/>
      <c r="AY580" s="551"/>
      <c r="AZ580" s="551"/>
      <c r="BA580" s="551"/>
      <c r="BB580" s="551"/>
      <c r="BC580" s="551"/>
      <c r="BD580" s="551"/>
      <c r="BE580" s="551"/>
      <c r="BF580" s="551"/>
      <c r="BG580" s="551"/>
      <c r="BH580" s="551"/>
      <c r="BI580" s="551"/>
      <c r="BJ580" s="551"/>
      <c r="BK580" s="551"/>
    </row>
    <row r="581" spans="1:63" ht="12.75" customHeight="1">
      <c r="A581" s="551"/>
      <c r="B581" s="551"/>
      <c r="C581" s="551"/>
      <c r="D581" s="551"/>
      <c r="E581" s="551"/>
      <c r="F581" s="551"/>
      <c r="G581" s="551"/>
      <c r="H581" s="551"/>
      <c r="I581" s="551"/>
      <c r="J581" s="551"/>
      <c r="K581" s="551"/>
      <c r="L581" s="551"/>
      <c r="M581" s="551"/>
      <c r="N581" s="551"/>
      <c r="O581" s="551"/>
      <c r="P581" s="551"/>
      <c r="Q581" s="551"/>
      <c r="R581" s="551"/>
      <c r="S581" s="551"/>
      <c r="T581" s="551"/>
      <c r="U581" s="551"/>
      <c r="V581" s="551"/>
      <c r="W581" s="551"/>
      <c r="X581" s="551"/>
      <c r="Y581" s="551"/>
      <c r="Z581" s="551"/>
      <c r="AA581" s="551"/>
      <c r="AB581" s="551"/>
      <c r="AC581" s="551"/>
      <c r="AD581" s="551"/>
      <c r="AE581" s="551"/>
      <c r="AF581" s="551"/>
      <c r="AG581" s="551"/>
      <c r="AH581" s="551"/>
      <c r="AI581" s="551"/>
      <c r="AJ581" s="551"/>
      <c r="AK581" s="551"/>
      <c r="AL581" s="551"/>
      <c r="AM581" s="551"/>
      <c r="AN581" s="551"/>
      <c r="AO581" s="551"/>
      <c r="AP581" s="551"/>
      <c r="AQ581" s="551"/>
      <c r="AR581" s="551"/>
      <c r="AS581" s="551"/>
      <c r="AT581" s="551"/>
      <c r="AU581" s="551"/>
      <c r="AV581" s="551"/>
      <c r="AW581" s="551"/>
      <c r="AX581" s="551"/>
      <c r="AY581" s="551"/>
      <c r="AZ581" s="551"/>
      <c r="BA581" s="551"/>
      <c r="BB581" s="551"/>
      <c r="BC581" s="551"/>
      <c r="BD581" s="551"/>
      <c r="BE581" s="551"/>
      <c r="BF581" s="551"/>
      <c r="BG581" s="551"/>
      <c r="BH581" s="551"/>
      <c r="BI581" s="551"/>
      <c r="BJ581" s="551"/>
      <c r="BK581" s="551"/>
    </row>
    <row r="582" spans="1:63" ht="12.75" customHeight="1">
      <c r="A582" s="551"/>
      <c r="B582" s="551"/>
      <c r="C582" s="551"/>
      <c r="D582" s="551"/>
      <c r="E582" s="551"/>
      <c r="F582" s="551"/>
      <c r="G582" s="551"/>
      <c r="H582" s="551"/>
      <c r="I582" s="551"/>
      <c r="J582" s="551"/>
      <c r="K582" s="551"/>
      <c r="L582" s="551"/>
      <c r="M582" s="551"/>
      <c r="N582" s="551"/>
      <c r="O582" s="551"/>
      <c r="P582" s="551"/>
      <c r="Q582" s="551"/>
      <c r="R582" s="551"/>
      <c r="S582" s="551"/>
      <c r="T582" s="551"/>
      <c r="U582" s="551"/>
      <c r="V582" s="551"/>
      <c r="W582" s="551"/>
      <c r="X582" s="551"/>
      <c r="Y582" s="551"/>
      <c r="Z582" s="551"/>
      <c r="AA582" s="551"/>
      <c r="AB582" s="551"/>
      <c r="AC582" s="551"/>
      <c r="AD582" s="551"/>
      <c r="AE582" s="551"/>
      <c r="AF582" s="551"/>
      <c r="AG582" s="551"/>
      <c r="AH582" s="551"/>
      <c r="AI582" s="551"/>
      <c r="AJ582" s="551"/>
      <c r="AK582" s="551"/>
      <c r="AL582" s="551"/>
      <c r="AM582" s="551"/>
      <c r="AN582" s="551"/>
      <c r="AO582" s="551"/>
      <c r="AP582" s="551"/>
      <c r="AQ582" s="551"/>
      <c r="AR582" s="551"/>
      <c r="AS582" s="551"/>
      <c r="AT582" s="551"/>
      <c r="AU582" s="551"/>
      <c r="AV582" s="551"/>
      <c r="AW582" s="551"/>
      <c r="AX582" s="551"/>
      <c r="AY582" s="551"/>
      <c r="AZ582" s="551"/>
      <c r="BA582" s="551"/>
      <c r="BB582" s="551"/>
      <c r="BC582" s="551"/>
      <c r="BD582" s="551"/>
      <c r="BE582" s="551"/>
      <c r="BF582" s="551"/>
      <c r="BG582" s="551"/>
      <c r="BH582" s="551"/>
      <c r="BI582" s="551"/>
      <c r="BJ582" s="551"/>
      <c r="BK582" s="551"/>
    </row>
    <row r="583" spans="1:63" ht="12.75" customHeight="1">
      <c r="A583" s="551"/>
      <c r="B583" s="551"/>
      <c r="C583" s="551"/>
      <c r="D583" s="551"/>
      <c r="E583" s="551"/>
      <c r="F583" s="551"/>
      <c r="G583" s="551"/>
      <c r="H583" s="551"/>
      <c r="I583" s="551"/>
      <c r="J583" s="551"/>
      <c r="K583" s="551"/>
      <c r="L583" s="551"/>
      <c r="M583" s="551"/>
      <c r="N583" s="551"/>
      <c r="O583" s="551"/>
      <c r="P583" s="551"/>
      <c r="Q583" s="551"/>
      <c r="R583" s="551"/>
      <c r="S583" s="551"/>
      <c r="T583" s="551"/>
      <c r="U583" s="551"/>
      <c r="V583" s="551"/>
      <c r="W583" s="551"/>
      <c r="X583" s="551"/>
      <c r="Y583" s="551"/>
      <c r="Z583" s="551"/>
      <c r="AA583" s="551"/>
      <c r="AB583" s="551"/>
      <c r="AC583" s="551"/>
      <c r="AD583" s="551"/>
      <c r="AE583" s="551"/>
      <c r="AF583" s="551"/>
      <c r="AG583" s="551"/>
      <c r="AH583" s="551"/>
      <c r="AI583" s="551"/>
      <c r="AJ583" s="551"/>
      <c r="AK583" s="551"/>
      <c r="AL583" s="551"/>
      <c r="AM583" s="551"/>
      <c r="AN583" s="551"/>
      <c r="AO583" s="551"/>
      <c r="AP583" s="551"/>
      <c r="AQ583" s="551"/>
      <c r="AR583" s="551"/>
      <c r="AS583" s="551"/>
      <c r="AT583" s="551"/>
      <c r="AU583" s="551"/>
      <c r="AV583" s="551"/>
      <c r="AW583" s="551"/>
      <c r="AX583" s="551"/>
      <c r="AY583" s="551"/>
      <c r="AZ583" s="551"/>
      <c r="BA583" s="551"/>
      <c r="BB583" s="551"/>
      <c r="BC583" s="551"/>
      <c r="BD583" s="551"/>
      <c r="BE583" s="551"/>
      <c r="BF583" s="551"/>
      <c r="BG583" s="551"/>
      <c r="BH583" s="551"/>
      <c r="BI583" s="551"/>
      <c r="BJ583" s="551"/>
      <c r="BK583" s="551"/>
    </row>
    <row r="584" spans="1:63" ht="12.75" customHeight="1">
      <c r="A584" s="551"/>
      <c r="B584" s="551"/>
      <c r="C584" s="551"/>
      <c r="D584" s="551"/>
      <c r="E584" s="551"/>
      <c r="F584" s="551"/>
      <c r="G584" s="551"/>
      <c r="H584" s="551"/>
      <c r="I584" s="551"/>
      <c r="J584" s="551"/>
      <c r="K584" s="551"/>
      <c r="L584" s="551"/>
      <c r="M584" s="551"/>
      <c r="N584" s="551"/>
      <c r="O584" s="551"/>
      <c r="P584" s="551"/>
      <c r="Q584" s="551"/>
      <c r="R584" s="551"/>
      <c r="S584" s="551"/>
      <c r="T584" s="551"/>
      <c r="U584" s="551"/>
      <c r="V584" s="551"/>
      <c r="W584" s="551"/>
      <c r="X584" s="551"/>
      <c r="Y584" s="551"/>
      <c r="Z584" s="551"/>
      <c r="AA584" s="551"/>
      <c r="AB584" s="551"/>
      <c r="AC584" s="551"/>
      <c r="AD584" s="551"/>
      <c r="AE584" s="551"/>
      <c r="AF584" s="551"/>
      <c r="AG584" s="551"/>
      <c r="AH584" s="551"/>
      <c r="AI584" s="551"/>
      <c r="AJ584" s="551"/>
      <c r="AK584" s="551"/>
      <c r="AL584" s="551"/>
      <c r="AM584" s="551"/>
      <c r="AN584" s="551"/>
      <c r="AO584" s="551"/>
      <c r="AP584" s="551"/>
      <c r="AQ584" s="551"/>
      <c r="AR584" s="551"/>
      <c r="AS584" s="551"/>
      <c r="AT584" s="551"/>
      <c r="AU584" s="551"/>
      <c r="AV584" s="551"/>
      <c r="AW584" s="551"/>
      <c r="AX584" s="551"/>
      <c r="AY584" s="551"/>
      <c r="AZ584" s="551"/>
      <c r="BA584" s="551"/>
      <c r="BB584" s="551"/>
      <c r="BC584" s="551"/>
      <c r="BD584" s="551"/>
      <c r="BE584" s="551"/>
      <c r="BF584" s="551"/>
      <c r="BG584" s="551"/>
      <c r="BH584" s="551"/>
      <c r="BI584" s="551"/>
      <c r="BJ584" s="551"/>
      <c r="BK584" s="551"/>
    </row>
    <row r="585" spans="1:63" ht="12.75" customHeight="1">
      <c r="A585" s="551"/>
      <c r="B585" s="551"/>
      <c r="C585" s="551"/>
      <c r="D585" s="551"/>
      <c r="E585" s="551"/>
      <c r="F585" s="551"/>
      <c r="G585" s="551"/>
      <c r="H585" s="551"/>
      <c r="I585" s="551"/>
      <c r="J585" s="551"/>
      <c r="K585" s="551"/>
      <c r="L585" s="551"/>
      <c r="M585" s="551"/>
      <c r="N585" s="551"/>
      <c r="O585" s="551"/>
      <c r="P585" s="551"/>
      <c r="Q585" s="551"/>
      <c r="R585" s="551"/>
      <c r="S585" s="551"/>
      <c r="T585" s="551"/>
      <c r="U585" s="551"/>
      <c r="V585" s="551"/>
      <c r="W585" s="551"/>
      <c r="X585" s="551"/>
      <c r="Y585" s="551"/>
      <c r="Z585" s="551"/>
      <c r="AA585" s="551"/>
      <c r="AB585" s="551"/>
      <c r="AC585" s="551"/>
      <c r="AD585" s="551"/>
      <c r="AE585" s="551"/>
      <c r="AF585" s="551"/>
      <c r="AG585" s="551"/>
      <c r="AH585" s="551"/>
      <c r="AI585" s="551"/>
      <c r="AJ585" s="551"/>
      <c r="AK585" s="551"/>
      <c r="AL585" s="551"/>
      <c r="AM585" s="551"/>
      <c r="AN585" s="551"/>
      <c r="AO585" s="551"/>
      <c r="AP585" s="551"/>
      <c r="AQ585" s="551"/>
      <c r="AR585" s="551"/>
      <c r="AS585" s="551"/>
      <c r="AT585" s="551"/>
      <c r="AU585" s="551"/>
      <c r="AV585" s="551"/>
      <c r="AW585" s="551"/>
      <c r="AX585" s="551"/>
      <c r="AY585" s="551"/>
      <c r="AZ585" s="551"/>
      <c r="BA585" s="551"/>
      <c r="BB585" s="551"/>
      <c r="BC585" s="551"/>
      <c r="BD585" s="551"/>
      <c r="BE585" s="551"/>
      <c r="BF585" s="551"/>
      <c r="BG585" s="551"/>
      <c r="BH585" s="551"/>
      <c r="BI585" s="551"/>
      <c r="BJ585" s="551"/>
      <c r="BK585" s="551"/>
    </row>
    <row r="586" spans="1:63" ht="12.75" customHeight="1">
      <c r="A586" s="551"/>
      <c r="B586" s="551"/>
      <c r="C586" s="551"/>
      <c r="D586" s="551"/>
      <c r="E586" s="551"/>
      <c r="F586" s="551"/>
      <c r="G586" s="551"/>
      <c r="H586" s="551"/>
      <c r="I586" s="551"/>
      <c r="J586" s="551"/>
      <c r="K586" s="551"/>
      <c r="L586" s="551"/>
      <c r="M586" s="551"/>
      <c r="N586" s="551"/>
      <c r="O586" s="551"/>
      <c r="P586" s="551"/>
      <c r="Q586" s="551"/>
      <c r="R586" s="551"/>
      <c r="S586" s="551"/>
      <c r="T586" s="551"/>
      <c r="U586" s="551"/>
      <c r="V586" s="551"/>
      <c r="W586" s="551"/>
      <c r="X586" s="551"/>
      <c r="Y586" s="551"/>
      <c r="Z586" s="551"/>
      <c r="AA586" s="551"/>
      <c r="AB586" s="551"/>
      <c r="AC586" s="551"/>
      <c r="AD586" s="551"/>
      <c r="AE586" s="551"/>
      <c r="AF586" s="551"/>
      <c r="AG586" s="551"/>
      <c r="AH586" s="551"/>
      <c r="AI586" s="551"/>
      <c r="AJ586" s="551"/>
      <c r="AK586" s="551"/>
      <c r="AL586" s="551"/>
      <c r="AM586" s="551"/>
      <c r="AN586" s="551"/>
      <c r="AO586" s="551"/>
      <c r="AP586" s="551"/>
      <c r="AQ586" s="551"/>
      <c r="AR586" s="551"/>
      <c r="AS586" s="551"/>
      <c r="AT586" s="551"/>
      <c r="AU586" s="551"/>
      <c r="AV586" s="551"/>
      <c r="AW586" s="551"/>
      <c r="AX586" s="551"/>
      <c r="AY586" s="551"/>
      <c r="AZ586" s="551"/>
      <c r="BA586" s="551"/>
      <c r="BB586" s="551"/>
      <c r="BC586" s="551"/>
      <c r="BD586" s="551"/>
      <c r="BE586" s="551"/>
      <c r="BF586" s="551"/>
      <c r="BG586" s="551"/>
      <c r="BH586" s="551"/>
      <c r="BI586" s="551"/>
      <c r="BJ586" s="551"/>
      <c r="BK586" s="551"/>
    </row>
    <row r="587" spans="1:63" ht="12.75" customHeight="1">
      <c r="A587" s="551"/>
      <c r="B587" s="551"/>
      <c r="C587" s="551"/>
      <c r="D587" s="551"/>
      <c r="E587" s="551"/>
      <c r="F587" s="551"/>
      <c r="G587" s="551"/>
      <c r="H587" s="551"/>
      <c r="I587" s="551"/>
      <c r="J587" s="551"/>
      <c r="K587" s="551"/>
      <c r="L587" s="551"/>
      <c r="M587" s="551"/>
      <c r="N587" s="551"/>
      <c r="O587" s="551"/>
      <c r="P587" s="551"/>
      <c r="Q587" s="551"/>
      <c r="R587" s="551"/>
      <c r="S587" s="551"/>
      <c r="T587" s="551"/>
      <c r="U587" s="551"/>
      <c r="V587" s="551"/>
      <c r="W587" s="551"/>
      <c r="X587" s="551"/>
      <c r="Y587" s="551"/>
      <c r="Z587" s="551"/>
      <c r="AA587" s="551"/>
      <c r="AB587" s="551"/>
      <c r="AC587" s="551"/>
      <c r="AD587" s="551"/>
      <c r="AE587" s="551"/>
      <c r="AF587" s="551"/>
      <c r="AG587" s="551"/>
      <c r="AH587" s="551"/>
      <c r="AI587" s="551"/>
      <c r="AJ587" s="551"/>
      <c r="AK587" s="551"/>
      <c r="AL587" s="551"/>
      <c r="AM587" s="551"/>
      <c r="AN587" s="551"/>
      <c r="AO587" s="551"/>
      <c r="AP587" s="551"/>
      <c r="AQ587" s="551"/>
      <c r="AR587" s="551"/>
      <c r="AS587" s="551"/>
      <c r="AT587" s="551"/>
      <c r="AU587" s="551"/>
      <c r="AV587" s="551"/>
      <c r="AW587" s="551"/>
      <c r="AX587" s="551"/>
      <c r="AY587" s="551"/>
      <c r="AZ587" s="551"/>
      <c r="BA587" s="551"/>
      <c r="BB587" s="551"/>
      <c r="BC587" s="551"/>
      <c r="BD587" s="551"/>
      <c r="BE587" s="551"/>
      <c r="BF587" s="551"/>
      <c r="BG587" s="551"/>
      <c r="BH587" s="551"/>
      <c r="BI587" s="551"/>
      <c r="BJ587" s="551"/>
      <c r="BK587" s="551"/>
    </row>
    <row r="588" spans="1:63" ht="12.75" customHeight="1">
      <c r="A588" s="551"/>
      <c r="B588" s="551"/>
      <c r="C588" s="551"/>
      <c r="D588" s="551"/>
      <c r="E588" s="551"/>
      <c r="F588" s="551"/>
      <c r="G588" s="551"/>
      <c r="H588" s="551"/>
      <c r="I588" s="551"/>
      <c r="J588" s="551"/>
      <c r="K588" s="551"/>
      <c r="L588" s="551"/>
      <c r="M588" s="551"/>
      <c r="N588" s="551"/>
      <c r="O588" s="551"/>
      <c r="P588" s="551"/>
      <c r="Q588" s="551"/>
      <c r="R588" s="551"/>
      <c r="S588" s="551"/>
      <c r="T588" s="551"/>
      <c r="U588" s="551"/>
      <c r="V588" s="551"/>
      <c r="W588" s="551"/>
      <c r="X588" s="551"/>
      <c r="Y588" s="551"/>
      <c r="Z588" s="551"/>
      <c r="AA588" s="551"/>
      <c r="AB588" s="551"/>
      <c r="AC588" s="551"/>
      <c r="AD588" s="551"/>
      <c r="AE588" s="551"/>
      <c r="AF588" s="551"/>
      <c r="AG588" s="551"/>
      <c r="AH588" s="551"/>
      <c r="AI588" s="551"/>
      <c r="AJ588" s="551"/>
      <c r="AK588" s="551"/>
      <c r="AL588" s="551"/>
      <c r="AM588" s="551"/>
      <c r="AN588" s="551"/>
      <c r="AO588" s="551"/>
      <c r="AP588" s="551"/>
      <c r="AQ588" s="551"/>
      <c r="AR588" s="551"/>
      <c r="AS588" s="551"/>
      <c r="AT588" s="551"/>
      <c r="AU588" s="551"/>
      <c r="AV588" s="551"/>
      <c r="AW588" s="551"/>
      <c r="AX588" s="551"/>
      <c r="AY588" s="551"/>
      <c r="AZ588" s="551"/>
      <c r="BA588" s="551"/>
      <c r="BB588" s="551"/>
      <c r="BC588" s="551"/>
      <c r="BD588" s="551"/>
      <c r="BE588" s="551"/>
      <c r="BF588" s="551"/>
      <c r="BG588" s="551"/>
      <c r="BH588" s="551"/>
      <c r="BI588" s="551"/>
      <c r="BJ588" s="551"/>
      <c r="BK588" s="551"/>
    </row>
    <row r="589" spans="1:63" ht="12.75" customHeight="1">
      <c r="A589" s="551"/>
      <c r="B589" s="551"/>
      <c r="C589" s="551"/>
      <c r="D589" s="551"/>
      <c r="E589" s="551"/>
      <c r="F589" s="551"/>
      <c r="G589" s="551"/>
      <c r="H589" s="551"/>
      <c r="I589" s="551"/>
      <c r="J589" s="551"/>
      <c r="K589" s="551"/>
      <c r="L589" s="551"/>
      <c r="M589" s="551"/>
      <c r="N589" s="551"/>
      <c r="O589" s="551"/>
      <c r="P589" s="551"/>
      <c r="Q589" s="551"/>
      <c r="R589" s="551"/>
      <c r="S589" s="551"/>
      <c r="T589" s="551"/>
      <c r="U589" s="551"/>
      <c r="V589" s="551"/>
      <c r="W589" s="551"/>
      <c r="X589" s="551"/>
      <c r="Y589" s="551"/>
      <c r="Z589" s="551"/>
      <c r="AA589" s="551"/>
      <c r="AB589" s="551"/>
      <c r="AC589" s="551"/>
      <c r="AD589" s="551"/>
      <c r="AE589" s="551"/>
      <c r="AF589" s="551"/>
      <c r="AG589" s="551"/>
      <c r="AH589" s="551"/>
      <c r="AI589" s="551"/>
      <c r="AJ589" s="551"/>
      <c r="AK589" s="551"/>
      <c r="AL589" s="551"/>
      <c r="AM589" s="551"/>
      <c r="AN589" s="551"/>
      <c r="AO589" s="551"/>
      <c r="AP589" s="551"/>
      <c r="AQ589" s="551"/>
      <c r="AR589" s="551"/>
      <c r="AS589" s="551"/>
      <c r="AT589" s="551"/>
      <c r="AU589" s="551"/>
      <c r="AV589" s="551"/>
      <c r="AW589" s="551"/>
      <c r="AX589" s="551"/>
      <c r="AY589" s="551"/>
      <c r="AZ589" s="551"/>
      <c r="BA589" s="551"/>
      <c r="BB589" s="551"/>
      <c r="BC589" s="551"/>
      <c r="BD589" s="551"/>
      <c r="BE589" s="551"/>
      <c r="BF589" s="551"/>
      <c r="BG589" s="551"/>
      <c r="BH589" s="551"/>
      <c r="BI589" s="551"/>
      <c r="BJ589" s="551"/>
      <c r="BK589" s="551"/>
    </row>
    <row r="590" spans="1:63" ht="12.75" customHeight="1">
      <c r="A590" s="551"/>
      <c r="B590" s="551"/>
      <c r="C590" s="551"/>
      <c r="D590" s="551"/>
      <c r="E590" s="551"/>
      <c r="F590" s="551"/>
      <c r="G590" s="551"/>
      <c r="H590" s="551"/>
      <c r="I590" s="551"/>
      <c r="J590" s="551"/>
      <c r="K590" s="551"/>
      <c r="L590" s="551"/>
      <c r="M590" s="551"/>
      <c r="N590" s="551"/>
      <c r="O590" s="551"/>
      <c r="P590" s="551"/>
      <c r="Q590" s="551"/>
      <c r="R590" s="551"/>
      <c r="S590" s="551"/>
      <c r="T590" s="551"/>
      <c r="U590" s="551"/>
      <c r="V590" s="551"/>
      <c r="W590" s="551"/>
      <c r="X590" s="551"/>
      <c r="Y590" s="551"/>
      <c r="Z590" s="551"/>
      <c r="AA590" s="551"/>
      <c r="AB590" s="551"/>
      <c r="AC590" s="551"/>
      <c r="AD590" s="551"/>
      <c r="AE590" s="551"/>
      <c r="AF590" s="551"/>
      <c r="AG590" s="551"/>
      <c r="AH590" s="551"/>
      <c r="AI590" s="551"/>
      <c r="AJ590" s="551"/>
      <c r="AK590" s="551"/>
      <c r="AL590" s="551"/>
      <c r="AM590" s="551"/>
      <c r="AN590" s="551"/>
      <c r="AO590" s="551"/>
      <c r="AP590" s="551"/>
      <c r="AQ590" s="551"/>
      <c r="AR590" s="551"/>
      <c r="AS590" s="551"/>
      <c r="AT590" s="551"/>
      <c r="AU590" s="551"/>
      <c r="AV590" s="551"/>
      <c r="AW590" s="551"/>
      <c r="AX590" s="551"/>
      <c r="AY590" s="551"/>
      <c r="AZ590" s="551"/>
      <c r="BA590" s="551"/>
      <c r="BB590" s="551"/>
      <c r="BC590" s="551"/>
      <c r="BD590" s="551"/>
      <c r="BE590" s="551"/>
      <c r="BF590" s="551"/>
      <c r="BG590" s="551"/>
      <c r="BH590" s="551"/>
      <c r="BI590" s="551"/>
      <c r="BJ590" s="551"/>
      <c r="BK590" s="551"/>
    </row>
    <row r="591" spans="1:63" ht="12.75" customHeight="1">
      <c r="A591" s="551"/>
      <c r="B591" s="551"/>
      <c r="C591" s="551"/>
      <c r="D591" s="551"/>
      <c r="E591" s="551"/>
      <c r="F591" s="551"/>
      <c r="G591" s="551"/>
      <c r="H591" s="551"/>
      <c r="I591" s="551"/>
      <c r="J591" s="551"/>
      <c r="K591" s="551"/>
      <c r="L591" s="551"/>
      <c r="M591" s="551"/>
      <c r="N591" s="551"/>
      <c r="O591" s="551"/>
      <c r="P591" s="551"/>
      <c r="Q591" s="551"/>
      <c r="R591" s="551"/>
      <c r="S591" s="551"/>
      <c r="T591" s="551"/>
      <c r="U591" s="551"/>
      <c r="V591" s="551"/>
      <c r="W591" s="551"/>
      <c r="X591" s="551"/>
      <c r="Y591" s="551"/>
      <c r="Z591" s="551"/>
      <c r="AA591" s="551"/>
      <c r="AB591" s="551"/>
      <c r="AC591" s="551"/>
      <c r="AD591" s="551"/>
      <c r="AE591" s="551"/>
      <c r="AF591" s="551"/>
      <c r="AG591" s="551"/>
      <c r="AH591" s="551"/>
      <c r="AI591" s="551"/>
      <c r="AJ591" s="551"/>
      <c r="AK591" s="551"/>
      <c r="AL591" s="551"/>
      <c r="AM591" s="551"/>
      <c r="AN591" s="551"/>
      <c r="AO591" s="551"/>
      <c r="AP591" s="551"/>
      <c r="AQ591" s="551"/>
      <c r="AR591" s="551"/>
      <c r="AS591" s="551"/>
      <c r="AT591" s="551"/>
      <c r="AU591" s="551"/>
      <c r="AV591" s="551"/>
      <c r="AW591" s="551"/>
      <c r="AX591" s="551"/>
      <c r="AY591" s="551"/>
      <c r="AZ591" s="551"/>
      <c r="BA591" s="551"/>
      <c r="BB591" s="551"/>
      <c r="BC591" s="551"/>
      <c r="BD591" s="551"/>
      <c r="BE591" s="551"/>
      <c r="BF591" s="551"/>
      <c r="BG591" s="551"/>
      <c r="BH591" s="551"/>
      <c r="BI591" s="551"/>
      <c r="BJ591" s="551"/>
      <c r="BK591" s="551"/>
    </row>
    <row r="592" spans="1:63" ht="12.75" customHeight="1">
      <c r="A592" s="551"/>
      <c r="B592" s="551"/>
      <c r="C592" s="551"/>
      <c r="D592" s="551"/>
      <c r="E592" s="551"/>
      <c r="F592" s="551"/>
      <c r="G592" s="551"/>
      <c r="H592" s="551"/>
      <c r="I592" s="551"/>
      <c r="J592" s="551"/>
      <c r="K592" s="551"/>
      <c r="L592" s="551"/>
      <c r="M592" s="551"/>
      <c r="N592" s="551"/>
      <c r="O592" s="551"/>
      <c r="P592" s="551"/>
      <c r="Q592" s="551"/>
      <c r="R592" s="551"/>
      <c r="S592" s="551"/>
      <c r="T592" s="551"/>
      <c r="U592" s="551"/>
      <c r="V592" s="551"/>
      <c r="W592" s="551"/>
      <c r="X592" s="551"/>
      <c r="Y592" s="551"/>
      <c r="Z592" s="551"/>
      <c r="AA592" s="551"/>
      <c r="AB592" s="551"/>
      <c r="AC592" s="551"/>
      <c r="AD592" s="551"/>
      <c r="AE592" s="551"/>
      <c r="AF592" s="551"/>
      <c r="AG592" s="551"/>
      <c r="AH592" s="551"/>
      <c r="AI592" s="551"/>
      <c r="AJ592" s="551"/>
      <c r="AK592" s="551"/>
      <c r="AL592" s="551"/>
      <c r="AM592" s="551"/>
      <c r="AN592" s="551"/>
      <c r="AO592" s="551"/>
      <c r="AP592" s="551"/>
      <c r="AQ592" s="551"/>
      <c r="AR592" s="551"/>
      <c r="AS592" s="551"/>
      <c r="AT592" s="551"/>
      <c r="AU592" s="551"/>
      <c r="AV592" s="551"/>
      <c r="AW592" s="551"/>
      <c r="AX592" s="551"/>
      <c r="AY592" s="551"/>
      <c r="AZ592" s="551"/>
      <c r="BA592" s="551"/>
      <c r="BB592" s="551"/>
      <c r="BC592" s="551"/>
      <c r="BD592" s="551"/>
      <c r="BE592" s="551"/>
      <c r="BF592" s="551"/>
      <c r="BG592" s="551"/>
      <c r="BH592" s="551"/>
      <c r="BI592" s="551"/>
      <c r="BJ592" s="551"/>
      <c r="BK592" s="551"/>
    </row>
    <row r="593" spans="1:63" ht="12.75" customHeight="1">
      <c r="A593" s="551"/>
      <c r="B593" s="551"/>
      <c r="C593" s="551"/>
      <c r="D593" s="551"/>
      <c r="E593" s="551"/>
      <c r="F593" s="551"/>
      <c r="G593" s="551"/>
      <c r="H593" s="551"/>
      <c r="I593" s="551"/>
      <c r="J593" s="551"/>
      <c r="K593" s="551"/>
      <c r="L593" s="551"/>
      <c r="M593" s="551"/>
      <c r="N593" s="551"/>
      <c r="O593" s="551"/>
      <c r="P593" s="551"/>
      <c r="Q593" s="551"/>
      <c r="R593" s="551"/>
      <c r="S593" s="551"/>
      <c r="T593" s="551"/>
      <c r="U593" s="551"/>
      <c r="V593" s="551"/>
      <c r="W593" s="551"/>
      <c r="X593" s="551"/>
      <c r="Y593" s="551"/>
      <c r="Z593" s="551"/>
      <c r="AA593" s="551"/>
      <c r="AB593" s="551"/>
      <c r="AC593" s="551"/>
      <c r="AD593" s="551"/>
      <c r="AE593" s="551"/>
      <c r="AF593" s="551"/>
      <c r="AG593" s="551"/>
      <c r="AH593" s="551"/>
      <c r="AI593" s="551"/>
      <c r="AJ593" s="551"/>
      <c r="AK593" s="551"/>
      <c r="AL593" s="551"/>
      <c r="AM593" s="551"/>
      <c r="AN593" s="551"/>
      <c r="AO593" s="551"/>
      <c r="AP593" s="551"/>
      <c r="AQ593" s="551"/>
      <c r="AR593" s="551"/>
      <c r="AS593" s="551"/>
      <c r="AT593" s="551"/>
      <c r="AU593" s="551"/>
      <c r="AV593" s="551"/>
      <c r="AW593" s="551"/>
      <c r="AX593" s="551"/>
      <c r="AY593" s="551"/>
      <c r="AZ593" s="551"/>
      <c r="BA593" s="551"/>
      <c r="BB593" s="551"/>
      <c r="BC593" s="551"/>
      <c r="BD593" s="551"/>
      <c r="BE593" s="551"/>
      <c r="BF593" s="551"/>
      <c r="BG593" s="551"/>
      <c r="BH593" s="551"/>
      <c r="BI593" s="551"/>
      <c r="BJ593" s="551"/>
      <c r="BK593" s="551"/>
    </row>
    <row r="594" spans="1:63" ht="12.75" customHeight="1">
      <c r="A594" s="551"/>
      <c r="B594" s="551"/>
      <c r="C594" s="551"/>
      <c r="D594" s="551"/>
      <c r="E594" s="551"/>
      <c r="F594" s="551"/>
      <c r="G594" s="551"/>
      <c r="H594" s="551"/>
      <c r="I594" s="551"/>
      <c r="J594" s="551"/>
      <c r="K594" s="551"/>
      <c r="L594" s="551"/>
      <c r="M594" s="551"/>
      <c r="N594" s="551"/>
      <c r="O594" s="551"/>
      <c r="P594" s="551"/>
      <c r="Q594" s="551"/>
      <c r="R594" s="551"/>
      <c r="S594" s="551"/>
      <c r="T594" s="551"/>
      <c r="U594" s="551"/>
      <c r="V594" s="551"/>
      <c r="W594" s="551"/>
      <c r="X594" s="551"/>
      <c r="Y594" s="551"/>
      <c r="Z594" s="551"/>
      <c r="AA594" s="551"/>
      <c r="AB594" s="551"/>
      <c r="AC594" s="551"/>
      <c r="AD594" s="551"/>
      <c r="AE594" s="551"/>
      <c r="AF594" s="551"/>
      <c r="AG594" s="551"/>
      <c r="AH594" s="551"/>
      <c r="AI594" s="551"/>
      <c r="AJ594" s="551"/>
      <c r="AK594" s="551"/>
      <c r="AL594" s="551"/>
      <c r="AM594" s="551"/>
      <c r="AN594" s="551"/>
      <c r="AO594" s="551"/>
      <c r="AP594" s="551"/>
      <c r="AQ594" s="551"/>
      <c r="AR594" s="551"/>
      <c r="AS594" s="551"/>
      <c r="AT594" s="551"/>
      <c r="AU594" s="551"/>
      <c r="AV594" s="551"/>
      <c r="AW594" s="551"/>
      <c r="AX594" s="551"/>
      <c r="AY594" s="551"/>
      <c r="AZ594" s="551"/>
      <c r="BA594" s="551"/>
      <c r="BB594" s="551"/>
      <c r="BC594" s="551"/>
      <c r="BD594" s="551"/>
      <c r="BE594" s="551"/>
      <c r="BF594" s="551"/>
      <c r="BG594" s="551"/>
      <c r="BH594" s="551"/>
      <c r="BI594" s="551"/>
      <c r="BJ594" s="551"/>
      <c r="BK594" s="551"/>
    </row>
    <row r="595" spans="1:63" ht="12.75" customHeight="1">
      <c r="A595" s="551"/>
      <c r="B595" s="551"/>
      <c r="C595" s="551"/>
      <c r="D595" s="551"/>
      <c r="E595" s="551"/>
      <c r="F595" s="551"/>
      <c r="G595" s="551"/>
      <c r="H595" s="551"/>
      <c r="I595" s="551"/>
      <c r="J595" s="551"/>
      <c r="K595" s="551"/>
      <c r="L595" s="551"/>
      <c r="M595" s="551"/>
      <c r="N595" s="551"/>
      <c r="O595" s="551"/>
      <c r="P595" s="551"/>
      <c r="Q595" s="551"/>
      <c r="R595" s="551"/>
      <c r="S595" s="551"/>
      <c r="T595" s="551"/>
      <c r="U595" s="551"/>
      <c r="V595" s="551"/>
      <c r="W595" s="551"/>
      <c r="X595" s="551"/>
      <c r="Y595" s="551"/>
      <c r="Z595" s="551"/>
      <c r="AA595" s="551"/>
      <c r="AB595" s="551"/>
      <c r="AC595" s="551"/>
      <c r="AD595" s="551"/>
      <c r="AE595" s="551"/>
      <c r="AF595" s="551"/>
      <c r="AG595" s="551"/>
      <c r="AH595" s="551"/>
      <c r="AI595" s="551"/>
      <c r="AJ595" s="551"/>
      <c r="AK595" s="551"/>
      <c r="AL595" s="551"/>
      <c r="AM595" s="551"/>
      <c r="AN595" s="551"/>
      <c r="AO595" s="551"/>
      <c r="AP595" s="551"/>
      <c r="AQ595" s="551"/>
      <c r="AR595" s="551"/>
      <c r="AS595" s="551"/>
      <c r="AT595" s="551"/>
      <c r="AU595" s="551"/>
      <c r="AV595" s="551"/>
      <c r="AW595" s="551"/>
      <c r="AX595" s="551"/>
      <c r="AY595" s="551"/>
      <c r="AZ595" s="551"/>
      <c r="BA595" s="551"/>
      <c r="BB595" s="551"/>
      <c r="BC595" s="551"/>
      <c r="BD595" s="551"/>
      <c r="BE595" s="551"/>
      <c r="BF595" s="551"/>
      <c r="BG595" s="551"/>
      <c r="BH595" s="551"/>
      <c r="BI595" s="551"/>
      <c r="BJ595" s="551"/>
      <c r="BK595" s="551"/>
    </row>
    <row r="596" spans="1:63" ht="12.75" customHeight="1">
      <c r="A596" s="551"/>
      <c r="B596" s="551"/>
      <c r="C596" s="551"/>
      <c r="D596" s="551"/>
      <c r="E596" s="551"/>
      <c r="F596" s="551"/>
      <c r="G596" s="551"/>
      <c r="H596" s="551"/>
      <c r="I596" s="551"/>
      <c r="J596" s="551"/>
      <c r="K596" s="551"/>
      <c r="L596" s="551"/>
      <c r="M596" s="551"/>
      <c r="N596" s="551"/>
      <c r="O596" s="551"/>
      <c r="P596" s="551"/>
      <c r="Q596" s="551"/>
      <c r="R596" s="551"/>
      <c r="S596" s="551"/>
      <c r="T596" s="551"/>
      <c r="U596" s="551"/>
      <c r="V596" s="551"/>
      <c r="W596" s="551"/>
      <c r="X596" s="551"/>
      <c r="Y596" s="551"/>
      <c r="Z596" s="551"/>
      <c r="AA596" s="551"/>
      <c r="AB596" s="551"/>
      <c r="AC596" s="551"/>
      <c r="AD596" s="551"/>
      <c r="AE596" s="551"/>
      <c r="AF596" s="551"/>
      <c r="AG596" s="551"/>
      <c r="AH596" s="551"/>
      <c r="AI596" s="551"/>
      <c r="AJ596" s="551"/>
      <c r="AK596" s="551"/>
      <c r="AL596" s="551"/>
      <c r="AM596" s="551"/>
      <c r="AN596" s="551"/>
      <c r="AO596" s="551"/>
      <c r="AP596" s="551"/>
      <c r="AQ596" s="551"/>
      <c r="AR596" s="551"/>
      <c r="AS596" s="551"/>
      <c r="AT596" s="551"/>
      <c r="AU596" s="551"/>
      <c r="AV596" s="551"/>
      <c r="AW596" s="551"/>
      <c r="AX596" s="551"/>
      <c r="AY596" s="551"/>
      <c r="AZ596" s="551"/>
      <c r="BA596" s="551"/>
      <c r="BB596" s="551"/>
      <c r="BC596" s="551"/>
      <c r="BD596" s="551"/>
      <c r="BE596" s="551"/>
      <c r="BF596" s="551"/>
      <c r="BG596" s="551"/>
      <c r="BH596" s="551"/>
      <c r="BI596" s="551"/>
      <c r="BJ596" s="551"/>
      <c r="BK596" s="551"/>
    </row>
    <row r="597" spans="1:63" ht="12.75" customHeight="1">
      <c r="A597" s="551"/>
      <c r="B597" s="551"/>
      <c r="C597" s="551"/>
      <c r="D597" s="551"/>
      <c r="E597" s="551"/>
      <c r="F597" s="551"/>
      <c r="G597" s="551"/>
      <c r="H597" s="551"/>
      <c r="I597" s="551"/>
      <c r="J597" s="551"/>
      <c r="K597" s="551"/>
      <c r="L597" s="551"/>
      <c r="M597" s="551"/>
      <c r="N597" s="551"/>
      <c r="O597" s="551"/>
      <c r="P597" s="551"/>
      <c r="Q597" s="551"/>
      <c r="R597" s="551"/>
      <c r="S597" s="551"/>
      <c r="T597" s="551"/>
      <c r="U597" s="551"/>
      <c r="V597" s="551"/>
      <c r="W597" s="551"/>
      <c r="X597" s="551"/>
      <c r="Y597" s="551"/>
      <c r="Z597" s="551"/>
      <c r="AA597" s="551"/>
      <c r="AB597" s="551"/>
      <c r="AC597" s="551"/>
      <c r="AD597" s="551"/>
      <c r="AE597" s="551"/>
      <c r="AF597" s="551"/>
      <c r="AG597" s="551"/>
      <c r="AH597" s="551"/>
      <c r="AI597" s="551"/>
      <c r="AJ597" s="551"/>
      <c r="AK597" s="551"/>
      <c r="AL597" s="551"/>
      <c r="AM597" s="551"/>
      <c r="AN597" s="551"/>
      <c r="AO597" s="551"/>
      <c r="AP597" s="551"/>
      <c r="AQ597" s="551"/>
      <c r="AR597" s="551"/>
      <c r="AS597" s="551"/>
      <c r="AT597" s="551"/>
      <c r="AU597" s="551"/>
      <c r="AV597" s="551"/>
      <c r="AW597" s="551"/>
      <c r="AX597" s="551"/>
      <c r="AY597" s="551"/>
      <c r="AZ597" s="551"/>
      <c r="BA597" s="551"/>
      <c r="BB597" s="551"/>
      <c r="BC597" s="551"/>
      <c r="BD597" s="551"/>
      <c r="BE597" s="551"/>
      <c r="BF597" s="551"/>
      <c r="BG597" s="551"/>
      <c r="BH597" s="551"/>
      <c r="BI597" s="551"/>
      <c r="BJ597" s="551"/>
      <c r="BK597" s="551"/>
    </row>
    <row r="598" spans="1:63" ht="12.75" customHeight="1">
      <c r="A598" s="551"/>
      <c r="B598" s="551"/>
      <c r="C598" s="551"/>
      <c r="D598" s="551"/>
      <c r="E598" s="551"/>
      <c r="F598" s="551"/>
      <c r="G598" s="551"/>
      <c r="H598" s="551"/>
      <c r="I598" s="551"/>
      <c r="J598" s="551"/>
      <c r="K598" s="551"/>
      <c r="L598" s="551"/>
      <c r="M598" s="551"/>
      <c r="N598" s="551"/>
      <c r="O598" s="551"/>
      <c r="P598" s="551"/>
      <c r="Q598" s="551"/>
      <c r="R598" s="551"/>
      <c r="S598" s="551"/>
      <c r="T598" s="551"/>
      <c r="U598" s="551"/>
      <c r="V598" s="551"/>
      <c r="W598" s="551"/>
      <c r="X598" s="551"/>
      <c r="Y598" s="551"/>
      <c r="Z598" s="551"/>
      <c r="AA598" s="551"/>
      <c r="AB598" s="551"/>
      <c r="AC598" s="551"/>
      <c r="AD598" s="551"/>
      <c r="AE598" s="551"/>
      <c r="AF598" s="551"/>
      <c r="AG598" s="551"/>
      <c r="AH598" s="551"/>
      <c r="AI598" s="551"/>
      <c r="AJ598" s="551"/>
      <c r="AK598" s="551"/>
      <c r="AL598" s="551"/>
      <c r="AM598" s="551"/>
      <c r="AN598" s="551"/>
      <c r="AO598" s="551"/>
      <c r="AP598" s="551"/>
      <c r="AQ598" s="551"/>
      <c r="AR598" s="551"/>
      <c r="AS598" s="551"/>
      <c r="AT598" s="551"/>
      <c r="AU598" s="551"/>
      <c r="AV598" s="551"/>
      <c r="AW598" s="551"/>
      <c r="AX598" s="551"/>
      <c r="AY598" s="551"/>
      <c r="AZ598" s="551"/>
      <c r="BA598" s="551"/>
      <c r="BB598" s="551"/>
      <c r="BC598" s="551"/>
      <c r="BD598" s="551"/>
      <c r="BE598" s="551"/>
      <c r="BF598" s="551"/>
      <c r="BG598" s="551"/>
      <c r="BH598" s="551"/>
      <c r="BI598" s="551"/>
      <c r="BJ598" s="551"/>
      <c r="BK598" s="551"/>
    </row>
    <row r="599" spans="1:63" ht="12.75" customHeight="1">
      <c r="A599" s="551"/>
      <c r="B599" s="551"/>
      <c r="C599" s="551"/>
      <c r="D599" s="551"/>
      <c r="E599" s="551"/>
      <c r="F599" s="551"/>
      <c r="G599" s="551"/>
      <c r="H599" s="551"/>
      <c r="I599" s="551"/>
      <c r="J599" s="551"/>
      <c r="K599" s="551"/>
      <c r="L599" s="551"/>
      <c r="M599" s="551"/>
      <c r="N599" s="551"/>
      <c r="O599" s="551"/>
      <c r="P599" s="551"/>
      <c r="Q599" s="551"/>
      <c r="R599" s="551"/>
      <c r="S599" s="551"/>
      <c r="T599" s="551"/>
      <c r="U599" s="551"/>
      <c r="V599" s="551"/>
      <c r="W599" s="551"/>
      <c r="X599" s="551"/>
      <c r="Y599" s="551"/>
      <c r="Z599" s="551"/>
      <c r="AA599" s="551"/>
      <c r="AB599" s="551"/>
      <c r="AC599" s="551"/>
      <c r="AD599" s="551"/>
      <c r="AE599" s="551"/>
      <c r="AF599" s="551"/>
      <c r="AG599" s="551"/>
      <c r="AH599" s="551"/>
      <c r="AI599" s="551"/>
      <c r="AJ599" s="551"/>
      <c r="AK599" s="551"/>
      <c r="AL599" s="551"/>
      <c r="AM599" s="551"/>
      <c r="AN599" s="551"/>
      <c r="AO599" s="551"/>
      <c r="AP599" s="551"/>
      <c r="AQ599" s="551"/>
      <c r="AR599" s="551"/>
      <c r="AS599" s="551"/>
      <c r="AT599" s="551"/>
      <c r="AU599" s="551"/>
      <c r="AV599" s="551"/>
      <c r="AW599" s="551"/>
      <c r="AX599" s="551"/>
      <c r="AY599" s="551"/>
      <c r="AZ599" s="551"/>
      <c r="BA599" s="551"/>
      <c r="BB599" s="551"/>
      <c r="BC599" s="551"/>
      <c r="BD599" s="551"/>
      <c r="BE599" s="551"/>
      <c r="BF599" s="551"/>
      <c r="BG599" s="551"/>
      <c r="BH599" s="551"/>
      <c r="BI599" s="551"/>
      <c r="BJ599" s="551"/>
      <c r="BK599" s="551"/>
    </row>
    <row r="600" spans="1:63" ht="12.75" customHeight="1">
      <c r="A600" s="551"/>
      <c r="B600" s="551"/>
      <c r="C600" s="551"/>
      <c r="D600" s="551"/>
      <c r="E600" s="551"/>
      <c r="F600" s="551"/>
      <c r="G600" s="551"/>
      <c r="H600" s="551"/>
      <c r="I600" s="551"/>
      <c r="J600" s="551"/>
      <c r="K600" s="551"/>
      <c r="L600" s="551"/>
      <c r="M600" s="551"/>
      <c r="N600" s="551"/>
      <c r="O600" s="551"/>
      <c r="P600" s="551"/>
      <c r="Q600" s="551"/>
      <c r="R600" s="551"/>
      <c r="S600" s="551"/>
      <c r="T600" s="551"/>
      <c r="U600" s="551"/>
      <c r="V600" s="551"/>
      <c r="W600" s="551"/>
      <c r="X600" s="551"/>
      <c r="Y600" s="551"/>
      <c r="Z600" s="551"/>
      <c r="AA600" s="551"/>
      <c r="AB600" s="551"/>
      <c r="AC600" s="551"/>
      <c r="AD600" s="551"/>
      <c r="AE600" s="551"/>
      <c r="AF600" s="551"/>
      <c r="AG600" s="551"/>
      <c r="AH600" s="551"/>
      <c r="AI600" s="551"/>
      <c r="AJ600" s="551"/>
      <c r="AK600" s="551"/>
      <c r="AL600" s="551"/>
      <c r="AM600" s="551"/>
      <c r="AN600" s="551"/>
      <c r="AO600" s="551"/>
      <c r="AP600" s="551"/>
      <c r="AQ600" s="551"/>
      <c r="AR600" s="551"/>
      <c r="AS600" s="551"/>
      <c r="AT600" s="551"/>
      <c r="AU600" s="551"/>
      <c r="AV600" s="551"/>
      <c r="AW600" s="551"/>
      <c r="AX600" s="551"/>
      <c r="AY600" s="551"/>
      <c r="AZ600" s="551"/>
      <c r="BA600" s="551"/>
      <c r="BB600" s="551"/>
      <c r="BC600" s="551"/>
      <c r="BD600" s="551"/>
      <c r="BE600" s="551"/>
      <c r="BF600" s="551"/>
      <c r="BG600" s="551"/>
      <c r="BH600" s="551"/>
      <c r="BI600" s="551"/>
      <c r="BJ600" s="551"/>
      <c r="BK600" s="551"/>
    </row>
    <row r="601" spans="1:63" ht="12.75" customHeight="1">
      <c r="A601" s="551"/>
      <c r="B601" s="551"/>
      <c r="C601" s="551"/>
      <c r="D601" s="551"/>
      <c r="E601" s="551"/>
      <c r="F601" s="551"/>
      <c r="G601" s="551"/>
      <c r="H601" s="551"/>
      <c r="I601" s="551"/>
      <c r="J601" s="551"/>
      <c r="K601" s="551"/>
      <c r="L601" s="551"/>
      <c r="M601" s="551"/>
      <c r="N601" s="551"/>
      <c r="O601" s="551"/>
      <c r="P601" s="551"/>
      <c r="Q601" s="551"/>
      <c r="R601" s="551"/>
      <c r="S601" s="551"/>
      <c r="T601" s="551"/>
      <c r="U601" s="551"/>
      <c r="V601" s="551"/>
      <c r="W601" s="551"/>
      <c r="X601" s="551"/>
      <c r="Y601" s="551"/>
      <c r="Z601" s="551"/>
      <c r="AA601" s="551"/>
      <c r="AB601" s="551"/>
      <c r="AC601" s="551"/>
      <c r="AD601" s="551"/>
      <c r="AE601" s="551"/>
      <c r="AF601" s="551"/>
      <c r="AG601" s="551"/>
      <c r="AH601" s="551"/>
      <c r="AI601" s="551"/>
      <c r="AJ601" s="551"/>
      <c r="AK601" s="551"/>
      <c r="AL601" s="551"/>
      <c r="AM601" s="551"/>
      <c r="AN601" s="551"/>
      <c r="AO601" s="551"/>
      <c r="AP601" s="551"/>
      <c r="AQ601" s="551"/>
      <c r="AR601" s="551"/>
      <c r="AS601" s="551"/>
      <c r="AT601" s="551"/>
      <c r="AU601" s="551"/>
      <c r="AV601" s="551"/>
      <c r="AW601" s="551"/>
      <c r="AX601" s="551"/>
      <c r="AY601" s="551"/>
      <c r="AZ601" s="551"/>
      <c r="BA601" s="551"/>
      <c r="BB601" s="551"/>
      <c r="BC601" s="551"/>
      <c r="BD601" s="551"/>
      <c r="BE601" s="551"/>
      <c r="BF601" s="551"/>
      <c r="BG601" s="551"/>
      <c r="BH601" s="551"/>
      <c r="BI601" s="551"/>
      <c r="BJ601" s="551"/>
      <c r="BK601" s="551"/>
    </row>
    <row r="602" spans="1:63" ht="12.75" customHeight="1">
      <c r="A602" s="551"/>
      <c r="B602" s="551"/>
      <c r="C602" s="551"/>
      <c r="D602" s="551"/>
      <c r="E602" s="551"/>
      <c r="F602" s="551"/>
      <c r="G602" s="551"/>
      <c r="H602" s="551"/>
      <c r="I602" s="551"/>
      <c r="J602" s="551"/>
      <c r="K602" s="551"/>
      <c r="L602" s="551"/>
      <c r="M602" s="551"/>
      <c r="N602" s="551"/>
      <c r="O602" s="551"/>
      <c r="P602" s="551"/>
      <c r="Q602" s="551"/>
      <c r="R602" s="551"/>
      <c r="S602" s="551"/>
      <c r="T602" s="551"/>
      <c r="U602" s="551"/>
      <c r="V602" s="551"/>
      <c r="W602" s="551"/>
      <c r="X602" s="551"/>
      <c r="Y602" s="551"/>
      <c r="Z602" s="551"/>
      <c r="AA602" s="551"/>
      <c r="AB602" s="551"/>
      <c r="AC602" s="551"/>
      <c r="AD602" s="551"/>
      <c r="AE602" s="551"/>
      <c r="AF602" s="551"/>
      <c r="AG602" s="551"/>
      <c r="AH602" s="551"/>
      <c r="AI602" s="551"/>
      <c r="AJ602" s="551"/>
      <c r="AK602" s="551"/>
      <c r="AL602" s="551"/>
      <c r="AM602" s="551"/>
      <c r="AN602" s="551"/>
      <c r="AO602" s="551"/>
      <c r="AP602" s="551"/>
      <c r="AQ602" s="551"/>
      <c r="AR602" s="551"/>
      <c r="AS602" s="551"/>
      <c r="AT602" s="551"/>
      <c r="AU602" s="551"/>
      <c r="AV602" s="551"/>
      <c r="AW602" s="551"/>
      <c r="AX602" s="551"/>
      <c r="AY602" s="551"/>
      <c r="AZ602" s="551"/>
      <c r="BA602" s="551"/>
      <c r="BB602" s="551"/>
      <c r="BC602" s="551"/>
      <c r="BD602" s="551"/>
      <c r="BE602" s="551"/>
      <c r="BF602" s="551"/>
      <c r="BG602" s="551"/>
      <c r="BH602" s="551"/>
      <c r="BI602" s="551"/>
      <c r="BJ602" s="551"/>
      <c r="BK602" s="551"/>
    </row>
    <row r="603" spans="1:63" ht="12.75" customHeight="1">
      <c r="A603" s="551"/>
      <c r="B603" s="551"/>
      <c r="C603" s="551"/>
      <c r="D603" s="551"/>
      <c r="E603" s="551"/>
      <c r="F603" s="551"/>
      <c r="G603" s="551"/>
      <c r="H603" s="551"/>
      <c r="I603" s="551"/>
      <c r="J603" s="551"/>
      <c r="K603" s="551"/>
      <c r="L603" s="551"/>
      <c r="M603" s="551"/>
      <c r="N603" s="551"/>
      <c r="O603" s="551"/>
      <c r="P603" s="551"/>
      <c r="Q603" s="551"/>
      <c r="R603" s="551"/>
      <c r="S603" s="551"/>
      <c r="T603" s="551"/>
      <c r="U603" s="551"/>
      <c r="V603" s="551"/>
      <c r="W603" s="551"/>
      <c r="X603" s="551"/>
      <c r="Y603" s="551"/>
      <c r="Z603" s="551"/>
      <c r="AA603" s="551"/>
      <c r="AB603" s="551"/>
      <c r="AC603" s="551"/>
      <c r="AD603" s="551"/>
      <c r="AE603" s="551"/>
      <c r="AF603" s="551"/>
      <c r="AG603" s="551"/>
      <c r="AH603" s="551"/>
      <c r="AI603" s="551"/>
      <c r="AJ603" s="551"/>
      <c r="AK603" s="551"/>
      <c r="AL603" s="551"/>
      <c r="AM603" s="551"/>
      <c r="AN603" s="551"/>
      <c r="AO603" s="551"/>
      <c r="AP603" s="551"/>
      <c r="AQ603" s="551"/>
      <c r="AR603" s="551"/>
      <c r="AS603" s="551"/>
      <c r="AT603" s="551"/>
      <c r="AU603" s="551"/>
      <c r="AV603" s="551"/>
      <c r="AW603" s="551"/>
      <c r="AX603" s="551"/>
      <c r="AY603" s="551"/>
      <c r="AZ603" s="551"/>
      <c r="BA603" s="551"/>
      <c r="BB603" s="551"/>
      <c r="BC603" s="551"/>
      <c r="BD603" s="551"/>
      <c r="BE603" s="551"/>
      <c r="BF603" s="551"/>
      <c r="BG603" s="551"/>
      <c r="BH603" s="551"/>
      <c r="BI603" s="551"/>
      <c r="BJ603" s="551"/>
      <c r="BK603" s="551"/>
    </row>
    <row r="604" spans="1:63" ht="12.75" customHeight="1">
      <c r="A604" s="551"/>
      <c r="B604" s="551"/>
      <c r="C604" s="551"/>
      <c r="D604" s="551"/>
      <c r="E604" s="551"/>
      <c r="F604" s="551"/>
      <c r="G604" s="551"/>
      <c r="H604" s="551"/>
      <c r="I604" s="551"/>
      <c r="J604" s="551"/>
      <c r="K604" s="551"/>
      <c r="L604" s="551"/>
      <c r="M604" s="551"/>
      <c r="N604" s="551"/>
      <c r="O604" s="551"/>
      <c r="P604" s="551"/>
      <c r="Q604" s="551"/>
      <c r="R604" s="551"/>
      <c r="S604" s="551"/>
      <c r="T604" s="551"/>
      <c r="U604" s="551"/>
      <c r="V604" s="551"/>
      <c r="W604" s="551"/>
      <c r="X604" s="551"/>
      <c r="Y604" s="551"/>
      <c r="Z604" s="551"/>
      <c r="AA604" s="551"/>
      <c r="AB604" s="551"/>
      <c r="AC604" s="551"/>
      <c r="AD604" s="551"/>
      <c r="AE604" s="551"/>
      <c r="AF604" s="551"/>
      <c r="AG604" s="551"/>
      <c r="AH604" s="551"/>
      <c r="AI604" s="551"/>
      <c r="AJ604" s="551"/>
      <c r="AK604" s="551"/>
      <c r="AL604" s="551"/>
      <c r="AM604" s="551"/>
      <c r="AN604" s="551"/>
      <c r="AO604" s="551"/>
      <c r="AP604" s="551"/>
      <c r="AQ604" s="551"/>
      <c r="AR604" s="551"/>
      <c r="AS604" s="551"/>
      <c r="AT604" s="551"/>
      <c r="AU604" s="551"/>
      <c r="AV604" s="551"/>
      <c r="AW604" s="551"/>
      <c r="AX604" s="551"/>
      <c r="AY604" s="551"/>
      <c r="AZ604" s="551"/>
      <c r="BA604" s="551"/>
      <c r="BB604" s="551"/>
      <c r="BC604" s="551"/>
      <c r="BD604" s="551"/>
      <c r="BE604" s="551"/>
      <c r="BF604" s="551"/>
      <c r="BG604" s="551"/>
      <c r="BH604" s="551"/>
      <c r="BI604" s="551"/>
      <c r="BJ604" s="551"/>
      <c r="BK604" s="551"/>
    </row>
    <row r="605" spans="1:63" ht="12.75" customHeight="1">
      <c r="A605" s="551"/>
      <c r="B605" s="551"/>
      <c r="C605" s="551"/>
      <c r="D605" s="551"/>
      <c r="E605" s="551"/>
      <c r="F605" s="551"/>
      <c r="G605" s="551"/>
      <c r="H605" s="551"/>
      <c r="I605" s="551"/>
      <c r="J605" s="551"/>
      <c r="K605" s="551"/>
      <c r="L605" s="551"/>
      <c r="M605" s="551"/>
      <c r="N605" s="551"/>
      <c r="O605" s="551"/>
      <c r="P605" s="551"/>
      <c r="Q605" s="551"/>
      <c r="R605" s="551"/>
      <c r="S605" s="551"/>
      <c r="T605" s="551"/>
      <c r="U605" s="551"/>
      <c r="V605" s="551"/>
      <c r="W605" s="551"/>
      <c r="X605" s="551"/>
      <c r="Y605" s="551"/>
      <c r="Z605" s="551"/>
      <c r="AA605" s="551"/>
      <c r="AB605" s="551"/>
      <c r="AC605" s="551"/>
      <c r="AD605" s="551"/>
      <c r="AE605" s="551"/>
      <c r="AF605" s="551"/>
      <c r="AG605" s="551"/>
      <c r="AH605" s="551"/>
      <c r="AI605" s="551"/>
      <c r="AJ605" s="551"/>
      <c r="AK605" s="551"/>
      <c r="AL605" s="551"/>
      <c r="AM605" s="551"/>
      <c r="AN605" s="551"/>
      <c r="AO605" s="551"/>
      <c r="AP605" s="551"/>
      <c r="AQ605" s="551"/>
      <c r="AR605" s="551"/>
      <c r="AS605" s="551"/>
      <c r="AT605" s="551"/>
      <c r="AU605" s="551"/>
      <c r="AV605" s="551"/>
      <c r="AW605" s="551"/>
      <c r="AX605" s="551"/>
      <c r="AY605" s="551"/>
      <c r="AZ605" s="551"/>
      <c r="BA605" s="551"/>
      <c r="BB605" s="551"/>
      <c r="BC605" s="551"/>
      <c r="BD605" s="551"/>
      <c r="BE605" s="551"/>
      <c r="BF605" s="551"/>
      <c r="BG605" s="551"/>
      <c r="BH605" s="551"/>
      <c r="BI605" s="551"/>
      <c r="BJ605" s="551"/>
      <c r="BK605" s="551"/>
    </row>
    <row r="606" spans="1:63" ht="12.75" customHeight="1">
      <c r="A606" s="551"/>
      <c r="B606" s="551"/>
      <c r="C606" s="551"/>
      <c r="D606" s="551"/>
      <c r="E606" s="551"/>
      <c r="F606" s="551"/>
      <c r="G606" s="551"/>
      <c r="H606" s="551"/>
      <c r="I606" s="551"/>
      <c r="J606" s="551"/>
      <c r="K606" s="551"/>
      <c r="L606" s="551"/>
      <c r="M606" s="551"/>
      <c r="N606" s="551"/>
      <c r="O606" s="551"/>
      <c r="P606" s="551"/>
      <c r="Q606" s="551"/>
      <c r="R606" s="551"/>
      <c r="S606" s="551"/>
      <c r="T606" s="551"/>
      <c r="U606" s="551"/>
      <c r="V606" s="551"/>
      <c r="W606" s="551"/>
      <c r="X606" s="551"/>
      <c r="Y606" s="551"/>
      <c r="Z606" s="551"/>
      <c r="AA606" s="551"/>
      <c r="AB606" s="551"/>
      <c r="AC606" s="551"/>
      <c r="AD606" s="551"/>
      <c r="AE606" s="551"/>
      <c r="AF606" s="551"/>
      <c r="AG606" s="551"/>
      <c r="AH606" s="551"/>
      <c r="AI606" s="551"/>
      <c r="AJ606" s="551"/>
      <c r="AK606" s="551"/>
      <c r="AL606" s="551"/>
      <c r="AM606" s="551"/>
      <c r="AN606" s="551"/>
      <c r="AO606" s="551"/>
      <c r="AP606" s="551"/>
      <c r="AQ606" s="551"/>
      <c r="AR606" s="551"/>
      <c r="AS606" s="551"/>
      <c r="AT606" s="551"/>
      <c r="AU606" s="551"/>
      <c r="AV606" s="551"/>
      <c r="AW606" s="551"/>
      <c r="AX606" s="551"/>
      <c r="AY606" s="551"/>
      <c r="AZ606" s="551"/>
      <c r="BA606" s="551"/>
      <c r="BB606" s="551"/>
      <c r="BC606" s="551"/>
      <c r="BD606" s="551"/>
      <c r="BE606" s="551"/>
      <c r="BF606" s="551"/>
      <c r="BG606" s="551"/>
      <c r="BH606" s="551"/>
      <c r="BI606" s="551"/>
      <c r="BJ606" s="551"/>
      <c r="BK606" s="551"/>
    </row>
    <row r="607" spans="1:63" ht="12.75" customHeight="1">
      <c r="A607" s="551"/>
      <c r="B607" s="551"/>
      <c r="C607" s="551"/>
      <c r="D607" s="551"/>
      <c r="E607" s="551"/>
      <c r="F607" s="551"/>
      <c r="G607" s="551"/>
      <c r="H607" s="551"/>
      <c r="I607" s="551"/>
      <c r="J607" s="551"/>
      <c r="K607" s="551"/>
      <c r="L607" s="551"/>
      <c r="M607" s="551"/>
      <c r="N607" s="551"/>
      <c r="O607" s="551"/>
      <c r="P607" s="551"/>
      <c r="Q607" s="551"/>
      <c r="R607" s="551"/>
      <c r="S607" s="551"/>
      <c r="T607" s="551"/>
      <c r="U607" s="551"/>
      <c r="V607" s="551"/>
      <c r="W607" s="551"/>
      <c r="X607" s="551"/>
      <c r="Y607" s="551"/>
      <c r="Z607" s="551"/>
      <c r="AA607" s="551"/>
      <c r="AB607" s="551"/>
      <c r="AC607" s="551"/>
      <c r="AD607" s="551"/>
      <c r="AE607" s="551"/>
      <c r="AF607" s="551"/>
      <c r="AG607" s="551"/>
      <c r="AH607" s="551"/>
      <c r="AI607" s="551"/>
      <c r="AJ607" s="551"/>
      <c r="AK607" s="551"/>
      <c r="AL607" s="551"/>
      <c r="AM607" s="551"/>
      <c r="AN607" s="551"/>
      <c r="AO607" s="551"/>
      <c r="AP607" s="551"/>
      <c r="AQ607" s="551"/>
      <c r="AR607" s="551"/>
      <c r="AS607" s="551"/>
      <c r="AT607" s="551"/>
      <c r="AU607" s="551"/>
      <c r="AV607" s="551"/>
      <c r="AW607" s="551"/>
      <c r="AX607" s="551"/>
      <c r="AY607" s="551"/>
      <c r="AZ607" s="551"/>
      <c r="BA607" s="551"/>
      <c r="BB607" s="551"/>
      <c r="BC607" s="551"/>
      <c r="BD607" s="551"/>
      <c r="BE607" s="551"/>
      <c r="BF607" s="551"/>
      <c r="BG607" s="551"/>
      <c r="BH607" s="551"/>
      <c r="BI607" s="551"/>
      <c r="BJ607" s="551"/>
      <c r="BK607" s="551"/>
    </row>
    <row r="608" spans="1:63" ht="12.75" customHeight="1">
      <c r="A608" s="551"/>
      <c r="B608" s="551"/>
      <c r="C608" s="551"/>
      <c r="D608" s="551"/>
      <c r="E608" s="551"/>
      <c r="F608" s="551"/>
      <c r="G608" s="551"/>
      <c r="H608" s="551"/>
      <c r="I608" s="551"/>
      <c r="J608" s="551"/>
      <c r="K608" s="551"/>
      <c r="L608" s="551"/>
      <c r="M608" s="551"/>
      <c r="N608" s="551"/>
      <c r="O608" s="551"/>
      <c r="P608" s="551"/>
      <c r="Q608" s="551"/>
      <c r="R608" s="551"/>
      <c r="S608" s="551"/>
      <c r="T608" s="551"/>
      <c r="U608" s="551"/>
      <c r="V608" s="551"/>
      <c r="W608" s="551"/>
      <c r="X608" s="551"/>
      <c r="Y608" s="551"/>
      <c r="Z608" s="551"/>
      <c r="AA608" s="551"/>
      <c r="AB608" s="551"/>
      <c r="AC608" s="551"/>
      <c r="AD608" s="551"/>
      <c r="AE608" s="551"/>
      <c r="AF608" s="551"/>
      <c r="AG608" s="551"/>
      <c r="AH608" s="551"/>
      <c r="AI608" s="551"/>
      <c r="AJ608" s="551"/>
      <c r="AK608" s="551"/>
      <c r="AL608" s="551"/>
      <c r="AM608" s="551"/>
      <c r="AN608" s="551"/>
      <c r="AO608" s="551"/>
      <c r="AP608" s="551"/>
      <c r="AQ608" s="551"/>
      <c r="AR608" s="551"/>
      <c r="AS608" s="551"/>
      <c r="AT608" s="551"/>
      <c r="AU608" s="551"/>
      <c r="AV608" s="551"/>
      <c r="AW608" s="551"/>
      <c r="AX608" s="551"/>
      <c r="AY608" s="551"/>
      <c r="AZ608" s="551"/>
      <c r="BA608" s="551"/>
      <c r="BB608" s="551"/>
      <c r="BC608" s="551"/>
      <c r="BD608" s="551"/>
      <c r="BE608" s="551"/>
      <c r="BF608" s="551"/>
      <c r="BG608" s="551"/>
      <c r="BH608" s="551"/>
      <c r="BI608" s="551"/>
      <c r="BJ608" s="551"/>
      <c r="BK608" s="551"/>
    </row>
    <row r="609" spans="1:63" ht="12.75" customHeight="1">
      <c r="A609" s="551"/>
      <c r="B609" s="551"/>
      <c r="C609" s="551"/>
      <c r="D609" s="551"/>
      <c r="E609" s="551"/>
      <c r="F609" s="551"/>
      <c r="G609" s="551"/>
      <c r="H609" s="551"/>
      <c r="I609" s="551"/>
      <c r="J609" s="551"/>
      <c r="K609" s="551"/>
      <c r="L609" s="551"/>
      <c r="M609" s="551"/>
      <c r="N609" s="551"/>
      <c r="O609" s="551"/>
      <c r="P609" s="551"/>
      <c r="Q609" s="551"/>
      <c r="R609" s="551"/>
      <c r="S609" s="551"/>
      <c r="T609" s="551"/>
      <c r="U609" s="551"/>
      <c r="V609" s="551"/>
      <c r="W609" s="551"/>
      <c r="X609" s="551"/>
      <c r="Y609" s="551"/>
      <c r="Z609" s="551"/>
      <c r="AA609" s="551"/>
      <c r="AB609" s="551"/>
      <c r="AC609" s="551"/>
      <c r="AD609" s="551"/>
      <c r="AE609" s="551"/>
      <c r="AF609" s="551"/>
      <c r="AG609" s="551"/>
      <c r="AH609" s="551"/>
      <c r="AI609" s="551"/>
      <c r="AJ609" s="551"/>
      <c r="AK609" s="551"/>
      <c r="AL609" s="551"/>
      <c r="AM609" s="551"/>
      <c r="AN609" s="551"/>
      <c r="AO609" s="551"/>
      <c r="AP609" s="551"/>
      <c r="AQ609" s="551"/>
      <c r="AR609" s="551"/>
      <c r="AS609" s="551"/>
      <c r="AT609" s="551"/>
      <c r="AU609" s="551"/>
      <c r="AV609" s="551"/>
      <c r="AW609" s="551"/>
      <c r="AX609" s="551"/>
      <c r="AY609" s="551"/>
      <c r="AZ609" s="551"/>
      <c r="BA609" s="551"/>
      <c r="BB609" s="551"/>
      <c r="BC609" s="551"/>
      <c r="BD609" s="551"/>
      <c r="BE609" s="551"/>
      <c r="BF609" s="551"/>
      <c r="BG609" s="551"/>
      <c r="BH609" s="551"/>
      <c r="BI609" s="551"/>
      <c r="BJ609" s="551"/>
      <c r="BK609" s="551"/>
    </row>
    <row r="610" spans="1:63" ht="12.75" customHeight="1">
      <c r="A610" s="551"/>
      <c r="B610" s="551"/>
      <c r="C610" s="551"/>
      <c r="D610" s="551"/>
      <c r="E610" s="551"/>
      <c r="F610" s="551"/>
      <c r="G610" s="551"/>
      <c r="H610" s="551"/>
      <c r="I610" s="551"/>
      <c r="J610" s="551"/>
      <c r="K610" s="551"/>
      <c r="L610" s="551"/>
      <c r="M610" s="551"/>
      <c r="N610" s="551"/>
      <c r="O610" s="551"/>
      <c r="P610" s="551"/>
      <c r="Q610" s="551"/>
      <c r="R610" s="551"/>
      <c r="S610" s="551"/>
      <c r="T610" s="551"/>
      <c r="U610" s="551"/>
      <c r="V610" s="551"/>
      <c r="W610" s="551"/>
      <c r="X610" s="551"/>
      <c r="Y610" s="551"/>
      <c r="Z610" s="551"/>
      <c r="AA610" s="551"/>
      <c r="AB610" s="551"/>
      <c r="AC610" s="551"/>
      <c r="AD610" s="551"/>
      <c r="AE610" s="551"/>
      <c r="AF610" s="551"/>
      <c r="AG610" s="551"/>
      <c r="AH610" s="551"/>
      <c r="AI610" s="551"/>
      <c r="AJ610" s="551"/>
      <c r="AK610" s="551"/>
      <c r="AL610" s="551"/>
      <c r="AM610" s="551"/>
      <c r="AN610" s="551"/>
      <c r="AO610" s="551"/>
      <c r="AP610" s="551"/>
      <c r="AQ610" s="551"/>
      <c r="AR610" s="551"/>
      <c r="AS610" s="551"/>
      <c r="AT610" s="551"/>
      <c r="AU610" s="551"/>
      <c r="AV610" s="551"/>
      <c r="AW610" s="551"/>
      <c r="AX610" s="551"/>
      <c r="AY610" s="551"/>
      <c r="AZ610" s="551"/>
      <c r="BA610" s="551"/>
      <c r="BB610" s="551"/>
      <c r="BC610" s="551"/>
      <c r="BD610" s="551"/>
      <c r="BE610" s="551"/>
      <c r="BF610" s="551"/>
      <c r="BG610" s="551"/>
      <c r="BH610" s="551"/>
      <c r="BI610" s="551"/>
      <c r="BJ610" s="551"/>
      <c r="BK610" s="551"/>
    </row>
    <row r="611" spans="1:63" ht="12.75" customHeight="1">
      <c r="A611" s="551"/>
      <c r="B611" s="551"/>
      <c r="C611" s="551"/>
      <c r="D611" s="551"/>
      <c r="E611" s="551"/>
      <c r="F611" s="551"/>
      <c r="G611" s="551"/>
      <c r="H611" s="551"/>
      <c r="I611" s="551"/>
      <c r="J611" s="551"/>
      <c r="K611" s="551"/>
      <c r="L611" s="551"/>
      <c r="M611" s="551"/>
      <c r="N611" s="551"/>
      <c r="O611" s="551"/>
      <c r="P611" s="551"/>
      <c r="Q611" s="551"/>
      <c r="R611" s="551"/>
      <c r="S611" s="551"/>
      <c r="T611" s="551"/>
      <c r="U611" s="551"/>
      <c r="V611" s="551"/>
      <c r="W611" s="551"/>
      <c r="X611" s="551"/>
      <c r="Y611" s="551"/>
      <c r="Z611" s="551"/>
      <c r="AA611" s="551"/>
      <c r="AB611" s="551"/>
      <c r="AC611" s="551"/>
      <c r="AD611" s="551"/>
      <c r="AE611" s="551"/>
      <c r="AF611" s="551"/>
      <c r="AG611" s="551"/>
      <c r="AH611" s="551"/>
      <c r="AI611" s="551"/>
      <c r="AJ611" s="551"/>
      <c r="AK611" s="551"/>
      <c r="AL611" s="551"/>
      <c r="AM611" s="551"/>
      <c r="AN611" s="551"/>
      <c r="AO611" s="551"/>
      <c r="AP611" s="551"/>
      <c r="AQ611" s="551"/>
      <c r="AR611" s="551"/>
      <c r="AS611" s="551"/>
      <c r="AT611" s="551"/>
      <c r="AU611" s="551"/>
      <c r="AV611" s="551"/>
      <c r="AW611" s="551"/>
      <c r="AX611" s="551"/>
      <c r="AY611" s="551"/>
      <c r="AZ611" s="551"/>
      <c r="BA611" s="551"/>
      <c r="BB611" s="551"/>
      <c r="BC611" s="551"/>
      <c r="BD611" s="551"/>
      <c r="BE611" s="551"/>
      <c r="BF611" s="551"/>
      <c r="BG611" s="551"/>
      <c r="BH611" s="551"/>
      <c r="BI611" s="551"/>
      <c r="BJ611" s="551"/>
      <c r="BK611" s="551"/>
    </row>
    <row r="612" spans="1:63" ht="12.75" customHeight="1">
      <c r="A612" s="551"/>
      <c r="B612" s="551"/>
      <c r="C612" s="551"/>
      <c r="D612" s="551"/>
      <c r="E612" s="551"/>
      <c r="F612" s="551"/>
      <c r="G612" s="551"/>
      <c r="H612" s="551"/>
      <c r="I612" s="551"/>
      <c r="J612" s="551"/>
      <c r="K612" s="551"/>
      <c r="L612" s="551"/>
      <c r="M612" s="551"/>
      <c r="N612" s="551"/>
      <c r="O612" s="551"/>
      <c r="P612" s="551"/>
      <c r="Q612" s="551"/>
      <c r="R612" s="551"/>
      <c r="S612" s="551"/>
      <c r="T612" s="551"/>
      <c r="U612" s="551"/>
      <c r="V612" s="551"/>
      <c r="W612" s="551"/>
      <c r="X612" s="551"/>
      <c r="Y612" s="551"/>
      <c r="Z612" s="551"/>
      <c r="AA612" s="551"/>
      <c r="AB612" s="551"/>
      <c r="AC612" s="551"/>
      <c r="AD612" s="551"/>
      <c r="AE612" s="551"/>
      <c r="AF612" s="551"/>
      <c r="AG612" s="551"/>
      <c r="AH612" s="551"/>
      <c r="AI612" s="551"/>
      <c r="AJ612" s="551"/>
      <c r="AK612" s="551"/>
      <c r="AL612" s="551"/>
      <c r="AM612" s="551"/>
      <c r="AN612" s="551"/>
      <c r="AO612" s="551"/>
      <c r="AP612" s="551"/>
      <c r="AQ612" s="551"/>
      <c r="AR612" s="551"/>
      <c r="AS612" s="551"/>
      <c r="AT612" s="551"/>
      <c r="AU612" s="551"/>
      <c r="AV612" s="551"/>
      <c r="AW612" s="551"/>
      <c r="AX612" s="551"/>
      <c r="AY612" s="551"/>
      <c r="AZ612" s="551"/>
      <c r="BA612" s="551"/>
      <c r="BB612" s="551"/>
      <c r="BC612" s="551"/>
      <c r="BD612" s="551"/>
      <c r="BE612" s="551"/>
      <c r="BF612" s="551"/>
      <c r="BG612" s="551"/>
      <c r="BH612" s="551"/>
      <c r="BI612" s="551"/>
      <c r="BJ612" s="551"/>
      <c r="BK612" s="551"/>
    </row>
    <row r="613" spans="1:63" ht="12.75" customHeight="1">
      <c r="A613" s="551"/>
      <c r="B613" s="551"/>
      <c r="C613" s="551"/>
      <c r="D613" s="551"/>
      <c r="E613" s="551"/>
      <c r="F613" s="551"/>
      <c r="G613" s="551"/>
      <c r="H613" s="551"/>
      <c r="I613" s="551"/>
      <c r="J613" s="551"/>
      <c r="K613" s="551"/>
      <c r="L613" s="551"/>
      <c r="M613" s="551"/>
      <c r="N613" s="551"/>
      <c r="O613" s="551"/>
      <c r="P613" s="551"/>
      <c r="Q613" s="551"/>
      <c r="R613" s="551"/>
      <c r="S613" s="551"/>
      <c r="T613" s="551"/>
      <c r="U613" s="551"/>
      <c r="V613" s="551"/>
      <c r="W613" s="551"/>
      <c r="X613" s="551"/>
      <c r="Y613" s="551"/>
      <c r="Z613" s="551"/>
      <c r="AA613" s="551"/>
      <c r="AB613" s="551"/>
      <c r="AC613" s="551"/>
      <c r="AD613" s="551"/>
      <c r="AE613" s="551"/>
      <c r="AF613" s="551"/>
      <c r="AG613" s="551"/>
      <c r="AH613" s="551"/>
      <c r="AI613" s="551"/>
      <c r="AJ613" s="551"/>
      <c r="AK613" s="551"/>
      <c r="AL613" s="551"/>
      <c r="AM613" s="551"/>
      <c r="AN613" s="551"/>
      <c r="AO613" s="551"/>
      <c r="AP613" s="551"/>
      <c r="AQ613" s="551"/>
      <c r="AR613" s="551"/>
      <c r="AS613" s="551"/>
      <c r="AT613" s="551"/>
      <c r="AU613" s="551"/>
      <c r="AV613" s="551"/>
      <c r="AW613" s="551"/>
      <c r="AX613" s="551"/>
      <c r="AY613" s="551"/>
      <c r="AZ613" s="551"/>
      <c r="BA613" s="551"/>
      <c r="BB613" s="551"/>
      <c r="BC613" s="551"/>
      <c r="BD613" s="551"/>
      <c r="BE613" s="551"/>
      <c r="BF613" s="551"/>
      <c r="BG613" s="551"/>
      <c r="BH613" s="551"/>
      <c r="BI613" s="551"/>
      <c r="BJ613" s="551"/>
      <c r="BK613" s="551"/>
    </row>
    <row r="614" spans="1:63" ht="12.75" customHeight="1">
      <c r="A614" s="551"/>
      <c r="B614" s="551"/>
      <c r="C614" s="551"/>
      <c r="D614" s="551"/>
      <c r="E614" s="551"/>
      <c r="F614" s="551"/>
      <c r="G614" s="551"/>
      <c r="H614" s="551"/>
      <c r="I614" s="551"/>
      <c r="J614" s="551"/>
      <c r="K614" s="551"/>
      <c r="L614" s="551"/>
      <c r="M614" s="551"/>
      <c r="N614" s="551"/>
      <c r="O614" s="551"/>
      <c r="P614" s="551"/>
      <c r="Q614" s="551"/>
      <c r="R614" s="551"/>
      <c r="S614" s="551"/>
      <c r="T614" s="551"/>
      <c r="U614" s="551"/>
      <c r="V614" s="551"/>
      <c r="W614" s="551"/>
      <c r="X614" s="551"/>
      <c r="Y614" s="551"/>
      <c r="Z614" s="551"/>
      <c r="AA614" s="551"/>
      <c r="AB614" s="551"/>
      <c r="AC614" s="551"/>
      <c r="AD614" s="551"/>
      <c r="AE614" s="551"/>
      <c r="AF614" s="551"/>
      <c r="AG614" s="551"/>
      <c r="AH614" s="551"/>
      <c r="AI614" s="551"/>
      <c r="AJ614" s="551"/>
      <c r="AK614" s="551"/>
      <c r="AL614" s="551"/>
      <c r="AM614" s="551"/>
      <c r="AN614" s="551"/>
      <c r="AO614" s="551"/>
      <c r="AP614" s="551"/>
      <c r="AQ614" s="551"/>
      <c r="AR614" s="551"/>
      <c r="AS614" s="551"/>
      <c r="AT614" s="551"/>
      <c r="AU614" s="551"/>
      <c r="AV614" s="551"/>
      <c r="AW614" s="551"/>
      <c r="AX614" s="551"/>
      <c r="AY614" s="551"/>
      <c r="AZ614" s="551"/>
      <c r="BA614" s="551"/>
      <c r="BB614" s="551"/>
      <c r="BC614" s="551"/>
      <c r="BD614" s="551"/>
      <c r="BE614" s="551"/>
      <c r="BF614" s="551"/>
      <c r="BG614" s="551"/>
      <c r="BH614" s="551"/>
      <c r="BI614" s="551"/>
      <c r="BJ614" s="551"/>
      <c r="BK614" s="551"/>
    </row>
    <row r="615" spans="1:63" ht="12.75" customHeight="1">
      <c r="A615" s="551"/>
      <c r="B615" s="551"/>
      <c r="C615" s="551"/>
      <c r="D615" s="551"/>
      <c r="E615" s="551"/>
      <c r="F615" s="551"/>
      <c r="G615" s="551"/>
      <c r="H615" s="551"/>
      <c r="I615" s="551"/>
      <c r="J615" s="551"/>
      <c r="K615" s="551"/>
      <c r="L615" s="551"/>
      <c r="M615" s="551"/>
      <c r="N615" s="551"/>
      <c r="O615" s="551"/>
      <c r="P615" s="551"/>
      <c r="Q615" s="551"/>
      <c r="R615" s="551"/>
      <c r="S615" s="551"/>
      <c r="T615" s="551"/>
      <c r="U615" s="551"/>
      <c r="V615" s="551"/>
      <c r="W615" s="551"/>
      <c r="X615" s="551"/>
      <c r="Y615" s="551"/>
      <c r="Z615" s="551"/>
      <c r="AA615" s="551"/>
      <c r="AB615" s="551"/>
      <c r="AC615" s="551"/>
      <c r="AD615" s="551"/>
      <c r="AE615" s="551"/>
      <c r="AF615" s="551"/>
      <c r="AG615" s="551"/>
      <c r="AH615" s="551"/>
      <c r="AI615" s="551"/>
      <c r="AJ615" s="551"/>
      <c r="AK615" s="551"/>
      <c r="AL615" s="551"/>
      <c r="AM615" s="551"/>
      <c r="AN615" s="551"/>
      <c r="AO615" s="551"/>
      <c r="AP615" s="551"/>
      <c r="AQ615" s="551"/>
      <c r="AR615" s="551"/>
      <c r="AS615" s="551"/>
      <c r="AT615" s="551"/>
      <c r="AU615" s="551"/>
      <c r="AV615" s="551"/>
      <c r="AW615" s="551"/>
      <c r="AX615" s="551"/>
      <c r="AY615" s="551"/>
      <c r="AZ615" s="551"/>
      <c r="BA615" s="551"/>
      <c r="BB615" s="551"/>
      <c r="BC615" s="551"/>
      <c r="BD615" s="551"/>
      <c r="BE615" s="551"/>
      <c r="BF615" s="551"/>
      <c r="BG615" s="551"/>
      <c r="BH615" s="551"/>
      <c r="BI615" s="551"/>
      <c r="BJ615" s="551"/>
      <c r="BK615" s="551"/>
    </row>
    <row r="616" spans="1:63" ht="12.75" customHeight="1">
      <c r="A616" s="551"/>
      <c r="B616" s="551"/>
      <c r="C616" s="551"/>
      <c r="D616" s="551"/>
      <c r="E616" s="551"/>
      <c r="F616" s="551"/>
      <c r="G616" s="551"/>
      <c r="H616" s="551"/>
      <c r="I616" s="551"/>
      <c r="J616" s="551"/>
      <c r="K616" s="551"/>
      <c r="L616" s="551"/>
      <c r="M616" s="551"/>
      <c r="N616" s="551"/>
      <c r="O616" s="551"/>
      <c r="P616" s="551"/>
      <c r="Q616" s="551"/>
      <c r="R616" s="551"/>
      <c r="S616" s="551"/>
      <c r="T616" s="551"/>
      <c r="U616" s="551"/>
      <c r="V616" s="551"/>
      <c r="W616" s="551"/>
      <c r="X616" s="551"/>
      <c r="Y616" s="551"/>
      <c r="Z616" s="551"/>
      <c r="AA616" s="551"/>
      <c r="AB616" s="551"/>
      <c r="AC616" s="551"/>
      <c r="AD616" s="551"/>
      <c r="AE616" s="551"/>
      <c r="AF616" s="551"/>
      <c r="AG616" s="551"/>
      <c r="AH616" s="551"/>
      <c r="AI616" s="551"/>
      <c r="AJ616" s="551"/>
      <c r="AK616" s="551"/>
      <c r="AL616" s="551"/>
      <c r="AM616" s="551"/>
      <c r="AN616" s="551"/>
      <c r="AO616" s="551"/>
      <c r="AP616" s="551"/>
      <c r="AQ616" s="551"/>
      <c r="AR616" s="551"/>
      <c r="AS616" s="551"/>
      <c r="AT616" s="551"/>
      <c r="AU616" s="551"/>
      <c r="AV616" s="551"/>
      <c r="AW616" s="551"/>
      <c r="AX616" s="551"/>
      <c r="AY616" s="551"/>
      <c r="AZ616" s="551"/>
      <c r="BA616" s="551"/>
      <c r="BB616" s="551"/>
      <c r="BC616" s="551"/>
      <c r="BD616" s="551"/>
      <c r="BE616" s="551"/>
      <c r="BF616" s="551"/>
      <c r="BG616" s="551"/>
      <c r="BH616" s="551"/>
      <c r="BI616" s="551"/>
      <c r="BJ616" s="551"/>
      <c r="BK616" s="551"/>
    </row>
    <row r="617" spans="1:63" ht="12.75" customHeight="1">
      <c r="A617" s="551"/>
      <c r="B617" s="551"/>
      <c r="C617" s="551"/>
      <c r="D617" s="551"/>
      <c r="E617" s="551"/>
      <c r="F617" s="551"/>
      <c r="G617" s="551"/>
      <c r="H617" s="551"/>
      <c r="I617" s="551"/>
      <c r="J617" s="551"/>
      <c r="K617" s="551"/>
      <c r="L617" s="551"/>
      <c r="M617" s="551"/>
      <c r="N617" s="551"/>
      <c r="O617" s="551"/>
      <c r="P617" s="551"/>
      <c r="Q617" s="551"/>
      <c r="R617" s="551"/>
      <c r="S617" s="551"/>
      <c r="T617" s="551"/>
      <c r="U617" s="551"/>
      <c r="V617" s="551"/>
      <c r="W617" s="551"/>
      <c r="X617" s="551"/>
      <c r="Y617" s="551"/>
      <c r="Z617" s="551"/>
      <c r="AA617" s="551"/>
      <c r="AB617" s="551"/>
      <c r="AC617" s="551"/>
      <c r="AD617" s="551"/>
      <c r="AE617" s="551"/>
      <c r="AF617" s="551"/>
      <c r="AG617" s="551"/>
      <c r="AH617" s="551"/>
      <c r="AI617" s="551"/>
      <c r="AJ617" s="551"/>
      <c r="AK617" s="551"/>
      <c r="AL617" s="551"/>
      <c r="AM617" s="551"/>
      <c r="AN617" s="551"/>
      <c r="AO617" s="551"/>
      <c r="AP617" s="551"/>
      <c r="AQ617" s="551"/>
      <c r="AR617" s="551"/>
      <c r="AS617" s="551"/>
      <c r="AT617" s="551"/>
      <c r="AU617" s="551"/>
      <c r="AV617" s="551"/>
      <c r="AW617" s="551"/>
      <c r="AX617" s="551"/>
      <c r="AY617" s="551"/>
      <c r="AZ617" s="551"/>
      <c r="BA617" s="551"/>
      <c r="BB617" s="551"/>
      <c r="BC617" s="551"/>
      <c r="BD617" s="551"/>
      <c r="BE617" s="551"/>
      <c r="BF617" s="551"/>
      <c r="BG617" s="551"/>
      <c r="BH617" s="551"/>
      <c r="BI617" s="551"/>
      <c r="BJ617" s="551"/>
      <c r="BK617" s="551"/>
    </row>
    <row r="618" spans="1:63" ht="12.75" customHeight="1">
      <c r="A618" s="551"/>
      <c r="B618" s="551"/>
      <c r="C618" s="551"/>
      <c r="D618" s="551"/>
      <c r="E618" s="551"/>
      <c r="F618" s="551"/>
      <c r="G618" s="551"/>
      <c r="H618" s="551"/>
      <c r="I618" s="551"/>
      <c r="J618" s="551"/>
      <c r="K618" s="551"/>
      <c r="L618" s="551"/>
      <c r="M618" s="551"/>
      <c r="N618" s="551"/>
      <c r="O618" s="551"/>
      <c r="P618" s="551"/>
      <c r="Q618" s="551"/>
      <c r="R618" s="551"/>
      <c r="S618" s="551"/>
      <c r="T618" s="551"/>
      <c r="U618" s="551"/>
      <c r="V618" s="551"/>
      <c r="W618" s="551"/>
      <c r="X618" s="551"/>
      <c r="Y618" s="551"/>
      <c r="Z618" s="551"/>
      <c r="AA618" s="551"/>
      <c r="AB618" s="551"/>
      <c r="AC618" s="551"/>
      <c r="AD618" s="551"/>
      <c r="AE618" s="551"/>
      <c r="AF618" s="551"/>
      <c r="AG618" s="551"/>
      <c r="AH618" s="551"/>
      <c r="AI618" s="551"/>
      <c r="AJ618" s="551"/>
      <c r="AK618" s="551"/>
      <c r="AL618" s="551"/>
      <c r="AM618" s="551"/>
      <c r="AN618" s="551"/>
      <c r="AO618" s="551"/>
      <c r="AP618" s="551"/>
      <c r="AQ618" s="551"/>
      <c r="AR618" s="551"/>
      <c r="AS618" s="551"/>
      <c r="AT618" s="551"/>
      <c r="AU618" s="551"/>
      <c r="AV618" s="551"/>
      <c r="AW618" s="551"/>
      <c r="AX618" s="551"/>
      <c r="AY618" s="551"/>
      <c r="AZ618" s="551"/>
      <c r="BA618" s="551"/>
      <c r="BB618" s="551"/>
      <c r="BC618" s="551"/>
      <c r="BD618" s="551"/>
      <c r="BE618" s="551"/>
      <c r="BF618" s="551"/>
      <c r="BG618" s="551"/>
      <c r="BH618" s="551"/>
      <c r="BI618" s="551"/>
      <c r="BJ618" s="551"/>
      <c r="BK618" s="551"/>
    </row>
    <row r="619" spans="1:63" ht="12.75" customHeight="1">
      <c r="A619" s="551"/>
      <c r="B619" s="551"/>
      <c r="C619" s="551"/>
      <c r="D619" s="551"/>
      <c r="E619" s="551"/>
      <c r="F619" s="551"/>
      <c r="G619" s="551"/>
      <c r="H619" s="551"/>
      <c r="I619" s="551"/>
      <c r="J619" s="551"/>
      <c r="K619" s="551"/>
      <c r="L619" s="551"/>
      <c r="M619" s="551"/>
      <c r="N619" s="551"/>
      <c r="O619" s="551"/>
      <c r="P619" s="551"/>
      <c r="Q619" s="551"/>
      <c r="R619" s="551"/>
      <c r="S619" s="551"/>
      <c r="T619" s="551"/>
      <c r="U619" s="551"/>
      <c r="V619" s="551"/>
      <c r="W619" s="551"/>
      <c r="X619" s="551"/>
      <c r="Y619" s="551"/>
      <c r="Z619" s="551"/>
      <c r="AA619" s="551"/>
      <c r="AB619" s="551"/>
      <c r="AC619" s="551"/>
      <c r="AD619" s="551"/>
      <c r="AE619" s="551"/>
      <c r="AF619" s="551"/>
      <c r="AG619" s="551"/>
      <c r="AH619" s="551"/>
      <c r="AI619" s="551"/>
      <c r="AJ619" s="551"/>
      <c r="AK619" s="551"/>
      <c r="AL619" s="551"/>
      <c r="AM619" s="551"/>
      <c r="AN619" s="551"/>
      <c r="AO619" s="551"/>
      <c r="AP619" s="551"/>
      <c r="AQ619" s="551"/>
      <c r="AR619" s="551"/>
      <c r="AS619" s="551"/>
      <c r="AT619" s="551"/>
      <c r="AU619" s="551"/>
      <c r="AV619" s="551"/>
      <c r="AW619" s="551"/>
      <c r="AX619" s="551"/>
      <c r="AY619" s="551"/>
      <c r="AZ619" s="551"/>
      <c r="BA619" s="551"/>
      <c r="BB619" s="551"/>
      <c r="BC619" s="551"/>
      <c r="BD619" s="551"/>
      <c r="BE619" s="551"/>
      <c r="BF619" s="551"/>
      <c r="BG619" s="551"/>
      <c r="BH619" s="551"/>
      <c r="BI619" s="551"/>
      <c r="BJ619" s="551"/>
      <c r="BK619" s="551"/>
    </row>
    <row r="620" spans="1:63" ht="12.75" customHeight="1">
      <c r="A620" s="551"/>
      <c r="B620" s="551"/>
      <c r="C620" s="551"/>
      <c r="D620" s="551"/>
      <c r="E620" s="551"/>
      <c r="F620" s="551"/>
      <c r="G620" s="551"/>
      <c r="H620" s="551"/>
      <c r="I620" s="551"/>
      <c r="J620" s="551"/>
      <c r="K620" s="551"/>
      <c r="L620" s="551"/>
      <c r="M620" s="551"/>
      <c r="N620" s="551"/>
      <c r="O620" s="551"/>
      <c r="P620" s="551"/>
      <c r="Q620" s="551"/>
      <c r="R620" s="551"/>
      <c r="S620" s="551"/>
      <c r="T620" s="551"/>
      <c r="U620" s="551"/>
      <c r="V620" s="551"/>
      <c r="W620" s="551"/>
      <c r="X620" s="551"/>
      <c r="Y620" s="551"/>
      <c r="Z620" s="551"/>
      <c r="AA620" s="551"/>
      <c r="AB620" s="551"/>
      <c r="AC620" s="551"/>
      <c r="AD620" s="551"/>
      <c r="AE620" s="551"/>
      <c r="AF620" s="551"/>
      <c r="AG620" s="551"/>
      <c r="AH620" s="551"/>
      <c r="AI620" s="551"/>
      <c r="AJ620" s="551"/>
      <c r="AK620" s="551"/>
      <c r="AL620" s="551"/>
      <c r="AM620" s="551"/>
      <c r="AN620" s="551"/>
      <c r="AO620" s="551"/>
      <c r="AP620" s="551"/>
      <c r="AQ620" s="551"/>
      <c r="AR620" s="551"/>
      <c r="AS620" s="551"/>
      <c r="AT620" s="551"/>
      <c r="AU620" s="551"/>
      <c r="AV620" s="551"/>
      <c r="AW620" s="551"/>
      <c r="AX620" s="551"/>
      <c r="AY620" s="551"/>
      <c r="AZ620" s="551"/>
      <c r="BA620" s="551"/>
      <c r="BB620" s="551"/>
      <c r="BC620" s="551"/>
      <c r="BD620" s="551"/>
      <c r="BE620" s="551"/>
      <c r="BF620" s="551"/>
      <c r="BG620" s="551"/>
      <c r="BH620" s="551"/>
      <c r="BI620" s="551"/>
      <c r="BJ620" s="551"/>
      <c r="BK620" s="551"/>
    </row>
    <row r="621" spans="1:63" ht="12.75" customHeight="1">
      <c r="A621" s="551"/>
      <c r="B621" s="551"/>
      <c r="C621" s="551"/>
      <c r="D621" s="551"/>
      <c r="E621" s="551"/>
      <c r="F621" s="551"/>
      <c r="G621" s="551"/>
      <c r="H621" s="551"/>
      <c r="I621" s="551"/>
      <c r="J621" s="551"/>
      <c r="K621" s="551"/>
      <c r="L621" s="551"/>
      <c r="M621" s="551"/>
      <c r="N621" s="551"/>
      <c r="O621" s="551"/>
      <c r="P621" s="551"/>
      <c r="Q621" s="551"/>
      <c r="R621" s="551"/>
      <c r="S621" s="551"/>
      <c r="T621" s="551"/>
      <c r="U621" s="551"/>
      <c r="V621" s="551"/>
      <c r="W621" s="551"/>
      <c r="X621" s="551"/>
      <c r="Y621" s="551"/>
      <c r="Z621" s="551"/>
      <c r="AA621" s="551"/>
      <c r="AB621" s="551"/>
      <c r="AC621" s="551"/>
      <c r="AD621" s="551"/>
      <c r="AE621" s="551"/>
      <c r="AF621" s="551"/>
      <c r="AG621" s="551"/>
      <c r="AH621" s="551"/>
      <c r="AI621" s="551"/>
      <c r="AJ621" s="551"/>
      <c r="AK621" s="551"/>
      <c r="AL621" s="551"/>
      <c r="AM621" s="551"/>
      <c r="AN621" s="551"/>
      <c r="AO621" s="551"/>
      <c r="AP621" s="551"/>
      <c r="AQ621" s="551"/>
      <c r="AR621" s="551"/>
      <c r="AS621" s="551"/>
      <c r="AT621" s="551"/>
      <c r="AU621" s="551"/>
      <c r="AV621" s="551"/>
      <c r="AW621" s="551"/>
      <c r="AX621" s="551"/>
      <c r="AY621" s="551"/>
      <c r="AZ621" s="551"/>
      <c r="BA621" s="551"/>
      <c r="BB621" s="551"/>
      <c r="BC621" s="551"/>
      <c r="BD621" s="551"/>
      <c r="BE621" s="551"/>
      <c r="BF621" s="551"/>
      <c r="BG621" s="551"/>
      <c r="BH621" s="551"/>
      <c r="BI621" s="551"/>
      <c r="BJ621" s="551"/>
      <c r="BK621" s="551"/>
    </row>
    <row r="622" spans="1:63" ht="12.75" customHeight="1">
      <c r="A622" s="551"/>
      <c r="B622" s="551"/>
      <c r="C622" s="551"/>
      <c r="D622" s="551"/>
      <c r="E622" s="551"/>
      <c r="F622" s="551"/>
      <c r="G622" s="551"/>
      <c r="H622" s="551"/>
      <c r="I622" s="551"/>
      <c r="J622" s="551"/>
      <c r="K622" s="551"/>
      <c r="L622" s="551"/>
      <c r="M622" s="551"/>
      <c r="N622" s="551"/>
      <c r="O622" s="551"/>
      <c r="P622" s="551"/>
      <c r="Q622" s="551"/>
      <c r="R622" s="551"/>
      <c r="S622" s="551"/>
      <c r="T622" s="551"/>
      <c r="U622" s="551"/>
      <c r="V622" s="551"/>
      <c r="W622" s="551"/>
      <c r="X622" s="551"/>
      <c r="Y622" s="551"/>
      <c r="Z622" s="551"/>
      <c r="AA622" s="551"/>
      <c r="AB622" s="551"/>
      <c r="AC622" s="551"/>
      <c r="AD622" s="551"/>
      <c r="AE622" s="551"/>
      <c r="AF622" s="551"/>
      <c r="AG622" s="551"/>
      <c r="AH622" s="551"/>
      <c r="AI622" s="551"/>
      <c r="AJ622" s="551"/>
      <c r="AK622" s="551"/>
      <c r="AL622" s="551"/>
      <c r="AM622" s="551"/>
      <c r="AN622" s="551"/>
      <c r="AO622" s="551"/>
      <c r="AP622" s="551"/>
      <c r="AQ622" s="551"/>
      <c r="AR622" s="551"/>
      <c r="AS622" s="551"/>
      <c r="AT622" s="551"/>
      <c r="AU622" s="551"/>
      <c r="AV622" s="551"/>
      <c r="AW622" s="551"/>
      <c r="AX622" s="551"/>
      <c r="AY622" s="551"/>
      <c r="AZ622" s="551"/>
      <c r="BA622" s="551"/>
      <c r="BB622" s="551"/>
      <c r="BC622" s="551"/>
      <c r="BD622" s="551"/>
      <c r="BE622" s="551"/>
      <c r="BF622" s="551"/>
      <c r="BG622" s="551"/>
      <c r="BH622" s="551"/>
      <c r="BI622" s="551"/>
      <c r="BJ622" s="551"/>
      <c r="BK622" s="551"/>
    </row>
    <row r="623" spans="1:63" ht="12.75" customHeight="1">
      <c r="A623" s="551"/>
      <c r="B623" s="551"/>
      <c r="C623" s="551"/>
      <c r="D623" s="551"/>
      <c r="E623" s="551"/>
      <c r="F623" s="551"/>
      <c r="G623" s="551"/>
      <c r="H623" s="551"/>
      <c r="I623" s="551"/>
      <c r="J623" s="551"/>
      <c r="K623" s="551"/>
      <c r="L623" s="551"/>
      <c r="M623" s="551"/>
      <c r="N623" s="551"/>
      <c r="O623" s="551"/>
      <c r="P623" s="551"/>
      <c r="Q623" s="551"/>
      <c r="R623" s="551"/>
      <c r="S623" s="551"/>
      <c r="T623" s="551"/>
      <c r="U623" s="551"/>
      <c r="V623" s="551"/>
      <c r="W623" s="551"/>
      <c r="X623" s="551"/>
      <c r="Y623" s="551"/>
      <c r="Z623" s="551"/>
      <c r="AA623" s="551"/>
      <c r="AB623" s="551"/>
      <c r="AC623" s="551"/>
      <c r="AD623" s="551"/>
      <c r="AE623" s="551"/>
      <c r="AF623" s="551"/>
      <c r="AG623" s="551"/>
      <c r="AH623" s="551"/>
      <c r="AI623" s="551"/>
      <c r="AJ623" s="551"/>
      <c r="AK623" s="551"/>
      <c r="AL623" s="551"/>
      <c r="AM623" s="551"/>
      <c r="AN623" s="551"/>
      <c r="AO623" s="551"/>
      <c r="AP623" s="551"/>
      <c r="AQ623" s="551"/>
      <c r="AR623" s="551"/>
      <c r="AS623" s="551"/>
      <c r="AT623" s="551"/>
      <c r="AU623" s="551"/>
      <c r="AV623" s="551"/>
      <c r="AW623" s="551"/>
      <c r="AX623" s="551"/>
      <c r="AY623" s="551"/>
      <c r="AZ623" s="551"/>
      <c r="BA623" s="551"/>
      <c r="BB623" s="551"/>
      <c r="BC623" s="551"/>
      <c r="BD623" s="551"/>
      <c r="BE623" s="551"/>
      <c r="BF623" s="551"/>
      <c r="BG623" s="551"/>
      <c r="BH623" s="551"/>
      <c r="BI623" s="551"/>
      <c r="BJ623" s="551"/>
      <c r="BK623" s="551"/>
    </row>
    <row r="624" spans="1:63" ht="12.75" customHeight="1">
      <c r="A624" s="551"/>
      <c r="B624" s="551"/>
      <c r="C624" s="551"/>
      <c r="D624" s="551"/>
      <c r="E624" s="551"/>
      <c r="F624" s="551"/>
      <c r="G624" s="551"/>
      <c r="H624" s="551"/>
      <c r="I624" s="551"/>
      <c r="J624" s="551"/>
      <c r="K624" s="551"/>
      <c r="L624" s="551"/>
      <c r="M624" s="551"/>
      <c r="N624" s="551"/>
      <c r="O624" s="551"/>
      <c r="P624" s="551"/>
      <c r="Q624" s="551"/>
      <c r="R624" s="551"/>
      <c r="S624" s="551"/>
      <c r="T624" s="551"/>
      <c r="U624" s="551"/>
      <c r="V624" s="551"/>
      <c r="W624" s="551"/>
      <c r="X624" s="551"/>
      <c r="Y624" s="551"/>
      <c r="Z624" s="551"/>
      <c r="AA624" s="551"/>
      <c r="AB624" s="551"/>
      <c r="AC624" s="551"/>
      <c r="AD624" s="551"/>
      <c r="AE624" s="551"/>
      <c r="AF624" s="551"/>
      <c r="AG624" s="551"/>
      <c r="AH624" s="551"/>
      <c r="AI624" s="551"/>
      <c r="AJ624" s="551"/>
      <c r="AK624" s="551"/>
      <c r="AL624" s="551"/>
      <c r="AM624" s="551"/>
      <c r="AN624" s="551"/>
      <c r="AO624" s="551"/>
      <c r="AP624" s="551"/>
      <c r="AQ624" s="551"/>
      <c r="AR624" s="551"/>
      <c r="AS624" s="551"/>
      <c r="AT624" s="551"/>
      <c r="AU624" s="551"/>
      <c r="AV624" s="551"/>
      <c r="AW624" s="551"/>
      <c r="AX624" s="551"/>
      <c r="AY624" s="551"/>
      <c r="AZ624" s="551"/>
      <c r="BA624" s="551"/>
      <c r="BB624" s="551"/>
      <c r="BC624" s="551"/>
      <c r="BD624" s="551"/>
      <c r="BE624" s="551"/>
      <c r="BF624" s="551"/>
      <c r="BG624" s="551"/>
      <c r="BH624" s="551"/>
      <c r="BI624" s="551"/>
      <c r="BJ624" s="551"/>
      <c r="BK624" s="551"/>
    </row>
    <row r="625" spans="1:63" ht="12.75" customHeight="1">
      <c r="A625" s="551"/>
      <c r="B625" s="551"/>
      <c r="C625" s="551"/>
      <c r="D625" s="551"/>
      <c r="E625" s="551"/>
      <c r="F625" s="551"/>
      <c r="G625" s="551"/>
      <c r="H625" s="551"/>
      <c r="I625" s="551"/>
      <c r="J625" s="551"/>
      <c r="K625" s="551"/>
      <c r="L625" s="551"/>
      <c r="M625" s="551"/>
      <c r="N625" s="551"/>
      <c r="O625" s="551"/>
      <c r="P625" s="551"/>
      <c r="Q625" s="551"/>
      <c r="R625" s="551"/>
      <c r="S625" s="551"/>
      <c r="T625" s="551"/>
      <c r="U625" s="551"/>
      <c r="V625" s="551"/>
      <c r="W625" s="551"/>
      <c r="X625" s="551"/>
      <c r="Y625" s="551"/>
      <c r="Z625" s="551"/>
      <c r="AA625" s="551"/>
      <c r="AB625" s="551"/>
      <c r="AC625" s="551"/>
      <c r="AD625" s="551"/>
      <c r="AE625" s="551"/>
      <c r="AF625" s="551"/>
      <c r="AG625" s="551"/>
      <c r="AH625" s="551"/>
      <c r="AI625" s="551"/>
      <c r="AJ625" s="551"/>
      <c r="AK625" s="551"/>
      <c r="AL625" s="551"/>
      <c r="AM625" s="551"/>
      <c r="AN625" s="551"/>
      <c r="AO625" s="551"/>
      <c r="AP625" s="551"/>
      <c r="AQ625" s="551"/>
      <c r="AR625" s="551"/>
      <c r="AS625" s="551"/>
      <c r="AT625" s="551"/>
      <c r="AU625" s="551"/>
      <c r="AV625" s="551"/>
      <c r="AW625" s="551"/>
      <c r="AX625" s="551"/>
      <c r="AY625" s="551"/>
      <c r="AZ625" s="551"/>
      <c r="BA625" s="551"/>
      <c r="BB625" s="551"/>
      <c r="BC625" s="551"/>
      <c r="BD625" s="551"/>
      <c r="BE625" s="551"/>
      <c r="BF625" s="551"/>
      <c r="BG625" s="551"/>
      <c r="BH625" s="551"/>
      <c r="BI625" s="551"/>
      <c r="BJ625" s="551"/>
      <c r="BK625" s="551"/>
    </row>
    <row r="626" spans="1:63" ht="12.75" customHeight="1">
      <c r="A626" s="551"/>
      <c r="B626" s="551"/>
      <c r="C626" s="551"/>
      <c r="D626" s="551"/>
      <c r="E626" s="551"/>
      <c r="F626" s="551"/>
      <c r="G626" s="551"/>
      <c r="H626" s="551"/>
      <c r="I626" s="551"/>
      <c r="J626" s="551"/>
      <c r="K626" s="551"/>
      <c r="L626" s="551"/>
      <c r="M626" s="551"/>
      <c r="N626" s="551"/>
      <c r="O626" s="551"/>
      <c r="P626" s="551"/>
      <c r="Q626" s="551"/>
      <c r="R626" s="551"/>
      <c r="S626" s="551"/>
      <c r="T626" s="551"/>
      <c r="U626" s="551"/>
      <c r="V626" s="551"/>
      <c r="W626" s="551"/>
      <c r="X626" s="551"/>
      <c r="Y626" s="551"/>
      <c r="Z626" s="551"/>
      <c r="AA626" s="551"/>
      <c r="AB626" s="551"/>
      <c r="AC626" s="551"/>
      <c r="AD626" s="551"/>
      <c r="AE626" s="551"/>
      <c r="AF626" s="551"/>
      <c r="AG626" s="551"/>
      <c r="AH626" s="551"/>
      <c r="AI626" s="551"/>
      <c r="AJ626" s="551"/>
      <c r="AK626" s="551"/>
      <c r="AL626" s="551"/>
      <c r="AM626" s="551"/>
      <c r="AN626" s="551"/>
      <c r="AO626" s="551"/>
      <c r="AP626" s="551"/>
      <c r="AQ626" s="551"/>
      <c r="AR626" s="551"/>
      <c r="AS626" s="551"/>
      <c r="AT626" s="551"/>
      <c r="AU626" s="551"/>
      <c r="AV626" s="551"/>
      <c r="AW626" s="551"/>
      <c r="AX626" s="551"/>
      <c r="AY626" s="551"/>
      <c r="AZ626" s="551"/>
      <c r="BA626" s="551"/>
      <c r="BB626" s="551"/>
      <c r="BC626" s="551"/>
      <c r="BD626" s="551"/>
      <c r="BE626" s="551"/>
      <c r="BF626" s="551"/>
      <c r="BG626" s="551"/>
      <c r="BH626" s="551"/>
      <c r="BI626" s="551"/>
      <c r="BJ626" s="551"/>
      <c r="BK626" s="551"/>
    </row>
    <row r="627" spans="1:63" ht="12.75" customHeight="1">
      <c r="A627" s="551"/>
      <c r="B627" s="551"/>
      <c r="C627" s="551"/>
      <c r="D627" s="551"/>
      <c r="E627" s="551"/>
      <c r="F627" s="551"/>
      <c r="G627" s="551"/>
      <c r="H627" s="551"/>
      <c r="I627" s="551"/>
      <c r="J627" s="551"/>
      <c r="K627" s="551"/>
      <c r="L627" s="551"/>
      <c r="M627" s="551"/>
      <c r="N627" s="551"/>
      <c r="O627" s="551"/>
      <c r="P627" s="551"/>
      <c r="Q627" s="551"/>
      <c r="R627" s="551"/>
      <c r="S627" s="551"/>
      <c r="T627" s="551"/>
      <c r="U627" s="551"/>
      <c r="V627" s="551"/>
      <c r="W627" s="551"/>
      <c r="X627" s="551"/>
      <c r="Y627" s="551"/>
      <c r="Z627" s="551"/>
      <c r="AA627" s="551"/>
      <c r="AB627" s="551"/>
      <c r="AC627" s="551"/>
      <c r="AD627" s="551"/>
      <c r="AE627" s="551"/>
      <c r="AF627" s="551"/>
      <c r="AG627" s="551"/>
      <c r="AH627" s="551"/>
      <c r="AI627" s="551"/>
      <c r="AJ627" s="551"/>
      <c r="AK627" s="551"/>
      <c r="AL627" s="551"/>
      <c r="AM627" s="551"/>
      <c r="AN627" s="551"/>
      <c r="AO627" s="551"/>
      <c r="AP627" s="551"/>
      <c r="AQ627" s="551"/>
      <c r="AR627" s="551"/>
      <c r="AS627" s="551"/>
      <c r="AT627" s="551"/>
      <c r="AU627" s="551"/>
      <c r="AV627" s="551"/>
      <c r="AW627" s="551"/>
      <c r="AX627" s="551"/>
      <c r="AY627" s="551"/>
      <c r="AZ627" s="551"/>
      <c r="BA627" s="551"/>
      <c r="BB627" s="551"/>
      <c r="BC627" s="551"/>
      <c r="BD627" s="551"/>
      <c r="BE627" s="551"/>
      <c r="BF627" s="551"/>
      <c r="BG627" s="551"/>
      <c r="BH627" s="551"/>
      <c r="BI627" s="551"/>
      <c r="BJ627" s="551"/>
      <c r="BK627" s="551"/>
    </row>
    <row r="628" spans="1:63" ht="12.75" customHeight="1">
      <c r="A628" s="551"/>
      <c r="B628" s="551"/>
      <c r="C628" s="551"/>
      <c r="D628" s="551"/>
      <c r="E628" s="551"/>
      <c r="F628" s="551"/>
      <c r="G628" s="551"/>
      <c r="H628" s="551"/>
      <c r="I628" s="551"/>
      <c r="J628" s="551"/>
      <c r="K628" s="551"/>
      <c r="L628" s="551"/>
      <c r="M628" s="551"/>
      <c r="N628" s="551"/>
      <c r="O628" s="551"/>
      <c r="P628" s="551"/>
      <c r="Q628" s="551"/>
      <c r="R628" s="551"/>
      <c r="S628" s="551"/>
      <c r="T628" s="551"/>
      <c r="U628" s="551"/>
      <c r="V628" s="551"/>
      <c r="W628" s="551"/>
      <c r="X628" s="551"/>
      <c r="Y628" s="551"/>
      <c r="Z628" s="551"/>
      <c r="AA628" s="551"/>
      <c r="AB628" s="551"/>
      <c r="AC628" s="551"/>
      <c r="AD628" s="551"/>
      <c r="AE628" s="551"/>
      <c r="AF628" s="551"/>
      <c r="AG628" s="551"/>
      <c r="AH628" s="551"/>
      <c r="AI628" s="551"/>
      <c r="AJ628" s="551"/>
      <c r="AK628" s="551"/>
      <c r="AL628" s="551"/>
      <c r="AM628" s="551"/>
      <c r="AN628" s="551"/>
      <c r="AO628" s="551"/>
      <c r="AP628" s="551"/>
      <c r="AQ628" s="551"/>
      <c r="AR628" s="551"/>
      <c r="AS628" s="551"/>
      <c r="AT628" s="551"/>
      <c r="AU628" s="551"/>
      <c r="AV628" s="551"/>
      <c r="AW628" s="551"/>
      <c r="AX628" s="551"/>
      <c r="AY628" s="551"/>
      <c r="AZ628" s="551"/>
      <c r="BA628" s="551"/>
      <c r="BB628" s="551"/>
      <c r="BC628" s="551"/>
      <c r="BD628" s="551"/>
      <c r="BE628" s="551"/>
      <c r="BF628" s="551"/>
      <c r="BG628" s="551"/>
      <c r="BH628" s="551"/>
      <c r="BI628" s="551"/>
      <c r="BJ628" s="551"/>
      <c r="BK628" s="551"/>
    </row>
    <row r="629" spans="1:63" ht="12.75" customHeight="1">
      <c r="A629" s="551"/>
      <c r="B629" s="551"/>
      <c r="C629" s="551"/>
      <c r="D629" s="551"/>
      <c r="E629" s="551"/>
      <c r="F629" s="551"/>
      <c r="G629" s="551"/>
      <c r="H629" s="551"/>
      <c r="I629" s="551"/>
      <c r="J629" s="551"/>
      <c r="K629" s="551"/>
      <c r="L629" s="551"/>
      <c r="M629" s="551"/>
      <c r="N629" s="551"/>
      <c r="O629" s="551"/>
      <c r="P629" s="551"/>
      <c r="Q629" s="551"/>
      <c r="R629" s="551"/>
      <c r="S629" s="551"/>
      <c r="T629" s="551"/>
      <c r="U629" s="551"/>
      <c r="V629" s="551"/>
      <c r="W629" s="551"/>
      <c r="X629" s="551"/>
      <c r="Y629" s="551"/>
      <c r="Z629" s="551"/>
      <c r="AA629" s="551"/>
      <c r="AB629" s="551"/>
      <c r="AC629" s="551"/>
      <c r="AD629" s="551"/>
      <c r="AE629" s="551"/>
      <c r="AF629" s="551"/>
      <c r="AG629" s="551"/>
      <c r="AH629" s="551"/>
      <c r="AI629" s="551"/>
      <c r="AJ629" s="551"/>
      <c r="AK629" s="551"/>
      <c r="AL629" s="551"/>
      <c r="AM629" s="551"/>
      <c r="AN629" s="551"/>
      <c r="AO629" s="551"/>
      <c r="AP629" s="551"/>
      <c r="AQ629" s="551"/>
      <c r="AR629" s="551"/>
      <c r="AS629" s="551"/>
      <c r="AT629" s="551"/>
      <c r="AU629" s="551"/>
      <c r="AV629" s="551"/>
      <c r="AW629" s="551"/>
      <c r="AX629" s="551"/>
      <c r="AY629" s="551"/>
      <c r="AZ629" s="551"/>
      <c r="BA629" s="551"/>
      <c r="BB629" s="551"/>
      <c r="BC629" s="551"/>
      <c r="BD629" s="551"/>
      <c r="BE629" s="551"/>
      <c r="BF629" s="551"/>
      <c r="BG629" s="551"/>
      <c r="BH629" s="551"/>
      <c r="BI629" s="551"/>
      <c r="BJ629" s="551"/>
      <c r="BK629" s="551"/>
    </row>
    <row r="630" spans="1:63" ht="12.75" customHeight="1">
      <c r="A630" s="551"/>
      <c r="B630" s="551"/>
      <c r="C630" s="551"/>
      <c r="D630" s="551"/>
      <c r="E630" s="551"/>
      <c r="F630" s="551"/>
      <c r="G630" s="551"/>
      <c r="H630" s="551"/>
      <c r="I630" s="551"/>
      <c r="J630" s="551"/>
      <c r="K630" s="551"/>
      <c r="L630" s="551"/>
      <c r="M630" s="551"/>
      <c r="N630" s="551"/>
      <c r="O630" s="551"/>
      <c r="P630" s="551"/>
      <c r="Q630" s="551"/>
      <c r="R630" s="551"/>
      <c r="S630" s="551"/>
      <c r="T630" s="551"/>
      <c r="U630" s="551"/>
      <c r="V630" s="551"/>
      <c r="W630" s="551"/>
      <c r="X630" s="551"/>
      <c r="Y630" s="551"/>
      <c r="Z630" s="551"/>
      <c r="AA630" s="551"/>
      <c r="AB630" s="551"/>
      <c r="AC630" s="551"/>
      <c r="AD630" s="551"/>
      <c r="AE630" s="551"/>
      <c r="AF630" s="551"/>
      <c r="AG630" s="551"/>
      <c r="AH630" s="551"/>
      <c r="AI630" s="551"/>
      <c r="AJ630" s="551"/>
      <c r="AK630" s="551"/>
      <c r="AL630" s="551"/>
      <c r="AM630" s="551"/>
      <c r="AN630" s="551"/>
      <c r="AO630" s="551"/>
      <c r="AP630" s="551"/>
      <c r="AQ630" s="551"/>
      <c r="AR630" s="551"/>
      <c r="AS630" s="551"/>
      <c r="AT630" s="551"/>
      <c r="AU630" s="551"/>
      <c r="AV630" s="551"/>
      <c r="AW630" s="551"/>
      <c r="AX630" s="551"/>
      <c r="AY630" s="551"/>
      <c r="AZ630" s="551"/>
      <c r="BA630" s="551"/>
      <c r="BB630" s="551"/>
      <c r="BC630" s="551"/>
      <c r="BD630" s="551"/>
      <c r="BE630" s="551"/>
      <c r="BF630" s="551"/>
      <c r="BG630" s="551"/>
      <c r="BH630" s="551"/>
      <c r="BI630" s="551"/>
      <c r="BJ630" s="551"/>
      <c r="BK630" s="551"/>
    </row>
    <row r="631" spans="1:63" ht="12.75" customHeight="1">
      <c r="A631" s="551"/>
      <c r="B631" s="551"/>
      <c r="C631" s="551"/>
      <c r="D631" s="551"/>
      <c r="E631" s="551"/>
      <c r="F631" s="551"/>
      <c r="G631" s="551"/>
      <c r="H631" s="551"/>
      <c r="I631" s="551"/>
      <c r="J631" s="551"/>
      <c r="K631" s="551"/>
      <c r="L631" s="551"/>
      <c r="M631" s="551"/>
      <c r="N631" s="551"/>
      <c r="O631" s="551"/>
      <c r="P631" s="551"/>
      <c r="Q631" s="551"/>
      <c r="R631" s="551"/>
      <c r="S631" s="551"/>
      <c r="T631" s="551"/>
      <c r="U631" s="551"/>
      <c r="V631" s="551"/>
      <c r="W631" s="551"/>
      <c r="X631" s="551"/>
      <c r="Y631" s="551"/>
      <c r="Z631" s="551"/>
      <c r="AA631" s="551"/>
      <c r="AB631" s="551"/>
      <c r="AC631" s="551"/>
      <c r="AD631" s="551"/>
      <c r="AE631" s="551"/>
      <c r="AF631" s="551"/>
      <c r="AG631" s="551"/>
      <c r="AH631" s="551"/>
      <c r="AI631" s="551"/>
      <c r="AJ631" s="551"/>
      <c r="AK631" s="551"/>
      <c r="AL631" s="551"/>
      <c r="AM631" s="551"/>
      <c r="AN631" s="551"/>
      <c r="AO631" s="551"/>
      <c r="AP631" s="551"/>
      <c r="AQ631" s="551"/>
      <c r="AR631" s="551"/>
      <c r="AS631" s="551"/>
      <c r="AT631" s="551"/>
      <c r="AU631" s="551"/>
      <c r="AV631" s="551"/>
      <c r="AW631" s="551"/>
      <c r="AX631" s="551"/>
      <c r="AY631" s="551"/>
      <c r="AZ631" s="551"/>
      <c r="BA631" s="551"/>
      <c r="BB631" s="551"/>
      <c r="BC631" s="551"/>
      <c r="BD631" s="551"/>
      <c r="BE631" s="551"/>
      <c r="BF631" s="551"/>
      <c r="BG631" s="551"/>
      <c r="BH631" s="551"/>
      <c r="BI631" s="551"/>
      <c r="BJ631" s="551"/>
      <c r="BK631" s="551"/>
    </row>
    <row r="632" spans="1:63" ht="12.75" customHeight="1">
      <c r="A632" s="551"/>
      <c r="B632" s="551"/>
      <c r="C632" s="551"/>
      <c r="D632" s="551"/>
      <c r="E632" s="551"/>
      <c r="F632" s="551"/>
      <c r="G632" s="551"/>
      <c r="H632" s="551"/>
      <c r="I632" s="551"/>
      <c r="J632" s="551"/>
      <c r="K632" s="551"/>
      <c r="L632" s="551"/>
      <c r="M632" s="551"/>
      <c r="N632" s="551"/>
      <c r="O632" s="551"/>
      <c r="P632" s="551"/>
      <c r="Q632" s="551"/>
      <c r="R632" s="551"/>
      <c r="S632" s="551"/>
      <c r="T632" s="551"/>
      <c r="U632" s="551"/>
      <c r="V632" s="551"/>
      <c r="W632" s="551"/>
      <c r="X632" s="551"/>
      <c r="Y632" s="551"/>
      <c r="Z632" s="551"/>
      <c r="AA632" s="551"/>
      <c r="AB632" s="551"/>
      <c r="AC632" s="551"/>
      <c r="AD632" s="551"/>
      <c r="AE632" s="551"/>
      <c r="AF632" s="551"/>
      <c r="AG632" s="551"/>
      <c r="AH632" s="551"/>
      <c r="AI632" s="551"/>
      <c r="AJ632" s="551"/>
      <c r="AK632" s="551"/>
      <c r="AL632" s="551"/>
      <c r="AM632" s="551"/>
      <c r="AN632" s="551"/>
      <c r="AO632" s="551"/>
      <c r="AP632" s="551"/>
      <c r="AQ632" s="551"/>
      <c r="AR632" s="551"/>
      <c r="AS632" s="551"/>
      <c r="AT632" s="551"/>
      <c r="AU632" s="551"/>
      <c r="AV632" s="551"/>
      <c r="AW632" s="551"/>
      <c r="AX632" s="551"/>
      <c r="AY632" s="551"/>
      <c r="AZ632" s="551"/>
      <c r="BA632" s="551"/>
      <c r="BB632" s="551"/>
      <c r="BC632" s="551"/>
      <c r="BD632" s="551"/>
      <c r="BE632" s="551"/>
      <c r="BF632" s="551"/>
      <c r="BG632" s="551"/>
      <c r="BH632" s="551"/>
      <c r="BI632" s="551"/>
      <c r="BJ632" s="551"/>
      <c r="BK632" s="551"/>
    </row>
    <row r="633" spans="1:63" ht="12.75" customHeight="1">
      <c r="A633" s="551"/>
      <c r="B633" s="551"/>
      <c r="C633" s="551"/>
      <c r="D633" s="551"/>
      <c r="E633" s="551"/>
      <c r="F633" s="551"/>
      <c r="G633" s="551"/>
      <c r="H633" s="551"/>
      <c r="I633" s="551"/>
      <c r="J633" s="551"/>
      <c r="K633" s="551"/>
      <c r="L633" s="551"/>
      <c r="M633" s="551"/>
      <c r="N633" s="551"/>
      <c r="O633" s="551"/>
      <c r="P633" s="551"/>
      <c r="Q633" s="551"/>
      <c r="R633" s="551"/>
      <c r="S633" s="551"/>
      <c r="T633" s="551"/>
      <c r="U633" s="551"/>
      <c r="V633" s="551"/>
      <c r="W633" s="551"/>
      <c r="X633" s="551"/>
      <c r="Y633" s="551"/>
      <c r="Z633" s="551"/>
      <c r="AA633" s="551"/>
      <c r="AB633" s="551"/>
      <c r="AC633" s="551"/>
      <c r="AD633" s="551"/>
      <c r="AE633" s="551"/>
      <c r="AF633" s="551"/>
      <c r="AG633" s="551"/>
      <c r="AH633" s="551"/>
      <c r="AI633" s="551"/>
      <c r="AJ633" s="551"/>
      <c r="AK633" s="551"/>
      <c r="AL633" s="551"/>
      <c r="AM633" s="551"/>
      <c r="AN633" s="551"/>
      <c r="AO633" s="551"/>
      <c r="AP633" s="551"/>
      <c r="AQ633" s="551"/>
      <c r="AR633" s="551"/>
      <c r="AS633" s="551"/>
      <c r="AT633" s="551"/>
      <c r="AU633" s="551"/>
      <c r="AV633" s="551"/>
      <c r="AW633" s="551"/>
      <c r="AX633" s="551"/>
      <c r="AY633" s="551"/>
      <c r="AZ633" s="551"/>
      <c r="BA633" s="551"/>
      <c r="BB633" s="551"/>
      <c r="BC633" s="551"/>
      <c r="BD633" s="551"/>
      <c r="BE633" s="551"/>
      <c r="BF633" s="551"/>
      <c r="BG633" s="551"/>
      <c r="BH633" s="551"/>
      <c r="BI633" s="551"/>
      <c r="BJ633" s="551"/>
      <c r="BK633" s="551"/>
    </row>
    <row r="634" spans="1:63" ht="12.75" customHeight="1">
      <c r="A634" s="551"/>
      <c r="B634" s="551"/>
      <c r="C634" s="551"/>
      <c r="D634" s="551"/>
      <c r="E634" s="551"/>
      <c r="F634" s="551"/>
      <c r="G634" s="551"/>
      <c r="H634" s="551"/>
      <c r="I634" s="551"/>
      <c r="J634" s="551"/>
      <c r="K634" s="551"/>
      <c r="L634" s="551"/>
      <c r="M634" s="551"/>
      <c r="N634" s="551"/>
      <c r="O634" s="551"/>
      <c r="P634" s="551"/>
      <c r="Q634" s="551"/>
      <c r="R634" s="551"/>
      <c r="S634" s="551"/>
      <c r="T634" s="551"/>
      <c r="U634" s="551"/>
      <c r="V634" s="551"/>
      <c r="W634" s="551"/>
      <c r="X634" s="551"/>
      <c r="Y634" s="551"/>
      <c r="Z634" s="551"/>
      <c r="AA634" s="551"/>
      <c r="AB634" s="551"/>
      <c r="AC634" s="551"/>
      <c r="AD634" s="551"/>
      <c r="AE634" s="551"/>
      <c r="AF634" s="551"/>
      <c r="AG634" s="551"/>
      <c r="AH634" s="551"/>
      <c r="AI634" s="551"/>
      <c r="AJ634" s="551"/>
      <c r="AK634" s="551"/>
      <c r="AL634" s="551"/>
      <c r="AM634" s="551"/>
      <c r="AN634" s="551"/>
      <c r="AO634" s="551"/>
      <c r="AP634" s="551"/>
      <c r="AQ634" s="551"/>
      <c r="AR634" s="551"/>
      <c r="AS634" s="551"/>
      <c r="AT634" s="551"/>
      <c r="AU634" s="551"/>
      <c r="AV634" s="551"/>
      <c r="AW634" s="551"/>
      <c r="AX634" s="551"/>
      <c r="AY634" s="551"/>
      <c r="AZ634" s="551"/>
      <c r="BA634" s="551"/>
      <c r="BB634" s="551"/>
      <c r="BC634" s="551"/>
      <c r="BD634" s="551"/>
      <c r="BE634" s="551"/>
      <c r="BF634" s="551"/>
      <c r="BG634" s="551"/>
      <c r="BH634" s="551"/>
      <c r="BI634" s="551"/>
      <c r="BJ634" s="551"/>
      <c r="BK634" s="551"/>
    </row>
    <row r="635" spans="1:63" ht="12.75" customHeight="1">
      <c r="A635" s="551"/>
      <c r="B635" s="551"/>
      <c r="C635" s="551"/>
      <c r="D635" s="551"/>
      <c r="E635" s="551"/>
      <c r="F635" s="551"/>
      <c r="G635" s="551"/>
      <c r="H635" s="551"/>
      <c r="I635" s="551"/>
      <c r="J635" s="551"/>
      <c r="K635" s="551"/>
      <c r="L635" s="551"/>
      <c r="M635" s="551"/>
      <c r="N635" s="551"/>
      <c r="O635" s="551"/>
      <c r="P635" s="551"/>
      <c r="Q635" s="551"/>
      <c r="R635" s="551"/>
      <c r="S635" s="551"/>
      <c r="T635" s="551"/>
      <c r="U635" s="551"/>
      <c r="V635" s="551"/>
      <c r="W635" s="551"/>
      <c r="X635" s="551"/>
      <c r="Y635" s="551"/>
      <c r="Z635" s="551"/>
      <c r="AA635" s="551"/>
      <c r="AB635" s="551"/>
      <c r="AC635" s="551"/>
      <c r="AD635" s="551"/>
      <c r="AE635" s="551"/>
      <c r="AF635" s="551"/>
      <c r="AG635" s="551"/>
      <c r="AH635" s="551"/>
      <c r="AI635" s="551"/>
      <c r="AJ635" s="551"/>
      <c r="AK635" s="551"/>
      <c r="AL635" s="551"/>
      <c r="AM635" s="551"/>
      <c r="AN635" s="551"/>
      <c r="AO635" s="551"/>
      <c r="AP635" s="551"/>
      <c r="AQ635" s="551"/>
      <c r="AR635" s="551"/>
      <c r="AS635" s="551"/>
      <c r="AT635" s="551"/>
      <c r="AU635" s="551"/>
      <c r="AV635" s="551"/>
      <c r="AW635" s="551"/>
      <c r="AX635" s="551"/>
      <c r="AY635" s="551"/>
      <c r="AZ635" s="551"/>
      <c r="BA635" s="551"/>
      <c r="BB635" s="551"/>
      <c r="BC635" s="551"/>
      <c r="BD635" s="551"/>
      <c r="BE635" s="551"/>
      <c r="BF635" s="551"/>
      <c r="BG635" s="551"/>
      <c r="BH635" s="551"/>
      <c r="BI635" s="551"/>
      <c r="BJ635" s="551"/>
      <c r="BK635" s="551"/>
    </row>
    <row r="636" spans="1:63" ht="12.75" customHeight="1">
      <c r="A636" s="551"/>
      <c r="B636" s="551"/>
      <c r="C636" s="551"/>
      <c r="D636" s="551"/>
      <c r="E636" s="551"/>
      <c r="F636" s="551"/>
      <c r="G636" s="551"/>
      <c r="H636" s="551"/>
      <c r="I636" s="551"/>
      <c r="J636" s="551"/>
      <c r="K636" s="551"/>
      <c r="L636" s="551"/>
      <c r="M636" s="551"/>
      <c r="N636" s="551"/>
      <c r="O636" s="551"/>
      <c r="P636" s="551"/>
      <c r="Q636" s="551"/>
      <c r="R636" s="551"/>
      <c r="S636" s="551"/>
      <c r="T636" s="551"/>
      <c r="U636" s="551"/>
      <c r="V636" s="551"/>
      <c r="W636" s="551"/>
      <c r="X636" s="551"/>
      <c r="Y636" s="551"/>
      <c r="Z636" s="551"/>
      <c r="AA636" s="551"/>
      <c r="AB636" s="551"/>
      <c r="AC636" s="551"/>
      <c r="AD636" s="551"/>
      <c r="AE636" s="551"/>
      <c r="AF636" s="551"/>
      <c r="AG636" s="551"/>
      <c r="AH636" s="551"/>
      <c r="AI636" s="551"/>
      <c r="AJ636" s="551"/>
      <c r="AK636" s="551"/>
      <c r="AL636" s="551"/>
      <c r="AM636" s="551"/>
      <c r="AN636" s="551"/>
      <c r="AO636" s="551"/>
      <c r="AP636" s="551"/>
      <c r="AQ636" s="551"/>
      <c r="AR636" s="551"/>
      <c r="AS636" s="551"/>
      <c r="AT636" s="551"/>
      <c r="AU636" s="551"/>
      <c r="AV636" s="551"/>
      <c r="AW636" s="551"/>
      <c r="AX636" s="551"/>
      <c r="AY636" s="551"/>
      <c r="AZ636" s="551"/>
      <c r="BA636" s="551"/>
      <c r="BB636" s="551"/>
      <c r="BC636" s="551"/>
      <c r="BD636" s="551"/>
      <c r="BE636" s="551"/>
      <c r="BF636" s="551"/>
      <c r="BG636" s="551"/>
      <c r="BH636" s="551"/>
      <c r="BI636" s="551"/>
      <c r="BJ636" s="551"/>
      <c r="BK636" s="551"/>
    </row>
    <row r="637" spans="1:63" ht="12.75" customHeight="1">
      <c r="A637" s="551"/>
      <c r="B637" s="551"/>
      <c r="C637" s="551"/>
      <c r="D637" s="551"/>
      <c r="E637" s="551"/>
      <c r="F637" s="551"/>
      <c r="G637" s="551"/>
      <c r="H637" s="551"/>
      <c r="I637" s="551"/>
      <c r="J637" s="551"/>
      <c r="K637" s="551"/>
      <c r="L637" s="551"/>
      <c r="M637" s="551"/>
      <c r="N637" s="551"/>
      <c r="O637" s="551"/>
      <c r="P637" s="551"/>
      <c r="Q637" s="551"/>
      <c r="R637" s="551"/>
      <c r="S637" s="551"/>
      <c r="T637" s="551"/>
      <c r="U637" s="551"/>
      <c r="V637" s="551"/>
      <c r="W637" s="551"/>
      <c r="X637" s="551"/>
      <c r="Y637" s="551"/>
      <c r="Z637" s="551"/>
      <c r="AA637" s="551"/>
      <c r="AB637" s="551"/>
      <c r="AC637" s="551"/>
      <c r="AD637" s="551"/>
      <c r="AE637" s="551"/>
      <c r="AF637" s="551"/>
      <c r="AG637" s="551"/>
      <c r="AH637" s="551"/>
      <c r="AI637" s="551"/>
      <c r="AJ637" s="551"/>
      <c r="AK637" s="551"/>
      <c r="AL637" s="551"/>
      <c r="AM637" s="551"/>
      <c r="AN637" s="551"/>
      <c r="AO637" s="551"/>
      <c r="AP637" s="551"/>
      <c r="AQ637" s="551"/>
      <c r="AR637" s="551"/>
      <c r="AS637" s="551"/>
      <c r="AT637" s="551"/>
      <c r="AU637" s="551"/>
      <c r="AV637" s="551"/>
      <c r="AW637" s="551"/>
      <c r="AX637" s="551"/>
      <c r="AY637" s="551"/>
      <c r="AZ637" s="551"/>
      <c r="BA637" s="551"/>
      <c r="BB637" s="551"/>
      <c r="BC637" s="551"/>
      <c r="BD637" s="551"/>
      <c r="BE637" s="551"/>
      <c r="BF637" s="551"/>
      <c r="BG637" s="551"/>
      <c r="BH637" s="551"/>
      <c r="BI637" s="551"/>
      <c r="BJ637" s="551"/>
      <c r="BK637" s="551"/>
    </row>
    <row r="638" spans="1:63" ht="12.75" customHeight="1">
      <c r="A638" s="551"/>
      <c r="B638" s="551"/>
      <c r="C638" s="551"/>
      <c r="D638" s="551"/>
      <c r="E638" s="551"/>
      <c r="F638" s="551"/>
      <c r="G638" s="551"/>
      <c r="H638" s="551"/>
      <c r="I638" s="551"/>
      <c r="J638" s="551"/>
      <c r="K638" s="551"/>
      <c r="L638" s="551"/>
      <c r="M638" s="551"/>
      <c r="N638" s="551"/>
      <c r="O638" s="551"/>
      <c r="P638" s="551"/>
      <c r="Q638" s="551"/>
      <c r="R638" s="551"/>
      <c r="S638" s="551"/>
      <c r="T638" s="551"/>
      <c r="U638" s="551"/>
      <c r="V638" s="551"/>
      <c r="W638" s="551"/>
      <c r="X638" s="551"/>
      <c r="Y638" s="551"/>
      <c r="Z638" s="551"/>
      <c r="AA638" s="551"/>
      <c r="AB638" s="551"/>
      <c r="AC638" s="551"/>
      <c r="AD638" s="551"/>
      <c r="AE638" s="551"/>
      <c r="AF638" s="551"/>
      <c r="AG638" s="551"/>
      <c r="AH638" s="551"/>
      <c r="AI638" s="551"/>
      <c r="AJ638" s="551"/>
      <c r="AK638" s="551"/>
      <c r="AL638" s="551"/>
      <c r="AM638" s="551"/>
      <c r="AN638" s="551"/>
      <c r="AO638" s="551"/>
      <c r="AP638" s="551"/>
      <c r="AQ638" s="551"/>
      <c r="AR638" s="551"/>
      <c r="AS638" s="551"/>
      <c r="AT638" s="551"/>
      <c r="AU638" s="551"/>
      <c r="AV638" s="551"/>
      <c r="AW638" s="551"/>
      <c r="AX638" s="551"/>
      <c r="AY638" s="551"/>
      <c r="AZ638" s="551"/>
      <c r="BA638" s="551"/>
      <c r="BB638" s="551"/>
      <c r="BC638" s="551"/>
      <c r="BD638" s="551"/>
      <c r="BE638" s="551"/>
      <c r="BF638" s="551"/>
      <c r="BG638" s="551"/>
      <c r="BH638" s="551"/>
      <c r="BI638" s="551"/>
      <c r="BJ638" s="551"/>
      <c r="BK638" s="551"/>
    </row>
    <row r="639" spans="1:63" ht="12.75" customHeight="1">
      <c r="A639" s="551"/>
      <c r="B639" s="551"/>
      <c r="C639" s="551"/>
      <c r="D639" s="551"/>
      <c r="E639" s="551"/>
      <c r="F639" s="551"/>
      <c r="G639" s="551"/>
      <c r="H639" s="551"/>
      <c r="I639" s="551"/>
      <c r="J639" s="551"/>
      <c r="K639" s="551"/>
      <c r="L639" s="551"/>
      <c r="M639" s="551"/>
      <c r="N639" s="551"/>
      <c r="O639" s="551"/>
      <c r="P639" s="551"/>
      <c r="Q639" s="551"/>
      <c r="R639" s="551"/>
      <c r="S639" s="551"/>
      <c r="T639" s="551"/>
      <c r="U639" s="551"/>
      <c r="V639" s="551"/>
      <c r="W639" s="551"/>
      <c r="X639" s="551"/>
      <c r="Y639" s="551"/>
      <c r="Z639" s="551"/>
      <c r="AA639" s="551"/>
      <c r="AB639" s="551"/>
      <c r="AC639" s="551"/>
      <c r="AD639" s="551"/>
      <c r="AE639" s="551"/>
      <c r="AF639" s="551"/>
      <c r="AG639" s="551"/>
      <c r="AH639" s="551"/>
      <c r="AI639" s="551"/>
      <c r="AJ639" s="551"/>
      <c r="AK639" s="551"/>
      <c r="AL639" s="551"/>
      <c r="AM639" s="551"/>
      <c r="AN639" s="551"/>
      <c r="AO639" s="551"/>
      <c r="AP639" s="551"/>
      <c r="AQ639" s="551"/>
      <c r="AR639" s="551"/>
      <c r="AS639" s="551"/>
      <c r="AT639" s="551"/>
      <c r="AU639" s="551"/>
      <c r="AV639" s="551"/>
      <c r="AW639" s="551"/>
      <c r="AX639" s="551"/>
      <c r="AY639" s="551"/>
      <c r="AZ639" s="551"/>
      <c r="BA639" s="551"/>
      <c r="BB639" s="551"/>
      <c r="BC639" s="551"/>
      <c r="BD639" s="551"/>
      <c r="BE639" s="551"/>
      <c r="BF639" s="551"/>
      <c r="BG639" s="551"/>
      <c r="BH639" s="551"/>
      <c r="BI639" s="551"/>
      <c r="BJ639" s="551"/>
      <c r="BK639" s="551"/>
    </row>
    <row r="640" spans="1:63" ht="12.75" customHeight="1">
      <c r="A640" s="551"/>
      <c r="B640" s="551"/>
      <c r="C640" s="551"/>
      <c r="D640" s="551"/>
      <c r="E640" s="551"/>
      <c r="F640" s="551"/>
      <c r="G640" s="551"/>
      <c r="H640" s="551"/>
      <c r="I640" s="551"/>
      <c r="J640" s="551"/>
      <c r="K640" s="551"/>
      <c r="L640" s="551"/>
      <c r="M640" s="551"/>
      <c r="N640" s="551"/>
      <c r="O640" s="551"/>
      <c r="P640" s="551"/>
      <c r="Q640" s="551"/>
      <c r="R640" s="551"/>
      <c r="S640" s="551"/>
      <c r="T640" s="551"/>
      <c r="U640" s="551"/>
      <c r="V640" s="551"/>
      <c r="W640" s="551"/>
      <c r="X640" s="551"/>
      <c r="Y640" s="551"/>
      <c r="Z640" s="551"/>
      <c r="AA640" s="551"/>
      <c r="AB640" s="551"/>
      <c r="AC640" s="551"/>
      <c r="AD640" s="551"/>
      <c r="AE640" s="551"/>
      <c r="AF640" s="551"/>
      <c r="AG640" s="551"/>
      <c r="AH640" s="551"/>
      <c r="AI640" s="551"/>
      <c r="AJ640" s="551"/>
      <c r="AK640" s="551"/>
      <c r="AL640" s="551"/>
      <c r="AM640" s="551"/>
      <c r="AN640" s="551"/>
      <c r="AO640" s="551"/>
      <c r="AP640" s="551"/>
      <c r="AQ640" s="551"/>
      <c r="AR640" s="551"/>
      <c r="AS640" s="551"/>
      <c r="AT640" s="551"/>
      <c r="AU640" s="551"/>
      <c r="AV640" s="551"/>
      <c r="AW640" s="551"/>
      <c r="AX640" s="551"/>
      <c r="AY640" s="551"/>
      <c r="AZ640" s="551"/>
      <c r="BA640" s="551"/>
      <c r="BB640" s="551"/>
      <c r="BC640" s="551"/>
      <c r="BD640" s="551"/>
      <c r="BE640" s="551"/>
      <c r="BF640" s="551"/>
      <c r="BG640" s="551"/>
      <c r="BH640" s="551"/>
      <c r="BI640" s="551"/>
      <c r="BJ640" s="551"/>
      <c r="BK640" s="551"/>
    </row>
    <row r="641" spans="1:63" ht="12.75" customHeight="1">
      <c r="A641" s="551"/>
      <c r="B641" s="551"/>
      <c r="C641" s="551"/>
      <c r="D641" s="551"/>
      <c r="E641" s="551"/>
      <c r="F641" s="551"/>
      <c r="G641" s="551"/>
      <c r="H641" s="551"/>
      <c r="I641" s="551"/>
      <c r="J641" s="551"/>
      <c r="K641" s="551"/>
      <c r="L641" s="551"/>
      <c r="M641" s="551"/>
      <c r="N641" s="551"/>
      <c r="O641" s="551"/>
      <c r="P641" s="551"/>
      <c r="Q641" s="551"/>
      <c r="R641" s="551"/>
      <c r="S641" s="551"/>
      <c r="T641" s="551"/>
      <c r="U641" s="551"/>
      <c r="V641" s="551"/>
      <c r="W641" s="551"/>
      <c r="X641" s="551"/>
      <c r="Y641" s="551"/>
      <c r="Z641" s="551"/>
      <c r="AA641" s="551"/>
      <c r="AB641" s="551"/>
      <c r="AC641" s="551"/>
      <c r="AD641" s="551"/>
      <c r="AE641" s="551"/>
      <c r="AF641" s="551"/>
      <c r="AG641" s="551"/>
      <c r="AH641" s="551"/>
      <c r="AI641" s="551"/>
      <c r="AJ641" s="551"/>
      <c r="AK641" s="551"/>
      <c r="AL641" s="551"/>
      <c r="AM641" s="551"/>
      <c r="AN641" s="551"/>
      <c r="AO641" s="551"/>
      <c r="AP641" s="551"/>
      <c r="AQ641" s="551"/>
      <c r="AR641" s="551"/>
      <c r="AS641" s="551"/>
      <c r="AT641" s="551"/>
      <c r="AU641" s="551"/>
      <c r="AV641" s="551"/>
      <c r="AW641" s="551"/>
      <c r="AX641" s="551"/>
      <c r="AY641" s="551"/>
      <c r="AZ641" s="551"/>
      <c r="BA641" s="551"/>
      <c r="BB641" s="551"/>
      <c r="BC641" s="551"/>
      <c r="BD641" s="551"/>
      <c r="BE641" s="551"/>
      <c r="BF641" s="551"/>
      <c r="BG641" s="551"/>
      <c r="BH641" s="551"/>
      <c r="BI641" s="551"/>
      <c r="BJ641" s="551"/>
      <c r="BK641" s="551"/>
    </row>
    <row r="642" spans="1:63" ht="12.75" customHeight="1">
      <c r="A642" s="551"/>
      <c r="B642" s="551"/>
      <c r="C642" s="551"/>
      <c r="D642" s="551"/>
      <c r="E642" s="551"/>
      <c r="F642" s="551"/>
      <c r="G642" s="551"/>
      <c r="H642" s="551"/>
      <c r="I642" s="551"/>
      <c r="J642" s="551"/>
      <c r="K642" s="551"/>
      <c r="L642" s="551"/>
      <c r="M642" s="551"/>
      <c r="N642" s="551"/>
      <c r="O642" s="551"/>
      <c r="P642" s="551"/>
      <c r="Q642" s="551"/>
      <c r="R642" s="551"/>
      <c r="S642" s="551"/>
      <c r="T642" s="551"/>
      <c r="U642" s="551"/>
      <c r="V642" s="551"/>
      <c r="W642" s="551"/>
      <c r="X642" s="551"/>
      <c r="Y642" s="551"/>
      <c r="Z642" s="551"/>
      <c r="AA642" s="551"/>
      <c r="AB642" s="551"/>
      <c r="AC642" s="551"/>
      <c r="AD642" s="551"/>
      <c r="AE642" s="551"/>
      <c r="AF642" s="551"/>
      <c r="AG642" s="551"/>
      <c r="AH642" s="551"/>
      <c r="AI642" s="551"/>
      <c r="AJ642" s="551"/>
      <c r="AK642" s="551"/>
      <c r="AL642" s="551"/>
      <c r="AM642" s="551"/>
      <c r="AN642" s="551"/>
      <c r="AO642" s="551"/>
      <c r="AP642" s="551"/>
      <c r="AQ642" s="551"/>
      <c r="AR642" s="551"/>
      <c r="AS642" s="551"/>
      <c r="AT642" s="551"/>
      <c r="AU642" s="551"/>
      <c r="AV642" s="551"/>
      <c r="AW642" s="551"/>
      <c r="AX642" s="551"/>
      <c r="AY642" s="551"/>
      <c r="AZ642" s="551"/>
      <c r="BA642" s="551"/>
      <c r="BB642" s="551"/>
      <c r="BC642" s="551"/>
      <c r="BD642" s="551"/>
      <c r="BE642" s="551"/>
      <c r="BF642" s="551"/>
      <c r="BG642" s="551"/>
      <c r="BH642" s="551"/>
      <c r="BI642" s="551"/>
      <c r="BJ642" s="551"/>
      <c r="BK642" s="551"/>
    </row>
    <row r="643" spans="1:63" ht="12.75" customHeight="1">
      <c r="A643" s="551"/>
      <c r="B643" s="551"/>
      <c r="C643" s="551"/>
      <c r="D643" s="551"/>
      <c r="E643" s="551"/>
      <c r="F643" s="551"/>
      <c r="G643" s="551"/>
      <c r="H643" s="551"/>
      <c r="I643" s="551"/>
      <c r="J643" s="551"/>
      <c r="K643" s="551"/>
      <c r="L643" s="551"/>
      <c r="M643" s="551"/>
      <c r="N643" s="551"/>
      <c r="O643" s="551"/>
      <c r="P643" s="551"/>
      <c r="Q643" s="551"/>
      <c r="R643" s="551"/>
      <c r="S643" s="551"/>
      <c r="T643" s="551"/>
      <c r="U643" s="551"/>
      <c r="V643" s="551"/>
      <c r="W643" s="551"/>
      <c r="X643" s="551"/>
      <c r="Y643" s="551"/>
      <c r="Z643" s="551"/>
      <c r="AA643" s="551"/>
      <c r="AB643" s="551"/>
      <c r="AC643" s="551"/>
      <c r="AD643" s="551"/>
      <c r="AE643" s="551"/>
      <c r="AF643" s="551"/>
      <c r="AG643" s="551"/>
      <c r="AH643" s="551"/>
      <c r="AI643" s="551"/>
      <c r="AJ643" s="551"/>
      <c r="AK643" s="551"/>
      <c r="AL643" s="551"/>
      <c r="AM643" s="551"/>
      <c r="AN643" s="551"/>
      <c r="AO643" s="551"/>
      <c r="AP643" s="551"/>
      <c r="AQ643" s="551"/>
      <c r="AR643" s="551"/>
      <c r="AS643" s="551"/>
      <c r="AT643" s="551"/>
      <c r="AU643" s="551"/>
      <c r="AV643" s="551"/>
      <c r="AW643" s="551"/>
      <c r="AX643" s="551"/>
      <c r="AY643" s="551"/>
      <c r="AZ643" s="551"/>
      <c r="BA643" s="551"/>
      <c r="BB643" s="551"/>
      <c r="BC643" s="551"/>
      <c r="BD643" s="551"/>
      <c r="BE643" s="551"/>
      <c r="BF643" s="551"/>
      <c r="BG643" s="551"/>
      <c r="BH643" s="551"/>
      <c r="BI643" s="551"/>
      <c r="BJ643" s="551"/>
      <c r="BK643" s="551"/>
    </row>
    <row r="644" spans="1:63" ht="12.75" customHeight="1">
      <c r="A644" s="551"/>
      <c r="B644" s="551"/>
      <c r="C644" s="551"/>
      <c r="D644" s="551"/>
      <c r="E644" s="551"/>
      <c r="F644" s="551"/>
      <c r="G644" s="551"/>
      <c r="H644" s="551"/>
      <c r="I644" s="551"/>
      <c r="J644" s="551"/>
      <c r="K644" s="551"/>
      <c r="L644" s="551"/>
      <c r="M644" s="551"/>
      <c r="N644" s="551"/>
      <c r="O644" s="551"/>
      <c r="P644" s="551"/>
      <c r="Q644" s="551"/>
      <c r="R644" s="551"/>
      <c r="S644" s="551"/>
      <c r="T644" s="551"/>
      <c r="U644" s="551"/>
      <c r="V644" s="551"/>
      <c r="W644" s="551"/>
      <c r="X644" s="551"/>
      <c r="Y644" s="551"/>
      <c r="Z644" s="551"/>
      <c r="AA644" s="551"/>
      <c r="AB644" s="551"/>
      <c r="AC644" s="551"/>
      <c r="AD644" s="551"/>
      <c r="AE644" s="551"/>
      <c r="AF644" s="551"/>
      <c r="AG644" s="551"/>
      <c r="AH644" s="551"/>
      <c r="AI644" s="551"/>
      <c r="AJ644" s="551"/>
      <c r="AK644" s="551"/>
      <c r="AL644" s="551"/>
      <c r="AM644" s="551"/>
      <c r="AN644" s="551"/>
      <c r="AO644" s="551"/>
      <c r="AP644" s="551"/>
      <c r="AQ644" s="551"/>
      <c r="AR644" s="551"/>
      <c r="AS644" s="551"/>
      <c r="AT644" s="551"/>
      <c r="AU644" s="551"/>
      <c r="AV644" s="551"/>
      <c r="AW644" s="551"/>
      <c r="AX644" s="551"/>
      <c r="AY644" s="551"/>
      <c r="AZ644" s="551"/>
      <c r="BA644" s="551"/>
      <c r="BB644" s="551"/>
      <c r="BC644" s="551"/>
      <c r="BD644" s="551"/>
      <c r="BE644" s="551"/>
      <c r="BF644" s="551"/>
      <c r="BG644" s="551"/>
      <c r="BH644" s="551"/>
      <c r="BI644" s="551"/>
      <c r="BJ644" s="551"/>
      <c r="BK644" s="551"/>
    </row>
    <row r="645" spans="1:63" ht="12.75" customHeight="1">
      <c r="A645" s="551"/>
      <c r="B645" s="551"/>
      <c r="C645" s="551"/>
      <c r="D645" s="551"/>
      <c r="E645" s="551"/>
      <c r="F645" s="551"/>
      <c r="G645" s="551"/>
      <c r="H645" s="551"/>
      <c r="I645" s="551"/>
      <c r="J645" s="551"/>
      <c r="K645" s="551"/>
      <c r="L645" s="551"/>
      <c r="M645" s="551"/>
      <c r="N645" s="551"/>
      <c r="O645" s="551"/>
      <c r="P645" s="551"/>
      <c r="Q645" s="551"/>
      <c r="R645" s="551"/>
      <c r="S645" s="551"/>
      <c r="T645" s="551"/>
      <c r="U645" s="551"/>
      <c r="V645" s="551"/>
      <c r="W645" s="551"/>
      <c r="X645" s="551"/>
      <c r="Y645" s="551"/>
      <c r="Z645" s="551"/>
      <c r="AA645" s="551"/>
      <c r="AB645" s="551"/>
      <c r="AC645" s="551"/>
      <c r="AD645" s="551"/>
      <c r="AE645" s="551"/>
      <c r="AF645" s="551"/>
      <c r="AG645" s="551"/>
      <c r="AH645" s="551"/>
      <c r="AI645" s="551"/>
      <c r="AJ645" s="551"/>
      <c r="AK645" s="551"/>
      <c r="AL645" s="551"/>
      <c r="AM645" s="551"/>
      <c r="AN645" s="551"/>
      <c r="AO645" s="551"/>
      <c r="AP645" s="551"/>
      <c r="AQ645" s="551"/>
      <c r="AR645" s="551"/>
      <c r="AS645" s="551"/>
      <c r="AT645" s="551"/>
      <c r="AU645" s="551"/>
      <c r="AV645" s="551"/>
      <c r="AW645" s="551"/>
      <c r="AX645" s="551"/>
      <c r="AY645" s="551"/>
      <c r="AZ645" s="551"/>
      <c r="BA645" s="551"/>
      <c r="BB645" s="551"/>
      <c r="BC645" s="551"/>
      <c r="BD645" s="551"/>
      <c r="BE645" s="551"/>
      <c r="BF645" s="551"/>
      <c r="BG645" s="551"/>
      <c r="BH645" s="551"/>
      <c r="BI645" s="551"/>
      <c r="BJ645" s="551"/>
      <c r="BK645" s="551"/>
    </row>
    <row r="646" spans="1:63" ht="12.75" customHeight="1">
      <c r="A646" s="551"/>
      <c r="B646" s="551"/>
      <c r="C646" s="551"/>
      <c r="D646" s="551"/>
      <c r="E646" s="551"/>
      <c r="F646" s="551"/>
      <c r="G646" s="551"/>
      <c r="H646" s="551"/>
      <c r="I646" s="551"/>
      <c r="J646" s="551"/>
      <c r="K646" s="551"/>
      <c r="L646" s="551"/>
      <c r="M646" s="551"/>
      <c r="N646" s="551"/>
      <c r="O646" s="551"/>
      <c r="P646" s="551"/>
      <c r="Q646" s="551"/>
      <c r="R646" s="551"/>
      <c r="S646" s="551"/>
      <c r="T646" s="551"/>
      <c r="U646" s="551"/>
      <c r="V646" s="551"/>
      <c r="W646" s="551"/>
      <c r="X646" s="551"/>
      <c r="Y646" s="551"/>
      <c r="Z646" s="551"/>
      <c r="AA646" s="551"/>
      <c r="AB646" s="551"/>
      <c r="AC646" s="551"/>
      <c r="AD646" s="551"/>
      <c r="AE646" s="551"/>
      <c r="AF646" s="551"/>
      <c r="AG646" s="551"/>
      <c r="AH646" s="551"/>
      <c r="AI646" s="551"/>
      <c r="AJ646" s="551"/>
      <c r="AK646" s="551"/>
      <c r="AL646" s="551"/>
      <c r="AM646" s="551"/>
      <c r="AN646" s="551"/>
      <c r="AO646" s="551"/>
      <c r="AP646" s="551"/>
      <c r="AQ646" s="551"/>
      <c r="AR646" s="551"/>
      <c r="AS646" s="551"/>
      <c r="AT646" s="551"/>
      <c r="AU646" s="551"/>
      <c r="AV646" s="551"/>
      <c r="AW646" s="551"/>
      <c r="AX646" s="551"/>
      <c r="AY646" s="551"/>
      <c r="AZ646" s="551"/>
      <c r="BA646" s="551"/>
      <c r="BB646" s="551"/>
      <c r="BC646" s="551"/>
      <c r="BD646" s="551"/>
      <c r="BE646" s="551"/>
      <c r="BF646" s="551"/>
      <c r="BG646" s="551"/>
      <c r="BH646" s="551"/>
      <c r="BI646" s="551"/>
      <c r="BJ646" s="551"/>
      <c r="BK646" s="551"/>
    </row>
    <row r="647" spans="1:63" ht="12.75" customHeight="1">
      <c r="A647" s="551"/>
      <c r="B647" s="551"/>
      <c r="C647" s="551"/>
      <c r="D647" s="551"/>
      <c r="E647" s="551"/>
      <c r="F647" s="551"/>
      <c r="G647" s="551"/>
      <c r="H647" s="551"/>
      <c r="I647" s="551"/>
      <c r="J647" s="551"/>
      <c r="K647" s="551"/>
      <c r="L647" s="551"/>
      <c r="M647" s="551"/>
      <c r="N647" s="551"/>
      <c r="O647" s="551"/>
      <c r="P647" s="551"/>
      <c r="Q647" s="551"/>
      <c r="R647" s="551"/>
      <c r="S647" s="551"/>
      <c r="T647" s="551"/>
      <c r="U647" s="551"/>
      <c r="V647" s="551"/>
      <c r="W647" s="551"/>
      <c r="X647" s="551"/>
      <c r="Y647" s="551"/>
      <c r="Z647" s="551"/>
      <c r="AA647" s="551"/>
      <c r="AB647" s="551"/>
      <c r="AC647" s="551"/>
      <c r="AD647" s="551"/>
      <c r="AE647" s="551"/>
      <c r="AF647" s="551"/>
      <c r="AG647" s="551"/>
      <c r="AH647" s="551"/>
      <c r="AI647" s="551"/>
      <c r="AJ647" s="551"/>
      <c r="AK647" s="551"/>
      <c r="AL647" s="551"/>
      <c r="AM647" s="551"/>
      <c r="AN647" s="551"/>
      <c r="AO647" s="551"/>
      <c r="AP647" s="551"/>
      <c r="AQ647" s="551"/>
      <c r="AR647" s="551"/>
      <c r="AS647" s="551"/>
      <c r="AT647" s="551"/>
      <c r="AU647" s="551"/>
      <c r="AV647" s="551"/>
      <c r="AW647" s="551"/>
      <c r="AX647" s="551"/>
      <c r="AY647" s="551"/>
      <c r="AZ647" s="551"/>
      <c r="BA647" s="551"/>
      <c r="BB647" s="551"/>
      <c r="BC647" s="551"/>
      <c r="BD647" s="551"/>
      <c r="BE647" s="551"/>
      <c r="BF647" s="551"/>
      <c r="BG647" s="551"/>
      <c r="BH647" s="551"/>
      <c r="BI647" s="551"/>
      <c r="BJ647" s="551"/>
      <c r="BK647" s="551"/>
    </row>
    <row r="648" spans="1:63" ht="12.75" customHeight="1">
      <c r="A648" s="551"/>
      <c r="B648" s="551"/>
      <c r="C648" s="551"/>
      <c r="D648" s="551"/>
      <c r="E648" s="551"/>
      <c r="F648" s="551"/>
      <c r="G648" s="551"/>
      <c r="H648" s="551"/>
      <c r="I648" s="551"/>
      <c r="J648" s="551"/>
      <c r="K648" s="551"/>
      <c r="L648" s="551"/>
      <c r="M648" s="551"/>
      <c r="N648" s="551"/>
      <c r="O648" s="551"/>
      <c r="P648" s="551"/>
      <c r="Q648" s="551"/>
      <c r="R648" s="551"/>
      <c r="S648" s="551"/>
      <c r="T648" s="551"/>
      <c r="U648" s="551"/>
      <c r="V648" s="551"/>
      <c r="W648" s="551"/>
      <c r="X648" s="551"/>
      <c r="Y648" s="551"/>
      <c r="Z648" s="551"/>
      <c r="AA648" s="551"/>
      <c r="AB648" s="551"/>
      <c r="AC648" s="551"/>
      <c r="AD648" s="551"/>
      <c r="AE648" s="551"/>
      <c r="AF648" s="551"/>
      <c r="AG648" s="551"/>
      <c r="AH648" s="551"/>
      <c r="AI648" s="551"/>
      <c r="AJ648" s="551"/>
      <c r="AK648" s="551"/>
      <c r="AL648" s="551"/>
      <c r="AM648" s="551"/>
      <c r="AN648" s="551"/>
      <c r="AO648" s="551"/>
      <c r="AP648" s="551"/>
      <c r="AQ648" s="551"/>
      <c r="AR648" s="551"/>
      <c r="AS648" s="551"/>
      <c r="AT648" s="551"/>
      <c r="AU648" s="551"/>
      <c r="AV648" s="551"/>
      <c r="AW648" s="551"/>
      <c r="AX648" s="551"/>
      <c r="AY648" s="551"/>
      <c r="AZ648" s="551"/>
      <c r="BA648" s="551"/>
      <c r="BB648" s="551"/>
      <c r="BC648" s="551"/>
      <c r="BD648" s="551"/>
      <c r="BE648" s="551"/>
      <c r="BF648" s="551"/>
      <c r="BG648" s="551"/>
      <c r="BH648" s="551"/>
      <c r="BI648" s="551"/>
      <c r="BJ648" s="551"/>
      <c r="BK648" s="551"/>
    </row>
    <row r="649" spans="1:63" ht="12.75" customHeight="1">
      <c r="A649" s="551"/>
      <c r="B649" s="551"/>
      <c r="C649" s="551"/>
      <c r="D649" s="551"/>
      <c r="E649" s="551"/>
      <c r="F649" s="551"/>
      <c r="G649" s="551"/>
      <c r="H649" s="551"/>
      <c r="I649" s="551"/>
      <c r="J649" s="551"/>
      <c r="K649" s="551"/>
      <c r="L649" s="551"/>
      <c r="M649" s="551"/>
      <c r="N649" s="551"/>
      <c r="O649" s="551"/>
      <c r="P649" s="551"/>
      <c r="Q649" s="551"/>
      <c r="R649" s="551"/>
      <c r="S649" s="551"/>
      <c r="T649" s="551"/>
      <c r="U649" s="551"/>
      <c r="V649" s="551"/>
      <c r="W649" s="551"/>
      <c r="X649" s="551"/>
      <c r="Y649" s="551"/>
      <c r="Z649" s="551"/>
      <c r="AA649" s="551"/>
      <c r="AB649" s="551"/>
      <c r="AC649" s="551"/>
      <c r="AD649" s="551"/>
      <c r="AE649" s="551"/>
      <c r="AF649" s="551"/>
      <c r="AG649" s="551"/>
      <c r="AH649" s="551"/>
      <c r="AI649" s="551"/>
      <c r="AJ649" s="551"/>
      <c r="AK649" s="551"/>
      <c r="AL649" s="551"/>
      <c r="AM649" s="551"/>
      <c r="AN649" s="551"/>
      <c r="AO649" s="551"/>
      <c r="AP649" s="551"/>
      <c r="AQ649" s="551"/>
      <c r="AR649" s="551"/>
      <c r="AS649" s="551"/>
      <c r="AT649" s="551"/>
      <c r="AU649" s="551"/>
      <c r="AV649" s="551"/>
      <c r="AW649" s="551"/>
      <c r="AX649" s="551"/>
      <c r="AY649" s="551"/>
      <c r="AZ649" s="551"/>
      <c r="BA649" s="551"/>
      <c r="BB649" s="551"/>
      <c r="BC649" s="551"/>
      <c r="BD649" s="551"/>
      <c r="BE649" s="551"/>
      <c r="BF649" s="551"/>
      <c r="BG649" s="551"/>
      <c r="BH649" s="551"/>
      <c r="BI649" s="551"/>
      <c r="BJ649" s="551"/>
      <c r="BK649" s="551"/>
    </row>
    <row r="650" spans="1:63" ht="12.75" customHeight="1">
      <c r="A650" s="551"/>
      <c r="B650" s="551"/>
      <c r="C650" s="551"/>
      <c r="D650" s="551"/>
      <c r="E650" s="551"/>
      <c r="F650" s="551"/>
      <c r="G650" s="551"/>
      <c r="H650" s="551"/>
      <c r="I650" s="551"/>
      <c r="J650" s="551"/>
      <c r="K650" s="551"/>
      <c r="L650" s="551"/>
      <c r="M650" s="551"/>
      <c r="N650" s="551"/>
      <c r="O650" s="551"/>
      <c r="P650" s="551"/>
      <c r="Q650" s="551"/>
      <c r="R650" s="551"/>
      <c r="S650" s="551"/>
      <c r="T650" s="551"/>
      <c r="U650" s="551"/>
      <c r="V650" s="551"/>
      <c r="W650" s="551"/>
      <c r="X650" s="551"/>
      <c r="Y650" s="551"/>
      <c r="Z650" s="551"/>
      <c r="AA650" s="551"/>
      <c r="AB650" s="551"/>
      <c r="AC650" s="551"/>
      <c r="AD650" s="551"/>
      <c r="AE650" s="551"/>
      <c r="AF650" s="551"/>
      <c r="AG650" s="551"/>
      <c r="AH650" s="551"/>
      <c r="AI650" s="551"/>
      <c r="AJ650" s="551"/>
      <c r="AK650" s="551"/>
      <c r="AL650" s="551"/>
      <c r="AM650" s="551"/>
      <c r="AN650" s="551"/>
      <c r="AO650" s="551"/>
      <c r="AP650" s="551"/>
      <c r="AQ650" s="551"/>
      <c r="AR650" s="551"/>
      <c r="AS650" s="551"/>
      <c r="AT650" s="551"/>
      <c r="AU650" s="551"/>
      <c r="AV650" s="551"/>
      <c r="AW650" s="551"/>
      <c r="AX650" s="551"/>
      <c r="AY650" s="551"/>
      <c r="AZ650" s="551"/>
      <c r="BA650" s="551"/>
      <c r="BB650" s="551"/>
      <c r="BC650" s="551"/>
      <c r="BD650" s="551"/>
      <c r="BE650" s="551"/>
      <c r="BF650" s="551"/>
      <c r="BG650" s="551"/>
      <c r="BH650" s="551"/>
      <c r="BI650" s="551"/>
      <c r="BJ650" s="551"/>
      <c r="BK650" s="551"/>
    </row>
    <row r="651" spans="1:63" ht="12.75" customHeight="1">
      <c r="A651" s="551"/>
      <c r="B651" s="551"/>
      <c r="C651" s="551"/>
      <c r="D651" s="551"/>
      <c r="E651" s="551"/>
      <c r="F651" s="551"/>
      <c r="G651" s="551"/>
      <c r="H651" s="551"/>
      <c r="I651" s="551"/>
      <c r="J651" s="551"/>
      <c r="K651" s="551"/>
      <c r="L651" s="551"/>
      <c r="M651" s="551"/>
      <c r="N651" s="551"/>
      <c r="O651" s="551"/>
      <c r="P651" s="551"/>
      <c r="Q651" s="551"/>
      <c r="R651" s="551"/>
      <c r="S651" s="551"/>
      <c r="T651" s="551"/>
      <c r="U651" s="551"/>
      <c r="V651" s="551"/>
      <c r="W651" s="551"/>
      <c r="X651" s="551"/>
      <c r="Y651" s="551"/>
      <c r="Z651" s="551"/>
      <c r="AA651" s="551"/>
      <c r="AB651" s="551"/>
      <c r="AC651" s="551"/>
      <c r="AD651" s="551"/>
      <c r="AE651" s="551"/>
      <c r="AF651" s="551"/>
      <c r="AG651" s="551"/>
      <c r="AH651" s="551"/>
      <c r="AI651" s="551"/>
      <c r="AJ651" s="551"/>
      <c r="AK651" s="551"/>
      <c r="AL651" s="551"/>
      <c r="AM651" s="551"/>
      <c r="AN651" s="551"/>
      <c r="AO651" s="551"/>
      <c r="AP651" s="551"/>
      <c r="AQ651" s="551"/>
      <c r="AR651" s="551"/>
      <c r="AS651" s="551"/>
      <c r="AT651" s="551"/>
      <c r="AU651" s="551"/>
      <c r="AV651" s="551"/>
      <c r="AW651" s="551"/>
      <c r="AX651" s="551"/>
      <c r="AY651" s="551"/>
      <c r="AZ651" s="551"/>
      <c r="BA651" s="551"/>
      <c r="BB651" s="551"/>
      <c r="BC651" s="551"/>
      <c r="BD651" s="551"/>
      <c r="BE651" s="551"/>
      <c r="BF651" s="551"/>
      <c r="BG651" s="551"/>
      <c r="BH651" s="551"/>
      <c r="BI651" s="551"/>
      <c r="BJ651" s="551"/>
      <c r="BK651" s="551"/>
    </row>
    <row r="652" spans="1:63" ht="12.75" customHeight="1">
      <c r="A652" s="551"/>
      <c r="B652" s="551"/>
      <c r="C652" s="551"/>
      <c r="D652" s="551"/>
      <c r="E652" s="551"/>
      <c r="F652" s="551"/>
      <c r="G652" s="551"/>
      <c r="H652" s="551"/>
      <c r="I652" s="551"/>
      <c r="J652" s="551"/>
      <c r="K652" s="551"/>
      <c r="L652" s="551"/>
      <c r="M652" s="551"/>
      <c r="N652" s="551"/>
      <c r="O652" s="551"/>
      <c r="P652" s="551"/>
      <c r="Q652" s="551"/>
      <c r="R652" s="551"/>
      <c r="S652" s="551"/>
      <c r="T652" s="551"/>
      <c r="U652" s="551"/>
      <c r="V652" s="551"/>
      <c r="W652" s="551"/>
      <c r="X652" s="551"/>
      <c r="Y652" s="551"/>
      <c r="Z652" s="551"/>
      <c r="AA652" s="551"/>
      <c r="AB652" s="551"/>
      <c r="AC652" s="551"/>
      <c r="AD652" s="551"/>
      <c r="AE652" s="551"/>
      <c r="AF652" s="551"/>
      <c r="AG652" s="551"/>
      <c r="AH652" s="551"/>
      <c r="AI652" s="551"/>
      <c r="AJ652" s="551"/>
      <c r="AK652" s="551"/>
      <c r="AL652" s="551"/>
      <c r="AM652" s="551"/>
      <c r="AN652" s="551"/>
      <c r="AO652" s="551"/>
      <c r="AP652" s="551"/>
      <c r="AQ652" s="551"/>
      <c r="AR652" s="551"/>
      <c r="AS652" s="551"/>
      <c r="AT652" s="551"/>
      <c r="AU652" s="551"/>
      <c r="AV652" s="551"/>
      <c r="AW652" s="551"/>
      <c r="AX652" s="551"/>
      <c r="AY652" s="551"/>
      <c r="AZ652" s="551"/>
      <c r="BA652" s="551"/>
      <c r="BB652" s="551"/>
      <c r="BC652" s="551"/>
      <c r="BD652" s="551"/>
      <c r="BE652" s="551"/>
      <c r="BF652" s="551"/>
      <c r="BG652" s="551"/>
      <c r="BH652" s="551"/>
      <c r="BI652" s="551"/>
      <c r="BJ652" s="551"/>
      <c r="BK652" s="551"/>
    </row>
    <row r="653" spans="1:63" ht="12.75" customHeight="1">
      <c r="A653" s="551"/>
      <c r="B653" s="551"/>
      <c r="C653" s="551"/>
      <c r="D653" s="551"/>
      <c r="E653" s="551"/>
      <c r="F653" s="551"/>
      <c r="G653" s="551"/>
      <c r="H653" s="551"/>
      <c r="I653" s="551"/>
      <c r="J653" s="551"/>
      <c r="K653" s="551"/>
      <c r="L653" s="551"/>
      <c r="M653" s="551"/>
      <c r="N653" s="551"/>
      <c r="O653" s="551"/>
      <c r="P653" s="551"/>
      <c r="Q653" s="551"/>
      <c r="R653" s="551"/>
      <c r="S653" s="551"/>
      <c r="T653" s="551"/>
      <c r="U653" s="551"/>
      <c r="V653" s="551"/>
      <c r="W653" s="551"/>
      <c r="X653" s="551"/>
      <c r="Y653" s="551"/>
      <c r="Z653" s="551"/>
      <c r="AA653" s="551"/>
      <c r="AB653" s="551"/>
      <c r="AC653" s="551"/>
      <c r="AD653" s="551"/>
      <c r="AE653" s="551"/>
      <c r="AF653" s="551"/>
      <c r="AG653" s="551"/>
      <c r="AH653" s="551"/>
      <c r="AI653" s="551"/>
      <c r="AJ653" s="551"/>
      <c r="AK653" s="551"/>
      <c r="AL653" s="551"/>
      <c r="AM653" s="551"/>
      <c r="AN653" s="551"/>
      <c r="AO653" s="551"/>
      <c r="AP653" s="551"/>
      <c r="AQ653" s="551"/>
      <c r="AR653" s="551"/>
      <c r="AS653" s="551"/>
      <c r="AT653" s="551"/>
      <c r="AU653" s="551"/>
      <c r="AV653" s="551"/>
      <c r="AW653" s="551"/>
      <c r="AX653" s="551"/>
      <c r="AY653" s="551"/>
      <c r="AZ653" s="551"/>
      <c r="BA653" s="551"/>
      <c r="BB653" s="551"/>
      <c r="BC653" s="551"/>
      <c r="BD653" s="551"/>
      <c r="BE653" s="551"/>
      <c r="BF653" s="551"/>
      <c r="BG653" s="551"/>
      <c r="BH653" s="551"/>
      <c r="BI653" s="551"/>
      <c r="BJ653" s="551"/>
      <c r="BK653" s="551"/>
    </row>
    <row r="654" spans="1:63" ht="12.75" customHeight="1">
      <c r="A654" s="551"/>
      <c r="B654" s="551"/>
      <c r="C654" s="551"/>
      <c r="D654" s="551"/>
      <c r="E654" s="551"/>
      <c r="F654" s="551"/>
      <c r="G654" s="551"/>
      <c r="H654" s="551"/>
      <c r="I654" s="551"/>
      <c r="J654" s="551"/>
      <c r="K654" s="551"/>
      <c r="L654" s="551"/>
      <c r="M654" s="551"/>
      <c r="N654" s="551"/>
      <c r="O654" s="551"/>
      <c r="P654" s="551"/>
      <c r="Q654" s="551"/>
      <c r="R654" s="551"/>
      <c r="S654" s="551"/>
      <c r="T654" s="551"/>
      <c r="U654" s="551"/>
      <c r="V654" s="551"/>
      <c r="W654" s="551"/>
      <c r="X654" s="551"/>
      <c r="Y654" s="551"/>
      <c r="Z654" s="551"/>
      <c r="AA654" s="551"/>
      <c r="AB654" s="551"/>
      <c r="AC654" s="551"/>
      <c r="AD654" s="551"/>
      <c r="AE654" s="551"/>
      <c r="AF654" s="551"/>
      <c r="AG654" s="551"/>
      <c r="AH654" s="551"/>
      <c r="AI654" s="551"/>
      <c r="AJ654" s="551"/>
      <c r="AK654" s="551"/>
      <c r="AL654" s="551"/>
      <c r="AM654" s="551"/>
      <c r="AN654" s="551"/>
      <c r="AO654" s="551"/>
      <c r="AP654" s="551"/>
      <c r="AQ654" s="551"/>
      <c r="AR654" s="551"/>
      <c r="AS654" s="551"/>
      <c r="AT654" s="551"/>
      <c r="AU654" s="551"/>
      <c r="AV654" s="551"/>
      <c r="AW654" s="551"/>
      <c r="AX654" s="551"/>
      <c r="AY654" s="551"/>
      <c r="AZ654" s="551"/>
      <c r="BA654" s="551"/>
      <c r="BB654" s="551"/>
      <c r="BC654" s="551"/>
      <c r="BD654" s="551"/>
      <c r="BE654" s="551"/>
      <c r="BF654" s="551"/>
      <c r="BG654" s="551"/>
      <c r="BH654" s="551"/>
      <c r="BI654" s="551"/>
      <c r="BJ654" s="551"/>
      <c r="BK654" s="551"/>
    </row>
    <row r="655" spans="1:63" ht="12.75" customHeight="1">
      <c r="A655" s="551"/>
      <c r="B655" s="551"/>
      <c r="C655" s="551"/>
      <c r="D655" s="551"/>
      <c r="E655" s="551"/>
      <c r="F655" s="551"/>
      <c r="G655" s="551"/>
      <c r="H655" s="551"/>
      <c r="I655" s="551"/>
      <c r="J655" s="551"/>
      <c r="K655" s="551"/>
      <c r="L655" s="551"/>
      <c r="M655" s="551"/>
      <c r="N655" s="551"/>
      <c r="O655" s="551"/>
      <c r="P655" s="551"/>
      <c r="Q655" s="551"/>
      <c r="R655" s="551"/>
      <c r="S655" s="551"/>
      <c r="T655" s="551"/>
      <c r="U655" s="551"/>
      <c r="V655" s="551"/>
      <c r="W655" s="551"/>
      <c r="X655" s="551"/>
      <c r="Y655" s="551"/>
      <c r="Z655" s="551"/>
      <c r="AA655" s="551"/>
      <c r="AB655" s="551"/>
      <c r="AC655" s="551"/>
      <c r="AD655" s="551"/>
      <c r="AE655" s="551"/>
      <c r="AF655" s="551"/>
      <c r="AG655" s="551"/>
      <c r="AH655" s="551"/>
      <c r="AI655" s="551"/>
      <c r="AJ655" s="551"/>
      <c r="AK655" s="551"/>
      <c r="AL655" s="551"/>
      <c r="AM655" s="551"/>
      <c r="AN655" s="551"/>
      <c r="AO655" s="551"/>
      <c r="AP655" s="551"/>
      <c r="AQ655" s="551"/>
      <c r="AR655" s="551"/>
      <c r="AS655" s="551"/>
      <c r="AT655" s="551"/>
      <c r="AU655" s="551"/>
      <c r="AV655" s="551"/>
      <c r="AW655" s="551"/>
      <c r="AX655" s="551"/>
      <c r="AY655" s="551"/>
      <c r="AZ655" s="551"/>
      <c r="BA655" s="551"/>
      <c r="BB655" s="551"/>
      <c r="BC655" s="551"/>
      <c r="BD655" s="551"/>
      <c r="BE655" s="551"/>
      <c r="BF655" s="551"/>
      <c r="BG655" s="551"/>
      <c r="BH655" s="551"/>
      <c r="BI655" s="551"/>
      <c r="BJ655" s="551"/>
      <c r="BK655" s="551"/>
    </row>
    <row r="656" spans="1:63" ht="12.75" customHeight="1">
      <c r="A656" s="551"/>
      <c r="B656" s="551"/>
      <c r="C656" s="551"/>
      <c r="D656" s="551"/>
      <c r="E656" s="551"/>
      <c r="F656" s="551"/>
      <c r="G656" s="551"/>
      <c r="H656" s="551"/>
      <c r="I656" s="551"/>
      <c r="J656" s="551"/>
      <c r="K656" s="551"/>
      <c r="L656" s="551"/>
      <c r="M656" s="551"/>
      <c r="N656" s="551"/>
      <c r="O656" s="551"/>
      <c r="P656" s="551"/>
      <c r="Q656" s="551"/>
      <c r="R656" s="551"/>
      <c r="S656" s="551"/>
      <c r="T656" s="551"/>
      <c r="U656" s="551"/>
      <c r="V656" s="551"/>
      <c r="W656" s="551"/>
      <c r="X656" s="551"/>
      <c r="Y656" s="551"/>
      <c r="Z656" s="551"/>
      <c r="AA656" s="551"/>
      <c r="AB656" s="551"/>
      <c r="AC656" s="551"/>
      <c r="AD656" s="551"/>
      <c r="AE656" s="551"/>
      <c r="AF656" s="551"/>
      <c r="AG656" s="551"/>
      <c r="AH656" s="551"/>
      <c r="AI656" s="551"/>
      <c r="AJ656" s="551"/>
      <c r="AK656" s="551"/>
      <c r="AL656" s="551"/>
      <c r="AM656" s="551"/>
      <c r="AN656" s="551"/>
      <c r="AO656" s="551"/>
      <c r="AP656" s="551"/>
      <c r="AQ656" s="551"/>
      <c r="AR656" s="551"/>
      <c r="AS656" s="551"/>
      <c r="AT656" s="551"/>
      <c r="AU656" s="551"/>
      <c r="AV656" s="551"/>
      <c r="AW656" s="551"/>
      <c r="AX656" s="551"/>
      <c r="AY656" s="551"/>
      <c r="AZ656" s="551"/>
      <c r="BA656" s="551"/>
      <c r="BB656" s="551"/>
      <c r="BC656" s="551"/>
      <c r="BD656" s="551"/>
      <c r="BE656" s="551"/>
      <c r="BF656" s="551"/>
      <c r="BG656" s="551"/>
      <c r="BH656" s="551"/>
      <c r="BI656" s="551"/>
      <c r="BJ656" s="551"/>
      <c r="BK656" s="551"/>
    </row>
    <row r="657" spans="1:63" ht="12.75" customHeight="1">
      <c r="A657" s="551"/>
      <c r="B657" s="551"/>
      <c r="C657" s="551"/>
      <c r="D657" s="551"/>
      <c r="E657" s="551"/>
      <c r="F657" s="551"/>
      <c r="G657" s="551"/>
      <c r="H657" s="551"/>
      <c r="I657" s="551"/>
      <c r="J657" s="551"/>
      <c r="K657" s="551"/>
      <c r="L657" s="551"/>
      <c r="M657" s="551"/>
      <c r="N657" s="551"/>
      <c r="O657" s="551"/>
      <c r="P657" s="551"/>
      <c r="Q657" s="551"/>
      <c r="R657" s="551"/>
      <c r="S657" s="551"/>
      <c r="T657" s="551"/>
      <c r="U657" s="551"/>
      <c r="V657" s="551"/>
      <c r="W657" s="551"/>
      <c r="X657" s="551"/>
      <c r="Y657" s="551"/>
      <c r="Z657" s="551"/>
      <c r="AA657" s="551"/>
      <c r="AB657" s="551"/>
      <c r="AC657" s="551"/>
      <c r="AD657" s="551"/>
      <c r="AE657" s="551"/>
      <c r="AF657" s="551"/>
      <c r="AG657" s="551"/>
      <c r="AH657" s="551"/>
      <c r="AI657" s="551"/>
      <c r="AJ657" s="551"/>
      <c r="AK657" s="551"/>
      <c r="AL657" s="551"/>
      <c r="AM657" s="551"/>
      <c r="AN657" s="551"/>
      <c r="AO657" s="551"/>
      <c r="AP657" s="551"/>
      <c r="AQ657" s="551"/>
      <c r="AR657" s="551"/>
      <c r="AS657" s="551"/>
      <c r="AT657" s="551"/>
      <c r="AU657" s="551"/>
      <c r="AV657" s="551"/>
      <c r="AW657" s="551"/>
      <c r="AX657" s="551"/>
      <c r="AY657" s="551"/>
      <c r="AZ657" s="551"/>
      <c r="BA657" s="551"/>
      <c r="BB657" s="551"/>
      <c r="BC657" s="551"/>
      <c r="BD657" s="551"/>
      <c r="BE657" s="551"/>
      <c r="BF657" s="551"/>
      <c r="BG657" s="551"/>
      <c r="BH657" s="551"/>
      <c r="BI657" s="551"/>
      <c r="BJ657" s="551"/>
      <c r="BK657" s="551"/>
    </row>
    <row r="658" spans="1:63" ht="12.75" customHeight="1">
      <c r="A658" s="551"/>
      <c r="B658" s="551"/>
      <c r="C658" s="551"/>
      <c r="D658" s="551"/>
      <c r="E658" s="551"/>
      <c r="F658" s="551"/>
      <c r="G658" s="551"/>
      <c r="H658" s="551"/>
      <c r="I658" s="551"/>
      <c r="J658" s="551"/>
      <c r="K658" s="551"/>
      <c r="L658" s="551"/>
      <c r="M658" s="551"/>
      <c r="N658" s="551"/>
      <c r="O658" s="551"/>
      <c r="P658" s="551"/>
      <c r="Q658" s="551"/>
      <c r="R658" s="551"/>
      <c r="S658" s="551"/>
      <c r="T658" s="551"/>
      <c r="U658" s="551"/>
      <c r="V658" s="551"/>
      <c r="W658" s="551"/>
      <c r="X658" s="551"/>
      <c r="Y658" s="551"/>
      <c r="Z658" s="551"/>
      <c r="AA658" s="551"/>
      <c r="AB658" s="551"/>
      <c r="AC658" s="551"/>
      <c r="AD658" s="551"/>
      <c r="AE658" s="551"/>
      <c r="AF658" s="551"/>
      <c r="AG658" s="551"/>
      <c r="AH658" s="551"/>
      <c r="AI658" s="551"/>
      <c r="AJ658" s="551"/>
      <c r="AK658" s="551"/>
      <c r="AL658" s="551"/>
      <c r="AM658" s="551"/>
      <c r="AN658" s="551"/>
      <c r="AO658" s="551"/>
      <c r="AP658" s="551"/>
      <c r="AQ658" s="551"/>
      <c r="AR658" s="551"/>
      <c r="AS658" s="551"/>
      <c r="AT658" s="551"/>
      <c r="AU658" s="551"/>
      <c r="AV658" s="551"/>
      <c r="AW658" s="551"/>
      <c r="AX658" s="551"/>
      <c r="AY658" s="551"/>
      <c r="AZ658" s="551"/>
      <c r="BA658" s="551"/>
      <c r="BB658" s="551"/>
      <c r="BC658" s="551"/>
      <c r="BD658" s="551"/>
      <c r="BE658" s="551"/>
      <c r="BF658" s="551"/>
      <c r="BG658" s="551"/>
      <c r="BH658" s="551"/>
      <c r="BI658" s="551"/>
      <c r="BJ658" s="551"/>
      <c r="BK658" s="551"/>
    </row>
    <row r="659" spans="1:63" ht="12.75" customHeight="1">
      <c r="A659" s="551"/>
      <c r="B659" s="551"/>
      <c r="C659" s="551"/>
      <c r="D659" s="551"/>
      <c r="E659" s="551"/>
      <c r="F659" s="551"/>
      <c r="G659" s="551"/>
      <c r="H659" s="551"/>
      <c r="I659" s="551"/>
      <c r="J659" s="551"/>
      <c r="K659" s="551"/>
      <c r="L659" s="551"/>
      <c r="M659" s="551"/>
      <c r="N659" s="551"/>
      <c r="O659" s="551"/>
      <c r="P659" s="551"/>
      <c r="Q659" s="551"/>
      <c r="R659" s="551"/>
      <c r="S659" s="551"/>
      <c r="T659" s="551"/>
      <c r="U659" s="551"/>
      <c r="V659" s="551"/>
      <c r="W659" s="551"/>
      <c r="X659" s="551"/>
      <c r="Y659" s="551"/>
      <c r="Z659" s="551"/>
      <c r="AA659" s="551"/>
      <c r="AB659" s="551"/>
      <c r="AC659" s="551"/>
      <c r="AD659" s="551"/>
      <c r="AE659" s="551"/>
      <c r="AF659" s="551"/>
      <c r="AG659" s="551"/>
      <c r="AH659" s="551"/>
      <c r="AI659" s="551"/>
      <c r="AJ659" s="551"/>
      <c r="AK659" s="551"/>
      <c r="AL659" s="551"/>
      <c r="AM659" s="551"/>
      <c r="AN659" s="551"/>
      <c r="AO659" s="551"/>
      <c r="AP659" s="551"/>
      <c r="AQ659" s="551"/>
      <c r="AR659" s="551"/>
      <c r="AS659" s="551"/>
      <c r="AT659" s="551"/>
      <c r="AU659" s="551"/>
      <c r="AV659" s="551"/>
      <c r="AW659" s="551"/>
      <c r="AX659" s="551"/>
      <c r="AY659" s="551"/>
      <c r="AZ659" s="551"/>
      <c r="BA659" s="551"/>
      <c r="BB659" s="551"/>
      <c r="BC659" s="551"/>
      <c r="BD659" s="551"/>
      <c r="BE659" s="551"/>
      <c r="BF659" s="551"/>
      <c r="BG659" s="551"/>
      <c r="BH659" s="551"/>
      <c r="BI659" s="551"/>
      <c r="BJ659" s="551"/>
      <c r="BK659" s="551"/>
    </row>
    <row r="660" spans="1:63" ht="12.75" customHeight="1">
      <c r="A660" s="551"/>
      <c r="B660" s="551"/>
      <c r="C660" s="551"/>
      <c r="D660" s="551"/>
      <c r="E660" s="551"/>
      <c r="F660" s="551"/>
      <c r="G660" s="551"/>
      <c r="H660" s="551"/>
      <c r="I660" s="551"/>
      <c r="J660" s="551"/>
      <c r="K660" s="551"/>
      <c r="L660" s="551"/>
      <c r="M660" s="551"/>
      <c r="N660" s="551"/>
      <c r="O660" s="551"/>
      <c r="P660" s="551"/>
      <c r="Q660" s="551"/>
      <c r="R660" s="551"/>
      <c r="S660" s="551"/>
      <c r="T660" s="551"/>
      <c r="U660" s="551"/>
      <c r="V660" s="551"/>
      <c r="W660" s="551"/>
      <c r="X660" s="551"/>
      <c r="Y660" s="551"/>
      <c r="Z660" s="551"/>
      <c r="AA660" s="551"/>
      <c r="AB660" s="551"/>
      <c r="AC660" s="551"/>
      <c r="AD660" s="551"/>
      <c r="AE660" s="551"/>
      <c r="AF660" s="551"/>
      <c r="AG660" s="551"/>
      <c r="AH660" s="551"/>
      <c r="AI660" s="551"/>
      <c r="AJ660" s="551"/>
      <c r="AK660" s="551"/>
      <c r="AL660" s="551"/>
      <c r="AM660" s="551"/>
      <c r="AN660" s="551"/>
      <c r="AO660" s="551"/>
      <c r="AP660" s="551"/>
      <c r="AQ660" s="551"/>
      <c r="AR660" s="551"/>
      <c r="AS660" s="551"/>
      <c r="AT660" s="551"/>
      <c r="AU660" s="551"/>
      <c r="AV660" s="551"/>
      <c r="AW660" s="551"/>
      <c r="AX660" s="551"/>
      <c r="AY660" s="551"/>
      <c r="AZ660" s="551"/>
      <c r="BA660" s="551"/>
      <c r="BB660" s="551"/>
      <c r="BC660" s="551"/>
      <c r="BD660" s="551"/>
      <c r="BE660" s="551"/>
      <c r="BF660" s="551"/>
      <c r="BG660" s="551"/>
      <c r="BH660" s="551"/>
      <c r="BI660" s="551"/>
      <c r="BJ660" s="551"/>
      <c r="BK660" s="551"/>
    </row>
    <row r="661" spans="1:63" ht="12.75" customHeight="1">
      <c r="A661" s="551"/>
      <c r="B661" s="551"/>
      <c r="C661" s="551"/>
      <c r="D661" s="551"/>
      <c r="E661" s="551"/>
      <c r="F661" s="551"/>
      <c r="G661" s="551"/>
      <c r="H661" s="551"/>
      <c r="I661" s="551"/>
      <c r="J661" s="551"/>
      <c r="K661" s="551"/>
      <c r="L661" s="551"/>
      <c r="M661" s="551"/>
      <c r="N661" s="551"/>
      <c r="O661" s="551"/>
      <c r="P661" s="551"/>
      <c r="Q661" s="551"/>
      <c r="R661" s="551"/>
      <c r="S661" s="551"/>
      <c r="T661" s="551"/>
      <c r="U661" s="551"/>
      <c r="V661" s="551"/>
      <c r="W661" s="551"/>
      <c r="X661" s="551"/>
      <c r="Y661" s="551"/>
      <c r="Z661" s="551"/>
      <c r="AA661" s="551"/>
      <c r="AB661" s="551"/>
      <c r="AC661" s="551"/>
      <c r="AD661" s="551"/>
      <c r="AE661" s="551"/>
      <c r="AF661" s="551"/>
      <c r="AG661" s="551"/>
      <c r="AH661" s="551"/>
      <c r="AI661" s="551"/>
      <c r="AJ661" s="551"/>
      <c r="AK661" s="551"/>
      <c r="AL661" s="551"/>
      <c r="AM661" s="551"/>
      <c r="AN661" s="551"/>
      <c r="AO661" s="551"/>
      <c r="AP661" s="551"/>
      <c r="AQ661" s="551"/>
      <c r="AR661" s="551"/>
      <c r="AS661" s="551"/>
      <c r="AT661" s="551"/>
      <c r="AU661" s="551"/>
      <c r="AV661" s="551"/>
      <c r="AW661" s="551"/>
      <c r="AX661" s="551"/>
      <c r="AY661" s="551"/>
      <c r="AZ661" s="551"/>
      <c r="BA661" s="551"/>
      <c r="BB661" s="551"/>
      <c r="BC661" s="551"/>
      <c r="BD661" s="551"/>
      <c r="BE661" s="551"/>
      <c r="BF661" s="551"/>
      <c r="BG661" s="551"/>
      <c r="BH661" s="551"/>
      <c r="BI661" s="551"/>
      <c r="BJ661" s="551"/>
      <c r="BK661" s="551"/>
    </row>
    <row r="662" spans="1:63" ht="12.75" customHeight="1">
      <c r="A662" s="551"/>
      <c r="B662" s="551"/>
      <c r="C662" s="551"/>
      <c r="D662" s="551"/>
      <c r="E662" s="551"/>
      <c r="F662" s="551"/>
      <c r="G662" s="551"/>
      <c r="H662" s="551"/>
      <c r="I662" s="551"/>
      <c r="J662" s="551"/>
      <c r="K662" s="551"/>
      <c r="L662" s="551"/>
      <c r="M662" s="551"/>
      <c r="N662" s="551"/>
      <c r="O662" s="551"/>
      <c r="P662" s="551"/>
      <c r="Q662" s="551"/>
      <c r="R662" s="551"/>
      <c r="S662" s="551"/>
      <c r="T662" s="551"/>
      <c r="U662" s="551"/>
      <c r="V662" s="551"/>
      <c r="W662" s="551"/>
      <c r="X662" s="551"/>
      <c r="Y662" s="551"/>
      <c r="Z662" s="551"/>
      <c r="AA662" s="551"/>
      <c r="AB662" s="551"/>
      <c r="AC662" s="551"/>
      <c r="AD662" s="551"/>
      <c r="AE662" s="551"/>
      <c r="AF662" s="551"/>
      <c r="AG662" s="551"/>
      <c r="AH662" s="551"/>
      <c r="AI662" s="551"/>
      <c r="AJ662" s="551"/>
      <c r="AK662" s="551"/>
      <c r="AL662" s="551"/>
      <c r="AM662" s="551"/>
      <c r="AN662" s="551"/>
      <c r="AO662" s="551"/>
      <c r="AP662" s="551"/>
      <c r="AQ662" s="551"/>
      <c r="AR662" s="551"/>
      <c r="AS662" s="551"/>
      <c r="AT662" s="551"/>
      <c r="AU662" s="551"/>
      <c r="AV662" s="551"/>
      <c r="AW662" s="551"/>
      <c r="AX662" s="551"/>
      <c r="AY662" s="551"/>
      <c r="AZ662" s="551"/>
      <c r="BA662" s="551"/>
      <c r="BB662" s="551"/>
      <c r="BC662" s="551"/>
      <c r="BD662" s="551"/>
      <c r="BE662" s="551"/>
      <c r="BF662" s="551"/>
      <c r="BG662" s="551"/>
      <c r="BH662" s="551"/>
      <c r="BI662" s="551"/>
      <c r="BJ662" s="551"/>
      <c r="BK662" s="551"/>
    </row>
    <row r="663" spans="1:63" ht="12.75" customHeight="1">
      <c r="A663" s="551"/>
      <c r="B663" s="551"/>
      <c r="C663" s="551"/>
      <c r="D663" s="551"/>
      <c r="E663" s="551"/>
      <c r="F663" s="551"/>
      <c r="G663" s="551"/>
      <c r="H663" s="551"/>
      <c r="I663" s="551"/>
      <c r="J663" s="551"/>
      <c r="K663" s="551"/>
      <c r="L663" s="551"/>
      <c r="M663" s="551"/>
      <c r="N663" s="551"/>
      <c r="O663" s="551"/>
      <c r="P663" s="551"/>
      <c r="Q663" s="551"/>
      <c r="R663" s="551"/>
      <c r="S663" s="551"/>
      <c r="T663" s="551"/>
      <c r="U663" s="551"/>
      <c r="V663" s="551"/>
      <c r="W663" s="551"/>
      <c r="X663" s="551"/>
      <c r="Y663" s="551"/>
      <c r="Z663" s="551"/>
      <c r="AA663" s="551"/>
      <c r="AB663" s="551"/>
      <c r="AC663" s="551"/>
      <c r="AD663" s="551"/>
      <c r="AE663" s="551"/>
      <c r="AF663" s="551"/>
      <c r="AG663" s="551"/>
      <c r="AH663" s="551"/>
      <c r="AI663" s="551"/>
      <c r="AJ663" s="551"/>
      <c r="AK663" s="551"/>
      <c r="AL663" s="551"/>
      <c r="AM663" s="551"/>
      <c r="AN663" s="551"/>
      <c r="AO663" s="551"/>
      <c r="AP663" s="551"/>
      <c r="AQ663" s="551"/>
      <c r="AR663" s="551"/>
      <c r="AS663" s="551"/>
      <c r="AT663" s="551"/>
      <c r="AU663" s="551"/>
      <c r="AV663" s="551"/>
      <c r="AW663" s="551"/>
      <c r="AX663" s="551"/>
      <c r="AY663" s="551"/>
      <c r="AZ663" s="551"/>
      <c r="BA663" s="551"/>
      <c r="BB663" s="551"/>
      <c r="BC663" s="551"/>
      <c r="BD663" s="551"/>
      <c r="BE663" s="551"/>
      <c r="BF663" s="551"/>
      <c r="BG663" s="551"/>
      <c r="BH663" s="551"/>
      <c r="BI663" s="551"/>
      <c r="BJ663" s="551"/>
      <c r="BK663" s="551"/>
    </row>
    <row r="664" spans="1:63" ht="12.75" customHeight="1">
      <c r="A664" s="551"/>
      <c r="B664" s="551"/>
      <c r="C664" s="551"/>
      <c r="D664" s="551"/>
      <c r="E664" s="551"/>
      <c r="F664" s="551"/>
      <c r="G664" s="551"/>
      <c r="H664" s="551"/>
      <c r="I664" s="551"/>
      <c r="J664" s="551"/>
      <c r="K664" s="551"/>
      <c r="L664" s="551"/>
      <c r="M664" s="551"/>
      <c r="N664" s="551"/>
      <c r="O664" s="551"/>
      <c r="P664" s="551"/>
      <c r="Q664" s="551"/>
      <c r="R664" s="551"/>
      <c r="S664" s="551"/>
      <c r="T664" s="551"/>
      <c r="U664" s="551"/>
      <c r="V664" s="551"/>
      <c r="W664" s="551"/>
      <c r="X664" s="551"/>
      <c r="Y664" s="551"/>
      <c r="Z664" s="551"/>
      <c r="AA664" s="551"/>
      <c r="AB664" s="551"/>
      <c r="AC664" s="551"/>
      <c r="AD664" s="551"/>
      <c r="AE664" s="551"/>
      <c r="AF664" s="551"/>
      <c r="AG664" s="551"/>
      <c r="AH664" s="551"/>
      <c r="AI664" s="551"/>
      <c r="AJ664" s="551"/>
      <c r="AK664" s="551"/>
      <c r="AL664" s="551"/>
      <c r="AM664" s="551"/>
      <c r="AN664" s="551"/>
      <c r="AO664" s="551"/>
      <c r="AP664" s="551"/>
      <c r="AQ664" s="551"/>
      <c r="AR664" s="551"/>
      <c r="AS664" s="551"/>
      <c r="AT664" s="551"/>
      <c r="AU664" s="551"/>
      <c r="AV664" s="551"/>
      <c r="AW664" s="551"/>
      <c r="AX664" s="551"/>
      <c r="AY664" s="551"/>
      <c r="AZ664" s="551"/>
      <c r="BA664" s="551"/>
      <c r="BB664" s="551"/>
      <c r="BC664" s="551"/>
      <c r="BD664" s="551"/>
      <c r="BE664" s="551"/>
      <c r="BF664" s="551"/>
      <c r="BG664" s="551"/>
      <c r="BH664" s="551"/>
      <c r="BI664" s="551"/>
      <c r="BJ664" s="551"/>
      <c r="BK664" s="551"/>
    </row>
    <row r="665" spans="1:63" ht="12.75" customHeight="1">
      <c r="A665" s="551"/>
      <c r="B665" s="551"/>
      <c r="C665" s="551"/>
      <c r="D665" s="551"/>
      <c r="E665" s="551"/>
      <c r="F665" s="551"/>
      <c r="G665" s="551"/>
      <c r="H665" s="551"/>
      <c r="I665" s="551"/>
      <c r="J665" s="551"/>
      <c r="K665" s="551"/>
      <c r="L665" s="551"/>
      <c r="M665" s="551"/>
      <c r="N665" s="551"/>
      <c r="O665" s="551"/>
      <c r="P665" s="551"/>
      <c r="Q665" s="551"/>
      <c r="R665" s="551"/>
      <c r="S665" s="551"/>
      <c r="T665" s="551"/>
      <c r="U665" s="551"/>
      <c r="V665" s="551"/>
      <c r="W665" s="551"/>
      <c r="X665" s="551"/>
      <c r="Y665" s="551"/>
      <c r="Z665" s="551"/>
      <c r="AA665" s="551"/>
      <c r="AB665" s="551"/>
      <c r="AC665" s="551"/>
      <c r="AD665" s="551"/>
      <c r="AE665" s="551"/>
      <c r="AF665" s="551"/>
      <c r="AG665" s="551"/>
      <c r="AH665" s="551"/>
      <c r="AI665" s="551"/>
      <c r="AJ665" s="551"/>
      <c r="AK665" s="551"/>
      <c r="AL665" s="551"/>
      <c r="AM665" s="551"/>
      <c r="AN665" s="551"/>
      <c r="AO665" s="551"/>
      <c r="AP665" s="551"/>
      <c r="AQ665" s="551"/>
      <c r="AR665" s="551"/>
      <c r="AS665" s="551"/>
      <c r="AT665" s="551"/>
      <c r="AU665" s="551"/>
      <c r="AV665" s="551"/>
      <c r="AW665" s="551"/>
      <c r="AX665" s="551"/>
      <c r="AY665" s="551"/>
      <c r="AZ665" s="551"/>
      <c r="BA665" s="551"/>
      <c r="BB665" s="551"/>
      <c r="BC665" s="551"/>
      <c r="BD665" s="551"/>
      <c r="BE665" s="551"/>
      <c r="BF665" s="551"/>
      <c r="BG665" s="551"/>
      <c r="BH665" s="551"/>
      <c r="BI665" s="551"/>
      <c r="BJ665" s="551"/>
      <c r="BK665" s="551"/>
    </row>
    <row r="666" spans="1:63" ht="12.75" customHeight="1">
      <c r="A666" s="551"/>
      <c r="B666" s="551"/>
      <c r="C666" s="551"/>
      <c r="D666" s="551"/>
      <c r="E666" s="551"/>
      <c r="F666" s="551"/>
      <c r="G666" s="551"/>
      <c r="H666" s="551"/>
      <c r="I666" s="551"/>
      <c r="J666" s="551"/>
      <c r="K666" s="551"/>
      <c r="L666" s="551"/>
      <c r="M666" s="551"/>
      <c r="N666" s="551"/>
      <c r="O666" s="551"/>
      <c r="P666" s="551"/>
      <c r="Q666" s="551"/>
      <c r="R666" s="551"/>
      <c r="S666" s="551"/>
      <c r="T666" s="551"/>
      <c r="U666" s="551"/>
      <c r="V666" s="551"/>
      <c r="W666" s="551"/>
      <c r="X666" s="551"/>
      <c r="Y666" s="551"/>
      <c r="Z666" s="551"/>
      <c r="AA666" s="551"/>
      <c r="AB666" s="551"/>
      <c r="AC666" s="551"/>
      <c r="AD666" s="551"/>
      <c r="AE666" s="551"/>
      <c r="AF666" s="551"/>
      <c r="AG666" s="551"/>
      <c r="AH666" s="551"/>
      <c r="AI666" s="551"/>
      <c r="AJ666" s="551"/>
      <c r="AK666" s="551"/>
      <c r="AL666" s="551"/>
      <c r="AM666" s="551"/>
      <c r="AN666" s="551"/>
      <c r="AO666" s="551"/>
      <c r="AP666" s="551"/>
      <c r="AQ666" s="551"/>
      <c r="AR666" s="551"/>
      <c r="AS666" s="551"/>
      <c r="AT666" s="551"/>
      <c r="AU666" s="551"/>
      <c r="AV666" s="551"/>
      <c r="AW666" s="551"/>
      <c r="AX666" s="551"/>
      <c r="AY666" s="551"/>
      <c r="AZ666" s="551"/>
      <c r="BA666" s="551"/>
      <c r="BB666" s="551"/>
      <c r="BC666" s="551"/>
      <c r="BD666" s="551"/>
      <c r="BE666" s="551"/>
      <c r="BF666" s="551"/>
      <c r="BG666" s="551"/>
      <c r="BH666" s="551"/>
      <c r="BI666" s="551"/>
      <c r="BJ666" s="551"/>
      <c r="BK666" s="551"/>
    </row>
    <row r="667" spans="1:63" ht="12.75" customHeight="1">
      <c r="A667" s="551"/>
      <c r="B667" s="551"/>
      <c r="C667" s="551"/>
      <c r="D667" s="551"/>
      <c r="E667" s="551"/>
      <c r="F667" s="551"/>
      <c r="G667" s="551"/>
      <c r="H667" s="551"/>
      <c r="I667" s="551"/>
      <c r="J667" s="551"/>
      <c r="K667" s="551"/>
      <c r="L667" s="551"/>
      <c r="M667" s="551"/>
      <c r="N667" s="551"/>
      <c r="O667" s="551"/>
      <c r="P667" s="551"/>
      <c r="Q667" s="551"/>
      <c r="R667" s="551"/>
      <c r="S667" s="551"/>
      <c r="T667" s="551"/>
      <c r="U667" s="551"/>
      <c r="V667" s="551"/>
      <c r="W667" s="551"/>
      <c r="X667" s="551"/>
      <c r="Y667" s="551"/>
      <c r="Z667" s="551"/>
      <c r="AA667" s="551"/>
      <c r="AB667" s="551"/>
      <c r="AC667" s="551"/>
      <c r="AD667" s="551"/>
      <c r="AE667" s="551"/>
      <c r="AF667" s="551"/>
      <c r="AG667" s="551"/>
      <c r="AH667" s="551"/>
      <c r="AI667" s="551"/>
      <c r="AJ667" s="551"/>
      <c r="AK667" s="551"/>
      <c r="AL667" s="551"/>
      <c r="AM667" s="551"/>
      <c r="AN667" s="551"/>
      <c r="AO667" s="551"/>
      <c r="AP667" s="551"/>
      <c r="AQ667" s="551"/>
      <c r="AR667" s="551"/>
      <c r="AS667" s="551"/>
      <c r="AT667" s="551"/>
      <c r="AU667" s="551"/>
      <c r="AV667" s="551"/>
      <c r="AW667" s="551"/>
      <c r="AX667" s="551"/>
      <c r="AY667" s="551"/>
      <c r="AZ667" s="551"/>
      <c r="BA667" s="551"/>
      <c r="BB667" s="551"/>
      <c r="BC667" s="551"/>
      <c r="BD667" s="551"/>
      <c r="BE667" s="551"/>
      <c r="BF667" s="551"/>
      <c r="BG667" s="551"/>
      <c r="BH667" s="551"/>
      <c r="BI667" s="551"/>
      <c r="BJ667" s="551"/>
      <c r="BK667" s="551"/>
    </row>
    <row r="668" spans="1:63" ht="12.75" customHeight="1">
      <c r="A668" s="551"/>
      <c r="B668" s="551"/>
      <c r="C668" s="551"/>
      <c r="D668" s="551"/>
      <c r="E668" s="551"/>
      <c r="F668" s="551"/>
      <c r="G668" s="551"/>
      <c r="H668" s="551"/>
      <c r="I668" s="551"/>
      <c r="J668" s="551"/>
      <c r="K668" s="551"/>
      <c r="L668" s="551"/>
      <c r="M668" s="551"/>
      <c r="N668" s="551"/>
      <c r="O668" s="551"/>
      <c r="P668" s="551"/>
      <c r="Q668" s="551"/>
      <c r="R668" s="551"/>
      <c r="S668" s="551"/>
      <c r="T668" s="551"/>
      <c r="U668" s="551"/>
      <c r="V668" s="551"/>
      <c r="W668" s="551"/>
      <c r="X668" s="551"/>
      <c r="Y668" s="551"/>
      <c r="Z668" s="551"/>
      <c r="AA668" s="551"/>
      <c r="AB668" s="551"/>
      <c r="AC668" s="551"/>
      <c r="AD668" s="551"/>
      <c r="AE668" s="551"/>
      <c r="AF668" s="551"/>
      <c r="AG668" s="551"/>
      <c r="AH668" s="551"/>
      <c r="AI668" s="551"/>
      <c r="AJ668" s="551"/>
      <c r="AK668" s="551"/>
      <c r="AL668" s="551"/>
      <c r="AM668" s="551"/>
      <c r="AN668" s="551"/>
      <c r="AO668" s="551"/>
      <c r="AP668" s="551"/>
      <c r="AQ668" s="551"/>
      <c r="AR668" s="551"/>
      <c r="AS668" s="551"/>
      <c r="AT668" s="551"/>
      <c r="AU668" s="551"/>
      <c r="AV668" s="551"/>
      <c r="AW668" s="551"/>
      <c r="AX668" s="551"/>
      <c r="AY668" s="551"/>
      <c r="AZ668" s="551"/>
      <c r="BA668" s="551"/>
      <c r="BB668" s="551"/>
      <c r="BC668" s="551"/>
      <c r="BD668" s="551"/>
      <c r="BE668" s="551"/>
      <c r="BF668" s="551"/>
      <c r="BG668" s="551"/>
      <c r="BH668" s="551"/>
      <c r="BI668" s="551"/>
      <c r="BJ668" s="551"/>
      <c r="BK668" s="551"/>
    </row>
    <row r="669" spans="1:63" ht="12.75" customHeight="1">
      <c r="A669" s="551"/>
      <c r="B669" s="551"/>
      <c r="C669" s="551"/>
      <c r="D669" s="551"/>
      <c r="E669" s="551"/>
      <c r="F669" s="551"/>
      <c r="G669" s="551"/>
      <c r="H669" s="551"/>
      <c r="I669" s="551"/>
      <c r="J669" s="551"/>
      <c r="K669" s="551"/>
      <c r="L669" s="551"/>
      <c r="M669" s="551"/>
      <c r="N669" s="551"/>
      <c r="O669" s="551"/>
      <c r="P669" s="551"/>
      <c r="Q669" s="551"/>
      <c r="R669" s="551"/>
      <c r="S669" s="551"/>
      <c r="T669" s="551"/>
      <c r="U669" s="551"/>
      <c r="V669" s="551"/>
      <c r="W669" s="551"/>
      <c r="X669" s="551"/>
      <c r="Y669" s="551"/>
      <c r="Z669" s="551"/>
      <c r="AA669" s="551"/>
      <c r="AB669" s="551"/>
      <c r="AC669" s="551"/>
      <c r="AD669" s="551"/>
      <c r="AE669" s="551"/>
      <c r="AF669" s="551"/>
      <c r="AG669" s="551"/>
      <c r="AH669" s="551"/>
      <c r="AI669" s="551"/>
      <c r="AJ669" s="551"/>
      <c r="AK669" s="551"/>
      <c r="AL669" s="551"/>
      <c r="AM669" s="551"/>
      <c r="AN669" s="551"/>
      <c r="AO669" s="551"/>
      <c r="AP669" s="551"/>
      <c r="AQ669" s="551"/>
      <c r="AR669" s="551"/>
      <c r="AS669" s="551"/>
      <c r="AT669" s="551"/>
      <c r="AU669" s="551"/>
      <c r="AV669" s="551"/>
      <c r="AW669" s="551"/>
      <c r="AX669" s="551"/>
      <c r="AY669" s="551"/>
      <c r="AZ669" s="551"/>
      <c r="BA669" s="551"/>
      <c r="BB669" s="551"/>
      <c r="BC669" s="551"/>
      <c r="BD669" s="551"/>
      <c r="BE669" s="551"/>
      <c r="BF669" s="551"/>
      <c r="BG669" s="551"/>
      <c r="BH669" s="551"/>
      <c r="BI669" s="551"/>
      <c r="BJ669" s="551"/>
      <c r="BK669" s="551"/>
    </row>
    <row r="670" spans="1:63" ht="12.75" customHeight="1">
      <c r="A670" s="551"/>
      <c r="B670" s="551"/>
      <c r="C670" s="551"/>
      <c r="D670" s="551"/>
      <c r="E670" s="551"/>
      <c r="F670" s="551"/>
      <c r="G670" s="551"/>
      <c r="H670" s="551"/>
      <c r="I670" s="551"/>
      <c r="J670" s="551"/>
      <c r="K670" s="551"/>
      <c r="L670" s="551"/>
      <c r="M670" s="551"/>
      <c r="N670" s="551"/>
      <c r="O670" s="551"/>
      <c r="P670" s="551"/>
      <c r="Q670" s="551"/>
      <c r="R670" s="551"/>
      <c r="S670" s="551"/>
      <c r="T670" s="551"/>
      <c r="U670" s="551"/>
      <c r="V670" s="551"/>
      <c r="W670" s="551"/>
      <c r="X670" s="551"/>
      <c r="Y670" s="551"/>
      <c r="Z670" s="551"/>
      <c r="AA670" s="551"/>
      <c r="AB670" s="551"/>
      <c r="AC670" s="551"/>
      <c r="AD670" s="551"/>
      <c r="AE670" s="551"/>
      <c r="AF670" s="551"/>
      <c r="AG670" s="551"/>
      <c r="AH670" s="551"/>
      <c r="AI670" s="551"/>
      <c r="AJ670" s="551"/>
      <c r="AK670" s="551"/>
      <c r="AL670" s="551"/>
      <c r="AM670" s="551"/>
      <c r="AN670" s="551"/>
      <c r="AO670" s="551"/>
      <c r="AP670" s="551"/>
      <c r="AQ670" s="551"/>
      <c r="AR670" s="551"/>
      <c r="AS670" s="551"/>
      <c r="AT670" s="551"/>
      <c r="AU670" s="551"/>
      <c r="AV670" s="551"/>
      <c r="AW670" s="551"/>
      <c r="AX670" s="551"/>
      <c r="AY670" s="551"/>
      <c r="AZ670" s="551"/>
      <c r="BA670" s="551"/>
      <c r="BB670" s="551"/>
      <c r="BC670" s="551"/>
      <c r="BD670" s="551"/>
      <c r="BE670" s="551"/>
      <c r="BF670" s="551"/>
      <c r="BG670" s="551"/>
      <c r="BH670" s="551"/>
      <c r="BI670" s="551"/>
      <c r="BJ670" s="551"/>
      <c r="BK670" s="551"/>
    </row>
    <row r="671" spans="1:63" ht="12.75" customHeight="1">
      <c r="A671" s="551"/>
      <c r="B671" s="551"/>
      <c r="C671" s="551"/>
      <c r="D671" s="551"/>
      <c r="E671" s="551"/>
      <c r="F671" s="551"/>
      <c r="G671" s="551"/>
      <c r="H671" s="551"/>
      <c r="I671" s="551"/>
      <c r="J671" s="551"/>
      <c r="K671" s="551"/>
      <c r="L671" s="551"/>
      <c r="M671" s="551"/>
      <c r="N671" s="551"/>
      <c r="O671" s="551"/>
      <c r="P671" s="551"/>
      <c r="Q671" s="551"/>
      <c r="R671" s="551"/>
      <c r="S671" s="551"/>
      <c r="T671" s="551"/>
      <c r="U671" s="551"/>
      <c r="V671" s="551"/>
      <c r="W671" s="551"/>
      <c r="X671" s="551"/>
      <c r="Y671" s="551"/>
      <c r="Z671" s="551"/>
      <c r="AA671" s="551"/>
      <c r="AB671" s="551"/>
      <c r="AC671" s="551"/>
      <c r="AD671" s="551"/>
      <c r="AE671" s="551"/>
      <c r="AF671" s="551"/>
      <c r="AG671" s="551"/>
      <c r="AH671" s="551"/>
      <c r="AI671" s="551"/>
      <c r="AJ671" s="551"/>
      <c r="AK671" s="551"/>
      <c r="AL671" s="551"/>
      <c r="AM671" s="551"/>
      <c r="AN671" s="551"/>
      <c r="AO671" s="551"/>
      <c r="AP671" s="551"/>
      <c r="AQ671" s="551"/>
      <c r="AR671" s="551"/>
      <c r="AS671" s="551"/>
      <c r="AT671" s="551"/>
      <c r="AU671" s="551"/>
      <c r="AV671" s="551"/>
      <c r="AW671" s="551"/>
      <c r="AX671" s="551"/>
      <c r="AY671" s="551"/>
      <c r="AZ671" s="551"/>
      <c r="BA671" s="551"/>
      <c r="BB671" s="551"/>
      <c r="BC671" s="551"/>
      <c r="BD671" s="551"/>
      <c r="BE671" s="551"/>
      <c r="BF671" s="551"/>
      <c r="BG671" s="551"/>
      <c r="BH671" s="551"/>
      <c r="BI671" s="551"/>
      <c r="BJ671" s="551"/>
      <c r="BK671" s="551"/>
    </row>
    <row r="672" spans="1:63" ht="12.75" customHeight="1">
      <c r="A672" s="551"/>
      <c r="B672" s="551"/>
      <c r="C672" s="551"/>
      <c r="D672" s="551"/>
      <c r="E672" s="551"/>
      <c r="F672" s="551"/>
      <c r="G672" s="551"/>
      <c r="H672" s="551"/>
      <c r="I672" s="551"/>
      <c r="J672" s="551"/>
      <c r="K672" s="551"/>
      <c r="L672" s="551"/>
      <c r="M672" s="551"/>
      <c r="N672" s="551"/>
      <c r="O672" s="551"/>
      <c r="P672" s="551"/>
      <c r="Q672" s="551"/>
      <c r="R672" s="551"/>
      <c r="S672" s="551"/>
      <c r="T672" s="551"/>
      <c r="U672" s="551"/>
      <c r="V672" s="551"/>
      <c r="W672" s="551"/>
      <c r="X672" s="551"/>
      <c r="Y672" s="551"/>
      <c r="Z672" s="551"/>
      <c r="AA672" s="551"/>
      <c r="AB672" s="551"/>
      <c r="AC672" s="551"/>
      <c r="AD672" s="551"/>
      <c r="AE672" s="551"/>
      <c r="AF672" s="551"/>
      <c r="AG672" s="551"/>
      <c r="AH672" s="551"/>
      <c r="AI672" s="551"/>
      <c r="AJ672" s="551"/>
      <c r="AK672" s="551"/>
      <c r="AL672" s="551"/>
      <c r="AM672" s="551"/>
      <c r="AN672" s="551"/>
      <c r="AO672" s="551"/>
      <c r="AP672" s="551"/>
      <c r="AQ672" s="551"/>
      <c r="AR672" s="551"/>
      <c r="AS672" s="551"/>
      <c r="AT672" s="551"/>
      <c r="AU672" s="551"/>
      <c r="AV672" s="551"/>
      <c r="AW672" s="551"/>
      <c r="AX672" s="551"/>
      <c r="AY672" s="551"/>
      <c r="AZ672" s="551"/>
      <c r="BA672" s="551"/>
      <c r="BB672" s="551"/>
      <c r="BC672" s="551"/>
      <c r="BD672" s="551"/>
      <c r="BE672" s="551"/>
      <c r="BF672" s="551"/>
      <c r="BG672" s="551"/>
      <c r="BH672" s="551"/>
      <c r="BI672" s="551"/>
      <c r="BJ672" s="551"/>
      <c r="BK672" s="551"/>
    </row>
    <row r="673" spans="1:63" ht="12.75" customHeight="1">
      <c r="A673" s="551"/>
      <c r="B673" s="551"/>
      <c r="C673" s="551"/>
      <c r="D673" s="551"/>
      <c r="E673" s="551"/>
      <c r="F673" s="551"/>
      <c r="G673" s="551"/>
      <c r="H673" s="551"/>
      <c r="I673" s="551"/>
      <c r="J673" s="551"/>
      <c r="K673" s="551"/>
      <c r="L673" s="551"/>
      <c r="M673" s="551"/>
      <c r="N673" s="551"/>
      <c r="O673" s="551"/>
      <c r="P673" s="551"/>
      <c r="Q673" s="551"/>
      <c r="R673" s="551"/>
      <c r="S673" s="551"/>
      <c r="T673" s="551"/>
      <c r="U673" s="551"/>
      <c r="V673" s="551"/>
      <c r="W673" s="551"/>
      <c r="X673" s="551"/>
      <c r="Y673" s="551"/>
      <c r="Z673" s="551"/>
      <c r="AA673" s="551"/>
      <c r="AB673" s="551"/>
      <c r="AC673" s="551"/>
      <c r="AD673" s="551"/>
      <c r="AE673" s="551"/>
      <c r="AF673" s="551"/>
      <c r="AG673" s="551"/>
      <c r="AH673" s="551"/>
      <c r="AI673" s="551"/>
      <c r="AJ673" s="551"/>
      <c r="AK673" s="551"/>
      <c r="AL673" s="551"/>
      <c r="AM673" s="551"/>
      <c r="AN673" s="551"/>
      <c r="AO673" s="551"/>
      <c r="AP673" s="551"/>
      <c r="AQ673" s="551"/>
      <c r="AR673" s="551"/>
      <c r="AS673" s="551"/>
      <c r="AT673" s="551"/>
      <c r="AU673" s="551"/>
      <c r="AV673" s="551"/>
      <c r="AW673" s="551"/>
      <c r="AX673" s="551"/>
      <c r="AY673" s="551"/>
      <c r="AZ673" s="551"/>
      <c r="BA673" s="551"/>
      <c r="BB673" s="551"/>
      <c r="BC673" s="551"/>
      <c r="BD673" s="551"/>
      <c r="BE673" s="551"/>
      <c r="BF673" s="551"/>
      <c r="BG673" s="551"/>
      <c r="BH673" s="551"/>
      <c r="BI673" s="551"/>
      <c r="BJ673" s="551"/>
      <c r="BK673" s="551"/>
    </row>
    <row r="674" spans="1:63" ht="12.75" customHeight="1">
      <c r="A674" s="551"/>
      <c r="B674" s="551"/>
      <c r="C674" s="551"/>
      <c r="D674" s="551"/>
      <c r="E674" s="551"/>
      <c r="F674" s="551"/>
      <c r="G674" s="551"/>
      <c r="H674" s="551"/>
      <c r="I674" s="551"/>
      <c r="J674" s="551"/>
      <c r="K674" s="551"/>
      <c r="L674" s="551"/>
      <c r="M674" s="551"/>
      <c r="N674" s="551"/>
      <c r="O674" s="551"/>
      <c r="P674" s="551"/>
      <c r="Q674" s="551"/>
      <c r="R674" s="551"/>
      <c r="S674" s="551"/>
      <c r="T674" s="551"/>
      <c r="U674" s="551"/>
      <c r="V674" s="551"/>
      <c r="W674" s="551"/>
      <c r="X674" s="551"/>
      <c r="Y674" s="551"/>
      <c r="Z674" s="551"/>
      <c r="AA674" s="551"/>
      <c r="AB674" s="551"/>
      <c r="AC674" s="551"/>
      <c r="AD674" s="551"/>
      <c r="AE674" s="551"/>
      <c r="AF674" s="551"/>
      <c r="AG674" s="551"/>
      <c r="AH674" s="551"/>
      <c r="AI674" s="551"/>
      <c r="AJ674" s="551"/>
      <c r="AK674" s="551"/>
      <c r="AL674" s="551"/>
      <c r="AM674" s="551"/>
      <c r="AN674" s="551"/>
      <c r="AO674" s="551"/>
      <c r="AP674" s="551"/>
      <c r="AQ674" s="551"/>
      <c r="AR674" s="551"/>
      <c r="AS674" s="551"/>
      <c r="AT674" s="551"/>
      <c r="AU674" s="551"/>
      <c r="AV674" s="551"/>
      <c r="AW674" s="551"/>
      <c r="AX674" s="551"/>
      <c r="AY674" s="551"/>
      <c r="AZ674" s="551"/>
      <c r="BA674" s="551"/>
      <c r="BB674" s="551"/>
      <c r="BC674" s="551"/>
      <c r="BD674" s="551"/>
      <c r="BE674" s="551"/>
      <c r="BF674" s="551"/>
      <c r="BG674" s="551"/>
      <c r="BH674" s="551"/>
      <c r="BI674" s="551"/>
      <c r="BJ674" s="551"/>
      <c r="BK674" s="551"/>
    </row>
    <row r="675" spans="1:63" ht="12.75" customHeight="1">
      <c r="A675" s="551"/>
      <c r="B675" s="551"/>
      <c r="C675" s="551"/>
      <c r="D675" s="551"/>
      <c r="E675" s="551"/>
      <c r="F675" s="551"/>
      <c r="G675" s="551"/>
      <c r="H675" s="551"/>
      <c r="I675" s="551"/>
      <c r="J675" s="551"/>
      <c r="K675" s="551"/>
      <c r="L675" s="551"/>
      <c r="M675" s="551"/>
      <c r="N675" s="551"/>
      <c r="O675" s="551"/>
      <c r="P675" s="551"/>
      <c r="Q675" s="551"/>
      <c r="R675" s="551"/>
      <c r="S675" s="551"/>
      <c r="T675" s="551"/>
      <c r="U675" s="551"/>
      <c r="V675" s="551"/>
      <c r="W675" s="551"/>
      <c r="X675" s="551"/>
      <c r="Y675" s="551"/>
      <c r="Z675" s="551"/>
      <c r="AA675" s="551"/>
      <c r="AB675" s="551"/>
      <c r="AC675" s="551"/>
      <c r="AD675" s="551"/>
      <c r="AE675" s="551"/>
      <c r="AF675" s="551"/>
      <c r="AG675" s="551"/>
      <c r="AH675" s="551"/>
      <c r="AI675" s="551"/>
      <c r="AJ675" s="551"/>
      <c r="AK675" s="551"/>
      <c r="AL675" s="551"/>
      <c r="AM675" s="551"/>
      <c r="AN675" s="551"/>
      <c r="AO675" s="551"/>
      <c r="AP675" s="551"/>
      <c r="AQ675" s="551"/>
      <c r="AR675" s="551"/>
      <c r="AS675" s="551"/>
      <c r="AT675" s="551"/>
      <c r="AU675" s="551"/>
      <c r="AV675" s="551"/>
      <c r="AW675" s="551"/>
      <c r="AX675" s="551"/>
      <c r="AY675" s="551"/>
      <c r="AZ675" s="551"/>
      <c r="BA675" s="551"/>
      <c r="BB675" s="551"/>
      <c r="BC675" s="551"/>
      <c r="BD675" s="551"/>
      <c r="BE675" s="551"/>
      <c r="BF675" s="551"/>
      <c r="BG675" s="551"/>
      <c r="BH675" s="551"/>
      <c r="BI675" s="551"/>
      <c r="BJ675" s="551"/>
      <c r="BK675" s="551"/>
    </row>
    <row r="676" spans="1:63" ht="12.75" customHeight="1">
      <c r="A676" s="551"/>
      <c r="B676" s="551"/>
      <c r="C676" s="551"/>
      <c r="D676" s="551"/>
      <c r="E676" s="551"/>
      <c r="F676" s="551"/>
      <c r="G676" s="551"/>
      <c r="H676" s="551"/>
      <c r="I676" s="551"/>
      <c r="J676" s="551"/>
      <c r="K676" s="551"/>
      <c r="L676" s="551"/>
      <c r="M676" s="551"/>
      <c r="N676" s="551"/>
      <c r="O676" s="551"/>
      <c r="P676" s="551"/>
      <c r="Q676" s="551"/>
      <c r="R676" s="551"/>
      <c r="S676" s="551"/>
      <c r="T676" s="551"/>
      <c r="U676" s="551"/>
      <c r="V676" s="551"/>
      <c r="W676" s="551"/>
      <c r="X676" s="551"/>
      <c r="Y676" s="551"/>
      <c r="Z676" s="551"/>
      <c r="AA676" s="551"/>
      <c r="AB676" s="551"/>
      <c r="AC676" s="551"/>
      <c r="AD676" s="551"/>
      <c r="AE676" s="551"/>
      <c r="AF676" s="551"/>
      <c r="AG676" s="551"/>
      <c r="AH676" s="551"/>
      <c r="AI676" s="551"/>
      <c r="AJ676" s="551"/>
      <c r="AK676" s="551"/>
      <c r="AL676" s="551"/>
      <c r="AM676" s="551"/>
      <c r="AN676" s="551"/>
      <c r="AO676" s="551"/>
      <c r="AP676" s="551"/>
      <c r="AQ676" s="551"/>
      <c r="AR676" s="551"/>
      <c r="AS676" s="551"/>
      <c r="AT676" s="551"/>
      <c r="AU676" s="551"/>
      <c r="AV676" s="551"/>
      <c r="AW676" s="551"/>
      <c r="AX676" s="551"/>
      <c r="AY676" s="551"/>
      <c r="AZ676" s="551"/>
      <c r="BA676" s="551"/>
      <c r="BB676" s="551"/>
      <c r="BC676" s="551"/>
      <c r="BD676" s="551"/>
      <c r="BE676" s="551"/>
      <c r="BF676" s="551"/>
      <c r="BG676" s="551"/>
      <c r="BH676" s="551"/>
      <c r="BI676" s="551"/>
      <c r="BJ676" s="551"/>
      <c r="BK676" s="551"/>
    </row>
    <row r="677" spans="1:63" ht="12.75" customHeight="1">
      <c r="A677" s="551"/>
      <c r="B677" s="551"/>
      <c r="C677" s="551"/>
      <c r="D677" s="551"/>
      <c r="E677" s="551"/>
      <c r="F677" s="551"/>
      <c r="G677" s="551"/>
      <c r="H677" s="551"/>
      <c r="I677" s="551"/>
      <c r="J677" s="551"/>
      <c r="K677" s="551"/>
      <c r="L677" s="551"/>
      <c r="M677" s="551"/>
      <c r="N677" s="551"/>
      <c r="O677" s="551"/>
      <c r="P677" s="551"/>
      <c r="Q677" s="551"/>
      <c r="R677" s="551"/>
      <c r="S677" s="551"/>
      <c r="T677" s="551"/>
      <c r="U677" s="551"/>
      <c r="V677" s="551"/>
      <c r="W677" s="551"/>
      <c r="X677" s="551"/>
      <c r="Y677" s="551"/>
      <c r="Z677" s="551"/>
      <c r="AA677" s="551"/>
      <c r="AB677" s="551"/>
      <c r="AC677" s="551"/>
      <c r="AD677" s="551"/>
      <c r="AE677" s="551"/>
      <c r="AF677" s="551"/>
      <c r="AG677" s="551"/>
      <c r="AH677" s="551"/>
      <c r="AI677" s="551"/>
      <c r="AJ677" s="551"/>
      <c r="AK677" s="551"/>
      <c r="AL677" s="551"/>
      <c r="AM677" s="551"/>
      <c r="AN677" s="551"/>
      <c r="AO677" s="551"/>
      <c r="AP677" s="551"/>
      <c r="AQ677" s="551"/>
      <c r="AR677" s="551"/>
      <c r="AS677" s="551"/>
      <c r="AT677" s="551"/>
      <c r="AU677" s="551"/>
      <c r="AV677" s="551"/>
      <c r="AW677" s="551"/>
      <c r="AX677" s="551"/>
      <c r="AY677" s="551"/>
      <c r="AZ677" s="551"/>
      <c r="BA677" s="551"/>
      <c r="BB677" s="551"/>
      <c r="BC677" s="551"/>
      <c r="BD677" s="551"/>
      <c r="BE677" s="551"/>
      <c r="BF677" s="551"/>
      <c r="BG677" s="551"/>
      <c r="BH677" s="551"/>
      <c r="BI677" s="551"/>
      <c r="BJ677" s="551"/>
      <c r="BK677" s="551"/>
    </row>
    <row r="678" spans="1:63" ht="12.75" customHeight="1">
      <c r="A678" s="551"/>
      <c r="B678" s="551"/>
      <c r="C678" s="551"/>
      <c r="D678" s="551"/>
      <c r="E678" s="551"/>
      <c r="F678" s="551"/>
      <c r="G678" s="551"/>
      <c r="H678" s="551"/>
      <c r="I678" s="551"/>
      <c r="J678" s="551"/>
      <c r="K678" s="551"/>
      <c r="L678" s="551"/>
      <c r="M678" s="551"/>
      <c r="N678" s="551"/>
      <c r="O678" s="551"/>
      <c r="P678" s="551"/>
      <c r="Q678" s="551"/>
      <c r="R678" s="551"/>
      <c r="S678" s="551"/>
      <c r="T678" s="551"/>
      <c r="U678" s="551"/>
      <c r="V678" s="551"/>
      <c r="W678" s="551"/>
      <c r="X678" s="551"/>
      <c r="Y678" s="551"/>
      <c r="Z678" s="551"/>
      <c r="AA678" s="551"/>
      <c r="AB678" s="551"/>
      <c r="AC678" s="551"/>
      <c r="AD678" s="551"/>
      <c r="AE678" s="551"/>
      <c r="AF678" s="551"/>
      <c r="AG678" s="551"/>
      <c r="AH678" s="551"/>
      <c r="AI678" s="551"/>
      <c r="AJ678" s="551"/>
      <c r="AK678" s="551"/>
      <c r="AL678" s="551"/>
      <c r="AM678" s="551"/>
      <c r="AN678" s="551"/>
      <c r="AO678" s="551"/>
      <c r="AP678" s="551"/>
      <c r="AQ678" s="551"/>
      <c r="AR678" s="551"/>
      <c r="AS678" s="551"/>
      <c r="AT678" s="551"/>
      <c r="AU678" s="551"/>
      <c r="AV678" s="551"/>
      <c r="AW678" s="551"/>
      <c r="AX678" s="551"/>
      <c r="AY678" s="551"/>
      <c r="AZ678" s="551"/>
      <c r="BA678" s="551"/>
      <c r="BB678" s="551"/>
      <c r="BC678" s="551"/>
      <c r="BD678" s="551"/>
      <c r="BE678" s="551"/>
      <c r="BF678" s="551"/>
      <c r="BG678" s="551"/>
      <c r="BH678" s="551"/>
      <c r="BI678" s="551"/>
      <c r="BJ678" s="551"/>
      <c r="BK678" s="551"/>
    </row>
    <row r="679" spans="1:63" ht="12.75" customHeight="1">
      <c r="A679" s="551"/>
      <c r="B679" s="551"/>
      <c r="C679" s="551"/>
      <c r="D679" s="551"/>
      <c r="E679" s="551"/>
      <c r="F679" s="551"/>
      <c r="G679" s="551"/>
      <c r="H679" s="551"/>
      <c r="I679" s="551"/>
      <c r="J679" s="551"/>
      <c r="K679" s="551"/>
      <c r="L679" s="551"/>
      <c r="M679" s="551"/>
      <c r="N679" s="551"/>
      <c r="O679" s="551"/>
      <c r="P679" s="551"/>
      <c r="Q679" s="551"/>
      <c r="R679" s="551"/>
      <c r="S679" s="551"/>
      <c r="T679" s="551"/>
      <c r="U679" s="551"/>
      <c r="V679" s="551"/>
      <c r="W679" s="551"/>
      <c r="X679" s="551"/>
      <c r="Y679" s="551"/>
      <c r="Z679" s="551"/>
      <c r="AA679" s="551"/>
      <c r="AB679" s="551"/>
      <c r="AC679" s="551"/>
      <c r="AD679" s="551"/>
      <c r="AE679" s="551"/>
      <c r="AF679" s="551"/>
      <c r="AG679" s="551"/>
      <c r="AH679" s="551"/>
      <c r="AI679" s="551"/>
      <c r="AJ679" s="551"/>
      <c r="AK679" s="551"/>
      <c r="AL679" s="551"/>
      <c r="AM679" s="551"/>
      <c r="AN679" s="551"/>
      <c r="AO679" s="551"/>
      <c r="AP679" s="551"/>
      <c r="AQ679" s="551"/>
      <c r="AR679" s="551"/>
      <c r="AS679" s="551"/>
      <c r="AT679" s="551"/>
      <c r="AU679" s="551"/>
      <c r="AV679" s="551"/>
      <c r="AW679" s="551"/>
      <c r="AX679" s="551"/>
      <c r="AY679" s="551"/>
      <c r="AZ679" s="551"/>
      <c r="BA679" s="551"/>
      <c r="BB679" s="551"/>
      <c r="BC679" s="551"/>
      <c r="BD679" s="551"/>
      <c r="BE679" s="551"/>
      <c r="BF679" s="551"/>
      <c r="BG679" s="551"/>
      <c r="BH679" s="551"/>
      <c r="BI679" s="551"/>
      <c r="BJ679" s="551"/>
      <c r="BK679" s="551"/>
    </row>
    <row r="680" spans="1:63" ht="12.75" customHeight="1">
      <c r="A680" s="551"/>
      <c r="B680" s="551"/>
      <c r="C680" s="551"/>
      <c r="D680" s="551"/>
      <c r="E680" s="551"/>
      <c r="F680" s="551"/>
      <c r="G680" s="551"/>
      <c r="H680" s="551"/>
      <c r="I680" s="551"/>
      <c r="J680" s="551"/>
      <c r="K680" s="551"/>
      <c r="L680" s="551"/>
      <c r="M680" s="551"/>
      <c r="N680" s="551"/>
      <c r="O680" s="551"/>
      <c r="P680" s="551"/>
      <c r="Q680" s="551"/>
      <c r="R680" s="551"/>
      <c r="S680" s="551"/>
      <c r="T680" s="551"/>
      <c r="U680" s="551"/>
      <c r="V680" s="551"/>
      <c r="W680" s="551"/>
      <c r="X680" s="551"/>
      <c r="Y680" s="551"/>
      <c r="Z680" s="551"/>
      <c r="AA680" s="551"/>
      <c r="AB680" s="551"/>
      <c r="AC680" s="551"/>
      <c r="AD680" s="551"/>
      <c r="AE680" s="551"/>
      <c r="AF680" s="551"/>
      <c r="AG680" s="551"/>
      <c r="AH680" s="551"/>
      <c r="AI680" s="551"/>
      <c r="AJ680" s="551"/>
      <c r="AK680" s="551"/>
      <c r="AL680" s="551"/>
      <c r="AM680" s="551"/>
      <c r="AN680" s="551"/>
      <c r="AO680" s="551"/>
      <c r="AP680" s="551"/>
      <c r="AQ680" s="551"/>
      <c r="AR680" s="551"/>
      <c r="AS680" s="551"/>
      <c r="AT680" s="551"/>
      <c r="AU680" s="551"/>
      <c r="AV680" s="551"/>
      <c r="AW680" s="551"/>
      <c r="AX680" s="551"/>
      <c r="AY680" s="551"/>
      <c r="AZ680" s="551"/>
      <c r="BA680" s="551"/>
      <c r="BB680" s="551"/>
      <c r="BC680" s="551"/>
      <c r="BD680" s="551"/>
      <c r="BE680" s="551"/>
      <c r="BF680" s="551"/>
      <c r="BG680" s="551"/>
      <c r="BH680" s="551"/>
      <c r="BI680" s="551"/>
      <c r="BJ680" s="551"/>
      <c r="BK680" s="551"/>
    </row>
    <row r="681" spans="1:63" ht="12.75" customHeight="1">
      <c r="A681" s="551"/>
      <c r="B681" s="551"/>
      <c r="C681" s="551"/>
      <c r="D681" s="551"/>
      <c r="E681" s="551"/>
      <c r="F681" s="551"/>
      <c r="G681" s="551"/>
      <c r="H681" s="551"/>
      <c r="I681" s="551"/>
      <c r="J681" s="551"/>
      <c r="K681" s="551"/>
      <c r="L681" s="551"/>
      <c r="M681" s="551"/>
      <c r="N681" s="551"/>
      <c r="O681" s="551"/>
      <c r="P681" s="551"/>
      <c r="Q681" s="551"/>
      <c r="R681" s="551"/>
      <c r="S681" s="551"/>
      <c r="T681" s="551"/>
      <c r="U681" s="551"/>
      <c r="V681" s="551"/>
      <c r="W681" s="551"/>
      <c r="X681" s="551"/>
      <c r="Y681" s="551"/>
      <c r="Z681" s="551"/>
      <c r="AA681" s="551"/>
      <c r="AB681" s="551"/>
      <c r="AC681" s="551"/>
      <c r="AD681" s="551"/>
      <c r="AE681" s="551"/>
      <c r="AF681" s="551"/>
      <c r="AG681" s="551"/>
      <c r="AH681" s="551"/>
      <c r="AI681" s="551"/>
      <c r="AJ681" s="551"/>
      <c r="AK681" s="551"/>
      <c r="AL681" s="551"/>
      <c r="AM681" s="551"/>
      <c r="AN681" s="551"/>
      <c r="AO681" s="551"/>
      <c r="AP681" s="551"/>
      <c r="AQ681" s="551"/>
      <c r="AR681" s="551"/>
      <c r="AS681" s="551"/>
      <c r="AT681" s="551"/>
      <c r="AU681" s="551"/>
      <c r="AV681" s="551"/>
      <c r="AW681" s="551"/>
      <c r="AX681" s="551"/>
      <c r="AY681" s="551"/>
      <c r="AZ681" s="551"/>
      <c r="BA681" s="551"/>
      <c r="BB681" s="551"/>
      <c r="BC681" s="551"/>
      <c r="BD681" s="551"/>
      <c r="BE681" s="551"/>
      <c r="BF681" s="551"/>
      <c r="BG681" s="551"/>
      <c r="BH681" s="551"/>
      <c r="BI681" s="551"/>
      <c r="BJ681" s="551"/>
      <c r="BK681" s="551"/>
    </row>
    <row r="682" spans="1:63" ht="12.75" customHeight="1">
      <c r="A682" s="551"/>
      <c r="B682" s="551"/>
      <c r="C682" s="551"/>
      <c r="D682" s="551"/>
      <c r="E682" s="551"/>
      <c r="F682" s="551"/>
      <c r="G682" s="551"/>
      <c r="H682" s="551"/>
      <c r="I682" s="551"/>
      <c r="J682" s="551"/>
      <c r="K682" s="551"/>
      <c r="L682" s="551"/>
      <c r="M682" s="551"/>
      <c r="N682" s="551"/>
      <c r="O682" s="551"/>
      <c r="P682" s="551"/>
      <c r="Q682" s="551"/>
      <c r="R682" s="551"/>
      <c r="S682" s="551"/>
      <c r="T682" s="551"/>
      <c r="U682" s="551"/>
      <c r="V682" s="551"/>
      <c r="W682" s="551"/>
      <c r="X682" s="551"/>
      <c r="Y682" s="551"/>
      <c r="Z682" s="551"/>
      <c r="AA682" s="551"/>
      <c r="AB682" s="551"/>
      <c r="AC682" s="551"/>
      <c r="AD682" s="551"/>
      <c r="AE682" s="551"/>
      <c r="AF682" s="551"/>
      <c r="AG682" s="551"/>
      <c r="AH682" s="551"/>
      <c r="AI682" s="551"/>
      <c r="AJ682" s="551"/>
      <c r="AK682" s="551"/>
      <c r="AL682" s="551"/>
      <c r="AM682" s="551"/>
      <c r="AN682" s="551"/>
      <c r="AO682" s="551"/>
      <c r="AP682" s="551"/>
      <c r="AQ682" s="551"/>
      <c r="AR682" s="551"/>
      <c r="AS682" s="551"/>
      <c r="AT682" s="551"/>
      <c r="AU682" s="551"/>
      <c r="AV682" s="551"/>
      <c r="AW682" s="551"/>
      <c r="AX682" s="551"/>
      <c r="AY682" s="551"/>
      <c r="AZ682" s="551"/>
      <c r="BA682" s="551"/>
      <c r="BB682" s="551"/>
      <c r="BC682" s="551"/>
      <c r="BD682" s="551"/>
      <c r="BE682" s="551"/>
      <c r="BF682" s="551"/>
      <c r="BG682" s="551"/>
      <c r="BH682" s="551"/>
      <c r="BI682" s="551"/>
      <c r="BJ682" s="551"/>
      <c r="BK682" s="551"/>
    </row>
    <row r="683" spans="1:63" ht="12.75" customHeight="1">
      <c r="A683" s="551"/>
      <c r="B683" s="551"/>
      <c r="C683" s="551"/>
      <c r="D683" s="551"/>
      <c r="E683" s="551"/>
      <c r="F683" s="551"/>
      <c r="G683" s="551"/>
      <c r="H683" s="551"/>
      <c r="I683" s="551"/>
      <c r="J683" s="551"/>
      <c r="K683" s="551"/>
      <c r="L683" s="551"/>
      <c r="M683" s="551"/>
      <c r="N683" s="551"/>
      <c r="O683" s="551"/>
      <c r="P683" s="551"/>
      <c r="Q683" s="551"/>
      <c r="R683" s="551"/>
      <c r="S683" s="551"/>
      <c r="T683" s="551"/>
      <c r="U683" s="551"/>
      <c r="V683" s="551"/>
      <c r="W683" s="551"/>
      <c r="X683" s="551"/>
      <c r="Y683" s="551"/>
      <c r="Z683" s="551"/>
      <c r="AA683" s="551"/>
      <c r="AB683" s="551"/>
      <c r="AC683" s="551"/>
      <c r="AD683" s="551"/>
      <c r="AE683" s="551"/>
      <c r="AF683" s="551"/>
      <c r="AG683" s="551"/>
      <c r="AH683" s="551"/>
      <c r="AI683" s="551"/>
      <c r="AJ683" s="551"/>
      <c r="AK683" s="551"/>
      <c r="AL683" s="551"/>
      <c r="AM683" s="551"/>
      <c r="AN683" s="551"/>
      <c r="AO683" s="551"/>
      <c r="AP683" s="551"/>
      <c r="AQ683" s="551"/>
      <c r="AR683" s="551"/>
      <c r="AS683" s="551"/>
      <c r="AT683" s="551"/>
      <c r="AU683" s="551"/>
      <c r="AV683" s="551"/>
      <c r="AW683" s="551"/>
      <c r="AX683" s="551"/>
      <c r="AY683" s="551"/>
      <c r="AZ683" s="551"/>
      <c r="BA683" s="551"/>
      <c r="BB683" s="551"/>
      <c r="BC683" s="551"/>
      <c r="BD683" s="551"/>
      <c r="BE683" s="551"/>
      <c r="BF683" s="551"/>
      <c r="BG683" s="551"/>
      <c r="BH683" s="551"/>
      <c r="BI683" s="551"/>
      <c r="BJ683" s="551"/>
      <c r="BK683" s="551"/>
    </row>
    <row r="684" spans="1:63" ht="12.75" customHeight="1">
      <c r="A684" s="551"/>
      <c r="B684" s="551"/>
      <c r="C684" s="551"/>
      <c r="D684" s="551"/>
      <c r="E684" s="551"/>
      <c r="F684" s="551"/>
      <c r="G684" s="551"/>
      <c r="H684" s="551"/>
      <c r="I684" s="551"/>
      <c r="J684" s="551"/>
      <c r="K684" s="551"/>
      <c r="L684" s="551"/>
      <c r="M684" s="551"/>
      <c r="N684" s="551"/>
      <c r="O684" s="551"/>
      <c r="P684" s="551"/>
      <c r="Q684" s="551"/>
      <c r="R684" s="551"/>
      <c r="S684" s="551"/>
      <c r="T684" s="551"/>
      <c r="U684" s="551"/>
      <c r="V684" s="551"/>
      <c r="W684" s="551"/>
      <c r="X684" s="551"/>
      <c r="Y684" s="551"/>
      <c r="Z684" s="551"/>
      <c r="AA684" s="551"/>
      <c r="AB684" s="551"/>
      <c r="AC684" s="551"/>
      <c r="AD684" s="551"/>
      <c r="AE684" s="551"/>
      <c r="AF684" s="551"/>
      <c r="AG684" s="551"/>
      <c r="AH684" s="551"/>
      <c r="AI684" s="551"/>
      <c r="AJ684" s="551"/>
      <c r="AK684" s="551"/>
      <c r="AL684" s="551"/>
      <c r="AM684" s="551"/>
      <c r="AN684" s="551"/>
      <c r="AO684" s="551"/>
      <c r="AP684" s="551"/>
      <c r="AQ684" s="551"/>
      <c r="AR684" s="551"/>
      <c r="AS684" s="551"/>
      <c r="AT684" s="551"/>
      <c r="AU684" s="551"/>
      <c r="AV684" s="551"/>
      <c r="AW684" s="551"/>
      <c r="AX684" s="551"/>
      <c r="AY684" s="551"/>
      <c r="AZ684" s="551"/>
      <c r="BA684" s="551"/>
      <c r="BB684" s="551"/>
      <c r="BC684" s="551"/>
      <c r="BD684" s="551"/>
      <c r="BE684" s="551"/>
      <c r="BF684" s="551"/>
      <c r="BG684" s="551"/>
      <c r="BH684" s="551"/>
      <c r="BI684" s="551"/>
      <c r="BJ684" s="551"/>
      <c r="BK684" s="551"/>
    </row>
    <row r="685" spans="1:63" ht="12.75" customHeight="1">
      <c r="A685" s="551"/>
      <c r="B685" s="551"/>
      <c r="C685" s="551"/>
      <c r="D685" s="551"/>
      <c r="E685" s="551"/>
      <c r="F685" s="551"/>
      <c r="G685" s="551"/>
      <c r="H685" s="551"/>
      <c r="I685" s="551"/>
      <c r="J685" s="551"/>
      <c r="K685" s="551"/>
      <c r="L685" s="551"/>
      <c r="M685" s="551"/>
      <c r="N685" s="551"/>
      <c r="O685" s="551"/>
      <c r="P685" s="551"/>
      <c r="Q685" s="551"/>
      <c r="R685" s="551"/>
      <c r="S685" s="551"/>
      <c r="T685" s="551"/>
      <c r="U685" s="551"/>
      <c r="V685" s="551"/>
      <c r="W685" s="551"/>
      <c r="X685" s="551"/>
      <c r="Y685" s="551"/>
      <c r="Z685" s="551"/>
      <c r="AA685" s="551"/>
      <c r="AB685" s="551"/>
      <c r="AC685" s="551"/>
      <c r="AD685" s="551"/>
      <c r="AE685" s="551"/>
      <c r="AF685" s="551"/>
      <c r="AG685" s="551"/>
      <c r="AH685" s="551"/>
      <c r="AI685" s="551"/>
      <c r="AJ685" s="551"/>
      <c r="AK685" s="551"/>
      <c r="AL685" s="551"/>
      <c r="AM685" s="551"/>
      <c r="AN685" s="551"/>
      <c r="AO685" s="551"/>
      <c r="AP685" s="551"/>
      <c r="AQ685" s="551"/>
      <c r="AR685" s="551"/>
      <c r="AS685" s="551"/>
      <c r="AT685" s="551"/>
      <c r="AU685" s="551"/>
      <c r="AV685" s="551"/>
      <c r="AW685" s="551"/>
      <c r="AX685" s="551"/>
      <c r="AY685" s="551"/>
      <c r="AZ685" s="551"/>
      <c r="BA685" s="551"/>
      <c r="BB685" s="551"/>
      <c r="BC685" s="551"/>
      <c r="BD685" s="551"/>
      <c r="BE685" s="551"/>
      <c r="BF685" s="551"/>
      <c r="BG685" s="551"/>
      <c r="BH685" s="551"/>
      <c r="BI685" s="551"/>
      <c r="BJ685" s="551"/>
      <c r="BK685" s="551"/>
    </row>
    <row r="686" spans="1:63" ht="12.75" customHeight="1">
      <c r="A686" s="551"/>
      <c r="B686" s="551"/>
      <c r="C686" s="551"/>
      <c r="D686" s="551"/>
      <c r="E686" s="551"/>
      <c r="F686" s="551"/>
      <c r="G686" s="551"/>
      <c r="H686" s="551"/>
      <c r="I686" s="551"/>
      <c r="J686" s="551"/>
      <c r="K686" s="551"/>
      <c r="L686" s="551"/>
      <c r="M686" s="551"/>
      <c r="N686" s="551"/>
      <c r="O686" s="551"/>
      <c r="P686" s="551"/>
      <c r="Q686" s="551"/>
      <c r="R686" s="551"/>
      <c r="S686" s="551"/>
      <c r="T686" s="551"/>
      <c r="U686" s="551"/>
      <c r="V686" s="551"/>
      <c r="W686" s="551"/>
      <c r="X686" s="551"/>
      <c r="Y686" s="551"/>
      <c r="Z686" s="551"/>
      <c r="AA686" s="551"/>
      <c r="AB686" s="551"/>
      <c r="AC686" s="551"/>
      <c r="AD686" s="551"/>
      <c r="AE686" s="551"/>
      <c r="AF686" s="551"/>
      <c r="AG686" s="551"/>
      <c r="AH686" s="551"/>
      <c r="AI686" s="551"/>
      <c r="AJ686" s="551"/>
      <c r="AK686" s="551"/>
      <c r="AL686" s="551"/>
      <c r="AM686" s="551"/>
      <c r="AN686" s="551"/>
      <c r="AO686" s="551"/>
      <c r="AP686" s="551"/>
      <c r="AQ686" s="551"/>
      <c r="AR686" s="551"/>
      <c r="AS686" s="551"/>
      <c r="AT686" s="551"/>
      <c r="AU686" s="551"/>
      <c r="AV686" s="551"/>
      <c r="AW686" s="551"/>
      <c r="AX686" s="551"/>
      <c r="AY686" s="551"/>
      <c r="AZ686" s="551"/>
      <c r="BA686" s="551"/>
      <c r="BB686" s="551"/>
      <c r="BC686" s="551"/>
      <c r="BD686" s="551"/>
      <c r="BE686" s="551"/>
      <c r="BF686" s="551"/>
      <c r="BG686" s="551"/>
      <c r="BH686" s="551"/>
      <c r="BI686" s="551"/>
      <c r="BJ686" s="551"/>
      <c r="BK686" s="551"/>
    </row>
    <row r="687" spans="1:63" ht="12.75" customHeight="1">
      <c r="A687" s="551"/>
      <c r="B687" s="551"/>
      <c r="C687" s="551"/>
      <c r="D687" s="551"/>
      <c r="E687" s="551"/>
      <c r="F687" s="551"/>
      <c r="G687" s="551"/>
      <c r="H687" s="551"/>
      <c r="I687" s="551"/>
      <c r="J687" s="551"/>
      <c r="K687" s="551"/>
      <c r="L687" s="551"/>
      <c r="M687" s="551"/>
      <c r="N687" s="551"/>
      <c r="O687" s="551"/>
      <c r="P687" s="551"/>
      <c r="Q687" s="551"/>
      <c r="R687" s="551"/>
      <c r="S687" s="551"/>
      <c r="T687" s="551"/>
      <c r="U687" s="551"/>
      <c r="V687" s="551"/>
      <c r="W687" s="551"/>
      <c r="X687" s="551"/>
      <c r="Y687" s="551"/>
      <c r="Z687" s="551"/>
      <c r="AA687" s="551"/>
      <c r="AB687" s="551"/>
      <c r="AC687" s="551"/>
      <c r="AD687" s="551"/>
      <c r="AE687" s="551"/>
      <c r="AF687" s="551"/>
      <c r="AG687" s="551"/>
      <c r="AH687" s="551"/>
      <c r="AI687" s="551"/>
      <c r="AJ687" s="551"/>
      <c r="AK687" s="551"/>
      <c r="AL687" s="551"/>
      <c r="AM687" s="551"/>
      <c r="AN687" s="551"/>
      <c r="AO687" s="551"/>
      <c r="AP687" s="551"/>
      <c r="AQ687" s="551"/>
      <c r="AR687" s="551"/>
      <c r="AS687" s="551"/>
      <c r="AT687" s="551"/>
      <c r="AU687" s="551"/>
      <c r="AV687" s="551"/>
      <c r="AW687" s="551"/>
      <c r="AX687" s="551"/>
      <c r="AY687" s="551"/>
      <c r="AZ687" s="551"/>
      <c r="BA687" s="551"/>
      <c r="BB687" s="551"/>
      <c r="BC687" s="551"/>
      <c r="BD687" s="551"/>
      <c r="BE687" s="551"/>
      <c r="BF687" s="551"/>
      <c r="BG687" s="551"/>
      <c r="BH687" s="551"/>
      <c r="BI687" s="551"/>
      <c r="BJ687" s="551"/>
      <c r="BK687" s="551"/>
    </row>
    <row r="688" spans="1:63" ht="12.75" customHeight="1">
      <c r="A688" s="551"/>
      <c r="B688" s="551"/>
      <c r="C688" s="551"/>
      <c r="D688" s="551"/>
      <c r="E688" s="551"/>
      <c r="F688" s="551"/>
      <c r="G688" s="551"/>
      <c r="H688" s="551"/>
      <c r="I688" s="551"/>
      <c r="J688" s="551"/>
      <c r="K688" s="551"/>
      <c r="L688" s="551"/>
      <c r="M688" s="551"/>
      <c r="N688" s="551"/>
      <c r="O688" s="551"/>
      <c r="P688" s="551"/>
      <c r="Q688" s="551"/>
      <c r="R688" s="551"/>
      <c r="S688" s="551"/>
      <c r="T688" s="551"/>
      <c r="U688" s="551"/>
      <c r="V688" s="551"/>
      <c r="W688" s="551"/>
      <c r="X688" s="551"/>
      <c r="Y688" s="551"/>
      <c r="Z688" s="551"/>
      <c r="AA688" s="551"/>
      <c r="AB688" s="551"/>
      <c r="AC688" s="551"/>
      <c r="AD688" s="551"/>
      <c r="AE688" s="551"/>
      <c r="AF688" s="551"/>
      <c r="AG688" s="551"/>
      <c r="AH688" s="551"/>
      <c r="AI688" s="551"/>
      <c r="AJ688" s="551"/>
      <c r="AK688" s="551"/>
      <c r="AL688" s="551"/>
      <c r="AM688" s="551"/>
      <c r="AN688" s="551"/>
      <c r="AO688" s="551"/>
      <c r="AP688" s="551"/>
      <c r="AQ688" s="551"/>
      <c r="AR688" s="551"/>
      <c r="AS688" s="551"/>
      <c r="AT688" s="551"/>
      <c r="AU688" s="551"/>
      <c r="AV688" s="551"/>
      <c r="AW688" s="551"/>
      <c r="AX688" s="551"/>
      <c r="AY688" s="551"/>
      <c r="AZ688" s="551"/>
      <c r="BA688" s="551"/>
      <c r="BB688" s="551"/>
      <c r="BC688" s="551"/>
      <c r="BD688" s="551"/>
      <c r="BE688" s="551"/>
      <c r="BF688" s="551"/>
      <c r="BG688" s="551"/>
      <c r="BH688" s="551"/>
      <c r="BI688" s="551"/>
      <c r="BJ688" s="551"/>
      <c r="BK688" s="551"/>
    </row>
    <row r="689" spans="1:63" ht="12.75" customHeight="1">
      <c r="A689" s="551"/>
      <c r="B689" s="551"/>
      <c r="C689" s="551"/>
      <c r="D689" s="551"/>
      <c r="E689" s="551"/>
      <c r="F689" s="551"/>
      <c r="G689" s="551"/>
      <c r="H689" s="551"/>
      <c r="I689" s="551"/>
      <c r="J689" s="551"/>
      <c r="K689" s="551"/>
      <c r="L689" s="551"/>
      <c r="M689" s="551"/>
      <c r="N689" s="551"/>
      <c r="O689" s="551"/>
      <c r="P689" s="551"/>
      <c r="Q689" s="551"/>
      <c r="R689" s="551"/>
      <c r="S689" s="551"/>
      <c r="T689" s="551"/>
      <c r="U689" s="551"/>
      <c r="V689" s="551"/>
      <c r="W689" s="551"/>
      <c r="X689" s="551"/>
      <c r="Y689" s="551"/>
      <c r="Z689" s="551"/>
      <c r="AA689" s="551"/>
      <c r="AB689" s="551"/>
      <c r="AC689" s="551"/>
      <c r="AD689" s="551"/>
      <c r="AE689" s="551"/>
      <c r="AF689" s="551"/>
      <c r="AG689" s="551"/>
      <c r="AH689" s="551"/>
      <c r="AI689" s="551"/>
      <c r="AJ689" s="551"/>
      <c r="AK689" s="551"/>
      <c r="AL689" s="551"/>
      <c r="AM689" s="551"/>
      <c r="AN689" s="551"/>
      <c r="AO689" s="551"/>
      <c r="AP689" s="551"/>
      <c r="AQ689" s="551"/>
      <c r="AR689" s="551"/>
      <c r="AS689" s="551"/>
      <c r="AT689" s="551"/>
      <c r="AU689" s="551"/>
      <c r="AV689" s="551"/>
      <c r="AW689" s="551"/>
      <c r="AX689" s="551"/>
      <c r="AY689" s="551"/>
      <c r="AZ689" s="551"/>
      <c r="BA689" s="551"/>
      <c r="BB689" s="551"/>
      <c r="BC689" s="551"/>
      <c r="BD689" s="551"/>
      <c r="BE689" s="551"/>
      <c r="BF689" s="551"/>
      <c r="BG689" s="551"/>
      <c r="BH689" s="551"/>
      <c r="BI689" s="551"/>
      <c r="BJ689" s="551"/>
      <c r="BK689" s="551"/>
    </row>
    <row r="690" spans="1:63" ht="12.75" customHeight="1">
      <c r="A690" s="551"/>
      <c r="B690" s="551"/>
      <c r="C690" s="551"/>
      <c r="D690" s="551"/>
      <c r="E690" s="551"/>
      <c r="F690" s="551"/>
      <c r="G690" s="551"/>
      <c r="H690" s="551"/>
      <c r="I690" s="551"/>
      <c r="J690" s="551"/>
      <c r="K690" s="551"/>
      <c r="L690" s="551"/>
      <c r="M690" s="551"/>
      <c r="N690" s="551"/>
      <c r="O690" s="551"/>
      <c r="P690" s="551"/>
      <c r="Q690" s="551"/>
      <c r="R690" s="551"/>
      <c r="S690" s="551"/>
      <c r="T690" s="551"/>
      <c r="U690" s="551"/>
      <c r="V690" s="551"/>
      <c r="W690" s="551"/>
      <c r="X690" s="551"/>
      <c r="Y690" s="551"/>
      <c r="Z690" s="551"/>
      <c r="AA690" s="551"/>
      <c r="AB690" s="551"/>
      <c r="AC690" s="551"/>
      <c r="AD690" s="551"/>
      <c r="AE690" s="551"/>
      <c r="AF690" s="551"/>
      <c r="AG690" s="551"/>
      <c r="AH690" s="551"/>
      <c r="AI690" s="551"/>
      <c r="AJ690" s="551"/>
      <c r="AK690" s="551"/>
      <c r="AL690" s="551"/>
      <c r="AM690" s="551"/>
      <c r="AN690" s="551"/>
      <c r="AO690" s="551"/>
      <c r="AP690" s="551"/>
      <c r="AQ690" s="551"/>
      <c r="AR690" s="551"/>
      <c r="AS690" s="551"/>
      <c r="AT690" s="551"/>
      <c r="AU690" s="551"/>
      <c r="AV690" s="551"/>
      <c r="AW690" s="551"/>
      <c r="AX690" s="551"/>
      <c r="AY690" s="551"/>
      <c r="AZ690" s="551"/>
      <c r="BA690" s="551"/>
      <c r="BB690" s="551"/>
      <c r="BC690" s="551"/>
      <c r="BD690" s="551"/>
      <c r="BE690" s="551"/>
      <c r="BF690" s="551"/>
      <c r="BG690" s="551"/>
      <c r="BH690" s="551"/>
      <c r="BI690" s="551"/>
      <c r="BJ690" s="551"/>
      <c r="BK690" s="551"/>
    </row>
    <row r="691" spans="1:63" ht="12.75" customHeight="1">
      <c r="A691" s="551"/>
      <c r="B691" s="551"/>
      <c r="C691" s="551"/>
      <c r="D691" s="551"/>
      <c r="E691" s="551"/>
      <c r="F691" s="551"/>
      <c r="G691" s="551"/>
      <c r="H691" s="551"/>
      <c r="I691" s="551"/>
      <c r="J691" s="551"/>
      <c r="K691" s="551"/>
      <c r="L691" s="551"/>
      <c r="M691" s="551"/>
      <c r="N691" s="551"/>
      <c r="O691" s="551"/>
      <c r="P691" s="551"/>
      <c r="Q691" s="551"/>
      <c r="R691" s="551"/>
      <c r="S691" s="551"/>
      <c r="T691" s="551"/>
      <c r="U691" s="551"/>
      <c r="V691" s="551"/>
      <c r="W691" s="551"/>
      <c r="X691" s="551"/>
      <c r="Y691" s="551"/>
      <c r="Z691" s="551"/>
      <c r="AA691" s="551"/>
      <c r="AB691" s="551"/>
      <c r="AC691" s="551"/>
      <c r="AD691" s="551"/>
      <c r="AE691" s="551"/>
      <c r="AF691" s="551"/>
      <c r="AG691" s="551"/>
      <c r="AH691" s="551"/>
      <c r="AI691" s="551"/>
      <c r="AJ691" s="551"/>
      <c r="AK691" s="551"/>
      <c r="AL691" s="551"/>
      <c r="AM691" s="551"/>
      <c r="AN691" s="551"/>
      <c r="AO691" s="551"/>
      <c r="AP691" s="551"/>
      <c r="AQ691" s="551"/>
      <c r="AR691" s="551"/>
      <c r="AS691" s="551"/>
      <c r="AT691" s="551"/>
      <c r="AU691" s="551"/>
      <c r="AV691" s="551"/>
      <c r="AW691" s="551"/>
      <c r="AX691" s="551"/>
      <c r="AY691" s="551"/>
      <c r="AZ691" s="551"/>
      <c r="BA691" s="551"/>
      <c r="BB691" s="551"/>
      <c r="BC691" s="551"/>
      <c r="BD691" s="551"/>
      <c r="BE691" s="551"/>
      <c r="BF691" s="551"/>
      <c r="BG691" s="551"/>
      <c r="BH691" s="551"/>
      <c r="BI691" s="551"/>
      <c r="BJ691" s="551"/>
      <c r="BK691" s="551"/>
    </row>
    <row r="692" spans="1:63" ht="12.75" customHeight="1">
      <c r="A692" s="551"/>
      <c r="B692" s="551"/>
      <c r="C692" s="551"/>
      <c r="D692" s="551"/>
      <c r="E692" s="551"/>
      <c r="F692" s="551"/>
      <c r="G692" s="551"/>
      <c r="H692" s="551"/>
      <c r="I692" s="551"/>
      <c r="J692" s="551"/>
      <c r="K692" s="551"/>
      <c r="L692" s="551"/>
      <c r="M692" s="551"/>
      <c r="N692" s="551"/>
      <c r="O692" s="551"/>
      <c r="P692" s="551"/>
      <c r="Q692" s="551"/>
      <c r="R692" s="551"/>
      <c r="S692" s="551"/>
      <c r="T692" s="551"/>
      <c r="U692" s="551"/>
      <c r="V692" s="551"/>
      <c r="W692" s="551"/>
      <c r="X692" s="551"/>
      <c r="Y692" s="551"/>
      <c r="Z692" s="551"/>
      <c r="AA692" s="551"/>
      <c r="AB692" s="551"/>
      <c r="AC692" s="551"/>
      <c r="AD692" s="551"/>
      <c r="AE692" s="551"/>
      <c r="AF692" s="551"/>
      <c r="AG692" s="551"/>
      <c r="AH692" s="551"/>
      <c r="AI692" s="551"/>
      <c r="AJ692" s="551"/>
      <c r="AK692" s="551"/>
      <c r="AL692" s="551"/>
      <c r="AM692" s="551"/>
      <c r="AN692" s="551"/>
      <c r="AO692" s="551"/>
      <c r="AP692" s="551"/>
      <c r="AQ692" s="551"/>
      <c r="AR692" s="551"/>
      <c r="AS692" s="551"/>
      <c r="AT692" s="551"/>
      <c r="AU692" s="551"/>
      <c r="AV692" s="551"/>
      <c r="AW692" s="551"/>
      <c r="AX692" s="551"/>
      <c r="AY692" s="551"/>
      <c r="AZ692" s="551"/>
      <c r="BA692" s="551"/>
      <c r="BB692" s="551"/>
      <c r="BC692" s="551"/>
      <c r="BD692" s="551"/>
      <c r="BE692" s="551"/>
      <c r="BF692" s="551"/>
      <c r="BG692" s="551"/>
      <c r="BH692" s="551"/>
      <c r="BI692" s="551"/>
      <c r="BJ692" s="551"/>
      <c r="BK692" s="551"/>
    </row>
    <row r="693" spans="1:63" ht="12.75" customHeight="1">
      <c r="A693" s="551"/>
      <c r="B693" s="551"/>
      <c r="C693" s="551"/>
      <c r="D693" s="551"/>
      <c r="E693" s="551"/>
      <c r="F693" s="551"/>
      <c r="G693" s="551"/>
      <c r="H693" s="551"/>
      <c r="I693" s="551"/>
      <c r="J693" s="551"/>
      <c r="K693" s="551"/>
      <c r="L693" s="551"/>
      <c r="M693" s="551"/>
      <c r="N693" s="551"/>
      <c r="O693" s="551"/>
      <c r="P693" s="551"/>
      <c r="Q693" s="551"/>
      <c r="R693" s="551"/>
      <c r="S693" s="551"/>
      <c r="T693" s="551"/>
      <c r="U693" s="551"/>
      <c r="V693" s="551"/>
      <c r="W693" s="551"/>
      <c r="X693" s="551"/>
      <c r="Y693" s="551"/>
      <c r="Z693" s="551"/>
      <c r="AA693" s="551"/>
      <c r="AB693" s="551"/>
      <c r="AC693" s="551"/>
      <c r="AD693" s="551"/>
      <c r="AE693" s="551"/>
      <c r="AF693" s="551"/>
      <c r="AG693" s="551"/>
      <c r="AH693" s="551"/>
      <c r="AI693" s="551"/>
      <c r="AJ693" s="551"/>
      <c r="AK693" s="551"/>
      <c r="AL693" s="551"/>
      <c r="AM693" s="551"/>
      <c r="AN693" s="551"/>
      <c r="AO693" s="551"/>
      <c r="AP693" s="551"/>
      <c r="AQ693" s="551"/>
      <c r="AR693" s="551"/>
      <c r="AS693" s="551"/>
      <c r="AT693" s="551"/>
      <c r="AU693" s="551"/>
      <c r="AV693" s="551"/>
      <c r="AW693" s="551"/>
      <c r="AX693" s="551"/>
      <c r="AY693" s="551"/>
      <c r="AZ693" s="551"/>
      <c r="BA693" s="551"/>
      <c r="BB693" s="551"/>
      <c r="BC693" s="551"/>
      <c r="BD693" s="551"/>
      <c r="BE693" s="551"/>
      <c r="BF693" s="551"/>
      <c r="BG693" s="551"/>
      <c r="BH693" s="551"/>
      <c r="BI693" s="551"/>
      <c r="BJ693" s="551"/>
      <c r="BK693" s="551"/>
    </row>
    <row r="694" spans="1:63" ht="12.75" customHeight="1">
      <c r="A694" s="551"/>
      <c r="B694" s="551"/>
      <c r="C694" s="551"/>
      <c r="D694" s="551"/>
      <c r="E694" s="551"/>
      <c r="F694" s="551"/>
      <c r="G694" s="551"/>
      <c r="H694" s="551"/>
      <c r="I694" s="551"/>
      <c r="J694" s="551"/>
      <c r="K694" s="551"/>
      <c r="L694" s="551"/>
      <c r="M694" s="551"/>
      <c r="N694" s="551"/>
      <c r="O694" s="551"/>
      <c r="P694" s="551"/>
      <c r="Q694" s="551"/>
      <c r="R694" s="551"/>
      <c r="S694" s="551"/>
      <c r="T694" s="551"/>
      <c r="U694" s="551"/>
      <c r="V694" s="551"/>
      <c r="W694" s="551"/>
      <c r="X694" s="551"/>
      <c r="Y694" s="551"/>
      <c r="Z694" s="551"/>
      <c r="AA694" s="551"/>
      <c r="AB694" s="551"/>
      <c r="AC694" s="551"/>
      <c r="AD694" s="551"/>
      <c r="AE694" s="551"/>
      <c r="AF694" s="551"/>
      <c r="AG694" s="551"/>
      <c r="AH694" s="551"/>
      <c r="AI694" s="551"/>
      <c r="AJ694" s="551"/>
      <c r="AK694" s="551"/>
      <c r="AL694" s="551"/>
      <c r="AM694" s="551"/>
      <c r="AN694" s="551"/>
      <c r="AO694" s="551"/>
      <c r="AP694" s="551"/>
      <c r="AQ694" s="551"/>
      <c r="AR694" s="551"/>
      <c r="AS694" s="551"/>
      <c r="AT694" s="551"/>
      <c r="AU694" s="551"/>
      <c r="AV694" s="551"/>
      <c r="AW694" s="551"/>
      <c r="AX694" s="551"/>
      <c r="AY694" s="551"/>
      <c r="AZ694" s="551"/>
      <c r="BA694" s="551"/>
      <c r="BB694" s="551"/>
      <c r="BC694" s="551"/>
      <c r="BD694" s="551"/>
      <c r="BE694" s="551"/>
      <c r="BF694" s="551"/>
      <c r="BG694" s="551"/>
      <c r="BH694" s="551"/>
      <c r="BI694" s="551"/>
      <c r="BJ694" s="551"/>
      <c r="BK694" s="551"/>
    </row>
    <row r="695" spans="1:63" ht="12.75" customHeight="1">
      <c r="A695" s="551"/>
      <c r="B695" s="551"/>
      <c r="C695" s="551"/>
      <c r="D695" s="551"/>
      <c r="E695" s="551"/>
      <c r="F695" s="551"/>
      <c r="G695" s="551"/>
      <c r="H695" s="551"/>
      <c r="I695" s="551"/>
      <c r="J695" s="551"/>
      <c r="K695" s="551"/>
      <c r="L695" s="551"/>
      <c r="M695" s="551"/>
      <c r="N695" s="551"/>
      <c r="O695" s="551"/>
      <c r="P695" s="551"/>
      <c r="Q695" s="551"/>
      <c r="R695" s="551"/>
      <c r="S695" s="551"/>
      <c r="T695" s="551"/>
      <c r="U695" s="551"/>
      <c r="V695" s="551"/>
      <c r="W695" s="551"/>
      <c r="X695" s="551"/>
      <c r="Y695" s="551"/>
      <c r="Z695" s="551"/>
      <c r="AA695" s="551"/>
      <c r="AB695" s="551"/>
      <c r="AC695" s="551"/>
      <c r="AD695" s="551"/>
      <c r="AE695" s="551"/>
      <c r="AF695" s="551"/>
      <c r="AG695" s="551"/>
      <c r="AH695" s="551"/>
      <c r="AI695" s="551"/>
      <c r="AJ695" s="551"/>
      <c r="AK695" s="551"/>
      <c r="AL695" s="551"/>
      <c r="AM695" s="551"/>
      <c r="AN695" s="551"/>
      <c r="AO695" s="551"/>
      <c r="AP695" s="551"/>
      <c r="AQ695" s="551"/>
      <c r="AR695" s="551"/>
      <c r="AS695" s="551"/>
      <c r="AT695" s="551"/>
      <c r="AU695" s="551"/>
      <c r="AV695" s="551"/>
      <c r="AW695" s="551"/>
      <c r="AX695" s="551"/>
      <c r="AY695" s="551"/>
      <c r="AZ695" s="551"/>
      <c r="BA695" s="551"/>
      <c r="BB695" s="551"/>
      <c r="BC695" s="551"/>
      <c r="BD695" s="551"/>
      <c r="BE695" s="551"/>
      <c r="BF695" s="551"/>
      <c r="BG695" s="551"/>
      <c r="BH695" s="551"/>
      <c r="BI695" s="551"/>
      <c r="BJ695" s="551"/>
      <c r="BK695" s="551"/>
    </row>
    <row r="696" spans="1:63" ht="12.75" customHeight="1">
      <c r="A696" s="551"/>
      <c r="B696" s="551"/>
      <c r="C696" s="551"/>
      <c r="D696" s="551"/>
      <c r="E696" s="551"/>
      <c r="F696" s="551"/>
      <c r="G696" s="551"/>
      <c r="H696" s="551"/>
      <c r="I696" s="551"/>
      <c r="J696" s="551"/>
      <c r="K696" s="551"/>
      <c r="L696" s="551"/>
      <c r="M696" s="551"/>
      <c r="N696" s="551"/>
      <c r="O696" s="551"/>
      <c r="P696" s="551"/>
      <c r="Q696" s="551"/>
      <c r="R696" s="551"/>
      <c r="S696" s="551"/>
      <c r="T696" s="551"/>
      <c r="U696" s="551"/>
      <c r="V696" s="551"/>
      <c r="W696" s="551"/>
      <c r="X696" s="551"/>
      <c r="Y696" s="551"/>
      <c r="Z696" s="551"/>
      <c r="AA696" s="551"/>
      <c r="AB696" s="551"/>
      <c r="AC696" s="551"/>
      <c r="AD696" s="551"/>
      <c r="AE696" s="551"/>
      <c r="AF696" s="551"/>
      <c r="AG696" s="551"/>
      <c r="AH696" s="551"/>
      <c r="AI696" s="551"/>
      <c r="AJ696" s="551"/>
      <c r="AK696" s="551"/>
      <c r="AL696" s="551"/>
      <c r="AM696" s="551"/>
      <c r="AN696" s="551"/>
      <c r="AO696" s="551"/>
      <c r="AP696" s="551"/>
      <c r="AQ696" s="551"/>
      <c r="AR696" s="551"/>
      <c r="AS696" s="551"/>
      <c r="AT696" s="551"/>
      <c r="AU696" s="551"/>
      <c r="AV696" s="551"/>
      <c r="AW696" s="551"/>
      <c r="AX696" s="551"/>
      <c r="AY696" s="551"/>
      <c r="AZ696" s="551"/>
      <c r="BA696" s="551"/>
      <c r="BB696" s="551"/>
      <c r="BC696" s="551"/>
      <c r="BD696" s="551"/>
      <c r="BE696" s="551"/>
      <c r="BF696" s="551"/>
      <c r="BG696" s="551"/>
      <c r="BH696" s="551"/>
      <c r="BI696" s="551"/>
      <c r="BJ696" s="551"/>
      <c r="BK696" s="551"/>
    </row>
    <row r="697" spans="1:63" ht="12.75" customHeight="1">
      <c r="A697" s="551"/>
      <c r="B697" s="551"/>
      <c r="C697" s="551"/>
      <c r="D697" s="551"/>
      <c r="E697" s="551"/>
      <c r="F697" s="551"/>
      <c r="G697" s="551"/>
      <c r="H697" s="551"/>
      <c r="I697" s="551"/>
      <c r="J697" s="551"/>
      <c r="K697" s="551"/>
      <c r="L697" s="551"/>
      <c r="M697" s="551"/>
      <c r="N697" s="551"/>
      <c r="O697" s="551"/>
      <c r="P697" s="551"/>
      <c r="Q697" s="551"/>
      <c r="R697" s="551"/>
      <c r="S697" s="551"/>
      <c r="T697" s="551"/>
      <c r="U697" s="551"/>
      <c r="V697" s="551"/>
      <c r="W697" s="551"/>
      <c r="X697" s="551"/>
      <c r="Y697" s="551"/>
      <c r="Z697" s="551"/>
      <c r="AA697" s="551"/>
      <c r="AB697" s="551"/>
      <c r="AC697" s="551"/>
      <c r="AD697" s="551"/>
      <c r="AE697" s="551"/>
      <c r="AF697" s="551"/>
      <c r="AG697" s="551"/>
      <c r="AH697" s="551"/>
      <c r="AI697" s="551"/>
      <c r="AJ697" s="551"/>
      <c r="AK697" s="551"/>
      <c r="AL697" s="551"/>
      <c r="AM697" s="551"/>
      <c r="AN697" s="551"/>
      <c r="AO697" s="551"/>
      <c r="AP697" s="551"/>
      <c r="AQ697" s="551"/>
      <c r="AR697" s="551"/>
      <c r="AS697" s="551"/>
      <c r="AT697" s="551"/>
      <c r="AU697" s="551"/>
      <c r="AV697" s="551"/>
      <c r="AW697" s="551"/>
      <c r="AX697" s="551"/>
      <c r="AY697" s="551"/>
      <c r="AZ697" s="551"/>
      <c r="BA697" s="551"/>
      <c r="BB697" s="551"/>
      <c r="BC697" s="551"/>
      <c r="BD697" s="551"/>
      <c r="BE697" s="551"/>
      <c r="BF697" s="551"/>
      <c r="BG697" s="551"/>
      <c r="BH697" s="551"/>
      <c r="BI697" s="551"/>
      <c r="BJ697" s="551"/>
      <c r="BK697" s="551"/>
    </row>
    <row r="698" spans="1:63" ht="12.75" customHeight="1">
      <c r="A698" s="551"/>
      <c r="B698" s="551"/>
      <c r="C698" s="551"/>
      <c r="D698" s="551"/>
      <c r="E698" s="551"/>
      <c r="F698" s="551"/>
      <c r="G698" s="551"/>
      <c r="H698" s="551"/>
      <c r="I698" s="551"/>
      <c r="J698" s="551"/>
      <c r="K698" s="551"/>
      <c r="L698" s="551"/>
      <c r="M698" s="551"/>
      <c r="N698" s="551"/>
      <c r="O698" s="551"/>
      <c r="P698" s="551"/>
      <c r="Q698" s="551"/>
      <c r="R698" s="551"/>
      <c r="S698" s="551"/>
      <c r="T698" s="551"/>
      <c r="U698" s="551"/>
      <c r="V698" s="551"/>
      <c r="W698" s="551"/>
      <c r="X698" s="551"/>
      <c r="Y698" s="551"/>
      <c r="Z698" s="551"/>
      <c r="AA698" s="551"/>
      <c r="AB698" s="551"/>
      <c r="AC698" s="551"/>
      <c r="AD698" s="551"/>
      <c r="AE698" s="551"/>
      <c r="AF698" s="551"/>
      <c r="AG698" s="551"/>
      <c r="AH698" s="551"/>
      <c r="AI698" s="551"/>
      <c r="AJ698" s="551"/>
      <c r="AK698" s="551"/>
      <c r="AL698" s="551"/>
      <c r="AM698" s="551"/>
      <c r="AN698" s="551"/>
      <c r="AO698" s="551"/>
      <c r="AP698" s="551"/>
      <c r="AQ698" s="551"/>
      <c r="AR698" s="551"/>
      <c r="AS698" s="551"/>
      <c r="AT698" s="551"/>
      <c r="AU698" s="551"/>
      <c r="AV698" s="551"/>
      <c r="AW698" s="551"/>
      <c r="AX698" s="551"/>
      <c r="AY698" s="551"/>
      <c r="AZ698" s="551"/>
      <c r="BA698" s="551"/>
      <c r="BB698" s="551"/>
      <c r="BC698" s="551"/>
      <c r="BD698" s="551"/>
      <c r="BE698" s="551"/>
      <c r="BF698" s="551"/>
      <c r="BG698" s="551"/>
      <c r="BH698" s="551"/>
      <c r="BI698" s="551"/>
      <c r="BJ698" s="551"/>
      <c r="BK698" s="551"/>
    </row>
    <row r="699" spans="1:63" ht="12.75" customHeight="1">
      <c r="A699" s="551"/>
      <c r="B699" s="551"/>
      <c r="C699" s="551"/>
      <c r="D699" s="551"/>
      <c r="E699" s="551"/>
      <c r="F699" s="551"/>
      <c r="G699" s="551"/>
      <c r="H699" s="551"/>
      <c r="I699" s="551"/>
      <c r="J699" s="551"/>
      <c r="K699" s="551"/>
      <c r="L699" s="551"/>
      <c r="M699" s="551"/>
      <c r="N699" s="551"/>
      <c r="O699" s="551"/>
      <c r="P699" s="551"/>
      <c r="Q699" s="551"/>
      <c r="R699" s="551"/>
      <c r="S699" s="551"/>
      <c r="T699" s="551"/>
      <c r="U699" s="551"/>
      <c r="V699" s="551"/>
      <c r="W699" s="551"/>
      <c r="X699" s="551"/>
      <c r="Y699" s="551"/>
      <c r="Z699" s="551"/>
      <c r="AA699" s="551"/>
      <c r="AB699" s="551"/>
      <c r="AC699" s="551"/>
      <c r="AD699" s="551"/>
      <c r="AE699" s="551"/>
      <c r="AF699" s="551"/>
      <c r="AG699" s="551"/>
      <c r="AH699" s="551"/>
      <c r="AI699" s="551"/>
      <c r="AJ699" s="551"/>
      <c r="AK699" s="551"/>
      <c r="AL699" s="551"/>
      <c r="AM699" s="551"/>
      <c r="AN699" s="551"/>
      <c r="AO699" s="551"/>
      <c r="AP699" s="551"/>
      <c r="AQ699" s="551"/>
      <c r="AR699" s="551"/>
      <c r="AS699" s="551"/>
      <c r="AT699" s="551"/>
      <c r="AU699" s="551"/>
      <c r="AV699" s="551"/>
      <c r="AW699" s="551"/>
      <c r="AX699" s="551"/>
      <c r="AY699" s="551"/>
      <c r="AZ699" s="551"/>
      <c r="BA699" s="551"/>
      <c r="BB699" s="551"/>
      <c r="BC699" s="551"/>
      <c r="BD699" s="551"/>
      <c r="BE699" s="551"/>
      <c r="BF699" s="551"/>
      <c r="BG699" s="551"/>
      <c r="BH699" s="551"/>
      <c r="BI699" s="551"/>
      <c r="BJ699" s="551"/>
      <c r="BK699" s="551"/>
    </row>
    <row r="700" spans="1:63" ht="12.75" customHeight="1">
      <c r="A700" s="551"/>
      <c r="B700" s="551"/>
      <c r="C700" s="551"/>
      <c r="D700" s="551"/>
      <c r="E700" s="551"/>
      <c r="F700" s="551"/>
      <c r="G700" s="551"/>
      <c r="H700" s="551"/>
      <c r="I700" s="551"/>
      <c r="J700" s="551"/>
      <c r="K700" s="551"/>
      <c r="L700" s="551"/>
      <c r="M700" s="551"/>
      <c r="N700" s="551"/>
      <c r="O700" s="551"/>
      <c r="P700" s="551"/>
      <c r="Q700" s="551"/>
      <c r="R700" s="551"/>
      <c r="S700" s="551"/>
      <c r="T700" s="551"/>
      <c r="U700" s="551"/>
      <c r="V700" s="551"/>
      <c r="W700" s="551"/>
      <c r="X700" s="551"/>
      <c r="Y700" s="551"/>
      <c r="Z700" s="551"/>
      <c r="AA700" s="551"/>
      <c r="AB700" s="551"/>
      <c r="AC700" s="551"/>
      <c r="AD700" s="551"/>
      <c r="AE700" s="551"/>
      <c r="AF700" s="551"/>
      <c r="AG700" s="551"/>
      <c r="AH700" s="551"/>
      <c r="AI700" s="551"/>
      <c r="AJ700" s="551"/>
      <c r="AK700" s="551"/>
      <c r="AL700" s="551"/>
      <c r="AM700" s="551"/>
      <c r="AN700" s="551"/>
      <c r="AO700" s="551"/>
      <c r="AP700" s="551"/>
      <c r="AQ700" s="551"/>
      <c r="AR700" s="551"/>
      <c r="AS700" s="551"/>
      <c r="AT700" s="551"/>
      <c r="AU700" s="551"/>
      <c r="AV700" s="551"/>
      <c r="AW700" s="551"/>
      <c r="AX700" s="551"/>
      <c r="AY700" s="551"/>
      <c r="AZ700" s="551"/>
      <c r="BA700" s="551"/>
      <c r="BB700" s="551"/>
      <c r="BC700" s="551"/>
      <c r="BD700" s="551"/>
      <c r="BE700" s="551"/>
      <c r="BF700" s="551"/>
      <c r="BG700" s="551"/>
      <c r="BH700" s="551"/>
      <c r="BI700" s="551"/>
      <c r="BJ700" s="551"/>
      <c r="BK700" s="551"/>
    </row>
    <row r="701" spans="1:63" ht="12.75" customHeight="1">
      <c r="A701" s="551"/>
      <c r="B701" s="551"/>
      <c r="C701" s="551"/>
      <c r="D701" s="551"/>
      <c r="E701" s="551"/>
      <c r="F701" s="551"/>
      <c r="G701" s="551"/>
      <c r="H701" s="551"/>
      <c r="I701" s="551"/>
      <c r="J701" s="551"/>
      <c r="K701" s="551"/>
      <c r="L701" s="551"/>
      <c r="M701" s="551"/>
      <c r="N701" s="551"/>
      <c r="O701" s="551"/>
      <c r="P701" s="551"/>
      <c r="Q701" s="551"/>
      <c r="R701" s="551"/>
      <c r="S701" s="551"/>
      <c r="T701" s="551"/>
      <c r="U701" s="551"/>
      <c r="V701" s="551"/>
      <c r="W701" s="551"/>
      <c r="X701" s="551"/>
      <c r="Y701" s="551"/>
      <c r="Z701" s="551"/>
      <c r="AA701" s="551"/>
      <c r="AB701" s="551"/>
      <c r="AC701" s="551"/>
      <c r="AD701" s="551"/>
      <c r="AE701" s="551"/>
      <c r="AF701" s="551"/>
      <c r="AG701" s="551"/>
      <c r="AH701" s="551"/>
      <c r="AI701" s="551"/>
      <c r="AJ701" s="551"/>
      <c r="AK701" s="551"/>
      <c r="AL701" s="551"/>
      <c r="AM701" s="551"/>
      <c r="AN701" s="551"/>
      <c r="AO701" s="551"/>
      <c r="AP701" s="551"/>
      <c r="AQ701" s="551"/>
      <c r="AR701" s="551"/>
      <c r="AS701" s="551"/>
      <c r="AT701" s="551"/>
      <c r="AU701" s="551"/>
      <c r="AV701" s="551"/>
      <c r="AW701" s="551"/>
      <c r="AX701" s="551"/>
      <c r="AY701" s="551"/>
      <c r="AZ701" s="551"/>
      <c r="BA701" s="551"/>
      <c r="BB701" s="551"/>
      <c r="BC701" s="551"/>
      <c r="BD701" s="551"/>
      <c r="BE701" s="551"/>
      <c r="BF701" s="551"/>
      <c r="BG701" s="551"/>
      <c r="BH701" s="551"/>
      <c r="BI701" s="551"/>
      <c r="BJ701" s="551"/>
      <c r="BK701" s="551"/>
    </row>
    <row r="702" spans="1:63" ht="12.75" customHeight="1">
      <c r="A702" s="551"/>
      <c r="B702" s="551"/>
      <c r="C702" s="551"/>
      <c r="D702" s="551"/>
      <c r="E702" s="551"/>
      <c r="F702" s="551"/>
      <c r="G702" s="551"/>
      <c r="H702" s="551"/>
      <c r="I702" s="551"/>
      <c r="J702" s="551"/>
      <c r="K702" s="551"/>
      <c r="L702" s="551"/>
      <c r="M702" s="551"/>
      <c r="N702" s="551"/>
      <c r="O702" s="551"/>
      <c r="P702" s="551"/>
      <c r="Q702" s="551"/>
      <c r="R702" s="551"/>
      <c r="S702" s="551"/>
      <c r="T702" s="551"/>
      <c r="U702" s="551"/>
      <c r="V702" s="551"/>
      <c r="W702" s="551"/>
      <c r="X702" s="551"/>
      <c r="Y702" s="551"/>
      <c r="Z702" s="551"/>
      <c r="AA702" s="551"/>
      <c r="AB702" s="551"/>
      <c r="AC702" s="551"/>
      <c r="AD702" s="551"/>
      <c r="AE702" s="551"/>
      <c r="AF702" s="551"/>
      <c r="AG702" s="551"/>
      <c r="AH702" s="551"/>
      <c r="AI702" s="551"/>
      <c r="AJ702" s="551"/>
      <c r="AK702" s="551"/>
      <c r="AL702" s="551"/>
      <c r="AM702" s="551"/>
      <c r="AN702" s="551"/>
      <c r="AO702" s="551"/>
      <c r="AP702" s="551"/>
      <c r="AQ702" s="551"/>
      <c r="AR702" s="551"/>
      <c r="AS702" s="551"/>
      <c r="AT702" s="551"/>
      <c r="AU702" s="551"/>
      <c r="AV702" s="551"/>
      <c r="AW702" s="551"/>
      <c r="AX702" s="551"/>
      <c r="AY702" s="551"/>
      <c r="AZ702" s="551"/>
      <c r="BA702" s="551"/>
      <c r="BB702" s="551"/>
      <c r="BC702" s="551"/>
      <c r="BD702" s="551"/>
      <c r="BE702" s="551"/>
      <c r="BF702" s="551"/>
      <c r="BG702" s="551"/>
      <c r="BH702" s="551"/>
      <c r="BI702" s="551"/>
      <c r="BJ702" s="551"/>
      <c r="BK702" s="551"/>
    </row>
    <row r="703" spans="1:63" ht="12.75" customHeight="1">
      <c r="A703" s="551"/>
      <c r="B703" s="551"/>
      <c r="C703" s="551"/>
      <c r="D703" s="551"/>
      <c r="E703" s="551"/>
      <c r="F703" s="551"/>
      <c r="G703" s="551"/>
      <c r="H703" s="551"/>
      <c r="I703" s="551"/>
      <c r="J703" s="551"/>
      <c r="K703" s="551"/>
      <c r="L703" s="551"/>
      <c r="M703" s="551"/>
      <c r="N703" s="551"/>
      <c r="O703" s="551"/>
      <c r="P703" s="551"/>
      <c r="Q703" s="551"/>
      <c r="R703" s="551"/>
      <c r="S703" s="551"/>
      <c r="T703" s="551"/>
      <c r="U703" s="551"/>
      <c r="V703" s="551"/>
      <c r="W703" s="551"/>
      <c r="X703" s="551"/>
      <c r="Y703" s="551"/>
      <c r="Z703" s="551"/>
      <c r="AA703" s="551"/>
      <c r="AB703" s="551"/>
      <c r="AC703" s="551"/>
      <c r="AD703" s="551"/>
      <c r="AE703" s="551"/>
      <c r="AF703" s="551"/>
      <c r="AG703" s="551"/>
      <c r="AH703" s="551"/>
      <c r="AI703" s="551"/>
      <c r="AJ703" s="551"/>
      <c r="AK703" s="551"/>
      <c r="AL703" s="551"/>
      <c r="AM703" s="551"/>
      <c r="AN703" s="551"/>
      <c r="AO703" s="551"/>
      <c r="AP703" s="551"/>
      <c r="AQ703" s="551"/>
      <c r="AR703" s="551"/>
      <c r="AS703" s="551"/>
      <c r="AT703" s="551"/>
      <c r="AU703" s="551"/>
      <c r="AV703" s="551"/>
      <c r="AW703" s="551"/>
      <c r="AX703" s="551"/>
      <c r="AY703" s="551"/>
      <c r="AZ703" s="551"/>
      <c r="BA703" s="551"/>
      <c r="BB703" s="551"/>
      <c r="BC703" s="551"/>
      <c r="BD703" s="551"/>
      <c r="BE703" s="551"/>
      <c r="BF703" s="551"/>
      <c r="BG703" s="551"/>
      <c r="BH703" s="551"/>
      <c r="BI703" s="551"/>
      <c r="BJ703" s="551"/>
      <c r="BK703" s="551"/>
    </row>
    <row r="704" spans="1:63" ht="12.75" customHeight="1">
      <c r="A704" s="551"/>
      <c r="B704" s="551"/>
      <c r="C704" s="551"/>
      <c r="D704" s="551"/>
      <c r="E704" s="551"/>
      <c r="F704" s="551"/>
      <c r="G704" s="551"/>
      <c r="H704" s="551"/>
      <c r="I704" s="551"/>
      <c r="J704" s="551"/>
      <c r="K704" s="551"/>
      <c r="L704" s="551"/>
      <c r="M704" s="551"/>
      <c r="N704" s="551"/>
      <c r="O704" s="551"/>
      <c r="P704" s="551"/>
      <c r="Q704" s="551"/>
      <c r="R704" s="551"/>
      <c r="S704" s="551"/>
      <c r="T704" s="551"/>
      <c r="U704" s="551"/>
      <c r="V704" s="551"/>
      <c r="W704" s="551"/>
      <c r="X704" s="551"/>
      <c r="Y704" s="551"/>
      <c r="Z704" s="551"/>
      <c r="AA704" s="551"/>
      <c r="AB704" s="551"/>
      <c r="AC704" s="551"/>
      <c r="AD704" s="551"/>
      <c r="AE704" s="551"/>
      <c r="AF704" s="551"/>
      <c r="AG704" s="551"/>
      <c r="AH704" s="551"/>
      <c r="AI704" s="551"/>
      <c r="AJ704" s="551"/>
      <c r="AK704" s="551"/>
      <c r="AL704" s="551"/>
      <c r="AM704" s="551"/>
      <c r="AN704" s="551"/>
      <c r="AO704" s="551"/>
      <c r="AP704" s="551"/>
      <c r="AQ704" s="551"/>
      <c r="AR704" s="551"/>
      <c r="AS704" s="551"/>
      <c r="AT704" s="551"/>
      <c r="AU704" s="551"/>
      <c r="AV704" s="551"/>
      <c r="AW704" s="551"/>
      <c r="AX704" s="551"/>
      <c r="AY704" s="551"/>
      <c r="AZ704" s="551"/>
      <c r="BA704" s="551"/>
      <c r="BB704" s="551"/>
      <c r="BC704" s="551"/>
      <c r="BD704" s="551"/>
      <c r="BE704" s="551"/>
      <c r="BF704" s="551"/>
      <c r="BG704" s="551"/>
      <c r="BH704" s="551"/>
      <c r="BI704" s="551"/>
      <c r="BJ704" s="551"/>
      <c r="BK704" s="551"/>
    </row>
    <row r="705" spans="1:63" ht="12.75" customHeight="1">
      <c r="A705" s="551"/>
      <c r="B705" s="551"/>
      <c r="C705" s="551"/>
      <c r="D705" s="551"/>
      <c r="E705" s="551"/>
      <c r="F705" s="551"/>
      <c r="G705" s="551"/>
      <c r="H705" s="551"/>
      <c r="I705" s="551"/>
      <c r="J705" s="551"/>
      <c r="K705" s="551"/>
      <c r="L705" s="551"/>
      <c r="M705" s="551"/>
      <c r="N705" s="551"/>
      <c r="O705" s="551"/>
      <c r="P705" s="551"/>
      <c r="Q705" s="551"/>
      <c r="R705" s="551"/>
      <c r="S705" s="551"/>
      <c r="T705" s="551"/>
      <c r="U705" s="551"/>
      <c r="V705" s="551"/>
      <c r="W705" s="551"/>
      <c r="X705" s="551"/>
      <c r="Y705" s="551"/>
      <c r="Z705" s="551"/>
      <c r="AA705" s="551"/>
      <c r="AB705" s="551"/>
      <c r="AC705" s="551"/>
      <c r="AD705" s="551"/>
      <c r="AE705" s="551"/>
      <c r="AF705" s="551"/>
      <c r="AG705" s="551"/>
      <c r="AH705" s="551"/>
      <c r="AI705" s="551"/>
      <c r="AJ705" s="551"/>
      <c r="AK705" s="551"/>
      <c r="AL705" s="551"/>
      <c r="AM705" s="551"/>
      <c r="AN705" s="551"/>
      <c r="AO705" s="551"/>
      <c r="AP705" s="551"/>
      <c r="AQ705" s="551"/>
      <c r="AR705" s="551"/>
      <c r="AS705" s="551"/>
      <c r="AT705" s="551"/>
      <c r="AU705" s="551"/>
      <c r="AV705" s="551"/>
      <c r="AW705" s="551"/>
      <c r="AX705" s="551"/>
      <c r="AY705" s="551"/>
      <c r="AZ705" s="551"/>
      <c r="BA705" s="551"/>
      <c r="BB705" s="551"/>
      <c r="BC705" s="551"/>
      <c r="BD705" s="551"/>
      <c r="BE705" s="551"/>
      <c r="BF705" s="551"/>
      <c r="BG705" s="551"/>
      <c r="BH705" s="551"/>
      <c r="BI705" s="551"/>
      <c r="BJ705" s="551"/>
      <c r="BK705" s="551"/>
    </row>
    <row r="706" spans="1:63" ht="12.75" customHeight="1">
      <c r="A706" s="551"/>
      <c r="B706" s="551"/>
      <c r="C706" s="551"/>
      <c r="D706" s="551"/>
      <c r="E706" s="551"/>
      <c r="F706" s="551"/>
      <c r="G706" s="551"/>
      <c r="H706" s="551"/>
      <c r="I706" s="551"/>
      <c r="J706" s="551"/>
      <c r="K706" s="551"/>
      <c r="L706" s="551"/>
      <c r="M706" s="551"/>
      <c r="N706" s="551"/>
      <c r="O706" s="551"/>
      <c r="P706" s="551"/>
      <c r="Q706" s="551"/>
      <c r="R706" s="551"/>
      <c r="S706" s="551"/>
      <c r="T706" s="551"/>
      <c r="U706" s="551"/>
      <c r="V706" s="551"/>
      <c r="W706" s="551"/>
      <c r="X706" s="551"/>
      <c r="Y706" s="551"/>
      <c r="Z706" s="551"/>
      <c r="AA706" s="551"/>
      <c r="AB706" s="551"/>
      <c r="AC706" s="551"/>
      <c r="AD706" s="551"/>
      <c r="AE706" s="551"/>
      <c r="AF706" s="551"/>
      <c r="AG706" s="551"/>
      <c r="AH706" s="551"/>
      <c r="AI706" s="551"/>
      <c r="AJ706" s="551"/>
      <c r="AK706" s="551"/>
      <c r="AL706" s="551"/>
      <c r="AM706" s="551"/>
      <c r="AN706" s="551"/>
      <c r="AO706" s="551"/>
      <c r="AP706" s="551"/>
      <c r="AQ706" s="551"/>
      <c r="AR706" s="551"/>
      <c r="AS706" s="551"/>
      <c r="AT706" s="551"/>
      <c r="AU706" s="551"/>
      <c r="AV706" s="551"/>
      <c r="AW706" s="551"/>
      <c r="AX706" s="551"/>
      <c r="AY706" s="551"/>
      <c r="AZ706" s="551"/>
      <c r="BA706" s="551"/>
      <c r="BB706" s="551"/>
      <c r="BC706" s="551"/>
      <c r="BD706" s="551"/>
      <c r="BE706" s="551"/>
      <c r="BF706" s="551"/>
      <c r="BG706" s="551"/>
      <c r="BH706" s="551"/>
      <c r="BI706" s="551"/>
      <c r="BJ706" s="551"/>
      <c r="BK706" s="551"/>
    </row>
    <row r="707" spans="1:63" ht="12.75" customHeight="1">
      <c r="A707" s="551"/>
      <c r="B707" s="551"/>
      <c r="C707" s="551"/>
      <c r="D707" s="551"/>
      <c r="E707" s="551"/>
      <c r="F707" s="551"/>
      <c r="G707" s="551"/>
      <c r="H707" s="551"/>
      <c r="I707" s="551"/>
      <c r="J707" s="551"/>
      <c r="K707" s="551"/>
      <c r="L707" s="551"/>
      <c r="M707" s="551"/>
      <c r="N707" s="551"/>
      <c r="O707" s="551"/>
      <c r="P707" s="551"/>
      <c r="Q707" s="551"/>
      <c r="R707" s="551"/>
      <c r="S707" s="551"/>
      <c r="T707" s="551"/>
      <c r="U707" s="551"/>
      <c r="V707" s="551"/>
      <c r="W707" s="551"/>
      <c r="X707" s="551"/>
      <c r="Y707" s="551"/>
      <c r="Z707" s="551"/>
      <c r="AA707" s="551"/>
      <c r="AB707" s="551"/>
      <c r="AC707" s="551"/>
      <c r="AD707" s="551"/>
      <c r="AE707" s="551"/>
      <c r="AF707" s="551"/>
      <c r="AG707" s="551"/>
      <c r="AH707" s="551"/>
      <c r="AI707" s="551"/>
      <c r="AJ707" s="551"/>
      <c r="AK707" s="551"/>
      <c r="AL707" s="551"/>
      <c r="AM707" s="551"/>
      <c r="AN707" s="551"/>
      <c r="AO707" s="551"/>
      <c r="AP707" s="551"/>
      <c r="AQ707" s="551"/>
      <c r="AR707" s="551"/>
      <c r="AS707" s="551"/>
      <c r="AT707" s="551"/>
      <c r="AU707" s="551"/>
      <c r="AV707" s="551"/>
      <c r="AW707" s="551"/>
      <c r="AX707" s="551"/>
      <c r="AY707" s="551"/>
      <c r="AZ707" s="551"/>
      <c r="BA707" s="551"/>
      <c r="BB707" s="551"/>
      <c r="BC707" s="551"/>
      <c r="BD707" s="551"/>
      <c r="BE707" s="551"/>
      <c r="BF707" s="551"/>
      <c r="BG707" s="551"/>
      <c r="BH707" s="551"/>
      <c r="BI707" s="551"/>
      <c r="BJ707" s="551"/>
      <c r="BK707" s="551"/>
    </row>
    <row r="708" spans="1:63" ht="12.75" customHeight="1">
      <c r="A708" s="551"/>
      <c r="B708" s="551"/>
      <c r="C708" s="551"/>
      <c r="D708" s="551"/>
      <c r="E708" s="551"/>
      <c r="F708" s="551"/>
      <c r="G708" s="551"/>
      <c r="H708" s="551"/>
      <c r="I708" s="551"/>
      <c r="J708" s="551"/>
      <c r="K708" s="551"/>
      <c r="L708" s="551"/>
      <c r="M708" s="551"/>
      <c r="N708" s="551"/>
      <c r="O708" s="551"/>
      <c r="P708" s="551"/>
      <c r="Q708" s="551"/>
      <c r="R708" s="551"/>
      <c r="S708" s="551"/>
      <c r="T708" s="551"/>
      <c r="U708" s="551"/>
      <c r="V708" s="551"/>
      <c r="W708" s="551"/>
      <c r="X708" s="551"/>
      <c r="Y708" s="551"/>
      <c r="Z708" s="551"/>
      <c r="AA708" s="551"/>
      <c r="AB708" s="551"/>
      <c r="AC708" s="551"/>
      <c r="AD708" s="551"/>
      <c r="AE708" s="551"/>
      <c r="AF708" s="551"/>
      <c r="AG708" s="551"/>
      <c r="AH708" s="551"/>
      <c r="AI708" s="551"/>
      <c r="AJ708" s="551"/>
      <c r="AK708" s="551"/>
      <c r="AL708" s="551"/>
      <c r="AM708" s="551"/>
      <c r="AN708" s="551"/>
      <c r="AO708" s="551"/>
      <c r="AP708" s="551"/>
      <c r="AQ708" s="551"/>
      <c r="AR708" s="551"/>
      <c r="AS708" s="551"/>
      <c r="AT708" s="551"/>
      <c r="AU708" s="551"/>
      <c r="AV708" s="551"/>
      <c r="AW708" s="551"/>
      <c r="AX708" s="551"/>
      <c r="AY708" s="551"/>
      <c r="AZ708" s="551"/>
      <c r="BA708" s="551"/>
      <c r="BB708" s="551"/>
      <c r="BC708" s="551"/>
      <c r="BD708" s="551"/>
      <c r="BE708" s="551"/>
      <c r="BF708" s="551"/>
      <c r="BG708" s="551"/>
      <c r="BH708" s="551"/>
      <c r="BI708" s="551"/>
      <c r="BJ708" s="551"/>
      <c r="BK708" s="551"/>
    </row>
    <row r="709" spans="1:63" ht="12.75" customHeight="1">
      <c r="A709" s="551"/>
      <c r="B709" s="551"/>
      <c r="C709" s="551"/>
      <c r="D709" s="551"/>
      <c r="E709" s="551"/>
      <c r="F709" s="551"/>
      <c r="G709" s="551"/>
      <c r="H709" s="551"/>
      <c r="I709" s="551"/>
      <c r="J709" s="551"/>
      <c r="K709" s="551"/>
      <c r="L709" s="551"/>
      <c r="M709" s="551"/>
      <c r="N709" s="551"/>
      <c r="O709" s="551"/>
      <c r="P709" s="551"/>
      <c r="Q709" s="551"/>
      <c r="R709" s="551"/>
      <c r="S709" s="551"/>
      <c r="T709" s="551"/>
      <c r="U709" s="551"/>
      <c r="V709" s="551"/>
      <c r="W709" s="551"/>
      <c r="X709" s="551"/>
      <c r="Y709" s="551"/>
      <c r="Z709" s="551"/>
      <c r="AA709" s="551"/>
      <c r="AB709" s="551"/>
      <c r="AC709" s="551"/>
      <c r="AD709" s="551"/>
      <c r="AE709" s="551"/>
      <c r="AF709" s="551"/>
      <c r="AG709" s="551"/>
      <c r="AH709" s="551"/>
      <c r="AI709" s="551"/>
      <c r="AJ709" s="551"/>
      <c r="AK709" s="551"/>
      <c r="AL709" s="551"/>
      <c r="AM709" s="551"/>
      <c r="AN709" s="551"/>
      <c r="AO709" s="551"/>
      <c r="AP709" s="551"/>
      <c r="AQ709" s="551"/>
      <c r="AR709" s="551"/>
      <c r="AS709" s="551"/>
      <c r="AT709" s="551"/>
      <c r="AU709" s="551"/>
      <c r="AV709" s="551"/>
      <c r="AW709" s="551"/>
      <c r="AX709" s="551"/>
      <c r="AY709" s="551"/>
      <c r="AZ709" s="551"/>
      <c r="BA709" s="551"/>
      <c r="BB709" s="551"/>
      <c r="BC709" s="551"/>
      <c r="BD709" s="551"/>
      <c r="BE709" s="551"/>
      <c r="BF709" s="551"/>
      <c r="BG709" s="551"/>
      <c r="BH709" s="551"/>
      <c r="BI709" s="551"/>
      <c r="BJ709" s="551"/>
      <c r="BK709" s="551"/>
    </row>
    <row r="710" spans="1:63" ht="12.75" customHeight="1">
      <c r="A710" s="551"/>
      <c r="B710" s="551"/>
      <c r="C710" s="551"/>
      <c r="D710" s="551"/>
      <c r="E710" s="551"/>
      <c r="F710" s="551"/>
      <c r="G710" s="551"/>
      <c r="H710" s="551"/>
      <c r="I710" s="551"/>
      <c r="J710" s="551"/>
      <c r="K710" s="551"/>
      <c r="L710" s="551"/>
      <c r="M710" s="551"/>
      <c r="N710" s="551"/>
      <c r="O710" s="551"/>
      <c r="P710" s="551"/>
      <c r="Q710" s="551"/>
      <c r="R710" s="551"/>
      <c r="S710" s="551"/>
      <c r="T710" s="551"/>
      <c r="U710" s="551"/>
      <c r="V710" s="551"/>
      <c r="W710" s="551"/>
      <c r="X710" s="551"/>
      <c r="Y710" s="551"/>
      <c r="Z710" s="551"/>
      <c r="AA710" s="551"/>
      <c r="AB710" s="551"/>
      <c r="AC710" s="551"/>
      <c r="AD710" s="551"/>
      <c r="AE710" s="551"/>
      <c r="AF710" s="551"/>
      <c r="AG710" s="551"/>
      <c r="AH710" s="551"/>
      <c r="AI710" s="551"/>
      <c r="AJ710" s="551"/>
      <c r="AK710" s="551"/>
      <c r="AL710" s="551"/>
      <c r="AM710" s="551"/>
      <c r="AN710" s="551"/>
      <c r="AO710" s="551"/>
      <c r="AP710" s="551"/>
      <c r="AQ710" s="551"/>
      <c r="AR710" s="551"/>
      <c r="AS710" s="551"/>
      <c r="AT710" s="551"/>
      <c r="AU710" s="551"/>
      <c r="AV710" s="551"/>
      <c r="AW710" s="551"/>
      <c r="AX710" s="551"/>
      <c r="AY710" s="551"/>
      <c r="AZ710" s="551"/>
      <c r="BA710" s="551"/>
      <c r="BB710" s="551"/>
      <c r="BC710" s="551"/>
      <c r="BD710" s="551"/>
      <c r="BE710" s="551"/>
      <c r="BF710" s="551"/>
      <c r="BG710" s="551"/>
      <c r="BH710" s="551"/>
      <c r="BI710" s="551"/>
      <c r="BJ710" s="551"/>
      <c r="BK710" s="551"/>
    </row>
    <row r="711" spans="1:63" ht="12.75" customHeight="1">
      <c r="A711" s="551"/>
      <c r="B711" s="551"/>
      <c r="C711" s="551"/>
      <c r="D711" s="551"/>
      <c r="E711" s="551"/>
      <c r="F711" s="551"/>
      <c r="G711" s="551"/>
      <c r="H711" s="551"/>
      <c r="I711" s="551"/>
      <c r="J711" s="551"/>
      <c r="K711" s="551"/>
      <c r="L711" s="551"/>
      <c r="M711" s="551"/>
      <c r="N711" s="551"/>
      <c r="O711" s="551"/>
      <c r="P711" s="551"/>
      <c r="Q711" s="551"/>
      <c r="R711" s="551"/>
      <c r="S711" s="551"/>
      <c r="T711" s="551"/>
      <c r="U711" s="551"/>
      <c r="V711" s="551"/>
      <c r="W711" s="551"/>
      <c r="X711" s="551"/>
      <c r="Y711" s="551"/>
      <c r="Z711" s="551"/>
      <c r="AA711" s="551"/>
      <c r="AB711" s="551"/>
      <c r="AC711" s="551"/>
      <c r="AD711" s="551"/>
      <c r="AE711" s="551"/>
      <c r="AF711" s="551"/>
      <c r="AG711" s="551"/>
      <c r="AH711" s="551"/>
      <c r="AI711" s="551"/>
      <c r="AJ711" s="551"/>
      <c r="AK711" s="551"/>
      <c r="AL711" s="551"/>
      <c r="AM711" s="551"/>
      <c r="AN711" s="551"/>
      <c r="AO711" s="551"/>
      <c r="AP711" s="551"/>
      <c r="AQ711" s="551"/>
      <c r="AR711" s="551"/>
      <c r="AS711" s="551"/>
      <c r="AT711" s="551"/>
      <c r="AU711" s="551"/>
      <c r="AV711" s="551"/>
      <c r="AW711" s="551"/>
      <c r="AX711" s="551"/>
      <c r="AY711" s="551"/>
      <c r="AZ711" s="551"/>
      <c r="BA711" s="551"/>
      <c r="BB711" s="551"/>
      <c r="BC711" s="551"/>
      <c r="BD711" s="551"/>
      <c r="BE711" s="551"/>
      <c r="BF711" s="551"/>
      <c r="BG711" s="551"/>
      <c r="BH711" s="551"/>
      <c r="BI711" s="551"/>
      <c r="BJ711" s="551"/>
      <c r="BK711" s="551"/>
    </row>
    <row r="712" spans="1:63" ht="12.75" customHeight="1">
      <c r="A712" s="551"/>
      <c r="B712" s="551"/>
      <c r="C712" s="551"/>
      <c r="D712" s="551"/>
      <c r="E712" s="551"/>
      <c r="F712" s="551"/>
      <c r="G712" s="551"/>
      <c r="H712" s="551"/>
      <c r="I712" s="551"/>
      <c r="J712" s="551"/>
      <c r="K712" s="551"/>
      <c r="L712" s="551"/>
      <c r="M712" s="551"/>
      <c r="N712" s="551"/>
      <c r="O712" s="551"/>
      <c r="P712" s="551"/>
      <c r="Q712" s="551"/>
      <c r="R712" s="551"/>
      <c r="S712" s="551"/>
      <c r="T712" s="551"/>
      <c r="U712" s="551"/>
      <c r="V712" s="551"/>
      <c r="W712" s="551"/>
      <c r="X712" s="551"/>
      <c r="Y712" s="551"/>
      <c r="Z712" s="551"/>
      <c r="AA712" s="551"/>
      <c r="AB712" s="551"/>
      <c r="AC712" s="551"/>
      <c r="AD712" s="551"/>
      <c r="AE712" s="551"/>
      <c r="AF712" s="551"/>
      <c r="AG712" s="551"/>
      <c r="AH712" s="551"/>
      <c r="AI712" s="551"/>
      <c r="AJ712" s="551"/>
      <c r="AK712" s="551"/>
      <c r="AL712" s="551"/>
      <c r="AM712" s="551"/>
      <c r="AN712" s="551"/>
      <c r="AO712" s="551"/>
      <c r="AP712" s="551"/>
      <c r="AQ712" s="551"/>
      <c r="AR712" s="551"/>
      <c r="AS712" s="551"/>
      <c r="AT712" s="551"/>
      <c r="AU712" s="551"/>
      <c r="AV712" s="551"/>
      <c r="AW712" s="551"/>
      <c r="AX712" s="551"/>
      <c r="AY712" s="551"/>
      <c r="AZ712" s="551"/>
      <c r="BA712" s="551"/>
      <c r="BB712" s="551"/>
      <c r="BC712" s="551"/>
      <c r="BD712" s="551"/>
      <c r="BE712" s="551"/>
      <c r="BF712" s="551"/>
      <c r="BG712" s="551"/>
      <c r="BH712" s="551"/>
      <c r="BI712" s="551"/>
      <c r="BJ712" s="551"/>
      <c r="BK712" s="551"/>
    </row>
    <row r="713" spans="1:63" ht="12.75" customHeight="1">
      <c r="A713" s="551"/>
      <c r="B713" s="551"/>
      <c r="C713" s="551"/>
      <c r="D713" s="551"/>
      <c r="E713" s="551"/>
      <c r="F713" s="551"/>
      <c r="G713" s="551"/>
      <c r="H713" s="551"/>
      <c r="I713" s="551"/>
      <c r="J713" s="551"/>
      <c r="K713" s="551"/>
      <c r="L713" s="551"/>
      <c r="M713" s="551"/>
      <c r="N713" s="551"/>
      <c r="O713" s="551"/>
      <c r="P713" s="551"/>
      <c r="Q713" s="551"/>
      <c r="R713" s="551"/>
      <c r="S713" s="551"/>
      <c r="T713" s="551"/>
      <c r="U713" s="551"/>
      <c r="V713" s="551"/>
      <c r="W713" s="551"/>
      <c r="X713" s="551"/>
      <c r="Y713" s="551"/>
      <c r="Z713" s="551"/>
      <c r="AA713" s="551"/>
      <c r="AB713" s="551"/>
      <c r="AC713" s="551"/>
      <c r="AD713" s="551"/>
      <c r="AE713" s="551"/>
      <c r="AF713" s="551"/>
      <c r="AG713" s="551"/>
      <c r="AH713" s="551"/>
      <c r="AI713" s="551"/>
      <c r="AJ713" s="551"/>
      <c r="AK713" s="551"/>
      <c r="AL713" s="551"/>
      <c r="AM713" s="551"/>
      <c r="AN713" s="551"/>
      <c r="AO713" s="551"/>
      <c r="AP713" s="551"/>
      <c r="AQ713" s="551"/>
      <c r="AR713" s="551"/>
      <c r="AS713" s="551"/>
      <c r="AT713" s="551"/>
      <c r="AU713" s="551"/>
      <c r="AV713" s="551"/>
      <c r="AW713" s="551"/>
      <c r="AX713" s="551"/>
      <c r="AY713" s="551"/>
      <c r="AZ713" s="551"/>
      <c r="BA713" s="551"/>
      <c r="BB713" s="551"/>
      <c r="BC713" s="551"/>
      <c r="BD713" s="551"/>
      <c r="BE713" s="551"/>
      <c r="BF713" s="551"/>
      <c r="BG713" s="551"/>
      <c r="BH713" s="551"/>
      <c r="BI713" s="551"/>
      <c r="BJ713" s="551"/>
      <c r="BK713" s="551"/>
    </row>
    <row r="714" spans="1:63" ht="12.75" customHeight="1">
      <c r="A714" s="551"/>
      <c r="B714" s="551"/>
      <c r="C714" s="551"/>
      <c r="D714" s="551"/>
      <c r="E714" s="551"/>
      <c r="F714" s="551"/>
      <c r="G714" s="551"/>
      <c r="H714" s="551"/>
      <c r="I714" s="551"/>
      <c r="J714" s="551"/>
      <c r="K714" s="551"/>
      <c r="L714" s="551"/>
      <c r="M714" s="551"/>
      <c r="N714" s="551"/>
      <c r="O714" s="551"/>
      <c r="P714" s="551"/>
      <c r="Q714" s="551"/>
      <c r="R714" s="551"/>
      <c r="S714" s="551"/>
      <c r="T714" s="551"/>
      <c r="U714" s="551"/>
      <c r="V714" s="551"/>
      <c r="W714" s="551"/>
      <c r="X714" s="551"/>
      <c r="Y714" s="551"/>
      <c r="Z714" s="551"/>
      <c r="AA714" s="551"/>
      <c r="AB714" s="551"/>
      <c r="AC714" s="551"/>
      <c r="AD714" s="551"/>
      <c r="AE714" s="551"/>
      <c r="AF714" s="551"/>
      <c r="AG714" s="551"/>
      <c r="AH714" s="551"/>
      <c r="AI714" s="551"/>
      <c r="AJ714" s="551"/>
      <c r="AK714" s="551"/>
      <c r="AL714" s="551"/>
      <c r="AM714" s="551"/>
      <c r="AN714" s="551"/>
      <c r="AO714" s="551"/>
      <c r="AP714" s="551"/>
      <c r="AQ714" s="551"/>
      <c r="AR714" s="551"/>
      <c r="AS714" s="551"/>
      <c r="AT714" s="551"/>
      <c r="AU714" s="551"/>
      <c r="AV714" s="551"/>
      <c r="AW714" s="551"/>
      <c r="AX714" s="551"/>
      <c r="AY714" s="551"/>
      <c r="AZ714" s="551"/>
      <c r="BA714" s="551"/>
      <c r="BB714" s="551"/>
      <c r="BC714" s="551"/>
      <c r="BD714" s="551"/>
      <c r="BE714" s="551"/>
      <c r="BF714" s="551"/>
      <c r="BG714" s="551"/>
      <c r="BH714" s="551"/>
      <c r="BI714" s="551"/>
      <c r="BJ714" s="551"/>
      <c r="BK714" s="551"/>
    </row>
    <row r="715" spans="1:63" ht="12.75" customHeight="1">
      <c r="A715" s="551"/>
      <c r="B715" s="551"/>
      <c r="C715" s="551"/>
      <c r="D715" s="551"/>
      <c r="E715" s="551"/>
      <c r="F715" s="551"/>
      <c r="G715" s="551"/>
      <c r="H715" s="551"/>
      <c r="I715" s="551"/>
      <c r="J715" s="551"/>
      <c r="K715" s="551"/>
      <c r="L715" s="551"/>
      <c r="M715" s="551"/>
      <c r="N715" s="551"/>
      <c r="O715" s="551"/>
      <c r="P715" s="551"/>
      <c r="Q715" s="551"/>
      <c r="R715" s="551"/>
      <c r="S715" s="551"/>
      <c r="T715" s="551"/>
      <c r="U715" s="551"/>
      <c r="V715" s="551"/>
      <c r="W715" s="551"/>
      <c r="X715" s="551"/>
      <c r="Y715" s="551"/>
      <c r="Z715" s="551"/>
      <c r="AA715" s="551"/>
      <c r="AB715" s="551"/>
      <c r="AC715" s="551"/>
      <c r="AD715" s="551"/>
      <c r="AE715" s="551"/>
      <c r="AF715" s="551"/>
      <c r="AG715" s="551"/>
      <c r="AH715" s="551"/>
      <c r="AI715" s="551"/>
      <c r="AJ715" s="551"/>
      <c r="AK715" s="551"/>
      <c r="AL715" s="551"/>
      <c r="AM715" s="551"/>
      <c r="AN715" s="551"/>
      <c r="AO715" s="551"/>
      <c r="AP715" s="551"/>
      <c r="AQ715" s="551"/>
      <c r="AR715" s="551"/>
      <c r="AS715" s="551"/>
      <c r="AT715" s="551"/>
      <c r="AU715" s="551"/>
      <c r="AV715" s="551"/>
      <c r="AW715" s="551"/>
      <c r="AX715" s="551"/>
      <c r="AY715" s="551"/>
      <c r="AZ715" s="551"/>
      <c r="BA715" s="551"/>
      <c r="BB715" s="551"/>
      <c r="BC715" s="551"/>
      <c r="BD715" s="551"/>
      <c r="BE715" s="551"/>
      <c r="BF715" s="551"/>
      <c r="BG715" s="551"/>
      <c r="BH715" s="551"/>
      <c r="BI715" s="551"/>
      <c r="BJ715" s="551"/>
      <c r="BK715" s="551"/>
    </row>
    <row r="716" spans="1:63" ht="12.75" customHeight="1">
      <c r="A716" s="551"/>
      <c r="B716" s="551"/>
      <c r="C716" s="551"/>
      <c r="D716" s="551"/>
      <c r="E716" s="551"/>
      <c r="F716" s="551"/>
      <c r="G716" s="551"/>
      <c r="H716" s="551"/>
      <c r="I716" s="551"/>
      <c r="J716" s="551"/>
      <c r="K716" s="551"/>
      <c r="L716" s="551"/>
      <c r="M716" s="551"/>
      <c r="N716" s="551"/>
      <c r="O716" s="551"/>
      <c r="P716" s="551"/>
      <c r="Q716" s="551"/>
      <c r="R716" s="551"/>
      <c r="S716" s="551"/>
      <c r="T716" s="551"/>
      <c r="U716" s="551"/>
      <c r="V716" s="551"/>
      <c r="W716" s="551"/>
      <c r="X716" s="551"/>
      <c r="Y716" s="551"/>
      <c r="Z716" s="551"/>
      <c r="AA716" s="551"/>
      <c r="AB716" s="551"/>
      <c r="AC716" s="551"/>
      <c r="AD716" s="551"/>
      <c r="AE716" s="551"/>
      <c r="AF716" s="551"/>
      <c r="AG716" s="551"/>
      <c r="AH716" s="551"/>
      <c r="AI716" s="551"/>
      <c r="AJ716" s="551"/>
      <c r="AK716" s="551"/>
      <c r="AL716" s="551"/>
      <c r="AM716" s="551"/>
      <c r="AN716" s="551"/>
      <c r="AO716" s="551"/>
      <c r="AP716" s="551"/>
      <c r="AQ716" s="551"/>
      <c r="AR716" s="551"/>
      <c r="AS716" s="551"/>
      <c r="AT716" s="551"/>
      <c r="AU716" s="551"/>
      <c r="AV716" s="551"/>
      <c r="AW716" s="551"/>
      <c r="AX716" s="551"/>
      <c r="AY716" s="551"/>
      <c r="AZ716" s="551"/>
      <c r="BA716" s="551"/>
      <c r="BB716" s="551"/>
      <c r="BC716" s="551"/>
      <c r="BD716" s="551"/>
      <c r="BE716" s="551"/>
      <c r="BF716" s="551"/>
      <c r="BG716" s="551"/>
      <c r="BH716" s="551"/>
      <c r="BI716" s="551"/>
      <c r="BJ716" s="551"/>
      <c r="BK716" s="551"/>
    </row>
    <row r="717" spans="1:63" ht="12.75" customHeight="1">
      <c r="A717" s="551"/>
      <c r="B717" s="551"/>
      <c r="C717" s="551"/>
      <c r="D717" s="551"/>
      <c r="E717" s="551"/>
      <c r="F717" s="551"/>
      <c r="G717" s="551"/>
      <c r="H717" s="551"/>
      <c r="I717" s="551"/>
      <c r="J717" s="551"/>
      <c r="K717" s="551"/>
      <c r="L717" s="551"/>
      <c r="M717" s="551"/>
      <c r="N717" s="551"/>
      <c r="O717" s="551"/>
      <c r="P717" s="551"/>
      <c r="Q717" s="551"/>
      <c r="R717" s="551"/>
      <c r="S717" s="551"/>
      <c r="T717" s="551"/>
      <c r="U717" s="551"/>
      <c r="V717" s="551"/>
      <c r="W717" s="551"/>
      <c r="X717" s="551"/>
      <c r="Y717" s="551"/>
      <c r="Z717" s="551"/>
      <c r="AA717" s="551"/>
      <c r="AB717" s="551"/>
      <c r="AC717" s="551"/>
      <c r="AD717" s="551"/>
      <c r="AE717" s="551"/>
      <c r="AF717" s="551"/>
      <c r="AG717" s="551"/>
      <c r="AH717" s="551"/>
      <c r="AI717" s="551"/>
      <c r="AJ717" s="551"/>
      <c r="AK717" s="551"/>
      <c r="AL717" s="551"/>
      <c r="AM717" s="551"/>
      <c r="AN717" s="551"/>
      <c r="AO717" s="551"/>
      <c r="AP717" s="551"/>
      <c r="AQ717" s="551"/>
      <c r="AR717" s="551"/>
      <c r="AS717" s="551"/>
      <c r="AT717" s="551"/>
      <c r="AU717" s="551"/>
      <c r="AV717" s="551"/>
      <c r="AW717" s="551"/>
      <c r="AX717" s="551"/>
      <c r="AY717" s="551"/>
      <c r="AZ717" s="551"/>
      <c r="BA717" s="551"/>
      <c r="BB717" s="551"/>
      <c r="BC717" s="551"/>
      <c r="BD717" s="551"/>
      <c r="BE717" s="551"/>
      <c r="BF717" s="551"/>
      <c r="BG717" s="551"/>
      <c r="BH717" s="551"/>
      <c r="BI717" s="551"/>
      <c r="BJ717" s="551"/>
      <c r="BK717" s="551"/>
    </row>
    <row r="718" spans="1:63" ht="12.75" customHeight="1">
      <c r="A718" s="551"/>
      <c r="B718" s="551"/>
      <c r="C718" s="551"/>
      <c r="D718" s="551"/>
      <c r="E718" s="551"/>
      <c r="F718" s="551"/>
      <c r="G718" s="551"/>
      <c r="H718" s="551"/>
      <c r="I718" s="551"/>
      <c r="J718" s="551"/>
      <c r="K718" s="551"/>
      <c r="L718" s="551"/>
      <c r="M718" s="551"/>
      <c r="N718" s="551"/>
      <c r="O718" s="551"/>
      <c r="P718" s="551"/>
      <c r="Q718" s="551"/>
      <c r="R718" s="551"/>
      <c r="S718" s="551"/>
      <c r="T718" s="551"/>
      <c r="U718" s="551"/>
      <c r="V718" s="551"/>
      <c r="W718" s="551"/>
      <c r="X718" s="551"/>
      <c r="Y718" s="551"/>
      <c r="Z718" s="551"/>
      <c r="AA718" s="551"/>
      <c r="AB718" s="551"/>
      <c r="AC718" s="551"/>
      <c r="AD718" s="551"/>
      <c r="AE718" s="551"/>
      <c r="AF718" s="551"/>
      <c r="AG718" s="551"/>
      <c r="AH718" s="551"/>
      <c r="AI718" s="551"/>
      <c r="AJ718" s="551"/>
      <c r="AK718" s="551"/>
      <c r="AL718" s="551"/>
      <c r="AM718" s="551"/>
      <c r="AN718" s="551"/>
      <c r="AO718" s="551"/>
      <c r="AP718" s="551"/>
      <c r="AQ718" s="551"/>
      <c r="AR718" s="551"/>
      <c r="AS718" s="551"/>
      <c r="AT718" s="551"/>
      <c r="AU718" s="551"/>
      <c r="AV718" s="551"/>
      <c r="AW718" s="551"/>
      <c r="AX718" s="551"/>
      <c r="AY718" s="551"/>
      <c r="AZ718" s="551"/>
      <c r="BA718" s="551"/>
      <c r="BB718" s="551"/>
      <c r="BC718" s="551"/>
      <c r="BD718" s="551"/>
      <c r="BE718" s="551"/>
      <c r="BF718" s="551"/>
      <c r="BG718" s="551"/>
      <c r="BH718" s="551"/>
      <c r="BI718" s="551"/>
      <c r="BJ718" s="551"/>
      <c r="BK718" s="551"/>
    </row>
    <row r="719" spans="1:63" ht="12.75" customHeight="1">
      <c r="A719" s="551"/>
      <c r="B719" s="551"/>
      <c r="C719" s="551"/>
      <c r="D719" s="551"/>
      <c r="E719" s="551"/>
      <c r="F719" s="551"/>
      <c r="G719" s="551"/>
      <c r="H719" s="551"/>
      <c r="I719" s="551"/>
      <c r="J719" s="551"/>
      <c r="K719" s="551"/>
      <c r="L719" s="551"/>
      <c r="M719" s="551"/>
      <c r="N719" s="551"/>
      <c r="O719" s="551"/>
      <c r="P719" s="551"/>
      <c r="Q719" s="551"/>
      <c r="R719" s="551"/>
      <c r="S719" s="551"/>
      <c r="T719" s="551"/>
      <c r="U719" s="551"/>
      <c r="V719" s="551"/>
      <c r="W719" s="551"/>
      <c r="X719" s="551"/>
      <c r="Y719" s="551"/>
      <c r="Z719" s="551"/>
      <c r="AA719" s="551"/>
      <c r="AB719" s="551"/>
      <c r="AC719" s="551"/>
      <c r="AD719" s="551"/>
      <c r="AE719" s="551"/>
      <c r="AF719" s="551"/>
      <c r="AG719" s="551"/>
      <c r="AH719" s="551"/>
      <c r="AI719" s="551"/>
      <c r="AJ719" s="551"/>
      <c r="AK719" s="551"/>
      <c r="AL719" s="551"/>
      <c r="AM719" s="551"/>
      <c r="AN719" s="551"/>
      <c r="AO719" s="551"/>
      <c r="AP719" s="551"/>
      <c r="AQ719" s="551"/>
      <c r="AR719" s="551"/>
      <c r="AS719" s="551"/>
      <c r="AT719" s="551"/>
      <c r="AU719" s="551"/>
      <c r="AV719" s="551"/>
      <c r="AW719" s="551"/>
      <c r="AX719" s="551"/>
      <c r="AY719" s="551"/>
      <c r="AZ719" s="551"/>
      <c r="BA719" s="551"/>
      <c r="BB719" s="551"/>
      <c r="BC719" s="551"/>
      <c r="BD719" s="551"/>
      <c r="BE719" s="551"/>
      <c r="BF719" s="551"/>
      <c r="BG719" s="551"/>
      <c r="BH719" s="551"/>
      <c r="BI719" s="551"/>
      <c r="BJ719" s="551"/>
      <c r="BK719" s="551"/>
    </row>
    <row r="720" spans="1:63" ht="12.75" customHeight="1">
      <c r="A720" s="551"/>
      <c r="B720" s="551"/>
      <c r="C720" s="551"/>
      <c r="D720" s="551"/>
      <c r="E720" s="551"/>
      <c r="F720" s="551"/>
      <c r="G720" s="551"/>
      <c r="H720" s="551"/>
      <c r="I720" s="551"/>
      <c r="J720" s="551"/>
      <c r="K720" s="551"/>
      <c r="L720" s="551"/>
      <c r="M720" s="551"/>
      <c r="N720" s="551"/>
      <c r="O720" s="551"/>
      <c r="P720" s="551"/>
      <c r="Q720" s="551"/>
      <c r="R720" s="551"/>
      <c r="S720" s="551"/>
      <c r="T720" s="551"/>
      <c r="U720" s="551"/>
      <c r="V720" s="551"/>
      <c r="W720" s="551"/>
      <c r="X720" s="551"/>
      <c r="Y720" s="551"/>
      <c r="Z720" s="551"/>
      <c r="AA720" s="551"/>
      <c r="AB720" s="551"/>
      <c r="AC720" s="551"/>
      <c r="AD720" s="551"/>
      <c r="AE720" s="551"/>
      <c r="AF720" s="551"/>
      <c r="AG720" s="551"/>
      <c r="AH720" s="551"/>
      <c r="AI720" s="551"/>
      <c r="AJ720" s="551"/>
      <c r="AK720" s="551"/>
      <c r="AL720" s="551"/>
      <c r="AM720" s="551"/>
      <c r="AN720" s="551"/>
      <c r="AO720" s="551"/>
      <c r="AP720" s="551"/>
      <c r="AQ720" s="551"/>
      <c r="AR720" s="551"/>
      <c r="AS720" s="551"/>
      <c r="AT720" s="551"/>
      <c r="AU720" s="551"/>
      <c r="AV720" s="551"/>
      <c r="AW720" s="551"/>
      <c r="AX720" s="551"/>
      <c r="AY720" s="551"/>
      <c r="AZ720" s="551"/>
      <c r="BA720" s="551"/>
      <c r="BB720" s="551"/>
      <c r="BC720" s="551"/>
      <c r="BD720" s="551"/>
      <c r="BE720" s="551"/>
      <c r="BF720" s="551"/>
      <c r="BG720" s="551"/>
      <c r="BH720" s="551"/>
      <c r="BI720" s="551"/>
      <c r="BJ720" s="551"/>
      <c r="BK720" s="551"/>
    </row>
    <row r="721" spans="1:63" ht="12.75" customHeight="1">
      <c r="A721" s="551"/>
      <c r="B721" s="551"/>
      <c r="C721" s="551"/>
      <c r="D721" s="551"/>
      <c r="E721" s="551"/>
      <c r="F721" s="551"/>
      <c r="G721" s="551"/>
      <c r="H721" s="551"/>
      <c r="I721" s="551"/>
      <c r="J721" s="551"/>
      <c r="K721" s="551"/>
      <c r="L721" s="551"/>
      <c r="M721" s="551"/>
      <c r="N721" s="551"/>
      <c r="O721" s="551"/>
      <c r="P721" s="551"/>
      <c r="Q721" s="551"/>
      <c r="R721" s="551"/>
      <c r="S721" s="551"/>
      <c r="T721" s="551"/>
      <c r="U721" s="551"/>
      <c r="V721" s="551"/>
      <c r="W721" s="551"/>
      <c r="X721" s="551"/>
      <c r="Y721" s="551"/>
      <c r="Z721" s="551"/>
      <c r="AA721" s="551"/>
      <c r="AB721" s="551"/>
      <c r="AC721" s="551"/>
      <c r="AD721" s="551"/>
      <c r="AE721" s="551"/>
      <c r="AF721" s="551"/>
      <c r="AG721" s="551"/>
      <c r="AH721" s="551"/>
      <c r="AI721" s="551"/>
      <c r="AJ721" s="551"/>
      <c r="AK721" s="551"/>
      <c r="AL721" s="551"/>
      <c r="AM721" s="551"/>
      <c r="AN721" s="551"/>
      <c r="AO721" s="551"/>
      <c r="AP721" s="551"/>
      <c r="AQ721" s="551"/>
      <c r="AR721" s="551"/>
      <c r="AS721" s="551"/>
      <c r="AT721" s="551"/>
      <c r="AU721" s="551"/>
      <c r="AV721" s="551"/>
      <c r="AW721" s="551"/>
      <c r="AX721" s="551"/>
      <c r="AY721" s="551"/>
      <c r="AZ721" s="551"/>
      <c r="BA721" s="551"/>
      <c r="BB721" s="551"/>
      <c r="BC721" s="551"/>
      <c r="BD721" s="551"/>
      <c r="BE721" s="551"/>
      <c r="BF721" s="551"/>
      <c r="BG721" s="551"/>
      <c r="BH721" s="551"/>
      <c r="BI721" s="551"/>
      <c r="BJ721" s="551"/>
      <c r="BK721" s="551"/>
    </row>
    <row r="722" spans="1:63" ht="12.75" customHeight="1">
      <c r="A722" s="551"/>
      <c r="B722" s="551"/>
      <c r="C722" s="551"/>
      <c r="D722" s="551"/>
      <c r="E722" s="551"/>
      <c r="F722" s="551"/>
      <c r="G722" s="551"/>
      <c r="H722" s="551"/>
      <c r="I722" s="551"/>
      <c r="J722" s="551"/>
      <c r="K722" s="551"/>
      <c r="L722" s="551"/>
      <c r="M722" s="551"/>
      <c r="N722" s="551"/>
      <c r="O722" s="551"/>
      <c r="P722" s="551"/>
      <c r="Q722" s="551"/>
      <c r="R722" s="551"/>
      <c r="S722" s="551"/>
      <c r="T722" s="551"/>
      <c r="U722" s="551"/>
      <c r="V722" s="551"/>
      <c r="W722" s="551"/>
      <c r="X722" s="551"/>
      <c r="Y722" s="551"/>
      <c r="Z722" s="551"/>
      <c r="AA722" s="551"/>
      <c r="AB722" s="551"/>
      <c r="AC722" s="551"/>
      <c r="AD722" s="551"/>
      <c r="AE722" s="551"/>
      <c r="AF722" s="551"/>
      <c r="AG722" s="551"/>
      <c r="AH722" s="551"/>
      <c r="AI722" s="551"/>
      <c r="AJ722" s="551"/>
      <c r="AK722" s="551"/>
      <c r="AL722" s="551"/>
      <c r="AM722" s="551"/>
      <c r="AN722" s="551"/>
      <c r="AO722" s="551"/>
      <c r="AP722" s="551"/>
      <c r="AQ722" s="551"/>
      <c r="AR722" s="551"/>
      <c r="AS722" s="551"/>
      <c r="AT722" s="551"/>
      <c r="AU722" s="551"/>
      <c r="AV722" s="551"/>
      <c r="AW722" s="551"/>
      <c r="AX722" s="551"/>
      <c r="AY722" s="551"/>
      <c r="AZ722" s="551"/>
      <c r="BA722" s="551"/>
      <c r="BB722" s="551"/>
      <c r="BC722" s="551"/>
      <c r="BD722" s="551"/>
      <c r="BE722" s="551"/>
      <c r="BF722" s="551"/>
      <c r="BG722" s="551"/>
      <c r="BH722" s="551"/>
      <c r="BI722" s="551"/>
      <c r="BJ722" s="551"/>
      <c r="BK722" s="551"/>
    </row>
    <row r="723" spans="1:63" ht="12.75" customHeight="1">
      <c r="A723" s="551"/>
      <c r="B723" s="551"/>
      <c r="C723" s="551"/>
      <c r="D723" s="551"/>
      <c r="E723" s="551"/>
      <c r="F723" s="551"/>
      <c r="G723" s="551"/>
      <c r="H723" s="551"/>
      <c r="I723" s="551"/>
      <c r="J723" s="551"/>
      <c r="K723" s="551"/>
      <c r="L723" s="551"/>
      <c r="M723" s="551"/>
      <c r="N723" s="551"/>
      <c r="O723" s="551"/>
      <c r="P723" s="551"/>
      <c r="Q723" s="551"/>
      <c r="R723" s="551"/>
      <c r="S723" s="551"/>
      <c r="T723" s="551"/>
      <c r="U723" s="551"/>
      <c r="V723" s="551"/>
      <c r="W723" s="551"/>
      <c r="X723" s="551"/>
      <c r="Y723" s="551"/>
      <c r="Z723" s="551"/>
      <c r="AA723" s="551"/>
      <c r="AB723" s="551"/>
      <c r="AC723" s="551"/>
      <c r="AD723" s="551"/>
      <c r="AE723" s="551"/>
      <c r="AF723" s="551"/>
      <c r="AG723" s="551"/>
      <c r="AH723" s="551"/>
      <c r="AI723" s="551"/>
      <c r="AJ723" s="551"/>
      <c r="AK723" s="551"/>
      <c r="AL723" s="551"/>
      <c r="AM723" s="551"/>
      <c r="AN723" s="551"/>
      <c r="AO723" s="551"/>
      <c r="AP723" s="551"/>
      <c r="AQ723" s="551"/>
      <c r="AR723" s="551"/>
      <c r="AS723" s="551"/>
      <c r="AT723" s="551"/>
      <c r="AU723" s="551"/>
      <c r="AV723" s="551"/>
      <c r="AW723" s="551"/>
      <c r="AX723" s="551"/>
      <c r="AY723" s="551"/>
      <c r="AZ723" s="551"/>
      <c r="BA723" s="551"/>
      <c r="BB723" s="551"/>
      <c r="BC723" s="551"/>
      <c r="BD723" s="551"/>
      <c r="BE723" s="551"/>
      <c r="BF723" s="551"/>
      <c r="BG723" s="551"/>
      <c r="BH723" s="551"/>
      <c r="BI723" s="551"/>
      <c r="BJ723" s="551"/>
      <c r="BK723" s="551"/>
    </row>
    <row r="724" spans="1:63" ht="12.75" customHeight="1">
      <c r="A724" s="551"/>
      <c r="B724" s="551"/>
      <c r="C724" s="551"/>
      <c r="D724" s="551"/>
      <c r="E724" s="551"/>
      <c r="F724" s="551"/>
      <c r="G724" s="551"/>
      <c r="H724" s="551"/>
      <c r="I724" s="551"/>
      <c r="J724" s="551"/>
      <c r="K724" s="551"/>
      <c r="L724" s="551"/>
      <c r="M724" s="551"/>
      <c r="N724" s="551"/>
      <c r="O724" s="551"/>
      <c r="P724" s="551"/>
      <c r="Q724" s="551"/>
      <c r="R724" s="551"/>
      <c r="S724" s="551"/>
      <c r="T724" s="551"/>
      <c r="U724" s="551"/>
      <c r="V724" s="551"/>
      <c r="W724" s="551"/>
      <c r="X724" s="551"/>
      <c r="Y724" s="551"/>
      <c r="Z724" s="551"/>
      <c r="AA724" s="551"/>
      <c r="AB724" s="551"/>
      <c r="AC724" s="551"/>
      <c r="AD724" s="551"/>
      <c r="AE724" s="551"/>
      <c r="AF724" s="551"/>
      <c r="AG724" s="551"/>
      <c r="AH724" s="551"/>
      <c r="AI724" s="551"/>
      <c r="AJ724" s="551"/>
      <c r="AK724" s="551"/>
      <c r="AL724" s="551"/>
      <c r="AM724" s="551"/>
      <c r="AN724" s="551"/>
      <c r="AO724" s="551"/>
      <c r="AP724" s="551"/>
      <c r="AQ724" s="551"/>
      <c r="AR724" s="551"/>
      <c r="AS724" s="551"/>
      <c r="AT724" s="551"/>
      <c r="AU724" s="551"/>
      <c r="AV724" s="551"/>
      <c r="AW724" s="551"/>
      <c r="AX724" s="551"/>
      <c r="AY724" s="551"/>
      <c r="AZ724" s="551"/>
      <c r="BA724" s="551"/>
      <c r="BB724" s="551"/>
      <c r="BC724" s="551"/>
      <c r="BD724" s="551"/>
      <c r="BE724" s="551"/>
      <c r="BF724" s="551"/>
      <c r="BG724" s="551"/>
      <c r="BH724" s="551"/>
      <c r="BI724" s="551"/>
      <c r="BJ724" s="551"/>
      <c r="BK724" s="551"/>
    </row>
    <row r="725" spans="1:63" ht="12.75" customHeight="1">
      <c r="A725" s="551"/>
      <c r="B725" s="551"/>
      <c r="C725" s="551"/>
      <c r="D725" s="551"/>
      <c r="E725" s="551"/>
      <c r="F725" s="551"/>
      <c r="G725" s="551"/>
      <c r="H725" s="551"/>
      <c r="I725" s="551"/>
      <c r="J725" s="551"/>
      <c r="K725" s="551"/>
      <c r="L725" s="551"/>
      <c r="M725" s="551"/>
      <c r="N725" s="551"/>
      <c r="O725" s="551"/>
      <c r="P725" s="551"/>
      <c r="Q725" s="551"/>
      <c r="R725" s="551"/>
      <c r="S725" s="551"/>
      <c r="T725" s="551"/>
      <c r="U725" s="551"/>
      <c r="V725" s="551"/>
      <c r="W725" s="551"/>
      <c r="X725" s="551"/>
      <c r="Y725" s="551"/>
      <c r="Z725" s="551"/>
      <c r="AA725" s="551"/>
      <c r="AB725" s="551"/>
      <c r="AC725" s="551"/>
      <c r="AD725" s="551"/>
      <c r="AE725" s="551"/>
      <c r="AF725" s="551"/>
      <c r="AG725" s="551"/>
      <c r="AH725" s="551"/>
      <c r="AI725" s="551"/>
      <c r="AJ725" s="551"/>
      <c r="AK725" s="551"/>
      <c r="AL725" s="551"/>
      <c r="AM725" s="551"/>
      <c r="AN725" s="551"/>
      <c r="AO725" s="551"/>
      <c r="AP725" s="551"/>
      <c r="AQ725" s="551"/>
      <c r="AR725" s="551"/>
      <c r="AS725" s="551"/>
      <c r="AT725" s="551"/>
      <c r="AU725" s="551"/>
      <c r="AV725" s="551"/>
      <c r="AW725" s="551"/>
      <c r="AX725" s="551"/>
      <c r="AY725" s="551"/>
      <c r="AZ725" s="551"/>
      <c r="BA725" s="551"/>
      <c r="BB725" s="551"/>
      <c r="BC725" s="551"/>
      <c r="BD725" s="551"/>
      <c r="BE725" s="551"/>
      <c r="BF725" s="551"/>
      <c r="BG725" s="551"/>
      <c r="BH725" s="551"/>
      <c r="BI725" s="551"/>
      <c r="BJ725" s="551"/>
      <c r="BK725" s="551"/>
    </row>
    <row r="726" spans="1:63" ht="12.75" customHeight="1">
      <c r="A726" s="551"/>
      <c r="B726" s="551"/>
      <c r="C726" s="551"/>
      <c r="D726" s="551"/>
      <c r="E726" s="551"/>
      <c r="F726" s="551"/>
      <c r="G726" s="551"/>
      <c r="H726" s="551"/>
      <c r="I726" s="551"/>
      <c r="J726" s="551"/>
      <c r="K726" s="551"/>
      <c r="L726" s="551"/>
      <c r="M726" s="551"/>
      <c r="N726" s="551"/>
      <c r="O726" s="551"/>
      <c r="P726" s="551"/>
      <c r="Q726" s="551"/>
      <c r="R726" s="551"/>
      <c r="S726" s="551"/>
      <c r="T726" s="551"/>
      <c r="U726" s="551"/>
      <c r="V726" s="551"/>
      <c r="W726" s="551"/>
      <c r="X726" s="551"/>
      <c r="Y726" s="551"/>
      <c r="Z726" s="551"/>
      <c r="AA726" s="551"/>
      <c r="AB726" s="551"/>
      <c r="AC726" s="551"/>
      <c r="AD726" s="551"/>
      <c r="AE726" s="551"/>
      <c r="AF726" s="551"/>
      <c r="AG726" s="551"/>
      <c r="AH726" s="551"/>
      <c r="AI726" s="551"/>
      <c r="AJ726" s="551"/>
      <c r="AK726" s="551"/>
      <c r="AL726" s="551"/>
      <c r="AM726" s="551"/>
      <c r="AN726" s="551"/>
      <c r="AO726" s="551"/>
      <c r="AP726" s="551"/>
      <c r="AQ726" s="551"/>
      <c r="AR726" s="551"/>
      <c r="AS726" s="551"/>
      <c r="AT726" s="551"/>
      <c r="AU726" s="551"/>
      <c r="AV726" s="551"/>
      <c r="AW726" s="551"/>
      <c r="AX726" s="551"/>
      <c r="AY726" s="551"/>
      <c r="AZ726" s="551"/>
      <c r="BA726" s="551"/>
      <c r="BB726" s="551"/>
      <c r="BC726" s="551"/>
      <c r="BD726" s="551"/>
      <c r="BE726" s="551"/>
      <c r="BF726" s="551"/>
      <c r="BG726" s="551"/>
      <c r="BH726" s="551"/>
      <c r="BI726" s="551"/>
      <c r="BJ726" s="551"/>
      <c r="BK726" s="551"/>
    </row>
    <row r="727" spans="1:63" ht="12.75" customHeight="1">
      <c r="A727" s="551"/>
      <c r="B727" s="551"/>
      <c r="C727" s="551"/>
      <c r="D727" s="551"/>
      <c r="E727" s="551"/>
      <c r="F727" s="551"/>
      <c r="G727" s="551"/>
      <c r="H727" s="551"/>
      <c r="I727" s="551"/>
      <c r="J727" s="551"/>
      <c r="K727" s="551"/>
      <c r="L727" s="551"/>
      <c r="M727" s="551"/>
      <c r="N727" s="551"/>
      <c r="O727" s="551"/>
      <c r="P727" s="551"/>
      <c r="Q727" s="551"/>
      <c r="R727" s="551"/>
      <c r="S727" s="551"/>
      <c r="T727" s="551"/>
      <c r="U727" s="551"/>
      <c r="V727" s="551"/>
      <c r="W727" s="551"/>
      <c r="X727" s="551"/>
      <c r="Y727" s="551"/>
      <c r="Z727" s="551"/>
      <c r="AA727" s="551"/>
      <c r="AB727" s="551"/>
      <c r="AC727" s="551"/>
      <c r="AD727" s="551"/>
      <c r="AE727" s="551"/>
      <c r="AF727" s="551"/>
      <c r="AG727" s="551"/>
      <c r="AH727" s="551"/>
      <c r="AI727" s="551"/>
      <c r="AJ727" s="551"/>
      <c r="AK727" s="551"/>
      <c r="AL727" s="551"/>
      <c r="AM727" s="551"/>
      <c r="AN727" s="551"/>
      <c r="AO727" s="551"/>
      <c r="AP727" s="551"/>
      <c r="AQ727" s="551"/>
      <c r="AR727" s="551"/>
      <c r="AS727" s="551"/>
      <c r="AT727" s="551"/>
      <c r="AU727" s="551"/>
      <c r="AV727" s="551"/>
      <c r="AW727" s="551"/>
      <c r="AX727" s="551"/>
      <c r="AY727" s="551"/>
      <c r="AZ727" s="551"/>
      <c r="BA727" s="551"/>
      <c r="BB727" s="551"/>
      <c r="BC727" s="551"/>
      <c r="BD727" s="551"/>
      <c r="BE727" s="551"/>
      <c r="BF727" s="551"/>
      <c r="BG727" s="551"/>
      <c r="BH727" s="551"/>
      <c r="BI727" s="551"/>
      <c r="BJ727" s="551"/>
      <c r="BK727" s="551"/>
    </row>
    <row r="728" spans="1:63" ht="12.75" customHeight="1">
      <c r="A728" s="551"/>
      <c r="B728" s="551"/>
      <c r="C728" s="551"/>
      <c r="D728" s="551"/>
      <c r="E728" s="551"/>
      <c r="F728" s="551"/>
      <c r="G728" s="551"/>
      <c r="H728" s="551"/>
      <c r="I728" s="551"/>
      <c r="J728" s="551"/>
      <c r="K728" s="551"/>
      <c r="L728" s="551"/>
      <c r="M728" s="551"/>
      <c r="N728" s="551"/>
      <c r="O728" s="551"/>
      <c r="P728" s="551"/>
      <c r="Q728" s="551"/>
      <c r="R728" s="551"/>
      <c r="S728" s="551"/>
      <c r="T728" s="551"/>
      <c r="U728" s="551"/>
      <c r="V728" s="551"/>
      <c r="W728" s="551"/>
      <c r="X728" s="551"/>
      <c r="Y728" s="551"/>
      <c r="Z728" s="551"/>
      <c r="AA728" s="551"/>
      <c r="AB728" s="551"/>
      <c r="AC728" s="551"/>
      <c r="AD728" s="551"/>
      <c r="AE728" s="551"/>
      <c r="AF728" s="551"/>
      <c r="AG728" s="551"/>
      <c r="AH728" s="551"/>
      <c r="AI728" s="551"/>
      <c r="AJ728" s="551"/>
      <c r="AK728" s="551"/>
      <c r="AL728" s="551"/>
      <c r="AM728" s="551"/>
      <c r="AN728" s="551"/>
      <c r="AO728" s="551"/>
      <c r="AP728" s="551"/>
      <c r="AQ728" s="551"/>
      <c r="AR728" s="551"/>
      <c r="AS728" s="551"/>
      <c r="AT728" s="551"/>
      <c r="AU728" s="551"/>
      <c r="AV728" s="551"/>
      <c r="AW728" s="551"/>
      <c r="AX728" s="551"/>
      <c r="AY728" s="551"/>
      <c r="AZ728" s="551"/>
      <c r="BA728" s="551"/>
      <c r="BB728" s="551"/>
      <c r="BC728" s="551"/>
      <c r="BD728" s="551"/>
      <c r="BE728" s="551"/>
      <c r="BF728" s="551"/>
      <c r="BG728" s="551"/>
      <c r="BH728" s="551"/>
      <c r="BI728" s="551"/>
      <c r="BJ728" s="551"/>
      <c r="BK728" s="551"/>
    </row>
    <row r="729" spans="1:63" ht="12.75" customHeight="1">
      <c r="A729" s="551"/>
      <c r="B729" s="551"/>
      <c r="C729" s="551"/>
      <c r="D729" s="551"/>
      <c r="E729" s="551"/>
      <c r="F729" s="551"/>
      <c r="G729" s="551"/>
      <c r="H729" s="551"/>
      <c r="I729" s="551"/>
      <c r="J729" s="551"/>
      <c r="K729" s="551"/>
      <c r="L729" s="551"/>
      <c r="M729" s="551"/>
      <c r="N729" s="551"/>
      <c r="O729" s="551"/>
      <c r="P729" s="551"/>
      <c r="Q729" s="551"/>
      <c r="R729" s="551"/>
      <c r="S729" s="551"/>
      <c r="T729" s="551"/>
      <c r="U729" s="551"/>
      <c r="V729" s="551"/>
      <c r="W729" s="551"/>
      <c r="X729" s="551"/>
      <c r="Y729" s="551"/>
      <c r="Z729" s="551"/>
      <c r="AA729" s="551"/>
      <c r="AB729" s="551"/>
      <c r="AC729" s="551"/>
      <c r="AD729" s="551"/>
      <c r="AE729" s="551"/>
      <c r="AF729" s="551"/>
      <c r="AG729" s="551"/>
      <c r="AH729" s="551"/>
      <c r="AI729" s="551"/>
      <c r="AJ729" s="551"/>
      <c r="AK729" s="551"/>
      <c r="AL729" s="551"/>
      <c r="AM729" s="551"/>
      <c r="AN729" s="551"/>
      <c r="AO729" s="551"/>
      <c r="AP729" s="551"/>
      <c r="AQ729" s="551"/>
      <c r="AR729" s="551"/>
      <c r="AS729" s="551"/>
      <c r="AT729" s="551"/>
      <c r="AU729" s="551"/>
      <c r="AV729" s="551"/>
      <c r="AW729" s="551"/>
      <c r="AX729" s="551"/>
      <c r="AY729" s="551"/>
      <c r="AZ729" s="551"/>
      <c r="BA729" s="551"/>
      <c r="BB729" s="551"/>
      <c r="BC729" s="551"/>
      <c r="BD729" s="551"/>
      <c r="BE729" s="551"/>
      <c r="BF729" s="551"/>
      <c r="BG729" s="551"/>
      <c r="BH729" s="551"/>
      <c r="BI729" s="551"/>
      <c r="BJ729" s="551"/>
      <c r="BK729" s="551"/>
    </row>
    <row r="730" spans="1:63" ht="12.75" customHeight="1">
      <c r="A730" s="551"/>
      <c r="B730" s="551"/>
      <c r="C730" s="551"/>
      <c r="D730" s="551"/>
      <c r="E730" s="551"/>
      <c r="F730" s="551"/>
      <c r="G730" s="551"/>
      <c r="H730" s="551"/>
      <c r="I730" s="551"/>
      <c r="J730" s="551"/>
      <c r="K730" s="551"/>
      <c r="L730" s="551"/>
      <c r="M730" s="551"/>
      <c r="N730" s="551"/>
      <c r="O730" s="551"/>
      <c r="P730" s="551"/>
      <c r="Q730" s="551"/>
      <c r="R730" s="551"/>
      <c r="S730" s="551"/>
      <c r="T730" s="551"/>
      <c r="U730" s="551"/>
      <c r="V730" s="551"/>
      <c r="W730" s="551"/>
      <c r="X730" s="551"/>
      <c r="Y730" s="551"/>
      <c r="Z730" s="551"/>
      <c r="AA730" s="551"/>
      <c r="AB730" s="551"/>
      <c r="AC730" s="551"/>
      <c r="AD730" s="551"/>
      <c r="AE730" s="551"/>
      <c r="AF730" s="551"/>
      <c r="AG730" s="551"/>
      <c r="AH730" s="551"/>
      <c r="AI730" s="551"/>
      <c r="AJ730" s="551"/>
      <c r="AK730" s="551"/>
      <c r="AL730" s="551"/>
      <c r="AM730" s="551"/>
      <c r="AN730" s="551"/>
      <c r="AO730" s="551"/>
      <c r="AP730" s="551"/>
      <c r="AQ730" s="551"/>
      <c r="AR730" s="551"/>
      <c r="AS730" s="551"/>
      <c r="AT730" s="551"/>
      <c r="AU730" s="551"/>
      <c r="AV730" s="551"/>
      <c r="AW730" s="551"/>
      <c r="AX730" s="551"/>
      <c r="AY730" s="551"/>
      <c r="AZ730" s="551"/>
      <c r="BA730" s="551"/>
      <c r="BB730" s="551"/>
      <c r="BC730" s="551"/>
      <c r="BD730" s="551"/>
      <c r="BE730" s="551"/>
      <c r="BF730" s="551"/>
      <c r="BG730" s="551"/>
      <c r="BH730" s="551"/>
      <c r="BI730" s="551"/>
      <c r="BJ730" s="551"/>
      <c r="BK730" s="551"/>
    </row>
    <row r="731" spans="1:63" ht="12.75" customHeight="1">
      <c r="A731" s="551"/>
      <c r="B731" s="551"/>
      <c r="C731" s="551"/>
      <c r="D731" s="551"/>
      <c r="E731" s="551"/>
      <c r="F731" s="551"/>
      <c r="G731" s="551"/>
      <c r="H731" s="551"/>
      <c r="I731" s="551"/>
      <c r="J731" s="551"/>
      <c r="K731" s="551"/>
      <c r="L731" s="551"/>
      <c r="M731" s="551"/>
      <c r="N731" s="551"/>
      <c r="O731" s="551"/>
      <c r="P731" s="551"/>
      <c r="Q731" s="551"/>
      <c r="R731" s="551"/>
      <c r="S731" s="551"/>
      <c r="T731" s="551"/>
      <c r="U731" s="551"/>
      <c r="V731" s="551"/>
      <c r="W731" s="551"/>
      <c r="X731" s="551"/>
      <c r="Y731" s="551"/>
      <c r="Z731" s="551"/>
      <c r="AA731" s="551"/>
      <c r="AB731" s="551"/>
      <c r="AC731" s="551"/>
      <c r="AD731" s="551"/>
      <c r="AE731" s="551"/>
      <c r="AF731" s="551"/>
      <c r="AG731" s="551"/>
      <c r="AH731" s="551"/>
      <c r="AI731" s="551"/>
      <c r="AJ731" s="551"/>
      <c r="AK731" s="551"/>
      <c r="AL731" s="551"/>
      <c r="AM731" s="551"/>
      <c r="AN731" s="551"/>
      <c r="AO731" s="551"/>
      <c r="AP731" s="551"/>
      <c r="AQ731" s="551"/>
      <c r="AR731" s="551"/>
      <c r="AS731" s="551"/>
      <c r="AT731" s="551"/>
      <c r="AU731" s="551"/>
      <c r="AV731" s="551"/>
      <c r="AW731" s="551"/>
      <c r="AX731" s="551"/>
      <c r="AY731" s="551"/>
      <c r="AZ731" s="551"/>
      <c r="BA731" s="551"/>
      <c r="BB731" s="551"/>
      <c r="BC731" s="551"/>
      <c r="BD731" s="551"/>
      <c r="BE731" s="551"/>
      <c r="BF731" s="551"/>
      <c r="BG731" s="551"/>
      <c r="BH731" s="551"/>
      <c r="BI731" s="551"/>
      <c r="BJ731" s="551"/>
      <c r="BK731" s="551"/>
    </row>
    <row r="732" spans="1:63" ht="12.75" customHeight="1">
      <c r="A732" s="551"/>
      <c r="B732" s="551"/>
      <c r="C732" s="551"/>
      <c r="D732" s="551"/>
      <c r="E732" s="551"/>
      <c r="F732" s="551"/>
      <c r="G732" s="551"/>
      <c r="H732" s="551"/>
      <c r="I732" s="551"/>
      <c r="J732" s="551"/>
      <c r="K732" s="551"/>
      <c r="L732" s="551"/>
      <c r="M732" s="551"/>
      <c r="N732" s="551"/>
      <c r="O732" s="551"/>
      <c r="P732" s="551"/>
      <c r="Q732" s="551"/>
      <c r="R732" s="551"/>
      <c r="S732" s="551"/>
      <c r="T732" s="551"/>
      <c r="U732" s="551"/>
      <c r="V732" s="551"/>
      <c r="W732" s="551"/>
      <c r="X732" s="551"/>
      <c r="Y732" s="551"/>
      <c r="Z732" s="551"/>
      <c r="AA732" s="551"/>
      <c r="AB732" s="551"/>
      <c r="AC732" s="551"/>
      <c r="AD732" s="551"/>
      <c r="AE732" s="551"/>
      <c r="AF732" s="551"/>
      <c r="AG732" s="551"/>
      <c r="AH732" s="551"/>
      <c r="AI732" s="551"/>
      <c r="AJ732" s="551"/>
      <c r="AK732" s="551"/>
      <c r="AL732" s="551"/>
      <c r="AM732" s="551"/>
      <c r="AN732" s="551"/>
      <c r="AO732" s="551"/>
      <c r="AP732" s="551"/>
      <c r="AQ732" s="551"/>
      <c r="AR732" s="551"/>
      <c r="AS732" s="551"/>
      <c r="AT732" s="551"/>
      <c r="AU732" s="551"/>
      <c r="AV732" s="551"/>
      <c r="AW732" s="551"/>
      <c r="AX732" s="551"/>
      <c r="AY732" s="551"/>
      <c r="AZ732" s="551"/>
      <c r="BA732" s="551"/>
      <c r="BB732" s="551"/>
      <c r="BC732" s="551"/>
      <c r="BD732" s="551"/>
      <c r="BE732" s="551"/>
      <c r="BF732" s="551"/>
      <c r="BG732" s="551"/>
      <c r="BH732" s="551"/>
      <c r="BI732" s="551"/>
      <c r="BJ732" s="551"/>
      <c r="BK732" s="551"/>
    </row>
    <row r="733" spans="1:63" ht="12.75" customHeight="1">
      <c r="A733" s="551"/>
      <c r="B733" s="551"/>
      <c r="C733" s="551"/>
      <c r="D733" s="551"/>
      <c r="E733" s="551"/>
      <c r="F733" s="551"/>
      <c r="G733" s="551"/>
      <c r="H733" s="551"/>
      <c r="I733" s="551"/>
      <c r="J733" s="551"/>
      <c r="K733" s="551"/>
      <c r="L733" s="551"/>
      <c r="M733" s="551"/>
      <c r="N733" s="551"/>
      <c r="O733" s="551"/>
      <c r="P733" s="551"/>
      <c r="Q733" s="551"/>
      <c r="R733" s="551"/>
      <c r="S733" s="551"/>
      <c r="T733" s="551"/>
      <c r="U733" s="551"/>
      <c r="V733" s="551"/>
      <c r="W733" s="551"/>
      <c r="X733" s="551"/>
      <c r="Y733" s="551"/>
      <c r="Z733" s="551"/>
      <c r="AA733" s="551"/>
      <c r="AB733" s="551"/>
      <c r="AC733" s="551"/>
      <c r="AD733" s="551"/>
      <c r="AE733" s="551"/>
      <c r="AF733" s="551"/>
      <c r="AG733" s="551"/>
      <c r="AH733" s="551"/>
      <c r="AI733" s="551"/>
      <c r="AJ733" s="551"/>
      <c r="AK733" s="551"/>
      <c r="AL733" s="551"/>
      <c r="AM733" s="551"/>
      <c r="AN733" s="551"/>
      <c r="AO733" s="551"/>
      <c r="AP733" s="551"/>
      <c r="AQ733" s="551"/>
      <c r="AR733" s="551"/>
      <c r="AS733" s="551"/>
      <c r="AT733" s="551"/>
      <c r="AU733" s="551"/>
      <c r="AV733" s="551"/>
      <c r="AW733" s="551"/>
      <c r="AX733" s="551"/>
      <c r="AY733" s="551"/>
      <c r="AZ733" s="551"/>
      <c r="BA733" s="551"/>
      <c r="BB733" s="551"/>
      <c r="BC733" s="551"/>
      <c r="BD733" s="551"/>
      <c r="BE733" s="551"/>
      <c r="BF733" s="551"/>
      <c r="BG733" s="551"/>
      <c r="BH733" s="551"/>
      <c r="BI733" s="551"/>
      <c r="BJ733" s="551"/>
      <c r="BK733" s="551"/>
    </row>
    <row r="734" spans="1:63" ht="12.75" customHeight="1">
      <c r="A734" s="551"/>
      <c r="B734" s="551"/>
      <c r="C734" s="551"/>
      <c r="D734" s="551"/>
      <c r="E734" s="551"/>
      <c r="F734" s="551"/>
      <c r="G734" s="551"/>
      <c r="H734" s="551"/>
      <c r="I734" s="551"/>
      <c r="J734" s="551"/>
      <c r="K734" s="551"/>
      <c r="L734" s="551"/>
      <c r="M734" s="551"/>
      <c r="N734" s="551"/>
      <c r="O734" s="551"/>
      <c r="P734" s="551"/>
      <c r="Q734" s="551"/>
      <c r="R734" s="551"/>
      <c r="S734" s="551"/>
      <c r="T734" s="551"/>
      <c r="U734" s="551"/>
      <c r="V734" s="551"/>
      <c r="W734" s="551"/>
      <c r="X734" s="551"/>
      <c r="Y734" s="551"/>
      <c r="Z734" s="551"/>
      <c r="AA734" s="551"/>
      <c r="AB734" s="551"/>
      <c r="AC734" s="551"/>
      <c r="AD734" s="551"/>
      <c r="AE734" s="551"/>
      <c r="AF734" s="551"/>
      <c r="AG734" s="551"/>
      <c r="AH734" s="551"/>
      <c r="AI734" s="551"/>
      <c r="AJ734" s="551"/>
      <c r="AK734" s="551"/>
      <c r="AL734" s="551"/>
      <c r="AM734" s="551"/>
      <c r="AN734" s="551"/>
      <c r="AO734" s="551"/>
      <c r="AP734" s="551"/>
      <c r="AQ734" s="551"/>
      <c r="AR734" s="551"/>
      <c r="AS734" s="551"/>
      <c r="AT734" s="551"/>
      <c r="AU734" s="551"/>
      <c r="AV734" s="551"/>
      <c r="AW734" s="551"/>
      <c r="AX734" s="551"/>
      <c r="AY734" s="551"/>
      <c r="AZ734" s="551"/>
      <c r="BA734" s="551"/>
      <c r="BB734" s="551"/>
      <c r="BC734" s="551"/>
      <c r="BD734" s="551"/>
      <c r="BE734" s="551"/>
      <c r="BF734" s="551"/>
      <c r="BG734" s="551"/>
      <c r="BH734" s="551"/>
      <c r="BI734" s="551"/>
      <c r="BJ734" s="551"/>
      <c r="BK734" s="551"/>
    </row>
    <row r="735" spans="1:63" ht="12.75" customHeight="1">
      <c r="A735" s="551"/>
      <c r="B735" s="551"/>
      <c r="C735" s="551"/>
      <c r="D735" s="551"/>
      <c r="E735" s="551"/>
      <c r="F735" s="551"/>
      <c r="G735" s="551"/>
      <c r="H735" s="551"/>
      <c r="I735" s="551"/>
      <c r="J735" s="551"/>
      <c r="K735" s="551"/>
      <c r="L735" s="551"/>
      <c r="M735" s="551"/>
      <c r="N735" s="551"/>
      <c r="O735" s="551"/>
      <c r="P735" s="551"/>
      <c r="Q735" s="551"/>
      <c r="R735" s="551"/>
      <c r="S735" s="551"/>
      <c r="T735" s="551"/>
      <c r="U735" s="551"/>
      <c r="V735" s="551"/>
      <c r="W735" s="551"/>
      <c r="X735" s="551"/>
      <c r="Y735" s="551"/>
      <c r="Z735" s="551"/>
      <c r="AA735" s="551"/>
      <c r="AB735" s="551"/>
      <c r="AC735" s="551"/>
      <c r="AD735" s="551"/>
      <c r="AE735" s="551"/>
      <c r="AF735" s="551"/>
      <c r="AG735" s="551"/>
      <c r="AH735" s="551"/>
      <c r="AI735" s="551"/>
      <c r="AJ735" s="551"/>
      <c r="AK735" s="551"/>
      <c r="AL735" s="551"/>
      <c r="AM735" s="551"/>
      <c r="AN735" s="551"/>
      <c r="AO735" s="551"/>
      <c r="AP735" s="551"/>
      <c r="AQ735" s="551"/>
      <c r="AR735" s="551"/>
      <c r="AS735" s="551"/>
      <c r="AT735" s="551"/>
      <c r="AU735" s="551"/>
      <c r="AV735" s="551"/>
      <c r="AW735" s="551"/>
      <c r="AX735" s="551"/>
      <c r="AY735" s="551"/>
      <c r="AZ735" s="551"/>
      <c r="BA735" s="551"/>
      <c r="BB735" s="551"/>
      <c r="BC735" s="551"/>
      <c r="BD735" s="551"/>
      <c r="BE735" s="551"/>
      <c r="BF735" s="551"/>
      <c r="BG735" s="551"/>
      <c r="BH735" s="551"/>
      <c r="BI735" s="551"/>
      <c r="BJ735" s="551"/>
      <c r="BK735" s="551"/>
    </row>
    <row r="736" spans="1:63" ht="12.75" customHeight="1">
      <c r="A736" s="551"/>
      <c r="B736" s="551"/>
      <c r="C736" s="551"/>
      <c r="D736" s="551"/>
      <c r="E736" s="551"/>
      <c r="F736" s="551"/>
      <c r="G736" s="551"/>
      <c r="H736" s="551"/>
      <c r="I736" s="551"/>
      <c r="J736" s="551"/>
      <c r="K736" s="551"/>
      <c r="L736" s="551"/>
      <c r="M736" s="551"/>
      <c r="N736" s="551"/>
      <c r="O736" s="551"/>
      <c r="P736" s="551"/>
      <c r="Q736" s="551"/>
      <c r="R736" s="551"/>
      <c r="S736" s="551"/>
      <c r="T736" s="551"/>
      <c r="U736" s="551"/>
      <c r="V736" s="551"/>
      <c r="W736" s="551"/>
      <c r="X736" s="551"/>
      <c r="Y736" s="551"/>
      <c r="Z736" s="551"/>
      <c r="AA736" s="551"/>
      <c r="AB736" s="551"/>
      <c r="AC736" s="551"/>
      <c r="AD736" s="551"/>
      <c r="AE736" s="551"/>
      <c r="AF736" s="551"/>
      <c r="AG736" s="551"/>
      <c r="AH736" s="551"/>
      <c r="AI736" s="551"/>
      <c r="AJ736" s="551"/>
      <c r="AK736" s="551"/>
      <c r="AL736" s="551"/>
      <c r="AM736" s="551"/>
      <c r="AN736" s="551"/>
      <c r="AO736" s="551"/>
      <c r="AP736" s="551"/>
      <c r="AQ736" s="551"/>
      <c r="AR736" s="551"/>
      <c r="AS736" s="551"/>
      <c r="AT736" s="551"/>
      <c r="AU736" s="551"/>
      <c r="AV736" s="551"/>
      <c r="AW736" s="551"/>
      <c r="AX736" s="551"/>
      <c r="AY736" s="551"/>
      <c r="AZ736" s="551"/>
      <c r="BA736" s="551"/>
      <c r="BB736" s="551"/>
      <c r="BC736" s="551"/>
      <c r="BD736" s="551"/>
      <c r="BE736" s="551"/>
      <c r="BF736" s="551"/>
      <c r="BG736" s="551"/>
      <c r="BH736" s="551"/>
      <c r="BI736" s="551"/>
      <c r="BJ736" s="551"/>
      <c r="BK736" s="551"/>
    </row>
    <row r="737" spans="1:63" ht="12.75" customHeight="1">
      <c r="A737" s="551"/>
      <c r="B737" s="551"/>
      <c r="C737" s="551"/>
      <c r="D737" s="551"/>
      <c r="E737" s="551"/>
      <c r="F737" s="551"/>
      <c r="G737" s="551"/>
      <c r="H737" s="551"/>
      <c r="I737" s="551"/>
      <c r="J737" s="551"/>
      <c r="K737" s="551"/>
      <c r="L737" s="551"/>
      <c r="M737" s="551"/>
      <c r="N737" s="551"/>
      <c r="O737" s="551"/>
      <c r="P737" s="551"/>
      <c r="Q737" s="551"/>
      <c r="R737" s="551"/>
      <c r="S737" s="551"/>
      <c r="T737" s="551"/>
      <c r="U737" s="551"/>
      <c r="V737" s="551"/>
      <c r="W737" s="551"/>
      <c r="X737" s="551"/>
      <c r="Y737" s="551"/>
      <c r="Z737" s="551"/>
      <c r="AA737" s="551"/>
      <c r="AB737" s="551"/>
      <c r="AC737" s="551"/>
      <c r="AD737" s="551"/>
      <c r="AE737" s="551"/>
      <c r="AF737" s="551"/>
      <c r="AG737" s="551"/>
      <c r="AH737" s="551"/>
      <c r="AI737" s="551"/>
      <c r="AJ737" s="551"/>
      <c r="AK737" s="551"/>
      <c r="AL737" s="551"/>
      <c r="AM737" s="551"/>
      <c r="AN737" s="551"/>
      <c r="AO737" s="551"/>
      <c r="AP737" s="551"/>
      <c r="AQ737" s="551"/>
      <c r="AR737" s="551"/>
      <c r="AS737" s="551"/>
      <c r="AT737" s="551"/>
      <c r="AU737" s="551"/>
      <c r="AV737" s="551"/>
      <c r="AW737" s="551"/>
      <c r="AX737" s="551"/>
      <c r="AY737" s="551"/>
      <c r="AZ737" s="551"/>
      <c r="BA737" s="551"/>
      <c r="BB737" s="551"/>
      <c r="BC737" s="551"/>
      <c r="BD737" s="551"/>
      <c r="BE737" s="551"/>
      <c r="BF737" s="551"/>
      <c r="BG737" s="551"/>
      <c r="BH737" s="551"/>
      <c r="BI737" s="551"/>
      <c r="BJ737" s="551"/>
      <c r="BK737" s="551"/>
    </row>
    <row r="738" spans="1:63" ht="12.75" customHeight="1">
      <c r="A738" s="551"/>
      <c r="B738" s="551"/>
      <c r="C738" s="551"/>
      <c r="D738" s="551"/>
      <c r="E738" s="551"/>
      <c r="F738" s="551"/>
      <c r="G738" s="551"/>
      <c r="H738" s="551"/>
      <c r="I738" s="551"/>
      <c r="J738" s="551"/>
      <c r="K738" s="551"/>
      <c r="L738" s="551"/>
      <c r="M738" s="551"/>
      <c r="N738" s="551"/>
      <c r="O738" s="551"/>
      <c r="P738" s="551"/>
      <c r="Q738" s="551"/>
      <c r="R738" s="551"/>
      <c r="S738" s="551"/>
      <c r="T738" s="551"/>
      <c r="U738" s="551"/>
      <c r="V738" s="551"/>
      <c r="W738" s="551"/>
      <c r="X738" s="551"/>
      <c r="Y738" s="551"/>
      <c r="Z738" s="551"/>
      <c r="AA738" s="551"/>
      <c r="AB738" s="551"/>
      <c r="AC738" s="551"/>
      <c r="AD738" s="551"/>
      <c r="AE738" s="551"/>
      <c r="AF738" s="551"/>
      <c r="AG738" s="551"/>
      <c r="AH738" s="551"/>
      <c r="AI738" s="551"/>
      <c r="AJ738" s="551"/>
      <c r="AK738" s="551"/>
      <c r="AL738" s="551"/>
      <c r="AM738" s="551"/>
      <c r="AN738" s="551"/>
      <c r="AO738" s="551"/>
      <c r="AP738" s="551"/>
      <c r="AQ738" s="551"/>
      <c r="AR738" s="551"/>
      <c r="AS738" s="551"/>
      <c r="AT738" s="551"/>
      <c r="AU738" s="551"/>
      <c r="AV738" s="551"/>
      <c r="AW738" s="551"/>
      <c r="AX738" s="551"/>
      <c r="AY738" s="551"/>
      <c r="AZ738" s="551"/>
      <c r="BA738" s="551"/>
      <c r="BB738" s="551"/>
      <c r="BC738" s="551"/>
      <c r="BD738" s="551"/>
      <c r="BE738" s="551"/>
      <c r="BF738" s="551"/>
      <c r="BG738" s="551"/>
      <c r="BH738" s="551"/>
      <c r="BI738" s="551"/>
      <c r="BJ738" s="551"/>
      <c r="BK738" s="551"/>
    </row>
    <row r="739" spans="1:63" ht="12.75" customHeight="1">
      <c r="A739" s="551"/>
      <c r="B739" s="551"/>
      <c r="C739" s="551"/>
      <c r="D739" s="551"/>
      <c r="E739" s="551"/>
      <c r="F739" s="551"/>
      <c r="G739" s="551"/>
      <c r="H739" s="551"/>
      <c r="I739" s="551"/>
      <c r="J739" s="551"/>
      <c r="K739" s="551"/>
      <c r="L739" s="551"/>
      <c r="M739" s="551"/>
      <c r="N739" s="551"/>
      <c r="O739" s="551"/>
      <c r="P739" s="551"/>
      <c r="Q739" s="551"/>
      <c r="R739" s="551"/>
      <c r="S739" s="551"/>
      <c r="T739" s="551"/>
      <c r="U739" s="551"/>
      <c r="V739" s="551"/>
      <c r="W739" s="551"/>
      <c r="X739" s="551"/>
      <c r="Y739" s="551"/>
      <c r="Z739" s="551"/>
      <c r="AA739" s="551"/>
      <c r="AB739" s="551"/>
      <c r="AC739" s="551"/>
      <c r="AD739" s="551"/>
      <c r="AE739" s="551"/>
      <c r="AF739" s="551"/>
      <c r="AG739" s="551"/>
      <c r="AH739" s="551"/>
      <c r="AI739" s="551"/>
      <c r="AJ739" s="551"/>
      <c r="AK739" s="551"/>
      <c r="AL739" s="551"/>
      <c r="AM739" s="551"/>
      <c r="AN739" s="551"/>
      <c r="AO739" s="551"/>
      <c r="AP739" s="551"/>
      <c r="AQ739" s="551"/>
      <c r="AR739" s="551"/>
      <c r="AS739" s="551"/>
      <c r="AT739" s="551"/>
      <c r="AU739" s="551"/>
      <c r="AV739" s="551"/>
      <c r="AW739" s="551"/>
      <c r="AX739" s="551"/>
      <c r="AY739" s="551"/>
      <c r="AZ739" s="551"/>
      <c r="BA739" s="551"/>
      <c r="BB739" s="551"/>
      <c r="BC739" s="551"/>
      <c r="BD739" s="551"/>
      <c r="BE739" s="551"/>
      <c r="BF739" s="551"/>
      <c r="BG739" s="551"/>
      <c r="BH739" s="551"/>
      <c r="BI739" s="551"/>
      <c r="BJ739" s="551"/>
      <c r="BK739" s="551"/>
    </row>
    <row r="740" spans="1:63" ht="12.75" customHeight="1">
      <c r="A740" s="551"/>
      <c r="B740" s="551"/>
      <c r="C740" s="551"/>
      <c r="D740" s="551"/>
      <c r="E740" s="551"/>
      <c r="F740" s="551"/>
      <c r="G740" s="551"/>
      <c r="H740" s="551"/>
      <c r="I740" s="551"/>
      <c r="J740" s="551"/>
      <c r="K740" s="551"/>
      <c r="L740" s="551"/>
      <c r="M740" s="551"/>
      <c r="N740" s="551"/>
      <c r="O740" s="551"/>
      <c r="P740" s="551"/>
      <c r="Q740" s="551"/>
      <c r="R740" s="551"/>
      <c r="S740" s="551"/>
      <c r="T740" s="551"/>
      <c r="U740" s="551"/>
      <c r="V740" s="551"/>
      <c r="W740" s="551"/>
      <c r="X740" s="551"/>
      <c r="Y740" s="551"/>
      <c r="Z740" s="551"/>
      <c r="AA740" s="551"/>
      <c r="AB740" s="551"/>
      <c r="AC740" s="551"/>
      <c r="AD740" s="551"/>
      <c r="AE740" s="551"/>
      <c r="AF740" s="551"/>
      <c r="AG740" s="551"/>
      <c r="AH740" s="551"/>
      <c r="AI740" s="551"/>
      <c r="AJ740" s="551"/>
      <c r="AK740" s="551"/>
      <c r="AL740" s="551"/>
      <c r="AM740" s="551"/>
      <c r="AN740" s="551"/>
      <c r="AO740" s="551"/>
      <c r="AP740" s="551"/>
      <c r="AQ740" s="551"/>
      <c r="AR740" s="551"/>
      <c r="AS740" s="551"/>
      <c r="AT740" s="551"/>
      <c r="AU740" s="551"/>
      <c r="AV740" s="551"/>
      <c r="AW740" s="551"/>
      <c r="AX740" s="551"/>
      <c r="AY740" s="551"/>
      <c r="AZ740" s="551"/>
      <c r="BA740" s="551"/>
      <c r="BB740" s="551"/>
      <c r="BC740" s="551"/>
      <c r="BD740" s="551"/>
      <c r="BE740" s="551"/>
      <c r="BF740" s="551"/>
      <c r="BG740" s="551"/>
      <c r="BH740" s="551"/>
      <c r="BI740" s="551"/>
      <c r="BJ740" s="551"/>
      <c r="BK740" s="551"/>
    </row>
    <row r="741" spans="1:63" ht="12.75" customHeight="1">
      <c r="A741" s="551"/>
      <c r="B741" s="551"/>
      <c r="C741" s="551"/>
      <c r="D741" s="551"/>
      <c r="E741" s="551"/>
      <c r="F741" s="551"/>
      <c r="G741" s="551"/>
      <c r="H741" s="551"/>
      <c r="I741" s="551"/>
      <c r="J741" s="551"/>
      <c r="K741" s="551"/>
      <c r="L741" s="551"/>
      <c r="M741" s="551"/>
      <c r="N741" s="551"/>
      <c r="O741" s="551"/>
      <c r="P741" s="551"/>
      <c r="Q741" s="551"/>
      <c r="R741" s="551"/>
      <c r="S741" s="551"/>
      <c r="T741" s="551"/>
      <c r="U741" s="551"/>
      <c r="V741" s="551"/>
      <c r="W741" s="551"/>
      <c r="X741" s="551"/>
      <c r="Y741" s="551"/>
      <c r="Z741" s="551"/>
      <c r="AA741" s="551"/>
      <c r="AB741" s="551"/>
      <c r="AC741" s="551"/>
      <c r="AD741" s="551"/>
      <c r="AE741" s="551"/>
      <c r="AF741" s="551"/>
      <c r="AG741" s="551"/>
      <c r="AH741" s="551"/>
      <c r="AI741" s="551"/>
      <c r="AJ741" s="551"/>
      <c r="AK741" s="551"/>
      <c r="AL741" s="551"/>
      <c r="AM741" s="551"/>
      <c r="AN741" s="551"/>
      <c r="AO741" s="551"/>
      <c r="AP741" s="551"/>
      <c r="AQ741" s="551"/>
      <c r="AR741" s="551"/>
      <c r="AS741" s="551"/>
      <c r="AT741" s="551"/>
      <c r="AU741" s="551"/>
      <c r="AV741" s="551"/>
      <c r="AW741" s="551"/>
      <c r="AX741" s="551"/>
      <c r="AY741" s="551"/>
      <c r="AZ741" s="551"/>
      <c r="BA741" s="551"/>
      <c r="BB741" s="551"/>
      <c r="BC741" s="551"/>
      <c r="BD741" s="551"/>
      <c r="BE741" s="551"/>
      <c r="BF741" s="551"/>
      <c r="BG741" s="551"/>
      <c r="BH741" s="551"/>
      <c r="BI741" s="551"/>
      <c r="BJ741" s="551"/>
      <c r="BK741" s="551"/>
    </row>
    <row r="742" spans="1:63" ht="12.75" customHeight="1">
      <c r="A742" s="551"/>
      <c r="B742" s="551"/>
      <c r="C742" s="551"/>
      <c r="D742" s="551"/>
      <c r="E742" s="551"/>
      <c r="F742" s="551"/>
      <c r="G742" s="551"/>
      <c r="H742" s="551"/>
      <c r="I742" s="551"/>
      <c r="J742" s="551"/>
      <c r="K742" s="551"/>
      <c r="L742" s="551"/>
      <c r="M742" s="551"/>
      <c r="N742" s="551"/>
      <c r="O742" s="551"/>
      <c r="P742" s="551"/>
      <c r="Q742" s="551"/>
      <c r="R742" s="551"/>
      <c r="S742" s="551"/>
      <c r="T742" s="551"/>
      <c r="U742" s="551"/>
      <c r="V742" s="551"/>
      <c r="W742" s="551"/>
      <c r="X742" s="551"/>
      <c r="Y742" s="551"/>
      <c r="Z742" s="551"/>
      <c r="AA742" s="551"/>
      <c r="AB742" s="551"/>
      <c r="AC742" s="551"/>
      <c r="AD742" s="551"/>
      <c r="AE742" s="551"/>
      <c r="AF742" s="551"/>
      <c r="AG742" s="551"/>
      <c r="AH742" s="551"/>
      <c r="AI742" s="551"/>
      <c r="AJ742" s="551"/>
      <c r="AK742" s="551"/>
      <c r="AL742" s="551"/>
      <c r="AM742" s="551"/>
      <c r="AN742" s="551"/>
      <c r="AO742" s="551"/>
      <c r="AP742" s="551"/>
      <c r="AQ742" s="551"/>
      <c r="AR742" s="551"/>
      <c r="AS742" s="551"/>
      <c r="AT742" s="551"/>
      <c r="AU742" s="551"/>
      <c r="AV742" s="551"/>
      <c r="AW742" s="551"/>
      <c r="AX742" s="551"/>
      <c r="AY742" s="551"/>
      <c r="AZ742" s="551"/>
      <c r="BA742" s="551"/>
      <c r="BB742" s="551"/>
      <c r="BC742" s="551"/>
      <c r="BD742" s="551"/>
      <c r="BE742" s="551"/>
      <c r="BF742" s="551"/>
      <c r="BG742" s="551"/>
      <c r="BH742" s="551"/>
      <c r="BI742" s="551"/>
      <c r="BJ742" s="551"/>
      <c r="BK742" s="551"/>
    </row>
    <row r="743" spans="1:63" ht="12.75" customHeight="1">
      <c r="A743" s="551"/>
      <c r="B743" s="551"/>
      <c r="C743" s="551"/>
      <c r="D743" s="551"/>
      <c r="E743" s="551"/>
      <c r="F743" s="551"/>
      <c r="G743" s="551"/>
      <c r="H743" s="551"/>
      <c r="I743" s="551"/>
      <c r="J743" s="551"/>
      <c r="K743" s="551"/>
      <c r="L743" s="551"/>
      <c r="M743" s="551"/>
      <c r="N743" s="551"/>
      <c r="O743" s="551"/>
      <c r="P743" s="551"/>
      <c r="Q743" s="551"/>
      <c r="R743" s="551"/>
      <c r="S743" s="551"/>
      <c r="T743" s="551"/>
      <c r="U743" s="551"/>
      <c r="V743" s="551"/>
      <c r="W743" s="551"/>
      <c r="X743" s="551"/>
      <c r="Y743" s="551"/>
      <c r="Z743" s="551"/>
      <c r="AA743" s="551"/>
      <c r="AB743" s="551"/>
      <c r="AC743" s="551"/>
      <c r="AD743" s="551"/>
      <c r="AE743" s="551"/>
      <c r="AF743" s="551"/>
      <c r="AG743" s="551"/>
      <c r="AH743" s="551"/>
      <c r="AI743" s="551"/>
      <c r="AJ743" s="551"/>
      <c r="AK743" s="551"/>
      <c r="AL743" s="551"/>
      <c r="AM743" s="551"/>
      <c r="AN743" s="551"/>
      <c r="AO743" s="551"/>
      <c r="AP743" s="551"/>
      <c r="AQ743" s="551"/>
      <c r="AR743" s="551"/>
      <c r="AS743" s="551"/>
      <c r="AT743" s="551"/>
      <c r="AU743" s="551"/>
      <c r="AV743" s="551"/>
      <c r="AW743" s="551"/>
      <c r="AX743" s="551"/>
      <c r="AY743" s="551"/>
      <c r="AZ743" s="551"/>
      <c r="BA743" s="551"/>
      <c r="BB743" s="551"/>
      <c r="BC743" s="551"/>
      <c r="BD743" s="551"/>
      <c r="BE743" s="551"/>
      <c r="BF743" s="551"/>
      <c r="BG743" s="551"/>
      <c r="BH743" s="551"/>
      <c r="BI743" s="551"/>
      <c r="BJ743" s="551"/>
      <c r="BK743" s="551"/>
    </row>
    <row r="744" spans="1:63" ht="12.75" customHeight="1">
      <c r="A744" s="551"/>
      <c r="B744" s="551"/>
      <c r="C744" s="551"/>
      <c r="D744" s="551"/>
      <c r="E744" s="551"/>
      <c r="F744" s="551"/>
      <c r="G744" s="551"/>
      <c r="H744" s="551"/>
      <c r="I744" s="551"/>
      <c r="J744" s="551"/>
      <c r="K744" s="551"/>
      <c r="L744" s="551"/>
      <c r="M744" s="551"/>
      <c r="N744" s="551"/>
      <c r="O744" s="551"/>
      <c r="P744" s="551"/>
      <c r="Q744" s="551"/>
      <c r="R744" s="551"/>
      <c r="S744" s="551"/>
      <c r="T744" s="551"/>
      <c r="U744" s="551"/>
      <c r="V744" s="551"/>
      <c r="W744" s="551"/>
      <c r="X744" s="551"/>
      <c r="Y744" s="551"/>
      <c r="Z744" s="551"/>
      <c r="AA744" s="551"/>
      <c r="AB744" s="551"/>
      <c r="AC744" s="551"/>
      <c r="AD744" s="551"/>
      <c r="AE744" s="551"/>
      <c r="AF744" s="551"/>
      <c r="AG744" s="551"/>
      <c r="AH744" s="551"/>
      <c r="AI744" s="551"/>
      <c r="AJ744" s="551"/>
      <c r="AK744" s="551"/>
      <c r="AL744" s="551"/>
      <c r="AM744" s="551"/>
      <c r="AN744" s="551"/>
      <c r="AO744" s="551"/>
      <c r="AP744" s="551"/>
      <c r="AQ744" s="551"/>
      <c r="AR744" s="551"/>
      <c r="AS744" s="551"/>
      <c r="AT744" s="551"/>
      <c r="AU744" s="551"/>
      <c r="AV744" s="551"/>
      <c r="AW744" s="551"/>
      <c r="AX744" s="551"/>
      <c r="AY744" s="551"/>
      <c r="AZ744" s="551"/>
      <c r="BA744" s="551"/>
      <c r="BB744" s="551"/>
      <c r="BC744" s="551"/>
      <c r="BD744" s="551"/>
      <c r="BE744" s="551"/>
      <c r="BF744" s="551"/>
      <c r="BG744" s="551"/>
      <c r="BH744" s="551"/>
      <c r="BI744" s="551"/>
      <c r="BJ744" s="551"/>
      <c r="BK744" s="551"/>
    </row>
    <row r="745" spans="1:63" ht="12.75" customHeight="1">
      <c r="A745" s="551"/>
      <c r="B745" s="551"/>
      <c r="C745" s="551"/>
      <c r="D745" s="551"/>
      <c r="E745" s="551"/>
      <c r="F745" s="551"/>
      <c r="G745" s="551"/>
      <c r="H745" s="551"/>
      <c r="I745" s="551"/>
      <c r="J745" s="551"/>
      <c r="K745" s="551"/>
      <c r="L745" s="551"/>
      <c r="M745" s="551"/>
      <c r="N745" s="551"/>
      <c r="O745" s="551"/>
      <c r="P745" s="551"/>
      <c r="Q745" s="551"/>
      <c r="R745" s="551"/>
      <c r="S745" s="551"/>
      <c r="T745" s="551"/>
      <c r="U745" s="551"/>
      <c r="V745" s="551"/>
      <c r="W745" s="551"/>
      <c r="X745" s="551"/>
      <c r="Y745" s="551"/>
      <c r="Z745" s="551"/>
      <c r="AA745" s="551"/>
      <c r="AB745" s="551"/>
      <c r="AC745" s="551"/>
      <c r="AD745" s="551"/>
      <c r="AE745" s="551"/>
      <c r="AF745" s="551"/>
      <c r="AG745" s="551"/>
      <c r="AH745" s="551"/>
      <c r="AI745" s="551"/>
      <c r="AJ745" s="551"/>
      <c r="AK745" s="551"/>
      <c r="AL745" s="551"/>
      <c r="AM745" s="551"/>
      <c r="AN745" s="551"/>
      <c r="AO745" s="551"/>
      <c r="AP745" s="551"/>
      <c r="AQ745" s="551"/>
      <c r="AR745" s="551"/>
      <c r="AS745" s="551"/>
      <c r="AT745" s="551"/>
      <c r="AU745" s="551"/>
      <c r="AV745" s="551"/>
      <c r="AW745" s="551"/>
      <c r="AX745" s="551"/>
      <c r="AY745" s="551"/>
      <c r="AZ745" s="551"/>
      <c r="BA745" s="551"/>
      <c r="BB745" s="551"/>
      <c r="BC745" s="551"/>
      <c r="BD745" s="551"/>
      <c r="BE745" s="551"/>
      <c r="BF745" s="551"/>
      <c r="BG745" s="551"/>
      <c r="BH745" s="551"/>
      <c r="BI745" s="551"/>
      <c r="BJ745" s="551"/>
      <c r="BK745" s="551"/>
    </row>
    <row r="746" spans="1:63" ht="12.75" customHeight="1">
      <c r="A746" s="551"/>
      <c r="B746" s="551"/>
      <c r="C746" s="551"/>
      <c r="D746" s="551"/>
      <c r="E746" s="551"/>
      <c r="F746" s="551"/>
      <c r="G746" s="551"/>
      <c r="H746" s="551"/>
      <c r="I746" s="551"/>
      <c r="J746" s="551"/>
      <c r="K746" s="551"/>
      <c r="L746" s="551"/>
      <c r="M746" s="551"/>
      <c r="N746" s="551"/>
      <c r="O746" s="551"/>
      <c r="P746" s="551"/>
      <c r="Q746" s="551"/>
      <c r="R746" s="551"/>
      <c r="S746" s="551"/>
      <c r="T746" s="551"/>
      <c r="U746" s="551"/>
      <c r="V746" s="551"/>
      <c r="W746" s="551"/>
      <c r="X746" s="551"/>
      <c r="Y746" s="551"/>
      <c r="Z746" s="551"/>
      <c r="AA746" s="551"/>
      <c r="AB746" s="551"/>
      <c r="AC746" s="551"/>
      <c r="AD746" s="551"/>
      <c r="AE746" s="551"/>
      <c r="AF746" s="551"/>
      <c r="AG746" s="551"/>
      <c r="AH746" s="551"/>
      <c r="AI746" s="551"/>
      <c r="AJ746" s="551"/>
      <c r="AK746" s="551"/>
      <c r="AL746" s="551"/>
      <c r="AM746" s="551"/>
      <c r="AN746" s="551"/>
      <c r="AO746" s="551"/>
      <c r="AP746" s="551"/>
      <c r="AQ746" s="551"/>
      <c r="AR746" s="551"/>
      <c r="AS746" s="551"/>
      <c r="AT746" s="551"/>
      <c r="AU746" s="551"/>
      <c r="AV746" s="551"/>
      <c r="AW746" s="551"/>
      <c r="AX746" s="551"/>
      <c r="AY746" s="551"/>
      <c r="AZ746" s="551"/>
      <c r="BA746" s="551"/>
      <c r="BB746" s="551"/>
      <c r="BC746" s="551"/>
      <c r="BD746" s="551"/>
      <c r="BE746" s="551"/>
      <c r="BF746" s="551"/>
      <c r="BG746" s="551"/>
      <c r="BH746" s="551"/>
      <c r="BI746" s="551"/>
      <c r="BJ746" s="551"/>
      <c r="BK746" s="551"/>
    </row>
    <row r="747" spans="1:63" ht="12.75" customHeight="1">
      <c r="A747" s="551"/>
      <c r="B747" s="551"/>
      <c r="C747" s="551"/>
      <c r="D747" s="551"/>
      <c r="E747" s="551"/>
      <c r="F747" s="551"/>
      <c r="G747" s="551"/>
      <c r="H747" s="551"/>
      <c r="I747" s="551"/>
      <c r="J747" s="551"/>
      <c r="K747" s="551"/>
      <c r="L747" s="551"/>
      <c r="M747" s="551"/>
      <c r="N747" s="551"/>
      <c r="O747" s="551"/>
      <c r="P747" s="551"/>
      <c r="Q747" s="551"/>
      <c r="R747" s="551"/>
      <c r="S747" s="551"/>
      <c r="T747" s="551"/>
      <c r="U747" s="551"/>
      <c r="V747" s="551"/>
      <c r="W747" s="551"/>
      <c r="X747" s="551"/>
      <c r="Y747" s="551"/>
      <c r="Z747" s="551"/>
      <c r="AA747" s="551"/>
      <c r="AB747" s="551"/>
      <c r="AC747" s="551"/>
      <c r="AD747" s="551"/>
      <c r="AE747" s="551"/>
      <c r="AF747" s="551"/>
      <c r="AG747" s="551"/>
      <c r="AH747" s="551"/>
      <c r="AI747" s="551"/>
      <c r="AJ747" s="551"/>
      <c r="AK747" s="551"/>
      <c r="AL747" s="551"/>
      <c r="AM747" s="551"/>
      <c r="AN747" s="551"/>
      <c r="AO747" s="551"/>
      <c r="AP747" s="551"/>
      <c r="AQ747" s="551"/>
      <c r="AR747" s="551"/>
      <c r="AS747" s="551"/>
      <c r="AT747" s="551"/>
      <c r="AU747" s="551"/>
      <c r="AV747" s="551"/>
      <c r="AW747" s="551"/>
      <c r="AX747" s="551"/>
      <c r="AY747" s="551"/>
      <c r="AZ747" s="551"/>
      <c r="BA747" s="551"/>
      <c r="BB747" s="551"/>
      <c r="BC747" s="551"/>
      <c r="BD747" s="551"/>
      <c r="BE747" s="551"/>
      <c r="BF747" s="551"/>
      <c r="BG747" s="551"/>
      <c r="BH747" s="551"/>
      <c r="BI747" s="551"/>
      <c r="BJ747" s="551"/>
      <c r="BK747" s="551"/>
    </row>
    <row r="748" spans="1:63" ht="12.75" customHeight="1">
      <c r="A748" s="551"/>
      <c r="B748" s="551"/>
      <c r="C748" s="551"/>
      <c r="D748" s="551"/>
      <c r="E748" s="551"/>
      <c r="F748" s="551"/>
      <c r="G748" s="551"/>
      <c r="H748" s="551"/>
      <c r="I748" s="551"/>
      <c r="J748" s="551"/>
      <c r="K748" s="551"/>
      <c r="L748" s="551"/>
      <c r="M748" s="551"/>
      <c r="N748" s="551"/>
      <c r="O748" s="551"/>
      <c r="P748" s="551"/>
      <c r="Q748" s="551"/>
      <c r="R748" s="551"/>
      <c r="S748" s="551"/>
      <c r="T748" s="551"/>
      <c r="U748" s="551"/>
      <c r="V748" s="551"/>
      <c r="W748" s="551"/>
      <c r="X748" s="551"/>
      <c r="Y748" s="551"/>
      <c r="Z748" s="551"/>
      <c r="AA748" s="551"/>
      <c r="AB748" s="551"/>
      <c r="AC748" s="551"/>
      <c r="AD748" s="551"/>
      <c r="AE748" s="551"/>
      <c r="AF748" s="551"/>
      <c r="AG748" s="551"/>
      <c r="AH748" s="551"/>
      <c r="AI748" s="551"/>
      <c r="AJ748" s="551"/>
      <c r="AK748" s="551"/>
      <c r="AL748" s="551"/>
      <c r="AM748" s="551"/>
      <c r="AN748" s="551"/>
      <c r="AO748" s="551"/>
      <c r="AP748" s="551"/>
      <c r="AQ748" s="551"/>
      <c r="AR748" s="551"/>
      <c r="AS748" s="551"/>
      <c r="AT748" s="551"/>
      <c r="AU748" s="551"/>
      <c r="AV748" s="551"/>
      <c r="AW748" s="551"/>
      <c r="AX748" s="551"/>
      <c r="AY748" s="551"/>
      <c r="AZ748" s="551"/>
      <c r="BA748" s="551"/>
      <c r="BB748" s="551"/>
      <c r="BC748" s="551"/>
      <c r="BD748" s="551"/>
      <c r="BE748" s="551"/>
      <c r="BF748" s="551"/>
      <c r="BG748" s="551"/>
      <c r="BH748" s="551"/>
      <c r="BI748" s="551"/>
      <c r="BJ748" s="551"/>
      <c r="BK748" s="551"/>
    </row>
    <row r="749" spans="1:63" ht="12.75" customHeight="1">
      <c r="A749" s="551"/>
      <c r="B749" s="551"/>
      <c r="C749" s="551"/>
      <c r="D749" s="551"/>
      <c r="E749" s="551"/>
      <c r="F749" s="551"/>
      <c r="G749" s="551"/>
      <c r="H749" s="551"/>
      <c r="I749" s="551"/>
      <c r="J749" s="551"/>
      <c r="K749" s="551"/>
      <c r="L749" s="551"/>
      <c r="M749" s="551"/>
      <c r="N749" s="551"/>
      <c r="O749" s="551"/>
      <c r="P749" s="551"/>
      <c r="Q749" s="551"/>
      <c r="R749" s="551"/>
      <c r="S749" s="551"/>
      <c r="T749" s="551"/>
      <c r="U749" s="551"/>
      <c r="V749" s="551"/>
      <c r="W749" s="551"/>
      <c r="X749" s="551"/>
      <c r="Y749" s="551"/>
      <c r="Z749" s="551"/>
      <c r="AA749" s="551"/>
      <c r="AB749" s="551"/>
      <c r="AC749" s="551"/>
      <c r="AD749" s="551"/>
      <c r="AE749" s="551"/>
      <c r="AF749" s="551"/>
      <c r="AG749" s="551"/>
      <c r="AH749" s="551"/>
      <c r="AI749" s="551"/>
      <c r="AJ749" s="551"/>
      <c r="AK749" s="551"/>
      <c r="AL749" s="551"/>
      <c r="AM749" s="551"/>
      <c r="AN749" s="551"/>
      <c r="AO749" s="551"/>
      <c r="AP749" s="551"/>
      <c r="AQ749" s="551"/>
      <c r="AR749" s="551"/>
      <c r="AS749" s="551"/>
      <c r="AT749" s="551"/>
      <c r="AU749" s="551"/>
      <c r="AV749" s="551"/>
      <c r="AW749" s="551"/>
      <c r="AX749" s="551"/>
      <c r="AY749" s="551"/>
      <c r="AZ749" s="551"/>
      <c r="BA749" s="551"/>
      <c r="BB749" s="551"/>
      <c r="BC749" s="551"/>
      <c r="BD749" s="551"/>
      <c r="BE749" s="551"/>
      <c r="BF749" s="551"/>
      <c r="BG749" s="551"/>
      <c r="BH749" s="551"/>
      <c r="BI749" s="551"/>
      <c r="BJ749" s="551"/>
      <c r="BK749" s="551"/>
    </row>
    <row r="750" spans="1:63" ht="12.75" customHeight="1">
      <c r="A750" s="551"/>
      <c r="B750" s="551"/>
      <c r="C750" s="551"/>
      <c r="D750" s="551"/>
      <c r="E750" s="551"/>
      <c r="F750" s="551"/>
      <c r="G750" s="551"/>
      <c r="H750" s="551"/>
      <c r="I750" s="551"/>
      <c r="J750" s="551"/>
      <c r="K750" s="551"/>
      <c r="L750" s="551"/>
      <c r="M750" s="551"/>
      <c r="N750" s="551"/>
      <c r="O750" s="551"/>
      <c r="P750" s="551"/>
      <c r="Q750" s="551"/>
      <c r="R750" s="551"/>
      <c r="S750" s="551"/>
      <c r="T750" s="551"/>
      <c r="U750" s="551"/>
      <c r="V750" s="551"/>
      <c r="W750" s="551"/>
      <c r="X750" s="551"/>
      <c r="Y750" s="551"/>
      <c r="Z750" s="551"/>
      <c r="AA750" s="551"/>
      <c r="AB750" s="551"/>
      <c r="AC750" s="551"/>
      <c r="AD750" s="551"/>
      <c r="AE750" s="551"/>
      <c r="AF750" s="551"/>
      <c r="AG750" s="551"/>
      <c r="AH750" s="551"/>
      <c r="AI750" s="551"/>
      <c r="AJ750" s="551"/>
      <c r="AK750" s="551"/>
      <c r="AL750" s="551"/>
      <c r="AM750" s="551"/>
      <c r="AN750" s="551"/>
      <c r="AO750" s="551"/>
      <c r="AP750" s="551"/>
      <c r="AQ750" s="551"/>
      <c r="AR750" s="551"/>
      <c r="AS750" s="551"/>
      <c r="AT750" s="551"/>
      <c r="AU750" s="551"/>
      <c r="AV750" s="551"/>
      <c r="AW750" s="551"/>
      <c r="AX750" s="551"/>
      <c r="AY750" s="551"/>
      <c r="AZ750" s="551"/>
      <c r="BA750" s="551"/>
      <c r="BB750" s="551"/>
      <c r="BC750" s="551"/>
      <c r="BD750" s="551"/>
      <c r="BE750" s="551"/>
      <c r="BF750" s="551"/>
      <c r="BG750" s="551"/>
      <c r="BH750" s="551"/>
      <c r="BI750" s="551"/>
      <c r="BJ750" s="551"/>
      <c r="BK750" s="551"/>
    </row>
    <row r="751" spans="1:63" ht="12.75" customHeight="1">
      <c r="A751" s="551"/>
      <c r="B751" s="551"/>
      <c r="C751" s="551"/>
      <c r="D751" s="551"/>
      <c r="E751" s="551"/>
      <c r="F751" s="551"/>
      <c r="G751" s="551"/>
      <c r="H751" s="551"/>
      <c r="I751" s="551"/>
      <c r="J751" s="551"/>
      <c r="K751" s="551"/>
      <c r="L751" s="551"/>
      <c r="M751" s="551"/>
      <c r="N751" s="551"/>
      <c r="O751" s="551"/>
      <c r="P751" s="551"/>
      <c r="Q751" s="551"/>
      <c r="R751" s="551"/>
      <c r="S751" s="551"/>
      <c r="T751" s="551"/>
      <c r="U751" s="551"/>
      <c r="V751" s="551"/>
      <c r="W751" s="551"/>
      <c r="X751" s="551"/>
      <c r="Y751" s="551"/>
      <c r="Z751" s="551"/>
      <c r="AA751" s="551"/>
      <c r="AB751" s="551"/>
      <c r="AC751" s="551"/>
      <c r="AD751" s="551"/>
      <c r="AE751" s="551"/>
      <c r="AF751" s="551"/>
      <c r="AG751" s="551"/>
      <c r="AH751" s="551"/>
      <c r="AI751" s="551"/>
      <c r="AJ751" s="551"/>
      <c r="AK751" s="551"/>
      <c r="AL751" s="551"/>
      <c r="AM751" s="551"/>
      <c r="AN751" s="551"/>
      <c r="AO751" s="551"/>
      <c r="AP751" s="551"/>
      <c r="AQ751" s="551"/>
      <c r="AR751" s="551"/>
      <c r="AS751" s="551"/>
      <c r="AT751" s="551"/>
      <c r="AU751" s="551"/>
      <c r="AV751" s="551"/>
      <c r="AW751" s="551"/>
      <c r="AX751" s="551"/>
      <c r="AY751" s="551"/>
      <c r="AZ751" s="551"/>
      <c r="BA751" s="551"/>
      <c r="BB751" s="551"/>
      <c r="BC751" s="551"/>
      <c r="BD751" s="551"/>
      <c r="BE751" s="551"/>
      <c r="BF751" s="551"/>
      <c r="BG751" s="551"/>
      <c r="BH751" s="551"/>
      <c r="BI751" s="551"/>
      <c r="BJ751" s="551"/>
      <c r="BK751" s="551"/>
    </row>
    <row r="752" spans="1:63" ht="12.75" customHeight="1">
      <c r="A752" s="551"/>
      <c r="B752" s="551"/>
      <c r="C752" s="551"/>
      <c r="D752" s="551"/>
      <c r="E752" s="551"/>
      <c r="F752" s="551"/>
      <c r="G752" s="551"/>
      <c r="H752" s="551"/>
      <c r="I752" s="551"/>
      <c r="J752" s="551"/>
      <c r="K752" s="551"/>
      <c r="L752" s="551"/>
      <c r="M752" s="551"/>
      <c r="N752" s="551"/>
      <c r="O752" s="551"/>
      <c r="P752" s="551"/>
      <c r="Q752" s="551"/>
      <c r="R752" s="551"/>
      <c r="S752" s="551"/>
      <c r="T752" s="551"/>
      <c r="U752" s="551"/>
      <c r="V752" s="551"/>
      <c r="W752" s="551"/>
      <c r="X752" s="551"/>
      <c r="Y752" s="551"/>
      <c r="Z752" s="551"/>
      <c r="AA752" s="551"/>
      <c r="AB752" s="551"/>
      <c r="AC752" s="551"/>
      <c r="AD752" s="551"/>
      <c r="AE752" s="551"/>
      <c r="AF752" s="551"/>
      <c r="AG752" s="551"/>
      <c r="AH752" s="551"/>
      <c r="AI752" s="551"/>
      <c r="AJ752" s="551"/>
      <c r="AK752" s="551"/>
      <c r="AL752" s="551"/>
      <c r="AM752" s="551"/>
      <c r="AN752" s="551"/>
      <c r="AO752" s="551"/>
      <c r="AP752" s="551"/>
      <c r="AQ752" s="551"/>
      <c r="AR752" s="551"/>
      <c r="AS752" s="551"/>
      <c r="AT752" s="551"/>
      <c r="AU752" s="551"/>
      <c r="AV752" s="551"/>
      <c r="AW752" s="551"/>
      <c r="AX752" s="551"/>
      <c r="AY752" s="551"/>
      <c r="AZ752" s="551"/>
      <c r="BA752" s="551"/>
      <c r="BB752" s="551"/>
      <c r="BC752" s="551"/>
      <c r="BD752" s="551"/>
      <c r="BE752" s="551"/>
      <c r="BF752" s="551"/>
      <c r="BG752" s="551"/>
      <c r="BH752" s="551"/>
      <c r="BI752" s="551"/>
      <c r="BJ752" s="551"/>
      <c r="BK752" s="551"/>
    </row>
    <row r="753" spans="1:63" ht="12.75" customHeight="1">
      <c r="A753" s="551"/>
      <c r="B753" s="551"/>
      <c r="C753" s="551"/>
      <c r="D753" s="551"/>
      <c r="E753" s="551"/>
      <c r="F753" s="551"/>
      <c r="G753" s="551"/>
      <c r="H753" s="551"/>
      <c r="I753" s="551"/>
      <c r="J753" s="551"/>
      <c r="K753" s="551"/>
      <c r="L753" s="551"/>
      <c r="M753" s="551"/>
      <c r="N753" s="551"/>
      <c r="O753" s="551"/>
      <c r="P753" s="551"/>
      <c r="Q753" s="551"/>
      <c r="R753" s="551"/>
      <c r="S753" s="551"/>
      <c r="T753" s="551"/>
      <c r="U753" s="551"/>
      <c r="V753" s="551"/>
      <c r="W753" s="551"/>
      <c r="X753" s="551"/>
      <c r="Y753" s="551"/>
      <c r="Z753" s="551"/>
      <c r="AA753" s="551"/>
      <c r="AB753" s="551"/>
      <c r="AC753" s="551"/>
      <c r="AD753" s="551"/>
      <c r="AE753" s="551"/>
      <c r="AF753" s="551"/>
      <c r="AG753" s="551"/>
      <c r="AH753" s="551"/>
      <c r="AI753" s="551"/>
      <c r="AJ753" s="551"/>
      <c r="AK753" s="551"/>
      <c r="AL753" s="551"/>
      <c r="AM753" s="551"/>
      <c r="AN753" s="551"/>
      <c r="AO753" s="551"/>
      <c r="AP753" s="551"/>
      <c r="AQ753" s="551"/>
      <c r="AR753" s="551"/>
      <c r="AS753" s="551"/>
      <c r="AT753" s="551"/>
      <c r="AU753" s="551"/>
      <c r="AV753" s="551"/>
      <c r="AW753" s="551"/>
      <c r="AX753" s="551"/>
      <c r="AY753" s="551"/>
      <c r="AZ753" s="551"/>
      <c r="BA753" s="551"/>
      <c r="BB753" s="551"/>
      <c r="BC753" s="551"/>
      <c r="BD753" s="551"/>
      <c r="BE753" s="551"/>
      <c r="BF753" s="551"/>
      <c r="BG753" s="551"/>
      <c r="BH753" s="551"/>
      <c r="BI753" s="551"/>
      <c r="BJ753" s="551"/>
      <c r="BK753" s="551"/>
    </row>
    <row r="754" spans="1:63" ht="12.75" customHeight="1">
      <c r="A754" s="551"/>
      <c r="B754" s="551"/>
      <c r="C754" s="551"/>
      <c r="D754" s="551"/>
      <c r="E754" s="551"/>
      <c r="F754" s="551"/>
      <c r="G754" s="551"/>
      <c r="H754" s="551"/>
      <c r="I754" s="551"/>
      <c r="J754" s="551"/>
      <c r="K754" s="551"/>
      <c r="L754" s="551"/>
      <c r="M754" s="551"/>
      <c r="N754" s="551"/>
      <c r="O754" s="551"/>
      <c r="P754" s="551"/>
      <c r="Q754" s="551"/>
      <c r="R754" s="551"/>
      <c r="S754" s="551"/>
      <c r="T754" s="551"/>
      <c r="U754" s="551"/>
      <c r="V754" s="551"/>
      <c r="W754" s="551"/>
      <c r="X754" s="551"/>
      <c r="Y754" s="551"/>
      <c r="Z754" s="551"/>
      <c r="AA754" s="551"/>
      <c r="AB754" s="551"/>
      <c r="AC754" s="551"/>
      <c r="AD754" s="551"/>
      <c r="AE754" s="551"/>
      <c r="AF754" s="551"/>
      <c r="AG754" s="551"/>
      <c r="AH754" s="551"/>
      <c r="AI754" s="551"/>
      <c r="AJ754" s="551"/>
      <c r="AK754" s="551"/>
      <c r="AL754" s="551"/>
      <c r="AM754" s="551"/>
      <c r="AN754" s="551"/>
      <c r="AO754" s="551"/>
      <c r="AP754" s="551"/>
      <c r="AQ754" s="551"/>
      <c r="AR754" s="551"/>
      <c r="AS754" s="551"/>
      <c r="AT754" s="551"/>
      <c r="AU754" s="551"/>
      <c r="AV754" s="551"/>
      <c r="AW754" s="551"/>
      <c r="AX754" s="551"/>
      <c r="AY754" s="551"/>
      <c r="AZ754" s="551"/>
      <c r="BA754" s="551"/>
      <c r="BB754" s="551"/>
      <c r="BC754" s="551"/>
      <c r="BD754" s="551"/>
      <c r="BE754" s="551"/>
      <c r="BF754" s="551"/>
      <c r="BG754" s="551"/>
      <c r="BH754" s="551"/>
      <c r="BI754" s="551"/>
      <c r="BJ754" s="551"/>
      <c r="BK754" s="551"/>
    </row>
    <row r="755" spans="1:63" ht="12.75" customHeight="1">
      <c r="A755" s="551"/>
      <c r="B755" s="551"/>
      <c r="C755" s="551"/>
      <c r="D755" s="551"/>
      <c r="E755" s="551"/>
      <c r="F755" s="551"/>
      <c r="G755" s="551"/>
      <c r="H755" s="551"/>
      <c r="I755" s="551"/>
      <c r="J755" s="551"/>
      <c r="K755" s="551"/>
      <c r="L755" s="551"/>
      <c r="M755" s="551"/>
      <c r="N755" s="551"/>
      <c r="O755" s="551"/>
      <c r="P755" s="551"/>
      <c r="Q755" s="551"/>
      <c r="R755" s="551"/>
      <c r="S755" s="551"/>
      <c r="T755" s="551"/>
      <c r="U755" s="551"/>
      <c r="V755" s="551"/>
      <c r="W755" s="551"/>
      <c r="X755" s="551"/>
      <c r="Y755" s="551"/>
      <c r="Z755" s="551"/>
      <c r="AA755" s="551"/>
      <c r="AB755" s="551"/>
      <c r="AC755" s="551"/>
      <c r="AD755" s="551"/>
      <c r="AE755" s="551"/>
      <c r="AF755" s="551"/>
      <c r="AG755" s="551"/>
      <c r="AH755" s="551"/>
      <c r="AI755" s="551"/>
      <c r="AJ755" s="551"/>
      <c r="AK755" s="551"/>
      <c r="AL755" s="551"/>
      <c r="AM755" s="551"/>
      <c r="AN755" s="551"/>
      <c r="AO755" s="551"/>
      <c r="AP755" s="551"/>
      <c r="AQ755" s="551"/>
      <c r="AR755" s="551"/>
      <c r="AS755" s="551"/>
      <c r="AT755" s="551"/>
      <c r="AU755" s="551"/>
      <c r="AV755" s="551"/>
      <c r="AW755" s="551"/>
      <c r="AX755" s="551"/>
      <c r="AY755" s="551"/>
      <c r="AZ755" s="551"/>
      <c r="BA755" s="551"/>
      <c r="BB755" s="551"/>
      <c r="BC755" s="551"/>
      <c r="BD755" s="551"/>
      <c r="BE755" s="551"/>
      <c r="BF755" s="551"/>
      <c r="BG755" s="551"/>
      <c r="BH755" s="551"/>
      <c r="BI755" s="551"/>
      <c r="BJ755" s="551"/>
      <c r="BK755" s="551"/>
    </row>
    <row r="756" spans="1:63" ht="12.75" customHeight="1">
      <c r="A756" s="551"/>
      <c r="B756" s="551"/>
      <c r="C756" s="551"/>
      <c r="D756" s="551"/>
      <c r="E756" s="551"/>
      <c r="F756" s="551"/>
      <c r="G756" s="551"/>
      <c r="H756" s="551"/>
      <c r="I756" s="551"/>
      <c r="J756" s="551"/>
      <c r="K756" s="551"/>
      <c r="L756" s="551"/>
      <c r="M756" s="551"/>
      <c r="N756" s="551"/>
      <c r="O756" s="551"/>
      <c r="P756" s="551"/>
      <c r="Q756" s="551"/>
      <c r="R756" s="551"/>
      <c r="S756" s="551"/>
      <c r="T756" s="551"/>
      <c r="U756" s="551"/>
      <c r="V756" s="551"/>
      <c r="W756" s="551"/>
      <c r="X756" s="551"/>
      <c r="Y756" s="551"/>
      <c r="Z756" s="551"/>
      <c r="AA756" s="551"/>
      <c r="AB756" s="551"/>
      <c r="AC756" s="551"/>
      <c r="AD756" s="551"/>
      <c r="AE756" s="551"/>
      <c r="AF756" s="551"/>
      <c r="AG756" s="551"/>
      <c r="AH756" s="551"/>
      <c r="AI756" s="551"/>
      <c r="AJ756" s="551"/>
      <c r="AK756" s="551"/>
      <c r="AL756" s="551"/>
      <c r="AM756" s="551"/>
      <c r="AN756" s="551"/>
      <c r="AO756" s="551"/>
      <c r="AP756" s="551"/>
      <c r="AQ756" s="551"/>
      <c r="AR756" s="551"/>
      <c r="AS756" s="551"/>
      <c r="AT756" s="551"/>
      <c r="AU756" s="551"/>
      <c r="AV756" s="551"/>
      <c r="AW756" s="551"/>
      <c r="AX756" s="551"/>
      <c r="AY756" s="551"/>
      <c r="AZ756" s="551"/>
      <c r="BA756" s="551"/>
      <c r="BB756" s="551"/>
      <c r="BC756" s="551"/>
      <c r="BD756" s="551"/>
      <c r="BE756" s="551"/>
      <c r="BF756" s="551"/>
      <c r="BG756" s="551"/>
      <c r="BH756" s="551"/>
      <c r="BI756" s="551"/>
      <c r="BJ756" s="551"/>
      <c r="BK756" s="551"/>
    </row>
    <row r="757" spans="1:63" ht="12.75" customHeight="1">
      <c r="A757" s="551"/>
      <c r="B757" s="551"/>
      <c r="C757" s="551"/>
      <c r="D757" s="551"/>
      <c r="E757" s="551"/>
      <c r="F757" s="551"/>
      <c r="G757" s="551"/>
      <c r="H757" s="551"/>
      <c r="I757" s="551"/>
      <c r="J757" s="551"/>
      <c r="K757" s="551"/>
      <c r="L757" s="551"/>
      <c r="M757" s="551"/>
      <c r="N757" s="551"/>
      <c r="O757" s="551"/>
      <c r="P757" s="551"/>
      <c r="Q757" s="551"/>
      <c r="R757" s="551"/>
      <c r="S757" s="551"/>
      <c r="T757" s="551"/>
      <c r="U757" s="551"/>
      <c r="V757" s="551"/>
      <c r="W757" s="551"/>
      <c r="X757" s="551"/>
      <c r="Y757" s="551"/>
      <c r="Z757" s="551"/>
      <c r="AA757" s="551"/>
      <c r="AB757" s="551"/>
      <c r="AC757" s="551"/>
      <c r="AD757" s="551"/>
      <c r="AE757" s="551"/>
      <c r="AF757" s="551"/>
      <c r="AG757" s="551"/>
      <c r="AH757" s="551"/>
      <c r="AI757" s="551"/>
      <c r="AJ757" s="551"/>
      <c r="AK757" s="551"/>
      <c r="AL757" s="551"/>
      <c r="AM757" s="551"/>
      <c r="AN757" s="551"/>
      <c r="AO757" s="551"/>
      <c r="AP757" s="551"/>
      <c r="AQ757" s="551"/>
      <c r="AR757" s="551"/>
      <c r="AS757" s="551"/>
      <c r="AT757" s="551"/>
      <c r="AU757" s="551"/>
      <c r="AV757" s="551"/>
      <c r="AW757" s="551"/>
      <c r="AX757" s="551"/>
      <c r="AY757" s="551"/>
      <c r="AZ757" s="551"/>
      <c r="BA757" s="551"/>
      <c r="BB757" s="551"/>
      <c r="BC757" s="551"/>
      <c r="BD757" s="551"/>
      <c r="BE757" s="551"/>
      <c r="BF757" s="551"/>
      <c r="BG757" s="551"/>
      <c r="BH757" s="551"/>
      <c r="BI757" s="551"/>
      <c r="BJ757" s="551"/>
      <c r="BK757" s="551"/>
    </row>
    <row r="758" spans="1:63" ht="12.75" customHeight="1">
      <c r="A758" s="551"/>
      <c r="B758" s="551"/>
      <c r="C758" s="551"/>
      <c r="D758" s="551"/>
      <c r="E758" s="551"/>
      <c r="F758" s="551"/>
      <c r="G758" s="551"/>
      <c r="H758" s="551"/>
      <c r="I758" s="551"/>
      <c r="J758" s="551"/>
      <c r="K758" s="551"/>
      <c r="L758" s="551"/>
      <c r="M758" s="551"/>
      <c r="N758" s="551"/>
      <c r="O758" s="551"/>
      <c r="P758" s="551"/>
      <c r="Q758" s="551"/>
      <c r="R758" s="551"/>
      <c r="S758" s="551"/>
      <c r="T758" s="551"/>
      <c r="U758" s="551"/>
      <c r="V758" s="551"/>
      <c r="W758" s="551"/>
      <c r="X758" s="551"/>
      <c r="Y758" s="551"/>
      <c r="Z758" s="551"/>
      <c r="AA758" s="551"/>
      <c r="AB758" s="551"/>
      <c r="AC758" s="551"/>
      <c r="AD758" s="551"/>
      <c r="AE758" s="551"/>
      <c r="AF758" s="551"/>
      <c r="AG758" s="551"/>
      <c r="AH758" s="551"/>
      <c r="AI758" s="551"/>
      <c r="AJ758" s="551"/>
      <c r="AK758" s="551"/>
      <c r="AL758" s="551"/>
      <c r="AM758" s="551"/>
      <c r="AN758" s="551"/>
      <c r="AO758" s="551"/>
      <c r="AP758" s="551"/>
      <c r="AQ758" s="551"/>
      <c r="AR758" s="551"/>
      <c r="AS758" s="551"/>
      <c r="AT758" s="551"/>
      <c r="AU758" s="551"/>
      <c r="AV758" s="551"/>
      <c r="AW758" s="551"/>
      <c r="AX758" s="551"/>
      <c r="AY758" s="551"/>
      <c r="AZ758" s="551"/>
      <c r="BA758" s="551"/>
      <c r="BB758" s="551"/>
      <c r="BC758" s="551"/>
      <c r="BD758" s="551"/>
      <c r="BE758" s="551"/>
      <c r="BF758" s="551"/>
      <c r="BG758" s="551"/>
      <c r="BH758" s="551"/>
      <c r="BI758" s="551"/>
      <c r="BJ758" s="551"/>
      <c r="BK758" s="551"/>
    </row>
    <row r="759" spans="1:63" ht="12.75" customHeight="1">
      <c r="A759" s="551"/>
      <c r="B759" s="551"/>
      <c r="C759" s="551"/>
      <c r="D759" s="551"/>
      <c r="E759" s="551"/>
      <c r="F759" s="551"/>
      <c r="G759" s="551"/>
      <c r="H759" s="551"/>
      <c r="I759" s="551"/>
      <c r="J759" s="551"/>
      <c r="K759" s="551"/>
      <c r="L759" s="551"/>
      <c r="M759" s="551"/>
      <c r="N759" s="551"/>
      <c r="O759" s="551"/>
      <c r="P759" s="551"/>
      <c r="Q759" s="551"/>
      <c r="R759" s="551"/>
      <c r="S759" s="551"/>
      <c r="T759" s="551"/>
      <c r="U759" s="551"/>
      <c r="V759" s="551"/>
      <c r="W759" s="551"/>
      <c r="X759" s="551"/>
      <c r="Y759" s="551"/>
      <c r="Z759" s="551"/>
      <c r="AA759" s="551"/>
      <c r="AB759" s="551"/>
      <c r="AC759" s="551"/>
      <c r="AD759" s="551"/>
      <c r="AE759" s="551"/>
      <c r="AF759" s="551"/>
      <c r="AG759" s="551"/>
      <c r="AH759" s="551"/>
      <c r="AI759" s="551"/>
      <c r="AJ759" s="551"/>
      <c r="AK759" s="551"/>
      <c r="AL759" s="551"/>
      <c r="AM759" s="551"/>
      <c r="AN759" s="551"/>
      <c r="AO759" s="551"/>
      <c r="AP759" s="551"/>
      <c r="AQ759" s="551"/>
      <c r="AR759" s="551"/>
      <c r="AS759" s="551"/>
      <c r="AT759" s="551"/>
      <c r="AU759" s="551"/>
      <c r="AV759" s="551"/>
      <c r="AW759" s="551"/>
      <c r="AX759" s="551"/>
      <c r="AY759" s="551"/>
      <c r="AZ759" s="551"/>
      <c r="BA759" s="551"/>
      <c r="BB759" s="551"/>
      <c r="BC759" s="551"/>
      <c r="BD759" s="551"/>
      <c r="BE759" s="551"/>
      <c r="BF759" s="551"/>
      <c r="BG759" s="551"/>
      <c r="BH759" s="551"/>
      <c r="BI759" s="551"/>
      <c r="BJ759" s="551"/>
      <c r="BK759" s="551"/>
    </row>
    <row r="760" spans="1:63" ht="12.75" customHeight="1">
      <c r="A760" s="551"/>
      <c r="B760" s="551"/>
      <c r="C760" s="551"/>
      <c r="D760" s="551"/>
      <c r="E760" s="551"/>
      <c r="F760" s="551"/>
      <c r="G760" s="551"/>
      <c r="H760" s="551"/>
      <c r="I760" s="551"/>
      <c r="J760" s="551"/>
      <c r="K760" s="551"/>
      <c r="L760" s="551"/>
      <c r="M760" s="551"/>
      <c r="N760" s="551"/>
      <c r="O760" s="551"/>
      <c r="P760" s="551"/>
      <c r="Q760" s="551"/>
      <c r="R760" s="551"/>
      <c r="S760" s="551"/>
      <c r="T760" s="551"/>
      <c r="U760" s="551"/>
      <c r="V760" s="551"/>
      <c r="W760" s="551"/>
      <c r="X760" s="551"/>
      <c r="Y760" s="551"/>
      <c r="Z760" s="551"/>
      <c r="AA760" s="551"/>
      <c r="AB760" s="551"/>
      <c r="AC760" s="551"/>
      <c r="AD760" s="551"/>
      <c r="AE760" s="551"/>
      <c r="AF760" s="551"/>
      <c r="AG760" s="551"/>
      <c r="AH760" s="551"/>
      <c r="AI760" s="551"/>
      <c r="AJ760" s="551"/>
      <c r="AK760" s="551"/>
      <c r="AL760" s="551"/>
      <c r="AM760" s="551"/>
      <c r="AN760" s="551"/>
      <c r="AO760" s="551"/>
      <c r="AP760" s="551"/>
      <c r="AQ760" s="551"/>
      <c r="AR760" s="551"/>
      <c r="AS760" s="551"/>
      <c r="AT760" s="551"/>
      <c r="AU760" s="551"/>
      <c r="AV760" s="551"/>
      <c r="AW760" s="551"/>
      <c r="AX760" s="551"/>
      <c r="AY760" s="551"/>
      <c r="AZ760" s="551"/>
      <c r="BA760" s="551"/>
      <c r="BB760" s="551"/>
      <c r="BC760" s="551"/>
      <c r="BD760" s="551"/>
      <c r="BE760" s="551"/>
      <c r="BF760" s="551"/>
      <c r="BG760" s="551"/>
      <c r="BH760" s="551"/>
      <c r="BI760" s="551"/>
      <c r="BJ760" s="551"/>
      <c r="BK760" s="551"/>
    </row>
    <row r="761" spans="1:63" ht="12.75" customHeight="1">
      <c r="A761" s="551"/>
      <c r="B761" s="551"/>
      <c r="C761" s="551"/>
      <c r="D761" s="551"/>
      <c r="E761" s="551"/>
      <c r="F761" s="551"/>
      <c r="G761" s="551"/>
      <c r="H761" s="551"/>
      <c r="I761" s="551"/>
      <c r="J761" s="551"/>
      <c r="K761" s="551"/>
      <c r="L761" s="551"/>
      <c r="M761" s="551"/>
      <c r="N761" s="551"/>
      <c r="O761" s="551"/>
      <c r="P761" s="551"/>
      <c r="Q761" s="551"/>
      <c r="R761" s="551"/>
      <c r="S761" s="551"/>
      <c r="T761" s="551"/>
      <c r="U761" s="551"/>
      <c r="V761" s="551"/>
      <c r="W761" s="551"/>
      <c r="X761" s="551"/>
      <c r="Y761" s="551"/>
      <c r="Z761" s="551"/>
      <c r="AA761" s="551"/>
      <c r="AB761" s="551"/>
      <c r="AC761" s="551"/>
      <c r="AD761" s="551"/>
      <c r="AE761" s="551"/>
      <c r="AF761" s="551"/>
      <c r="AG761" s="551"/>
      <c r="AH761" s="551"/>
      <c r="AI761" s="551"/>
      <c r="AJ761" s="551"/>
      <c r="AK761" s="551"/>
      <c r="AL761" s="551"/>
      <c r="AM761" s="551"/>
      <c r="AN761" s="551"/>
      <c r="AO761" s="551"/>
      <c r="AP761" s="551"/>
      <c r="AQ761" s="551"/>
      <c r="AR761" s="551"/>
      <c r="AS761" s="551"/>
      <c r="AT761" s="551"/>
      <c r="AU761" s="551"/>
      <c r="AV761" s="551"/>
      <c r="AW761" s="551"/>
      <c r="AX761" s="551"/>
      <c r="AY761" s="551"/>
      <c r="AZ761" s="551"/>
      <c r="BA761" s="551"/>
      <c r="BB761" s="551"/>
      <c r="BC761" s="551"/>
      <c r="BD761" s="551"/>
      <c r="BE761" s="551"/>
      <c r="BF761" s="551"/>
      <c r="BG761" s="551"/>
      <c r="BH761" s="551"/>
      <c r="BI761" s="551"/>
      <c r="BJ761" s="551"/>
      <c r="BK761" s="551"/>
    </row>
    <row r="762" spans="1:63" ht="12.75" customHeight="1">
      <c r="A762" s="551"/>
      <c r="B762" s="551"/>
      <c r="C762" s="551"/>
      <c r="D762" s="551"/>
      <c r="E762" s="551"/>
      <c r="F762" s="551"/>
      <c r="G762" s="551"/>
      <c r="H762" s="551"/>
      <c r="I762" s="551"/>
      <c r="J762" s="551"/>
      <c r="K762" s="551"/>
      <c r="L762" s="551"/>
      <c r="M762" s="551"/>
      <c r="N762" s="551"/>
      <c r="O762" s="551"/>
      <c r="P762" s="551"/>
      <c r="Q762" s="551"/>
      <c r="R762" s="551"/>
      <c r="S762" s="551"/>
      <c r="T762" s="551"/>
      <c r="U762" s="551"/>
      <c r="V762" s="551"/>
      <c r="W762" s="551"/>
      <c r="X762" s="551"/>
      <c r="Y762" s="551"/>
      <c r="Z762" s="551"/>
      <c r="AA762" s="551"/>
      <c r="AB762" s="551"/>
      <c r="AC762" s="551"/>
      <c r="AD762" s="551"/>
      <c r="AE762" s="551"/>
      <c r="AF762" s="551"/>
      <c r="AG762" s="551"/>
      <c r="AH762" s="551"/>
      <c r="AI762" s="551"/>
      <c r="AJ762" s="551"/>
      <c r="AK762" s="551"/>
      <c r="AL762" s="551"/>
      <c r="AM762" s="551"/>
      <c r="AN762" s="551"/>
      <c r="AO762" s="551"/>
      <c r="AP762" s="551"/>
      <c r="AQ762" s="551"/>
      <c r="AR762" s="551"/>
      <c r="AS762" s="551"/>
      <c r="AT762" s="551"/>
      <c r="AU762" s="551"/>
      <c r="AV762" s="551"/>
      <c r="AW762" s="551"/>
      <c r="AX762" s="551"/>
      <c r="AY762" s="551"/>
      <c r="AZ762" s="551"/>
      <c r="BA762" s="551"/>
      <c r="BB762" s="551"/>
      <c r="BC762" s="551"/>
      <c r="BD762" s="551"/>
      <c r="BE762" s="551"/>
      <c r="BF762" s="551"/>
      <c r="BG762" s="551"/>
      <c r="BH762" s="551"/>
      <c r="BI762" s="551"/>
      <c r="BJ762" s="551"/>
      <c r="BK762" s="551"/>
    </row>
    <row r="763" spans="1:63" ht="12.75" customHeight="1">
      <c r="A763" s="551"/>
      <c r="B763" s="551"/>
      <c r="C763" s="551"/>
      <c r="D763" s="551"/>
      <c r="E763" s="551"/>
      <c r="F763" s="551"/>
      <c r="G763" s="551"/>
      <c r="H763" s="551"/>
      <c r="I763" s="551"/>
      <c r="J763" s="551"/>
      <c r="K763" s="551"/>
      <c r="L763" s="551"/>
      <c r="M763" s="551"/>
      <c r="N763" s="551"/>
      <c r="O763" s="551"/>
      <c r="P763" s="551"/>
      <c r="Q763" s="551"/>
      <c r="R763" s="551"/>
      <c r="S763" s="551"/>
      <c r="T763" s="551"/>
      <c r="U763" s="551"/>
      <c r="V763" s="551"/>
      <c r="W763" s="551"/>
      <c r="X763" s="551"/>
      <c r="Y763" s="551"/>
      <c r="Z763" s="551"/>
      <c r="AA763" s="551"/>
      <c r="AB763" s="551"/>
      <c r="AC763" s="551"/>
      <c r="AD763" s="551"/>
      <c r="AE763" s="551"/>
      <c r="AF763" s="551"/>
      <c r="AG763" s="551"/>
      <c r="AH763" s="551"/>
      <c r="AI763" s="551"/>
      <c r="AJ763" s="551"/>
      <c r="AK763" s="551"/>
      <c r="AL763" s="551"/>
      <c r="AM763" s="551"/>
      <c r="AN763" s="551"/>
      <c r="AO763" s="551"/>
      <c r="AP763" s="551"/>
      <c r="AQ763" s="551"/>
      <c r="AR763" s="551"/>
      <c r="AS763" s="551"/>
      <c r="AT763" s="551"/>
      <c r="AU763" s="551"/>
      <c r="AV763" s="551"/>
      <c r="AW763" s="551"/>
      <c r="AX763" s="551"/>
      <c r="AY763" s="551"/>
      <c r="AZ763" s="551"/>
      <c r="BA763" s="551"/>
      <c r="BB763" s="551"/>
      <c r="BC763" s="551"/>
      <c r="BD763" s="551"/>
      <c r="BE763" s="551"/>
      <c r="BF763" s="551"/>
      <c r="BG763" s="551"/>
      <c r="BH763" s="551"/>
      <c r="BI763" s="551"/>
      <c r="BJ763" s="551"/>
      <c r="BK763" s="551"/>
    </row>
    <row r="764" spans="1:63" ht="12.75" customHeight="1">
      <c r="A764" s="551"/>
      <c r="B764" s="551"/>
      <c r="C764" s="551"/>
      <c r="D764" s="551"/>
      <c r="E764" s="551"/>
      <c r="F764" s="551"/>
      <c r="G764" s="551"/>
      <c r="H764" s="551"/>
      <c r="I764" s="551"/>
      <c r="J764" s="551"/>
      <c r="K764" s="551"/>
      <c r="L764" s="551"/>
      <c r="M764" s="551"/>
      <c r="N764" s="551"/>
      <c r="O764" s="551"/>
      <c r="P764" s="551"/>
      <c r="Q764" s="551"/>
      <c r="R764" s="551"/>
      <c r="S764" s="551"/>
      <c r="T764" s="551"/>
      <c r="U764" s="551"/>
      <c r="V764" s="551"/>
      <c r="W764" s="551"/>
      <c r="X764" s="551"/>
      <c r="Y764" s="551"/>
      <c r="Z764" s="551"/>
      <c r="AA764" s="551"/>
      <c r="AB764" s="551"/>
      <c r="AC764" s="551"/>
      <c r="AD764" s="551"/>
      <c r="AE764" s="551"/>
      <c r="AF764" s="551"/>
      <c r="AG764" s="551"/>
      <c r="AH764" s="551"/>
      <c r="AI764" s="551"/>
      <c r="AJ764" s="551"/>
      <c r="AK764" s="551"/>
      <c r="AL764" s="551"/>
      <c r="AM764" s="551"/>
      <c r="AN764" s="551"/>
      <c r="AO764" s="551"/>
      <c r="AP764" s="551"/>
      <c r="AQ764" s="551"/>
      <c r="AR764" s="551"/>
      <c r="AS764" s="551"/>
      <c r="AT764" s="551"/>
      <c r="AU764" s="551"/>
      <c r="AV764" s="551"/>
      <c r="AW764" s="551"/>
      <c r="AX764" s="551"/>
      <c r="AY764" s="551"/>
      <c r="AZ764" s="551"/>
      <c r="BA764" s="551"/>
      <c r="BB764" s="551"/>
      <c r="BC764" s="551"/>
      <c r="BD764" s="551"/>
      <c r="BE764" s="551"/>
      <c r="BF764" s="551"/>
      <c r="BG764" s="551"/>
      <c r="BH764" s="551"/>
      <c r="BI764" s="551"/>
      <c r="BJ764" s="551"/>
      <c r="BK764" s="551"/>
    </row>
    <row r="765" spans="1:63" ht="12.75" customHeight="1">
      <c r="A765" s="551"/>
      <c r="B765" s="551"/>
      <c r="C765" s="551"/>
      <c r="D765" s="551"/>
      <c r="E765" s="551"/>
      <c r="F765" s="551"/>
      <c r="G765" s="551"/>
      <c r="H765" s="551"/>
      <c r="I765" s="551"/>
      <c r="J765" s="551"/>
      <c r="K765" s="551"/>
      <c r="L765" s="551"/>
      <c r="M765" s="551"/>
      <c r="N765" s="551"/>
      <c r="O765" s="551"/>
      <c r="P765" s="551"/>
      <c r="Q765" s="551"/>
      <c r="R765" s="551"/>
      <c r="S765" s="551"/>
      <c r="T765" s="551"/>
      <c r="U765" s="551"/>
      <c r="V765" s="551"/>
      <c r="W765" s="551"/>
      <c r="X765" s="551"/>
      <c r="Y765" s="551"/>
      <c r="Z765" s="551"/>
      <c r="AA765" s="551"/>
      <c r="AB765" s="551"/>
      <c r="AC765" s="551"/>
      <c r="AD765" s="551"/>
      <c r="AE765" s="551"/>
      <c r="AF765" s="551"/>
      <c r="AG765" s="551"/>
      <c r="AH765" s="551"/>
      <c r="AI765" s="551"/>
      <c r="AJ765" s="551"/>
      <c r="AK765" s="551"/>
      <c r="AL765" s="551"/>
      <c r="AM765" s="551"/>
      <c r="AN765" s="551"/>
      <c r="AO765" s="551"/>
      <c r="AP765" s="551"/>
      <c r="AQ765" s="551"/>
      <c r="AR765" s="551"/>
      <c r="AS765" s="551"/>
      <c r="AT765" s="551"/>
      <c r="AU765" s="551"/>
      <c r="AV765" s="551"/>
      <c r="AW765" s="551"/>
      <c r="AX765" s="551"/>
      <c r="AY765" s="551"/>
      <c r="AZ765" s="551"/>
      <c r="BA765" s="551"/>
      <c r="BB765" s="551"/>
      <c r="BC765" s="551"/>
      <c r="BD765" s="551"/>
      <c r="BE765" s="551"/>
      <c r="BF765" s="551"/>
      <c r="BG765" s="551"/>
      <c r="BH765" s="551"/>
      <c r="BI765" s="551"/>
      <c r="BJ765" s="551"/>
      <c r="BK765" s="551"/>
    </row>
    <row r="766" spans="1:63" ht="12.75" customHeight="1">
      <c r="A766" s="551"/>
      <c r="B766" s="551"/>
      <c r="C766" s="551"/>
      <c r="D766" s="551"/>
      <c r="E766" s="551"/>
      <c r="F766" s="551"/>
      <c r="G766" s="551"/>
      <c r="H766" s="551"/>
      <c r="I766" s="551"/>
      <c r="J766" s="551"/>
      <c r="K766" s="551"/>
      <c r="L766" s="551"/>
      <c r="M766" s="551"/>
      <c r="N766" s="551"/>
      <c r="O766" s="551"/>
      <c r="P766" s="551"/>
      <c r="Q766" s="551"/>
      <c r="R766" s="551"/>
      <c r="S766" s="551"/>
      <c r="T766" s="551"/>
      <c r="U766" s="551"/>
      <c r="V766" s="551"/>
      <c r="W766" s="551"/>
      <c r="X766" s="551"/>
      <c r="Y766" s="551"/>
      <c r="Z766" s="551"/>
      <c r="AA766" s="551"/>
      <c r="AB766" s="551"/>
      <c r="AC766" s="551"/>
      <c r="AD766" s="551"/>
      <c r="AE766" s="551"/>
      <c r="AF766" s="551"/>
      <c r="AG766" s="551"/>
      <c r="AH766" s="551"/>
      <c r="AI766" s="551"/>
      <c r="AJ766" s="551"/>
      <c r="AK766" s="551"/>
      <c r="AL766" s="551"/>
      <c r="AM766" s="551"/>
      <c r="AN766" s="551"/>
      <c r="AO766" s="551"/>
      <c r="AP766" s="551"/>
      <c r="AQ766" s="551"/>
      <c r="AR766" s="551"/>
      <c r="AS766" s="551"/>
      <c r="AT766" s="551"/>
      <c r="AU766" s="551"/>
      <c r="AV766" s="551"/>
      <c r="AW766" s="551"/>
      <c r="AX766" s="551"/>
      <c r="AY766" s="551"/>
      <c r="AZ766" s="551"/>
      <c r="BA766" s="551"/>
      <c r="BB766" s="551"/>
      <c r="BC766" s="551"/>
      <c r="BD766" s="551"/>
      <c r="BE766" s="551"/>
      <c r="BF766" s="551"/>
      <c r="BG766" s="551"/>
      <c r="BH766" s="551"/>
      <c r="BI766" s="551"/>
      <c r="BJ766" s="551"/>
      <c r="BK766" s="551"/>
    </row>
    <row r="767" spans="1:63" ht="12.75" customHeight="1">
      <c r="A767" s="551"/>
      <c r="B767" s="551"/>
      <c r="C767" s="551"/>
      <c r="D767" s="551"/>
      <c r="E767" s="551"/>
      <c r="F767" s="551"/>
      <c r="G767" s="551"/>
      <c r="H767" s="551"/>
      <c r="I767" s="551"/>
      <c r="J767" s="551"/>
      <c r="K767" s="551"/>
      <c r="L767" s="551"/>
      <c r="M767" s="551"/>
      <c r="N767" s="551"/>
      <c r="O767" s="551"/>
      <c r="P767" s="551"/>
      <c r="Q767" s="551"/>
      <c r="R767" s="551"/>
      <c r="S767" s="551"/>
      <c r="T767" s="551"/>
      <c r="U767" s="551"/>
      <c r="V767" s="551"/>
      <c r="W767" s="551"/>
      <c r="X767" s="551"/>
      <c r="Y767" s="551"/>
      <c r="Z767" s="551"/>
      <c r="AA767" s="551"/>
      <c r="AB767" s="551"/>
      <c r="AC767" s="551"/>
      <c r="AD767" s="551"/>
      <c r="AE767" s="551"/>
      <c r="AF767" s="551"/>
      <c r="AG767" s="551"/>
      <c r="AH767" s="551"/>
      <c r="AI767" s="551"/>
      <c r="AJ767" s="551"/>
      <c r="AK767" s="551"/>
      <c r="AL767" s="551"/>
      <c r="AM767" s="551"/>
      <c r="AN767" s="551"/>
      <c r="AO767" s="551"/>
      <c r="AP767" s="551"/>
      <c r="AQ767" s="551"/>
      <c r="AR767" s="551"/>
      <c r="AS767" s="551"/>
      <c r="AT767" s="551"/>
      <c r="AU767" s="551"/>
      <c r="AV767" s="551"/>
      <c r="AW767" s="551"/>
      <c r="AX767" s="551"/>
      <c r="AY767" s="551"/>
      <c r="AZ767" s="551"/>
      <c r="BA767" s="551"/>
      <c r="BB767" s="551"/>
      <c r="BC767" s="551"/>
      <c r="BD767" s="551"/>
      <c r="BE767" s="551"/>
      <c r="BF767" s="551"/>
      <c r="BG767" s="551"/>
      <c r="BH767" s="551"/>
      <c r="BI767" s="551"/>
      <c r="BJ767" s="551"/>
      <c r="BK767" s="551"/>
    </row>
    <row r="768" spans="1:63" ht="12.75" customHeight="1">
      <c r="A768" s="551"/>
      <c r="B768" s="551"/>
      <c r="C768" s="551"/>
      <c r="D768" s="551"/>
      <c r="E768" s="551"/>
      <c r="F768" s="551"/>
      <c r="G768" s="551"/>
      <c r="H768" s="551"/>
      <c r="I768" s="551"/>
      <c r="J768" s="551"/>
      <c r="K768" s="551"/>
      <c r="L768" s="551"/>
      <c r="M768" s="551"/>
      <c r="N768" s="551"/>
      <c r="O768" s="551"/>
      <c r="P768" s="551"/>
      <c r="Q768" s="551"/>
      <c r="R768" s="551"/>
      <c r="S768" s="551"/>
      <c r="T768" s="551"/>
      <c r="U768" s="551"/>
      <c r="V768" s="551"/>
      <c r="W768" s="551"/>
      <c r="X768" s="551"/>
      <c r="Y768" s="551"/>
      <c r="Z768" s="551"/>
      <c r="AA768" s="551"/>
      <c r="AB768" s="551"/>
      <c r="AC768" s="551"/>
      <c r="AD768" s="551"/>
      <c r="AE768" s="551"/>
      <c r="AF768" s="551"/>
      <c r="AG768" s="551"/>
      <c r="AH768" s="551"/>
      <c r="AI768" s="551"/>
      <c r="AJ768" s="551"/>
      <c r="AK768" s="551"/>
      <c r="AL768" s="551"/>
      <c r="AM768" s="551"/>
      <c r="AN768" s="551"/>
      <c r="AO768" s="551"/>
      <c r="AP768" s="551"/>
      <c r="AQ768" s="551"/>
      <c r="AR768" s="551"/>
      <c r="AS768" s="551"/>
      <c r="AT768" s="551"/>
      <c r="AU768" s="551"/>
      <c r="AV768" s="551"/>
      <c r="AW768" s="551"/>
      <c r="AX768" s="551"/>
      <c r="AY768" s="551"/>
      <c r="AZ768" s="551"/>
      <c r="BA768" s="551"/>
      <c r="BB768" s="551"/>
      <c r="BC768" s="551"/>
      <c r="BD768" s="551"/>
      <c r="BE768" s="551"/>
      <c r="BF768" s="551"/>
      <c r="BG768" s="551"/>
      <c r="BH768" s="551"/>
      <c r="BI768" s="551"/>
      <c r="BJ768" s="551"/>
      <c r="BK768" s="551"/>
    </row>
    <row r="769" spans="1:63" ht="12.75" customHeight="1">
      <c r="A769" s="551"/>
      <c r="B769" s="551"/>
      <c r="C769" s="551"/>
      <c r="D769" s="551"/>
      <c r="E769" s="551"/>
      <c r="F769" s="551"/>
      <c r="G769" s="551"/>
      <c r="H769" s="551"/>
      <c r="I769" s="551"/>
      <c r="J769" s="551"/>
      <c r="K769" s="551"/>
      <c r="L769" s="551"/>
      <c r="M769" s="551"/>
      <c r="N769" s="551"/>
      <c r="O769" s="551"/>
      <c r="P769" s="551"/>
      <c r="Q769" s="551"/>
      <c r="R769" s="551"/>
      <c r="S769" s="551"/>
      <c r="T769" s="551"/>
      <c r="U769" s="551"/>
      <c r="V769" s="551"/>
      <c r="W769" s="551"/>
      <c r="X769" s="551"/>
      <c r="Y769" s="551"/>
      <c r="Z769" s="551"/>
      <c r="AA769" s="551"/>
      <c r="AB769" s="551"/>
      <c r="AC769" s="551"/>
      <c r="AD769" s="551"/>
      <c r="AE769" s="551"/>
      <c r="AF769" s="551"/>
      <c r="AG769" s="551"/>
      <c r="AH769" s="551"/>
      <c r="AI769" s="551"/>
      <c r="AJ769" s="551"/>
      <c r="AK769" s="551"/>
      <c r="AL769" s="551"/>
      <c r="AM769" s="551"/>
      <c r="AN769" s="551"/>
      <c r="AO769" s="551"/>
      <c r="AP769" s="551"/>
      <c r="AQ769" s="551"/>
      <c r="AR769" s="551"/>
      <c r="AS769" s="551"/>
      <c r="AT769" s="551"/>
      <c r="AU769" s="551"/>
      <c r="AV769" s="551"/>
      <c r="AW769" s="551"/>
      <c r="AX769" s="551"/>
      <c r="AY769" s="551"/>
      <c r="AZ769" s="551"/>
      <c r="BA769" s="551"/>
      <c r="BB769" s="551"/>
      <c r="BC769" s="551"/>
      <c r="BD769" s="551"/>
      <c r="BE769" s="551"/>
      <c r="BF769" s="551"/>
      <c r="BG769" s="551"/>
      <c r="BH769" s="551"/>
      <c r="BI769" s="551"/>
      <c r="BJ769" s="551"/>
      <c r="BK769" s="551"/>
    </row>
    <row r="770" spans="1:63" ht="12.75" customHeight="1">
      <c r="A770" s="551"/>
      <c r="B770" s="551"/>
      <c r="C770" s="551"/>
      <c r="D770" s="551"/>
      <c r="E770" s="551"/>
      <c r="F770" s="551"/>
      <c r="G770" s="551"/>
      <c r="H770" s="551"/>
      <c r="I770" s="551"/>
      <c r="J770" s="551"/>
      <c r="K770" s="551"/>
      <c r="L770" s="551"/>
      <c r="M770" s="551"/>
      <c r="N770" s="551"/>
      <c r="O770" s="551"/>
      <c r="P770" s="551"/>
      <c r="Q770" s="551"/>
      <c r="R770" s="551"/>
      <c r="S770" s="551"/>
      <c r="T770" s="551"/>
      <c r="U770" s="551"/>
      <c r="V770" s="551"/>
      <c r="W770" s="551"/>
      <c r="X770" s="551"/>
      <c r="Y770" s="551"/>
      <c r="Z770" s="551"/>
      <c r="AA770" s="551"/>
      <c r="AB770" s="551"/>
      <c r="AC770" s="551"/>
      <c r="AD770" s="551"/>
      <c r="AE770" s="551"/>
      <c r="AF770" s="551"/>
      <c r="AG770" s="551"/>
      <c r="AH770" s="551"/>
      <c r="AI770" s="551"/>
      <c r="AJ770" s="551"/>
      <c r="AK770" s="551"/>
      <c r="AL770" s="551"/>
      <c r="AM770" s="551"/>
      <c r="AN770" s="551"/>
      <c r="AO770" s="551"/>
      <c r="AP770" s="551"/>
      <c r="AQ770" s="551"/>
      <c r="AR770" s="551"/>
      <c r="AS770" s="551"/>
      <c r="AT770" s="551"/>
      <c r="AU770" s="551"/>
      <c r="AV770" s="551"/>
      <c r="AW770" s="551"/>
      <c r="AX770" s="551"/>
      <c r="AY770" s="551"/>
      <c r="AZ770" s="551"/>
      <c r="BA770" s="551"/>
      <c r="BB770" s="551"/>
      <c r="BC770" s="551"/>
      <c r="BD770" s="551"/>
      <c r="BE770" s="551"/>
      <c r="BF770" s="551"/>
      <c r="BG770" s="551"/>
      <c r="BH770" s="551"/>
      <c r="BI770" s="551"/>
      <c r="BJ770" s="551"/>
      <c r="BK770" s="551"/>
    </row>
    <row r="771" spans="1:63" ht="12.75" customHeight="1">
      <c r="A771" s="551"/>
      <c r="B771" s="551"/>
      <c r="C771" s="551"/>
      <c r="D771" s="551"/>
      <c r="E771" s="551"/>
      <c r="F771" s="551"/>
      <c r="G771" s="551"/>
      <c r="H771" s="551"/>
      <c r="I771" s="551"/>
      <c r="J771" s="551"/>
      <c r="K771" s="551"/>
      <c r="L771" s="551"/>
      <c r="M771" s="551"/>
      <c r="N771" s="551"/>
      <c r="O771" s="551"/>
      <c r="P771" s="551"/>
      <c r="Q771" s="551"/>
      <c r="R771" s="551"/>
      <c r="S771" s="551"/>
      <c r="T771" s="551"/>
      <c r="U771" s="551"/>
      <c r="V771" s="551"/>
      <c r="W771" s="551"/>
      <c r="X771" s="551"/>
      <c r="Y771" s="551"/>
      <c r="Z771" s="551"/>
      <c r="AA771" s="551"/>
      <c r="AB771" s="551"/>
      <c r="AC771" s="551"/>
      <c r="AD771" s="551"/>
      <c r="AE771" s="551"/>
      <c r="AF771" s="551"/>
      <c r="AG771" s="551"/>
      <c r="AH771" s="551"/>
      <c r="AI771" s="551"/>
      <c r="AJ771" s="551"/>
      <c r="AK771" s="551"/>
      <c r="AL771" s="551"/>
      <c r="AM771" s="551"/>
      <c r="AN771" s="551"/>
      <c r="AO771" s="551"/>
      <c r="AP771" s="551"/>
      <c r="AQ771" s="551"/>
      <c r="AR771" s="551"/>
      <c r="AS771" s="551"/>
      <c r="AT771" s="551"/>
      <c r="AU771" s="551"/>
      <c r="AV771" s="551"/>
      <c r="AW771" s="551"/>
      <c r="AX771" s="551"/>
      <c r="AY771" s="551"/>
      <c r="AZ771" s="551"/>
      <c r="BA771" s="551"/>
      <c r="BB771" s="551"/>
      <c r="BC771" s="551"/>
      <c r="BD771" s="551"/>
      <c r="BE771" s="551"/>
      <c r="BF771" s="551"/>
      <c r="BG771" s="551"/>
      <c r="BH771" s="551"/>
      <c r="BI771" s="551"/>
      <c r="BJ771" s="551"/>
      <c r="BK771" s="551"/>
    </row>
    <row r="772" spans="1:63" ht="12.75" customHeight="1">
      <c r="A772" s="551"/>
      <c r="B772" s="551"/>
      <c r="C772" s="551"/>
      <c r="D772" s="551"/>
      <c r="E772" s="551"/>
      <c r="F772" s="551"/>
      <c r="G772" s="551"/>
      <c r="H772" s="551"/>
      <c r="I772" s="551"/>
      <c r="J772" s="551"/>
      <c r="K772" s="551"/>
      <c r="L772" s="551"/>
      <c r="M772" s="551"/>
      <c r="N772" s="551"/>
      <c r="O772" s="551"/>
      <c r="P772" s="551"/>
      <c r="Q772" s="551"/>
      <c r="R772" s="551"/>
      <c r="S772" s="551"/>
      <c r="T772" s="551"/>
      <c r="U772" s="551"/>
      <c r="V772" s="551"/>
      <c r="W772" s="551"/>
      <c r="X772" s="551"/>
      <c r="Y772" s="551"/>
      <c r="Z772" s="551"/>
      <c r="AA772" s="551"/>
      <c r="AB772" s="551"/>
      <c r="AC772" s="551"/>
      <c r="AD772" s="551"/>
      <c r="AE772" s="551"/>
      <c r="AF772" s="551"/>
      <c r="AG772" s="551"/>
      <c r="AH772" s="551"/>
      <c r="AI772" s="551"/>
      <c r="AJ772" s="551"/>
      <c r="AK772" s="551"/>
      <c r="AL772" s="551"/>
      <c r="AM772" s="551"/>
      <c r="AN772" s="551"/>
      <c r="AO772" s="551"/>
      <c r="AP772" s="551"/>
      <c r="AQ772" s="551"/>
      <c r="AR772" s="551"/>
      <c r="AS772" s="551"/>
      <c r="AT772" s="551"/>
      <c r="AU772" s="551"/>
      <c r="AV772" s="551"/>
      <c r="AW772" s="551"/>
      <c r="AX772" s="551"/>
      <c r="AY772" s="551"/>
      <c r="AZ772" s="551"/>
      <c r="BA772" s="551"/>
      <c r="BB772" s="551"/>
      <c r="BC772" s="551"/>
      <c r="BD772" s="551"/>
      <c r="BE772" s="551"/>
      <c r="BF772" s="551"/>
      <c r="BG772" s="551"/>
      <c r="BH772" s="551"/>
      <c r="BI772" s="551"/>
      <c r="BJ772" s="551"/>
      <c r="BK772" s="551"/>
    </row>
    <row r="773" spans="1:63" ht="12.75" customHeight="1">
      <c r="A773" s="551"/>
      <c r="B773" s="551"/>
      <c r="C773" s="551"/>
      <c r="D773" s="551"/>
      <c r="E773" s="551"/>
      <c r="F773" s="551"/>
      <c r="G773" s="551"/>
      <c r="H773" s="551"/>
      <c r="I773" s="551"/>
      <c r="J773" s="551"/>
      <c r="K773" s="551"/>
      <c r="L773" s="551"/>
      <c r="M773" s="551"/>
      <c r="N773" s="551"/>
      <c r="O773" s="551"/>
      <c r="P773" s="551"/>
      <c r="Q773" s="551"/>
      <c r="R773" s="551"/>
      <c r="S773" s="551"/>
      <c r="T773" s="551"/>
      <c r="U773" s="551"/>
      <c r="V773" s="551"/>
      <c r="W773" s="551"/>
      <c r="X773" s="551"/>
      <c r="Y773" s="551"/>
      <c r="Z773" s="551"/>
      <c r="AA773" s="551"/>
      <c r="AB773" s="551"/>
      <c r="AC773" s="551"/>
      <c r="AD773" s="551"/>
      <c r="AE773" s="551"/>
      <c r="AF773" s="551"/>
      <c r="AG773" s="551"/>
      <c r="AH773" s="551"/>
      <c r="AI773" s="551"/>
      <c r="AJ773" s="551"/>
      <c r="AK773" s="551"/>
      <c r="AL773" s="551"/>
      <c r="AM773" s="551"/>
      <c r="AN773" s="551"/>
      <c r="AO773" s="551"/>
      <c r="AP773" s="551"/>
      <c r="AQ773" s="551"/>
      <c r="AR773" s="551"/>
      <c r="AS773" s="551"/>
      <c r="AT773" s="551"/>
      <c r="AU773" s="551"/>
      <c r="AV773" s="551"/>
      <c r="AW773" s="551"/>
      <c r="AX773" s="551"/>
      <c r="AY773" s="551"/>
      <c r="AZ773" s="551"/>
      <c r="BA773" s="551"/>
      <c r="BB773" s="551"/>
      <c r="BC773" s="551"/>
      <c r="BD773" s="551"/>
      <c r="BE773" s="551"/>
      <c r="BF773" s="551"/>
      <c r="BG773" s="551"/>
      <c r="BH773" s="551"/>
      <c r="BI773" s="551"/>
      <c r="BJ773" s="551"/>
      <c r="BK773" s="551"/>
    </row>
    <row r="774" spans="1:63" ht="12.75" customHeight="1">
      <c r="A774" s="551"/>
      <c r="B774" s="551"/>
      <c r="C774" s="551"/>
      <c r="D774" s="551"/>
      <c r="E774" s="551"/>
      <c r="F774" s="551"/>
      <c r="G774" s="551"/>
      <c r="H774" s="551"/>
      <c r="I774" s="551"/>
      <c r="J774" s="551"/>
      <c r="K774" s="551"/>
      <c r="L774" s="551"/>
      <c r="M774" s="551"/>
      <c r="N774" s="551"/>
      <c r="O774" s="551"/>
      <c r="P774" s="551"/>
      <c r="Q774" s="551"/>
      <c r="R774" s="551"/>
      <c r="S774" s="551"/>
      <c r="T774" s="551"/>
      <c r="U774" s="551"/>
      <c r="V774" s="551"/>
      <c r="W774" s="551"/>
      <c r="X774" s="551"/>
      <c r="Y774" s="551"/>
      <c r="Z774" s="551"/>
      <c r="AA774" s="551"/>
      <c r="AB774" s="551"/>
      <c r="AC774" s="551"/>
      <c r="AD774" s="551"/>
      <c r="AE774" s="551"/>
      <c r="AF774" s="551"/>
      <c r="AG774" s="551"/>
      <c r="AH774" s="551"/>
      <c r="AI774" s="551"/>
      <c r="AJ774" s="551"/>
      <c r="AK774" s="551"/>
      <c r="AL774" s="551"/>
      <c r="AM774" s="551"/>
      <c r="AN774" s="551"/>
      <c r="AO774" s="551"/>
      <c r="AP774" s="551"/>
      <c r="AQ774" s="551"/>
      <c r="AR774" s="551"/>
      <c r="AS774" s="551"/>
      <c r="AT774" s="551"/>
      <c r="AU774" s="551"/>
      <c r="AV774" s="551"/>
      <c r="AW774" s="551"/>
      <c r="AX774" s="551"/>
      <c r="AY774" s="551"/>
      <c r="AZ774" s="551"/>
      <c r="BA774" s="551"/>
      <c r="BB774" s="551"/>
      <c r="BC774" s="551"/>
      <c r="BD774" s="551"/>
      <c r="BE774" s="551"/>
      <c r="BF774" s="551"/>
      <c r="BG774" s="551"/>
      <c r="BH774" s="551"/>
      <c r="BI774" s="551"/>
      <c r="BJ774" s="551"/>
      <c r="BK774" s="551"/>
    </row>
    <row r="775" spans="1:63" ht="12.75" customHeight="1">
      <c r="A775" s="551"/>
      <c r="B775" s="551"/>
      <c r="C775" s="551"/>
      <c r="D775" s="551"/>
      <c r="E775" s="551"/>
      <c r="F775" s="551"/>
      <c r="G775" s="551"/>
      <c r="H775" s="551"/>
      <c r="I775" s="551"/>
      <c r="J775" s="551"/>
      <c r="K775" s="551"/>
      <c r="L775" s="551"/>
      <c r="M775" s="551"/>
      <c r="N775" s="551"/>
      <c r="O775" s="551"/>
      <c r="P775" s="551"/>
      <c r="Q775" s="551"/>
      <c r="R775" s="551"/>
      <c r="S775" s="551"/>
      <c r="T775" s="551"/>
      <c r="U775" s="551"/>
      <c r="V775" s="551"/>
      <c r="W775" s="551"/>
      <c r="X775" s="551"/>
      <c r="Y775" s="551"/>
      <c r="Z775" s="551"/>
      <c r="AA775" s="551"/>
      <c r="AB775" s="551"/>
      <c r="AC775" s="551"/>
      <c r="AD775" s="551"/>
      <c r="AE775" s="551"/>
      <c r="AF775" s="551"/>
      <c r="AG775" s="551"/>
      <c r="AH775" s="551"/>
      <c r="AI775" s="551"/>
      <c r="AJ775" s="551"/>
      <c r="AK775" s="551"/>
      <c r="AL775" s="551"/>
      <c r="AM775" s="551"/>
      <c r="AN775" s="551"/>
      <c r="AO775" s="551"/>
      <c r="AP775" s="551"/>
      <c r="AQ775" s="551"/>
      <c r="AR775" s="551"/>
      <c r="AS775" s="551"/>
      <c r="AT775" s="551"/>
      <c r="AU775" s="551"/>
      <c r="AV775" s="551"/>
      <c r="AW775" s="551"/>
      <c r="AX775" s="551"/>
      <c r="AY775" s="551"/>
      <c r="AZ775" s="551"/>
      <c r="BA775" s="551"/>
      <c r="BB775" s="551"/>
      <c r="BC775" s="551"/>
      <c r="BD775" s="551"/>
      <c r="BE775" s="551"/>
      <c r="BF775" s="551"/>
      <c r="BG775" s="551"/>
      <c r="BH775" s="551"/>
      <c r="BI775" s="551"/>
      <c r="BJ775" s="551"/>
      <c r="BK775" s="551"/>
    </row>
    <row r="776" spans="1:63" ht="12.75" customHeight="1">
      <c r="A776" s="551"/>
      <c r="B776" s="551"/>
      <c r="C776" s="551"/>
      <c r="D776" s="551"/>
      <c r="E776" s="551"/>
      <c r="F776" s="551"/>
      <c r="G776" s="551"/>
      <c r="H776" s="551"/>
      <c r="I776" s="551"/>
      <c r="J776" s="551"/>
      <c r="K776" s="551"/>
      <c r="L776" s="551"/>
      <c r="M776" s="551"/>
      <c r="N776" s="551"/>
      <c r="O776" s="551"/>
      <c r="P776" s="551"/>
      <c r="Q776" s="551"/>
      <c r="R776" s="551"/>
      <c r="S776" s="551"/>
      <c r="T776" s="551"/>
      <c r="U776" s="551"/>
      <c r="V776" s="551"/>
      <c r="W776" s="551"/>
      <c r="X776" s="551"/>
      <c r="Y776" s="551"/>
      <c r="Z776" s="551"/>
      <c r="AA776" s="551"/>
      <c r="AB776" s="551"/>
      <c r="AC776" s="551"/>
      <c r="AD776" s="551"/>
      <c r="AE776" s="551"/>
      <c r="AF776" s="551"/>
      <c r="AG776" s="551"/>
      <c r="AH776" s="551"/>
      <c r="AI776" s="551"/>
      <c r="AJ776" s="551"/>
      <c r="AK776" s="551"/>
      <c r="AL776" s="551"/>
      <c r="AM776" s="551"/>
      <c r="AN776" s="551"/>
      <c r="AO776" s="551"/>
      <c r="AP776" s="551"/>
      <c r="AQ776" s="551"/>
      <c r="AR776" s="551"/>
      <c r="AS776" s="551"/>
      <c r="AT776" s="551"/>
      <c r="AU776" s="551"/>
      <c r="AV776" s="551"/>
      <c r="AW776" s="551"/>
      <c r="AX776" s="551"/>
      <c r="AY776" s="551"/>
      <c r="AZ776" s="551"/>
      <c r="BA776" s="551"/>
      <c r="BB776" s="551"/>
      <c r="BC776" s="551"/>
      <c r="BD776" s="551"/>
      <c r="BE776" s="551"/>
      <c r="BF776" s="551"/>
      <c r="BG776" s="551"/>
      <c r="BH776" s="551"/>
      <c r="BI776" s="551"/>
      <c r="BJ776" s="551"/>
      <c r="BK776" s="551"/>
    </row>
    <row r="777" spans="1:63" ht="12.75" customHeight="1">
      <c r="A777" s="551"/>
      <c r="B777" s="551"/>
      <c r="C777" s="551"/>
      <c r="D777" s="551"/>
      <c r="E777" s="551"/>
      <c r="F777" s="551"/>
      <c r="G777" s="551"/>
      <c r="H777" s="551"/>
      <c r="I777" s="551"/>
      <c r="J777" s="551"/>
      <c r="K777" s="551"/>
      <c r="L777" s="551"/>
      <c r="M777" s="551"/>
      <c r="N777" s="551"/>
      <c r="O777" s="551"/>
      <c r="P777" s="551"/>
      <c r="Q777" s="551"/>
      <c r="R777" s="551"/>
      <c r="S777" s="551"/>
      <c r="T777" s="551"/>
      <c r="U777" s="551"/>
      <c r="V777" s="551"/>
      <c r="W777" s="551"/>
      <c r="X777" s="551"/>
      <c r="Y777" s="551"/>
      <c r="Z777" s="551"/>
      <c r="AA777" s="551"/>
      <c r="AB777" s="551"/>
      <c r="AC777" s="551"/>
      <c r="AD777" s="551"/>
      <c r="AE777" s="551"/>
      <c r="AF777" s="551"/>
      <c r="AG777" s="551"/>
      <c r="AH777" s="551"/>
      <c r="AI777" s="551"/>
      <c r="AJ777" s="551"/>
      <c r="AK777" s="551"/>
      <c r="AL777" s="551"/>
      <c r="AM777" s="551"/>
      <c r="AN777" s="551"/>
      <c r="AO777" s="551"/>
      <c r="AP777" s="551"/>
      <c r="AQ777" s="551"/>
      <c r="AR777" s="551"/>
      <c r="AS777" s="551"/>
      <c r="AT777" s="551"/>
      <c r="AU777" s="551"/>
      <c r="AV777" s="551"/>
      <c r="AW777" s="551"/>
      <c r="AX777" s="551"/>
      <c r="AY777" s="551"/>
      <c r="AZ777" s="551"/>
      <c r="BA777" s="551"/>
      <c r="BB777" s="551"/>
      <c r="BC777" s="551"/>
      <c r="BD777" s="551"/>
      <c r="BE777" s="551"/>
      <c r="BF777" s="551"/>
      <c r="BG777" s="551"/>
      <c r="BH777" s="551"/>
      <c r="BI777" s="551"/>
      <c r="BJ777" s="551"/>
      <c r="BK777" s="551"/>
    </row>
    <row r="778" spans="1:63" ht="12.75" customHeight="1">
      <c r="A778" s="551"/>
      <c r="B778" s="551"/>
      <c r="C778" s="551"/>
      <c r="D778" s="551"/>
      <c r="E778" s="551"/>
      <c r="F778" s="551"/>
      <c r="G778" s="551"/>
      <c r="H778" s="551"/>
      <c r="I778" s="551"/>
      <c r="J778" s="551"/>
      <c r="K778" s="551"/>
      <c r="L778" s="551"/>
      <c r="M778" s="551"/>
      <c r="N778" s="551"/>
      <c r="O778" s="551"/>
      <c r="P778" s="551"/>
      <c r="Q778" s="551"/>
      <c r="R778" s="551"/>
      <c r="S778" s="551"/>
      <c r="T778" s="551"/>
      <c r="U778" s="551"/>
      <c r="V778" s="551"/>
      <c r="W778" s="551"/>
      <c r="X778" s="551"/>
      <c r="Y778" s="551"/>
      <c r="Z778" s="551"/>
      <c r="AA778" s="551"/>
      <c r="AB778" s="551"/>
      <c r="AC778" s="551"/>
      <c r="AD778" s="551"/>
      <c r="AE778" s="551"/>
      <c r="AF778" s="551"/>
      <c r="AG778" s="551"/>
      <c r="AH778" s="551"/>
      <c r="AI778" s="551"/>
      <c r="AJ778" s="551"/>
      <c r="AK778" s="551"/>
      <c r="AL778" s="551"/>
      <c r="AM778" s="551"/>
      <c r="AN778" s="551"/>
      <c r="AO778" s="551"/>
      <c r="AP778" s="551"/>
      <c r="AQ778" s="551"/>
      <c r="AR778" s="551"/>
      <c r="AS778" s="551"/>
      <c r="AT778" s="551"/>
      <c r="AU778" s="551"/>
      <c r="AV778" s="551"/>
      <c r="AW778" s="551"/>
      <c r="AX778" s="551"/>
      <c r="AY778" s="551"/>
      <c r="AZ778" s="551"/>
      <c r="BA778" s="551"/>
      <c r="BB778" s="551"/>
      <c r="BC778" s="551"/>
      <c r="BD778" s="551"/>
      <c r="BE778" s="551"/>
      <c r="BF778" s="551"/>
      <c r="BG778" s="551"/>
      <c r="BH778" s="551"/>
      <c r="BI778" s="551"/>
      <c r="BJ778" s="551"/>
      <c r="BK778" s="551"/>
    </row>
    <row r="779" spans="1:63" ht="12.75" customHeight="1">
      <c r="A779" s="551"/>
      <c r="B779" s="551"/>
      <c r="C779" s="551"/>
      <c r="D779" s="551"/>
      <c r="E779" s="551"/>
      <c r="F779" s="551"/>
      <c r="G779" s="551"/>
      <c r="H779" s="551"/>
      <c r="I779" s="551"/>
      <c r="J779" s="551"/>
      <c r="K779" s="551"/>
      <c r="L779" s="551"/>
      <c r="M779" s="551"/>
      <c r="N779" s="551"/>
      <c r="O779" s="551"/>
      <c r="P779" s="551"/>
      <c r="Q779" s="551"/>
      <c r="R779" s="551"/>
      <c r="S779" s="551"/>
      <c r="T779" s="551"/>
      <c r="U779" s="551"/>
      <c r="V779" s="551"/>
      <c r="W779" s="551"/>
      <c r="X779" s="551"/>
      <c r="Y779" s="551"/>
      <c r="Z779" s="551"/>
      <c r="AA779" s="551"/>
      <c r="AB779" s="551"/>
      <c r="AC779" s="551"/>
      <c r="AD779" s="551"/>
      <c r="AE779" s="551"/>
      <c r="AF779" s="551"/>
      <c r="AG779" s="551"/>
      <c r="AH779" s="551"/>
      <c r="AI779" s="551"/>
      <c r="AJ779" s="551"/>
      <c r="AK779" s="551"/>
      <c r="AL779" s="551"/>
      <c r="AM779" s="551"/>
      <c r="AN779" s="551"/>
      <c r="AO779" s="551"/>
      <c r="AP779" s="551"/>
      <c r="AQ779" s="551"/>
      <c r="AR779" s="551"/>
      <c r="AS779" s="551"/>
      <c r="AT779" s="551"/>
      <c r="AU779" s="551"/>
      <c r="AV779" s="551"/>
      <c r="AW779" s="551"/>
      <c r="AX779" s="551"/>
      <c r="AY779" s="551"/>
      <c r="AZ779" s="551"/>
      <c r="BA779" s="551"/>
      <c r="BB779" s="551"/>
      <c r="BC779" s="551"/>
      <c r="BD779" s="551"/>
      <c r="BE779" s="551"/>
      <c r="BF779" s="551"/>
      <c r="BG779" s="551"/>
      <c r="BH779" s="551"/>
      <c r="BI779" s="551"/>
      <c r="BJ779" s="551"/>
      <c r="BK779" s="551"/>
    </row>
    <row r="780" spans="1:63" ht="12.75" customHeight="1">
      <c r="A780" s="551"/>
      <c r="B780" s="551"/>
      <c r="C780" s="551"/>
      <c r="D780" s="551"/>
      <c r="E780" s="551"/>
      <c r="F780" s="551"/>
      <c r="G780" s="551"/>
      <c r="H780" s="551"/>
      <c r="I780" s="551"/>
      <c r="J780" s="551"/>
      <c r="K780" s="551"/>
      <c r="L780" s="551"/>
      <c r="M780" s="551"/>
      <c r="N780" s="551"/>
      <c r="O780" s="551"/>
      <c r="P780" s="551"/>
      <c r="Q780" s="551"/>
      <c r="R780" s="551"/>
      <c r="S780" s="551"/>
      <c r="T780" s="551"/>
      <c r="U780" s="551"/>
      <c r="V780" s="551"/>
      <c r="W780" s="551"/>
      <c r="X780" s="551"/>
      <c r="Y780" s="551"/>
      <c r="Z780" s="551"/>
      <c r="AA780" s="551"/>
      <c r="AB780" s="551"/>
      <c r="AC780" s="551"/>
      <c r="AD780" s="551"/>
      <c r="AE780" s="551"/>
      <c r="AF780" s="551"/>
      <c r="AG780" s="551"/>
      <c r="AH780" s="551"/>
      <c r="AI780" s="551"/>
      <c r="AJ780" s="551"/>
      <c r="AK780" s="551"/>
      <c r="AL780" s="551"/>
      <c r="AM780" s="551"/>
      <c r="AN780" s="551"/>
      <c r="AO780" s="551"/>
      <c r="AP780" s="551"/>
      <c r="AQ780" s="551"/>
      <c r="AR780" s="551"/>
      <c r="AS780" s="551"/>
      <c r="AT780" s="551"/>
      <c r="AU780" s="551"/>
      <c r="AV780" s="551"/>
      <c r="AW780" s="551"/>
      <c r="AX780" s="551"/>
      <c r="AY780" s="551"/>
      <c r="AZ780" s="551"/>
      <c r="BA780" s="551"/>
      <c r="BB780" s="551"/>
      <c r="BC780" s="551"/>
      <c r="BD780" s="551"/>
      <c r="BE780" s="551"/>
      <c r="BF780" s="551"/>
      <c r="BG780" s="551"/>
      <c r="BH780" s="551"/>
      <c r="BI780" s="551"/>
      <c r="BJ780" s="551"/>
      <c r="BK780" s="551"/>
    </row>
    <row r="781" spans="1:63" ht="12.75" customHeight="1">
      <c r="A781" s="551"/>
      <c r="B781" s="551"/>
      <c r="C781" s="551"/>
      <c r="D781" s="551"/>
      <c r="E781" s="551"/>
      <c r="F781" s="551"/>
      <c r="G781" s="551"/>
      <c r="H781" s="551"/>
      <c r="I781" s="551"/>
      <c r="J781" s="551"/>
      <c r="K781" s="551"/>
      <c r="L781" s="551"/>
      <c r="M781" s="551"/>
      <c r="N781" s="551"/>
      <c r="O781" s="551"/>
      <c r="P781" s="551"/>
      <c r="Q781" s="551"/>
      <c r="R781" s="551"/>
      <c r="S781" s="551"/>
      <c r="T781" s="551"/>
      <c r="U781" s="551"/>
      <c r="V781" s="551"/>
      <c r="W781" s="551"/>
      <c r="X781" s="551"/>
      <c r="Y781" s="551"/>
      <c r="Z781" s="551"/>
      <c r="AA781" s="551"/>
      <c r="AB781" s="551"/>
      <c r="AC781" s="551"/>
      <c r="AD781" s="551"/>
      <c r="AE781" s="551"/>
      <c r="AF781" s="551"/>
      <c r="AG781" s="551"/>
      <c r="AH781" s="551"/>
      <c r="AI781" s="551"/>
      <c r="AJ781" s="551"/>
      <c r="AK781" s="551"/>
      <c r="AL781" s="551"/>
      <c r="AM781" s="551"/>
      <c r="AN781" s="551"/>
      <c r="AO781" s="551"/>
      <c r="AP781" s="551"/>
      <c r="AQ781" s="551"/>
      <c r="AR781" s="551"/>
      <c r="AS781" s="551"/>
      <c r="AT781" s="551"/>
      <c r="AU781" s="551"/>
      <c r="AV781" s="551"/>
      <c r="AW781" s="551"/>
      <c r="AX781" s="551"/>
      <c r="AY781" s="551"/>
      <c r="AZ781" s="551"/>
      <c r="BA781" s="551"/>
      <c r="BB781" s="551"/>
      <c r="BC781" s="551"/>
      <c r="BD781" s="551"/>
      <c r="BE781" s="551"/>
      <c r="BF781" s="551"/>
      <c r="BG781" s="551"/>
      <c r="BH781" s="551"/>
      <c r="BI781" s="551"/>
      <c r="BJ781" s="551"/>
      <c r="BK781" s="551"/>
    </row>
    <row r="782" spans="1:63" ht="12.75" customHeight="1">
      <c r="A782" s="551"/>
      <c r="B782" s="551"/>
      <c r="C782" s="551"/>
      <c r="D782" s="551"/>
      <c r="E782" s="551"/>
      <c r="F782" s="551"/>
      <c r="G782" s="551"/>
      <c r="H782" s="551"/>
      <c r="I782" s="551"/>
      <c r="J782" s="551"/>
      <c r="K782" s="551"/>
      <c r="L782" s="551"/>
      <c r="M782" s="551"/>
      <c r="N782" s="551"/>
      <c r="O782" s="551"/>
      <c r="P782" s="551"/>
      <c r="Q782" s="551"/>
      <c r="R782" s="551"/>
      <c r="S782" s="551"/>
      <c r="T782" s="551"/>
      <c r="U782" s="551"/>
      <c r="V782" s="551"/>
      <c r="W782" s="551"/>
      <c r="X782" s="551"/>
      <c r="Y782" s="551"/>
      <c r="Z782" s="551"/>
      <c r="AA782" s="551"/>
      <c r="AB782" s="551"/>
      <c r="AC782" s="551"/>
      <c r="AD782" s="551"/>
      <c r="AE782" s="551"/>
      <c r="AF782" s="551"/>
      <c r="AG782" s="551"/>
      <c r="AH782" s="551"/>
      <c r="AI782" s="551"/>
      <c r="AJ782" s="551"/>
      <c r="AK782" s="551"/>
      <c r="AL782" s="551"/>
      <c r="AM782" s="551"/>
      <c r="AN782" s="551"/>
      <c r="AO782" s="551"/>
      <c r="AP782" s="551"/>
      <c r="AQ782" s="551"/>
      <c r="AR782" s="551"/>
      <c r="AS782" s="551"/>
      <c r="AT782" s="551"/>
      <c r="AU782" s="551"/>
      <c r="AV782" s="551"/>
      <c r="AW782" s="551"/>
      <c r="AX782" s="551"/>
      <c r="AY782" s="551"/>
      <c r="AZ782" s="551"/>
      <c r="BA782" s="551"/>
      <c r="BB782" s="551"/>
      <c r="BC782" s="551"/>
      <c r="BD782" s="551"/>
      <c r="BE782" s="551"/>
      <c r="BF782" s="551"/>
      <c r="BG782" s="551"/>
      <c r="BH782" s="551"/>
      <c r="BI782" s="551"/>
      <c r="BJ782" s="551"/>
      <c r="BK782" s="551"/>
    </row>
    <row r="783" spans="1:63" ht="12.75" customHeight="1">
      <c r="A783" s="551"/>
      <c r="B783" s="551"/>
      <c r="C783" s="551"/>
      <c r="D783" s="551"/>
      <c r="E783" s="551"/>
      <c r="F783" s="551"/>
      <c r="G783" s="551"/>
      <c r="H783" s="551"/>
      <c r="I783" s="551"/>
      <c r="J783" s="551"/>
      <c r="K783" s="551"/>
      <c r="L783" s="551"/>
      <c r="M783" s="551"/>
      <c r="N783" s="551"/>
      <c r="O783" s="551"/>
      <c r="P783" s="551"/>
      <c r="Q783" s="551"/>
      <c r="R783" s="551"/>
      <c r="S783" s="551"/>
      <c r="T783" s="551"/>
      <c r="U783" s="551"/>
      <c r="V783" s="551"/>
      <c r="W783" s="551"/>
      <c r="X783" s="551"/>
      <c r="Y783" s="551"/>
      <c r="Z783" s="551"/>
      <c r="AA783" s="551"/>
      <c r="AB783" s="551"/>
      <c r="AC783" s="551"/>
      <c r="AD783" s="551"/>
      <c r="AE783" s="551"/>
      <c r="AF783" s="551"/>
      <c r="AG783" s="551"/>
      <c r="AH783" s="551"/>
      <c r="AI783" s="551"/>
      <c r="AJ783" s="551"/>
      <c r="AK783" s="551"/>
      <c r="AL783" s="551"/>
      <c r="AM783" s="551"/>
      <c r="AN783" s="551"/>
      <c r="AO783" s="551"/>
      <c r="AP783" s="551"/>
      <c r="AQ783" s="551"/>
      <c r="AR783" s="551"/>
      <c r="AS783" s="551"/>
      <c r="AT783" s="551"/>
      <c r="AU783" s="551"/>
      <c r="AV783" s="551"/>
      <c r="AW783" s="551"/>
      <c r="AX783" s="551"/>
      <c r="AY783" s="551"/>
      <c r="AZ783" s="551"/>
      <c r="BA783" s="551"/>
      <c r="BB783" s="551"/>
      <c r="BC783" s="551"/>
      <c r="BD783" s="551"/>
      <c r="BE783" s="551"/>
      <c r="BF783" s="551"/>
      <c r="BG783" s="551"/>
      <c r="BH783" s="551"/>
      <c r="BI783" s="551"/>
      <c r="BJ783" s="551"/>
      <c r="BK783" s="551"/>
    </row>
    <row r="784" spans="1:63" ht="12.75" customHeight="1">
      <c r="A784" s="551"/>
      <c r="B784" s="551"/>
      <c r="C784" s="551"/>
      <c r="D784" s="551"/>
      <c r="E784" s="551"/>
      <c r="F784" s="551"/>
      <c r="G784" s="551"/>
      <c r="H784" s="551"/>
      <c r="I784" s="551"/>
      <c r="J784" s="551"/>
      <c r="K784" s="551"/>
      <c r="L784" s="551"/>
      <c r="M784" s="551"/>
      <c r="N784" s="551"/>
      <c r="O784" s="551"/>
      <c r="P784" s="551"/>
      <c r="Q784" s="551"/>
      <c r="R784" s="551"/>
      <c r="S784" s="551"/>
      <c r="T784" s="551"/>
      <c r="U784" s="551"/>
      <c r="V784" s="551"/>
      <c r="W784" s="551"/>
      <c r="X784" s="551"/>
      <c r="Y784" s="551"/>
      <c r="Z784" s="551"/>
      <c r="AA784" s="551"/>
      <c r="AB784" s="551"/>
      <c r="AC784" s="551"/>
      <c r="AD784" s="551"/>
      <c r="AE784" s="551"/>
      <c r="AF784" s="551"/>
      <c r="AG784" s="551"/>
      <c r="AH784" s="551"/>
      <c r="AI784" s="551"/>
      <c r="AJ784" s="551"/>
      <c r="AK784" s="551"/>
      <c r="AL784" s="551"/>
      <c r="AM784" s="551"/>
      <c r="AN784" s="551"/>
      <c r="AO784" s="551"/>
      <c r="AP784" s="551"/>
      <c r="AQ784" s="551"/>
      <c r="AR784" s="551"/>
      <c r="AS784" s="551"/>
      <c r="AT784" s="551"/>
      <c r="AU784" s="551"/>
      <c r="AV784" s="551"/>
      <c r="AW784" s="551"/>
      <c r="AX784" s="551"/>
      <c r="AY784" s="551"/>
      <c r="AZ784" s="551"/>
      <c r="BA784" s="551"/>
      <c r="BB784" s="551"/>
      <c r="BC784" s="551"/>
      <c r="BD784" s="551"/>
      <c r="BE784" s="551"/>
      <c r="BF784" s="551"/>
      <c r="BG784" s="551"/>
      <c r="BH784" s="551"/>
      <c r="BI784" s="551"/>
      <c r="BJ784" s="551"/>
      <c r="BK784" s="551"/>
    </row>
    <row r="785" spans="1:63" ht="12.75" customHeight="1">
      <c r="A785" s="551"/>
      <c r="B785" s="551"/>
      <c r="C785" s="551"/>
      <c r="D785" s="551"/>
      <c r="E785" s="551"/>
      <c r="F785" s="551"/>
      <c r="G785" s="551"/>
      <c r="H785" s="551"/>
      <c r="I785" s="551"/>
      <c r="J785" s="551"/>
      <c r="K785" s="551"/>
      <c r="L785" s="551"/>
      <c r="M785" s="551"/>
      <c r="N785" s="551"/>
      <c r="O785" s="551"/>
      <c r="P785" s="551"/>
      <c r="Q785" s="551"/>
      <c r="R785" s="551"/>
      <c r="S785" s="551"/>
      <c r="T785" s="551"/>
      <c r="U785" s="551"/>
      <c r="V785" s="551"/>
      <c r="W785" s="551"/>
      <c r="X785" s="551"/>
      <c r="Y785" s="551"/>
      <c r="Z785" s="551"/>
      <c r="AA785" s="551"/>
      <c r="AB785" s="551"/>
      <c r="AC785" s="551"/>
      <c r="AD785" s="551"/>
      <c r="AE785" s="551"/>
      <c r="AF785" s="551"/>
      <c r="AG785" s="551"/>
      <c r="AH785" s="551"/>
      <c r="AI785" s="551"/>
      <c r="AJ785" s="551"/>
      <c r="AK785" s="551"/>
      <c r="AL785" s="551"/>
      <c r="AM785" s="551"/>
      <c r="AN785" s="551"/>
      <c r="AO785" s="551"/>
      <c r="AP785" s="551"/>
      <c r="AQ785" s="551"/>
      <c r="AR785" s="551"/>
      <c r="AS785" s="551"/>
      <c r="AT785" s="551"/>
      <c r="AU785" s="551"/>
      <c r="AV785" s="551"/>
      <c r="AW785" s="551"/>
      <c r="AX785" s="551"/>
      <c r="AY785" s="551"/>
      <c r="AZ785" s="551"/>
      <c r="BA785" s="551"/>
      <c r="BB785" s="551"/>
      <c r="BC785" s="551"/>
      <c r="BD785" s="551"/>
      <c r="BE785" s="551"/>
      <c r="BF785" s="551"/>
      <c r="BG785" s="551"/>
      <c r="BH785" s="551"/>
      <c r="BI785" s="551"/>
      <c r="BJ785" s="551"/>
      <c r="BK785" s="551"/>
    </row>
    <row r="786" spans="1:63" ht="12.75" customHeight="1">
      <c r="A786" s="551"/>
      <c r="B786" s="551"/>
      <c r="C786" s="551"/>
      <c r="D786" s="551"/>
      <c r="E786" s="551"/>
      <c r="F786" s="551"/>
      <c r="G786" s="551"/>
      <c r="H786" s="551"/>
      <c r="I786" s="551"/>
      <c r="J786" s="551"/>
      <c r="K786" s="551"/>
      <c r="L786" s="551"/>
      <c r="M786" s="551"/>
      <c r="N786" s="551"/>
      <c r="O786" s="551"/>
      <c r="P786" s="551"/>
      <c r="Q786" s="551"/>
      <c r="R786" s="551"/>
      <c r="S786" s="551"/>
      <c r="T786" s="551"/>
      <c r="U786" s="551"/>
      <c r="V786" s="551"/>
      <c r="W786" s="551"/>
      <c r="X786" s="551"/>
      <c r="Y786" s="551"/>
      <c r="Z786" s="551"/>
      <c r="AA786" s="551"/>
      <c r="AB786" s="551"/>
      <c r="AC786" s="551"/>
      <c r="AD786" s="551"/>
      <c r="AE786" s="551"/>
      <c r="AF786" s="551"/>
      <c r="AG786" s="551"/>
      <c r="AH786" s="551"/>
      <c r="AI786" s="551"/>
      <c r="AJ786" s="551"/>
      <c r="AK786" s="551"/>
      <c r="AL786" s="551"/>
      <c r="AM786" s="551"/>
      <c r="AN786" s="551"/>
      <c r="AO786" s="551"/>
      <c r="AP786" s="551"/>
      <c r="AQ786" s="551"/>
      <c r="AR786" s="551"/>
      <c r="AS786" s="551"/>
      <c r="AT786" s="551"/>
      <c r="AU786" s="551"/>
      <c r="AV786" s="551"/>
      <c r="AW786" s="551"/>
      <c r="AX786" s="551"/>
      <c r="AY786" s="551"/>
      <c r="AZ786" s="551"/>
      <c r="BA786" s="551"/>
      <c r="BB786" s="551"/>
      <c r="BC786" s="551"/>
      <c r="BD786" s="551"/>
      <c r="BE786" s="551"/>
      <c r="BF786" s="551"/>
      <c r="BG786" s="551"/>
      <c r="BH786" s="551"/>
      <c r="BI786" s="551"/>
      <c r="BJ786" s="551"/>
      <c r="BK786" s="551"/>
    </row>
    <row r="787" spans="1:63" ht="12.75" customHeight="1">
      <c r="A787" s="551"/>
      <c r="B787" s="551"/>
      <c r="C787" s="551"/>
      <c r="D787" s="551"/>
      <c r="E787" s="551"/>
      <c r="F787" s="551"/>
      <c r="G787" s="551"/>
      <c r="H787" s="551"/>
      <c r="I787" s="551"/>
      <c r="J787" s="551"/>
      <c r="K787" s="551"/>
      <c r="L787" s="551"/>
      <c r="M787" s="551"/>
      <c r="N787" s="551"/>
      <c r="O787" s="551"/>
      <c r="P787" s="551"/>
      <c r="Q787" s="551"/>
      <c r="R787" s="551"/>
      <c r="S787" s="551"/>
      <c r="T787" s="551"/>
      <c r="U787" s="551"/>
      <c r="V787" s="551"/>
      <c r="W787" s="551"/>
      <c r="X787" s="551"/>
      <c r="Y787" s="551"/>
      <c r="Z787" s="551"/>
      <c r="AA787" s="551"/>
      <c r="AB787" s="551"/>
      <c r="AC787" s="551"/>
      <c r="AD787" s="551"/>
      <c r="AE787" s="551"/>
      <c r="AF787" s="551"/>
      <c r="AG787" s="551"/>
      <c r="AH787" s="551"/>
      <c r="AI787" s="551"/>
      <c r="AJ787" s="551"/>
      <c r="AK787" s="551"/>
      <c r="AL787" s="551"/>
      <c r="AM787" s="551"/>
      <c r="AN787" s="551"/>
      <c r="AO787" s="551"/>
      <c r="AP787" s="551"/>
      <c r="AQ787" s="551"/>
      <c r="AR787" s="551"/>
      <c r="AS787" s="551"/>
      <c r="AT787" s="551"/>
      <c r="AU787" s="551"/>
      <c r="AV787" s="551"/>
      <c r="AW787" s="551"/>
      <c r="AX787" s="551"/>
      <c r="AY787" s="551"/>
      <c r="AZ787" s="551"/>
      <c r="BA787" s="551"/>
      <c r="BB787" s="551"/>
      <c r="BC787" s="551"/>
      <c r="BD787" s="551"/>
      <c r="BE787" s="551"/>
      <c r="BF787" s="551"/>
      <c r="BG787" s="551"/>
      <c r="BH787" s="551"/>
      <c r="BI787" s="551"/>
      <c r="BJ787" s="551"/>
      <c r="BK787" s="551"/>
    </row>
    <row r="788" spans="1:63" ht="12.75" customHeight="1">
      <c r="A788" s="551"/>
      <c r="B788" s="551"/>
      <c r="C788" s="551"/>
      <c r="D788" s="551"/>
      <c r="E788" s="551"/>
      <c r="F788" s="551"/>
      <c r="G788" s="551"/>
      <c r="H788" s="551"/>
      <c r="I788" s="551"/>
      <c r="J788" s="551"/>
      <c r="K788" s="551"/>
      <c r="L788" s="551"/>
      <c r="M788" s="551"/>
      <c r="N788" s="551"/>
      <c r="O788" s="551"/>
      <c r="P788" s="551"/>
      <c r="Q788" s="551"/>
      <c r="R788" s="551"/>
      <c r="S788" s="551"/>
      <c r="T788" s="551"/>
      <c r="U788" s="551"/>
      <c r="V788" s="551"/>
      <c r="W788" s="551"/>
      <c r="X788" s="551"/>
      <c r="Y788" s="551"/>
      <c r="Z788" s="551"/>
      <c r="AA788" s="551"/>
      <c r="AB788" s="551"/>
      <c r="AC788" s="551"/>
      <c r="AD788" s="551"/>
      <c r="AE788" s="551"/>
      <c r="AF788" s="551"/>
      <c r="AG788" s="551"/>
      <c r="AH788" s="551"/>
      <c r="AI788" s="551"/>
      <c r="AJ788" s="551"/>
      <c r="AK788" s="551"/>
      <c r="AL788" s="551"/>
      <c r="AM788" s="551"/>
      <c r="AN788" s="551"/>
      <c r="AO788" s="551"/>
      <c r="AP788" s="551"/>
      <c r="AQ788" s="551"/>
      <c r="AR788" s="551"/>
      <c r="AS788" s="551"/>
      <c r="AT788" s="551"/>
      <c r="AU788" s="551"/>
      <c r="AV788" s="551"/>
      <c r="AW788" s="551"/>
      <c r="AX788" s="551"/>
      <c r="AY788" s="551"/>
      <c r="AZ788" s="551"/>
      <c r="BA788" s="551"/>
      <c r="BB788" s="551"/>
      <c r="BC788" s="551"/>
      <c r="BD788" s="551"/>
      <c r="BE788" s="551"/>
      <c r="BF788" s="551"/>
      <c r="BG788" s="551"/>
      <c r="BH788" s="551"/>
      <c r="BI788" s="551"/>
      <c r="BJ788" s="551"/>
      <c r="BK788" s="551"/>
    </row>
    <row r="789" spans="1:63" ht="12.75" customHeight="1">
      <c r="A789" s="551"/>
      <c r="B789" s="551"/>
      <c r="C789" s="551"/>
      <c r="D789" s="551"/>
      <c r="E789" s="551"/>
      <c r="F789" s="551"/>
      <c r="G789" s="551"/>
      <c r="H789" s="551"/>
      <c r="I789" s="551"/>
      <c r="J789" s="551"/>
      <c r="K789" s="551"/>
      <c r="L789" s="551"/>
      <c r="M789" s="551"/>
      <c r="N789" s="551"/>
      <c r="O789" s="551"/>
      <c r="P789" s="551"/>
      <c r="Q789" s="551"/>
      <c r="R789" s="551"/>
      <c r="S789" s="551"/>
      <c r="T789" s="551"/>
      <c r="U789" s="551"/>
      <c r="V789" s="551"/>
      <c r="W789" s="551"/>
      <c r="X789" s="551"/>
      <c r="Y789" s="551"/>
      <c r="Z789" s="551"/>
      <c r="AA789" s="551"/>
      <c r="AB789" s="551"/>
      <c r="AC789" s="551"/>
      <c r="AD789" s="551"/>
      <c r="AE789" s="551"/>
      <c r="AF789" s="551"/>
      <c r="AG789" s="551"/>
      <c r="AH789" s="551"/>
      <c r="AI789" s="551"/>
      <c r="AJ789" s="551"/>
      <c r="AK789" s="551"/>
      <c r="AL789" s="551"/>
      <c r="AM789" s="551"/>
      <c r="AN789" s="551"/>
      <c r="AO789" s="551"/>
      <c r="AP789" s="551"/>
      <c r="AQ789" s="551"/>
      <c r="AR789" s="551"/>
      <c r="AS789" s="551"/>
      <c r="AT789" s="551"/>
      <c r="AU789" s="551"/>
      <c r="AV789" s="551"/>
      <c r="AW789" s="551"/>
      <c r="AX789" s="551"/>
      <c r="AY789" s="551"/>
      <c r="AZ789" s="551"/>
      <c r="BA789" s="551"/>
      <c r="BB789" s="551"/>
      <c r="BC789" s="551"/>
      <c r="BD789" s="551"/>
      <c r="BE789" s="551"/>
      <c r="BF789" s="551"/>
      <c r="BG789" s="551"/>
      <c r="BH789" s="551"/>
      <c r="BI789" s="551"/>
      <c r="BJ789" s="551"/>
      <c r="BK789" s="551"/>
    </row>
    <row r="790" spans="1:63" ht="12.75" customHeight="1">
      <c r="A790" s="551"/>
      <c r="B790" s="551"/>
      <c r="C790" s="551"/>
      <c r="D790" s="551"/>
      <c r="E790" s="551"/>
      <c r="F790" s="551"/>
      <c r="G790" s="551"/>
      <c r="H790" s="551"/>
      <c r="I790" s="551"/>
      <c r="J790" s="551"/>
      <c r="K790" s="551"/>
      <c r="L790" s="551"/>
      <c r="M790" s="551"/>
      <c r="N790" s="551"/>
      <c r="O790" s="551"/>
      <c r="P790" s="551"/>
      <c r="Q790" s="551"/>
      <c r="R790" s="551"/>
      <c r="S790" s="551"/>
      <c r="T790" s="551"/>
      <c r="U790" s="551"/>
      <c r="V790" s="551"/>
      <c r="W790" s="551"/>
      <c r="X790" s="551"/>
      <c r="Y790" s="551"/>
      <c r="Z790" s="551"/>
      <c r="AA790" s="551"/>
      <c r="AB790" s="551"/>
      <c r="AC790" s="551"/>
      <c r="AD790" s="551"/>
      <c r="AE790" s="551"/>
      <c r="AF790" s="551"/>
      <c r="AG790" s="551"/>
      <c r="AH790" s="551"/>
      <c r="AI790" s="551"/>
      <c r="AJ790" s="551"/>
      <c r="AK790" s="551"/>
      <c r="AL790" s="551"/>
      <c r="AM790" s="551"/>
      <c r="AN790" s="551"/>
      <c r="AO790" s="551"/>
      <c r="AP790" s="551"/>
      <c r="AQ790" s="551"/>
      <c r="AR790" s="551"/>
      <c r="AS790" s="551"/>
      <c r="AT790" s="551"/>
      <c r="AU790" s="551"/>
      <c r="AV790" s="551"/>
      <c r="AW790" s="551"/>
      <c r="AX790" s="551"/>
      <c r="AY790" s="551"/>
      <c r="AZ790" s="551"/>
      <c r="BA790" s="551"/>
      <c r="BB790" s="551"/>
      <c r="BC790" s="551"/>
      <c r="BD790" s="551"/>
      <c r="BE790" s="551"/>
      <c r="BF790" s="551"/>
      <c r="BG790" s="551"/>
      <c r="BH790" s="551"/>
      <c r="BI790" s="551"/>
      <c r="BJ790" s="551"/>
      <c r="BK790" s="551"/>
    </row>
    <row r="791" spans="1:63" ht="12.75" customHeight="1">
      <c r="A791" s="551"/>
      <c r="B791" s="551"/>
      <c r="C791" s="551"/>
      <c r="D791" s="551"/>
      <c r="E791" s="551"/>
      <c r="F791" s="551"/>
      <c r="G791" s="551"/>
      <c r="H791" s="551"/>
      <c r="I791" s="551"/>
      <c r="J791" s="551"/>
      <c r="K791" s="551"/>
      <c r="L791" s="551"/>
      <c r="M791" s="551"/>
      <c r="N791" s="551"/>
      <c r="O791" s="551"/>
      <c r="P791" s="551"/>
      <c r="Q791" s="551"/>
      <c r="R791" s="551"/>
      <c r="S791" s="551"/>
      <c r="T791" s="551"/>
      <c r="U791" s="551"/>
      <c r="V791" s="551"/>
      <c r="W791" s="551"/>
      <c r="X791" s="551"/>
      <c r="Y791" s="551"/>
      <c r="Z791" s="551"/>
      <c r="AA791" s="551"/>
      <c r="AB791" s="551"/>
      <c r="AC791" s="551"/>
      <c r="AD791" s="551"/>
      <c r="AE791" s="551"/>
      <c r="AF791" s="551"/>
      <c r="AG791" s="551"/>
      <c r="AH791" s="551"/>
      <c r="AI791" s="551"/>
      <c r="AJ791" s="551"/>
      <c r="AK791" s="551"/>
      <c r="AL791" s="551"/>
      <c r="AM791" s="551"/>
      <c r="AN791" s="551"/>
      <c r="AO791" s="551"/>
      <c r="AP791" s="551"/>
      <c r="AQ791" s="551"/>
      <c r="AR791" s="551"/>
      <c r="AS791" s="551"/>
      <c r="AT791" s="551"/>
      <c r="AU791" s="551"/>
      <c r="AV791" s="551"/>
      <c r="AW791" s="551"/>
      <c r="AX791" s="551"/>
      <c r="AY791" s="551"/>
      <c r="AZ791" s="551"/>
      <c r="BA791" s="551"/>
      <c r="BB791" s="551"/>
      <c r="BC791" s="551"/>
      <c r="BD791" s="551"/>
      <c r="BE791" s="551"/>
      <c r="BF791" s="551"/>
      <c r="BG791" s="551"/>
      <c r="BH791" s="551"/>
      <c r="BI791" s="551"/>
      <c r="BJ791" s="551"/>
      <c r="BK791" s="551"/>
    </row>
    <row r="792" spans="1:63" ht="12.75" customHeight="1">
      <c r="A792" s="551"/>
      <c r="B792" s="551"/>
      <c r="C792" s="551"/>
      <c r="D792" s="551"/>
      <c r="E792" s="551"/>
      <c r="F792" s="551"/>
      <c r="G792" s="551"/>
      <c r="H792" s="551"/>
      <c r="I792" s="551"/>
      <c r="J792" s="551"/>
      <c r="K792" s="551"/>
      <c r="L792" s="551"/>
      <c r="M792" s="551"/>
      <c r="N792" s="551"/>
      <c r="O792" s="551"/>
      <c r="P792" s="551"/>
      <c r="Q792" s="551"/>
      <c r="R792" s="551"/>
      <c r="S792" s="551"/>
      <c r="T792" s="551"/>
      <c r="U792" s="551"/>
      <c r="V792" s="551"/>
      <c r="W792" s="551"/>
      <c r="X792" s="551"/>
      <c r="Y792" s="551"/>
      <c r="Z792" s="551"/>
      <c r="AA792" s="551"/>
      <c r="AB792" s="551"/>
      <c r="AC792" s="551"/>
      <c r="AD792" s="551"/>
      <c r="AE792" s="551"/>
      <c r="AF792" s="551"/>
      <c r="AG792" s="551"/>
      <c r="AH792" s="551"/>
      <c r="AI792" s="551"/>
      <c r="AJ792" s="551"/>
      <c r="AK792" s="551"/>
      <c r="AL792" s="551"/>
      <c r="AM792" s="551"/>
      <c r="AN792" s="551"/>
      <c r="AO792" s="551"/>
      <c r="AP792" s="551"/>
      <c r="AQ792" s="551"/>
      <c r="AR792" s="551"/>
      <c r="AS792" s="551"/>
      <c r="AT792" s="551"/>
      <c r="AU792" s="551"/>
      <c r="AV792" s="551"/>
      <c r="AW792" s="551"/>
      <c r="AX792" s="551"/>
      <c r="AY792" s="551"/>
      <c r="AZ792" s="551"/>
      <c r="BA792" s="551"/>
      <c r="BB792" s="551"/>
      <c r="BC792" s="551"/>
      <c r="BD792" s="551"/>
      <c r="BE792" s="551"/>
      <c r="BF792" s="551"/>
      <c r="BG792" s="551"/>
      <c r="BH792" s="551"/>
      <c r="BI792" s="551"/>
      <c r="BJ792" s="551"/>
      <c r="BK792" s="551"/>
    </row>
    <row r="793" spans="1:63" ht="12.75" customHeight="1">
      <c r="A793" s="551"/>
      <c r="B793" s="551"/>
      <c r="C793" s="551"/>
      <c r="D793" s="551"/>
      <c r="E793" s="551"/>
      <c r="F793" s="551"/>
      <c r="G793" s="551"/>
      <c r="H793" s="551"/>
      <c r="I793" s="551"/>
      <c r="J793" s="551"/>
      <c r="K793" s="551"/>
      <c r="L793" s="551"/>
      <c r="M793" s="551"/>
      <c r="N793" s="551"/>
      <c r="O793" s="551"/>
      <c r="P793" s="551"/>
      <c r="Q793" s="551"/>
      <c r="R793" s="551"/>
      <c r="S793" s="551"/>
      <c r="T793" s="551"/>
      <c r="U793" s="551"/>
      <c r="V793" s="551"/>
      <c r="W793" s="551"/>
      <c r="X793" s="551"/>
      <c r="Y793" s="551"/>
      <c r="Z793" s="551"/>
      <c r="AA793" s="551"/>
      <c r="AB793" s="551"/>
      <c r="AC793" s="551"/>
      <c r="AD793" s="551"/>
      <c r="AE793" s="551"/>
      <c r="AF793" s="551"/>
      <c r="AG793" s="551"/>
      <c r="AH793" s="551"/>
      <c r="AI793" s="551"/>
      <c r="AJ793" s="551"/>
      <c r="AK793" s="551"/>
      <c r="AL793" s="551"/>
      <c r="AM793" s="551"/>
      <c r="AN793" s="551"/>
      <c r="AO793" s="551"/>
      <c r="AP793" s="551"/>
      <c r="AQ793" s="551"/>
      <c r="AR793" s="551"/>
      <c r="AS793" s="551"/>
      <c r="AT793" s="551"/>
      <c r="AU793" s="551"/>
      <c r="AV793" s="551"/>
      <c r="AW793" s="551"/>
      <c r="AX793" s="551"/>
      <c r="AY793" s="551"/>
      <c r="AZ793" s="551"/>
      <c r="BA793" s="551"/>
      <c r="BB793" s="551"/>
      <c r="BC793" s="551"/>
      <c r="BD793" s="551"/>
      <c r="BE793" s="551"/>
      <c r="BF793" s="551"/>
      <c r="BG793" s="551"/>
      <c r="BH793" s="551"/>
      <c r="BI793" s="551"/>
      <c r="BJ793" s="551"/>
      <c r="BK793" s="551"/>
    </row>
    <row r="794" spans="1:63" ht="12.75" customHeight="1">
      <c r="A794" s="551"/>
      <c r="B794" s="551"/>
      <c r="C794" s="551"/>
      <c r="D794" s="551"/>
      <c r="E794" s="551"/>
      <c r="F794" s="551"/>
      <c r="G794" s="551"/>
      <c r="H794" s="551"/>
      <c r="I794" s="551"/>
      <c r="J794" s="551"/>
      <c r="K794" s="551"/>
      <c r="L794" s="551"/>
      <c r="M794" s="551"/>
      <c r="N794" s="551"/>
      <c r="O794" s="551"/>
      <c r="P794" s="551"/>
      <c r="Q794" s="551"/>
      <c r="R794" s="551"/>
      <c r="S794" s="551"/>
      <c r="T794" s="551"/>
      <c r="U794" s="551"/>
      <c r="V794" s="551"/>
      <c r="W794" s="551"/>
      <c r="X794" s="551"/>
      <c r="Y794" s="551"/>
      <c r="Z794" s="551"/>
      <c r="AA794" s="551"/>
      <c r="AB794" s="551"/>
      <c r="AC794" s="551"/>
      <c r="AD794" s="551"/>
      <c r="AE794" s="551"/>
      <c r="AF794" s="551"/>
      <c r="AG794" s="551"/>
      <c r="AH794" s="551"/>
      <c r="AI794" s="551"/>
      <c r="AJ794" s="551"/>
      <c r="AK794" s="551"/>
      <c r="AL794" s="551"/>
      <c r="AM794" s="551"/>
      <c r="AN794" s="551"/>
      <c r="AO794" s="551"/>
      <c r="AP794" s="551"/>
      <c r="AQ794" s="551"/>
      <c r="AR794" s="551"/>
      <c r="AS794" s="551"/>
      <c r="AT794" s="551"/>
      <c r="AU794" s="551"/>
      <c r="AV794" s="551"/>
      <c r="AW794" s="551"/>
      <c r="AX794" s="551"/>
      <c r="AY794" s="551"/>
      <c r="AZ794" s="551"/>
      <c r="BA794" s="551"/>
      <c r="BB794" s="551"/>
      <c r="BC794" s="551"/>
      <c r="BD794" s="551"/>
      <c r="BE794" s="551"/>
      <c r="BF794" s="551"/>
      <c r="BG794" s="551"/>
      <c r="BH794" s="551"/>
      <c r="BI794" s="551"/>
      <c r="BJ794" s="551"/>
      <c r="BK794" s="551"/>
    </row>
    <row r="795" spans="1:63" ht="12.75" customHeight="1">
      <c r="A795" s="551"/>
      <c r="B795" s="551"/>
      <c r="C795" s="551"/>
      <c r="D795" s="551"/>
      <c r="E795" s="551"/>
      <c r="F795" s="551"/>
      <c r="G795" s="551"/>
      <c r="H795" s="551"/>
      <c r="I795" s="551"/>
      <c r="J795" s="551"/>
      <c r="K795" s="551"/>
      <c r="L795" s="551"/>
      <c r="M795" s="551"/>
      <c r="N795" s="551"/>
      <c r="O795" s="551"/>
      <c r="P795" s="551"/>
      <c r="Q795" s="551"/>
      <c r="R795" s="551"/>
      <c r="S795" s="551"/>
      <c r="T795" s="551"/>
      <c r="U795" s="551"/>
      <c r="V795" s="551"/>
      <c r="W795" s="551"/>
      <c r="X795" s="551"/>
      <c r="Y795" s="551"/>
      <c r="Z795" s="551"/>
      <c r="AA795" s="551"/>
      <c r="AB795" s="551"/>
      <c r="AC795" s="551"/>
      <c r="AD795" s="551"/>
      <c r="AE795" s="551"/>
      <c r="AF795" s="551"/>
      <c r="AG795" s="551"/>
      <c r="AH795" s="551"/>
      <c r="AI795" s="551"/>
      <c r="AJ795" s="551"/>
      <c r="AK795" s="551"/>
      <c r="AL795" s="551"/>
      <c r="AM795" s="551"/>
      <c r="AN795" s="551"/>
      <c r="AO795" s="551"/>
      <c r="AP795" s="551"/>
      <c r="AQ795" s="551"/>
      <c r="AR795" s="551"/>
      <c r="AS795" s="551"/>
      <c r="AT795" s="551"/>
      <c r="AU795" s="551"/>
      <c r="AV795" s="551"/>
      <c r="AW795" s="551"/>
      <c r="AX795" s="551"/>
      <c r="AY795" s="551"/>
      <c r="AZ795" s="551"/>
      <c r="BA795" s="551"/>
      <c r="BB795" s="551"/>
      <c r="BC795" s="551"/>
      <c r="BD795" s="551"/>
      <c r="BE795" s="551"/>
      <c r="BF795" s="551"/>
      <c r="BG795" s="551"/>
      <c r="BH795" s="551"/>
      <c r="BI795" s="551"/>
      <c r="BJ795" s="551"/>
      <c r="BK795" s="551"/>
    </row>
    <row r="796" spans="1:63" ht="12.75" customHeight="1">
      <c r="A796" s="551"/>
      <c r="B796" s="551"/>
      <c r="C796" s="551"/>
      <c r="D796" s="551"/>
      <c r="E796" s="551"/>
      <c r="F796" s="551"/>
      <c r="G796" s="551"/>
      <c r="H796" s="551"/>
      <c r="I796" s="551"/>
      <c r="J796" s="551"/>
      <c r="K796" s="551"/>
      <c r="L796" s="551"/>
      <c r="M796" s="551"/>
      <c r="N796" s="551"/>
      <c r="O796" s="551"/>
      <c r="P796" s="551"/>
      <c r="Q796" s="551"/>
      <c r="R796" s="551"/>
      <c r="S796" s="551"/>
      <c r="T796" s="551"/>
      <c r="U796" s="551"/>
      <c r="V796" s="551"/>
      <c r="W796" s="551"/>
      <c r="X796" s="551"/>
      <c r="Y796" s="551"/>
      <c r="Z796" s="551"/>
      <c r="AA796" s="551"/>
      <c r="AB796" s="551"/>
      <c r="AC796" s="551"/>
      <c r="AD796" s="551"/>
      <c r="AE796" s="551"/>
      <c r="AF796" s="551"/>
      <c r="AG796" s="551"/>
      <c r="AH796" s="551"/>
      <c r="AI796" s="551"/>
      <c r="AJ796" s="551"/>
      <c r="AK796" s="551"/>
      <c r="AL796" s="551"/>
      <c r="AM796" s="551"/>
      <c r="AN796" s="551"/>
      <c r="AO796" s="551"/>
      <c r="AP796" s="551"/>
      <c r="AQ796" s="551"/>
      <c r="AR796" s="551"/>
      <c r="AS796" s="551"/>
      <c r="AT796" s="551"/>
      <c r="AU796" s="551"/>
      <c r="AV796" s="551"/>
      <c r="AW796" s="551"/>
      <c r="AX796" s="551"/>
      <c r="AY796" s="551"/>
      <c r="AZ796" s="551"/>
      <c r="BA796" s="551"/>
      <c r="BB796" s="551"/>
      <c r="BC796" s="551"/>
      <c r="BD796" s="551"/>
      <c r="BE796" s="551"/>
      <c r="BF796" s="551"/>
      <c r="BG796" s="551"/>
      <c r="BH796" s="551"/>
      <c r="BI796" s="551"/>
      <c r="BJ796" s="551"/>
      <c r="BK796" s="551"/>
    </row>
    <row r="797" spans="1:63" ht="12.75" customHeight="1">
      <c r="A797" s="551"/>
      <c r="B797" s="551"/>
      <c r="C797" s="551"/>
      <c r="D797" s="551"/>
      <c r="E797" s="551"/>
      <c r="F797" s="551"/>
      <c r="G797" s="551"/>
      <c r="H797" s="551"/>
      <c r="I797" s="551"/>
      <c r="J797" s="551"/>
      <c r="K797" s="551"/>
      <c r="L797" s="551"/>
      <c r="M797" s="551"/>
      <c r="N797" s="551"/>
      <c r="O797" s="551"/>
      <c r="P797" s="551"/>
      <c r="Q797" s="551"/>
      <c r="R797" s="551"/>
      <c r="S797" s="551"/>
      <c r="T797" s="551"/>
      <c r="U797" s="551"/>
      <c r="V797" s="551"/>
      <c r="W797" s="551"/>
      <c r="X797" s="551"/>
      <c r="Y797" s="551"/>
      <c r="Z797" s="551"/>
      <c r="AA797" s="551"/>
      <c r="AB797" s="551"/>
      <c r="AC797" s="551"/>
      <c r="AD797" s="551"/>
      <c r="AE797" s="551"/>
      <c r="AF797" s="551"/>
      <c r="AG797" s="551"/>
      <c r="AH797" s="551"/>
      <c r="AI797" s="551"/>
      <c r="AJ797" s="551"/>
      <c r="AK797" s="551"/>
      <c r="AL797" s="551"/>
      <c r="AM797" s="551"/>
      <c r="AN797" s="551"/>
      <c r="AO797" s="551"/>
      <c r="AP797" s="551"/>
      <c r="AQ797" s="551"/>
      <c r="AR797" s="551"/>
      <c r="AS797" s="551"/>
      <c r="AT797" s="551"/>
      <c r="AU797" s="551"/>
      <c r="AV797" s="551"/>
      <c r="AW797" s="551"/>
      <c r="AX797" s="551"/>
      <c r="AY797" s="551"/>
      <c r="AZ797" s="551"/>
      <c r="BA797" s="551"/>
      <c r="BB797" s="551"/>
      <c r="BC797" s="551"/>
      <c r="BD797" s="551"/>
      <c r="BE797" s="551"/>
      <c r="BF797" s="551"/>
      <c r="BG797" s="551"/>
      <c r="BH797" s="551"/>
      <c r="BI797" s="551"/>
      <c r="BJ797" s="551"/>
      <c r="BK797" s="551"/>
    </row>
    <row r="798" spans="1:63" ht="12.75" customHeight="1">
      <c r="A798" s="551"/>
      <c r="B798" s="551"/>
      <c r="C798" s="551"/>
      <c r="D798" s="551"/>
      <c r="E798" s="551"/>
      <c r="F798" s="551"/>
      <c r="G798" s="551"/>
      <c r="H798" s="551"/>
      <c r="I798" s="551"/>
      <c r="J798" s="551"/>
      <c r="K798" s="551"/>
      <c r="L798" s="551"/>
      <c r="M798" s="551"/>
      <c r="N798" s="551"/>
      <c r="O798" s="551"/>
      <c r="P798" s="551"/>
      <c r="Q798" s="551"/>
      <c r="R798" s="551"/>
      <c r="S798" s="551"/>
      <c r="T798" s="551"/>
      <c r="U798" s="551"/>
      <c r="V798" s="551"/>
      <c r="W798" s="551"/>
      <c r="X798" s="551"/>
      <c r="Y798" s="551"/>
      <c r="Z798" s="551"/>
      <c r="AA798" s="551"/>
      <c r="AB798" s="551"/>
      <c r="AC798" s="551"/>
      <c r="AD798" s="551"/>
      <c r="AE798" s="551"/>
      <c r="AF798" s="551"/>
      <c r="AG798" s="551"/>
      <c r="AH798" s="551"/>
      <c r="AI798" s="551"/>
      <c r="AJ798" s="551"/>
      <c r="AK798" s="551"/>
      <c r="AL798" s="551"/>
      <c r="AM798" s="551"/>
      <c r="AN798" s="551"/>
      <c r="AO798" s="551"/>
      <c r="AP798" s="551"/>
      <c r="AQ798" s="551"/>
      <c r="AR798" s="551"/>
      <c r="AS798" s="551"/>
      <c r="AT798" s="551"/>
      <c r="AU798" s="551"/>
      <c r="AV798" s="551"/>
      <c r="AW798" s="551"/>
      <c r="AX798" s="551"/>
      <c r="AY798" s="551"/>
      <c r="AZ798" s="551"/>
      <c r="BA798" s="551"/>
      <c r="BB798" s="551"/>
      <c r="BC798" s="551"/>
      <c r="BD798" s="551"/>
      <c r="BE798" s="551"/>
      <c r="BF798" s="551"/>
      <c r="BG798" s="551"/>
      <c r="BH798" s="551"/>
      <c r="BI798" s="551"/>
      <c r="BJ798" s="551"/>
      <c r="BK798" s="551"/>
    </row>
    <row r="799" spans="1:63" ht="12.75" customHeight="1">
      <c r="A799" s="551"/>
      <c r="B799" s="551"/>
      <c r="C799" s="551"/>
      <c r="D799" s="551"/>
      <c r="E799" s="551"/>
      <c r="F799" s="551"/>
      <c r="G799" s="551"/>
      <c r="H799" s="551"/>
      <c r="I799" s="551"/>
      <c r="J799" s="551"/>
      <c r="K799" s="551"/>
      <c r="L799" s="551"/>
      <c r="M799" s="551"/>
      <c r="N799" s="551"/>
      <c r="O799" s="551"/>
      <c r="P799" s="551"/>
      <c r="Q799" s="551"/>
      <c r="R799" s="551"/>
      <c r="S799" s="551"/>
      <c r="T799" s="551"/>
      <c r="U799" s="551"/>
      <c r="V799" s="551"/>
      <c r="W799" s="551"/>
      <c r="X799" s="551"/>
      <c r="Y799" s="551"/>
      <c r="Z799" s="551"/>
      <c r="AA799" s="551"/>
      <c r="AB799" s="551"/>
      <c r="AC799" s="551"/>
      <c r="AD799" s="551"/>
      <c r="AE799" s="551"/>
      <c r="AF799" s="551"/>
      <c r="AG799" s="551"/>
      <c r="AH799" s="551"/>
      <c r="AI799" s="551"/>
      <c r="AJ799" s="551"/>
      <c r="AK799" s="551"/>
      <c r="AL799" s="551"/>
      <c r="AM799" s="551"/>
      <c r="AN799" s="551"/>
      <c r="AO799" s="551"/>
      <c r="AP799" s="551"/>
      <c r="AQ799" s="551"/>
      <c r="AR799" s="551"/>
      <c r="AS799" s="551"/>
      <c r="AT799" s="551"/>
      <c r="AU799" s="551"/>
      <c r="AV799" s="551"/>
      <c r="AW799" s="551"/>
      <c r="AX799" s="551"/>
      <c r="AY799" s="551"/>
      <c r="AZ799" s="551"/>
      <c r="BA799" s="551"/>
      <c r="BB799" s="551"/>
      <c r="BC799" s="551"/>
      <c r="BD799" s="551"/>
      <c r="BE799" s="551"/>
      <c r="BF799" s="551"/>
      <c r="BG799" s="551"/>
      <c r="BH799" s="551"/>
      <c r="BI799" s="551"/>
      <c r="BJ799" s="551"/>
      <c r="BK799" s="551"/>
    </row>
    <row r="800" spans="1:63" ht="12.75" customHeight="1">
      <c r="A800" s="551"/>
      <c r="B800" s="551"/>
      <c r="C800" s="551"/>
      <c r="D800" s="551"/>
      <c r="E800" s="551"/>
      <c r="F800" s="551"/>
      <c r="G800" s="551"/>
      <c r="H800" s="551"/>
      <c r="I800" s="551"/>
      <c r="J800" s="551"/>
      <c r="K800" s="551"/>
      <c r="L800" s="551"/>
      <c r="M800" s="551"/>
      <c r="N800" s="551"/>
      <c r="O800" s="551"/>
      <c r="P800" s="551"/>
      <c r="Q800" s="551"/>
      <c r="R800" s="551"/>
      <c r="S800" s="551"/>
      <c r="T800" s="551"/>
      <c r="U800" s="551"/>
      <c r="V800" s="551"/>
      <c r="W800" s="551"/>
      <c r="X800" s="551"/>
      <c r="Y800" s="551"/>
      <c r="Z800" s="551"/>
      <c r="AA800" s="551"/>
      <c r="AB800" s="551"/>
      <c r="AC800" s="551"/>
      <c r="AD800" s="551"/>
      <c r="AE800" s="551"/>
      <c r="AF800" s="551"/>
      <c r="AG800" s="551"/>
      <c r="AH800" s="551"/>
      <c r="AI800" s="551"/>
      <c r="AJ800" s="551"/>
      <c r="AK800" s="551"/>
      <c r="AL800" s="551"/>
      <c r="AM800" s="551"/>
      <c r="AN800" s="551"/>
      <c r="AO800" s="551"/>
      <c r="AP800" s="551"/>
      <c r="AQ800" s="551"/>
      <c r="AR800" s="551"/>
      <c r="AS800" s="551"/>
      <c r="AT800" s="551"/>
      <c r="AU800" s="551"/>
      <c r="AV800" s="551"/>
      <c r="AW800" s="551"/>
      <c r="AX800" s="551"/>
      <c r="AY800" s="551"/>
      <c r="AZ800" s="551"/>
      <c r="BA800" s="551"/>
      <c r="BB800" s="551"/>
      <c r="BC800" s="551"/>
      <c r="BD800" s="551"/>
      <c r="BE800" s="551"/>
      <c r="BF800" s="551"/>
      <c r="BG800" s="551"/>
      <c r="BH800" s="551"/>
      <c r="BI800" s="551"/>
      <c r="BJ800" s="551"/>
      <c r="BK800" s="551"/>
    </row>
    <row r="801" spans="1:63" ht="12.75" customHeight="1">
      <c r="A801" s="551"/>
      <c r="B801" s="551"/>
      <c r="C801" s="551"/>
      <c r="D801" s="551"/>
      <c r="E801" s="551"/>
      <c r="F801" s="551"/>
      <c r="G801" s="551"/>
      <c r="H801" s="551"/>
      <c r="I801" s="551"/>
      <c r="J801" s="551"/>
      <c r="K801" s="551"/>
      <c r="L801" s="551"/>
      <c r="M801" s="551"/>
      <c r="N801" s="551"/>
      <c r="O801" s="551"/>
      <c r="P801" s="551"/>
      <c r="Q801" s="551"/>
      <c r="R801" s="551"/>
      <c r="S801" s="551"/>
      <c r="T801" s="551"/>
      <c r="U801" s="551"/>
      <c r="V801" s="551"/>
      <c r="W801" s="551"/>
      <c r="X801" s="551"/>
      <c r="Y801" s="551"/>
      <c r="Z801" s="551"/>
      <c r="AA801" s="551"/>
      <c r="AB801" s="551"/>
      <c r="AC801" s="551"/>
      <c r="AD801" s="551"/>
      <c r="AE801" s="551"/>
      <c r="AF801" s="551"/>
      <c r="AG801" s="551"/>
      <c r="AH801" s="551"/>
      <c r="AI801" s="551"/>
      <c r="AJ801" s="551"/>
      <c r="AK801" s="551"/>
      <c r="AL801" s="551"/>
      <c r="AM801" s="551"/>
      <c r="AN801" s="551"/>
      <c r="AO801" s="551"/>
      <c r="AP801" s="551"/>
      <c r="AQ801" s="551"/>
      <c r="AR801" s="551"/>
      <c r="AS801" s="551"/>
      <c r="AT801" s="551"/>
      <c r="AU801" s="551"/>
      <c r="AV801" s="551"/>
      <c r="AW801" s="551"/>
      <c r="AX801" s="551"/>
      <c r="AY801" s="551"/>
      <c r="AZ801" s="551"/>
      <c r="BA801" s="551"/>
      <c r="BB801" s="551"/>
      <c r="BC801" s="551"/>
      <c r="BD801" s="551"/>
      <c r="BE801" s="551"/>
      <c r="BF801" s="551"/>
      <c r="BG801" s="551"/>
      <c r="BH801" s="551"/>
      <c r="BI801" s="551"/>
      <c r="BJ801" s="551"/>
      <c r="BK801" s="551"/>
    </row>
    <row r="802" spans="1:63" ht="12.75" customHeight="1">
      <c r="A802" s="551"/>
      <c r="B802" s="551"/>
      <c r="C802" s="551"/>
      <c r="D802" s="551"/>
      <c r="E802" s="551"/>
      <c r="F802" s="551"/>
      <c r="G802" s="551"/>
      <c r="H802" s="551"/>
      <c r="I802" s="551"/>
      <c r="J802" s="551"/>
      <c r="K802" s="551"/>
      <c r="L802" s="551"/>
      <c r="M802" s="551"/>
      <c r="N802" s="551"/>
      <c r="O802" s="551"/>
      <c r="P802" s="551"/>
      <c r="Q802" s="551"/>
      <c r="R802" s="551"/>
      <c r="S802" s="551"/>
      <c r="T802" s="551"/>
      <c r="U802" s="551"/>
      <c r="V802" s="551"/>
      <c r="W802" s="551"/>
      <c r="X802" s="551"/>
      <c r="Y802" s="551"/>
      <c r="Z802" s="551"/>
      <c r="AA802" s="551"/>
      <c r="AB802" s="551"/>
      <c r="AC802" s="551"/>
      <c r="AD802" s="551"/>
      <c r="AE802" s="551"/>
      <c r="AF802" s="551"/>
      <c r="AG802" s="551"/>
      <c r="AH802" s="551"/>
      <c r="AI802" s="551"/>
      <c r="AJ802" s="551"/>
      <c r="AK802" s="551"/>
      <c r="AL802" s="551"/>
      <c r="AM802" s="551"/>
      <c r="AN802" s="551"/>
      <c r="AO802" s="551"/>
      <c r="AP802" s="551"/>
      <c r="AQ802" s="551"/>
      <c r="AR802" s="551"/>
      <c r="AS802" s="551"/>
      <c r="AT802" s="551"/>
      <c r="AU802" s="551"/>
      <c r="AV802" s="551"/>
      <c r="AW802" s="551"/>
      <c r="AX802" s="551"/>
      <c r="AY802" s="551"/>
      <c r="AZ802" s="551"/>
      <c r="BA802" s="551"/>
      <c r="BB802" s="551"/>
      <c r="BC802" s="551"/>
      <c r="BD802" s="551"/>
      <c r="BE802" s="551"/>
      <c r="BF802" s="551"/>
      <c r="BG802" s="551"/>
      <c r="BH802" s="551"/>
      <c r="BI802" s="551"/>
      <c r="BJ802" s="551"/>
      <c r="BK802" s="551"/>
    </row>
    <row r="803" spans="1:63" ht="12.75" customHeight="1">
      <c r="A803" s="551"/>
      <c r="B803" s="551"/>
      <c r="C803" s="551"/>
      <c r="D803" s="551"/>
      <c r="E803" s="551"/>
      <c r="F803" s="551"/>
      <c r="G803" s="551"/>
      <c r="H803" s="551"/>
      <c r="I803" s="551"/>
      <c r="J803" s="551"/>
      <c r="K803" s="551"/>
      <c r="L803" s="551"/>
      <c r="M803" s="551"/>
      <c r="N803" s="551"/>
      <c r="O803" s="551"/>
      <c r="P803" s="551"/>
      <c r="Q803" s="551"/>
      <c r="R803" s="551"/>
      <c r="S803" s="551"/>
      <c r="T803" s="551"/>
      <c r="U803" s="551"/>
      <c r="V803" s="551"/>
      <c r="W803" s="551"/>
      <c r="X803" s="551"/>
      <c r="Y803" s="551"/>
      <c r="Z803" s="551"/>
      <c r="AA803" s="551"/>
      <c r="AB803" s="551"/>
      <c r="AC803" s="551"/>
      <c r="AD803" s="551"/>
      <c r="AE803" s="551"/>
      <c r="AF803" s="551"/>
      <c r="AG803" s="551"/>
      <c r="AH803" s="551"/>
      <c r="AI803" s="551"/>
      <c r="AJ803" s="551"/>
      <c r="AK803" s="551"/>
      <c r="AL803" s="551"/>
      <c r="AM803" s="551"/>
      <c r="AN803" s="551"/>
      <c r="AO803" s="551"/>
      <c r="AP803" s="551"/>
      <c r="AQ803" s="551"/>
      <c r="AR803" s="551"/>
      <c r="AS803" s="551"/>
      <c r="AT803" s="551"/>
      <c r="AU803" s="551"/>
      <c r="AV803" s="551"/>
      <c r="AW803" s="551"/>
      <c r="AX803" s="551"/>
      <c r="AY803" s="551"/>
      <c r="AZ803" s="551"/>
      <c r="BA803" s="551"/>
      <c r="BB803" s="551"/>
      <c r="BC803" s="551"/>
      <c r="BD803" s="551"/>
      <c r="BE803" s="551"/>
      <c r="BF803" s="551"/>
      <c r="BG803" s="551"/>
      <c r="BH803" s="551"/>
      <c r="BI803" s="551"/>
      <c r="BJ803" s="551"/>
      <c r="BK803" s="551"/>
    </row>
    <row r="804" spans="1:63" ht="12.75" customHeight="1">
      <c r="A804" s="551"/>
      <c r="B804" s="551"/>
      <c r="C804" s="551"/>
      <c r="D804" s="551"/>
      <c r="E804" s="551"/>
      <c r="F804" s="551"/>
      <c r="G804" s="551"/>
      <c r="H804" s="551"/>
      <c r="I804" s="551"/>
      <c r="J804" s="551"/>
      <c r="K804" s="551"/>
      <c r="L804" s="551"/>
      <c r="M804" s="551"/>
      <c r="N804" s="551"/>
      <c r="O804" s="551"/>
      <c r="P804" s="551"/>
      <c r="Q804" s="551"/>
      <c r="R804" s="551"/>
      <c r="S804" s="551"/>
      <c r="T804" s="551"/>
      <c r="U804" s="551"/>
      <c r="V804" s="551"/>
      <c r="W804" s="551"/>
      <c r="X804" s="551"/>
      <c r="Y804" s="551"/>
      <c r="Z804" s="551"/>
      <c r="AA804" s="551"/>
      <c r="AB804" s="551"/>
      <c r="AC804" s="551"/>
      <c r="AD804" s="551"/>
      <c r="AE804" s="551"/>
      <c r="AF804" s="551"/>
      <c r="AG804" s="551"/>
      <c r="AH804" s="551"/>
      <c r="AI804" s="551"/>
      <c r="AJ804" s="551"/>
      <c r="AK804" s="551"/>
      <c r="AL804" s="551"/>
      <c r="AM804" s="551"/>
      <c r="AN804" s="551"/>
      <c r="AO804" s="551"/>
      <c r="AP804" s="551"/>
      <c r="AQ804" s="551"/>
      <c r="AR804" s="551"/>
      <c r="AS804" s="551"/>
      <c r="AT804" s="551"/>
      <c r="AU804" s="551"/>
      <c r="AV804" s="551"/>
      <c r="AW804" s="551"/>
      <c r="AX804" s="551"/>
      <c r="AY804" s="551"/>
      <c r="AZ804" s="551"/>
      <c r="BA804" s="551"/>
      <c r="BB804" s="551"/>
      <c r="BC804" s="551"/>
      <c r="BD804" s="551"/>
      <c r="BE804" s="551"/>
      <c r="BF804" s="551"/>
      <c r="BG804" s="551"/>
      <c r="BH804" s="551"/>
      <c r="BI804" s="551"/>
      <c r="BJ804" s="551"/>
      <c r="BK804" s="551"/>
    </row>
    <row r="805" spans="1:63" ht="12.75" customHeight="1">
      <c r="A805" s="551"/>
      <c r="B805" s="551"/>
      <c r="C805" s="551"/>
      <c r="D805" s="551"/>
      <c r="E805" s="551"/>
      <c r="F805" s="551"/>
      <c r="G805" s="551"/>
      <c r="H805" s="551"/>
      <c r="I805" s="551"/>
      <c r="J805" s="551"/>
      <c r="K805" s="551"/>
      <c r="L805" s="551"/>
      <c r="M805" s="551"/>
      <c r="N805" s="551"/>
      <c r="O805" s="551"/>
      <c r="P805" s="551"/>
      <c r="Q805" s="551"/>
      <c r="R805" s="551"/>
      <c r="S805" s="551"/>
      <c r="T805" s="551"/>
      <c r="U805" s="551"/>
      <c r="V805" s="551"/>
      <c r="W805" s="551"/>
      <c r="X805" s="551"/>
      <c r="Y805" s="551"/>
      <c r="Z805" s="551"/>
      <c r="AA805" s="551"/>
      <c r="AB805" s="551"/>
      <c r="AC805" s="551"/>
      <c r="AD805" s="551"/>
      <c r="AE805" s="551"/>
      <c r="AF805" s="551"/>
      <c r="AG805" s="551"/>
      <c r="AH805" s="551"/>
      <c r="AI805" s="551"/>
      <c r="AJ805" s="551"/>
      <c r="AK805" s="551"/>
      <c r="AL805" s="551"/>
      <c r="AM805" s="551"/>
      <c r="AN805" s="551"/>
      <c r="AO805" s="551"/>
      <c r="AP805" s="551"/>
      <c r="AQ805" s="551"/>
      <c r="AR805" s="551"/>
      <c r="AS805" s="551"/>
      <c r="AT805" s="551"/>
      <c r="AU805" s="551"/>
      <c r="AV805" s="551"/>
      <c r="AW805" s="551"/>
      <c r="AX805" s="551"/>
      <c r="AY805" s="551"/>
      <c r="AZ805" s="551"/>
      <c r="BA805" s="551"/>
      <c r="BB805" s="551"/>
      <c r="BC805" s="551"/>
      <c r="BD805" s="551"/>
      <c r="BE805" s="551"/>
      <c r="BF805" s="551"/>
      <c r="BG805" s="551"/>
      <c r="BH805" s="551"/>
      <c r="BI805" s="551"/>
      <c r="BJ805" s="551"/>
      <c r="BK805" s="551"/>
    </row>
    <row r="806" spans="1:63" ht="12.75" customHeight="1">
      <c r="A806" s="551"/>
      <c r="B806" s="551"/>
      <c r="C806" s="551"/>
      <c r="D806" s="551"/>
      <c r="E806" s="551"/>
      <c r="F806" s="551"/>
      <c r="G806" s="551"/>
      <c r="H806" s="551"/>
      <c r="I806" s="551"/>
      <c r="J806" s="551"/>
      <c r="K806" s="551"/>
      <c r="L806" s="551"/>
      <c r="M806" s="551"/>
      <c r="N806" s="551"/>
      <c r="O806" s="551"/>
      <c r="P806" s="551"/>
      <c r="Q806" s="551"/>
      <c r="R806" s="551"/>
      <c r="S806" s="551"/>
      <c r="T806" s="551"/>
      <c r="U806" s="551"/>
      <c r="V806" s="551"/>
      <c r="W806" s="551"/>
      <c r="X806" s="551"/>
      <c r="Y806" s="551"/>
      <c r="Z806" s="551"/>
      <c r="AA806" s="551"/>
      <c r="AB806" s="551"/>
      <c r="AC806" s="551"/>
      <c r="AD806" s="551"/>
      <c r="AE806" s="551"/>
      <c r="AF806" s="551"/>
      <c r="AG806" s="551"/>
      <c r="AH806" s="551"/>
      <c r="AI806" s="551"/>
      <c r="AJ806" s="551"/>
      <c r="AK806" s="551"/>
      <c r="AL806" s="551"/>
      <c r="AM806" s="551"/>
      <c r="AN806" s="551"/>
      <c r="AO806" s="551"/>
      <c r="AP806" s="551"/>
      <c r="AQ806" s="551"/>
      <c r="AR806" s="551"/>
      <c r="AS806" s="551"/>
      <c r="AT806" s="551"/>
      <c r="AU806" s="551"/>
      <c r="AV806" s="551"/>
      <c r="AW806" s="551"/>
      <c r="AX806" s="551"/>
      <c r="AY806" s="551"/>
      <c r="AZ806" s="551"/>
      <c r="BA806" s="551"/>
      <c r="BB806" s="551"/>
      <c r="BC806" s="551"/>
      <c r="BD806" s="551"/>
      <c r="BE806" s="551"/>
      <c r="BF806" s="551"/>
      <c r="BG806" s="551"/>
      <c r="BH806" s="551"/>
      <c r="BI806" s="551"/>
      <c r="BJ806" s="551"/>
      <c r="BK806" s="551"/>
    </row>
    <row r="807" spans="1:63" ht="12.75" customHeight="1">
      <c r="A807" s="551"/>
      <c r="B807" s="551"/>
      <c r="C807" s="551"/>
      <c r="D807" s="551"/>
      <c r="E807" s="551"/>
      <c r="F807" s="551"/>
      <c r="G807" s="551"/>
      <c r="H807" s="551"/>
      <c r="I807" s="551"/>
      <c r="J807" s="551"/>
      <c r="K807" s="551"/>
      <c r="L807" s="551"/>
      <c r="M807" s="551"/>
      <c r="N807" s="551"/>
      <c r="O807" s="551"/>
      <c r="P807" s="551"/>
      <c r="Q807" s="551"/>
      <c r="R807" s="551"/>
      <c r="S807" s="551"/>
      <c r="T807" s="551"/>
      <c r="U807" s="551"/>
      <c r="V807" s="551"/>
      <c r="W807" s="551"/>
      <c r="X807" s="551"/>
      <c r="Y807" s="551"/>
      <c r="Z807" s="551"/>
      <c r="AA807" s="551"/>
      <c r="AB807" s="551"/>
      <c r="AC807" s="551"/>
      <c r="AD807" s="551"/>
      <c r="AE807" s="551"/>
      <c r="AF807" s="551"/>
      <c r="AG807" s="551"/>
      <c r="AH807" s="551"/>
      <c r="AI807" s="551"/>
      <c r="AJ807" s="551"/>
      <c r="AK807" s="551"/>
      <c r="AL807" s="551"/>
      <c r="AM807" s="551"/>
      <c r="AN807" s="551"/>
      <c r="AO807" s="551"/>
      <c r="AP807" s="551"/>
      <c r="AQ807" s="551"/>
      <c r="AR807" s="551"/>
      <c r="AS807" s="551"/>
      <c r="AT807" s="551"/>
      <c r="AU807" s="551"/>
      <c r="AV807" s="551"/>
      <c r="AW807" s="551"/>
      <c r="AX807" s="551"/>
      <c r="AY807" s="551"/>
      <c r="AZ807" s="551"/>
      <c r="BA807" s="551"/>
      <c r="BB807" s="551"/>
      <c r="BC807" s="551"/>
      <c r="BD807" s="551"/>
      <c r="BE807" s="551"/>
      <c r="BF807" s="551"/>
      <c r="BG807" s="551"/>
      <c r="BH807" s="551"/>
      <c r="BI807" s="551"/>
      <c r="BJ807" s="551"/>
      <c r="BK807" s="551"/>
    </row>
    <row r="808" spans="1:63" ht="12.75" customHeight="1">
      <c r="A808" s="551"/>
      <c r="B808" s="551"/>
      <c r="C808" s="551"/>
      <c r="D808" s="551"/>
      <c r="E808" s="551"/>
      <c r="F808" s="551"/>
      <c r="G808" s="551"/>
      <c r="H808" s="551"/>
      <c r="I808" s="551"/>
      <c r="J808" s="551"/>
      <c r="K808" s="551"/>
      <c r="L808" s="551"/>
      <c r="M808" s="551"/>
      <c r="N808" s="551"/>
      <c r="O808" s="551"/>
      <c r="P808" s="551"/>
      <c r="Q808" s="551"/>
      <c r="R808" s="551"/>
      <c r="S808" s="551"/>
      <c r="T808" s="551"/>
      <c r="U808" s="551"/>
      <c r="V808" s="551"/>
      <c r="W808" s="551"/>
      <c r="X808" s="551"/>
      <c r="Y808" s="551"/>
      <c r="Z808" s="551"/>
      <c r="AA808" s="551"/>
      <c r="AB808" s="551"/>
      <c r="AC808" s="551"/>
      <c r="AD808" s="551"/>
      <c r="AE808" s="551"/>
      <c r="AF808" s="551"/>
      <c r="AG808" s="551"/>
      <c r="AH808" s="551"/>
      <c r="AI808" s="551"/>
      <c r="AJ808" s="551"/>
      <c r="AK808" s="551"/>
      <c r="AL808" s="551"/>
      <c r="AM808" s="551"/>
      <c r="AN808" s="551"/>
      <c r="AO808" s="551"/>
      <c r="AP808" s="551"/>
      <c r="AQ808" s="551"/>
      <c r="AR808" s="551"/>
      <c r="AS808" s="551"/>
      <c r="AT808" s="551"/>
      <c r="AU808" s="551"/>
      <c r="AV808" s="551"/>
      <c r="AW808" s="551"/>
      <c r="AX808" s="551"/>
      <c r="AY808" s="551"/>
      <c r="AZ808" s="551"/>
      <c r="BA808" s="551"/>
      <c r="BB808" s="551"/>
      <c r="BC808" s="551"/>
      <c r="BD808" s="551"/>
      <c r="BE808" s="551"/>
      <c r="BF808" s="551"/>
      <c r="BG808" s="551"/>
      <c r="BH808" s="551"/>
      <c r="BI808" s="551"/>
      <c r="BJ808" s="551"/>
      <c r="BK808" s="551"/>
    </row>
    <row r="809" spans="1:63" ht="12.75" customHeight="1">
      <c r="A809" s="551"/>
      <c r="B809" s="551"/>
      <c r="C809" s="551"/>
      <c r="D809" s="551"/>
      <c r="E809" s="551"/>
      <c r="F809" s="551"/>
      <c r="G809" s="551"/>
      <c r="H809" s="551"/>
      <c r="I809" s="551"/>
      <c r="J809" s="551"/>
      <c r="K809" s="551"/>
      <c r="L809" s="551"/>
      <c r="M809" s="551"/>
      <c r="N809" s="551"/>
      <c r="O809" s="551"/>
      <c r="P809" s="551"/>
      <c r="Q809" s="551"/>
      <c r="R809" s="551"/>
      <c r="S809" s="551"/>
      <c r="T809" s="551"/>
      <c r="U809" s="551"/>
      <c r="V809" s="551"/>
      <c r="W809" s="551"/>
      <c r="X809" s="551"/>
      <c r="Y809" s="551"/>
      <c r="Z809" s="551"/>
      <c r="AA809" s="551"/>
      <c r="AB809" s="551"/>
      <c r="AC809" s="551"/>
      <c r="AD809" s="551"/>
      <c r="AE809" s="551"/>
      <c r="AF809" s="551"/>
      <c r="AG809" s="551"/>
      <c r="AH809" s="551"/>
      <c r="AI809" s="551"/>
      <c r="AJ809" s="551"/>
      <c r="AK809" s="551"/>
      <c r="AL809" s="551"/>
      <c r="AM809" s="551"/>
      <c r="AN809" s="551"/>
      <c r="AO809" s="551"/>
      <c r="AP809" s="551"/>
      <c r="AQ809" s="551"/>
      <c r="AR809" s="551"/>
      <c r="AS809" s="551"/>
      <c r="AT809" s="551"/>
      <c r="AU809" s="551"/>
      <c r="AV809" s="551"/>
      <c r="AW809" s="551"/>
      <c r="AX809" s="551"/>
      <c r="AY809" s="551"/>
      <c r="AZ809" s="551"/>
      <c r="BA809" s="551"/>
      <c r="BB809" s="551"/>
      <c r="BC809" s="551"/>
      <c r="BD809" s="551"/>
      <c r="BE809" s="551"/>
      <c r="BF809" s="551"/>
      <c r="BG809" s="551"/>
      <c r="BH809" s="551"/>
      <c r="BI809" s="551"/>
      <c r="BJ809" s="551"/>
      <c r="BK809" s="551"/>
    </row>
    <row r="810" spans="1:63" ht="12.75" customHeight="1">
      <c r="A810" s="551"/>
      <c r="B810" s="551"/>
      <c r="C810" s="551"/>
      <c r="D810" s="551"/>
      <c r="E810" s="551"/>
      <c r="F810" s="551"/>
      <c r="G810" s="551"/>
      <c r="H810" s="551"/>
      <c r="I810" s="551"/>
      <c r="J810" s="551"/>
      <c r="K810" s="551"/>
      <c r="L810" s="551"/>
      <c r="M810" s="551"/>
      <c r="N810" s="551"/>
      <c r="O810" s="551"/>
      <c r="P810" s="551"/>
      <c r="Q810" s="551"/>
      <c r="R810" s="551"/>
      <c r="S810" s="551"/>
      <c r="T810" s="551"/>
      <c r="U810" s="551"/>
      <c r="V810" s="551"/>
      <c r="W810" s="551"/>
      <c r="X810" s="551"/>
      <c r="Y810" s="551"/>
      <c r="Z810" s="551"/>
      <c r="AA810" s="551"/>
      <c r="AB810" s="551"/>
      <c r="AC810" s="551"/>
      <c r="AD810" s="551"/>
      <c r="AE810" s="551"/>
      <c r="AF810" s="551"/>
      <c r="AG810" s="551"/>
      <c r="AH810" s="551"/>
      <c r="AI810" s="551"/>
      <c r="AJ810" s="551"/>
      <c r="AK810" s="551"/>
      <c r="AL810" s="551"/>
      <c r="AM810" s="551"/>
      <c r="AN810" s="551"/>
      <c r="AO810" s="551"/>
      <c r="AP810" s="551"/>
      <c r="AQ810" s="551"/>
      <c r="AR810" s="551"/>
      <c r="AS810" s="551"/>
      <c r="AT810" s="551"/>
      <c r="AU810" s="551"/>
      <c r="AV810" s="551"/>
      <c r="AW810" s="551"/>
      <c r="AX810" s="551"/>
      <c r="AY810" s="551"/>
      <c r="AZ810" s="551"/>
      <c r="BA810" s="551"/>
      <c r="BB810" s="551"/>
      <c r="BC810" s="551"/>
      <c r="BD810" s="551"/>
      <c r="BE810" s="551"/>
      <c r="BF810" s="551"/>
      <c r="BG810" s="551"/>
      <c r="BH810" s="551"/>
      <c r="BI810" s="551"/>
      <c r="BJ810" s="551"/>
      <c r="BK810" s="551"/>
    </row>
    <row r="811" spans="1:63" ht="12.75" customHeight="1">
      <c r="A811" s="551"/>
      <c r="B811" s="551"/>
      <c r="C811" s="551"/>
      <c r="D811" s="551"/>
      <c r="E811" s="551"/>
      <c r="F811" s="551"/>
      <c r="G811" s="551"/>
      <c r="H811" s="551"/>
      <c r="I811" s="551"/>
      <c r="J811" s="551"/>
      <c r="K811" s="551"/>
      <c r="L811" s="551"/>
      <c r="M811" s="551"/>
      <c r="N811" s="551"/>
      <c r="O811" s="551"/>
      <c r="P811" s="551"/>
      <c r="Q811" s="551"/>
      <c r="R811" s="551"/>
      <c r="S811" s="551"/>
      <c r="T811" s="551"/>
      <c r="U811" s="551"/>
      <c r="V811" s="551"/>
      <c r="W811" s="551"/>
      <c r="X811" s="551"/>
      <c r="Y811" s="551"/>
      <c r="Z811" s="551"/>
      <c r="AA811" s="551"/>
      <c r="AB811" s="551"/>
      <c r="AC811" s="551"/>
      <c r="AD811" s="551"/>
      <c r="AE811" s="551"/>
      <c r="AF811" s="551"/>
      <c r="AG811" s="551"/>
      <c r="AH811" s="551"/>
      <c r="AI811" s="551"/>
      <c r="AJ811" s="551"/>
      <c r="AK811" s="551"/>
      <c r="AL811" s="551"/>
      <c r="AM811" s="551"/>
      <c r="AN811" s="551"/>
      <c r="AO811" s="551"/>
      <c r="AP811" s="551"/>
      <c r="AQ811" s="551"/>
      <c r="AR811" s="551"/>
      <c r="AS811" s="551"/>
      <c r="AT811" s="551"/>
      <c r="AU811" s="551"/>
      <c r="AV811" s="551"/>
      <c r="AW811" s="551"/>
      <c r="AX811" s="551"/>
      <c r="AY811" s="551"/>
      <c r="AZ811" s="551"/>
      <c r="BA811" s="551"/>
      <c r="BB811" s="551"/>
      <c r="BC811" s="551"/>
      <c r="BD811" s="551"/>
      <c r="BE811" s="551"/>
      <c r="BF811" s="551"/>
      <c r="BG811" s="551"/>
      <c r="BH811" s="551"/>
      <c r="BI811" s="551"/>
      <c r="BJ811" s="551"/>
      <c r="BK811" s="551"/>
    </row>
    <row r="812" spans="1:63" ht="12.75" customHeight="1">
      <c r="A812" s="551"/>
      <c r="B812" s="551"/>
      <c r="C812" s="551"/>
      <c r="D812" s="551"/>
      <c r="E812" s="551"/>
      <c r="F812" s="551"/>
      <c r="G812" s="551"/>
      <c r="H812" s="551"/>
      <c r="I812" s="551"/>
      <c r="J812" s="551"/>
      <c r="K812" s="551"/>
      <c r="L812" s="551"/>
      <c r="M812" s="551"/>
      <c r="N812" s="551"/>
      <c r="O812" s="551"/>
      <c r="P812" s="551"/>
      <c r="Q812" s="551"/>
      <c r="R812" s="551"/>
      <c r="S812" s="551"/>
      <c r="T812" s="551"/>
      <c r="U812" s="551"/>
      <c r="V812" s="551"/>
      <c r="W812" s="551"/>
      <c r="X812" s="551"/>
      <c r="Y812" s="551"/>
      <c r="Z812" s="551"/>
      <c r="AA812" s="551"/>
      <c r="AB812" s="551"/>
      <c r="AC812" s="551"/>
      <c r="AD812" s="551"/>
      <c r="AE812" s="551"/>
      <c r="AF812" s="551"/>
      <c r="AG812" s="551"/>
      <c r="AH812" s="551"/>
      <c r="AI812" s="551"/>
      <c r="AJ812" s="551"/>
      <c r="AK812" s="551"/>
      <c r="AL812" s="551"/>
      <c r="AM812" s="551"/>
      <c r="AN812" s="551"/>
      <c r="AO812" s="551"/>
      <c r="AP812" s="551"/>
      <c r="AQ812" s="551"/>
      <c r="AR812" s="551"/>
      <c r="AS812" s="551"/>
      <c r="AT812" s="551"/>
      <c r="AU812" s="551"/>
      <c r="AV812" s="551"/>
      <c r="AW812" s="551"/>
      <c r="AX812" s="551"/>
      <c r="AY812" s="551"/>
      <c r="AZ812" s="551"/>
      <c r="BA812" s="551"/>
      <c r="BB812" s="551"/>
      <c r="BC812" s="551"/>
      <c r="BD812" s="551"/>
      <c r="BE812" s="551"/>
      <c r="BF812" s="551"/>
      <c r="BG812" s="551"/>
      <c r="BH812" s="551"/>
      <c r="BI812" s="551"/>
      <c r="BJ812" s="551"/>
      <c r="BK812" s="551"/>
    </row>
    <row r="813" spans="1:63" ht="12.75" customHeight="1">
      <c r="A813" s="551"/>
      <c r="B813" s="551"/>
      <c r="C813" s="551"/>
      <c r="D813" s="551"/>
      <c r="E813" s="551"/>
      <c r="F813" s="551"/>
      <c r="G813" s="551"/>
      <c r="H813" s="551"/>
      <c r="I813" s="551"/>
      <c r="J813" s="551"/>
      <c r="K813" s="551"/>
      <c r="L813" s="551"/>
      <c r="M813" s="551"/>
      <c r="N813" s="551"/>
      <c r="O813" s="551"/>
      <c r="P813" s="551"/>
      <c r="Q813" s="551"/>
      <c r="R813" s="551"/>
      <c r="S813" s="551"/>
      <c r="T813" s="551"/>
      <c r="U813" s="551"/>
      <c r="V813" s="551"/>
      <c r="W813" s="551"/>
      <c r="X813" s="551"/>
      <c r="Y813" s="551"/>
      <c r="Z813" s="551"/>
      <c r="AA813" s="551"/>
      <c r="AB813" s="551"/>
      <c r="AC813" s="551"/>
      <c r="AD813" s="551"/>
      <c r="AE813" s="551"/>
      <c r="AF813" s="551"/>
      <c r="AG813" s="551"/>
      <c r="AH813" s="551"/>
      <c r="AI813" s="551"/>
      <c r="AJ813" s="551"/>
      <c r="AK813" s="551"/>
      <c r="AL813" s="551"/>
      <c r="AM813" s="551"/>
      <c r="AN813" s="551"/>
      <c r="AO813" s="551"/>
      <c r="AP813" s="551"/>
      <c r="AQ813" s="551"/>
      <c r="AR813" s="551"/>
      <c r="AS813" s="551"/>
      <c r="AT813" s="551"/>
      <c r="AU813" s="551"/>
      <c r="AV813" s="551"/>
      <c r="AW813" s="551"/>
      <c r="AX813" s="551"/>
      <c r="AY813" s="551"/>
      <c r="AZ813" s="551"/>
      <c r="BA813" s="551"/>
      <c r="BB813" s="551"/>
      <c r="BC813" s="551"/>
      <c r="BD813" s="551"/>
      <c r="BE813" s="551"/>
      <c r="BF813" s="551"/>
      <c r="BG813" s="551"/>
      <c r="BH813" s="551"/>
      <c r="BI813" s="551"/>
      <c r="BJ813" s="551"/>
      <c r="BK813" s="551"/>
    </row>
    <row r="814" spans="1:63" ht="12.75" customHeight="1">
      <c r="A814" s="551"/>
      <c r="B814" s="551"/>
      <c r="C814" s="551"/>
      <c r="D814" s="551"/>
      <c r="E814" s="551"/>
      <c r="F814" s="551"/>
      <c r="G814" s="551"/>
      <c r="H814" s="551"/>
      <c r="I814" s="551"/>
      <c r="J814" s="551"/>
      <c r="K814" s="551"/>
      <c r="L814" s="551"/>
      <c r="M814" s="551"/>
      <c r="N814" s="551"/>
      <c r="O814" s="551"/>
      <c r="P814" s="551"/>
      <c r="Q814" s="551"/>
      <c r="R814" s="551"/>
      <c r="S814" s="551"/>
      <c r="T814" s="551"/>
      <c r="U814" s="551"/>
      <c r="V814" s="551"/>
      <c r="W814" s="551"/>
      <c r="X814" s="551"/>
      <c r="Y814" s="551"/>
      <c r="Z814" s="551"/>
      <c r="AA814" s="551"/>
      <c r="AB814" s="551"/>
      <c r="AC814" s="551"/>
      <c r="AD814" s="551"/>
      <c r="AE814" s="551"/>
      <c r="AF814" s="551"/>
      <c r="AG814" s="551"/>
      <c r="AH814" s="551"/>
      <c r="AI814" s="551"/>
      <c r="AJ814" s="551"/>
      <c r="AK814" s="551"/>
      <c r="AL814" s="551"/>
      <c r="AM814" s="551"/>
      <c r="AN814" s="551"/>
      <c r="AO814" s="551"/>
      <c r="AP814" s="551"/>
      <c r="AQ814" s="551"/>
      <c r="AR814" s="551"/>
      <c r="AS814" s="551"/>
      <c r="AT814" s="551"/>
      <c r="AU814" s="551"/>
      <c r="AV814" s="551"/>
      <c r="AW814" s="551"/>
      <c r="AX814" s="551"/>
      <c r="AY814" s="551"/>
      <c r="AZ814" s="551"/>
      <c r="BA814" s="551"/>
      <c r="BB814" s="551"/>
      <c r="BC814" s="551"/>
      <c r="BD814" s="551"/>
      <c r="BE814" s="551"/>
      <c r="BF814" s="551"/>
      <c r="BG814" s="551"/>
      <c r="BH814" s="551"/>
      <c r="BI814" s="551"/>
      <c r="BJ814" s="551"/>
      <c r="BK814" s="551"/>
    </row>
    <row r="815" spans="1:63" ht="12.75" customHeight="1">
      <c r="A815" s="551"/>
      <c r="B815" s="551"/>
      <c r="C815" s="551"/>
      <c r="D815" s="551"/>
      <c r="E815" s="551"/>
      <c r="F815" s="551"/>
      <c r="G815" s="551"/>
      <c r="H815" s="551"/>
      <c r="I815" s="551"/>
      <c r="J815" s="551"/>
      <c r="K815" s="551"/>
      <c r="L815" s="551"/>
      <c r="M815" s="551"/>
      <c r="N815" s="551"/>
      <c r="O815" s="551"/>
      <c r="P815" s="551"/>
      <c r="Q815" s="551"/>
      <c r="R815" s="551"/>
      <c r="S815" s="551"/>
      <c r="T815" s="551"/>
      <c r="U815" s="551"/>
      <c r="V815" s="551"/>
      <c r="W815" s="551"/>
      <c r="X815" s="551"/>
      <c r="Y815" s="551"/>
      <c r="Z815" s="551"/>
      <c r="AA815" s="551"/>
      <c r="AB815" s="551"/>
      <c r="AC815" s="551"/>
      <c r="AD815" s="551"/>
      <c r="AE815" s="551"/>
      <c r="AF815" s="551"/>
      <c r="AG815" s="551"/>
      <c r="AH815" s="551"/>
      <c r="AI815" s="551"/>
      <c r="AJ815" s="551"/>
      <c r="AK815" s="551"/>
      <c r="AL815" s="551"/>
      <c r="AM815" s="551"/>
      <c r="AN815" s="551"/>
      <c r="AO815" s="551"/>
      <c r="AP815" s="551"/>
      <c r="AQ815" s="551"/>
      <c r="AR815" s="551"/>
      <c r="AS815" s="551"/>
      <c r="AT815" s="551"/>
      <c r="AU815" s="551"/>
      <c r="AV815" s="551"/>
      <c r="AW815" s="551"/>
      <c r="AX815" s="551"/>
      <c r="AY815" s="551"/>
      <c r="AZ815" s="551"/>
      <c r="BA815" s="551"/>
      <c r="BB815" s="551"/>
      <c r="BC815" s="551"/>
      <c r="BD815" s="551"/>
      <c r="BE815" s="551"/>
      <c r="BF815" s="551"/>
      <c r="BG815" s="551"/>
      <c r="BH815" s="551"/>
      <c r="BI815" s="551"/>
      <c r="BJ815" s="551"/>
      <c r="BK815" s="551"/>
    </row>
    <row r="816" spans="1:63" ht="12.75" customHeight="1">
      <c r="A816" s="551"/>
      <c r="B816" s="551"/>
      <c r="C816" s="551"/>
      <c r="D816" s="551"/>
      <c r="E816" s="551"/>
      <c r="F816" s="551"/>
      <c r="G816" s="551"/>
      <c r="H816" s="551"/>
      <c r="I816" s="551"/>
      <c r="J816" s="551"/>
      <c r="K816" s="551"/>
      <c r="L816" s="551"/>
      <c r="M816" s="551"/>
      <c r="N816" s="551"/>
      <c r="O816" s="551"/>
      <c r="P816" s="551"/>
      <c r="Q816" s="551"/>
      <c r="R816" s="551"/>
      <c r="S816" s="551"/>
      <c r="T816" s="551"/>
      <c r="U816" s="551"/>
      <c r="V816" s="551"/>
      <c r="W816" s="551"/>
      <c r="X816" s="551"/>
      <c r="Y816" s="551"/>
      <c r="Z816" s="551"/>
      <c r="AA816" s="551"/>
      <c r="AB816" s="551"/>
      <c r="AC816" s="551"/>
      <c r="AD816" s="551"/>
      <c r="AE816" s="551"/>
      <c r="AF816" s="551"/>
      <c r="AG816" s="551"/>
      <c r="AH816" s="551"/>
      <c r="AI816" s="551"/>
      <c r="AJ816" s="551"/>
      <c r="AK816" s="551"/>
      <c r="AL816" s="551"/>
      <c r="AM816" s="551"/>
      <c r="AN816" s="551"/>
      <c r="AO816" s="551"/>
      <c r="AP816" s="551"/>
      <c r="AQ816" s="551"/>
      <c r="AR816" s="551"/>
      <c r="AS816" s="551"/>
      <c r="AT816" s="551"/>
      <c r="AU816" s="551"/>
      <c r="AV816" s="551"/>
      <c r="AW816" s="551"/>
      <c r="AX816" s="551"/>
      <c r="AY816" s="551"/>
      <c r="AZ816" s="551"/>
      <c r="BA816" s="551"/>
      <c r="BB816" s="551"/>
      <c r="BC816" s="551"/>
      <c r="BD816" s="551"/>
      <c r="BE816" s="551"/>
      <c r="BF816" s="551"/>
      <c r="BG816" s="551"/>
      <c r="BH816" s="551"/>
      <c r="BI816" s="551"/>
      <c r="BJ816" s="551"/>
      <c r="BK816" s="551"/>
    </row>
    <row r="817" spans="1:63" ht="12.75" customHeight="1">
      <c r="A817" s="551"/>
      <c r="B817" s="551"/>
      <c r="C817" s="551"/>
      <c r="D817" s="551"/>
      <c r="E817" s="551"/>
      <c r="F817" s="551"/>
      <c r="G817" s="551"/>
      <c r="H817" s="551"/>
      <c r="I817" s="551"/>
      <c r="J817" s="551"/>
      <c r="K817" s="551"/>
      <c r="L817" s="551"/>
      <c r="M817" s="551"/>
      <c r="N817" s="551"/>
      <c r="O817" s="551"/>
      <c r="P817" s="551"/>
      <c r="Q817" s="551"/>
      <c r="R817" s="551"/>
      <c r="S817" s="551"/>
      <c r="T817" s="551"/>
      <c r="U817" s="551"/>
      <c r="V817" s="551"/>
      <c r="W817" s="551"/>
      <c r="X817" s="551"/>
      <c r="Y817" s="551"/>
      <c r="Z817" s="551"/>
      <c r="AA817" s="551"/>
      <c r="AB817" s="551"/>
      <c r="AC817" s="551"/>
      <c r="AD817" s="551"/>
      <c r="AE817" s="551"/>
      <c r="AF817" s="551"/>
      <c r="AG817" s="551"/>
      <c r="AH817" s="551"/>
      <c r="AI817" s="551"/>
      <c r="AJ817" s="551"/>
      <c r="AK817" s="551"/>
      <c r="AL817" s="551"/>
      <c r="AM817" s="551"/>
      <c r="AN817" s="551"/>
      <c r="AO817" s="551"/>
      <c r="AP817" s="551"/>
      <c r="AQ817" s="551"/>
      <c r="AR817" s="551"/>
      <c r="AS817" s="551"/>
      <c r="AT817" s="551"/>
      <c r="AU817" s="551"/>
      <c r="AV817" s="551"/>
      <c r="AW817" s="551"/>
      <c r="AX817" s="551"/>
      <c r="AY817" s="551"/>
      <c r="AZ817" s="551"/>
      <c r="BA817" s="551"/>
      <c r="BB817" s="551"/>
      <c r="BC817" s="551"/>
      <c r="BD817" s="551"/>
      <c r="BE817" s="551"/>
      <c r="BF817" s="551"/>
      <c r="BG817" s="551"/>
      <c r="BH817" s="551"/>
      <c r="BI817" s="551"/>
      <c r="BJ817" s="551"/>
      <c r="BK817" s="551"/>
    </row>
    <row r="818" spans="1:63" ht="12.75" customHeight="1">
      <c r="A818" s="551"/>
      <c r="B818" s="551"/>
      <c r="C818" s="551"/>
      <c r="D818" s="551"/>
      <c r="E818" s="551"/>
      <c r="F818" s="551"/>
      <c r="G818" s="551"/>
      <c r="H818" s="551"/>
      <c r="I818" s="551"/>
      <c r="J818" s="551"/>
      <c r="K818" s="551"/>
      <c r="L818" s="551"/>
      <c r="M818" s="551"/>
      <c r="N818" s="551"/>
      <c r="O818" s="551"/>
      <c r="P818" s="551"/>
      <c r="Q818" s="551"/>
      <c r="R818" s="551"/>
      <c r="S818" s="551"/>
      <c r="T818" s="551"/>
      <c r="U818" s="551"/>
      <c r="V818" s="551"/>
      <c r="W818" s="551"/>
      <c r="X818" s="551"/>
      <c r="Y818" s="551"/>
      <c r="Z818" s="551"/>
      <c r="AA818" s="551"/>
      <c r="AB818" s="551"/>
      <c r="AC818" s="551"/>
      <c r="AD818" s="551"/>
      <c r="AE818" s="551"/>
      <c r="AF818" s="551"/>
      <c r="AG818" s="551"/>
      <c r="AH818" s="551"/>
      <c r="AI818" s="551"/>
      <c r="AJ818" s="551"/>
      <c r="AK818" s="551"/>
      <c r="AL818" s="551"/>
      <c r="AM818" s="551"/>
      <c r="AN818" s="551"/>
      <c r="AO818" s="551"/>
      <c r="AP818" s="551"/>
      <c r="AQ818" s="551"/>
      <c r="AR818" s="551"/>
      <c r="AS818" s="551"/>
      <c r="AT818" s="551"/>
      <c r="AU818" s="551"/>
      <c r="AV818" s="551"/>
      <c r="AW818" s="551"/>
      <c r="AX818" s="551"/>
      <c r="AY818" s="551"/>
      <c r="AZ818" s="551"/>
      <c r="BA818" s="551"/>
      <c r="BB818" s="551"/>
      <c r="BC818" s="551"/>
      <c r="BD818" s="551"/>
      <c r="BE818" s="551"/>
      <c r="BF818" s="551"/>
      <c r="BG818" s="551"/>
      <c r="BH818" s="551"/>
      <c r="BI818" s="551"/>
      <c r="BJ818" s="551"/>
      <c r="BK818" s="551"/>
    </row>
    <row r="819" spans="1:63" ht="12.75" customHeight="1">
      <c r="A819" s="551"/>
      <c r="B819" s="551"/>
      <c r="C819" s="551"/>
      <c r="D819" s="551"/>
      <c r="E819" s="551"/>
      <c r="F819" s="551"/>
      <c r="G819" s="551"/>
      <c r="H819" s="551"/>
      <c r="I819" s="551"/>
      <c r="J819" s="551"/>
      <c r="K819" s="551"/>
      <c r="L819" s="551"/>
      <c r="M819" s="551"/>
      <c r="N819" s="551"/>
      <c r="O819" s="551"/>
      <c r="P819" s="551"/>
      <c r="Q819" s="551"/>
      <c r="R819" s="551"/>
      <c r="S819" s="551"/>
      <c r="T819" s="551"/>
      <c r="U819" s="551"/>
      <c r="V819" s="551"/>
      <c r="W819" s="551"/>
      <c r="X819" s="551"/>
      <c r="Y819" s="551"/>
      <c r="Z819" s="551"/>
      <c r="AA819" s="551"/>
      <c r="AB819" s="551"/>
      <c r="AC819" s="551"/>
      <c r="AD819" s="551"/>
      <c r="AE819" s="551"/>
      <c r="AF819" s="551"/>
      <c r="AG819" s="551"/>
      <c r="AH819" s="551"/>
      <c r="AI819" s="551"/>
      <c r="AJ819" s="551"/>
      <c r="AK819" s="551"/>
      <c r="AL819" s="551"/>
      <c r="AM819" s="551"/>
      <c r="AN819" s="551"/>
      <c r="AO819" s="551"/>
      <c r="AP819" s="551"/>
      <c r="AQ819" s="551"/>
      <c r="AR819" s="551"/>
      <c r="AS819" s="551"/>
      <c r="AT819" s="551"/>
      <c r="AU819" s="551"/>
      <c r="AV819" s="551"/>
      <c r="AW819" s="551"/>
      <c r="AX819" s="551"/>
      <c r="AY819" s="551"/>
      <c r="AZ819" s="551"/>
      <c r="BA819" s="551"/>
      <c r="BB819" s="551"/>
      <c r="BC819" s="551"/>
      <c r="BD819" s="551"/>
      <c r="BE819" s="551"/>
      <c r="BF819" s="551"/>
      <c r="BG819" s="551"/>
      <c r="BH819" s="551"/>
      <c r="BI819" s="551"/>
      <c r="BJ819" s="551"/>
      <c r="BK819" s="551"/>
    </row>
    <row r="820" spans="1:63" ht="12.75" customHeight="1">
      <c r="A820" s="551"/>
      <c r="B820" s="551"/>
      <c r="C820" s="551"/>
      <c r="D820" s="551"/>
      <c r="E820" s="551"/>
      <c r="F820" s="551"/>
      <c r="G820" s="551"/>
      <c r="H820" s="551"/>
      <c r="I820" s="551"/>
      <c r="J820" s="551"/>
      <c r="K820" s="551"/>
      <c r="L820" s="551"/>
      <c r="M820" s="551"/>
      <c r="N820" s="551"/>
      <c r="O820" s="551"/>
      <c r="P820" s="551"/>
      <c r="Q820" s="551"/>
      <c r="R820" s="551"/>
      <c r="S820" s="551"/>
      <c r="T820" s="551"/>
      <c r="U820" s="551"/>
      <c r="V820" s="551"/>
      <c r="W820" s="551"/>
      <c r="X820" s="551"/>
      <c r="Y820" s="551"/>
      <c r="Z820" s="551"/>
      <c r="AA820" s="551"/>
      <c r="AB820" s="551"/>
      <c r="AC820" s="551"/>
      <c r="AD820" s="551"/>
      <c r="AE820" s="551"/>
      <c r="AF820" s="551"/>
      <c r="AG820" s="551"/>
      <c r="AH820" s="551"/>
      <c r="AI820" s="551"/>
      <c r="AJ820" s="551"/>
      <c r="AK820" s="551"/>
      <c r="AL820" s="551"/>
      <c r="AM820" s="551"/>
      <c r="AN820" s="551"/>
      <c r="AO820" s="551"/>
      <c r="AP820" s="551"/>
      <c r="AQ820" s="551"/>
      <c r="AR820" s="551"/>
      <c r="AS820" s="551"/>
      <c r="AT820" s="551"/>
      <c r="AU820" s="551"/>
      <c r="AV820" s="551"/>
      <c r="AW820" s="551"/>
      <c r="AX820" s="551"/>
      <c r="AY820" s="551"/>
      <c r="AZ820" s="551"/>
      <c r="BA820" s="551"/>
      <c r="BB820" s="551"/>
      <c r="BC820" s="551"/>
      <c r="BD820" s="551"/>
      <c r="BE820" s="551"/>
      <c r="BF820" s="551"/>
      <c r="BG820" s="551"/>
      <c r="BH820" s="551"/>
      <c r="BI820" s="551"/>
      <c r="BJ820" s="551"/>
      <c r="BK820" s="551"/>
    </row>
    <row r="821" spans="1:63" ht="12.75" customHeight="1">
      <c r="A821" s="551"/>
      <c r="B821" s="551"/>
      <c r="C821" s="551"/>
      <c r="D821" s="551"/>
      <c r="E821" s="551"/>
      <c r="F821" s="551"/>
      <c r="G821" s="551"/>
      <c r="H821" s="551"/>
      <c r="I821" s="551"/>
      <c r="J821" s="551"/>
      <c r="K821" s="551"/>
      <c r="L821" s="551"/>
      <c r="M821" s="551"/>
      <c r="N821" s="551"/>
      <c r="O821" s="551"/>
      <c r="P821" s="551"/>
      <c r="Q821" s="551"/>
      <c r="R821" s="551"/>
      <c r="S821" s="551"/>
      <c r="T821" s="551"/>
      <c r="U821" s="551"/>
      <c r="V821" s="551"/>
      <c r="W821" s="551"/>
      <c r="X821" s="551"/>
      <c r="Y821" s="551"/>
      <c r="Z821" s="551"/>
      <c r="AA821" s="551"/>
      <c r="AB821" s="551"/>
      <c r="AC821" s="551"/>
      <c r="AD821" s="551"/>
      <c r="AE821" s="551"/>
      <c r="AF821" s="551"/>
      <c r="AG821" s="551"/>
      <c r="AH821" s="551"/>
      <c r="AI821" s="551"/>
      <c r="AJ821" s="551"/>
      <c r="AK821" s="551"/>
      <c r="AL821" s="551"/>
      <c r="AM821" s="551"/>
      <c r="AN821" s="551"/>
      <c r="AO821" s="551"/>
      <c r="AP821" s="551"/>
      <c r="AQ821" s="551"/>
      <c r="AR821" s="551"/>
      <c r="AS821" s="551"/>
      <c r="AT821" s="551"/>
      <c r="AU821" s="551"/>
      <c r="AV821" s="551"/>
      <c r="AW821" s="551"/>
      <c r="AX821" s="551"/>
      <c r="AY821" s="551"/>
      <c r="AZ821" s="551"/>
      <c r="BA821" s="551"/>
      <c r="BB821" s="551"/>
      <c r="BC821" s="551"/>
      <c r="BD821" s="551"/>
      <c r="BE821" s="551"/>
      <c r="BF821" s="551"/>
      <c r="BG821" s="551"/>
      <c r="BH821" s="551"/>
      <c r="BI821" s="551"/>
      <c r="BJ821" s="551"/>
      <c r="BK821" s="551"/>
    </row>
    <row r="822" spans="1:63" ht="12.75" customHeight="1">
      <c r="A822" s="551"/>
      <c r="B822" s="551"/>
      <c r="C822" s="551"/>
      <c r="D822" s="551"/>
      <c r="E822" s="551"/>
      <c r="F822" s="551"/>
      <c r="G822" s="551"/>
      <c r="H822" s="551"/>
      <c r="I822" s="551"/>
      <c r="J822" s="551"/>
      <c r="K822" s="551"/>
      <c r="L822" s="551"/>
      <c r="M822" s="551"/>
      <c r="N822" s="551"/>
      <c r="O822" s="551"/>
      <c r="P822" s="551"/>
      <c r="Q822" s="551"/>
      <c r="R822" s="551"/>
      <c r="S822" s="551"/>
      <c r="T822" s="551"/>
      <c r="U822" s="551"/>
      <c r="V822" s="551"/>
      <c r="W822" s="551"/>
      <c r="X822" s="551"/>
      <c r="Y822" s="551"/>
      <c r="Z822" s="551"/>
      <c r="AA822" s="551"/>
      <c r="AB822" s="551"/>
      <c r="AC822" s="551"/>
      <c r="AD822" s="551"/>
      <c r="AE822" s="551"/>
      <c r="AF822" s="551"/>
      <c r="AG822" s="551"/>
      <c r="AH822" s="551"/>
      <c r="AI822" s="551"/>
      <c r="AJ822" s="551"/>
      <c r="AK822" s="551"/>
      <c r="AL822" s="551"/>
      <c r="AM822" s="551"/>
      <c r="AN822" s="551"/>
      <c r="AO822" s="551"/>
      <c r="AP822" s="551"/>
      <c r="AQ822" s="551"/>
      <c r="AR822" s="551"/>
      <c r="AS822" s="551"/>
      <c r="AT822" s="551"/>
      <c r="AU822" s="551"/>
      <c r="AV822" s="551"/>
      <c r="AW822" s="551"/>
      <c r="AX822" s="551"/>
      <c r="AY822" s="551"/>
      <c r="AZ822" s="551"/>
      <c r="BA822" s="551"/>
      <c r="BB822" s="551"/>
      <c r="BC822" s="551"/>
      <c r="BD822" s="551"/>
      <c r="BE822" s="551"/>
      <c r="BF822" s="551"/>
      <c r="BG822" s="551"/>
      <c r="BH822" s="551"/>
      <c r="BI822" s="551"/>
      <c r="BJ822" s="551"/>
      <c r="BK822" s="551"/>
    </row>
    <row r="823" spans="1:63" ht="12.75" customHeight="1">
      <c r="A823" s="551"/>
      <c r="B823" s="551"/>
      <c r="C823" s="551"/>
      <c r="D823" s="551"/>
      <c r="E823" s="551"/>
      <c r="F823" s="551"/>
      <c r="G823" s="551"/>
      <c r="H823" s="551"/>
      <c r="I823" s="551"/>
      <c r="J823" s="551"/>
      <c r="K823" s="551"/>
      <c r="L823" s="551"/>
      <c r="M823" s="551"/>
      <c r="N823" s="551"/>
      <c r="O823" s="551"/>
      <c r="P823" s="551"/>
      <c r="Q823" s="551"/>
      <c r="R823" s="551"/>
      <c r="S823" s="551"/>
      <c r="T823" s="551"/>
      <c r="U823" s="551"/>
      <c r="V823" s="551"/>
      <c r="W823" s="551"/>
      <c r="X823" s="551"/>
      <c r="Y823" s="551"/>
      <c r="Z823" s="551"/>
      <c r="AA823" s="551"/>
      <c r="AB823" s="551"/>
      <c r="AC823" s="551"/>
      <c r="AD823" s="551"/>
      <c r="AE823" s="551"/>
      <c r="AF823" s="551"/>
      <c r="AG823" s="551"/>
      <c r="AH823" s="551"/>
      <c r="AI823" s="551"/>
      <c r="AJ823" s="551"/>
      <c r="AK823" s="551"/>
      <c r="AL823" s="551"/>
      <c r="AM823" s="551"/>
      <c r="AN823" s="551"/>
      <c r="AO823" s="551"/>
      <c r="AP823" s="551"/>
      <c r="AQ823" s="551"/>
      <c r="AR823" s="551"/>
      <c r="AS823" s="551"/>
      <c r="AT823" s="551"/>
      <c r="AU823" s="551"/>
      <c r="AV823" s="551"/>
      <c r="AW823" s="551"/>
      <c r="AX823" s="551"/>
      <c r="AY823" s="551"/>
      <c r="AZ823" s="551"/>
      <c r="BA823" s="551"/>
      <c r="BB823" s="551"/>
      <c r="BC823" s="551"/>
      <c r="BD823" s="551"/>
      <c r="BE823" s="551"/>
      <c r="BF823" s="551"/>
      <c r="BG823" s="551"/>
      <c r="BH823" s="551"/>
      <c r="BI823" s="551"/>
      <c r="BJ823" s="551"/>
      <c r="BK823" s="551"/>
    </row>
    <row r="824" spans="1:63" ht="12.75" customHeight="1">
      <c r="A824" s="551"/>
      <c r="B824" s="551"/>
      <c r="C824" s="551"/>
      <c r="D824" s="551"/>
      <c r="E824" s="551"/>
      <c r="F824" s="551"/>
      <c r="G824" s="551"/>
      <c r="H824" s="551"/>
      <c r="I824" s="551"/>
      <c r="J824" s="551"/>
      <c r="K824" s="551"/>
      <c r="L824" s="551"/>
      <c r="M824" s="551"/>
      <c r="N824" s="551"/>
      <c r="O824" s="551"/>
      <c r="P824" s="551"/>
      <c r="Q824" s="551"/>
      <c r="R824" s="551"/>
      <c r="S824" s="551"/>
      <c r="T824" s="551"/>
      <c r="U824" s="551"/>
      <c r="V824" s="551"/>
      <c r="W824" s="551"/>
      <c r="X824" s="551"/>
      <c r="Y824" s="551"/>
      <c r="Z824" s="551"/>
      <c r="AA824" s="551"/>
      <c r="AB824" s="551"/>
      <c r="AC824" s="551"/>
      <c r="AD824" s="551"/>
      <c r="AE824" s="551"/>
      <c r="AF824" s="551"/>
      <c r="AG824" s="551"/>
      <c r="AH824" s="551"/>
      <c r="AI824" s="551"/>
      <c r="AJ824" s="551"/>
      <c r="AK824" s="551"/>
      <c r="AL824" s="551"/>
      <c r="AM824" s="551"/>
      <c r="AN824" s="551"/>
      <c r="AO824" s="551"/>
      <c r="AP824" s="551"/>
      <c r="AQ824" s="551"/>
      <c r="AR824" s="551"/>
      <c r="AS824" s="551"/>
      <c r="AT824" s="551"/>
      <c r="AU824" s="551"/>
      <c r="AV824" s="551"/>
      <c r="AW824" s="551"/>
      <c r="AX824" s="551"/>
      <c r="AY824" s="551"/>
      <c r="AZ824" s="551"/>
      <c r="BA824" s="551"/>
      <c r="BB824" s="551"/>
      <c r="BC824" s="551"/>
      <c r="BD824" s="551"/>
      <c r="BE824" s="551"/>
      <c r="BF824" s="551"/>
      <c r="BG824" s="551"/>
      <c r="BH824" s="551"/>
      <c r="BI824" s="551"/>
      <c r="BJ824" s="551"/>
      <c r="BK824" s="551"/>
    </row>
    <row r="825" spans="1:63" ht="12.75" customHeight="1">
      <c r="A825" s="551"/>
      <c r="B825" s="551"/>
      <c r="C825" s="551"/>
      <c r="D825" s="551"/>
      <c r="E825" s="551"/>
      <c r="F825" s="551"/>
      <c r="G825" s="551"/>
      <c r="H825" s="551"/>
      <c r="I825" s="551"/>
      <c r="J825" s="551"/>
      <c r="K825" s="551"/>
      <c r="L825" s="551"/>
      <c r="M825" s="551"/>
      <c r="N825" s="551"/>
      <c r="O825" s="551"/>
      <c r="P825" s="551"/>
      <c r="Q825" s="551"/>
      <c r="R825" s="551"/>
      <c r="S825" s="551"/>
      <c r="T825" s="551"/>
      <c r="U825" s="551"/>
      <c r="V825" s="551"/>
      <c r="W825" s="551"/>
      <c r="X825" s="551"/>
      <c r="Y825" s="551"/>
      <c r="Z825" s="551"/>
      <c r="AA825" s="551"/>
      <c r="AB825" s="551"/>
      <c r="AC825" s="551"/>
      <c r="AD825" s="551"/>
      <c r="AE825" s="551"/>
      <c r="AF825" s="551"/>
      <c r="AG825" s="551"/>
      <c r="AH825" s="551"/>
      <c r="AI825" s="551"/>
      <c r="AJ825" s="551"/>
      <c r="AK825" s="551"/>
      <c r="AL825" s="551"/>
      <c r="AM825" s="551"/>
      <c r="AN825" s="551"/>
      <c r="AO825" s="551"/>
      <c r="AP825" s="551"/>
      <c r="AQ825" s="551"/>
      <c r="AR825" s="551"/>
      <c r="AS825" s="551"/>
      <c r="AT825" s="551"/>
      <c r="AU825" s="551"/>
      <c r="AV825" s="551"/>
      <c r="AW825" s="551"/>
      <c r="AX825" s="551"/>
      <c r="AY825" s="551"/>
      <c r="AZ825" s="551"/>
      <c r="BA825" s="551"/>
      <c r="BB825" s="551"/>
      <c r="BC825" s="551"/>
      <c r="BD825" s="551"/>
      <c r="BE825" s="551"/>
      <c r="BF825" s="551"/>
      <c r="BG825" s="551"/>
      <c r="BH825" s="551"/>
      <c r="BI825" s="551"/>
      <c r="BJ825" s="551"/>
      <c r="BK825" s="551"/>
    </row>
    <row r="826" spans="1:63" ht="12.75" customHeight="1">
      <c r="A826" s="551"/>
      <c r="B826" s="551"/>
      <c r="C826" s="551"/>
      <c r="D826" s="551"/>
      <c r="E826" s="551"/>
      <c r="F826" s="551"/>
      <c r="G826" s="551"/>
      <c r="H826" s="551"/>
      <c r="I826" s="551"/>
      <c r="J826" s="551"/>
      <c r="K826" s="551"/>
      <c r="L826" s="551"/>
      <c r="M826" s="551"/>
      <c r="N826" s="551"/>
      <c r="O826" s="551"/>
      <c r="P826" s="551"/>
      <c r="Q826" s="551"/>
      <c r="R826" s="551"/>
      <c r="S826" s="551"/>
      <c r="T826" s="551"/>
      <c r="U826" s="551"/>
      <c r="V826" s="551"/>
      <c r="W826" s="551"/>
      <c r="X826" s="551"/>
      <c r="Y826" s="551"/>
      <c r="Z826" s="551"/>
      <c r="AA826" s="551"/>
      <c r="AB826" s="551"/>
      <c r="AC826" s="551"/>
      <c r="AD826" s="551"/>
      <c r="AE826" s="551"/>
      <c r="AF826" s="551"/>
      <c r="AG826" s="551"/>
      <c r="AH826" s="551"/>
      <c r="AI826" s="551"/>
      <c r="AJ826" s="551"/>
      <c r="AK826" s="551"/>
      <c r="AL826" s="551"/>
      <c r="AM826" s="551"/>
      <c r="AN826" s="551"/>
      <c r="AO826" s="551"/>
      <c r="AP826" s="551"/>
      <c r="AQ826" s="551"/>
      <c r="AR826" s="551"/>
      <c r="AS826" s="551"/>
      <c r="AT826" s="551"/>
      <c r="AU826" s="551"/>
      <c r="AV826" s="551"/>
      <c r="AW826" s="551"/>
      <c r="AX826" s="551"/>
      <c r="AY826" s="551"/>
      <c r="AZ826" s="551"/>
      <c r="BA826" s="551"/>
      <c r="BB826" s="551"/>
      <c r="BC826" s="551"/>
      <c r="BD826" s="551"/>
      <c r="BE826" s="551"/>
      <c r="BF826" s="551"/>
      <c r="BG826" s="551"/>
      <c r="BH826" s="551"/>
      <c r="BI826" s="551"/>
      <c r="BJ826" s="551"/>
      <c r="BK826" s="551"/>
    </row>
    <row r="827" spans="1:63" ht="12.75" customHeight="1">
      <c r="A827" s="551"/>
      <c r="B827" s="551"/>
      <c r="C827" s="551"/>
      <c r="D827" s="551"/>
      <c r="E827" s="551"/>
      <c r="F827" s="551"/>
      <c r="G827" s="551"/>
      <c r="H827" s="551"/>
      <c r="I827" s="551"/>
      <c r="J827" s="551"/>
      <c r="K827" s="551"/>
      <c r="L827" s="551"/>
      <c r="M827" s="551"/>
      <c r="N827" s="551"/>
      <c r="O827" s="551"/>
      <c r="P827" s="551"/>
      <c r="Q827" s="551"/>
      <c r="R827" s="551"/>
      <c r="S827" s="551"/>
      <c r="T827" s="551"/>
      <c r="U827" s="551"/>
      <c r="V827" s="551"/>
      <c r="W827" s="551"/>
      <c r="X827" s="551"/>
      <c r="Y827" s="551"/>
      <c r="Z827" s="551"/>
      <c r="AA827" s="551"/>
      <c r="AB827" s="551"/>
      <c r="AC827" s="551"/>
      <c r="AD827" s="551"/>
      <c r="AE827" s="551"/>
      <c r="AF827" s="551"/>
      <c r="AG827" s="551"/>
      <c r="AH827" s="551"/>
      <c r="AI827" s="551"/>
      <c r="AJ827" s="551"/>
      <c r="AK827" s="551"/>
      <c r="AL827" s="551"/>
      <c r="AM827" s="551"/>
      <c r="AN827" s="551"/>
      <c r="AO827" s="551"/>
      <c r="AP827" s="551"/>
      <c r="AQ827" s="551"/>
      <c r="AR827" s="551"/>
      <c r="AS827" s="551"/>
      <c r="AT827" s="551"/>
      <c r="AU827" s="551"/>
      <c r="AV827" s="551"/>
      <c r="AW827" s="551"/>
      <c r="AX827" s="551"/>
      <c r="AY827" s="551"/>
      <c r="AZ827" s="551"/>
      <c r="BA827" s="551"/>
      <c r="BB827" s="551"/>
      <c r="BC827" s="551"/>
      <c r="BD827" s="551"/>
      <c r="BE827" s="551"/>
      <c r="BF827" s="551"/>
      <c r="BG827" s="551"/>
      <c r="BH827" s="551"/>
      <c r="BI827" s="551"/>
      <c r="BJ827" s="551"/>
      <c r="BK827" s="551"/>
    </row>
    <row r="828" spans="1:63" ht="12.75" customHeight="1">
      <c r="A828" s="551"/>
      <c r="B828" s="551"/>
      <c r="C828" s="551"/>
      <c r="D828" s="551"/>
      <c r="E828" s="551"/>
      <c r="F828" s="551"/>
      <c r="G828" s="551"/>
      <c r="H828" s="551"/>
      <c r="I828" s="551"/>
      <c r="J828" s="551"/>
      <c r="K828" s="551"/>
      <c r="L828" s="551"/>
      <c r="M828" s="551"/>
      <c r="N828" s="551"/>
      <c r="O828" s="551"/>
      <c r="P828" s="551"/>
      <c r="Q828" s="551"/>
      <c r="R828" s="551"/>
      <c r="S828" s="551"/>
      <c r="T828" s="551"/>
      <c r="U828" s="551"/>
      <c r="V828" s="551"/>
      <c r="W828" s="551"/>
      <c r="X828" s="551"/>
      <c r="Y828" s="551"/>
      <c r="Z828" s="551"/>
      <c r="AA828" s="551"/>
      <c r="AB828" s="551"/>
      <c r="AC828" s="551"/>
      <c r="AD828" s="551"/>
      <c r="AE828" s="551"/>
      <c r="AF828" s="551"/>
      <c r="AG828" s="551"/>
      <c r="AH828" s="551"/>
      <c r="AI828" s="551"/>
      <c r="AJ828" s="551"/>
      <c r="AK828" s="551"/>
      <c r="AL828" s="551"/>
      <c r="AM828" s="551"/>
      <c r="AN828" s="551"/>
      <c r="AO828" s="551"/>
      <c r="AP828" s="551"/>
      <c r="AQ828" s="551"/>
      <c r="AR828" s="551"/>
      <c r="AS828" s="551"/>
      <c r="AT828" s="551"/>
      <c r="AU828" s="551"/>
      <c r="AV828" s="551"/>
      <c r="AW828" s="551"/>
      <c r="AX828" s="551"/>
      <c r="AY828" s="551"/>
      <c r="AZ828" s="551"/>
      <c r="BA828" s="551"/>
      <c r="BB828" s="551"/>
      <c r="BC828" s="551"/>
      <c r="BD828" s="551"/>
      <c r="BE828" s="551"/>
      <c r="BF828" s="551"/>
      <c r="BG828" s="551"/>
      <c r="BH828" s="551"/>
      <c r="BI828" s="551"/>
      <c r="BJ828" s="551"/>
      <c r="BK828" s="551"/>
    </row>
    <row r="829" spans="1:63" ht="12.75" customHeight="1">
      <c r="A829" s="551"/>
      <c r="B829" s="551"/>
      <c r="C829" s="551"/>
      <c r="D829" s="551"/>
      <c r="E829" s="551"/>
      <c r="F829" s="551"/>
      <c r="G829" s="551"/>
      <c r="H829" s="551"/>
      <c r="I829" s="551"/>
      <c r="J829" s="551"/>
      <c r="K829" s="551"/>
      <c r="L829" s="551"/>
      <c r="M829" s="551"/>
      <c r="N829" s="551"/>
      <c r="O829" s="551"/>
      <c r="P829" s="551"/>
      <c r="Q829" s="551"/>
      <c r="R829" s="551"/>
      <c r="S829" s="551"/>
      <c r="T829" s="551"/>
      <c r="U829" s="551"/>
      <c r="V829" s="551"/>
      <c r="W829" s="551"/>
      <c r="X829" s="551"/>
      <c r="Y829" s="551"/>
      <c r="Z829" s="551"/>
      <c r="AA829" s="551"/>
      <c r="AB829" s="551"/>
      <c r="AC829" s="551"/>
      <c r="AD829" s="551"/>
      <c r="AE829" s="551"/>
      <c r="AF829" s="551"/>
      <c r="AG829" s="551"/>
      <c r="AH829" s="551"/>
      <c r="AI829" s="551"/>
      <c r="AJ829" s="551"/>
      <c r="AK829" s="551"/>
      <c r="AL829" s="551"/>
      <c r="AM829" s="551"/>
      <c r="AN829" s="551"/>
      <c r="AO829" s="551"/>
      <c r="AP829" s="551"/>
      <c r="AQ829" s="551"/>
      <c r="AR829" s="551"/>
      <c r="AS829" s="551"/>
      <c r="AT829" s="551"/>
      <c r="AU829" s="551"/>
      <c r="AV829" s="551"/>
      <c r="AW829" s="551"/>
      <c r="AX829" s="551"/>
      <c r="AY829" s="551"/>
      <c r="AZ829" s="551"/>
      <c r="BA829" s="551"/>
      <c r="BB829" s="551"/>
      <c r="BC829" s="551"/>
      <c r="BD829" s="551"/>
      <c r="BE829" s="551"/>
      <c r="BF829" s="551"/>
      <c r="BG829" s="551"/>
      <c r="BH829" s="551"/>
      <c r="BI829" s="551"/>
      <c r="BJ829" s="551"/>
      <c r="BK829" s="551"/>
    </row>
    <row r="830" spans="1:63" ht="12.75" customHeight="1">
      <c r="A830" s="551"/>
      <c r="B830" s="551"/>
      <c r="C830" s="551"/>
      <c r="D830" s="551"/>
      <c r="E830" s="551"/>
      <c r="F830" s="551"/>
      <c r="G830" s="551"/>
      <c r="H830" s="551"/>
      <c r="I830" s="551"/>
      <c r="J830" s="551"/>
      <c r="K830" s="551"/>
      <c r="L830" s="551"/>
      <c r="M830" s="551"/>
      <c r="N830" s="551"/>
      <c r="O830" s="551"/>
      <c r="P830" s="551"/>
      <c r="Q830" s="551"/>
      <c r="R830" s="551"/>
      <c r="S830" s="551"/>
      <c r="T830" s="551"/>
      <c r="U830" s="551"/>
      <c r="V830" s="551"/>
      <c r="W830" s="551"/>
      <c r="X830" s="551"/>
      <c r="Y830" s="551"/>
      <c r="Z830" s="551"/>
      <c r="AA830" s="551"/>
      <c r="AB830" s="551"/>
      <c r="AC830" s="551"/>
      <c r="AD830" s="551"/>
      <c r="AE830" s="551"/>
      <c r="AF830" s="551"/>
      <c r="AG830" s="551"/>
      <c r="AH830" s="551"/>
      <c r="AI830" s="551"/>
      <c r="AJ830" s="551"/>
      <c r="AK830" s="551"/>
      <c r="AL830" s="551"/>
      <c r="AM830" s="551"/>
      <c r="AN830" s="551"/>
      <c r="AO830" s="551"/>
      <c r="AP830" s="551"/>
      <c r="AQ830" s="551"/>
      <c r="AR830" s="551"/>
      <c r="AS830" s="551"/>
      <c r="AT830" s="551"/>
      <c r="AU830" s="551"/>
      <c r="AV830" s="551"/>
      <c r="AW830" s="551"/>
      <c r="AX830" s="551"/>
      <c r="AY830" s="551"/>
      <c r="AZ830" s="551"/>
      <c r="BA830" s="551"/>
      <c r="BB830" s="551"/>
      <c r="BC830" s="551"/>
      <c r="BD830" s="551"/>
      <c r="BE830" s="551"/>
      <c r="BF830" s="551"/>
      <c r="BG830" s="551"/>
      <c r="BH830" s="551"/>
      <c r="BI830" s="551"/>
      <c r="BJ830" s="551"/>
      <c r="BK830" s="551"/>
    </row>
    <row r="831" spans="1:63" ht="12.75" customHeight="1">
      <c r="A831" s="551"/>
      <c r="B831" s="551"/>
      <c r="C831" s="551"/>
      <c r="D831" s="551"/>
      <c r="E831" s="551"/>
      <c r="F831" s="551"/>
      <c r="G831" s="551"/>
      <c r="H831" s="551"/>
      <c r="I831" s="551"/>
      <c r="J831" s="551"/>
      <c r="K831" s="551"/>
      <c r="L831" s="551"/>
      <c r="M831" s="551"/>
      <c r="N831" s="551"/>
      <c r="O831" s="551"/>
      <c r="P831" s="551"/>
      <c r="Q831" s="551"/>
      <c r="R831" s="551"/>
      <c r="S831" s="551"/>
      <c r="T831" s="551"/>
      <c r="U831" s="551"/>
      <c r="V831" s="551"/>
      <c r="W831" s="551"/>
      <c r="X831" s="551"/>
      <c r="Y831" s="551"/>
      <c r="Z831" s="551"/>
      <c r="AA831" s="551"/>
      <c r="AB831" s="551"/>
      <c r="AC831" s="551"/>
      <c r="AD831" s="551"/>
      <c r="AE831" s="551"/>
      <c r="AF831" s="551"/>
      <c r="AG831" s="551"/>
      <c r="AH831" s="551"/>
      <c r="AI831" s="551"/>
      <c r="AJ831" s="551"/>
      <c r="AK831" s="551"/>
      <c r="AL831" s="551"/>
      <c r="AM831" s="551"/>
      <c r="AN831" s="551"/>
      <c r="AO831" s="551"/>
      <c r="AP831" s="551"/>
      <c r="AQ831" s="551"/>
      <c r="AR831" s="551"/>
      <c r="AS831" s="551"/>
      <c r="AT831" s="551"/>
      <c r="AU831" s="551"/>
      <c r="AV831" s="551"/>
      <c r="AW831" s="551"/>
      <c r="AX831" s="551"/>
      <c r="AY831" s="551"/>
      <c r="AZ831" s="551"/>
      <c r="BA831" s="551"/>
      <c r="BB831" s="551"/>
      <c r="BC831" s="551"/>
      <c r="BD831" s="551"/>
      <c r="BE831" s="551"/>
      <c r="BF831" s="551"/>
      <c r="BG831" s="551"/>
      <c r="BH831" s="551"/>
      <c r="BI831" s="551"/>
      <c r="BJ831" s="551"/>
      <c r="BK831" s="551"/>
    </row>
    <row r="832" spans="1:63" ht="12.75" customHeight="1">
      <c r="A832" s="551"/>
      <c r="B832" s="551"/>
      <c r="C832" s="551"/>
      <c r="D832" s="551"/>
      <c r="E832" s="551"/>
      <c r="F832" s="551"/>
      <c r="G832" s="551"/>
      <c r="H832" s="551"/>
      <c r="I832" s="551"/>
      <c r="J832" s="551"/>
      <c r="K832" s="551"/>
      <c r="L832" s="551"/>
      <c r="M832" s="551"/>
      <c r="N832" s="551"/>
      <c r="O832" s="551"/>
      <c r="P832" s="551"/>
      <c r="Q832" s="551"/>
      <c r="R832" s="551"/>
      <c r="S832" s="551"/>
      <c r="T832" s="551"/>
      <c r="U832" s="551"/>
      <c r="V832" s="551"/>
      <c r="W832" s="551"/>
      <c r="X832" s="551"/>
      <c r="Y832" s="551"/>
      <c r="Z832" s="551"/>
      <c r="AA832" s="551"/>
      <c r="AB832" s="551"/>
      <c r="AC832" s="551"/>
      <c r="AD832" s="551"/>
      <c r="AE832" s="551"/>
      <c r="AF832" s="551"/>
      <c r="AG832" s="551"/>
      <c r="AH832" s="551"/>
      <c r="AI832" s="551"/>
      <c r="AJ832" s="551"/>
      <c r="AK832" s="551"/>
      <c r="AL832" s="551"/>
      <c r="AM832" s="551"/>
      <c r="AN832" s="551"/>
      <c r="AO832" s="551"/>
      <c r="AP832" s="551"/>
      <c r="AQ832" s="551"/>
      <c r="AR832" s="551"/>
      <c r="AS832" s="551"/>
      <c r="AT832" s="551"/>
      <c r="AU832" s="551"/>
      <c r="AV832" s="551"/>
      <c r="AW832" s="551"/>
      <c r="AX832" s="551"/>
      <c r="AY832" s="551"/>
      <c r="AZ832" s="551"/>
      <c r="BA832" s="551"/>
      <c r="BB832" s="551"/>
      <c r="BC832" s="551"/>
      <c r="BD832" s="551"/>
      <c r="BE832" s="551"/>
      <c r="BF832" s="551"/>
      <c r="BG832" s="551"/>
      <c r="BH832" s="551"/>
      <c r="BI832" s="551"/>
      <c r="BJ832" s="551"/>
      <c r="BK832" s="551"/>
    </row>
    <row r="833" spans="1:63" ht="12.75" customHeight="1">
      <c r="A833" s="551"/>
      <c r="B833" s="551"/>
      <c r="C833" s="551"/>
      <c r="D833" s="551"/>
      <c r="E833" s="551"/>
      <c r="F833" s="551"/>
      <c r="G833" s="551"/>
      <c r="H833" s="551"/>
      <c r="I833" s="551"/>
      <c r="J833" s="551"/>
      <c r="K833" s="551"/>
      <c r="L833" s="551"/>
      <c r="M833" s="551"/>
      <c r="N833" s="551"/>
      <c r="O833" s="551"/>
      <c r="P833" s="551"/>
      <c r="Q833" s="551"/>
      <c r="R833" s="551"/>
      <c r="S833" s="551"/>
      <c r="T833" s="551"/>
      <c r="U833" s="551"/>
      <c r="V833" s="551"/>
      <c r="W833" s="551"/>
      <c r="X833" s="551"/>
      <c r="Y833" s="551"/>
      <c r="Z833" s="551"/>
      <c r="AA833" s="551"/>
      <c r="AB833" s="551"/>
      <c r="AC833" s="551"/>
      <c r="AD833" s="551"/>
      <c r="AE833" s="551"/>
      <c r="AF833" s="551"/>
      <c r="AG833" s="551"/>
      <c r="AH833" s="551"/>
      <c r="AI833" s="551"/>
      <c r="AJ833" s="551"/>
      <c r="AK833" s="551"/>
      <c r="AL833" s="551"/>
      <c r="AM833" s="551"/>
      <c r="AN833" s="551"/>
      <c r="AO833" s="551"/>
      <c r="AP833" s="551"/>
      <c r="AQ833" s="551"/>
      <c r="AR833" s="551"/>
      <c r="AS833" s="551"/>
      <c r="AT833" s="551"/>
      <c r="AU833" s="551"/>
      <c r="AV833" s="551"/>
      <c r="AW833" s="551"/>
      <c r="AX833" s="551"/>
      <c r="AY833" s="551"/>
      <c r="AZ833" s="551"/>
      <c r="BA833" s="551"/>
      <c r="BB833" s="551"/>
      <c r="BC833" s="551"/>
      <c r="BD833" s="551"/>
      <c r="BE833" s="551"/>
      <c r="BF833" s="551"/>
      <c r="BG833" s="551"/>
      <c r="BH833" s="551"/>
      <c r="BI833" s="551"/>
      <c r="BJ833" s="551"/>
      <c r="BK833" s="551"/>
    </row>
    <row r="834" spans="1:63" ht="12.75" customHeight="1">
      <c r="A834" s="551"/>
      <c r="B834" s="551"/>
      <c r="C834" s="551"/>
      <c r="D834" s="551"/>
      <c r="E834" s="551"/>
      <c r="F834" s="551"/>
      <c r="G834" s="551"/>
      <c r="H834" s="551"/>
      <c r="I834" s="551"/>
      <c r="J834" s="551"/>
      <c r="K834" s="551"/>
      <c r="L834" s="551"/>
      <c r="M834" s="551"/>
      <c r="N834" s="551"/>
      <c r="O834" s="551"/>
      <c r="P834" s="551"/>
      <c r="Q834" s="551"/>
      <c r="R834" s="551"/>
      <c r="S834" s="551"/>
      <c r="T834" s="551"/>
      <c r="U834" s="551"/>
      <c r="V834" s="551"/>
      <c r="W834" s="551"/>
      <c r="X834" s="551"/>
      <c r="Y834" s="551"/>
      <c r="Z834" s="551"/>
      <c r="AA834" s="551"/>
      <c r="AB834" s="551"/>
      <c r="AC834" s="551"/>
      <c r="AD834" s="551"/>
      <c r="AE834" s="551"/>
      <c r="AF834" s="551"/>
      <c r="AG834" s="551"/>
      <c r="AH834" s="551"/>
      <c r="AI834" s="551"/>
      <c r="AJ834" s="551"/>
      <c r="AK834" s="551"/>
      <c r="AL834" s="551"/>
      <c r="AM834" s="551"/>
      <c r="AN834" s="551"/>
      <c r="AO834" s="551"/>
      <c r="AP834" s="551"/>
      <c r="AQ834" s="551"/>
      <c r="AR834" s="551"/>
      <c r="AS834" s="551"/>
      <c r="AT834" s="551"/>
      <c r="AU834" s="551"/>
      <c r="AV834" s="551"/>
      <c r="AW834" s="551"/>
      <c r="AX834" s="551"/>
      <c r="AY834" s="551"/>
      <c r="AZ834" s="551"/>
      <c r="BA834" s="551"/>
      <c r="BB834" s="551"/>
      <c r="BC834" s="551"/>
      <c r="BD834" s="551"/>
      <c r="BE834" s="551"/>
      <c r="BF834" s="551"/>
      <c r="BG834" s="551"/>
      <c r="BH834" s="551"/>
      <c r="BI834" s="551"/>
      <c r="BJ834" s="551"/>
      <c r="BK834" s="551"/>
    </row>
    <row r="835" spans="1:63" ht="12.75" customHeight="1">
      <c r="A835" s="551"/>
      <c r="B835" s="551"/>
      <c r="C835" s="551"/>
      <c r="D835" s="551"/>
      <c r="E835" s="551"/>
      <c r="F835" s="551"/>
      <c r="G835" s="551"/>
      <c r="H835" s="551"/>
      <c r="I835" s="551"/>
      <c r="J835" s="551"/>
      <c r="K835" s="551"/>
      <c r="L835" s="551"/>
      <c r="M835" s="551"/>
      <c r="N835" s="551"/>
      <c r="O835" s="551"/>
      <c r="P835" s="551"/>
      <c r="Q835" s="551"/>
      <c r="R835" s="551"/>
      <c r="S835" s="551"/>
      <c r="T835" s="551"/>
      <c r="U835" s="551"/>
      <c r="V835" s="551"/>
      <c r="W835" s="551"/>
      <c r="X835" s="551"/>
      <c r="Y835" s="551"/>
      <c r="Z835" s="551"/>
      <c r="AA835" s="551"/>
      <c r="AB835" s="551"/>
      <c r="AC835" s="551"/>
      <c r="AD835" s="551"/>
      <c r="AE835" s="551"/>
      <c r="AF835" s="551"/>
      <c r="AG835" s="551"/>
      <c r="AH835" s="551"/>
      <c r="AI835" s="551"/>
      <c r="AJ835" s="551"/>
      <c r="AK835" s="551"/>
      <c r="AL835" s="551"/>
      <c r="AM835" s="551"/>
      <c r="AN835" s="551"/>
      <c r="AO835" s="551"/>
      <c r="AP835" s="551"/>
      <c r="AQ835" s="551"/>
      <c r="AR835" s="551"/>
      <c r="AS835" s="551"/>
      <c r="AT835" s="551"/>
      <c r="AU835" s="551"/>
      <c r="AV835" s="551"/>
      <c r="AW835" s="551"/>
      <c r="AX835" s="551"/>
      <c r="AY835" s="551"/>
      <c r="AZ835" s="551"/>
      <c r="BA835" s="551"/>
      <c r="BB835" s="551"/>
      <c r="BC835" s="551"/>
      <c r="BD835" s="551"/>
      <c r="BE835" s="551"/>
      <c r="BF835" s="551"/>
      <c r="BG835" s="551"/>
      <c r="BH835" s="551"/>
      <c r="BI835" s="551"/>
      <c r="BJ835" s="551"/>
      <c r="BK835" s="551"/>
    </row>
    <row r="836" spans="1:63" ht="12.75" customHeight="1">
      <c r="A836" s="551"/>
      <c r="B836" s="551"/>
      <c r="C836" s="551"/>
      <c r="D836" s="551"/>
      <c r="E836" s="551"/>
      <c r="F836" s="551"/>
      <c r="G836" s="551"/>
      <c r="H836" s="551"/>
      <c r="I836" s="551"/>
      <c r="J836" s="551"/>
      <c r="K836" s="551"/>
      <c r="L836" s="551"/>
      <c r="M836" s="551"/>
      <c r="N836" s="551"/>
      <c r="O836" s="551"/>
      <c r="P836" s="551"/>
      <c r="Q836" s="551"/>
      <c r="R836" s="551"/>
      <c r="S836" s="551"/>
      <c r="T836" s="551"/>
      <c r="U836" s="551"/>
      <c r="V836" s="551"/>
      <c r="W836" s="551"/>
      <c r="X836" s="551"/>
      <c r="Y836" s="551"/>
      <c r="Z836" s="551"/>
      <c r="AA836" s="551"/>
      <c r="AB836" s="551"/>
      <c r="AC836" s="551"/>
      <c r="AD836" s="551"/>
      <c r="AE836" s="551"/>
      <c r="AF836" s="551"/>
      <c r="AG836" s="551"/>
      <c r="AH836" s="551"/>
      <c r="AI836" s="551"/>
      <c r="AJ836" s="551"/>
      <c r="AK836" s="551"/>
      <c r="AL836" s="551"/>
      <c r="AM836" s="551"/>
      <c r="AN836" s="551"/>
      <c r="AO836" s="551"/>
      <c r="AP836" s="551"/>
      <c r="AQ836" s="551"/>
      <c r="AR836" s="551"/>
      <c r="AS836" s="551"/>
      <c r="AT836" s="551"/>
      <c r="AU836" s="551"/>
      <c r="AV836" s="551"/>
      <c r="AW836" s="551"/>
      <c r="AX836" s="551"/>
      <c r="AY836" s="551"/>
      <c r="AZ836" s="551"/>
      <c r="BA836" s="551"/>
      <c r="BB836" s="551"/>
      <c r="BC836" s="551"/>
      <c r="BD836" s="551"/>
      <c r="BE836" s="551"/>
      <c r="BF836" s="551"/>
      <c r="BG836" s="551"/>
      <c r="BH836" s="551"/>
      <c r="BI836" s="551"/>
      <c r="BJ836" s="551"/>
      <c r="BK836" s="551"/>
    </row>
    <row r="837" spans="1:63" ht="12.75" customHeight="1">
      <c r="A837" s="551"/>
      <c r="B837" s="551"/>
      <c r="C837" s="551"/>
      <c r="D837" s="551"/>
      <c r="E837" s="551"/>
      <c r="F837" s="551"/>
      <c r="G837" s="551"/>
      <c r="H837" s="551"/>
      <c r="I837" s="551"/>
      <c r="J837" s="551"/>
      <c r="K837" s="551"/>
      <c r="L837" s="551"/>
      <c r="M837" s="551"/>
      <c r="N837" s="551"/>
      <c r="O837" s="551"/>
      <c r="P837" s="551"/>
      <c r="Q837" s="551"/>
      <c r="R837" s="551"/>
      <c r="S837" s="551"/>
      <c r="T837" s="551"/>
      <c r="U837" s="551"/>
      <c r="V837" s="551"/>
      <c r="W837" s="551"/>
      <c r="X837" s="551"/>
      <c r="Y837" s="551"/>
      <c r="Z837" s="551"/>
      <c r="AA837" s="551"/>
      <c r="AB837" s="551"/>
      <c r="AC837" s="551"/>
      <c r="AD837" s="551"/>
      <c r="AE837" s="551"/>
      <c r="AF837" s="551"/>
      <c r="AG837" s="551"/>
      <c r="AH837" s="551"/>
      <c r="AI837" s="551"/>
      <c r="AJ837" s="551"/>
      <c r="AK837" s="551"/>
      <c r="AL837" s="551"/>
      <c r="AM837" s="551"/>
      <c r="AN837" s="551"/>
      <c r="AO837" s="551"/>
      <c r="AP837" s="551"/>
      <c r="AQ837" s="551"/>
      <c r="AR837" s="551"/>
      <c r="AS837" s="551"/>
      <c r="AT837" s="551"/>
      <c r="AU837" s="551"/>
      <c r="AV837" s="551"/>
      <c r="AW837" s="551"/>
      <c r="AX837" s="551"/>
      <c r="AY837" s="551"/>
      <c r="AZ837" s="551"/>
      <c r="BA837" s="551"/>
      <c r="BB837" s="551"/>
      <c r="BC837" s="551"/>
      <c r="BD837" s="551"/>
      <c r="BE837" s="551"/>
      <c r="BF837" s="551"/>
      <c r="BG837" s="551"/>
      <c r="BH837" s="551"/>
      <c r="BI837" s="551"/>
      <c r="BJ837" s="551"/>
      <c r="BK837" s="551"/>
    </row>
    <row r="838" spans="1:63" ht="12.75" customHeight="1">
      <c r="A838" s="551"/>
      <c r="B838" s="551"/>
      <c r="C838" s="551"/>
      <c r="D838" s="551"/>
      <c r="E838" s="551"/>
      <c r="F838" s="551"/>
      <c r="G838" s="551"/>
      <c r="H838" s="551"/>
      <c r="I838" s="551"/>
      <c r="J838" s="551"/>
      <c r="K838" s="551"/>
      <c r="L838" s="551"/>
      <c r="M838" s="551"/>
      <c r="N838" s="551"/>
      <c r="O838" s="551"/>
      <c r="P838" s="551"/>
      <c r="Q838" s="551"/>
      <c r="R838" s="551"/>
      <c r="S838" s="551"/>
      <c r="T838" s="551"/>
      <c r="U838" s="551"/>
      <c r="V838" s="551"/>
      <c r="W838" s="551"/>
      <c r="X838" s="551"/>
      <c r="Y838" s="551"/>
      <c r="Z838" s="551"/>
      <c r="AA838" s="551"/>
      <c r="AB838" s="551"/>
      <c r="AC838" s="551"/>
      <c r="AD838" s="551"/>
      <c r="AE838" s="551"/>
      <c r="AF838" s="551"/>
      <c r="AG838" s="551"/>
      <c r="AH838" s="551"/>
      <c r="AI838" s="551"/>
      <c r="AJ838" s="551"/>
      <c r="AK838" s="551"/>
      <c r="AL838" s="551"/>
      <c r="AM838" s="551"/>
      <c r="AN838" s="551"/>
      <c r="AO838" s="551"/>
      <c r="AP838" s="551"/>
      <c r="AQ838" s="551"/>
      <c r="AR838" s="551"/>
      <c r="AS838" s="551"/>
      <c r="AT838" s="551"/>
      <c r="AU838" s="551"/>
      <c r="AV838" s="551"/>
      <c r="AW838" s="551"/>
      <c r="AX838" s="551"/>
      <c r="AY838" s="551"/>
      <c r="AZ838" s="551"/>
      <c r="BA838" s="551"/>
      <c r="BB838" s="551"/>
      <c r="BC838" s="551"/>
      <c r="BD838" s="551"/>
      <c r="BE838" s="551"/>
      <c r="BF838" s="551"/>
      <c r="BG838" s="551"/>
      <c r="BH838" s="551"/>
      <c r="BI838" s="551"/>
      <c r="BJ838" s="551"/>
      <c r="BK838" s="551"/>
    </row>
    <row r="839" spans="1:63" ht="12.75" customHeight="1">
      <c r="A839" s="551"/>
      <c r="B839" s="551"/>
      <c r="C839" s="551"/>
      <c r="D839" s="551"/>
      <c r="E839" s="551"/>
      <c r="F839" s="551"/>
      <c r="G839" s="551"/>
      <c r="H839" s="551"/>
      <c r="I839" s="551"/>
      <c r="J839" s="551"/>
      <c r="K839" s="551"/>
      <c r="L839" s="551"/>
      <c r="M839" s="551"/>
      <c r="N839" s="551"/>
      <c r="O839" s="551"/>
      <c r="P839" s="551"/>
      <c r="Q839" s="551"/>
      <c r="R839" s="551"/>
      <c r="S839" s="551"/>
      <c r="T839" s="551"/>
      <c r="U839" s="551"/>
      <c r="V839" s="551"/>
      <c r="W839" s="551"/>
      <c r="X839" s="551"/>
      <c r="Y839" s="551"/>
      <c r="Z839" s="551"/>
      <c r="AA839" s="551"/>
      <c r="AB839" s="551"/>
      <c r="AC839" s="551"/>
      <c r="AD839" s="551"/>
      <c r="AE839" s="551"/>
      <c r="AF839" s="551"/>
      <c r="AG839" s="551"/>
      <c r="AH839" s="551"/>
      <c r="AI839" s="551"/>
      <c r="AJ839" s="551"/>
      <c r="AK839" s="551"/>
      <c r="AL839" s="551"/>
      <c r="AM839" s="551"/>
      <c r="AN839" s="551"/>
      <c r="AO839" s="551"/>
      <c r="AP839" s="551"/>
      <c r="AQ839" s="551"/>
      <c r="AR839" s="551"/>
      <c r="AS839" s="551"/>
      <c r="AT839" s="551"/>
      <c r="AU839" s="551"/>
      <c r="AV839" s="551"/>
      <c r="AW839" s="551"/>
      <c r="AX839" s="551"/>
      <c r="AY839" s="551"/>
      <c r="AZ839" s="551"/>
      <c r="BA839" s="551"/>
      <c r="BB839" s="551"/>
      <c r="BC839" s="551"/>
      <c r="BD839" s="551"/>
      <c r="BE839" s="551"/>
      <c r="BF839" s="551"/>
      <c r="BG839" s="551"/>
      <c r="BH839" s="551"/>
      <c r="BI839" s="551"/>
      <c r="BJ839" s="551"/>
      <c r="BK839" s="551"/>
    </row>
    <row r="840" spans="1:63" ht="12.75" customHeight="1">
      <c r="A840" s="551"/>
      <c r="B840" s="551"/>
      <c r="C840" s="551"/>
      <c r="D840" s="551"/>
      <c r="E840" s="551"/>
      <c r="F840" s="551"/>
      <c r="G840" s="551"/>
      <c r="H840" s="551"/>
      <c r="I840" s="551"/>
      <c r="J840" s="551"/>
      <c r="K840" s="551"/>
      <c r="L840" s="551"/>
      <c r="M840" s="551"/>
      <c r="N840" s="551"/>
      <c r="O840" s="551"/>
      <c r="P840" s="551"/>
      <c r="Q840" s="551"/>
      <c r="R840" s="551"/>
      <c r="S840" s="551"/>
      <c r="T840" s="551"/>
      <c r="U840" s="551"/>
      <c r="V840" s="551"/>
      <c r="W840" s="551"/>
      <c r="X840" s="551"/>
      <c r="Y840" s="551"/>
      <c r="Z840" s="551"/>
      <c r="AA840" s="551"/>
      <c r="AB840" s="551"/>
      <c r="AC840" s="551"/>
      <c r="AD840" s="551"/>
      <c r="AE840" s="551"/>
      <c r="AF840" s="551"/>
      <c r="AG840" s="551"/>
      <c r="AH840" s="551"/>
      <c r="AI840" s="551"/>
      <c r="AJ840" s="551"/>
      <c r="AK840" s="551"/>
      <c r="AL840" s="551"/>
      <c r="AM840" s="551"/>
      <c r="AN840" s="551"/>
      <c r="AO840" s="551"/>
      <c r="AP840" s="551"/>
      <c r="AQ840" s="551"/>
      <c r="AR840" s="551"/>
      <c r="AS840" s="551"/>
      <c r="AT840" s="551"/>
      <c r="AU840" s="551"/>
      <c r="AV840" s="551"/>
      <c r="AW840" s="551"/>
      <c r="AX840" s="551"/>
      <c r="AY840" s="551"/>
      <c r="AZ840" s="551"/>
      <c r="BA840" s="551"/>
      <c r="BB840" s="551"/>
      <c r="BC840" s="551"/>
      <c r="BD840" s="551"/>
      <c r="BE840" s="551"/>
      <c r="BF840" s="551"/>
      <c r="BG840" s="551"/>
      <c r="BH840" s="551"/>
      <c r="BI840" s="551"/>
      <c r="BJ840" s="551"/>
      <c r="BK840" s="551"/>
    </row>
    <row r="841" spans="1:63" ht="12.75" customHeight="1">
      <c r="A841" s="551"/>
      <c r="B841" s="551"/>
      <c r="C841" s="551"/>
      <c r="D841" s="551"/>
      <c r="E841" s="551"/>
      <c r="F841" s="551"/>
      <c r="G841" s="551"/>
      <c r="H841" s="551"/>
      <c r="I841" s="551"/>
      <c r="J841" s="551"/>
      <c r="K841" s="551"/>
      <c r="L841" s="551"/>
      <c r="M841" s="551"/>
      <c r="N841" s="551"/>
      <c r="O841" s="551"/>
      <c r="P841" s="551"/>
      <c r="Q841" s="551"/>
      <c r="R841" s="551"/>
      <c r="S841" s="551"/>
      <c r="T841" s="551"/>
      <c r="U841" s="551"/>
      <c r="V841" s="551"/>
      <c r="W841" s="551"/>
      <c r="X841" s="551"/>
      <c r="Y841" s="551"/>
      <c r="Z841" s="551"/>
      <c r="AA841" s="551"/>
      <c r="AB841" s="551"/>
      <c r="AC841" s="551"/>
      <c r="AD841" s="551"/>
      <c r="AE841" s="551"/>
      <c r="AF841" s="551"/>
      <c r="AG841" s="551"/>
      <c r="AH841" s="551"/>
      <c r="AI841" s="551"/>
      <c r="AJ841" s="551"/>
      <c r="AK841" s="551"/>
      <c r="AL841" s="551"/>
      <c r="AM841" s="551"/>
      <c r="AN841" s="551"/>
      <c r="AO841" s="551"/>
      <c r="AP841" s="551"/>
      <c r="AQ841" s="551"/>
      <c r="AR841" s="551"/>
      <c r="AS841" s="551"/>
      <c r="AT841" s="551"/>
      <c r="AU841" s="551"/>
      <c r="AV841" s="551"/>
      <c r="AW841" s="551"/>
      <c r="AX841" s="551"/>
      <c r="AY841" s="551"/>
      <c r="AZ841" s="551"/>
      <c r="BA841" s="551"/>
      <c r="BB841" s="551"/>
      <c r="BC841" s="551"/>
      <c r="BD841" s="551"/>
      <c r="BE841" s="551"/>
      <c r="BF841" s="551"/>
      <c r="BG841" s="551"/>
      <c r="BH841" s="551"/>
      <c r="BI841" s="551"/>
      <c r="BJ841" s="551"/>
      <c r="BK841" s="551"/>
    </row>
    <row r="842" spans="1:63" ht="12.75" customHeight="1">
      <c r="A842" s="551"/>
      <c r="B842" s="551"/>
      <c r="C842" s="551"/>
      <c r="D842" s="551"/>
      <c r="E842" s="551"/>
      <c r="F842" s="551"/>
      <c r="G842" s="551"/>
      <c r="H842" s="551"/>
      <c r="I842" s="551"/>
      <c r="J842" s="551"/>
      <c r="K842" s="551"/>
      <c r="L842" s="551"/>
      <c r="M842" s="551"/>
      <c r="N842" s="551"/>
      <c r="O842" s="551"/>
      <c r="P842" s="551"/>
      <c r="Q842" s="551"/>
      <c r="R842" s="551"/>
      <c r="S842" s="551"/>
      <c r="T842" s="551"/>
      <c r="U842" s="551"/>
      <c r="V842" s="551"/>
      <c r="W842" s="551"/>
      <c r="X842" s="551"/>
      <c r="Y842" s="551"/>
      <c r="Z842" s="551"/>
      <c r="AA842" s="551"/>
      <c r="AB842" s="551"/>
      <c r="AC842" s="551"/>
      <c r="AD842" s="551"/>
      <c r="AE842" s="551"/>
      <c r="AF842" s="551"/>
      <c r="AG842" s="551"/>
      <c r="AH842" s="551"/>
      <c r="AI842" s="551"/>
      <c r="AJ842" s="551"/>
      <c r="AK842" s="551"/>
      <c r="AL842" s="551"/>
      <c r="AM842" s="551"/>
      <c r="AN842" s="551"/>
      <c r="AO842" s="551"/>
      <c r="AP842" s="551"/>
      <c r="AQ842" s="551"/>
      <c r="AR842" s="551"/>
      <c r="AS842" s="551"/>
      <c r="AT842" s="551"/>
      <c r="AU842" s="551"/>
      <c r="AV842" s="551"/>
      <c r="AW842" s="551"/>
      <c r="AX842" s="551"/>
      <c r="AY842" s="551"/>
      <c r="AZ842" s="551"/>
      <c r="BA842" s="551"/>
      <c r="BB842" s="551"/>
      <c r="BC842" s="551"/>
      <c r="BD842" s="551"/>
      <c r="BE842" s="551"/>
      <c r="BF842" s="551"/>
      <c r="BG842" s="551"/>
      <c r="BH842" s="551"/>
      <c r="BI842" s="551"/>
      <c r="BJ842" s="551"/>
      <c r="BK842" s="551"/>
    </row>
    <row r="843" spans="1:63" ht="12.75" customHeight="1">
      <c r="A843" s="551"/>
      <c r="B843" s="551"/>
      <c r="C843" s="551"/>
      <c r="D843" s="551"/>
      <c r="E843" s="551"/>
      <c r="F843" s="551"/>
      <c r="G843" s="551"/>
      <c r="H843" s="551"/>
      <c r="I843" s="551"/>
      <c r="J843" s="551"/>
      <c r="K843" s="551"/>
      <c r="L843" s="551"/>
      <c r="M843" s="551"/>
      <c r="N843" s="551"/>
      <c r="O843" s="551"/>
      <c r="P843" s="551"/>
      <c r="Q843" s="551"/>
      <c r="R843" s="551"/>
      <c r="S843" s="551"/>
      <c r="T843" s="551"/>
      <c r="U843" s="551"/>
      <c r="V843" s="551"/>
      <c r="W843" s="551"/>
      <c r="X843" s="551"/>
      <c r="Y843" s="551"/>
      <c r="Z843" s="551"/>
      <c r="AA843" s="551"/>
      <c r="AB843" s="551"/>
      <c r="AC843" s="551"/>
      <c r="AD843" s="551"/>
      <c r="AE843" s="551"/>
      <c r="AF843" s="551"/>
      <c r="AG843" s="551"/>
      <c r="AH843" s="551"/>
      <c r="AI843" s="551"/>
      <c r="AJ843" s="551"/>
      <c r="AK843" s="551"/>
      <c r="AL843" s="551"/>
      <c r="AM843" s="551"/>
      <c r="AN843" s="551"/>
      <c r="AO843" s="551"/>
      <c r="AP843" s="551"/>
      <c r="AQ843" s="551"/>
      <c r="AR843" s="551"/>
      <c r="AS843" s="551"/>
      <c r="AT843" s="551"/>
      <c r="AU843" s="551"/>
      <c r="AV843" s="551"/>
      <c r="AW843" s="551"/>
      <c r="AX843" s="551"/>
      <c r="AY843" s="551"/>
      <c r="AZ843" s="551"/>
      <c r="BA843" s="551"/>
      <c r="BB843" s="551"/>
      <c r="BC843" s="551"/>
      <c r="BD843" s="551"/>
      <c r="BE843" s="551"/>
      <c r="BF843" s="551"/>
      <c r="BG843" s="551"/>
      <c r="BH843" s="551"/>
      <c r="BI843" s="551"/>
      <c r="BJ843" s="551"/>
      <c r="BK843" s="551"/>
    </row>
    <row r="844" spans="1:63" ht="12.75" customHeight="1">
      <c r="A844" s="551"/>
      <c r="B844" s="551"/>
      <c r="C844" s="551"/>
      <c r="D844" s="551"/>
      <c r="E844" s="551"/>
      <c r="F844" s="551"/>
      <c r="G844" s="551"/>
      <c r="H844" s="551"/>
      <c r="I844" s="551"/>
      <c r="J844" s="551"/>
      <c r="K844" s="551"/>
      <c r="L844" s="551"/>
      <c r="M844" s="551"/>
      <c r="N844" s="551"/>
      <c r="O844" s="551"/>
      <c r="P844" s="551"/>
      <c r="Q844" s="551"/>
      <c r="R844" s="551"/>
      <c r="S844" s="551"/>
      <c r="T844" s="551"/>
      <c r="U844" s="551"/>
      <c r="V844" s="551"/>
      <c r="W844" s="551"/>
      <c r="X844" s="551"/>
      <c r="Y844" s="551"/>
      <c r="Z844" s="551"/>
      <c r="AA844" s="551"/>
      <c r="AB844" s="551"/>
      <c r="AC844" s="551"/>
      <c r="AD844" s="551"/>
      <c r="AE844" s="551"/>
      <c r="AF844" s="551"/>
      <c r="AG844" s="551"/>
      <c r="AH844" s="551"/>
      <c r="AI844" s="551"/>
      <c r="AJ844" s="551"/>
      <c r="AK844" s="551"/>
      <c r="AL844" s="551"/>
      <c r="AM844" s="551"/>
      <c r="AN844" s="551"/>
      <c r="AO844" s="551"/>
      <c r="AP844" s="551"/>
      <c r="AQ844" s="551"/>
      <c r="AR844" s="551"/>
      <c r="AS844" s="551"/>
      <c r="AT844" s="551"/>
      <c r="AU844" s="551"/>
      <c r="AV844" s="551"/>
      <c r="AW844" s="551"/>
      <c r="AX844" s="551"/>
      <c r="AY844" s="551"/>
      <c r="AZ844" s="551"/>
      <c r="BA844" s="551"/>
      <c r="BB844" s="551"/>
      <c r="BC844" s="551"/>
      <c r="BD844" s="551"/>
      <c r="BE844" s="551"/>
      <c r="BF844" s="551"/>
      <c r="BG844" s="551"/>
      <c r="BH844" s="551"/>
      <c r="BI844" s="551"/>
      <c r="BJ844" s="551"/>
      <c r="BK844" s="551"/>
    </row>
    <row r="845" spans="1:63" ht="12.75" customHeight="1">
      <c r="A845" s="551"/>
      <c r="B845" s="551"/>
      <c r="C845" s="551"/>
      <c r="D845" s="551"/>
      <c r="E845" s="551"/>
      <c r="F845" s="551"/>
      <c r="G845" s="551"/>
      <c r="H845" s="551"/>
      <c r="I845" s="551"/>
      <c r="J845" s="551"/>
      <c r="K845" s="551"/>
      <c r="L845" s="551"/>
      <c r="M845" s="551"/>
      <c r="N845" s="551"/>
      <c r="O845" s="551"/>
      <c r="P845" s="551"/>
      <c r="Q845" s="551"/>
      <c r="R845" s="551"/>
      <c r="S845" s="551"/>
      <c r="T845" s="551"/>
      <c r="U845" s="551"/>
      <c r="V845" s="551"/>
      <c r="W845" s="551"/>
      <c r="X845" s="551"/>
      <c r="Y845" s="551"/>
      <c r="Z845" s="551"/>
      <c r="AA845" s="551"/>
      <c r="AB845" s="551"/>
      <c r="AC845" s="551"/>
      <c r="AD845" s="551"/>
      <c r="AE845" s="551"/>
      <c r="AF845" s="551"/>
      <c r="AG845" s="551"/>
      <c r="AH845" s="551"/>
      <c r="AI845" s="551"/>
      <c r="AJ845" s="551"/>
      <c r="AK845" s="551"/>
      <c r="AL845" s="551"/>
      <c r="AM845" s="551"/>
      <c r="AN845" s="551"/>
      <c r="AO845" s="551"/>
      <c r="AP845" s="551"/>
      <c r="AQ845" s="551"/>
      <c r="AR845" s="551"/>
      <c r="AS845" s="551"/>
      <c r="AT845" s="551"/>
      <c r="AU845" s="551"/>
      <c r="AV845" s="551"/>
      <c r="AW845" s="551"/>
      <c r="AX845" s="551"/>
      <c r="AY845" s="551"/>
      <c r="AZ845" s="551"/>
      <c r="BA845" s="551"/>
      <c r="BB845" s="551"/>
      <c r="BC845" s="551"/>
      <c r="BD845" s="551"/>
      <c r="BE845" s="551"/>
      <c r="BF845" s="551"/>
      <c r="BG845" s="551"/>
      <c r="BH845" s="551"/>
      <c r="BI845" s="551"/>
      <c r="BJ845" s="551"/>
      <c r="BK845" s="551"/>
    </row>
    <row r="846" spans="1:63" ht="12.75" customHeight="1">
      <c r="A846" s="551"/>
      <c r="B846" s="551"/>
      <c r="C846" s="551"/>
      <c r="D846" s="551"/>
      <c r="E846" s="551"/>
      <c r="F846" s="551"/>
      <c r="G846" s="551"/>
      <c r="H846" s="551"/>
      <c r="I846" s="551"/>
      <c r="J846" s="551"/>
      <c r="K846" s="551"/>
      <c r="L846" s="551"/>
      <c r="M846" s="551"/>
      <c r="N846" s="551"/>
      <c r="O846" s="551"/>
      <c r="P846" s="551"/>
      <c r="Q846" s="551"/>
      <c r="R846" s="551"/>
      <c r="S846" s="551"/>
      <c r="T846" s="551"/>
      <c r="U846" s="551"/>
      <c r="V846" s="551"/>
      <c r="W846" s="551"/>
      <c r="X846" s="551"/>
      <c r="Y846" s="551"/>
      <c r="Z846" s="551"/>
      <c r="AA846" s="551"/>
      <c r="AB846" s="551"/>
      <c r="AC846" s="551"/>
      <c r="AD846" s="551"/>
      <c r="AE846" s="551"/>
      <c r="AF846" s="551"/>
      <c r="AG846" s="551"/>
      <c r="AH846" s="551"/>
      <c r="AI846" s="551"/>
      <c r="AJ846" s="551"/>
      <c r="AK846" s="551"/>
      <c r="AL846" s="551"/>
      <c r="AM846" s="551"/>
      <c r="AN846" s="551"/>
      <c r="AO846" s="551"/>
      <c r="AP846" s="551"/>
      <c r="AQ846" s="551"/>
      <c r="AR846" s="551"/>
      <c r="AS846" s="551"/>
      <c r="AT846" s="551"/>
      <c r="AU846" s="551"/>
      <c r="AV846" s="551"/>
      <c r="AW846" s="551"/>
      <c r="AX846" s="551"/>
      <c r="AY846" s="551"/>
      <c r="AZ846" s="551"/>
      <c r="BA846" s="551"/>
      <c r="BB846" s="551"/>
      <c r="BC846" s="551"/>
      <c r="BD846" s="551"/>
      <c r="BE846" s="551"/>
      <c r="BF846" s="551"/>
      <c r="BG846" s="551"/>
      <c r="BH846" s="551"/>
      <c r="BI846" s="551"/>
      <c r="BJ846" s="551"/>
      <c r="BK846" s="551"/>
    </row>
    <row r="847" spans="1:63" ht="12.75" customHeight="1">
      <c r="A847" s="551"/>
      <c r="B847" s="551"/>
      <c r="C847" s="551"/>
      <c r="D847" s="551"/>
      <c r="E847" s="551"/>
      <c r="F847" s="551"/>
      <c r="G847" s="551"/>
      <c r="H847" s="551"/>
      <c r="I847" s="551"/>
      <c r="J847" s="551"/>
      <c r="K847" s="551"/>
      <c r="L847" s="551"/>
      <c r="M847" s="551"/>
      <c r="N847" s="551"/>
      <c r="O847" s="551"/>
      <c r="P847" s="551"/>
      <c r="Q847" s="551"/>
      <c r="R847" s="551"/>
      <c r="S847" s="551"/>
      <c r="T847" s="551"/>
      <c r="U847" s="551"/>
      <c r="V847" s="551"/>
      <c r="W847" s="551"/>
      <c r="X847" s="551"/>
      <c r="Y847" s="551"/>
      <c r="Z847" s="551"/>
      <c r="AA847" s="551"/>
      <c r="AB847" s="551"/>
      <c r="AC847" s="551"/>
      <c r="AD847" s="551"/>
      <c r="AE847" s="551"/>
      <c r="AF847" s="551"/>
      <c r="AG847" s="551"/>
      <c r="AH847" s="551"/>
      <c r="AI847" s="551"/>
      <c r="AJ847" s="551"/>
      <c r="AK847" s="551"/>
      <c r="AL847" s="551"/>
      <c r="AM847" s="551"/>
      <c r="AN847" s="551"/>
      <c r="AO847" s="551"/>
      <c r="AP847" s="551"/>
      <c r="AQ847" s="551"/>
      <c r="AR847" s="551"/>
      <c r="AS847" s="551"/>
      <c r="AT847" s="551"/>
      <c r="AU847" s="551"/>
      <c r="AV847" s="551"/>
      <c r="AW847" s="551"/>
      <c r="AX847" s="551"/>
      <c r="AY847" s="551"/>
      <c r="AZ847" s="551"/>
      <c r="BA847" s="551"/>
      <c r="BB847" s="551"/>
      <c r="BC847" s="551"/>
      <c r="BD847" s="551"/>
      <c r="BE847" s="551"/>
      <c r="BF847" s="551"/>
      <c r="BG847" s="551"/>
      <c r="BH847" s="551"/>
      <c r="BI847" s="551"/>
      <c r="BJ847" s="551"/>
      <c r="BK847" s="551"/>
    </row>
    <row r="848" spans="1:63" ht="12.75" customHeight="1">
      <c r="A848" s="551"/>
      <c r="B848" s="551"/>
      <c r="C848" s="551"/>
      <c r="D848" s="551"/>
      <c r="E848" s="551"/>
      <c r="F848" s="551"/>
      <c r="G848" s="551"/>
      <c r="H848" s="551"/>
      <c r="I848" s="551"/>
      <c r="J848" s="551"/>
      <c r="K848" s="551"/>
      <c r="L848" s="551"/>
      <c r="M848" s="551"/>
      <c r="N848" s="551"/>
      <c r="O848" s="551"/>
      <c r="P848" s="551"/>
      <c r="Q848" s="551"/>
      <c r="R848" s="551"/>
      <c r="S848" s="551"/>
      <c r="T848" s="551"/>
      <c r="U848" s="551"/>
      <c r="V848" s="551"/>
      <c r="W848" s="551"/>
      <c r="X848" s="551"/>
      <c r="Y848" s="551"/>
      <c r="Z848" s="551"/>
      <c r="AA848" s="551"/>
      <c r="AB848" s="551"/>
      <c r="AC848" s="551"/>
      <c r="AD848" s="551"/>
      <c r="AE848" s="551"/>
      <c r="AF848" s="551"/>
      <c r="AG848" s="551"/>
      <c r="AH848" s="551"/>
      <c r="AI848" s="551"/>
      <c r="AJ848" s="551"/>
      <c r="AK848" s="551"/>
      <c r="AL848" s="551"/>
      <c r="AM848" s="551"/>
      <c r="AN848" s="551"/>
      <c r="AO848" s="551"/>
      <c r="AP848" s="551"/>
      <c r="AQ848" s="551"/>
      <c r="AR848" s="551"/>
      <c r="AS848" s="551"/>
      <c r="AT848" s="551"/>
      <c r="AU848" s="551"/>
      <c r="AV848" s="551"/>
      <c r="AW848" s="551"/>
      <c r="AX848" s="551"/>
      <c r="AY848" s="551"/>
      <c r="AZ848" s="551"/>
      <c r="BA848" s="551"/>
      <c r="BB848" s="551"/>
      <c r="BC848" s="551"/>
      <c r="BD848" s="551"/>
      <c r="BE848" s="551"/>
      <c r="BF848" s="551"/>
      <c r="BG848" s="551"/>
      <c r="BH848" s="551"/>
      <c r="BI848" s="551"/>
      <c r="BJ848" s="551"/>
      <c r="BK848" s="551"/>
    </row>
    <row r="849" spans="1:63" ht="12.75" customHeight="1">
      <c r="A849" s="551"/>
      <c r="B849" s="551"/>
      <c r="C849" s="551"/>
      <c r="D849" s="551"/>
      <c r="E849" s="551"/>
      <c r="F849" s="551"/>
      <c r="G849" s="551"/>
      <c r="H849" s="551"/>
      <c r="I849" s="551"/>
      <c r="J849" s="551"/>
      <c r="K849" s="551"/>
      <c r="L849" s="551"/>
      <c r="M849" s="551"/>
      <c r="N849" s="551"/>
      <c r="O849" s="551"/>
      <c r="P849" s="551"/>
      <c r="Q849" s="551"/>
      <c r="R849" s="551"/>
      <c r="S849" s="551"/>
      <c r="T849" s="551"/>
      <c r="U849" s="551"/>
      <c r="V849" s="551"/>
      <c r="W849" s="551"/>
      <c r="X849" s="551"/>
      <c r="Y849" s="551"/>
      <c r="Z849" s="551"/>
      <c r="AA849" s="551"/>
      <c r="AB849" s="551"/>
      <c r="AC849" s="551"/>
      <c r="AD849" s="551"/>
      <c r="AE849" s="551"/>
      <c r="AF849" s="551"/>
      <c r="AG849" s="551"/>
      <c r="AH849" s="551"/>
      <c r="AI849" s="551"/>
      <c r="AJ849" s="551"/>
      <c r="AK849" s="551"/>
      <c r="AL849" s="551"/>
      <c r="AM849" s="551"/>
      <c r="AN849" s="551"/>
      <c r="AO849" s="551"/>
      <c r="AP849" s="551"/>
      <c r="AQ849" s="551"/>
      <c r="AR849" s="551"/>
      <c r="AS849" s="551"/>
      <c r="AT849" s="551"/>
      <c r="AU849" s="551"/>
      <c r="AV849" s="551"/>
      <c r="AW849" s="551"/>
      <c r="AX849" s="551"/>
      <c r="AY849" s="551"/>
      <c r="AZ849" s="551"/>
      <c r="BA849" s="551"/>
      <c r="BB849" s="551"/>
      <c r="BC849" s="551"/>
      <c r="BD849" s="551"/>
      <c r="BE849" s="551"/>
      <c r="BF849" s="551"/>
      <c r="BG849" s="551"/>
      <c r="BH849" s="551"/>
      <c r="BI849" s="551"/>
      <c r="BJ849" s="551"/>
      <c r="BK849" s="551"/>
    </row>
    <row r="850" spans="1:63" ht="12.75" customHeight="1">
      <c r="A850" s="551"/>
      <c r="B850" s="551"/>
      <c r="C850" s="551"/>
      <c r="D850" s="551"/>
      <c r="E850" s="551"/>
      <c r="F850" s="551"/>
      <c r="G850" s="551"/>
      <c r="H850" s="551"/>
      <c r="I850" s="551"/>
      <c r="J850" s="551"/>
      <c r="K850" s="551"/>
      <c r="L850" s="551"/>
      <c r="M850" s="551"/>
      <c r="N850" s="551"/>
      <c r="O850" s="551"/>
      <c r="P850" s="551"/>
      <c r="Q850" s="551"/>
      <c r="R850" s="551"/>
      <c r="S850" s="551"/>
      <c r="T850" s="551"/>
      <c r="U850" s="551"/>
      <c r="V850" s="551"/>
      <c r="W850" s="551"/>
      <c r="X850" s="551"/>
      <c r="Y850" s="551"/>
      <c r="Z850" s="551"/>
      <c r="AA850" s="551"/>
      <c r="AB850" s="551"/>
      <c r="AC850" s="551"/>
      <c r="AD850" s="551"/>
      <c r="AE850" s="551"/>
      <c r="AF850" s="551"/>
      <c r="AG850" s="551"/>
      <c r="AH850" s="551"/>
      <c r="AI850" s="551"/>
      <c r="AJ850" s="551"/>
      <c r="AK850" s="551"/>
      <c r="AL850" s="551"/>
      <c r="AM850" s="551"/>
      <c r="AN850" s="551"/>
      <c r="AO850" s="551"/>
      <c r="AP850" s="551"/>
      <c r="AQ850" s="551"/>
      <c r="AR850" s="551"/>
      <c r="AS850" s="551"/>
      <c r="AT850" s="551"/>
      <c r="AU850" s="551"/>
      <c r="AV850" s="551"/>
      <c r="AW850" s="551"/>
      <c r="AX850" s="551"/>
      <c r="AY850" s="551"/>
      <c r="AZ850" s="551"/>
      <c r="BA850" s="551"/>
      <c r="BB850" s="551"/>
      <c r="BC850" s="551"/>
      <c r="BD850" s="551"/>
      <c r="BE850" s="551"/>
      <c r="BF850" s="551"/>
      <c r="BG850" s="551"/>
      <c r="BH850" s="551"/>
      <c r="BI850" s="551"/>
      <c r="BJ850" s="551"/>
      <c r="BK850" s="551"/>
    </row>
    <row r="851" spans="1:63" ht="12.75" customHeight="1">
      <c r="A851" s="551"/>
      <c r="B851" s="551"/>
      <c r="C851" s="551"/>
      <c r="D851" s="551"/>
      <c r="E851" s="551"/>
      <c r="F851" s="551"/>
      <c r="G851" s="551"/>
      <c r="H851" s="551"/>
      <c r="I851" s="551"/>
      <c r="J851" s="551"/>
      <c r="K851" s="551"/>
      <c r="L851" s="551"/>
      <c r="M851" s="551"/>
      <c r="N851" s="551"/>
      <c r="O851" s="551"/>
      <c r="P851" s="551"/>
      <c r="Q851" s="551"/>
      <c r="R851" s="551"/>
      <c r="S851" s="551"/>
      <c r="T851" s="551"/>
      <c r="U851" s="551"/>
      <c r="V851" s="551"/>
      <c r="W851" s="551"/>
      <c r="X851" s="551"/>
      <c r="Y851" s="551"/>
      <c r="Z851" s="551"/>
      <c r="AA851" s="551"/>
      <c r="AB851" s="551"/>
      <c r="AC851" s="551"/>
      <c r="AD851" s="551"/>
      <c r="AE851" s="551"/>
      <c r="AF851" s="551"/>
      <c r="AG851" s="551"/>
      <c r="AH851" s="551"/>
      <c r="AI851" s="551"/>
      <c r="AJ851" s="551"/>
      <c r="AK851" s="551"/>
      <c r="AL851" s="551"/>
      <c r="AM851" s="551"/>
      <c r="AN851" s="551"/>
      <c r="AO851" s="551"/>
      <c r="AP851" s="551"/>
      <c r="AQ851" s="551"/>
      <c r="AR851" s="551"/>
      <c r="AS851" s="551"/>
      <c r="AT851" s="551"/>
      <c r="AU851" s="551"/>
      <c r="AV851" s="551"/>
      <c r="AW851" s="551"/>
      <c r="AX851" s="551"/>
      <c r="AY851" s="551"/>
      <c r="AZ851" s="551"/>
      <c r="BA851" s="551"/>
      <c r="BB851" s="551"/>
      <c r="BC851" s="551"/>
      <c r="BD851" s="551"/>
      <c r="BE851" s="551"/>
      <c r="BF851" s="551"/>
      <c r="BG851" s="551"/>
      <c r="BH851" s="551"/>
      <c r="BI851" s="551"/>
      <c r="BJ851" s="551"/>
      <c r="BK851" s="551"/>
    </row>
    <row r="852" spans="1:63" ht="12.75" customHeight="1">
      <c r="A852" s="551"/>
      <c r="B852" s="551"/>
      <c r="C852" s="551"/>
      <c r="D852" s="551"/>
      <c r="E852" s="551"/>
      <c r="F852" s="551"/>
      <c r="G852" s="551"/>
      <c r="H852" s="551"/>
      <c r="I852" s="551"/>
      <c r="J852" s="551"/>
      <c r="K852" s="551"/>
      <c r="L852" s="551"/>
      <c r="M852" s="551"/>
      <c r="N852" s="551"/>
      <c r="O852" s="551"/>
      <c r="P852" s="551"/>
      <c r="Q852" s="551"/>
      <c r="R852" s="551"/>
      <c r="S852" s="551"/>
      <c r="T852" s="551"/>
      <c r="U852" s="551"/>
      <c r="V852" s="551"/>
      <c r="W852" s="551"/>
      <c r="X852" s="551"/>
      <c r="Y852" s="551"/>
      <c r="Z852" s="551"/>
      <c r="AA852" s="551"/>
      <c r="AB852" s="551"/>
      <c r="AC852" s="551"/>
      <c r="AD852" s="551"/>
      <c r="AE852" s="551"/>
      <c r="AF852" s="551"/>
      <c r="AG852" s="551"/>
      <c r="AH852" s="551"/>
      <c r="AI852" s="551"/>
      <c r="AJ852" s="551"/>
      <c r="AK852" s="551"/>
      <c r="AL852" s="551"/>
      <c r="AM852" s="551"/>
      <c r="AN852" s="551"/>
      <c r="AO852" s="551"/>
      <c r="AP852" s="551"/>
      <c r="AQ852" s="551"/>
      <c r="AR852" s="551"/>
      <c r="AS852" s="551"/>
      <c r="AT852" s="551"/>
      <c r="AU852" s="551"/>
      <c r="AV852" s="551"/>
      <c r="AW852" s="551"/>
      <c r="AX852" s="551"/>
      <c r="AY852" s="551"/>
      <c r="AZ852" s="551"/>
      <c r="BA852" s="551"/>
      <c r="BB852" s="551"/>
      <c r="BC852" s="551"/>
      <c r="BD852" s="551"/>
      <c r="BE852" s="551"/>
      <c r="BF852" s="551"/>
      <c r="BG852" s="551"/>
      <c r="BH852" s="551"/>
      <c r="BI852" s="551"/>
      <c r="BJ852" s="551"/>
      <c r="BK852" s="551"/>
    </row>
    <row r="853" spans="1:63" ht="12.75" customHeight="1">
      <c r="A853" s="551"/>
      <c r="B853" s="551"/>
      <c r="C853" s="551"/>
      <c r="D853" s="551"/>
      <c r="E853" s="551"/>
      <c r="F853" s="551"/>
      <c r="G853" s="551"/>
      <c r="H853" s="551"/>
      <c r="I853" s="551"/>
      <c r="J853" s="551"/>
      <c r="K853" s="551"/>
      <c r="L853" s="551"/>
      <c r="M853" s="551"/>
      <c r="N853" s="551"/>
      <c r="O853" s="551"/>
      <c r="P853" s="551"/>
      <c r="Q853" s="551"/>
      <c r="R853" s="551"/>
      <c r="S853" s="551"/>
      <c r="T853" s="551"/>
      <c r="U853" s="551"/>
      <c r="V853" s="551"/>
      <c r="W853" s="551"/>
      <c r="X853" s="551"/>
      <c r="Y853" s="551"/>
      <c r="Z853" s="551"/>
      <c r="AA853" s="551"/>
      <c r="AB853" s="551"/>
      <c r="AC853" s="551"/>
      <c r="AD853" s="551"/>
      <c r="AE853" s="551"/>
      <c r="AF853" s="551"/>
      <c r="AG853" s="551"/>
      <c r="AH853" s="551"/>
      <c r="AI853" s="551"/>
      <c r="AJ853" s="551"/>
      <c r="AK853" s="551"/>
      <c r="AL853" s="551"/>
      <c r="AM853" s="551"/>
      <c r="AN853" s="551"/>
      <c r="AO853" s="551"/>
      <c r="AP853" s="551"/>
      <c r="AQ853" s="551"/>
      <c r="AR853" s="551"/>
      <c r="AS853" s="551"/>
      <c r="AT853" s="551"/>
      <c r="AU853" s="551"/>
      <c r="AV853" s="551"/>
      <c r="AW853" s="551"/>
      <c r="AX853" s="551"/>
      <c r="AY853" s="551"/>
      <c r="AZ853" s="551"/>
      <c r="BA853" s="551"/>
      <c r="BB853" s="551"/>
      <c r="BC853" s="551"/>
      <c r="BD853" s="551"/>
      <c r="BE853" s="551"/>
      <c r="BF853" s="551"/>
      <c r="BG853" s="551"/>
      <c r="BH853" s="551"/>
      <c r="BI853" s="551"/>
      <c r="BJ853" s="551"/>
      <c r="BK853" s="551"/>
    </row>
    <row r="854" spans="1:63" ht="12.75" customHeight="1">
      <c r="A854" s="551"/>
      <c r="B854" s="551"/>
      <c r="C854" s="551"/>
      <c r="D854" s="551"/>
      <c r="E854" s="551"/>
      <c r="F854" s="551"/>
      <c r="G854" s="551"/>
      <c r="H854" s="551"/>
      <c r="I854" s="551"/>
      <c r="J854" s="551"/>
      <c r="K854" s="551"/>
      <c r="L854" s="551"/>
      <c r="M854" s="551"/>
      <c r="N854" s="551"/>
      <c r="O854" s="551"/>
      <c r="P854" s="551"/>
      <c r="Q854" s="551"/>
      <c r="R854" s="551"/>
      <c r="S854" s="551"/>
      <c r="T854" s="551"/>
      <c r="U854" s="551"/>
      <c r="V854" s="551"/>
      <c r="W854" s="551"/>
      <c r="X854" s="551"/>
      <c r="Y854" s="551"/>
      <c r="Z854" s="551"/>
      <c r="AA854" s="551"/>
      <c r="AB854" s="551"/>
      <c r="AC854" s="551"/>
      <c r="AD854" s="551"/>
      <c r="AE854" s="551"/>
      <c r="AF854" s="551"/>
      <c r="AG854" s="551"/>
      <c r="AH854" s="551"/>
      <c r="AI854" s="551"/>
      <c r="AJ854" s="551"/>
      <c r="AK854" s="551"/>
      <c r="AL854" s="551"/>
      <c r="AM854" s="551"/>
      <c r="AN854" s="551"/>
      <c r="AO854" s="551"/>
      <c r="AP854" s="551"/>
      <c r="AQ854" s="551"/>
      <c r="AR854" s="551"/>
      <c r="AS854" s="551"/>
      <c r="AT854" s="551"/>
      <c r="AU854" s="551"/>
      <c r="AV854" s="551"/>
      <c r="AW854" s="551"/>
      <c r="AX854" s="551"/>
      <c r="AY854" s="551"/>
      <c r="AZ854" s="551"/>
      <c r="BA854" s="551"/>
      <c r="BB854" s="551"/>
      <c r="BC854" s="551"/>
      <c r="BD854" s="551"/>
      <c r="BE854" s="551"/>
      <c r="BF854" s="551"/>
      <c r="BG854" s="551"/>
      <c r="BH854" s="551"/>
      <c r="BI854" s="551"/>
      <c r="BJ854" s="551"/>
      <c r="BK854" s="551"/>
    </row>
    <row r="855" spans="1:63" ht="12.75" customHeight="1">
      <c r="A855" s="551"/>
      <c r="B855" s="551"/>
      <c r="C855" s="551"/>
      <c r="D855" s="551"/>
      <c r="E855" s="551"/>
      <c r="F855" s="551"/>
      <c r="G855" s="551"/>
      <c r="H855" s="551"/>
      <c r="I855" s="551"/>
      <c r="J855" s="551"/>
      <c r="K855" s="551"/>
      <c r="L855" s="551"/>
      <c r="M855" s="551"/>
      <c r="N855" s="551"/>
      <c r="O855" s="551"/>
      <c r="P855" s="551"/>
      <c r="Q855" s="551"/>
      <c r="R855" s="551"/>
      <c r="S855" s="551"/>
      <c r="T855" s="551"/>
      <c r="U855" s="551"/>
      <c r="V855" s="551"/>
      <c r="W855" s="551"/>
      <c r="X855" s="551"/>
      <c r="Y855" s="551"/>
      <c r="Z855" s="551"/>
      <c r="AA855" s="551"/>
      <c r="AB855" s="551"/>
      <c r="AC855" s="551"/>
      <c r="AD855" s="551"/>
      <c r="AE855" s="551"/>
      <c r="AF855" s="551"/>
      <c r="AG855" s="551"/>
      <c r="AH855" s="551"/>
      <c r="AI855" s="551"/>
      <c r="AJ855" s="551"/>
      <c r="AK855" s="551"/>
      <c r="AL855" s="551"/>
      <c r="AM855" s="551"/>
      <c r="AN855" s="551"/>
      <c r="AO855" s="551"/>
      <c r="AP855" s="551"/>
      <c r="AQ855" s="551"/>
      <c r="AR855" s="551"/>
      <c r="AS855" s="551"/>
      <c r="AT855" s="551"/>
      <c r="AU855" s="551"/>
      <c r="AV855" s="551"/>
      <c r="AW855" s="551"/>
      <c r="AX855" s="551"/>
      <c r="AY855" s="551"/>
      <c r="AZ855" s="551"/>
      <c r="BA855" s="551"/>
      <c r="BB855" s="551"/>
      <c r="BC855" s="551"/>
      <c r="BD855" s="551"/>
      <c r="BE855" s="551"/>
      <c r="BF855" s="551"/>
      <c r="BG855" s="551"/>
      <c r="BH855" s="551"/>
      <c r="BI855" s="551"/>
      <c r="BJ855" s="551"/>
      <c r="BK855" s="551"/>
    </row>
    <row r="856" spans="1:63" ht="12.75" customHeight="1">
      <c r="A856" s="551"/>
      <c r="B856" s="551"/>
      <c r="C856" s="551"/>
      <c r="D856" s="551"/>
      <c r="E856" s="551"/>
      <c r="F856" s="551"/>
      <c r="G856" s="551"/>
      <c r="H856" s="551"/>
      <c r="I856" s="551"/>
      <c r="J856" s="551"/>
      <c r="K856" s="551"/>
      <c r="L856" s="551"/>
      <c r="M856" s="551"/>
      <c r="N856" s="551"/>
      <c r="O856" s="551"/>
      <c r="P856" s="551"/>
      <c r="Q856" s="551"/>
      <c r="R856" s="551"/>
      <c r="S856" s="551"/>
      <c r="T856" s="551"/>
      <c r="U856" s="551"/>
      <c r="V856" s="551"/>
      <c r="W856" s="551"/>
      <c r="X856" s="551"/>
      <c r="Y856" s="551"/>
      <c r="Z856" s="551"/>
      <c r="AA856" s="551"/>
      <c r="AB856" s="551"/>
      <c r="AC856" s="551"/>
      <c r="AD856" s="551"/>
      <c r="AE856" s="551"/>
      <c r="AF856" s="551"/>
      <c r="AG856" s="551"/>
      <c r="AH856" s="551"/>
      <c r="AI856" s="551"/>
      <c r="AJ856" s="551"/>
      <c r="AK856" s="551"/>
      <c r="AL856" s="551"/>
      <c r="AM856" s="551"/>
      <c r="AN856" s="551"/>
      <c r="AO856" s="551"/>
      <c r="AP856" s="551"/>
      <c r="AQ856" s="551"/>
      <c r="AR856" s="551"/>
      <c r="AS856" s="551"/>
      <c r="AT856" s="551"/>
      <c r="AU856" s="551"/>
      <c r="AV856" s="551"/>
      <c r="AW856" s="551"/>
      <c r="AX856" s="551"/>
      <c r="AY856" s="551"/>
      <c r="AZ856" s="551"/>
      <c r="BA856" s="551"/>
      <c r="BB856" s="551"/>
      <c r="BC856" s="551"/>
      <c r="BD856" s="551"/>
      <c r="BE856" s="551"/>
      <c r="BF856" s="551"/>
      <c r="BG856" s="551"/>
      <c r="BH856" s="551"/>
      <c r="BI856" s="551"/>
      <c r="BJ856" s="551"/>
      <c r="BK856" s="551"/>
    </row>
    <row r="857" spans="1:63" ht="12.75" customHeight="1">
      <c r="A857" s="551"/>
      <c r="B857" s="551"/>
      <c r="C857" s="551"/>
      <c r="D857" s="551"/>
      <c r="E857" s="551"/>
      <c r="F857" s="551"/>
      <c r="G857" s="551"/>
      <c r="H857" s="551"/>
      <c r="I857" s="551"/>
      <c r="J857" s="551"/>
      <c r="K857" s="551"/>
      <c r="L857" s="551"/>
      <c r="M857" s="551"/>
      <c r="N857" s="551"/>
      <c r="O857" s="551"/>
      <c r="P857" s="551"/>
      <c r="Q857" s="551"/>
      <c r="R857" s="551"/>
      <c r="S857" s="551"/>
      <c r="T857" s="551"/>
      <c r="U857" s="551"/>
      <c r="V857" s="551"/>
      <c r="W857" s="551"/>
      <c r="X857" s="551"/>
      <c r="Y857" s="551"/>
      <c r="Z857" s="551"/>
      <c r="AA857" s="551"/>
      <c r="AB857" s="551"/>
      <c r="AC857" s="551"/>
      <c r="AD857" s="551"/>
      <c r="AE857" s="551"/>
      <c r="AF857" s="551"/>
      <c r="AG857" s="551"/>
      <c r="AH857" s="551"/>
      <c r="AI857" s="551"/>
      <c r="AJ857" s="551"/>
      <c r="AK857" s="551"/>
      <c r="AL857" s="551"/>
      <c r="AM857" s="551"/>
      <c r="AN857" s="551"/>
      <c r="AO857" s="551"/>
      <c r="AP857" s="551"/>
      <c r="AQ857" s="551"/>
      <c r="AR857" s="551"/>
      <c r="AS857" s="551"/>
      <c r="AT857" s="551"/>
      <c r="AU857" s="551"/>
      <c r="AV857" s="551"/>
      <c r="AW857" s="551"/>
      <c r="AX857" s="551"/>
      <c r="AY857" s="551"/>
      <c r="AZ857" s="551"/>
      <c r="BA857" s="551"/>
      <c r="BB857" s="551"/>
      <c r="BC857" s="551"/>
      <c r="BD857" s="551"/>
      <c r="BE857" s="551"/>
      <c r="BF857" s="551"/>
      <c r="BG857" s="551"/>
      <c r="BH857" s="551"/>
      <c r="BI857" s="551"/>
      <c r="BJ857" s="551"/>
      <c r="BK857" s="551"/>
    </row>
    <row r="858" spans="1:63" ht="12.75" customHeight="1">
      <c r="A858" s="551"/>
      <c r="B858" s="551"/>
      <c r="C858" s="551"/>
      <c r="D858" s="551"/>
      <c r="E858" s="551"/>
      <c r="F858" s="551"/>
      <c r="G858" s="551"/>
      <c r="H858" s="551"/>
      <c r="I858" s="551"/>
      <c r="J858" s="551"/>
      <c r="K858" s="551"/>
      <c r="L858" s="551"/>
      <c r="M858" s="551"/>
      <c r="N858" s="551"/>
      <c r="O858" s="551"/>
      <c r="P858" s="551"/>
      <c r="Q858" s="551"/>
      <c r="R858" s="551"/>
      <c r="S858" s="551"/>
      <c r="T858" s="551"/>
      <c r="U858" s="551"/>
      <c r="V858" s="551"/>
      <c r="W858" s="551"/>
      <c r="X858" s="551"/>
      <c r="Y858" s="551"/>
      <c r="Z858" s="551"/>
      <c r="AA858" s="551"/>
      <c r="AB858" s="551"/>
      <c r="AC858" s="551"/>
      <c r="AD858" s="551"/>
      <c r="AE858" s="551"/>
      <c r="AF858" s="551"/>
      <c r="AG858" s="551"/>
      <c r="AH858" s="551"/>
      <c r="AI858" s="551"/>
      <c r="AJ858" s="551"/>
      <c r="AK858" s="551"/>
      <c r="AL858" s="551"/>
      <c r="AM858" s="551"/>
      <c r="AN858" s="551"/>
      <c r="AO858" s="551"/>
      <c r="AP858" s="551"/>
      <c r="AQ858" s="551"/>
      <c r="AR858" s="551"/>
      <c r="AS858" s="551"/>
      <c r="AT858" s="551"/>
      <c r="AU858" s="551"/>
      <c r="AV858" s="551"/>
      <c r="AW858" s="551"/>
      <c r="AX858" s="551"/>
      <c r="AY858" s="551"/>
      <c r="AZ858" s="551"/>
      <c r="BA858" s="551"/>
      <c r="BB858" s="551"/>
      <c r="BC858" s="551"/>
      <c r="BD858" s="551"/>
      <c r="BE858" s="551"/>
      <c r="BF858" s="551"/>
      <c r="BG858" s="551"/>
      <c r="BH858" s="551"/>
      <c r="BI858" s="551"/>
      <c r="BJ858" s="551"/>
      <c r="BK858" s="551"/>
    </row>
    <row r="859" spans="1:63" ht="12.75" customHeight="1">
      <c r="A859" s="551"/>
      <c r="B859" s="551"/>
      <c r="C859" s="551"/>
      <c r="D859" s="551"/>
      <c r="E859" s="551"/>
      <c r="F859" s="551"/>
      <c r="G859" s="551"/>
      <c r="H859" s="551"/>
      <c r="I859" s="551"/>
      <c r="J859" s="551"/>
      <c r="K859" s="551"/>
      <c r="L859" s="551"/>
      <c r="M859" s="551"/>
      <c r="N859" s="551"/>
      <c r="O859" s="551"/>
      <c r="P859" s="551"/>
      <c r="Q859" s="551"/>
      <c r="R859" s="551"/>
      <c r="S859" s="551"/>
      <c r="T859" s="551"/>
      <c r="U859" s="551"/>
      <c r="V859" s="551"/>
      <c r="W859" s="551"/>
      <c r="X859" s="551"/>
      <c r="Y859" s="551"/>
      <c r="Z859" s="551"/>
      <c r="AA859" s="551"/>
      <c r="AB859" s="551"/>
      <c r="AC859" s="551"/>
      <c r="AD859" s="551"/>
      <c r="AE859" s="551"/>
      <c r="AF859" s="551"/>
      <c r="AG859" s="551"/>
      <c r="AH859" s="551"/>
      <c r="AI859" s="551"/>
      <c r="AJ859" s="551"/>
      <c r="AK859" s="551"/>
      <c r="AL859" s="551"/>
      <c r="AM859" s="551"/>
      <c r="AN859" s="551"/>
      <c r="AO859" s="551"/>
      <c r="AP859" s="551"/>
      <c r="AQ859" s="551"/>
      <c r="AR859" s="551"/>
      <c r="AS859" s="551"/>
      <c r="AT859" s="551"/>
      <c r="AU859" s="551"/>
      <c r="AV859" s="551"/>
      <c r="AW859" s="551"/>
      <c r="AX859" s="551"/>
      <c r="AY859" s="551"/>
      <c r="AZ859" s="551"/>
      <c r="BA859" s="551"/>
      <c r="BB859" s="551"/>
      <c r="BC859" s="551"/>
      <c r="BD859" s="551"/>
      <c r="BE859" s="551"/>
      <c r="BF859" s="551"/>
      <c r="BG859" s="551"/>
      <c r="BH859" s="551"/>
      <c r="BI859" s="551"/>
      <c r="BJ859" s="551"/>
      <c r="BK859" s="551"/>
    </row>
    <row r="860" spans="1:63" ht="12.75" customHeight="1">
      <c r="A860" s="551"/>
      <c r="B860" s="551"/>
      <c r="C860" s="551"/>
      <c r="D860" s="551"/>
      <c r="E860" s="551"/>
      <c r="F860" s="551"/>
      <c r="G860" s="551"/>
      <c r="H860" s="551"/>
      <c r="I860" s="551"/>
      <c r="J860" s="551"/>
      <c r="K860" s="551"/>
      <c r="L860" s="551"/>
      <c r="M860" s="551"/>
      <c r="N860" s="551"/>
      <c r="O860" s="551"/>
      <c r="P860" s="551"/>
      <c r="Q860" s="551"/>
      <c r="R860" s="551"/>
      <c r="S860" s="551"/>
      <c r="T860" s="551"/>
      <c r="U860" s="551"/>
      <c r="V860" s="551"/>
      <c r="W860" s="551"/>
      <c r="X860" s="551"/>
      <c r="Y860" s="551"/>
      <c r="Z860" s="551"/>
      <c r="AA860" s="551"/>
      <c r="AB860" s="551"/>
      <c r="AC860" s="551"/>
      <c r="AD860" s="551"/>
      <c r="AE860" s="551"/>
      <c r="AF860" s="551"/>
      <c r="AG860" s="551"/>
      <c r="AH860" s="551"/>
      <c r="AI860" s="551"/>
      <c r="AJ860" s="551"/>
      <c r="AK860" s="551"/>
      <c r="AL860" s="551"/>
      <c r="AM860" s="551"/>
      <c r="AN860" s="551"/>
      <c r="AO860" s="551"/>
      <c r="AP860" s="551"/>
      <c r="AQ860" s="551"/>
      <c r="AR860" s="551"/>
      <c r="AS860" s="551"/>
      <c r="AT860" s="551"/>
      <c r="AU860" s="551"/>
      <c r="AV860" s="551"/>
      <c r="AW860" s="551"/>
      <c r="AX860" s="551"/>
      <c r="AY860" s="551"/>
      <c r="AZ860" s="551"/>
      <c r="BA860" s="551"/>
      <c r="BB860" s="551"/>
      <c r="BC860" s="551"/>
      <c r="BD860" s="551"/>
      <c r="BE860" s="551"/>
      <c r="BF860" s="551"/>
      <c r="BG860" s="551"/>
      <c r="BH860" s="551"/>
      <c r="BI860" s="551"/>
      <c r="BJ860" s="551"/>
      <c r="BK860" s="551"/>
    </row>
    <row r="861" spans="1:63" ht="12.75" customHeight="1">
      <c r="A861" s="551"/>
      <c r="B861" s="551"/>
      <c r="C861" s="551"/>
      <c r="D861" s="551"/>
      <c r="E861" s="551"/>
      <c r="F861" s="551"/>
      <c r="G861" s="551"/>
      <c r="H861" s="551"/>
      <c r="I861" s="551"/>
      <c r="J861" s="551"/>
      <c r="K861" s="551"/>
      <c r="L861" s="551"/>
      <c r="M861" s="551"/>
      <c r="N861" s="551"/>
      <c r="O861" s="551"/>
      <c r="P861" s="551"/>
      <c r="Q861" s="551"/>
      <c r="R861" s="551"/>
      <c r="S861" s="551"/>
      <c r="T861" s="551"/>
      <c r="U861" s="551"/>
      <c r="V861" s="551"/>
      <c r="W861" s="551"/>
      <c r="X861" s="551"/>
      <c r="Y861" s="551"/>
      <c r="Z861" s="551"/>
      <c r="AA861" s="551"/>
      <c r="AB861" s="551"/>
      <c r="AC861" s="551"/>
      <c r="AD861" s="551"/>
      <c r="AE861" s="551"/>
      <c r="AF861" s="551"/>
      <c r="AG861" s="551"/>
      <c r="AH861" s="551"/>
      <c r="AI861" s="551"/>
      <c r="AJ861" s="551"/>
      <c r="AK861" s="551"/>
      <c r="AL861" s="551"/>
      <c r="AM861" s="551"/>
      <c r="AN861" s="551"/>
      <c r="AO861" s="551"/>
      <c r="AP861" s="551"/>
      <c r="AQ861" s="551"/>
      <c r="AR861" s="551"/>
      <c r="AS861" s="551"/>
      <c r="AT861" s="551"/>
      <c r="AU861" s="551"/>
      <c r="AV861" s="551"/>
      <c r="AW861" s="551"/>
      <c r="AX861" s="551"/>
      <c r="AY861" s="551"/>
      <c r="AZ861" s="551"/>
      <c r="BA861" s="551"/>
      <c r="BB861" s="551"/>
      <c r="BC861" s="551"/>
      <c r="BD861" s="551"/>
      <c r="BE861" s="551"/>
      <c r="BF861" s="551"/>
      <c r="BG861" s="551"/>
      <c r="BH861" s="551"/>
      <c r="BI861" s="551"/>
      <c r="BJ861" s="551"/>
      <c r="BK861" s="551"/>
    </row>
    <row r="862" spans="1:63" ht="12.75" customHeight="1">
      <c r="A862" s="551"/>
      <c r="B862" s="551"/>
      <c r="C862" s="551"/>
      <c r="D862" s="551"/>
      <c r="E862" s="551"/>
      <c r="F862" s="551"/>
      <c r="G862" s="551"/>
      <c r="H862" s="551"/>
      <c r="I862" s="551"/>
      <c r="J862" s="551"/>
      <c r="K862" s="551"/>
      <c r="L862" s="551"/>
      <c r="M862" s="551"/>
      <c r="N862" s="551"/>
      <c r="O862" s="551"/>
      <c r="P862" s="551"/>
      <c r="Q862" s="551"/>
      <c r="R862" s="551"/>
      <c r="S862" s="551"/>
      <c r="T862" s="551"/>
      <c r="U862" s="551"/>
      <c r="V862" s="551"/>
      <c r="W862" s="551"/>
      <c r="X862" s="551"/>
      <c r="Y862" s="551"/>
      <c r="Z862" s="551"/>
      <c r="AA862" s="551"/>
      <c r="AB862" s="551"/>
      <c r="AC862" s="551"/>
      <c r="AD862" s="551"/>
      <c r="AE862" s="551"/>
      <c r="AF862" s="551"/>
      <c r="AG862" s="551"/>
      <c r="AH862" s="551"/>
      <c r="AI862" s="551"/>
      <c r="AJ862" s="551"/>
      <c r="AK862" s="551"/>
      <c r="AL862" s="551"/>
      <c r="AM862" s="551"/>
      <c r="AN862" s="551"/>
      <c r="AO862" s="551"/>
      <c r="AP862" s="551"/>
      <c r="AQ862" s="551"/>
      <c r="AR862" s="551"/>
      <c r="AS862" s="551"/>
      <c r="AT862" s="551"/>
      <c r="AU862" s="551"/>
      <c r="AV862" s="551"/>
      <c r="AW862" s="551"/>
      <c r="AX862" s="551"/>
      <c r="AY862" s="551"/>
      <c r="AZ862" s="551"/>
      <c r="BA862" s="551"/>
      <c r="BB862" s="551"/>
      <c r="BC862" s="551"/>
      <c r="BD862" s="551"/>
      <c r="BE862" s="551"/>
      <c r="BF862" s="551"/>
      <c r="BG862" s="551"/>
      <c r="BH862" s="551"/>
      <c r="BI862" s="551"/>
      <c r="BJ862" s="551"/>
      <c r="BK862" s="551"/>
    </row>
    <row r="863" spans="1:63" ht="12.75" customHeight="1">
      <c r="A863" s="551"/>
      <c r="B863" s="551"/>
      <c r="C863" s="551"/>
      <c r="D863" s="551"/>
      <c r="E863" s="551"/>
      <c r="F863" s="551"/>
      <c r="G863" s="551"/>
      <c r="H863" s="551"/>
      <c r="I863" s="551"/>
      <c r="J863" s="551"/>
      <c r="K863" s="551"/>
      <c r="L863" s="551"/>
      <c r="M863" s="551"/>
      <c r="N863" s="551"/>
      <c r="O863" s="551"/>
      <c r="P863" s="551"/>
      <c r="Q863" s="551"/>
      <c r="R863" s="551"/>
      <c r="S863" s="551"/>
      <c r="T863" s="551"/>
      <c r="U863" s="551"/>
      <c r="V863" s="551"/>
      <c r="W863" s="551"/>
      <c r="X863" s="551"/>
      <c r="Y863" s="551"/>
      <c r="Z863" s="551"/>
      <c r="AA863" s="551"/>
      <c r="AB863" s="551"/>
      <c r="AC863" s="551"/>
      <c r="AD863" s="551"/>
      <c r="AE863" s="551"/>
      <c r="AF863" s="551"/>
      <c r="AG863" s="551"/>
      <c r="AH863" s="551"/>
      <c r="AI863" s="551"/>
      <c r="AJ863" s="551"/>
      <c r="AK863" s="551"/>
      <c r="AL863" s="551"/>
      <c r="AM863" s="551"/>
      <c r="AN863" s="551"/>
      <c r="AO863" s="551"/>
      <c r="AP863" s="551"/>
      <c r="AQ863" s="551"/>
      <c r="AR863" s="551"/>
      <c r="AS863" s="551"/>
      <c r="AT863" s="551"/>
      <c r="AU863" s="551"/>
      <c r="AV863" s="551"/>
      <c r="AW863" s="551"/>
      <c r="AX863" s="551"/>
      <c r="AY863" s="551"/>
      <c r="AZ863" s="551"/>
      <c r="BA863" s="551"/>
      <c r="BB863" s="551"/>
      <c r="BC863" s="551"/>
      <c r="BD863" s="551"/>
      <c r="BE863" s="551"/>
      <c r="BF863" s="551"/>
      <c r="BG863" s="551"/>
      <c r="BH863" s="551"/>
      <c r="BI863" s="551"/>
      <c r="BJ863" s="551"/>
      <c r="BK863" s="551"/>
    </row>
    <row r="864" spans="1:63" ht="12.75" customHeight="1">
      <c r="A864" s="551"/>
      <c r="B864" s="551"/>
      <c r="C864" s="551"/>
      <c r="D864" s="551"/>
      <c r="E864" s="551"/>
      <c r="F864" s="551"/>
      <c r="G864" s="551"/>
      <c r="H864" s="551"/>
      <c r="I864" s="551"/>
      <c r="J864" s="551"/>
      <c r="K864" s="551"/>
      <c r="L864" s="551"/>
      <c r="M864" s="551"/>
      <c r="N864" s="551"/>
      <c r="O864" s="551"/>
      <c r="P864" s="551"/>
      <c r="Q864" s="551"/>
      <c r="R864" s="551"/>
      <c r="S864" s="551"/>
      <c r="T864" s="551"/>
      <c r="U864" s="551"/>
      <c r="V864" s="551"/>
      <c r="W864" s="551"/>
      <c r="X864" s="551"/>
      <c r="Y864" s="551"/>
      <c r="Z864" s="551"/>
      <c r="AA864" s="551"/>
      <c r="AB864" s="551"/>
      <c r="AC864" s="551"/>
      <c r="AD864" s="551"/>
      <c r="AE864" s="551"/>
      <c r="AF864" s="551"/>
      <c r="AG864" s="551"/>
      <c r="AH864" s="551"/>
      <c r="AI864" s="551"/>
      <c r="AJ864" s="551"/>
      <c r="AK864" s="551"/>
      <c r="AL864" s="551"/>
      <c r="AM864" s="551"/>
      <c r="AN864" s="551"/>
      <c r="AO864" s="551"/>
      <c r="AP864" s="551"/>
      <c r="AQ864" s="551"/>
      <c r="AR864" s="551"/>
      <c r="AS864" s="551"/>
      <c r="AT864" s="551"/>
      <c r="AU864" s="551"/>
      <c r="AV864" s="551"/>
      <c r="AW864" s="551"/>
      <c r="AX864" s="551"/>
      <c r="AY864" s="551"/>
      <c r="AZ864" s="551"/>
      <c r="BA864" s="551"/>
      <c r="BB864" s="551"/>
      <c r="BC864" s="551"/>
      <c r="BD864" s="551"/>
      <c r="BE864" s="551"/>
      <c r="BF864" s="551"/>
      <c r="BG864" s="551"/>
      <c r="BH864" s="551"/>
      <c r="BI864" s="551"/>
      <c r="BJ864" s="551"/>
      <c r="BK864" s="551"/>
    </row>
    <row r="865" spans="1:63" ht="12.75" customHeight="1">
      <c r="A865" s="551"/>
      <c r="B865" s="551"/>
      <c r="C865" s="551"/>
      <c r="D865" s="551"/>
      <c r="E865" s="551"/>
      <c r="F865" s="551"/>
      <c r="G865" s="551"/>
      <c r="H865" s="551"/>
      <c r="I865" s="551"/>
      <c r="J865" s="551"/>
      <c r="K865" s="551"/>
      <c r="L865" s="551"/>
      <c r="M865" s="551"/>
      <c r="N865" s="551"/>
      <c r="O865" s="551"/>
      <c r="P865" s="551"/>
      <c r="Q865" s="551"/>
      <c r="R865" s="551"/>
      <c r="S865" s="551"/>
      <c r="T865" s="551"/>
      <c r="U865" s="551"/>
      <c r="V865" s="551"/>
      <c r="W865" s="551"/>
      <c r="X865" s="551"/>
      <c r="Y865" s="551"/>
      <c r="Z865" s="551"/>
      <c r="AA865" s="551"/>
      <c r="AB865" s="551"/>
      <c r="AC865" s="551"/>
      <c r="AD865" s="551"/>
      <c r="AE865" s="551"/>
      <c r="AF865" s="551"/>
      <c r="AG865" s="551"/>
      <c r="AH865" s="551"/>
      <c r="AI865" s="551"/>
      <c r="AJ865" s="551"/>
      <c r="AK865" s="551"/>
      <c r="AL865" s="551"/>
      <c r="AM865" s="551"/>
      <c r="AN865" s="551"/>
      <c r="AO865" s="551"/>
      <c r="AP865" s="551"/>
      <c r="AQ865" s="551"/>
      <c r="AR865" s="551"/>
      <c r="AS865" s="551"/>
      <c r="AT865" s="551"/>
      <c r="AU865" s="551"/>
      <c r="AV865" s="551"/>
      <c r="AW865" s="551"/>
      <c r="AX865" s="551"/>
      <c r="AY865" s="551"/>
      <c r="AZ865" s="551"/>
      <c r="BA865" s="551"/>
      <c r="BB865" s="551"/>
      <c r="BC865" s="551"/>
      <c r="BD865" s="551"/>
      <c r="BE865" s="551"/>
      <c r="BF865" s="551"/>
      <c r="BG865" s="551"/>
      <c r="BH865" s="551"/>
      <c r="BI865" s="551"/>
      <c r="BJ865" s="551"/>
      <c r="BK865" s="551"/>
    </row>
    <row r="866" spans="1:63" ht="12.75" customHeight="1">
      <c r="A866" s="551"/>
      <c r="B866" s="551"/>
      <c r="C866" s="551"/>
      <c r="D866" s="551"/>
      <c r="E866" s="551"/>
      <c r="F866" s="551"/>
      <c r="G866" s="551"/>
      <c r="H866" s="551"/>
      <c r="I866" s="551"/>
      <c r="J866" s="551"/>
      <c r="K866" s="551"/>
      <c r="L866" s="551"/>
      <c r="M866" s="551"/>
      <c r="N866" s="551"/>
      <c r="O866" s="551"/>
      <c r="P866" s="551"/>
      <c r="Q866" s="551"/>
      <c r="R866" s="551"/>
      <c r="S866" s="551"/>
      <c r="T866" s="551"/>
      <c r="U866" s="551"/>
      <c r="V866" s="551"/>
      <c r="W866" s="551"/>
      <c r="X866" s="551"/>
      <c r="Y866" s="551"/>
      <c r="Z866" s="551"/>
      <c r="AA866" s="551"/>
      <c r="AB866" s="551"/>
      <c r="AC866" s="551"/>
      <c r="AD866" s="551"/>
      <c r="AE866" s="551"/>
      <c r="AF866" s="551"/>
      <c r="AG866" s="551"/>
      <c r="AH866" s="551"/>
      <c r="AI866" s="551"/>
      <c r="AJ866" s="551"/>
      <c r="AK866" s="551"/>
      <c r="AL866" s="551"/>
      <c r="AM866" s="551"/>
      <c r="AN866" s="551"/>
      <c r="AO866" s="551"/>
      <c r="AP866" s="551"/>
      <c r="AQ866" s="551"/>
      <c r="AR866" s="551"/>
      <c r="AS866" s="551"/>
      <c r="AT866" s="551"/>
      <c r="AU866" s="551"/>
      <c r="AV866" s="551"/>
      <c r="AW866" s="551"/>
      <c r="AX866" s="551"/>
      <c r="AY866" s="551"/>
      <c r="AZ866" s="551"/>
      <c r="BA866" s="551"/>
      <c r="BB866" s="551"/>
      <c r="BC866" s="551"/>
      <c r="BD866" s="551"/>
      <c r="BE866" s="551"/>
      <c r="BF866" s="551"/>
      <c r="BG866" s="551"/>
      <c r="BH866" s="551"/>
      <c r="BI866" s="551"/>
      <c r="BJ866" s="551"/>
      <c r="BK866" s="551"/>
    </row>
    <row r="867" spans="1:63" ht="12.75" customHeight="1">
      <c r="A867" s="551"/>
      <c r="B867" s="551"/>
      <c r="C867" s="551"/>
      <c r="D867" s="551"/>
      <c r="E867" s="551"/>
      <c r="F867" s="551"/>
      <c r="G867" s="551"/>
      <c r="H867" s="551"/>
      <c r="I867" s="551"/>
      <c r="J867" s="551"/>
      <c r="K867" s="551"/>
      <c r="L867" s="551"/>
      <c r="M867" s="551"/>
      <c r="N867" s="551"/>
      <c r="O867" s="551"/>
      <c r="P867" s="551"/>
      <c r="Q867" s="551"/>
      <c r="R867" s="551"/>
      <c r="S867" s="551"/>
      <c r="T867" s="551"/>
      <c r="U867" s="551"/>
      <c r="V867" s="551"/>
      <c r="W867" s="551"/>
      <c r="X867" s="551"/>
      <c r="Y867" s="551"/>
      <c r="Z867" s="551"/>
      <c r="AA867" s="551"/>
      <c r="AB867" s="551"/>
      <c r="AC867" s="551"/>
      <c r="AD867" s="551"/>
      <c r="AE867" s="551"/>
      <c r="AF867" s="551"/>
      <c r="AG867" s="551"/>
      <c r="AH867" s="551"/>
      <c r="AI867" s="551"/>
      <c r="AJ867" s="551"/>
      <c r="AK867" s="551"/>
      <c r="AL867" s="551"/>
      <c r="AM867" s="551"/>
      <c r="AN867" s="551"/>
      <c r="AO867" s="551"/>
      <c r="AP867" s="551"/>
      <c r="AQ867" s="551"/>
      <c r="AR867" s="551"/>
      <c r="AS867" s="551"/>
      <c r="AT867" s="551"/>
      <c r="AU867" s="551"/>
      <c r="AV867" s="551"/>
      <c r="AW867" s="551"/>
      <c r="AX867" s="551"/>
      <c r="AY867" s="551"/>
      <c r="AZ867" s="551"/>
      <c r="BA867" s="551"/>
      <c r="BB867" s="551"/>
      <c r="BC867" s="551"/>
      <c r="BD867" s="551"/>
      <c r="BE867" s="551"/>
      <c r="BF867" s="551"/>
      <c r="BG867" s="551"/>
      <c r="BH867" s="551"/>
      <c r="BI867" s="551"/>
      <c r="BJ867" s="551"/>
      <c r="BK867" s="551"/>
    </row>
    <row r="868" spans="1:63" ht="12.75" customHeight="1">
      <c r="A868" s="551"/>
      <c r="B868" s="551"/>
      <c r="C868" s="551"/>
      <c r="D868" s="551"/>
      <c r="E868" s="551"/>
      <c r="F868" s="551"/>
      <c r="G868" s="551"/>
      <c r="H868" s="551"/>
      <c r="I868" s="551"/>
      <c r="J868" s="551"/>
      <c r="K868" s="551"/>
      <c r="L868" s="551"/>
      <c r="M868" s="551"/>
      <c r="N868" s="551"/>
      <c r="O868" s="551"/>
      <c r="P868" s="551"/>
      <c r="Q868" s="551"/>
      <c r="R868" s="551"/>
      <c r="S868" s="551"/>
      <c r="T868" s="551"/>
      <c r="U868" s="551"/>
      <c r="V868" s="551"/>
      <c r="W868" s="551"/>
      <c r="X868" s="551"/>
      <c r="Y868" s="551"/>
      <c r="Z868" s="551"/>
      <c r="AA868" s="551"/>
      <c r="AB868" s="551"/>
      <c r="AC868" s="551"/>
      <c r="AD868" s="551"/>
      <c r="AE868" s="551"/>
      <c r="AF868" s="551"/>
      <c r="AG868" s="551"/>
      <c r="AH868" s="551"/>
      <c r="AI868" s="551"/>
      <c r="AJ868" s="551"/>
      <c r="AK868" s="551"/>
      <c r="AL868" s="551"/>
      <c r="AM868" s="551"/>
      <c r="AN868" s="551"/>
      <c r="AO868" s="551"/>
      <c r="AP868" s="551"/>
      <c r="AQ868" s="551"/>
      <c r="AR868" s="551"/>
      <c r="AS868" s="551"/>
      <c r="AT868" s="551"/>
      <c r="AU868" s="551"/>
      <c r="AV868" s="551"/>
      <c r="AW868" s="551"/>
      <c r="AX868" s="551"/>
      <c r="AY868" s="551"/>
      <c r="AZ868" s="551"/>
      <c r="BA868" s="551"/>
      <c r="BB868" s="551"/>
      <c r="BC868" s="551"/>
      <c r="BD868" s="551"/>
      <c r="BE868" s="551"/>
      <c r="BF868" s="551"/>
      <c r="BG868" s="551"/>
      <c r="BH868" s="551"/>
      <c r="BI868" s="551"/>
      <c r="BJ868" s="551"/>
      <c r="BK868" s="551"/>
    </row>
    <row r="869" spans="1:63" ht="12.75" customHeight="1">
      <c r="A869" s="551"/>
      <c r="B869" s="551"/>
      <c r="C869" s="551"/>
      <c r="D869" s="551"/>
      <c r="E869" s="551"/>
      <c r="F869" s="551"/>
      <c r="G869" s="551"/>
      <c r="H869" s="551"/>
      <c r="I869" s="551"/>
      <c r="J869" s="551"/>
      <c r="K869" s="551"/>
      <c r="L869" s="551"/>
      <c r="M869" s="551"/>
      <c r="N869" s="551"/>
      <c r="O869" s="551"/>
      <c r="P869" s="551"/>
      <c r="Q869" s="551"/>
      <c r="R869" s="551"/>
      <c r="S869" s="551"/>
      <c r="T869" s="551"/>
      <c r="U869" s="551"/>
      <c r="V869" s="551"/>
      <c r="W869" s="551"/>
      <c r="X869" s="551"/>
      <c r="Y869" s="551"/>
      <c r="Z869" s="551"/>
      <c r="AA869" s="551"/>
      <c r="AB869" s="551"/>
      <c r="AC869" s="551"/>
      <c r="AD869" s="551"/>
      <c r="AE869" s="551"/>
      <c r="AF869" s="551"/>
      <c r="AG869" s="551"/>
      <c r="AH869" s="551"/>
      <c r="AI869" s="551"/>
      <c r="AJ869" s="551"/>
      <c r="AK869" s="551"/>
      <c r="AL869" s="551"/>
      <c r="AM869" s="551"/>
      <c r="AN869" s="551"/>
      <c r="AO869" s="551"/>
      <c r="AP869" s="551"/>
      <c r="AQ869" s="551"/>
      <c r="AR869" s="551"/>
      <c r="AS869" s="551"/>
      <c r="AT869" s="551"/>
      <c r="AU869" s="551"/>
      <c r="AV869" s="551"/>
      <c r="AW869" s="551"/>
      <c r="AX869" s="551"/>
      <c r="AY869" s="551"/>
      <c r="AZ869" s="551"/>
      <c r="BA869" s="551"/>
      <c r="BB869" s="551"/>
      <c r="BC869" s="551"/>
      <c r="BD869" s="551"/>
      <c r="BE869" s="551"/>
      <c r="BF869" s="551"/>
      <c r="BG869" s="551"/>
      <c r="BH869" s="551"/>
      <c r="BI869" s="551"/>
      <c r="BJ869" s="551"/>
      <c r="BK869" s="551"/>
    </row>
    <row r="870" spans="1:63" ht="12.75" customHeight="1">
      <c r="A870" s="551"/>
      <c r="B870" s="551"/>
      <c r="C870" s="551"/>
      <c r="D870" s="551"/>
      <c r="E870" s="551"/>
      <c r="F870" s="551"/>
      <c r="G870" s="551"/>
      <c r="H870" s="551"/>
      <c r="I870" s="551"/>
      <c r="J870" s="551"/>
      <c r="K870" s="551"/>
      <c r="L870" s="551"/>
      <c r="M870" s="551"/>
      <c r="N870" s="551"/>
      <c r="O870" s="551"/>
      <c r="P870" s="551"/>
      <c r="Q870" s="551"/>
      <c r="R870" s="551"/>
      <c r="S870" s="551"/>
      <c r="T870" s="551"/>
      <c r="U870" s="551"/>
      <c r="V870" s="551"/>
      <c r="W870" s="551"/>
      <c r="X870" s="551"/>
      <c r="Y870" s="551"/>
      <c r="Z870" s="551"/>
      <c r="AA870" s="551"/>
      <c r="AB870" s="551"/>
      <c r="AC870" s="551"/>
      <c r="AD870" s="551"/>
      <c r="AE870" s="551"/>
      <c r="AF870" s="551"/>
      <c r="AG870" s="551"/>
      <c r="AH870" s="551"/>
      <c r="AI870" s="551"/>
      <c r="AJ870" s="551"/>
      <c r="AK870" s="551"/>
      <c r="AL870" s="551"/>
      <c r="AM870" s="551"/>
      <c r="AN870" s="551"/>
      <c r="AO870" s="551"/>
      <c r="AP870" s="551"/>
      <c r="AQ870" s="551"/>
      <c r="AR870" s="551"/>
      <c r="AS870" s="551"/>
      <c r="AT870" s="551"/>
      <c r="AU870" s="551"/>
      <c r="AV870" s="551"/>
      <c r="AW870" s="551"/>
      <c r="AX870" s="551"/>
      <c r="AY870" s="551"/>
      <c r="AZ870" s="551"/>
      <c r="BA870" s="551"/>
      <c r="BB870" s="551"/>
      <c r="BC870" s="551"/>
      <c r="BD870" s="551"/>
      <c r="BE870" s="551"/>
      <c r="BF870" s="551"/>
      <c r="BG870" s="551"/>
      <c r="BH870" s="551"/>
      <c r="BI870" s="551"/>
      <c r="BJ870" s="551"/>
      <c r="BK870" s="551"/>
    </row>
    <row r="871" spans="1:63" ht="12.75" customHeight="1">
      <c r="A871" s="551"/>
      <c r="B871" s="551"/>
      <c r="C871" s="551"/>
      <c r="D871" s="551"/>
      <c r="E871" s="551"/>
      <c r="F871" s="551"/>
      <c r="G871" s="551"/>
      <c r="H871" s="551"/>
      <c r="I871" s="551"/>
      <c r="J871" s="551"/>
      <c r="K871" s="551"/>
      <c r="L871" s="551"/>
      <c r="M871" s="551"/>
      <c r="N871" s="551"/>
      <c r="O871" s="551"/>
      <c r="P871" s="551"/>
      <c r="Q871" s="551"/>
      <c r="R871" s="551"/>
      <c r="S871" s="551"/>
      <c r="T871" s="551"/>
      <c r="U871" s="551"/>
      <c r="V871" s="551"/>
      <c r="W871" s="551"/>
      <c r="X871" s="551"/>
      <c r="Y871" s="551"/>
      <c r="Z871" s="551"/>
      <c r="AA871" s="551"/>
      <c r="AB871" s="551"/>
      <c r="AC871" s="551"/>
      <c r="AD871" s="551"/>
      <c r="AE871" s="551"/>
      <c r="AF871" s="551"/>
      <c r="AG871" s="551"/>
      <c r="AH871" s="551"/>
      <c r="AI871" s="551"/>
      <c r="AJ871" s="551"/>
      <c r="AK871" s="551"/>
      <c r="AL871" s="551"/>
      <c r="AM871" s="551"/>
      <c r="AN871" s="551"/>
      <c r="AO871" s="551"/>
      <c r="AP871" s="551"/>
      <c r="AQ871" s="551"/>
      <c r="AR871" s="551"/>
      <c r="AS871" s="551"/>
      <c r="AT871" s="551"/>
      <c r="AU871" s="551"/>
      <c r="AV871" s="551"/>
      <c r="AW871" s="551"/>
      <c r="AX871" s="551"/>
      <c r="AY871" s="551"/>
      <c r="AZ871" s="551"/>
      <c r="BA871" s="551"/>
      <c r="BB871" s="551"/>
      <c r="BC871" s="551"/>
      <c r="BD871" s="551"/>
      <c r="BE871" s="551"/>
      <c r="BF871" s="551"/>
      <c r="BG871" s="551"/>
      <c r="BH871" s="551"/>
      <c r="BI871" s="551"/>
      <c r="BJ871" s="551"/>
      <c r="BK871" s="551"/>
    </row>
    <row r="872" spans="1:63" ht="12.75" customHeight="1">
      <c r="A872" s="551"/>
      <c r="B872" s="551"/>
      <c r="C872" s="551"/>
      <c r="D872" s="551"/>
      <c r="E872" s="551"/>
      <c r="F872" s="551"/>
      <c r="G872" s="551"/>
      <c r="H872" s="551"/>
      <c r="I872" s="551"/>
      <c r="J872" s="551"/>
      <c r="K872" s="551"/>
      <c r="L872" s="551"/>
      <c r="M872" s="551"/>
      <c r="N872" s="551"/>
      <c r="O872" s="551"/>
      <c r="P872" s="551"/>
      <c r="Q872" s="551"/>
      <c r="R872" s="551"/>
      <c r="S872" s="551"/>
      <c r="T872" s="551"/>
      <c r="U872" s="551"/>
      <c r="V872" s="551"/>
      <c r="W872" s="551"/>
      <c r="X872" s="551"/>
      <c r="Y872" s="551"/>
      <c r="Z872" s="551"/>
      <c r="AA872" s="551"/>
      <c r="AB872" s="551"/>
      <c r="AC872" s="551"/>
      <c r="AD872" s="551"/>
      <c r="AE872" s="551"/>
      <c r="AF872" s="551"/>
      <c r="AG872" s="551"/>
      <c r="AH872" s="551"/>
      <c r="AI872" s="551"/>
      <c r="AJ872" s="551"/>
      <c r="AK872" s="551"/>
      <c r="AL872" s="551"/>
      <c r="AM872" s="551"/>
      <c r="AN872" s="551"/>
      <c r="AO872" s="551"/>
      <c r="AP872" s="551"/>
      <c r="AQ872" s="551"/>
      <c r="AR872" s="551"/>
      <c r="AS872" s="551"/>
      <c r="AT872" s="551"/>
      <c r="AU872" s="551"/>
      <c r="AV872" s="551"/>
      <c r="AW872" s="551"/>
      <c r="AX872" s="551"/>
      <c r="AY872" s="551"/>
      <c r="AZ872" s="551"/>
      <c r="BA872" s="551"/>
      <c r="BB872" s="551"/>
      <c r="BC872" s="551"/>
      <c r="BD872" s="551"/>
      <c r="BE872" s="551"/>
      <c r="BF872" s="551"/>
      <c r="BG872" s="551"/>
      <c r="BH872" s="551"/>
      <c r="BI872" s="551"/>
      <c r="BJ872" s="551"/>
      <c r="BK872" s="551"/>
    </row>
    <row r="873" spans="1:63" ht="12.75" customHeight="1">
      <c r="A873" s="551"/>
      <c r="B873" s="551"/>
      <c r="C873" s="551"/>
      <c r="D873" s="551"/>
      <c r="E873" s="551"/>
      <c r="F873" s="551"/>
      <c r="G873" s="551"/>
      <c r="H873" s="551"/>
      <c r="I873" s="551"/>
      <c r="J873" s="551"/>
      <c r="K873" s="551"/>
      <c r="L873" s="551"/>
      <c r="M873" s="551"/>
      <c r="N873" s="551"/>
      <c r="O873" s="551"/>
      <c r="P873" s="551"/>
      <c r="Q873" s="551"/>
      <c r="R873" s="551"/>
      <c r="S873" s="551"/>
      <c r="T873" s="551"/>
      <c r="U873" s="551"/>
      <c r="V873" s="551"/>
      <c r="W873" s="551"/>
      <c r="X873" s="551"/>
      <c r="Y873" s="551"/>
      <c r="Z873" s="551"/>
      <c r="AA873" s="551"/>
      <c r="AB873" s="551"/>
      <c r="AC873" s="551"/>
      <c r="AD873" s="551"/>
      <c r="AE873" s="551"/>
      <c r="AF873" s="551"/>
      <c r="AG873" s="551"/>
      <c r="AH873" s="551"/>
      <c r="AI873" s="551"/>
      <c r="AJ873" s="551"/>
      <c r="AK873" s="551"/>
      <c r="AL873" s="551"/>
      <c r="AM873" s="551"/>
      <c r="AN873" s="551"/>
      <c r="AO873" s="551"/>
      <c r="AP873" s="551"/>
      <c r="AQ873" s="551"/>
      <c r="AR873" s="551"/>
      <c r="AS873" s="551"/>
      <c r="AT873" s="551"/>
      <c r="AU873" s="551"/>
      <c r="AV873" s="551"/>
      <c r="AW873" s="551"/>
      <c r="AX873" s="551"/>
      <c r="AY873" s="551"/>
      <c r="AZ873" s="551"/>
      <c r="BA873" s="551"/>
      <c r="BB873" s="551"/>
      <c r="BC873" s="551"/>
      <c r="BD873" s="551"/>
      <c r="BE873" s="551"/>
      <c r="BF873" s="551"/>
      <c r="BG873" s="551"/>
      <c r="BH873" s="551"/>
      <c r="BI873" s="551"/>
      <c r="BJ873" s="551"/>
      <c r="BK873" s="551"/>
    </row>
    <row r="874" spans="1:63" ht="12.75" customHeight="1">
      <c r="A874" s="551"/>
      <c r="B874" s="551"/>
      <c r="C874" s="551"/>
      <c r="D874" s="551"/>
      <c r="E874" s="551"/>
      <c r="F874" s="551"/>
      <c r="G874" s="551"/>
      <c r="H874" s="551"/>
      <c r="I874" s="551"/>
      <c r="J874" s="551"/>
      <c r="K874" s="551"/>
      <c r="L874" s="551"/>
      <c r="M874" s="551"/>
      <c r="N874" s="551"/>
      <c r="O874" s="551"/>
      <c r="P874" s="551"/>
      <c r="Q874" s="551"/>
      <c r="R874" s="551"/>
      <c r="S874" s="551"/>
      <c r="T874" s="551"/>
      <c r="U874" s="551"/>
      <c r="V874" s="551"/>
      <c r="W874" s="551"/>
      <c r="X874" s="551"/>
      <c r="Y874" s="551"/>
      <c r="Z874" s="551"/>
      <c r="AA874" s="551"/>
      <c r="AB874" s="551"/>
      <c r="AC874" s="551"/>
      <c r="AD874" s="551"/>
      <c r="AE874" s="551"/>
      <c r="AF874" s="551"/>
      <c r="AG874" s="551"/>
      <c r="AH874" s="551"/>
      <c r="AI874" s="551"/>
      <c r="AJ874" s="551"/>
      <c r="AK874" s="551"/>
      <c r="AL874" s="551"/>
      <c r="AM874" s="551"/>
      <c r="AN874" s="551"/>
      <c r="AO874" s="551"/>
      <c r="AP874" s="551"/>
      <c r="AQ874" s="551"/>
      <c r="AR874" s="551"/>
      <c r="AS874" s="551"/>
      <c r="AT874" s="551"/>
      <c r="AU874" s="551"/>
      <c r="AV874" s="551"/>
      <c r="AW874" s="551"/>
      <c r="AX874" s="551"/>
      <c r="AY874" s="551"/>
      <c r="AZ874" s="551"/>
      <c r="BA874" s="551"/>
      <c r="BB874" s="551"/>
      <c r="BC874" s="551"/>
      <c r="BD874" s="551"/>
      <c r="BE874" s="551"/>
      <c r="BF874" s="551"/>
      <c r="BG874" s="551"/>
      <c r="BH874" s="551"/>
      <c r="BI874" s="551"/>
      <c r="BJ874" s="551"/>
      <c r="BK874" s="551"/>
    </row>
    <row r="875" spans="1:63" ht="12.75" customHeight="1">
      <c r="A875" s="551"/>
      <c r="B875" s="551"/>
      <c r="C875" s="551"/>
      <c r="D875" s="551"/>
      <c r="E875" s="551"/>
      <c r="F875" s="551"/>
      <c r="G875" s="551"/>
      <c r="H875" s="551"/>
      <c r="I875" s="551"/>
      <c r="J875" s="551"/>
      <c r="K875" s="551"/>
      <c r="L875" s="551"/>
      <c r="M875" s="551"/>
      <c r="N875" s="551"/>
      <c r="O875" s="551"/>
      <c r="P875" s="551"/>
      <c r="Q875" s="551"/>
      <c r="R875" s="551"/>
      <c r="S875" s="551"/>
      <c r="T875" s="551"/>
      <c r="U875" s="551"/>
      <c r="V875" s="551"/>
      <c r="W875" s="551"/>
      <c r="X875" s="551"/>
      <c r="Y875" s="551"/>
      <c r="Z875" s="551"/>
      <c r="AA875" s="551"/>
      <c r="AB875" s="551"/>
      <c r="AC875" s="551"/>
      <c r="AD875" s="551"/>
      <c r="AE875" s="551"/>
      <c r="AF875" s="551"/>
      <c r="AG875" s="551"/>
      <c r="AH875" s="551"/>
      <c r="AI875" s="551"/>
      <c r="AJ875" s="551"/>
      <c r="AK875" s="551"/>
      <c r="AL875" s="551"/>
      <c r="AM875" s="551"/>
      <c r="AN875" s="551"/>
      <c r="AO875" s="551"/>
      <c r="AP875" s="551"/>
      <c r="AQ875" s="551"/>
      <c r="AR875" s="551"/>
      <c r="AS875" s="551"/>
      <c r="AT875" s="551"/>
      <c r="AU875" s="551"/>
      <c r="AV875" s="551"/>
      <c r="AW875" s="551"/>
      <c r="AX875" s="551"/>
      <c r="AY875" s="551"/>
      <c r="AZ875" s="551"/>
      <c r="BA875" s="551"/>
      <c r="BB875" s="551"/>
      <c r="BC875" s="551"/>
      <c r="BD875" s="551"/>
      <c r="BE875" s="551"/>
      <c r="BF875" s="551"/>
      <c r="BG875" s="551"/>
      <c r="BH875" s="551"/>
      <c r="BI875" s="551"/>
      <c r="BJ875" s="551"/>
      <c r="BK875" s="551"/>
    </row>
    <row r="876" spans="1:63" ht="12.75" customHeight="1">
      <c r="A876" s="551"/>
      <c r="B876" s="551"/>
      <c r="C876" s="551"/>
      <c r="D876" s="551"/>
      <c r="E876" s="551"/>
      <c r="F876" s="551"/>
      <c r="G876" s="551"/>
      <c r="H876" s="551"/>
      <c r="I876" s="551"/>
      <c r="J876" s="551"/>
      <c r="K876" s="551"/>
      <c r="L876" s="551"/>
      <c r="M876" s="551"/>
      <c r="N876" s="551"/>
      <c r="O876" s="551"/>
      <c r="P876" s="551"/>
      <c r="Q876" s="551"/>
      <c r="R876" s="551"/>
      <c r="S876" s="551"/>
      <c r="T876" s="551"/>
      <c r="U876" s="551"/>
      <c r="V876" s="551"/>
      <c r="W876" s="551"/>
      <c r="X876" s="551"/>
      <c r="Y876" s="551"/>
      <c r="Z876" s="551"/>
      <c r="AA876" s="551"/>
      <c r="AB876" s="551"/>
      <c r="AC876" s="551"/>
      <c r="AD876" s="551"/>
      <c r="AE876" s="551"/>
      <c r="AF876" s="551"/>
      <c r="AG876" s="551"/>
      <c r="AH876" s="551"/>
      <c r="AI876" s="551"/>
      <c r="AJ876" s="551"/>
      <c r="AK876" s="551"/>
      <c r="AL876" s="551"/>
      <c r="AM876" s="551"/>
      <c r="AN876" s="551"/>
      <c r="AO876" s="551"/>
      <c r="AP876" s="551"/>
      <c r="AQ876" s="551"/>
      <c r="AR876" s="551"/>
      <c r="AS876" s="551"/>
      <c r="AT876" s="551"/>
      <c r="AU876" s="551"/>
      <c r="AV876" s="551"/>
      <c r="AW876" s="551"/>
      <c r="AX876" s="551"/>
      <c r="AY876" s="551"/>
      <c r="AZ876" s="551"/>
      <c r="BA876" s="551"/>
      <c r="BB876" s="551"/>
      <c r="BC876" s="551"/>
      <c r="BD876" s="551"/>
      <c r="BE876" s="551"/>
      <c r="BF876" s="551"/>
      <c r="BG876" s="551"/>
      <c r="BH876" s="551"/>
      <c r="BI876" s="551"/>
      <c r="BJ876" s="551"/>
      <c r="BK876" s="551"/>
    </row>
    <row r="877" spans="1:63" ht="12.75" customHeight="1">
      <c r="A877" s="551"/>
      <c r="B877" s="551"/>
      <c r="C877" s="551"/>
      <c r="D877" s="551"/>
      <c r="E877" s="551"/>
      <c r="F877" s="551"/>
      <c r="G877" s="551"/>
      <c r="H877" s="551"/>
      <c r="I877" s="551"/>
      <c r="J877" s="551"/>
      <c r="K877" s="551"/>
      <c r="L877" s="551"/>
      <c r="M877" s="551"/>
      <c r="N877" s="551"/>
      <c r="O877" s="551"/>
      <c r="P877" s="551"/>
      <c r="Q877" s="551"/>
      <c r="R877" s="551"/>
      <c r="S877" s="551"/>
      <c r="T877" s="551"/>
      <c r="U877" s="551"/>
      <c r="V877" s="551"/>
      <c r="W877" s="551"/>
      <c r="X877" s="551"/>
      <c r="Y877" s="551"/>
      <c r="Z877" s="551"/>
      <c r="AA877" s="551"/>
      <c r="AB877" s="551"/>
      <c r="AC877" s="551"/>
      <c r="AD877" s="551"/>
      <c r="AE877" s="551"/>
      <c r="AF877" s="551"/>
      <c r="AG877" s="551"/>
      <c r="AH877" s="551"/>
      <c r="AI877" s="551"/>
      <c r="AJ877" s="551"/>
      <c r="AK877" s="551"/>
      <c r="AL877" s="551"/>
      <c r="AM877" s="551"/>
      <c r="AN877" s="551"/>
      <c r="AO877" s="551"/>
      <c r="AP877" s="551"/>
      <c r="AQ877" s="551"/>
      <c r="AR877" s="551"/>
      <c r="AS877" s="551"/>
      <c r="AT877" s="551"/>
      <c r="AU877" s="551"/>
      <c r="AV877" s="551"/>
      <c r="AW877" s="551"/>
      <c r="AX877" s="551"/>
      <c r="AY877" s="551"/>
      <c r="AZ877" s="551"/>
      <c r="BA877" s="551"/>
      <c r="BB877" s="551"/>
      <c r="BC877" s="551"/>
      <c r="BD877" s="551"/>
      <c r="BE877" s="551"/>
      <c r="BF877" s="551"/>
      <c r="BG877" s="551"/>
      <c r="BH877" s="551"/>
      <c r="BI877" s="551"/>
      <c r="BJ877" s="551"/>
      <c r="BK877" s="551"/>
    </row>
    <row r="878" spans="1:63" ht="12.75" customHeight="1">
      <c r="A878" s="551"/>
      <c r="B878" s="551"/>
      <c r="C878" s="551"/>
      <c r="D878" s="551"/>
      <c r="E878" s="551"/>
      <c r="F878" s="551"/>
      <c r="G878" s="551"/>
      <c r="H878" s="551"/>
      <c r="I878" s="551"/>
      <c r="J878" s="551"/>
      <c r="K878" s="551"/>
      <c r="L878" s="551"/>
      <c r="M878" s="551"/>
      <c r="N878" s="551"/>
      <c r="O878" s="551"/>
      <c r="P878" s="551"/>
      <c r="Q878" s="551"/>
      <c r="R878" s="551"/>
      <c r="S878" s="551"/>
      <c r="T878" s="551"/>
      <c r="U878" s="551"/>
      <c r="V878" s="551"/>
      <c r="W878" s="551"/>
      <c r="X878" s="551"/>
      <c r="Y878" s="551"/>
      <c r="Z878" s="551"/>
      <c r="AA878" s="551"/>
      <c r="AB878" s="551"/>
      <c r="AC878" s="551"/>
      <c r="AD878" s="551"/>
      <c r="AE878" s="551"/>
      <c r="AF878" s="551"/>
      <c r="AG878" s="551"/>
      <c r="AH878" s="551"/>
      <c r="AI878" s="551"/>
      <c r="AJ878" s="551"/>
      <c r="AK878" s="551"/>
      <c r="AL878" s="551"/>
      <c r="AM878" s="551"/>
      <c r="AN878" s="551"/>
      <c r="AO878" s="551"/>
      <c r="AP878" s="551"/>
      <c r="AQ878" s="551"/>
      <c r="AR878" s="551"/>
      <c r="AS878" s="551"/>
      <c r="AT878" s="551"/>
      <c r="AU878" s="551"/>
      <c r="AV878" s="551"/>
      <c r="AW878" s="551"/>
      <c r="AX878" s="551"/>
      <c r="AY878" s="551"/>
      <c r="AZ878" s="551"/>
      <c r="BA878" s="551"/>
      <c r="BB878" s="551"/>
      <c r="BC878" s="551"/>
      <c r="BD878" s="551"/>
      <c r="BE878" s="551"/>
      <c r="BF878" s="551"/>
      <c r="BG878" s="551"/>
      <c r="BH878" s="551"/>
      <c r="BI878" s="551"/>
      <c r="BJ878" s="551"/>
      <c r="BK878" s="551"/>
    </row>
    <row r="879" spans="1:63" ht="12.75" customHeight="1">
      <c r="A879" s="551"/>
      <c r="B879" s="551"/>
      <c r="C879" s="551"/>
      <c r="D879" s="551"/>
      <c r="E879" s="551"/>
      <c r="F879" s="551"/>
      <c r="G879" s="551"/>
      <c r="H879" s="551"/>
      <c r="I879" s="551"/>
      <c r="J879" s="551"/>
      <c r="K879" s="551"/>
      <c r="L879" s="551"/>
      <c r="M879" s="551"/>
      <c r="N879" s="551"/>
      <c r="O879" s="551"/>
      <c r="P879" s="551"/>
      <c r="Q879" s="551"/>
      <c r="R879" s="551"/>
      <c r="S879" s="551"/>
      <c r="T879" s="551"/>
      <c r="U879" s="551"/>
      <c r="V879" s="551"/>
      <c r="W879" s="551"/>
      <c r="X879" s="551"/>
      <c r="Y879" s="551"/>
      <c r="Z879" s="551"/>
      <c r="AA879" s="551"/>
      <c r="AB879" s="551"/>
      <c r="AC879" s="551"/>
      <c r="AD879" s="551"/>
      <c r="AE879" s="551"/>
      <c r="AF879" s="551"/>
      <c r="AG879" s="551"/>
      <c r="AH879" s="551"/>
      <c r="AI879" s="551"/>
      <c r="AJ879" s="551"/>
      <c r="AK879" s="551"/>
      <c r="AL879" s="551"/>
      <c r="AM879" s="551"/>
      <c r="AN879" s="551"/>
      <c r="AO879" s="551"/>
      <c r="AP879" s="551"/>
      <c r="AQ879" s="551"/>
      <c r="AR879" s="551"/>
      <c r="AS879" s="551"/>
      <c r="AT879" s="551"/>
      <c r="AU879" s="551"/>
      <c r="AV879" s="551"/>
      <c r="AW879" s="551"/>
      <c r="AX879" s="551"/>
      <c r="AY879" s="551"/>
      <c r="AZ879" s="551"/>
      <c r="BA879" s="551"/>
      <c r="BB879" s="551"/>
      <c r="BC879" s="551"/>
      <c r="BD879" s="551"/>
      <c r="BE879" s="551"/>
      <c r="BF879" s="551"/>
      <c r="BG879" s="551"/>
      <c r="BH879" s="551"/>
      <c r="BI879" s="551"/>
      <c r="BJ879" s="551"/>
      <c r="BK879" s="551"/>
    </row>
    <row r="880" spans="1:63" ht="12.75" customHeight="1">
      <c r="A880" s="551"/>
      <c r="B880" s="551"/>
      <c r="C880" s="551"/>
      <c r="D880" s="551"/>
      <c r="E880" s="551"/>
      <c r="F880" s="551"/>
      <c r="G880" s="551"/>
      <c r="H880" s="551"/>
      <c r="I880" s="551"/>
      <c r="J880" s="551"/>
      <c r="K880" s="551"/>
      <c r="L880" s="551"/>
      <c r="M880" s="551"/>
      <c r="N880" s="551"/>
      <c r="O880" s="551"/>
      <c r="P880" s="551"/>
      <c r="Q880" s="551"/>
      <c r="R880" s="551"/>
      <c r="S880" s="551"/>
      <c r="T880" s="551"/>
      <c r="U880" s="551"/>
      <c r="V880" s="551"/>
      <c r="W880" s="551"/>
      <c r="X880" s="551"/>
      <c r="Y880" s="551"/>
      <c r="Z880" s="551"/>
      <c r="AA880" s="551"/>
      <c r="AB880" s="551"/>
      <c r="AC880" s="551"/>
      <c r="AD880" s="551"/>
      <c r="AE880" s="551"/>
      <c r="AF880" s="551"/>
      <c r="AG880" s="551"/>
      <c r="AH880" s="551"/>
      <c r="AI880" s="551"/>
      <c r="AJ880" s="551"/>
      <c r="AK880" s="551"/>
      <c r="AL880" s="551"/>
      <c r="AM880" s="551"/>
      <c r="AN880" s="551"/>
      <c r="AO880" s="551"/>
      <c r="AP880" s="551"/>
      <c r="AQ880" s="551"/>
      <c r="AR880" s="551"/>
      <c r="AS880" s="551"/>
      <c r="AT880" s="551"/>
      <c r="AU880" s="551"/>
      <c r="AV880" s="551"/>
      <c r="AW880" s="551"/>
      <c r="AX880" s="551"/>
      <c r="AY880" s="551"/>
      <c r="AZ880" s="551"/>
      <c r="BA880" s="551"/>
      <c r="BB880" s="551"/>
      <c r="BC880" s="551"/>
      <c r="BD880" s="551"/>
      <c r="BE880" s="551"/>
      <c r="BF880" s="551"/>
      <c r="BG880" s="551"/>
      <c r="BH880" s="551"/>
      <c r="BI880" s="551"/>
      <c r="BJ880" s="551"/>
      <c r="BK880" s="551"/>
    </row>
    <row r="881" spans="1:63" ht="12.75" customHeight="1">
      <c r="A881" s="551"/>
      <c r="B881" s="551"/>
      <c r="C881" s="551"/>
      <c r="D881" s="551"/>
      <c r="E881" s="551"/>
      <c r="F881" s="551"/>
      <c r="G881" s="551"/>
      <c r="H881" s="551"/>
      <c r="I881" s="551"/>
      <c r="J881" s="551"/>
      <c r="K881" s="551"/>
      <c r="L881" s="551"/>
      <c r="M881" s="551"/>
      <c r="N881" s="551"/>
      <c r="O881" s="551"/>
      <c r="P881" s="551"/>
      <c r="Q881" s="551"/>
      <c r="R881" s="551"/>
      <c r="S881" s="551"/>
      <c r="T881" s="551"/>
      <c r="U881" s="551"/>
      <c r="V881" s="551"/>
      <c r="W881" s="551"/>
      <c r="X881" s="551"/>
      <c r="Y881" s="551"/>
      <c r="Z881" s="551"/>
      <c r="AA881" s="551"/>
      <c r="AB881" s="551"/>
      <c r="AC881" s="551"/>
      <c r="AD881" s="551"/>
      <c r="AE881" s="551"/>
      <c r="AF881" s="551"/>
      <c r="AG881" s="551"/>
      <c r="AH881" s="551"/>
      <c r="AI881" s="551"/>
      <c r="AJ881" s="551"/>
      <c r="AK881" s="551"/>
      <c r="AL881" s="551"/>
      <c r="AM881" s="551"/>
      <c r="AN881" s="551"/>
      <c r="AO881" s="551"/>
      <c r="AP881" s="551"/>
      <c r="AQ881" s="551"/>
      <c r="AR881" s="551"/>
      <c r="AS881" s="551"/>
      <c r="AT881" s="551"/>
      <c r="AU881" s="551"/>
      <c r="AV881" s="551"/>
      <c r="AW881" s="551"/>
      <c r="AX881" s="551"/>
      <c r="AY881" s="551"/>
      <c r="AZ881" s="551"/>
      <c r="BA881" s="551"/>
      <c r="BB881" s="551"/>
      <c r="BC881" s="551"/>
      <c r="BD881" s="551"/>
      <c r="BE881" s="551"/>
      <c r="BF881" s="551"/>
      <c r="BG881" s="551"/>
      <c r="BH881" s="551"/>
      <c r="BI881" s="551"/>
      <c r="BJ881" s="551"/>
      <c r="BK881" s="551"/>
    </row>
    <row r="882" spans="1:63" ht="12.75" customHeight="1">
      <c r="A882" s="551"/>
      <c r="B882" s="551"/>
      <c r="C882" s="551"/>
      <c r="D882" s="551"/>
      <c r="E882" s="551"/>
      <c r="F882" s="551"/>
      <c r="G882" s="551"/>
      <c r="H882" s="551"/>
      <c r="I882" s="551"/>
      <c r="J882" s="551"/>
      <c r="K882" s="551"/>
      <c r="L882" s="551"/>
      <c r="M882" s="551"/>
      <c r="N882" s="551"/>
      <c r="O882" s="551"/>
      <c r="P882" s="551"/>
      <c r="Q882" s="551"/>
      <c r="R882" s="551"/>
      <c r="S882" s="551"/>
      <c r="T882" s="551"/>
      <c r="U882" s="551"/>
      <c r="V882" s="551"/>
      <c r="W882" s="551"/>
      <c r="X882" s="551"/>
      <c r="Y882" s="551"/>
      <c r="Z882" s="551"/>
      <c r="AA882" s="551"/>
      <c r="AB882" s="551"/>
      <c r="AC882" s="551"/>
      <c r="AD882" s="551"/>
      <c r="AE882" s="551"/>
      <c r="AF882" s="551"/>
      <c r="AG882" s="551"/>
      <c r="AH882" s="551"/>
      <c r="AI882" s="551"/>
      <c r="AJ882" s="551"/>
      <c r="AK882" s="551"/>
      <c r="AL882" s="551"/>
      <c r="AM882" s="551"/>
      <c r="AN882" s="551"/>
      <c r="AO882" s="551"/>
      <c r="AP882" s="551"/>
      <c r="AQ882" s="551"/>
      <c r="AR882" s="551"/>
      <c r="AS882" s="551"/>
      <c r="AT882" s="551"/>
      <c r="AU882" s="551"/>
      <c r="AV882" s="551"/>
      <c r="AW882" s="551"/>
      <c r="AX882" s="551"/>
      <c r="AY882" s="551"/>
      <c r="AZ882" s="551"/>
      <c r="BA882" s="551"/>
      <c r="BB882" s="551"/>
      <c r="BC882" s="551"/>
      <c r="BD882" s="551"/>
      <c r="BE882" s="551"/>
      <c r="BF882" s="551"/>
      <c r="BG882" s="551"/>
      <c r="BH882" s="551"/>
      <c r="BI882" s="551"/>
      <c r="BJ882" s="551"/>
      <c r="BK882" s="551"/>
    </row>
    <row r="883" spans="1:63" ht="12.75" customHeight="1">
      <c r="A883" s="551"/>
      <c r="B883" s="551"/>
      <c r="C883" s="551"/>
      <c r="D883" s="551"/>
      <c r="E883" s="551"/>
      <c r="F883" s="551"/>
      <c r="G883" s="551"/>
      <c r="H883" s="551"/>
      <c r="I883" s="551"/>
      <c r="J883" s="551"/>
      <c r="K883" s="551"/>
      <c r="L883" s="551"/>
      <c r="M883" s="551"/>
      <c r="N883" s="551"/>
      <c r="O883" s="551"/>
      <c r="P883" s="551"/>
      <c r="Q883" s="551"/>
      <c r="R883" s="551"/>
      <c r="S883" s="551"/>
      <c r="T883" s="551"/>
      <c r="U883" s="551"/>
      <c r="V883" s="551"/>
      <c r="W883" s="551"/>
      <c r="X883" s="551"/>
      <c r="Y883" s="551"/>
      <c r="Z883" s="551"/>
      <c r="AA883" s="551"/>
      <c r="AB883" s="551"/>
      <c r="AC883" s="551"/>
      <c r="AD883" s="551"/>
      <c r="AE883" s="551"/>
      <c r="AF883" s="551"/>
      <c r="AG883" s="551"/>
      <c r="AH883" s="551"/>
      <c r="AI883" s="551"/>
      <c r="AJ883" s="551"/>
      <c r="AK883" s="551"/>
      <c r="AL883" s="551"/>
      <c r="AM883" s="551"/>
      <c r="AN883" s="551"/>
      <c r="AO883" s="551"/>
      <c r="AP883" s="551"/>
      <c r="AQ883" s="551"/>
      <c r="AR883" s="551"/>
      <c r="AS883" s="551"/>
      <c r="AT883" s="551"/>
      <c r="AU883" s="551"/>
      <c r="AV883" s="551"/>
      <c r="AW883" s="551"/>
      <c r="AX883" s="551"/>
      <c r="AY883" s="551"/>
      <c r="AZ883" s="551"/>
      <c r="BA883" s="551"/>
      <c r="BB883" s="551"/>
      <c r="BC883" s="551"/>
      <c r="BD883" s="551"/>
      <c r="BE883" s="551"/>
      <c r="BF883" s="551"/>
      <c r="BG883" s="551"/>
      <c r="BH883" s="551"/>
      <c r="BI883" s="551"/>
      <c r="BJ883" s="551"/>
      <c r="BK883" s="551"/>
    </row>
    <row r="884" spans="1:63" ht="12.75" customHeight="1">
      <c r="A884" s="551"/>
      <c r="B884" s="551"/>
      <c r="C884" s="551"/>
      <c r="D884" s="551"/>
      <c r="E884" s="551"/>
      <c r="F884" s="551"/>
      <c r="G884" s="551"/>
      <c r="H884" s="551"/>
      <c r="I884" s="551"/>
      <c r="J884" s="551"/>
      <c r="K884" s="551"/>
      <c r="L884" s="551"/>
      <c r="M884" s="551"/>
      <c r="N884" s="551"/>
      <c r="O884" s="551"/>
      <c r="P884" s="551"/>
      <c r="Q884" s="551"/>
      <c r="R884" s="551"/>
      <c r="S884" s="551"/>
      <c r="T884" s="551"/>
      <c r="U884" s="551"/>
      <c r="V884" s="551"/>
      <c r="W884" s="551"/>
      <c r="X884" s="551"/>
      <c r="Y884" s="551"/>
      <c r="Z884" s="551"/>
      <c r="AA884" s="551"/>
      <c r="AB884" s="551"/>
      <c r="AC884" s="551"/>
      <c r="AD884" s="551"/>
      <c r="AE884" s="551"/>
      <c r="AF884" s="551"/>
      <c r="AG884" s="551"/>
      <c r="AH884" s="551"/>
      <c r="AI884" s="551"/>
      <c r="AJ884" s="551"/>
      <c r="AK884" s="551"/>
      <c r="AL884" s="551"/>
      <c r="AM884" s="551"/>
      <c r="AN884" s="551"/>
      <c r="AO884" s="551"/>
      <c r="AP884" s="551"/>
      <c r="AQ884" s="551"/>
      <c r="AR884" s="551"/>
      <c r="AS884" s="551"/>
      <c r="AT884" s="551"/>
      <c r="AU884" s="551"/>
      <c r="AV884" s="551"/>
      <c r="AW884" s="551"/>
      <c r="AX884" s="551"/>
      <c r="AY884" s="551"/>
      <c r="AZ884" s="551"/>
      <c r="BA884" s="551"/>
      <c r="BB884" s="551"/>
      <c r="BC884" s="551"/>
      <c r="BD884" s="551"/>
      <c r="BE884" s="551"/>
      <c r="BF884" s="551"/>
      <c r="BG884" s="551"/>
      <c r="BH884" s="551"/>
      <c r="BI884" s="551"/>
      <c r="BJ884" s="551"/>
      <c r="BK884" s="551"/>
    </row>
    <row r="885" spans="1:63" ht="12.75" customHeight="1">
      <c r="A885" s="551"/>
      <c r="B885" s="551"/>
      <c r="C885" s="551"/>
      <c r="D885" s="551"/>
      <c r="E885" s="551"/>
      <c r="F885" s="551"/>
      <c r="G885" s="551"/>
      <c r="H885" s="551"/>
      <c r="I885" s="551"/>
      <c r="J885" s="551"/>
      <c r="K885" s="551"/>
      <c r="L885" s="551"/>
      <c r="M885" s="551"/>
      <c r="N885" s="551"/>
      <c r="O885" s="551"/>
      <c r="P885" s="551"/>
      <c r="Q885" s="551"/>
      <c r="R885" s="551"/>
      <c r="S885" s="551"/>
      <c r="T885" s="551"/>
      <c r="U885" s="551"/>
      <c r="V885" s="551"/>
      <c r="W885" s="551"/>
      <c r="X885" s="551"/>
      <c r="Y885" s="551"/>
      <c r="Z885" s="551"/>
      <c r="AA885" s="551"/>
      <c r="AB885" s="551"/>
      <c r="AC885" s="551"/>
      <c r="AD885" s="551"/>
      <c r="AE885" s="551"/>
      <c r="AF885" s="551"/>
      <c r="AG885" s="551"/>
      <c r="AH885" s="551"/>
      <c r="AI885" s="551"/>
      <c r="AJ885" s="551"/>
      <c r="AK885" s="551"/>
      <c r="AL885" s="551"/>
      <c r="AM885" s="551"/>
      <c r="AN885" s="551"/>
      <c r="AO885" s="551"/>
      <c r="AP885" s="551"/>
      <c r="AQ885" s="551"/>
      <c r="AR885" s="551"/>
      <c r="AS885" s="551"/>
      <c r="AT885" s="551"/>
      <c r="AU885" s="551"/>
      <c r="AV885" s="551"/>
      <c r="AW885" s="551"/>
      <c r="AX885" s="551"/>
      <c r="AY885" s="551"/>
      <c r="AZ885" s="551"/>
      <c r="BA885" s="551"/>
      <c r="BB885" s="551"/>
      <c r="BC885" s="551"/>
      <c r="BD885" s="551"/>
      <c r="BE885" s="551"/>
      <c r="BF885" s="551"/>
      <c r="BG885" s="551"/>
      <c r="BH885" s="551"/>
      <c r="BI885" s="551"/>
      <c r="BJ885" s="551"/>
      <c r="BK885" s="551"/>
    </row>
    <row r="886" spans="1:63" ht="12.75" customHeight="1">
      <c r="A886" s="551"/>
      <c r="B886" s="551"/>
      <c r="C886" s="551"/>
      <c r="D886" s="551"/>
      <c r="E886" s="551"/>
      <c r="F886" s="551"/>
      <c r="G886" s="551"/>
      <c r="H886" s="551"/>
      <c r="I886" s="551"/>
      <c r="J886" s="551"/>
      <c r="K886" s="551"/>
      <c r="L886" s="551"/>
      <c r="M886" s="551"/>
      <c r="N886" s="551"/>
      <c r="O886" s="551"/>
      <c r="P886" s="551"/>
      <c r="Q886" s="551"/>
      <c r="R886" s="551"/>
      <c r="S886" s="551"/>
      <c r="T886" s="551"/>
      <c r="U886" s="551"/>
      <c r="V886" s="551"/>
      <c r="W886" s="551"/>
      <c r="X886" s="551"/>
      <c r="Y886" s="551"/>
      <c r="Z886" s="551"/>
      <c r="AA886" s="551"/>
      <c r="AB886" s="551"/>
      <c r="AC886" s="551"/>
      <c r="AD886" s="551"/>
      <c r="AE886" s="551"/>
      <c r="AF886" s="551"/>
      <c r="AG886" s="551"/>
      <c r="AH886" s="551"/>
      <c r="AI886" s="551"/>
      <c r="AJ886" s="551"/>
      <c r="AK886" s="551"/>
      <c r="AL886" s="551"/>
      <c r="AM886" s="551"/>
      <c r="AN886" s="551"/>
      <c r="AO886" s="551"/>
      <c r="AP886" s="551"/>
      <c r="AQ886" s="551"/>
      <c r="AR886" s="551"/>
      <c r="AS886" s="551"/>
      <c r="AT886" s="551"/>
      <c r="AU886" s="551"/>
      <c r="AV886" s="551"/>
      <c r="AW886" s="551"/>
      <c r="AX886" s="551"/>
      <c r="AY886" s="551"/>
      <c r="AZ886" s="551"/>
      <c r="BA886" s="551"/>
      <c r="BB886" s="551"/>
      <c r="BC886" s="551"/>
      <c r="BD886" s="551"/>
      <c r="BE886" s="551"/>
      <c r="BF886" s="551"/>
      <c r="BG886" s="551"/>
      <c r="BH886" s="551"/>
      <c r="BI886" s="551"/>
      <c r="BJ886" s="551"/>
      <c r="BK886" s="551"/>
    </row>
    <row r="887" spans="1:63" ht="12.75" customHeight="1">
      <c r="A887" s="551"/>
      <c r="B887" s="551"/>
      <c r="C887" s="551"/>
      <c r="D887" s="551"/>
      <c r="E887" s="551"/>
      <c r="F887" s="551"/>
      <c r="G887" s="551"/>
      <c r="H887" s="551"/>
      <c r="I887" s="551"/>
      <c r="J887" s="551"/>
      <c r="K887" s="551"/>
      <c r="L887" s="551"/>
      <c r="M887" s="551"/>
      <c r="N887" s="551"/>
      <c r="O887" s="551"/>
      <c r="P887" s="551"/>
      <c r="Q887" s="551"/>
      <c r="R887" s="551"/>
      <c r="S887" s="551"/>
      <c r="T887" s="551"/>
      <c r="U887" s="551"/>
      <c r="V887" s="551"/>
      <c r="W887" s="551"/>
      <c r="X887" s="551"/>
      <c r="Y887" s="551"/>
      <c r="Z887" s="551"/>
      <c r="AA887" s="551"/>
      <c r="AB887" s="551"/>
      <c r="AC887" s="551"/>
      <c r="AD887" s="551"/>
      <c r="AE887" s="551"/>
      <c r="AF887" s="551"/>
      <c r="AG887" s="551"/>
      <c r="AH887" s="551"/>
      <c r="AI887" s="551"/>
      <c r="AJ887" s="551"/>
      <c r="AK887" s="551"/>
      <c r="AL887" s="551"/>
      <c r="AM887" s="551"/>
      <c r="AN887" s="551"/>
      <c r="AO887" s="551"/>
      <c r="AP887" s="551"/>
      <c r="AQ887" s="551"/>
      <c r="AR887" s="551"/>
      <c r="AS887" s="551"/>
      <c r="AT887" s="551"/>
      <c r="AU887" s="551"/>
      <c r="AV887" s="551"/>
      <c r="AW887" s="551"/>
      <c r="AX887" s="551"/>
      <c r="AY887" s="551"/>
      <c r="AZ887" s="551"/>
      <c r="BA887" s="551"/>
      <c r="BB887" s="551"/>
      <c r="BC887" s="551"/>
      <c r="BD887" s="551"/>
      <c r="BE887" s="551"/>
      <c r="BF887" s="551"/>
      <c r="BG887" s="551"/>
      <c r="BH887" s="551"/>
      <c r="BI887" s="551"/>
      <c r="BJ887" s="551"/>
      <c r="BK887" s="551"/>
    </row>
    <row r="888" spans="1:63" ht="12.75" customHeight="1">
      <c r="A888" s="551"/>
      <c r="B888" s="551"/>
      <c r="C888" s="551"/>
      <c r="D888" s="551"/>
      <c r="E888" s="551"/>
      <c r="F888" s="551"/>
      <c r="G888" s="551"/>
      <c r="H888" s="551"/>
      <c r="I888" s="551"/>
      <c r="J888" s="551"/>
      <c r="K888" s="551"/>
      <c r="L888" s="551"/>
      <c r="M888" s="551"/>
      <c r="N888" s="551"/>
      <c r="O888" s="551"/>
      <c r="P888" s="551"/>
      <c r="Q888" s="551"/>
      <c r="R888" s="551"/>
      <c r="S888" s="551"/>
      <c r="T888" s="551"/>
      <c r="U888" s="551"/>
      <c r="V888" s="551"/>
      <c r="W888" s="551"/>
      <c r="X888" s="551"/>
      <c r="Y888" s="551"/>
      <c r="Z888" s="551"/>
      <c r="AA888" s="551"/>
      <c r="AB888" s="551"/>
      <c r="AC888" s="551"/>
      <c r="AD888" s="551"/>
      <c r="AE888" s="551"/>
      <c r="AF888" s="551"/>
      <c r="AG888" s="551"/>
      <c r="AH888" s="551"/>
      <c r="AI888" s="551"/>
      <c r="AJ888" s="551"/>
      <c r="AK888" s="551"/>
      <c r="AL888" s="551"/>
      <c r="AM888" s="551"/>
      <c r="AN888" s="551"/>
      <c r="AO888" s="551"/>
      <c r="AP888" s="551"/>
      <c r="AQ888" s="551"/>
      <c r="AR888" s="551"/>
      <c r="AS888" s="551"/>
      <c r="AT888" s="551"/>
      <c r="AU888" s="551"/>
      <c r="AV888" s="551"/>
      <c r="AW888" s="551"/>
      <c r="AX888" s="551"/>
      <c r="AY888" s="551"/>
      <c r="AZ888" s="551"/>
      <c r="BA888" s="551"/>
      <c r="BB888" s="551"/>
      <c r="BC888" s="551"/>
      <c r="BD888" s="551"/>
      <c r="BE888" s="551"/>
      <c r="BF888" s="551"/>
      <c r="BG888" s="551"/>
      <c r="BH888" s="551"/>
      <c r="BI888" s="551"/>
      <c r="BJ888" s="551"/>
      <c r="BK888" s="551"/>
    </row>
    <row r="889" spans="1:63" ht="12.75" customHeight="1">
      <c r="A889" s="551"/>
      <c r="B889" s="551"/>
      <c r="C889" s="551"/>
      <c r="D889" s="551"/>
      <c r="E889" s="551"/>
      <c r="F889" s="551"/>
      <c r="G889" s="551"/>
      <c r="H889" s="551"/>
      <c r="I889" s="551"/>
      <c r="J889" s="551"/>
      <c r="K889" s="551"/>
      <c r="L889" s="551"/>
      <c r="M889" s="551"/>
      <c r="N889" s="551"/>
      <c r="O889" s="551"/>
      <c r="P889" s="551"/>
      <c r="Q889" s="551"/>
      <c r="R889" s="551"/>
      <c r="S889" s="551"/>
      <c r="T889" s="551"/>
      <c r="U889" s="551"/>
      <c r="V889" s="551"/>
      <c r="W889" s="551"/>
      <c r="X889" s="551"/>
      <c r="Y889" s="551"/>
      <c r="Z889" s="551"/>
      <c r="AA889" s="551"/>
      <c r="AB889" s="551"/>
      <c r="AC889" s="551"/>
      <c r="AD889" s="551"/>
      <c r="AE889" s="551"/>
      <c r="AF889" s="551"/>
      <c r="AG889" s="551"/>
      <c r="AH889" s="551"/>
      <c r="AI889" s="551"/>
      <c r="AJ889" s="551"/>
      <c r="AK889" s="551"/>
      <c r="AL889" s="551"/>
      <c r="AM889" s="551"/>
      <c r="AN889" s="551"/>
      <c r="AO889" s="551"/>
      <c r="AP889" s="551"/>
      <c r="AQ889" s="551"/>
      <c r="AR889" s="551"/>
      <c r="AS889" s="551"/>
      <c r="AT889" s="551"/>
      <c r="AU889" s="551"/>
      <c r="AV889" s="551"/>
      <c r="AW889" s="551"/>
      <c r="AX889" s="551"/>
      <c r="AY889" s="551"/>
      <c r="AZ889" s="551"/>
      <c r="BA889" s="551"/>
      <c r="BB889" s="551"/>
      <c r="BC889" s="551"/>
      <c r="BD889" s="551"/>
      <c r="BE889" s="551"/>
      <c r="BF889" s="551"/>
      <c r="BG889" s="551"/>
      <c r="BH889" s="551"/>
      <c r="BI889" s="551"/>
      <c r="BJ889" s="551"/>
      <c r="BK889" s="551"/>
    </row>
    <row r="890" spans="1:63" ht="12.75" customHeight="1">
      <c r="A890" s="551"/>
      <c r="B890" s="551"/>
      <c r="C890" s="551"/>
      <c r="D890" s="551"/>
      <c r="E890" s="551"/>
      <c r="F890" s="551"/>
      <c r="G890" s="551"/>
      <c r="H890" s="551"/>
      <c r="I890" s="551"/>
      <c r="J890" s="551"/>
      <c r="K890" s="551"/>
      <c r="L890" s="551"/>
      <c r="M890" s="551"/>
      <c r="N890" s="551"/>
      <c r="O890" s="551"/>
      <c r="P890" s="551"/>
      <c r="Q890" s="551"/>
      <c r="R890" s="551"/>
      <c r="S890" s="551"/>
      <c r="T890" s="551"/>
      <c r="U890" s="551"/>
      <c r="V890" s="551"/>
      <c r="W890" s="551"/>
      <c r="X890" s="551"/>
      <c r="Y890" s="551"/>
      <c r="Z890" s="551"/>
      <c r="AA890" s="551"/>
      <c r="AB890" s="551"/>
      <c r="AC890" s="551"/>
      <c r="AD890" s="551"/>
      <c r="AE890" s="551"/>
      <c r="AF890" s="551"/>
      <c r="AG890" s="551"/>
      <c r="AH890" s="551"/>
      <c r="AI890" s="551"/>
      <c r="AJ890" s="551"/>
      <c r="AK890" s="551"/>
      <c r="AL890" s="551"/>
      <c r="AM890" s="551"/>
      <c r="AN890" s="551"/>
      <c r="AO890" s="551"/>
      <c r="AP890" s="551"/>
      <c r="AQ890" s="551"/>
      <c r="AR890" s="551"/>
      <c r="AS890" s="551"/>
      <c r="AT890" s="551"/>
      <c r="AU890" s="551"/>
      <c r="AV890" s="551"/>
      <c r="AW890" s="551"/>
      <c r="AX890" s="551"/>
      <c r="AY890" s="551"/>
      <c r="AZ890" s="551"/>
      <c r="BA890" s="551"/>
      <c r="BB890" s="551"/>
      <c r="BC890" s="551"/>
      <c r="BD890" s="551"/>
      <c r="BE890" s="551"/>
      <c r="BF890" s="551"/>
      <c r="BG890" s="551"/>
      <c r="BH890" s="551"/>
      <c r="BI890" s="551"/>
      <c r="BJ890" s="551"/>
      <c r="BK890" s="551"/>
    </row>
    <row r="891" spans="1:63" ht="12.75" customHeight="1">
      <c r="A891" s="551"/>
      <c r="B891" s="551"/>
      <c r="C891" s="551"/>
      <c r="D891" s="551"/>
      <c r="E891" s="551"/>
      <c r="F891" s="551"/>
      <c r="G891" s="551"/>
      <c r="H891" s="551"/>
      <c r="I891" s="551"/>
      <c r="J891" s="551"/>
      <c r="K891" s="551"/>
      <c r="L891" s="551"/>
      <c r="M891" s="551"/>
      <c r="N891" s="551"/>
      <c r="O891" s="551"/>
      <c r="P891" s="551"/>
      <c r="Q891" s="551"/>
      <c r="R891" s="551"/>
      <c r="S891" s="551"/>
      <c r="T891" s="551"/>
      <c r="U891" s="551"/>
      <c r="V891" s="551"/>
      <c r="W891" s="551"/>
      <c r="X891" s="551"/>
      <c r="Y891" s="551"/>
      <c r="Z891" s="551"/>
      <c r="AA891" s="551"/>
      <c r="AB891" s="551"/>
      <c r="AC891" s="551"/>
      <c r="AD891" s="551"/>
      <c r="AE891" s="551"/>
      <c r="AF891" s="551"/>
      <c r="AG891" s="551"/>
      <c r="AH891" s="551"/>
      <c r="AI891" s="551"/>
      <c r="AJ891" s="551"/>
      <c r="AK891" s="551"/>
      <c r="AL891" s="551"/>
      <c r="AM891" s="551"/>
      <c r="AN891" s="551"/>
      <c r="AO891" s="551"/>
      <c r="AP891" s="551"/>
      <c r="AQ891" s="551"/>
      <c r="AR891" s="551"/>
      <c r="AS891" s="551"/>
      <c r="AT891" s="551"/>
      <c r="AU891" s="551"/>
      <c r="AV891" s="551"/>
      <c r="AW891" s="551"/>
      <c r="AX891" s="551"/>
      <c r="AY891" s="551"/>
      <c r="AZ891" s="551"/>
      <c r="BA891" s="551"/>
      <c r="BB891" s="551"/>
      <c r="BC891" s="551"/>
      <c r="BD891" s="551"/>
      <c r="BE891" s="551"/>
      <c r="BF891" s="551"/>
      <c r="BG891" s="551"/>
      <c r="BH891" s="551"/>
      <c r="BI891" s="551"/>
      <c r="BJ891" s="551"/>
      <c r="BK891" s="551"/>
    </row>
    <row r="892" spans="1:63" ht="12.75" customHeight="1">
      <c r="A892" s="551"/>
      <c r="B892" s="551"/>
      <c r="C892" s="551"/>
      <c r="D892" s="551"/>
      <c r="E892" s="551"/>
      <c r="F892" s="551"/>
      <c r="G892" s="551"/>
      <c r="H892" s="551"/>
      <c r="I892" s="551"/>
      <c r="J892" s="551"/>
      <c r="K892" s="551"/>
      <c r="L892" s="551"/>
      <c r="M892" s="551"/>
      <c r="N892" s="551"/>
      <c r="O892" s="551"/>
      <c r="P892" s="551"/>
      <c r="Q892" s="551"/>
      <c r="R892" s="551"/>
      <c r="S892" s="551"/>
      <c r="T892" s="551"/>
      <c r="U892" s="551"/>
      <c r="V892" s="551"/>
      <c r="W892" s="551"/>
      <c r="X892" s="551"/>
      <c r="Y892" s="551"/>
      <c r="Z892" s="551"/>
      <c r="AA892" s="551"/>
      <c r="AB892" s="551"/>
      <c r="AC892" s="551"/>
      <c r="AD892" s="551"/>
      <c r="AE892" s="551"/>
      <c r="AF892" s="551"/>
      <c r="AG892" s="551"/>
      <c r="AH892" s="551"/>
      <c r="AI892" s="551"/>
      <c r="AJ892" s="551"/>
      <c r="AK892" s="551"/>
      <c r="AL892" s="551"/>
      <c r="AM892" s="551"/>
      <c r="AN892" s="551"/>
      <c r="AO892" s="551"/>
      <c r="AP892" s="551"/>
      <c r="AQ892" s="551"/>
      <c r="AR892" s="551"/>
      <c r="AS892" s="551"/>
      <c r="AT892" s="551"/>
      <c r="AU892" s="551"/>
      <c r="AV892" s="551"/>
      <c r="AW892" s="551"/>
      <c r="AX892" s="551"/>
      <c r="AY892" s="551"/>
      <c r="AZ892" s="551"/>
      <c r="BA892" s="551"/>
      <c r="BB892" s="551"/>
      <c r="BC892" s="551"/>
      <c r="BD892" s="551"/>
      <c r="BE892" s="551"/>
      <c r="BF892" s="551"/>
      <c r="BG892" s="551"/>
      <c r="BH892" s="551"/>
      <c r="BI892" s="551"/>
      <c r="BJ892" s="551"/>
      <c r="BK892" s="551"/>
    </row>
    <row r="893" spans="1:63" ht="12.75" customHeight="1">
      <c r="A893" s="551"/>
      <c r="B893" s="551"/>
      <c r="C893" s="551"/>
      <c r="D893" s="551"/>
      <c r="E893" s="551"/>
      <c r="F893" s="551"/>
      <c r="G893" s="551"/>
      <c r="H893" s="551"/>
      <c r="I893" s="551"/>
      <c r="J893" s="551"/>
      <c r="K893" s="551"/>
      <c r="L893" s="551"/>
      <c r="M893" s="551"/>
      <c r="N893" s="551"/>
      <c r="O893" s="551"/>
      <c r="P893" s="551"/>
      <c r="Q893" s="551"/>
      <c r="R893" s="551"/>
      <c r="S893" s="551"/>
      <c r="T893" s="551"/>
      <c r="U893" s="551"/>
      <c r="V893" s="551"/>
      <c r="W893" s="551"/>
      <c r="X893" s="551"/>
      <c r="Y893" s="551"/>
      <c r="Z893" s="551"/>
      <c r="AA893" s="551"/>
      <c r="AB893" s="551"/>
      <c r="AC893" s="551"/>
      <c r="AD893" s="551"/>
      <c r="AE893" s="551"/>
      <c r="AF893" s="551"/>
      <c r="AG893" s="551"/>
      <c r="AH893" s="551"/>
      <c r="AI893" s="551"/>
      <c r="AJ893" s="551"/>
      <c r="AK893" s="551"/>
      <c r="AL893" s="551"/>
      <c r="AM893" s="551"/>
      <c r="AN893" s="551"/>
      <c r="AO893" s="551"/>
      <c r="AP893" s="551"/>
      <c r="AQ893" s="551"/>
      <c r="AR893" s="551"/>
      <c r="AS893" s="551"/>
      <c r="AT893" s="551"/>
      <c r="AU893" s="551"/>
      <c r="AV893" s="551"/>
      <c r="AW893" s="551"/>
      <c r="AX893" s="551"/>
      <c r="AY893" s="551"/>
      <c r="AZ893" s="551"/>
      <c r="BA893" s="551"/>
      <c r="BB893" s="551"/>
      <c r="BC893" s="551"/>
      <c r="BD893" s="551"/>
      <c r="BE893" s="551"/>
      <c r="BF893" s="551"/>
      <c r="BG893" s="551"/>
      <c r="BH893" s="551"/>
      <c r="BI893" s="551"/>
      <c r="BJ893" s="551"/>
      <c r="BK893" s="551"/>
    </row>
    <row r="894" spans="1:63" ht="12.75" customHeight="1">
      <c r="A894" s="551"/>
      <c r="B894" s="551"/>
      <c r="C894" s="551"/>
      <c r="D894" s="551"/>
      <c r="E894" s="551"/>
      <c r="F894" s="551"/>
      <c r="G894" s="551"/>
      <c r="H894" s="551"/>
      <c r="I894" s="551"/>
      <c r="J894" s="551"/>
      <c r="K894" s="551"/>
      <c r="L894" s="551"/>
      <c r="M894" s="551"/>
      <c r="N894" s="551"/>
      <c r="O894" s="551"/>
      <c r="P894" s="551"/>
      <c r="Q894" s="551"/>
      <c r="R894" s="551"/>
      <c r="S894" s="551"/>
      <c r="T894" s="551"/>
      <c r="U894" s="551"/>
      <c r="V894" s="551"/>
      <c r="W894" s="551"/>
      <c r="X894" s="551"/>
      <c r="Y894" s="551"/>
      <c r="Z894" s="551"/>
      <c r="AA894" s="551"/>
      <c r="AB894" s="551"/>
      <c r="AC894" s="551"/>
      <c r="AD894" s="551"/>
      <c r="AE894" s="551"/>
      <c r="AF894" s="551"/>
      <c r="AG894" s="551"/>
      <c r="AH894" s="551"/>
      <c r="AI894" s="551"/>
      <c r="AJ894" s="551"/>
      <c r="AK894" s="551"/>
      <c r="AL894" s="551"/>
      <c r="AM894" s="551"/>
      <c r="AN894" s="551"/>
      <c r="AO894" s="551"/>
      <c r="AP894" s="551"/>
      <c r="AQ894" s="551"/>
      <c r="AR894" s="551"/>
      <c r="AS894" s="551"/>
      <c r="AT894" s="551"/>
      <c r="AU894" s="551"/>
      <c r="AV894" s="551"/>
      <c r="AW894" s="551"/>
      <c r="AX894" s="551"/>
      <c r="AY894" s="551"/>
      <c r="AZ894" s="551"/>
      <c r="BA894" s="551"/>
      <c r="BB894" s="551"/>
      <c r="BC894" s="551"/>
      <c r="BD894" s="551"/>
      <c r="BE894" s="551"/>
      <c r="BF894" s="551"/>
      <c r="BG894" s="551"/>
      <c r="BH894" s="551"/>
      <c r="BI894" s="551"/>
      <c r="BJ894" s="551"/>
      <c r="BK894" s="551"/>
    </row>
    <row r="895" spans="1:63" ht="12.75" customHeight="1">
      <c r="A895" s="551"/>
      <c r="B895" s="551"/>
      <c r="C895" s="551"/>
      <c r="D895" s="551"/>
      <c r="E895" s="551"/>
      <c r="F895" s="551"/>
      <c r="G895" s="551"/>
      <c r="H895" s="551"/>
      <c r="I895" s="551"/>
      <c r="J895" s="551"/>
      <c r="K895" s="551"/>
      <c r="L895" s="551"/>
      <c r="M895" s="551"/>
      <c r="N895" s="551"/>
      <c r="O895" s="551"/>
      <c r="P895" s="551"/>
      <c r="Q895" s="551"/>
      <c r="R895" s="551"/>
      <c r="S895" s="551"/>
      <c r="T895" s="551"/>
      <c r="U895" s="551"/>
      <c r="V895" s="551"/>
      <c r="W895" s="551"/>
      <c r="X895" s="551"/>
      <c r="Y895" s="551"/>
      <c r="Z895" s="551"/>
      <c r="AA895" s="551"/>
      <c r="AB895" s="551"/>
      <c r="AC895" s="551"/>
      <c r="AD895" s="551"/>
      <c r="AE895" s="551"/>
      <c r="AF895" s="551"/>
      <c r="AG895" s="551"/>
      <c r="AH895" s="551"/>
      <c r="AI895" s="551"/>
      <c r="AJ895" s="551"/>
      <c r="AK895" s="551"/>
      <c r="AL895" s="551"/>
      <c r="AM895" s="551"/>
      <c r="AN895" s="551"/>
      <c r="AO895" s="551"/>
      <c r="AP895" s="551"/>
      <c r="AQ895" s="551"/>
      <c r="AR895" s="551"/>
      <c r="AS895" s="551"/>
      <c r="AT895" s="551"/>
      <c r="AU895" s="551"/>
      <c r="AV895" s="551"/>
      <c r="AW895" s="551"/>
      <c r="AX895" s="551"/>
      <c r="AY895" s="551"/>
      <c r="AZ895" s="551"/>
      <c r="BA895" s="551"/>
      <c r="BB895" s="551"/>
      <c r="BC895" s="551"/>
      <c r="BD895" s="551"/>
      <c r="BE895" s="551"/>
      <c r="BF895" s="551"/>
      <c r="BG895" s="551"/>
      <c r="BH895" s="551"/>
      <c r="BI895" s="551"/>
      <c r="BJ895" s="551"/>
      <c r="BK895" s="551"/>
    </row>
    <row r="896" spans="1:63" ht="12.75" customHeight="1">
      <c r="A896" s="551"/>
      <c r="B896" s="551"/>
      <c r="C896" s="551"/>
      <c r="D896" s="551"/>
      <c r="E896" s="551"/>
      <c r="F896" s="551"/>
      <c r="G896" s="551"/>
      <c r="H896" s="551"/>
      <c r="I896" s="551"/>
      <c r="J896" s="551"/>
      <c r="K896" s="551"/>
      <c r="L896" s="551"/>
      <c r="M896" s="551"/>
      <c r="N896" s="551"/>
      <c r="O896" s="551"/>
      <c r="P896" s="551"/>
      <c r="Q896" s="551"/>
      <c r="R896" s="551"/>
      <c r="S896" s="551"/>
      <c r="T896" s="551"/>
      <c r="U896" s="551"/>
      <c r="V896" s="551"/>
      <c r="W896" s="551"/>
      <c r="X896" s="551"/>
      <c r="Y896" s="551"/>
      <c r="Z896" s="551"/>
      <c r="AA896" s="551"/>
      <c r="AB896" s="551"/>
      <c r="AC896" s="551"/>
      <c r="AD896" s="551"/>
      <c r="AE896" s="551"/>
      <c r="AF896" s="551"/>
      <c r="AG896" s="551"/>
      <c r="AH896" s="551"/>
      <c r="AI896" s="551"/>
      <c r="AJ896" s="551"/>
      <c r="AK896" s="551"/>
      <c r="AL896" s="551"/>
      <c r="AM896" s="551"/>
      <c r="AN896" s="551"/>
      <c r="AO896" s="551"/>
      <c r="AP896" s="551"/>
      <c r="AQ896" s="551"/>
      <c r="AR896" s="551"/>
      <c r="AS896" s="551"/>
      <c r="AT896" s="551"/>
      <c r="AU896" s="551"/>
      <c r="AV896" s="551"/>
      <c r="AW896" s="551"/>
      <c r="AX896" s="551"/>
      <c r="AY896" s="551"/>
      <c r="AZ896" s="551"/>
      <c r="BA896" s="551"/>
      <c r="BB896" s="551"/>
      <c r="BC896" s="551"/>
      <c r="BD896" s="551"/>
      <c r="BE896" s="551"/>
      <c r="BF896" s="551"/>
      <c r="BG896" s="551"/>
      <c r="BH896" s="551"/>
      <c r="BI896" s="551"/>
      <c r="BJ896" s="551"/>
      <c r="BK896" s="551"/>
    </row>
    <row r="897" spans="1:63" ht="12.75" customHeight="1">
      <c r="A897" s="551"/>
      <c r="B897" s="551"/>
      <c r="C897" s="551"/>
      <c r="D897" s="551"/>
      <c r="E897" s="551"/>
      <c r="F897" s="551"/>
      <c r="G897" s="551"/>
      <c r="H897" s="551"/>
      <c r="I897" s="551"/>
      <c r="J897" s="551"/>
      <c r="K897" s="551"/>
      <c r="L897" s="551"/>
      <c r="M897" s="551"/>
      <c r="N897" s="551"/>
      <c r="O897" s="551"/>
      <c r="P897" s="551"/>
      <c r="Q897" s="551"/>
      <c r="R897" s="551"/>
      <c r="S897" s="551"/>
      <c r="T897" s="551"/>
      <c r="U897" s="551"/>
      <c r="V897" s="551"/>
      <c r="W897" s="551"/>
      <c r="X897" s="551"/>
      <c r="Y897" s="551"/>
      <c r="Z897" s="551"/>
      <c r="AA897" s="551"/>
      <c r="AB897" s="551"/>
      <c r="AC897" s="551"/>
      <c r="AD897" s="551"/>
      <c r="AE897" s="551"/>
      <c r="AF897" s="551"/>
      <c r="AG897" s="551"/>
      <c r="AH897" s="551"/>
      <c r="AI897" s="551"/>
      <c r="AJ897" s="551"/>
      <c r="AK897" s="551"/>
      <c r="AL897" s="551"/>
      <c r="AM897" s="551"/>
      <c r="AN897" s="551"/>
      <c r="AO897" s="551"/>
      <c r="AP897" s="551"/>
      <c r="AQ897" s="551"/>
      <c r="AR897" s="551"/>
      <c r="AS897" s="551"/>
      <c r="AT897" s="551"/>
      <c r="AU897" s="551"/>
      <c r="AV897" s="551"/>
      <c r="AW897" s="551"/>
      <c r="AX897" s="551"/>
      <c r="AY897" s="551"/>
      <c r="AZ897" s="551"/>
      <c r="BA897" s="551"/>
      <c r="BB897" s="551"/>
      <c r="BC897" s="551"/>
      <c r="BD897" s="551"/>
      <c r="BE897" s="551"/>
      <c r="BF897" s="551"/>
      <c r="BG897" s="551"/>
      <c r="BH897" s="551"/>
      <c r="BI897" s="551"/>
      <c r="BJ897" s="551"/>
      <c r="BK897" s="551"/>
    </row>
    <row r="898" spans="1:63" ht="12.75" customHeight="1">
      <c r="A898" s="551"/>
      <c r="B898" s="551"/>
      <c r="C898" s="551"/>
      <c r="D898" s="551"/>
      <c r="E898" s="551"/>
      <c r="F898" s="551"/>
      <c r="G898" s="551"/>
      <c r="H898" s="551"/>
      <c r="I898" s="551"/>
      <c r="J898" s="551"/>
      <c r="K898" s="551"/>
      <c r="L898" s="551"/>
      <c r="M898" s="551"/>
      <c r="N898" s="551"/>
      <c r="O898" s="551"/>
      <c r="P898" s="551"/>
      <c r="Q898" s="551"/>
      <c r="R898" s="551"/>
      <c r="S898" s="551"/>
      <c r="T898" s="551"/>
      <c r="U898" s="551"/>
      <c r="V898" s="551"/>
      <c r="W898" s="551"/>
      <c r="X898" s="551"/>
      <c r="Y898" s="551"/>
      <c r="Z898" s="551"/>
      <c r="AA898" s="551"/>
      <c r="AB898" s="551"/>
      <c r="AC898" s="551"/>
      <c r="AD898" s="551"/>
      <c r="AE898" s="551"/>
      <c r="AF898" s="551"/>
      <c r="AG898" s="551"/>
      <c r="AH898" s="551"/>
      <c r="AI898" s="551"/>
      <c r="AJ898" s="551"/>
      <c r="AK898" s="551"/>
      <c r="AL898" s="551"/>
      <c r="AM898" s="551"/>
      <c r="AN898" s="551"/>
      <c r="AO898" s="551"/>
      <c r="AP898" s="551"/>
      <c r="AQ898" s="551"/>
      <c r="AR898" s="551"/>
      <c r="AS898" s="551"/>
      <c r="AT898" s="551"/>
      <c r="AU898" s="551"/>
      <c r="AV898" s="551"/>
      <c r="AW898" s="551"/>
      <c r="AX898" s="551"/>
      <c r="AY898" s="551"/>
      <c r="AZ898" s="551"/>
      <c r="BA898" s="551"/>
      <c r="BB898" s="551"/>
      <c r="BC898" s="551"/>
      <c r="BD898" s="551"/>
      <c r="BE898" s="551"/>
      <c r="BF898" s="551"/>
      <c r="BG898" s="551"/>
      <c r="BH898" s="551"/>
      <c r="BI898" s="551"/>
      <c r="BJ898" s="551"/>
      <c r="BK898" s="551"/>
    </row>
    <row r="899" spans="1:63" ht="12.75" customHeight="1">
      <c r="A899" s="551"/>
      <c r="B899" s="551"/>
      <c r="C899" s="551"/>
      <c r="D899" s="551"/>
      <c r="E899" s="551"/>
      <c r="F899" s="551"/>
      <c r="G899" s="551"/>
      <c r="H899" s="551"/>
      <c r="I899" s="551"/>
      <c r="J899" s="551"/>
      <c r="K899" s="551"/>
      <c r="L899" s="551"/>
      <c r="M899" s="551"/>
      <c r="N899" s="551"/>
      <c r="O899" s="551"/>
      <c r="P899" s="551"/>
      <c r="Q899" s="551"/>
      <c r="R899" s="551"/>
      <c r="S899" s="551"/>
      <c r="T899" s="551"/>
      <c r="U899" s="551"/>
      <c r="V899" s="551"/>
      <c r="W899" s="551"/>
      <c r="X899" s="551"/>
      <c r="Y899" s="551"/>
      <c r="Z899" s="551"/>
      <c r="AA899" s="551"/>
      <c r="AB899" s="551"/>
      <c r="AC899" s="551"/>
      <c r="AD899" s="551"/>
      <c r="AE899" s="551"/>
      <c r="AF899" s="551"/>
      <c r="AG899" s="551"/>
      <c r="AH899" s="551"/>
      <c r="AI899" s="551"/>
      <c r="AJ899" s="551"/>
      <c r="AK899" s="551"/>
      <c r="AL899" s="551"/>
      <c r="AM899" s="551"/>
      <c r="AN899" s="551"/>
      <c r="AO899" s="551"/>
      <c r="AP899" s="551"/>
      <c r="AQ899" s="551"/>
      <c r="AR899" s="551"/>
      <c r="AS899" s="551"/>
      <c r="AT899" s="551"/>
      <c r="AU899" s="551"/>
      <c r="AV899" s="551"/>
      <c r="AW899" s="551"/>
      <c r="AX899" s="551"/>
      <c r="AY899" s="551"/>
      <c r="AZ899" s="551"/>
      <c r="BA899" s="551"/>
      <c r="BB899" s="551"/>
      <c r="BC899" s="551"/>
      <c r="BD899" s="551"/>
      <c r="BE899" s="551"/>
      <c r="BF899" s="551"/>
      <c r="BG899" s="551"/>
      <c r="BH899" s="551"/>
      <c r="BI899" s="551"/>
      <c r="BJ899" s="551"/>
      <c r="BK899" s="551"/>
    </row>
    <row r="900" spans="1:63" ht="12.75" customHeight="1">
      <c r="A900" s="551"/>
      <c r="B900" s="551"/>
      <c r="C900" s="551"/>
      <c r="D900" s="551"/>
      <c r="E900" s="551"/>
      <c r="F900" s="551"/>
      <c r="G900" s="551"/>
      <c r="H900" s="551"/>
      <c r="I900" s="551"/>
      <c r="J900" s="551"/>
      <c r="K900" s="551"/>
      <c r="L900" s="551"/>
      <c r="M900" s="551"/>
      <c r="N900" s="551"/>
      <c r="O900" s="551"/>
      <c r="P900" s="551"/>
      <c r="Q900" s="551"/>
      <c r="R900" s="551"/>
      <c r="S900" s="551"/>
      <c r="T900" s="551"/>
      <c r="U900" s="551"/>
      <c r="V900" s="551"/>
      <c r="W900" s="551"/>
      <c r="X900" s="551"/>
      <c r="Y900" s="551"/>
      <c r="Z900" s="551"/>
      <c r="AA900" s="551"/>
      <c r="AB900" s="551"/>
      <c r="AC900" s="551"/>
      <c r="AD900" s="551"/>
      <c r="AE900" s="551"/>
      <c r="AF900" s="551"/>
      <c r="AG900" s="551"/>
      <c r="AH900" s="551"/>
      <c r="AI900" s="551"/>
      <c r="AJ900" s="551"/>
      <c r="AK900" s="551"/>
      <c r="AL900" s="551"/>
      <c r="AM900" s="551"/>
      <c r="AN900" s="551"/>
      <c r="AO900" s="551"/>
      <c r="AP900" s="551"/>
      <c r="AQ900" s="551"/>
      <c r="AR900" s="551"/>
      <c r="AS900" s="551"/>
      <c r="AT900" s="551"/>
      <c r="AU900" s="551"/>
      <c r="AV900" s="551"/>
      <c r="AW900" s="551"/>
      <c r="AX900" s="551"/>
      <c r="AY900" s="551"/>
      <c r="AZ900" s="551"/>
      <c r="BA900" s="551"/>
      <c r="BB900" s="551"/>
      <c r="BC900" s="551"/>
      <c r="BD900" s="551"/>
      <c r="BE900" s="551"/>
      <c r="BF900" s="551"/>
      <c r="BG900" s="551"/>
      <c r="BH900" s="551"/>
      <c r="BI900" s="551"/>
      <c r="BJ900" s="551"/>
      <c r="BK900" s="551"/>
    </row>
    <row r="901" spans="1:63" ht="12.75" customHeight="1">
      <c r="A901" s="551"/>
      <c r="B901" s="551"/>
      <c r="C901" s="551"/>
      <c r="D901" s="551"/>
      <c r="E901" s="551"/>
      <c r="F901" s="551"/>
      <c r="G901" s="551"/>
      <c r="H901" s="551"/>
      <c r="I901" s="551"/>
      <c r="J901" s="551"/>
      <c r="K901" s="551"/>
      <c r="L901" s="551"/>
      <c r="M901" s="551"/>
      <c r="N901" s="551"/>
      <c r="O901" s="551"/>
      <c r="P901" s="551"/>
      <c r="Q901" s="551"/>
      <c r="R901" s="551"/>
      <c r="S901" s="551"/>
      <c r="T901" s="551"/>
      <c r="U901" s="551"/>
      <c r="V901" s="551"/>
      <c r="W901" s="551"/>
      <c r="X901" s="551"/>
      <c r="Y901" s="551"/>
      <c r="Z901" s="551"/>
      <c r="AA901" s="551"/>
      <c r="AB901" s="551"/>
      <c r="AC901" s="551"/>
      <c r="AD901" s="551"/>
      <c r="AE901" s="551"/>
      <c r="AF901" s="551"/>
      <c r="AG901" s="551"/>
      <c r="AH901" s="551"/>
      <c r="AI901" s="551"/>
      <c r="AJ901" s="551"/>
      <c r="AK901" s="551"/>
      <c r="AL901" s="551"/>
      <c r="AM901" s="551"/>
      <c r="AN901" s="551"/>
      <c r="AO901" s="551"/>
      <c r="AP901" s="551"/>
      <c r="AQ901" s="551"/>
      <c r="AR901" s="551"/>
      <c r="AS901" s="551"/>
      <c r="AT901" s="551"/>
      <c r="AU901" s="551"/>
      <c r="AV901" s="551"/>
      <c r="AW901" s="551"/>
      <c r="AX901" s="551"/>
      <c r="AY901" s="551"/>
      <c r="AZ901" s="551"/>
      <c r="BA901" s="551"/>
      <c r="BB901" s="551"/>
      <c r="BC901" s="551"/>
      <c r="BD901" s="551"/>
      <c r="BE901" s="551"/>
      <c r="BF901" s="551"/>
      <c r="BG901" s="551"/>
      <c r="BH901" s="551"/>
      <c r="BI901" s="551"/>
      <c r="BJ901" s="551"/>
      <c r="BK901" s="551"/>
    </row>
    <row r="902" spans="1:63" ht="12.75" customHeight="1">
      <c r="A902" s="551"/>
      <c r="B902" s="551"/>
      <c r="C902" s="551"/>
      <c r="D902" s="551"/>
      <c r="E902" s="551"/>
      <c r="F902" s="551"/>
      <c r="G902" s="551"/>
      <c r="H902" s="551"/>
      <c r="I902" s="551"/>
      <c r="J902" s="551"/>
      <c r="K902" s="551"/>
      <c r="L902" s="551"/>
      <c r="M902" s="551"/>
      <c r="N902" s="551"/>
      <c r="O902" s="551"/>
      <c r="P902" s="551"/>
      <c r="Q902" s="551"/>
      <c r="R902" s="551"/>
      <c r="S902" s="551"/>
      <c r="T902" s="551"/>
      <c r="U902" s="551"/>
      <c r="V902" s="551"/>
      <c r="W902" s="551"/>
      <c r="X902" s="551"/>
      <c r="Y902" s="551"/>
      <c r="Z902" s="551"/>
      <c r="AA902" s="551"/>
      <c r="AB902" s="551"/>
      <c r="AC902" s="551"/>
      <c r="AD902" s="551"/>
      <c r="AE902" s="551"/>
      <c r="AF902" s="551"/>
      <c r="AG902" s="551"/>
      <c r="AH902" s="551"/>
      <c r="AI902" s="551"/>
      <c r="AJ902" s="551"/>
      <c r="AK902" s="551"/>
      <c r="AL902" s="551"/>
      <c r="AM902" s="551"/>
      <c r="AN902" s="551"/>
      <c r="AO902" s="551"/>
      <c r="AP902" s="551"/>
      <c r="AQ902" s="551"/>
      <c r="AR902" s="551"/>
      <c r="AS902" s="551"/>
      <c r="AT902" s="551"/>
      <c r="AU902" s="551"/>
      <c r="AV902" s="551"/>
      <c r="AW902" s="551"/>
      <c r="AX902" s="551"/>
      <c r="AY902" s="551"/>
      <c r="AZ902" s="551"/>
      <c r="BA902" s="551"/>
      <c r="BB902" s="551"/>
      <c r="BC902" s="551"/>
      <c r="BD902" s="551"/>
      <c r="BE902" s="551"/>
      <c r="BF902" s="551"/>
      <c r="BG902" s="551"/>
      <c r="BH902" s="551"/>
      <c r="BI902" s="551"/>
      <c r="BJ902" s="551"/>
      <c r="BK902" s="551"/>
    </row>
    <row r="903" spans="1:63" ht="12.75" customHeight="1">
      <c r="A903" s="551"/>
      <c r="B903" s="551"/>
      <c r="C903" s="551"/>
      <c r="D903" s="551"/>
      <c r="E903" s="551"/>
      <c r="F903" s="551"/>
      <c r="G903" s="551"/>
      <c r="H903" s="551"/>
      <c r="I903" s="551"/>
      <c r="J903" s="551"/>
      <c r="K903" s="551"/>
      <c r="L903" s="551"/>
      <c r="M903" s="551"/>
      <c r="N903" s="551"/>
      <c r="O903" s="551"/>
      <c r="P903" s="551"/>
      <c r="Q903" s="551"/>
      <c r="R903" s="551"/>
      <c r="S903" s="551"/>
      <c r="T903" s="551"/>
      <c r="U903" s="551"/>
      <c r="V903" s="551"/>
      <c r="W903" s="551"/>
      <c r="X903" s="551"/>
      <c r="Y903" s="551"/>
      <c r="Z903" s="551"/>
      <c r="AA903" s="551"/>
      <c r="AB903" s="551"/>
      <c r="AC903" s="551"/>
      <c r="AD903" s="551"/>
      <c r="AE903" s="551"/>
      <c r="AF903" s="551"/>
      <c r="AG903" s="551"/>
      <c r="AH903" s="551"/>
      <c r="AI903" s="551"/>
      <c r="AJ903" s="551"/>
      <c r="AK903" s="551"/>
      <c r="AL903" s="551"/>
      <c r="AM903" s="551"/>
      <c r="AN903" s="551"/>
      <c r="AO903" s="551"/>
      <c r="AP903" s="551"/>
      <c r="AQ903" s="551"/>
      <c r="AR903" s="551"/>
      <c r="AS903" s="551"/>
      <c r="AT903" s="551"/>
      <c r="AU903" s="551"/>
      <c r="AV903" s="551"/>
      <c r="AW903" s="551"/>
      <c r="AX903" s="551"/>
      <c r="AY903" s="551"/>
      <c r="AZ903" s="551"/>
      <c r="BA903" s="551"/>
      <c r="BB903" s="551"/>
      <c r="BC903" s="551"/>
      <c r="BD903" s="551"/>
      <c r="BE903" s="551"/>
      <c r="BF903" s="551"/>
      <c r="BG903" s="551"/>
      <c r="BH903" s="551"/>
      <c r="BI903" s="551"/>
      <c r="BJ903" s="551"/>
      <c r="BK903" s="551"/>
    </row>
    <row r="904" spans="1:63" ht="12.75" customHeight="1">
      <c r="A904" s="551"/>
      <c r="B904" s="551"/>
      <c r="C904" s="551"/>
      <c r="D904" s="551"/>
      <c r="E904" s="551"/>
      <c r="F904" s="551"/>
      <c r="G904" s="551"/>
      <c r="H904" s="551"/>
      <c r="I904" s="551"/>
      <c r="J904" s="551"/>
      <c r="K904" s="551"/>
      <c r="L904" s="551"/>
      <c r="M904" s="551"/>
      <c r="N904" s="551"/>
      <c r="O904" s="551"/>
      <c r="P904" s="551"/>
      <c r="Q904" s="551"/>
      <c r="R904" s="551"/>
      <c r="S904" s="551"/>
      <c r="T904" s="551"/>
      <c r="U904" s="551"/>
      <c r="V904" s="551"/>
      <c r="W904" s="551"/>
      <c r="X904" s="551"/>
      <c r="Y904" s="551"/>
      <c r="Z904" s="551"/>
      <c r="AA904" s="551"/>
      <c r="AB904" s="551"/>
      <c r="AC904" s="551"/>
      <c r="AD904" s="551"/>
      <c r="AE904" s="551"/>
      <c r="AF904" s="551"/>
      <c r="AG904" s="551"/>
      <c r="AH904" s="551"/>
      <c r="AI904" s="551"/>
      <c r="AJ904" s="551"/>
      <c r="AK904" s="551"/>
      <c r="AL904" s="551"/>
      <c r="AM904" s="551"/>
      <c r="AN904" s="551"/>
      <c r="AO904" s="551"/>
      <c r="AP904" s="551"/>
      <c r="AQ904" s="551"/>
      <c r="AR904" s="551"/>
      <c r="AS904" s="551"/>
      <c r="AT904" s="551"/>
      <c r="AU904" s="551"/>
      <c r="AV904" s="551"/>
      <c r="AW904" s="551"/>
      <c r="AX904" s="551"/>
      <c r="AY904" s="551"/>
      <c r="AZ904" s="551"/>
      <c r="BA904" s="551"/>
      <c r="BB904" s="551"/>
      <c r="BC904" s="551"/>
      <c r="BD904" s="551"/>
      <c r="BE904" s="551"/>
      <c r="BF904" s="551"/>
      <c r="BG904" s="551"/>
      <c r="BH904" s="551"/>
      <c r="BI904" s="551"/>
      <c r="BJ904" s="551"/>
      <c r="BK904" s="551"/>
    </row>
    <row r="905" spans="1:63" ht="12.75" customHeight="1">
      <c r="A905" s="551"/>
      <c r="B905" s="551"/>
      <c r="C905" s="551"/>
      <c r="D905" s="551"/>
      <c r="E905" s="551"/>
      <c r="F905" s="551"/>
      <c r="G905" s="551"/>
      <c r="H905" s="551"/>
      <c r="I905" s="551"/>
      <c r="J905" s="551"/>
      <c r="K905" s="551"/>
      <c r="L905" s="551"/>
      <c r="M905" s="551"/>
      <c r="N905" s="551"/>
      <c r="O905" s="551"/>
      <c r="P905" s="551"/>
      <c r="Q905" s="551"/>
      <c r="R905" s="551"/>
      <c r="S905" s="551"/>
      <c r="T905" s="551"/>
      <c r="U905" s="551"/>
      <c r="V905" s="551"/>
      <c r="W905" s="551"/>
      <c r="X905" s="551"/>
      <c r="Y905" s="551"/>
      <c r="Z905" s="551"/>
      <c r="AA905" s="551"/>
      <c r="AB905" s="551"/>
      <c r="AC905" s="551"/>
      <c r="AD905" s="551"/>
      <c r="AE905" s="551"/>
      <c r="AF905" s="551"/>
      <c r="AG905" s="551"/>
      <c r="AH905" s="551"/>
      <c r="AI905" s="551"/>
      <c r="AJ905" s="551"/>
      <c r="AK905" s="551"/>
      <c r="AL905" s="551"/>
      <c r="AM905" s="551"/>
      <c r="AN905" s="551"/>
      <c r="AO905" s="551"/>
      <c r="AP905" s="551"/>
      <c r="AQ905" s="551"/>
      <c r="AR905" s="551"/>
      <c r="AS905" s="551"/>
      <c r="AT905" s="551"/>
      <c r="AU905" s="551"/>
      <c r="AV905" s="551"/>
      <c r="AW905" s="551"/>
      <c r="AX905" s="551"/>
      <c r="AY905" s="551"/>
      <c r="AZ905" s="551"/>
      <c r="BA905" s="551"/>
      <c r="BB905" s="551"/>
      <c r="BC905" s="551"/>
      <c r="BD905" s="551"/>
      <c r="BE905" s="551"/>
      <c r="BF905" s="551"/>
      <c r="BG905" s="551"/>
      <c r="BH905" s="551"/>
      <c r="BI905" s="551"/>
      <c r="BJ905" s="551"/>
      <c r="BK905" s="551"/>
    </row>
    <row r="906" spans="1:63" ht="12.75" customHeight="1">
      <c r="A906" s="551"/>
      <c r="B906" s="551"/>
      <c r="C906" s="551"/>
      <c r="D906" s="551"/>
      <c r="E906" s="551"/>
      <c r="F906" s="551"/>
      <c r="G906" s="551"/>
      <c r="H906" s="551"/>
      <c r="I906" s="551"/>
      <c r="J906" s="551"/>
      <c r="K906" s="551"/>
      <c r="L906" s="551"/>
      <c r="M906" s="551"/>
      <c r="N906" s="551"/>
      <c r="O906" s="551"/>
      <c r="P906" s="551"/>
      <c r="Q906" s="551"/>
      <c r="R906" s="551"/>
      <c r="S906" s="551"/>
      <c r="T906" s="551"/>
      <c r="U906" s="551"/>
      <c r="V906" s="551"/>
      <c r="W906" s="551"/>
      <c r="X906" s="551"/>
      <c r="Y906" s="551"/>
      <c r="Z906" s="551"/>
      <c r="AA906" s="551"/>
      <c r="AB906" s="551"/>
      <c r="AC906" s="551"/>
      <c r="AD906" s="551"/>
      <c r="AE906" s="551"/>
      <c r="AF906" s="551"/>
      <c r="AG906" s="551"/>
      <c r="AH906" s="551"/>
      <c r="AI906" s="551"/>
      <c r="AJ906" s="551"/>
      <c r="AK906" s="551"/>
      <c r="AL906" s="551"/>
      <c r="AM906" s="551"/>
      <c r="AN906" s="551"/>
      <c r="AO906" s="551"/>
      <c r="AP906" s="551"/>
      <c r="AQ906" s="551"/>
      <c r="AR906" s="551"/>
      <c r="AS906" s="551"/>
      <c r="AT906" s="551"/>
      <c r="AU906" s="551"/>
      <c r="AV906" s="551"/>
      <c r="AW906" s="551"/>
      <c r="AX906" s="551"/>
      <c r="AY906" s="551"/>
      <c r="AZ906" s="551"/>
      <c r="BA906" s="551"/>
      <c r="BB906" s="551"/>
      <c r="BC906" s="551"/>
      <c r="BD906" s="551"/>
      <c r="BE906" s="551"/>
      <c r="BF906" s="551"/>
      <c r="BG906" s="551"/>
      <c r="BH906" s="551"/>
      <c r="BI906" s="551"/>
      <c r="BJ906" s="551"/>
      <c r="BK906" s="551"/>
    </row>
    <row r="907" spans="1:63" ht="12.75" customHeight="1">
      <c r="A907" s="551"/>
      <c r="B907" s="551"/>
      <c r="C907" s="551"/>
      <c r="D907" s="551"/>
      <c r="E907" s="551"/>
      <c r="F907" s="551"/>
      <c r="G907" s="551"/>
      <c r="H907" s="551"/>
      <c r="I907" s="551"/>
      <c r="J907" s="551"/>
      <c r="K907" s="551"/>
      <c r="L907" s="551"/>
      <c r="M907" s="551"/>
      <c r="N907" s="551"/>
      <c r="O907" s="551"/>
      <c r="P907" s="551"/>
      <c r="Q907" s="551"/>
      <c r="R907" s="551"/>
      <c r="S907" s="551"/>
      <c r="T907" s="551"/>
      <c r="U907" s="551"/>
      <c r="V907" s="551"/>
      <c r="W907" s="551"/>
      <c r="X907" s="551"/>
      <c r="Y907" s="551"/>
      <c r="Z907" s="551"/>
      <c r="AA907" s="551"/>
      <c r="AB907" s="551"/>
      <c r="AC907" s="551"/>
      <c r="AD907" s="551"/>
      <c r="AE907" s="551"/>
      <c r="AF907" s="551"/>
      <c r="AG907" s="551"/>
      <c r="AH907" s="551"/>
      <c r="AI907" s="551"/>
      <c r="AJ907" s="551"/>
      <c r="AK907" s="551"/>
      <c r="AL907" s="551"/>
      <c r="AM907" s="551"/>
      <c r="AN907" s="551"/>
      <c r="AO907" s="551"/>
      <c r="AP907" s="551"/>
      <c r="AQ907" s="551"/>
      <c r="AR907" s="551"/>
      <c r="AS907" s="551"/>
      <c r="AT907" s="551"/>
      <c r="AU907" s="551"/>
      <c r="AV907" s="551"/>
      <c r="AW907" s="551"/>
      <c r="AX907" s="551"/>
      <c r="AY907" s="551"/>
      <c r="AZ907" s="551"/>
      <c r="BA907" s="551"/>
      <c r="BB907" s="551"/>
      <c r="BC907" s="551"/>
      <c r="BD907" s="551"/>
      <c r="BE907" s="551"/>
      <c r="BF907" s="551"/>
      <c r="BG907" s="551"/>
      <c r="BH907" s="551"/>
      <c r="BI907" s="551"/>
      <c r="BJ907" s="551"/>
      <c r="BK907" s="551"/>
    </row>
    <row r="908" spans="1:63" ht="12.75" customHeight="1">
      <c r="A908" s="551"/>
      <c r="B908" s="551"/>
      <c r="C908" s="551"/>
      <c r="D908" s="551"/>
      <c r="E908" s="551"/>
      <c r="F908" s="551"/>
      <c r="G908" s="551"/>
      <c r="H908" s="551"/>
      <c r="I908" s="551"/>
      <c r="J908" s="551"/>
      <c r="K908" s="551"/>
      <c r="L908" s="551"/>
      <c r="M908" s="551"/>
      <c r="N908" s="551"/>
      <c r="O908" s="551"/>
      <c r="P908" s="551"/>
      <c r="Q908" s="551"/>
      <c r="R908" s="551"/>
      <c r="S908" s="551"/>
      <c r="T908" s="551"/>
      <c r="U908" s="551"/>
      <c r="V908" s="551"/>
      <c r="W908" s="551"/>
      <c r="X908" s="551"/>
      <c r="Y908" s="551"/>
      <c r="Z908" s="551"/>
      <c r="AA908" s="551"/>
      <c r="AB908" s="551"/>
      <c r="AC908" s="551"/>
      <c r="AD908" s="551"/>
      <c r="AE908" s="551"/>
      <c r="AF908" s="551"/>
      <c r="AG908" s="551"/>
      <c r="AH908" s="551"/>
      <c r="AI908" s="551"/>
      <c r="AJ908" s="551"/>
      <c r="AK908" s="551"/>
      <c r="AL908" s="551"/>
      <c r="AM908" s="551"/>
      <c r="AN908" s="551"/>
      <c r="AO908" s="551"/>
      <c r="AP908" s="551"/>
      <c r="AQ908" s="551"/>
      <c r="AR908" s="551"/>
      <c r="AS908" s="551"/>
      <c r="AT908" s="551"/>
      <c r="AU908" s="551"/>
      <c r="AV908" s="551"/>
      <c r="AW908" s="551"/>
      <c r="AX908" s="551"/>
      <c r="AY908" s="551"/>
      <c r="AZ908" s="551"/>
      <c r="BA908" s="551"/>
      <c r="BB908" s="551"/>
      <c r="BC908" s="551"/>
      <c r="BD908" s="551"/>
      <c r="BE908" s="551"/>
      <c r="BF908" s="551"/>
      <c r="BG908" s="551"/>
      <c r="BH908" s="551"/>
      <c r="BI908" s="551"/>
      <c r="BJ908" s="551"/>
      <c r="BK908" s="551"/>
    </row>
    <row r="909" spans="1:63" ht="12.75" customHeight="1">
      <c r="A909" s="551"/>
      <c r="B909" s="551"/>
      <c r="C909" s="551"/>
      <c r="D909" s="551"/>
      <c r="E909" s="551"/>
      <c r="F909" s="551"/>
      <c r="G909" s="551"/>
      <c r="H909" s="551"/>
      <c r="I909" s="551"/>
      <c r="J909" s="551"/>
      <c r="K909" s="551"/>
      <c r="L909" s="551"/>
      <c r="M909" s="551"/>
      <c r="N909" s="551"/>
      <c r="O909" s="551"/>
      <c r="P909" s="551"/>
      <c r="Q909" s="551"/>
      <c r="R909" s="551"/>
      <c r="S909" s="551"/>
      <c r="T909" s="551"/>
      <c r="U909" s="551"/>
      <c r="V909" s="551"/>
      <c r="W909" s="551"/>
      <c r="X909" s="551"/>
      <c r="Y909" s="551"/>
      <c r="Z909" s="551"/>
      <c r="AA909" s="551"/>
      <c r="AB909" s="551"/>
      <c r="AC909" s="551"/>
      <c r="AD909" s="551"/>
      <c r="AE909" s="551"/>
      <c r="AF909" s="551"/>
      <c r="AG909" s="551"/>
      <c r="AH909" s="551"/>
      <c r="AI909" s="551"/>
      <c r="AJ909" s="551"/>
      <c r="AK909" s="551"/>
      <c r="AL909" s="551"/>
      <c r="AM909" s="551"/>
      <c r="AN909" s="551"/>
      <c r="AO909" s="551"/>
      <c r="AP909" s="551"/>
      <c r="AQ909" s="551"/>
      <c r="AR909" s="551"/>
      <c r="AS909" s="551"/>
      <c r="AT909" s="551"/>
      <c r="AU909" s="551"/>
      <c r="AV909" s="551"/>
      <c r="AW909" s="551"/>
      <c r="AX909" s="551"/>
      <c r="AY909" s="551"/>
      <c r="AZ909" s="551"/>
      <c r="BA909" s="551"/>
      <c r="BB909" s="551"/>
      <c r="BC909" s="551"/>
      <c r="BD909" s="551"/>
      <c r="BE909" s="551"/>
      <c r="BF909" s="551"/>
      <c r="BG909" s="551"/>
      <c r="BH909" s="551"/>
      <c r="BI909" s="551"/>
      <c r="BJ909" s="551"/>
      <c r="BK909" s="551"/>
    </row>
    <row r="910" spans="1:63" ht="12.75" customHeight="1">
      <c r="A910" s="551"/>
      <c r="B910" s="551"/>
      <c r="C910" s="551"/>
      <c r="D910" s="551"/>
      <c r="E910" s="551"/>
      <c r="F910" s="551"/>
      <c r="G910" s="551"/>
      <c r="H910" s="551"/>
      <c r="I910" s="551"/>
      <c r="J910" s="551"/>
      <c r="K910" s="551"/>
      <c r="L910" s="551"/>
      <c r="M910" s="551"/>
      <c r="N910" s="551"/>
      <c r="O910" s="551"/>
      <c r="P910" s="551"/>
      <c r="Q910" s="551"/>
      <c r="R910" s="551"/>
      <c r="S910" s="551"/>
      <c r="T910" s="551"/>
      <c r="U910" s="551"/>
      <c r="V910" s="551"/>
      <c r="W910" s="551"/>
      <c r="X910" s="551"/>
      <c r="Y910" s="551"/>
      <c r="Z910" s="551"/>
      <c r="AA910" s="551"/>
      <c r="AB910" s="551"/>
      <c r="AC910" s="551"/>
      <c r="AD910" s="551"/>
      <c r="AE910" s="551"/>
      <c r="AF910" s="551"/>
      <c r="AG910" s="551"/>
      <c r="AH910" s="551"/>
      <c r="AI910" s="551"/>
      <c r="AJ910" s="551"/>
      <c r="AK910" s="551"/>
      <c r="AL910" s="551"/>
      <c r="AM910" s="551"/>
      <c r="AN910" s="551"/>
      <c r="AO910" s="551"/>
      <c r="AP910" s="551"/>
      <c r="AQ910" s="551"/>
      <c r="AR910" s="551"/>
      <c r="AS910" s="551"/>
      <c r="AT910" s="551"/>
      <c r="AU910" s="551"/>
      <c r="AV910" s="551"/>
      <c r="AW910" s="551"/>
      <c r="AX910" s="551"/>
      <c r="AY910" s="551"/>
      <c r="AZ910" s="551"/>
      <c r="BA910" s="551"/>
      <c r="BB910" s="551"/>
      <c r="BC910" s="551"/>
      <c r="BD910" s="551"/>
      <c r="BE910" s="551"/>
      <c r="BF910" s="551"/>
      <c r="BG910" s="551"/>
      <c r="BH910" s="551"/>
      <c r="BI910" s="551"/>
      <c r="BJ910" s="551"/>
      <c r="BK910" s="551"/>
    </row>
    <row r="911" spans="1:63" ht="12.75" customHeight="1">
      <c r="A911" s="551"/>
      <c r="B911" s="551"/>
      <c r="C911" s="551"/>
      <c r="D911" s="551"/>
      <c r="E911" s="551"/>
      <c r="F911" s="551"/>
      <c r="G911" s="551"/>
      <c r="H911" s="551"/>
      <c r="I911" s="551"/>
      <c r="J911" s="551"/>
      <c r="K911" s="551"/>
      <c r="L911" s="551"/>
      <c r="M911" s="551"/>
      <c r="N911" s="551"/>
      <c r="O911" s="551"/>
      <c r="P911" s="551"/>
      <c r="Q911" s="551"/>
      <c r="R911" s="551"/>
      <c r="S911" s="551"/>
      <c r="T911" s="551"/>
      <c r="U911" s="551"/>
      <c r="V911" s="551"/>
      <c r="W911" s="551"/>
      <c r="X911" s="551"/>
      <c r="Y911" s="551"/>
      <c r="Z911" s="551"/>
      <c r="AA911" s="551"/>
      <c r="AB911" s="551"/>
      <c r="AC911" s="551"/>
      <c r="AD911" s="551"/>
      <c r="AE911" s="551"/>
      <c r="AF911" s="551"/>
      <c r="AG911" s="551"/>
      <c r="AH911" s="551"/>
      <c r="AI911" s="551"/>
      <c r="AJ911" s="551"/>
      <c r="AK911" s="551"/>
      <c r="AL911" s="551"/>
      <c r="AM911" s="551"/>
      <c r="AN911" s="551"/>
      <c r="AO911" s="551"/>
      <c r="AP911" s="551"/>
      <c r="AQ911" s="551"/>
      <c r="AR911" s="551"/>
      <c r="AS911" s="551"/>
      <c r="AT911" s="551"/>
      <c r="AU911" s="551"/>
      <c r="AV911" s="551"/>
      <c r="AW911" s="551"/>
      <c r="AX911" s="551"/>
      <c r="AY911" s="551"/>
      <c r="AZ911" s="551"/>
      <c r="BA911" s="551"/>
      <c r="BB911" s="551"/>
      <c r="BC911" s="551"/>
      <c r="BD911" s="551"/>
      <c r="BE911" s="551"/>
      <c r="BF911" s="551"/>
      <c r="BG911" s="551"/>
      <c r="BH911" s="551"/>
      <c r="BI911" s="551"/>
      <c r="BJ911" s="551"/>
      <c r="BK911" s="551"/>
    </row>
    <row r="912" spans="1:63" ht="12.75" customHeight="1">
      <c r="A912" s="551"/>
      <c r="B912" s="551"/>
      <c r="C912" s="551"/>
      <c r="D912" s="551"/>
      <c r="E912" s="551"/>
      <c r="F912" s="551"/>
      <c r="G912" s="551"/>
      <c r="H912" s="551"/>
      <c r="I912" s="551"/>
      <c r="J912" s="551"/>
      <c r="K912" s="551"/>
      <c r="L912" s="551"/>
      <c r="M912" s="551"/>
      <c r="N912" s="551"/>
      <c r="O912" s="551"/>
      <c r="P912" s="551"/>
      <c r="Q912" s="551"/>
      <c r="R912" s="551"/>
      <c r="S912" s="551"/>
      <c r="T912" s="551"/>
      <c r="U912" s="551"/>
      <c r="V912" s="551"/>
      <c r="W912" s="551"/>
      <c r="X912" s="551"/>
      <c r="Y912" s="551"/>
      <c r="Z912" s="551"/>
      <c r="AA912" s="551"/>
      <c r="AB912" s="551"/>
      <c r="AC912" s="551"/>
      <c r="AD912" s="551"/>
      <c r="AE912" s="551"/>
      <c r="AF912" s="551"/>
      <c r="AG912" s="551"/>
      <c r="AH912" s="551"/>
      <c r="AI912" s="551"/>
      <c r="AJ912" s="551"/>
      <c r="AK912" s="551"/>
      <c r="AL912" s="551"/>
      <c r="AM912" s="551"/>
      <c r="AN912" s="551"/>
      <c r="AO912" s="551"/>
      <c r="AP912" s="551"/>
      <c r="AQ912" s="551"/>
      <c r="AR912" s="551"/>
      <c r="AS912" s="551"/>
      <c r="AT912" s="551"/>
      <c r="AU912" s="551"/>
      <c r="AV912" s="551"/>
      <c r="AW912" s="551"/>
      <c r="AX912" s="551"/>
      <c r="AY912" s="551"/>
      <c r="AZ912" s="551"/>
      <c r="BA912" s="551"/>
      <c r="BB912" s="551"/>
      <c r="BC912" s="551"/>
      <c r="BD912" s="551"/>
      <c r="BE912" s="551"/>
      <c r="BF912" s="551"/>
      <c r="BG912" s="551"/>
      <c r="BH912" s="551"/>
      <c r="BI912" s="551"/>
      <c r="BJ912" s="551"/>
      <c r="BK912" s="551"/>
    </row>
    <row r="913" spans="1:63" ht="12.75" customHeight="1">
      <c r="A913" s="551"/>
      <c r="B913" s="551"/>
      <c r="C913" s="551"/>
      <c r="D913" s="551"/>
      <c r="E913" s="551"/>
      <c r="F913" s="551"/>
      <c r="G913" s="551"/>
      <c r="H913" s="551"/>
      <c r="I913" s="551"/>
      <c r="J913" s="551"/>
      <c r="K913" s="551"/>
      <c r="L913" s="551"/>
      <c r="M913" s="551"/>
      <c r="N913" s="551"/>
      <c r="O913" s="551"/>
      <c r="P913" s="551"/>
      <c r="Q913" s="551"/>
      <c r="R913" s="551"/>
      <c r="S913" s="551"/>
      <c r="T913" s="551"/>
      <c r="U913" s="551"/>
      <c r="V913" s="551"/>
      <c r="W913" s="551"/>
      <c r="X913" s="551"/>
      <c r="Y913" s="551"/>
      <c r="Z913" s="551"/>
      <c r="AA913" s="551"/>
      <c r="AB913" s="551"/>
      <c r="AC913" s="551"/>
      <c r="AD913" s="551"/>
      <c r="AE913" s="551"/>
      <c r="AF913" s="551"/>
      <c r="AG913" s="551"/>
      <c r="AH913" s="551"/>
      <c r="AI913" s="551"/>
      <c r="AJ913" s="551"/>
      <c r="AK913" s="551"/>
      <c r="AL913" s="551"/>
      <c r="AM913" s="551"/>
      <c r="AN913" s="551"/>
      <c r="AO913" s="551"/>
      <c r="AP913" s="551"/>
      <c r="AQ913" s="551"/>
      <c r="AR913" s="551"/>
      <c r="AS913" s="551"/>
      <c r="AT913" s="551"/>
      <c r="AU913" s="551"/>
      <c r="AV913" s="551"/>
      <c r="AW913" s="551"/>
      <c r="AX913" s="551"/>
      <c r="AY913" s="551"/>
      <c r="AZ913" s="551"/>
      <c r="BA913" s="551"/>
      <c r="BB913" s="551"/>
      <c r="BC913" s="551"/>
      <c r="BD913" s="551"/>
      <c r="BE913" s="551"/>
      <c r="BF913" s="551"/>
      <c r="BG913" s="551"/>
      <c r="BH913" s="551"/>
      <c r="BI913" s="551"/>
      <c r="BJ913" s="551"/>
      <c r="BK913" s="551"/>
    </row>
    <row r="914" spans="1:63" ht="12.75" customHeight="1">
      <c r="A914" s="551"/>
      <c r="B914" s="551"/>
      <c r="C914" s="551"/>
      <c r="D914" s="551"/>
      <c r="E914" s="551"/>
      <c r="F914" s="551"/>
      <c r="G914" s="551"/>
      <c r="H914" s="551"/>
      <c r="I914" s="551"/>
      <c r="J914" s="551"/>
      <c r="K914" s="551"/>
      <c r="L914" s="551"/>
      <c r="M914" s="551"/>
      <c r="N914" s="551"/>
      <c r="O914" s="551"/>
      <c r="P914" s="551"/>
      <c r="Q914" s="551"/>
      <c r="R914" s="551"/>
      <c r="S914" s="551"/>
      <c r="T914" s="551"/>
      <c r="U914" s="551"/>
      <c r="V914" s="551"/>
      <c r="W914" s="551"/>
      <c r="X914" s="551"/>
      <c r="Y914" s="551"/>
      <c r="Z914" s="551"/>
      <c r="AA914" s="551"/>
      <c r="AB914" s="551"/>
      <c r="AC914" s="551"/>
      <c r="AD914" s="551"/>
      <c r="AE914" s="551"/>
      <c r="AF914" s="551"/>
      <c r="AG914" s="551"/>
      <c r="AH914" s="551"/>
      <c r="AI914" s="551"/>
      <c r="AJ914" s="551"/>
      <c r="AK914" s="551"/>
      <c r="AL914" s="551"/>
      <c r="AM914" s="551"/>
      <c r="AN914" s="551"/>
      <c r="AO914" s="551"/>
      <c r="AP914" s="551"/>
      <c r="AQ914" s="551"/>
      <c r="AR914" s="551"/>
      <c r="AS914" s="551"/>
      <c r="AT914" s="551"/>
      <c r="AU914" s="551"/>
      <c r="AV914" s="551"/>
      <c r="AW914" s="551"/>
      <c r="AX914" s="551"/>
      <c r="AY914" s="551"/>
      <c r="AZ914" s="551"/>
      <c r="BA914" s="551"/>
      <c r="BB914" s="551"/>
      <c r="BC914" s="551"/>
      <c r="BD914" s="551"/>
      <c r="BE914" s="551"/>
      <c r="BF914" s="551"/>
      <c r="BG914" s="551"/>
      <c r="BH914" s="551"/>
      <c r="BI914" s="551"/>
      <c r="BJ914" s="551"/>
      <c r="BK914" s="551"/>
    </row>
    <row r="915" spans="1:63" ht="12.75" customHeight="1">
      <c r="A915" s="551"/>
      <c r="B915" s="551"/>
      <c r="C915" s="551"/>
      <c r="D915" s="551"/>
      <c r="E915" s="551"/>
      <c r="F915" s="551"/>
      <c r="G915" s="551"/>
      <c r="H915" s="551"/>
      <c r="I915" s="551"/>
      <c r="J915" s="551"/>
      <c r="K915" s="551"/>
      <c r="L915" s="551"/>
      <c r="M915" s="551"/>
      <c r="N915" s="551"/>
      <c r="O915" s="551"/>
      <c r="P915" s="551"/>
      <c r="Q915" s="551"/>
      <c r="R915" s="551"/>
      <c r="S915" s="551"/>
      <c r="T915" s="551"/>
      <c r="U915" s="551"/>
      <c r="V915" s="551"/>
      <c r="W915" s="551"/>
      <c r="X915" s="551"/>
      <c r="Y915" s="551"/>
      <c r="Z915" s="551"/>
      <c r="AA915" s="551"/>
      <c r="AB915" s="551"/>
      <c r="AC915" s="551"/>
      <c r="AD915" s="551"/>
      <c r="AE915" s="551"/>
      <c r="AF915" s="551"/>
      <c r="AG915" s="551"/>
      <c r="AH915" s="551"/>
      <c r="AI915" s="551"/>
      <c r="AJ915" s="551"/>
      <c r="AK915" s="551"/>
      <c r="AL915" s="551"/>
      <c r="AM915" s="551"/>
      <c r="AN915" s="551"/>
      <c r="AO915" s="551"/>
      <c r="AP915" s="551"/>
      <c r="AQ915" s="551"/>
      <c r="AR915" s="551"/>
      <c r="AS915" s="551"/>
      <c r="AT915" s="551"/>
      <c r="AU915" s="551"/>
      <c r="AV915" s="551"/>
      <c r="AW915" s="551"/>
      <c r="AX915" s="551"/>
      <c r="AY915" s="551"/>
      <c r="AZ915" s="551"/>
      <c r="BA915" s="551"/>
      <c r="BB915" s="551"/>
      <c r="BC915" s="551"/>
      <c r="BD915" s="551"/>
      <c r="BE915" s="551"/>
      <c r="BF915" s="551"/>
      <c r="BG915" s="551"/>
      <c r="BH915" s="551"/>
      <c r="BI915" s="551"/>
      <c r="BJ915" s="551"/>
      <c r="BK915" s="551"/>
    </row>
    <row r="916" spans="1:63" ht="12.75" customHeight="1">
      <c r="A916" s="551"/>
      <c r="B916" s="551"/>
      <c r="C916" s="551"/>
      <c r="D916" s="551"/>
      <c r="E916" s="551"/>
      <c r="F916" s="551"/>
      <c r="G916" s="551"/>
      <c r="H916" s="551"/>
      <c r="I916" s="551"/>
      <c r="J916" s="551"/>
      <c r="K916" s="551"/>
      <c r="L916" s="551"/>
      <c r="M916" s="551"/>
      <c r="N916" s="551"/>
      <c r="O916" s="551"/>
      <c r="P916" s="551"/>
      <c r="Q916" s="551"/>
      <c r="R916" s="551"/>
      <c r="S916" s="551"/>
      <c r="T916" s="551"/>
      <c r="U916" s="551"/>
      <c r="V916" s="551"/>
      <c r="W916" s="551"/>
      <c r="X916" s="551"/>
      <c r="Y916" s="551"/>
      <c r="Z916" s="551"/>
      <c r="AA916" s="551"/>
      <c r="AB916" s="551"/>
      <c r="AC916" s="551"/>
      <c r="AD916" s="551"/>
      <c r="AE916" s="551"/>
      <c r="AF916" s="551"/>
      <c r="AG916" s="551"/>
      <c r="AH916" s="551"/>
      <c r="AI916" s="551"/>
      <c r="AJ916" s="551"/>
      <c r="AK916" s="551"/>
      <c r="AL916" s="551"/>
      <c r="AM916" s="551"/>
      <c r="AN916" s="551"/>
      <c r="AO916" s="551"/>
      <c r="AP916" s="551"/>
      <c r="AQ916" s="551"/>
      <c r="AR916" s="551"/>
      <c r="AS916" s="551"/>
      <c r="AT916" s="551"/>
      <c r="AU916" s="551"/>
      <c r="AV916" s="551"/>
      <c r="AW916" s="551"/>
      <c r="AX916" s="551"/>
      <c r="AY916" s="551"/>
      <c r="AZ916" s="551"/>
      <c r="BA916" s="551"/>
      <c r="BB916" s="551"/>
      <c r="BC916" s="551"/>
      <c r="BD916" s="551"/>
      <c r="BE916" s="551"/>
      <c r="BF916" s="551"/>
      <c r="BG916" s="551"/>
      <c r="BH916" s="551"/>
      <c r="BI916" s="551"/>
      <c r="BJ916" s="551"/>
      <c r="BK916" s="551"/>
    </row>
    <row r="917" spans="1:63" ht="12.75" customHeight="1">
      <c r="A917" s="551"/>
      <c r="B917" s="551"/>
      <c r="C917" s="551"/>
      <c r="D917" s="551"/>
      <c r="E917" s="551"/>
      <c r="F917" s="551"/>
      <c r="G917" s="551"/>
      <c r="H917" s="551"/>
      <c r="I917" s="551"/>
      <c r="J917" s="551"/>
      <c r="K917" s="551"/>
      <c r="L917" s="551"/>
      <c r="M917" s="551"/>
      <c r="N917" s="551"/>
      <c r="O917" s="551"/>
      <c r="P917" s="551"/>
      <c r="Q917" s="551"/>
      <c r="R917" s="551"/>
      <c r="S917" s="551"/>
      <c r="T917" s="551"/>
      <c r="U917" s="551"/>
      <c r="V917" s="551"/>
      <c r="W917" s="551"/>
      <c r="X917" s="551"/>
      <c r="Y917" s="551"/>
      <c r="Z917" s="551"/>
      <c r="AA917" s="551"/>
      <c r="AB917" s="551"/>
      <c r="AC917" s="551"/>
      <c r="AD917" s="551"/>
      <c r="AE917" s="551"/>
      <c r="AF917" s="551"/>
      <c r="AG917" s="551"/>
      <c r="AH917" s="551"/>
      <c r="AI917" s="551"/>
      <c r="AJ917" s="551"/>
      <c r="AK917" s="551"/>
      <c r="AL917" s="551"/>
      <c r="AM917" s="551"/>
      <c r="AN917" s="551"/>
      <c r="AO917" s="551"/>
      <c r="AP917" s="551"/>
      <c r="AQ917" s="551"/>
      <c r="AR917" s="551"/>
      <c r="AS917" s="551"/>
      <c r="AT917" s="551"/>
      <c r="AU917" s="551"/>
      <c r="AV917" s="551"/>
      <c r="AW917" s="551"/>
      <c r="AX917" s="551"/>
      <c r="AY917" s="551"/>
      <c r="AZ917" s="551"/>
      <c r="BA917" s="551"/>
      <c r="BB917" s="551"/>
      <c r="BC917" s="551"/>
      <c r="BD917" s="551"/>
      <c r="BE917" s="551"/>
      <c r="BF917" s="551"/>
      <c r="BG917" s="551"/>
      <c r="BH917" s="551"/>
      <c r="BI917" s="551"/>
      <c r="BJ917" s="551"/>
      <c r="BK917" s="551"/>
    </row>
    <row r="918" spans="1:63" ht="12.75" customHeight="1">
      <c r="A918" s="551"/>
      <c r="B918" s="551"/>
      <c r="C918" s="551"/>
      <c r="D918" s="551"/>
      <c r="E918" s="551"/>
      <c r="F918" s="551"/>
      <c r="G918" s="551"/>
      <c r="H918" s="551"/>
      <c r="I918" s="551"/>
      <c r="J918" s="551"/>
      <c r="K918" s="551"/>
      <c r="L918" s="551"/>
      <c r="M918" s="551"/>
      <c r="N918" s="551"/>
      <c r="O918" s="551"/>
      <c r="P918" s="551"/>
      <c r="Q918" s="551"/>
      <c r="R918" s="551"/>
      <c r="S918" s="551"/>
      <c r="T918" s="551"/>
      <c r="U918" s="551"/>
      <c r="V918" s="551"/>
      <c r="W918" s="551"/>
      <c r="X918" s="551"/>
      <c r="Y918" s="551"/>
      <c r="Z918" s="551"/>
      <c r="AA918" s="551"/>
      <c r="AB918" s="551"/>
      <c r="AC918" s="551"/>
      <c r="AD918" s="551"/>
      <c r="AE918" s="551"/>
      <c r="AF918" s="551"/>
      <c r="AG918" s="551"/>
      <c r="AH918" s="551"/>
      <c r="AI918" s="551"/>
      <c r="AJ918" s="551"/>
      <c r="AK918" s="551"/>
      <c r="AL918" s="551"/>
      <c r="AM918" s="551"/>
      <c r="AN918" s="551"/>
      <c r="AO918" s="551"/>
      <c r="AP918" s="551"/>
      <c r="AQ918" s="551"/>
      <c r="AR918" s="551"/>
      <c r="AS918" s="551"/>
      <c r="AT918" s="551"/>
      <c r="AU918" s="551"/>
      <c r="AV918" s="551"/>
      <c r="AW918" s="551"/>
      <c r="AX918" s="551"/>
      <c r="AY918" s="551"/>
      <c r="AZ918" s="551"/>
      <c r="BA918" s="551"/>
      <c r="BB918" s="551"/>
      <c r="BC918" s="551"/>
      <c r="BD918" s="551"/>
      <c r="BE918" s="551"/>
      <c r="BF918" s="551"/>
      <c r="BG918" s="551"/>
      <c r="BH918" s="551"/>
      <c r="BI918" s="551"/>
      <c r="BJ918" s="551"/>
      <c r="BK918" s="551"/>
    </row>
    <row r="919" spans="1:63" ht="12.75" customHeight="1">
      <c r="A919" s="551"/>
      <c r="B919" s="551"/>
      <c r="C919" s="551"/>
      <c r="D919" s="551"/>
      <c r="E919" s="551"/>
      <c r="F919" s="551"/>
      <c r="G919" s="551"/>
      <c r="H919" s="551"/>
      <c r="I919" s="551"/>
      <c r="J919" s="551"/>
      <c r="K919" s="551"/>
      <c r="L919" s="551"/>
      <c r="M919" s="551"/>
      <c r="N919" s="551"/>
      <c r="O919" s="551"/>
      <c r="P919" s="551"/>
      <c r="Q919" s="551"/>
      <c r="R919" s="551"/>
      <c r="S919" s="551"/>
      <c r="T919" s="551"/>
      <c r="U919" s="551"/>
      <c r="V919" s="551"/>
      <c r="W919" s="551"/>
      <c r="X919" s="551"/>
      <c r="Y919" s="551"/>
      <c r="Z919" s="551"/>
      <c r="AA919" s="551"/>
      <c r="AB919" s="551"/>
      <c r="AC919" s="551"/>
      <c r="AD919" s="551"/>
      <c r="AE919" s="551"/>
      <c r="AF919" s="551"/>
      <c r="AG919" s="551"/>
      <c r="AH919" s="551"/>
      <c r="AI919" s="551"/>
      <c r="AJ919" s="551"/>
      <c r="AK919" s="551"/>
      <c r="AL919" s="551"/>
      <c r="AM919" s="551"/>
      <c r="AN919" s="551"/>
      <c r="AO919" s="551"/>
      <c r="AP919" s="551"/>
      <c r="AQ919" s="551"/>
      <c r="AR919" s="551"/>
      <c r="AS919" s="551"/>
      <c r="AT919" s="551"/>
      <c r="AU919" s="551"/>
      <c r="AV919" s="551"/>
      <c r="AW919" s="551"/>
      <c r="AX919" s="551"/>
      <c r="AY919" s="551"/>
      <c r="AZ919" s="551"/>
      <c r="BA919" s="551"/>
      <c r="BB919" s="551"/>
      <c r="BC919" s="551"/>
      <c r="BD919" s="551"/>
      <c r="BE919" s="551"/>
      <c r="BF919" s="551"/>
      <c r="BG919" s="551"/>
      <c r="BH919" s="551"/>
      <c r="BI919" s="551"/>
      <c r="BJ919" s="551"/>
      <c r="BK919" s="551"/>
    </row>
    <row r="920" spans="1:63" ht="12.75" customHeight="1">
      <c r="A920" s="551"/>
      <c r="B920" s="551"/>
      <c r="C920" s="551"/>
      <c r="D920" s="551"/>
      <c r="E920" s="551"/>
      <c r="F920" s="551"/>
      <c r="G920" s="551"/>
      <c r="H920" s="551"/>
      <c r="I920" s="551"/>
      <c r="J920" s="551"/>
      <c r="K920" s="551"/>
      <c r="L920" s="551"/>
      <c r="M920" s="551"/>
      <c r="N920" s="551"/>
      <c r="O920" s="551"/>
      <c r="P920" s="551"/>
      <c r="Q920" s="551"/>
      <c r="R920" s="551"/>
      <c r="S920" s="551"/>
      <c r="T920" s="551"/>
      <c r="U920" s="551"/>
      <c r="V920" s="551"/>
      <c r="W920" s="551"/>
      <c r="X920" s="551"/>
      <c r="Y920" s="551"/>
      <c r="Z920" s="551"/>
      <c r="AA920" s="551"/>
      <c r="AB920" s="551"/>
      <c r="AC920" s="551"/>
      <c r="AD920" s="551"/>
      <c r="AE920" s="551"/>
      <c r="AF920" s="551"/>
      <c r="AG920" s="551"/>
      <c r="AH920" s="551"/>
      <c r="AI920" s="551"/>
      <c r="AJ920" s="551"/>
      <c r="AK920" s="551"/>
      <c r="AL920" s="551"/>
      <c r="AM920" s="551"/>
      <c r="AN920" s="551"/>
      <c r="AO920" s="551"/>
      <c r="AP920" s="551"/>
      <c r="AQ920" s="551"/>
      <c r="AR920" s="551"/>
      <c r="AS920" s="551"/>
      <c r="AT920" s="551"/>
      <c r="AU920" s="551"/>
      <c r="AV920" s="551"/>
      <c r="AW920" s="551"/>
      <c r="AX920" s="551"/>
      <c r="AY920" s="551"/>
      <c r="AZ920" s="551"/>
      <c r="BA920" s="551"/>
      <c r="BB920" s="551"/>
      <c r="BC920" s="551"/>
      <c r="BD920" s="551"/>
      <c r="BE920" s="551"/>
      <c r="BF920" s="551"/>
      <c r="BG920" s="551"/>
      <c r="BH920" s="551"/>
      <c r="BI920" s="551"/>
      <c r="BJ920" s="551"/>
      <c r="BK920" s="551"/>
    </row>
    <row r="921" spans="1:63" ht="12.75" customHeight="1">
      <c r="A921" s="551"/>
      <c r="B921" s="551"/>
      <c r="C921" s="551"/>
      <c r="D921" s="551"/>
      <c r="E921" s="551"/>
      <c r="F921" s="551"/>
      <c r="G921" s="551"/>
      <c r="H921" s="551"/>
      <c r="I921" s="551"/>
      <c r="J921" s="551"/>
      <c r="K921" s="551"/>
      <c r="L921" s="551"/>
      <c r="M921" s="551"/>
      <c r="N921" s="551"/>
      <c r="O921" s="551"/>
      <c r="P921" s="551"/>
      <c r="Q921" s="551"/>
      <c r="R921" s="551"/>
      <c r="S921" s="551"/>
      <c r="T921" s="551"/>
      <c r="U921" s="551"/>
      <c r="V921" s="551"/>
      <c r="W921" s="551"/>
      <c r="X921" s="551"/>
      <c r="Y921" s="551"/>
      <c r="Z921" s="551"/>
      <c r="AA921" s="551"/>
      <c r="AB921" s="551"/>
      <c r="AC921" s="551"/>
      <c r="AD921" s="551"/>
      <c r="AE921" s="551"/>
      <c r="AF921" s="551"/>
      <c r="AG921" s="551"/>
      <c r="AH921" s="551"/>
      <c r="AI921" s="551"/>
      <c r="AJ921" s="551"/>
      <c r="AK921" s="551"/>
      <c r="AL921" s="551"/>
      <c r="AM921" s="551"/>
      <c r="AN921" s="551"/>
      <c r="AO921" s="551"/>
      <c r="AP921" s="551"/>
      <c r="AQ921" s="551"/>
      <c r="AR921" s="551"/>
      <c r="AS921" s="551"/>
      <c r="AT921" s="551"/>
      <c r="AU921" s="551"/>
      <c r="AV921" s="551"/>
      <c r="AW921" s="551"/>
      <c r="AX921" s="551"/>
      <c r="AY921" s="551"/>
      <c r="AZ921" s="551"/>
      <c r="BA921" s="551"/>
      <c r="BB921" s="551"/>
      <c r="BC921" s="551"/>
      <c r="BD921" s="551"/>
      <c r="BE921" s="551"/>
      <c r="BF921" s="551"/>
      <c r="BG921" s="551"/>
      <c r="BH921" s="551"/>
      <c r="BI921" s="551"/>
      <c r="BJ921" s="551"/>
      <c r="BK921" s="551"/>
    </row>
    <row r="922" spans="1:63" ht="12.75" customHeight="1">
      <c r="A922" s="551"/>
      <c r="B922" s="551"/>
      <c r="C922" s="551"/>
      <c r="D922" s="551"/>
      <c r="E922" s="551"/>
      <c r="F922" s="551"/>
      <c r="G922" s="551"/>
      <c r="H922" s="551"/>
      <c r="I922" s="551"/>
      <c r="J922" s="551"/>
      <c r="K922" s="551"/>
      <c r="L922" s="551"/>
      <c r="M922" s="551"/>
      <c r="N922" s="551"/>
      <c r="O922" s="551"/>
      <c r="P922" s="551"/>
      <c r="Q922" s="551"/>
      <c r="R922" s="551"/>
      <c r="S922" s="551"/>
      <c r="T922" s="551"/>
      <c r="U922" s="551"/>
      <c r="V922" s="551"/>
      <c r="W922" s="551"/>
      <c r="X922" s="551"/>
      <c r="Y922" s="551"/>
      <c r="Z922" s="551"/>
      <c r="AA922" s="551"/>
      <c r="AB922" s="551"/>
      <c r="AC922" s="551"/>
      <c r="AD922" s="551"/>
      <c r="AE922" s="551"/>
      <c r="AF922" s="551"/>
      <c r="AG922" s="551"/>
      <c r="AH922" s="551"/>
      <c r="AI922" s="551"/>
      <c r="AJ922" s="551"/>
      <c r="AK922" s="551"/>
      <c r="AL922" s="551"/>
      <c r="AM922" s="551"/>
      <c r="AN922" s="551"/>
      <c r="AO922" s="551"/>
      <c r="AP922" s="551"/>
      <c r="AQ922" s="551"/>
      <c r="AR922" s="551"/>
      <c r="AS922" s="551"/>
      <c r="AT922" s="551"/>
      <c r="AU922" s="551"/>
      <c r="AV922" s="551"/>
      <c r="AW922" s="551"/>
      <c r="AX922" s="551"/>
      <c r="AY922" s="551"/>
      <c r="AZ922" s="551"/>
      <c r="BA922" s="551"/>
      <c r="BB922" s="551"/>
      <c r="BC922" s="551"/>
      <c r="BD922" s="551"/>
      <c r="BE922" s="551"/>
      <c r="BF922" s="551"/>
      <c r="BG922" s="551"/>
      <c r="BH922" s="551"/>
      <c r="BI922" s="551"/>
      <c r="BJ922" s="551"/>
      <c r="BK922" s="551"/>
    </row>
    <row r="923" spans="1:63" ht="12.75" customHeight="1">
      <c r="A923" s="551"/>
      <c r="B923" s="551"/>
      <c r="C923" s="551"/>
      <c r="D923" s="551"/>
      <c r="E923" s="551"/>
      <c r="F923" s="551"/>
      <c r="G923" s="551"/>
      <c r="H923" s="551"/>
      <c r="I923" s="551"/>
      <c r="J923" s="551"/>
      <c r="K923" s="551"/>
      <c r="L923" s="551"/>
      <c r="M923" s="551"/>
      <c r="N923" s="551"/>
      <c r="O923" s="551"/>
      <c r="P923" s="551"/>
      <c r="Q923" s="551"/>
      <c r="R923" s="551"/>
      <c r="S923" s="551"/>
      <c r="T923" s="551"/>
      <c r="U923" s="551"/>
      <c r="V923" s="551"/>
      <c r="W923" s="551"/>
      <c r="X923" s="551"/>
      <c r="Y923" s="551"/>
      <c r="Z923" s="551"/>
      <c r="AA923" s="551"/>
      <c r="AB923" s="551"/>
      <c r="AC923" s="551"/>
      <c r="AD923" s="551"/>
      <c r="AE923" s="551"/>
      <c r="AF923" s="551"/>
      <c r="AG923" s="551"/>
      <c r="AH923" s="551"/>
      <c r="AI923" s="551"/>
      <c r="AJ923" s="551"/>
      <c r="AK923" s="551"/>
      <c r="AL923" s="551"/>
      <c r="AM923" s="551"/>
      <c r="AN923" s="551"/>
      <c r="AO923" s="551"/>
      <c r="AP923" s="551"/>
      <c r="AQ923" s="551"/>
      <c r="AR923" s="551"/>
      <c r="AS923" s="551"/>
      <c r="AT923" s="551"/>
      <c r="AU923" s="551"/>
      <c r="AV923" s="551"/>
      <c r="AW923" s="551"/>
      <c r="AX923" s="551"/>
      <c r="AY923" s="551"/>
      <c r="AZ923" s="551"/>
      <c r="BA923" s="551"/>
      <c r="BB923" s="551"/>
      <c r="BC923" s="551"/>
      <c r="BD923" s="551"/>
      <c r="BE923" s="551"/>
      <c r="BF923" s="551"/>
      <c r="BG923" s="551"/>
      <c r="BH923" s="551"/>
      <c r="BI923" s="551"/>
      <c r="BJ923" s="551"/>
      <c r="BK923" s="551"/>
    </row>
    <row r="924" spans="1:63" ht="12.75" customHeight="1">
      <c r="A924" s="551"/>
      <c r="B924" s="551"/>
      <c r="C924" s="551"/>
      <c r="D924" s="551"/>
      <c r="E924" s="551"/>
      <c r="F924" s="551"/>
      <c r="G924" s="551"/>
      <c r="H924" s="551"/>
      <c r="I924" s="551"/>
      <c r="J924" s="551"/>
      <c r="K924" s="551"/>
      <c r="L924" s="551"/>
      <c r="M924" s="551"/>
      <c r="N924" s="551"/>
      <c r="O924" s="551"/>
      <c r="P924" s="551"/>
      <c r="Q924" s="551"/>
      <c r="R924" s="551"/>
      <c r="S924" s="551"/>
      <c r="T924" s="551"/>
      <c r="U924" s="551"/>
      <c r="V924" s="551"/>
      <c r="W924" s="551"/>
      <c r="X924" s="551"/>
      <c r="Y924" s="551"/>
      <c r="Z924" s="551"/>
      <c r="AA924" s="551"/>
      <c r="AB924" s="551"/>
      <c r="AC924" s="551"/>
      <c r="AD924" s="551"/>
      <c r="AE924" s="551"/>
      <c r="AF924" s="551"/>
      <c r="AG924" s="551"/>
      <c r="AH924" s="551"/>
      <c r="AI924" s="551"/>
      <c r="AJ924" s="551"/>
      <c r="AK924" s="551"/>
      <c r="AL924" s="551"/>
      <c r="AM924" s="551"/>
      <c r="AN924" s="551"/>
      <c r="AO924" s="551"/>
      <c r="AP924" s="551"/>
      <c r="AQ924" s="551"/>
      <c r="AR924" s="551"/>
      <c r="AS924" s="551"/>
      <c r="AT924" s="551"/>
      <c r="AU924" s="551"/>
      <c r="AV924" s="551"/>
      <c r="AW924" s="551"/>
      <c r="AX924" s="551"/>
      <c r="AY924" s="551"/>
      <c r="AZ924" s="551"/>
      <c r="BA924" s="551"/>
      <c r="BB924" s="551"/>
      <c r="BC924" s="551"/>
      <c r="BD924" s="551"/>
      <c r="BE924" s="551"/>
      <c r="BF924" s="551"/>
      <c r="BG924" s="551"/>
      <c r="BH924" s="551"/>
      <c r="BI924" s="551"/>
      <c r="BJ924" s="551"/>
      <c r="BK924" s="551"/>
    </row>
    <row r="925" spans="1:63" ht="12.75" customHeight="1">
      <c r="A925" s="551"/>
      <c r="B925" s="551"/>
      <c r="C925" s="551"/>
      <c r="D925" s="551"/>
      <c r="E925" s="551"/>
      <c r="F925" s="551"/>
      <c r="G925" s="551"/>
      <c r="H925" s="551"/>
      <c r="I925" s="551"/>
      <c r="J925" s="551"/>
      <c r="K925" s="551"/>
      <c r="L925" s="551"/>
      <c r="M925" s="551"/>
      <c r="N925" s="551"/>
      <c r="O925" s="551"/>
      <c r="P925" s="551"/>
      <c r="Q925" s="551"/>
      <c r="R925" s="551"/>
      <c r="S925" s="551"/>
      <c r="T925" s="551"/>
      <c r="U925" s="551"/>
      <c r="V925" s="551"/>
      <c r="W925" s="551"/>
      <c r="X925" s="551"/>
      <c r="Y925" s="551"/>
      <c r="Z925" s="551"/>
      <c r="AA925" s="551"/>
      <c r="AB925" s="551"/>
      <c r="AC925" s="551"/>
      <c r="AD925" s="551"/>
      <c r="AE925" s="551"/>
      <c r="AF925" s="551"/>
      <c r="AG925" s="551"/>
      <c r="AH925" s="551"/>
      <c r="AI925" s="551"/>
      <c r="AJ925" s="551"/>
      <c r="AK925" s="551"/>
      <c r="AL925" s="551"/>
      <c r="AM925" s="551"/>
      <c r="AN925" s="551"/>
      <c r="AO925" s="551"/>
      <c r="AP925" s="551"/>
      <c r="AQ925" s="551"/>
      <c r="AR925" s="551"/>
      <c r="AS925" s="551"/>
      <c r="AT925" s="551"/>
      <c r="AU925" s="551"/>
      <c r="AV925" s="551"/>
      <c r="AW925" s="551"/>
      <c r="AX925" s="551"/>
      <c r="AY925" s="551"/>
      <c r="AZ925" s="551"/>
      <c r="BA925" s="551"/>
      <c r="BB925" s="551"/>
      <c r="BC925" s="551"/>
      <c r="BD925" s="551"/>
      <c r="BE925" s="551"/>
      <c r="BF925" s="551"/>
      <c r="BG925" s="551"/>
      <c r="BH925" s="551"/>
      <c r="BI925" s="551"/>
      <c r="BJ925" s="551"/>
      <c r="BK925" s="551"/>
    </row>
    <row r="926" spans="1:63" ht="12.75" customHeight="1">
      <c r="A926" s="551"/>
      <c r="B926" s="551"/>
      <c r="C926" s="551"/>
      <c r="D926" s="551"/>
      <c r="E926" s="551"/>
      <c r="F926" s="551"/>
      <c r="G926" s="551"/>
      <c r="H926" s="551"/>
      <c r="I926" s="551"/>
      <c r="J926" s="551"/>
      <c r="K926" s="551"/>
      <c r="L926" s="551"/>
      <c r="M926" s="551"/>
      <c r="N926" s="551"/>
      <c r="O926" s="551"/>
      <c r="P926" s="551"/>
      <c r="Q926" s="551"/>
      <c r="R926" s="551"/>
      <c r="S926" s="551"/>
      <c r="T926" s="551"/>
      <c r="U926" s="551"/>
      <c r="V926" s="551"/>
      <c r="W926" s="551"/>
      <c r="X926" s="551"/>
      <c r="Y926" s="551"/>
      <c r="Z926" s="551"/>
      <c r="AA926" s="551"/>
      <c r="AB926" s="551"/>
      <c r="AC926" s="551"/>
      <c r="AD926" s="551"/>
      <c r="AE926" s="551"/>
      <c r="AF926" s="551"/>
      <c r="AG926" s="551"/>
      <c r="AH926" s="551"/>
      <c r="AI926" s="551"/>
      <c r="AJ926" s="551"/>
      <c r="AK926" s="551"/>
      <c r="AL926" s="551"/>
      <c r="AM926" s="551"/>
      <c r="AN926" s="551"/>
      <c r="AO926" s="551"/>
      <c r="AP926" s="551"/>
      <c r="AQ926" s="551"/>
      <c r="AR926" s="551"/>
      <c r="AS926" s="551"/>
      <c r="AT926" s="551"/>
      <c r="AU926" s="551"/>
      <c r="AV926" s="551"/>
      <c r="AW926" s="551"/>
      <c r="AX926" s="551"/>
      <c r="AY926" s="551"/>
      <c r="AZ926" s="551"/>
      <c r="BA926" s="551"/>
      <c r="BB926" s="551"/>
      <c r="BC926" s="551"/>
      <c r="BD926" s="551"/>
      <c r="BE926" s="551"/>
      <c r="BF926" s="551"/>
      <c r="BG926" s="551"/>
      <c r="BH926" s="551"/>
      <c r="BI926" s="551"/>
      <c r="BJ926" s="551"/>
      <c r="BK926" s="551"/>
    </row>
    <row r="927" spans="1:63" ht="12.75" customHeight="1">
      <c r="A927" s="551"/>
      <c r="B927" s="551"/>
      <c r="C927" s="551"/>
      <c r="D927" s="551"/>
      <c r="E927" s="551"/>
      <c r="F927" s="551"/>
      <c r="G927" s="551"/>
      <c r="H927" s="551"/>
      <c r="I927" s="551"/>
      <c r="J927" s="551"/>
      <c r="K927" s="551"/>
      <c r="L927" s="551"/>
      <c r="M927" s="551"/>
      <c r="N927" s="551"/>
      <c r="O927" s="551"/>
      <c r="P927" s="551"/>
      <c r="Q927" s="551"/>
      <c r="R927" s="551"/>
      <c r="S927" s="551"/>
      <c r="T927" s="551"/>
      <c r="U927" s="551"/>
      <c r="V927" s="551"/>
      <c r="W927" s="551"/>
      <c r="X927" s="551"/>
      <c r="Y927" s="551"/>
      <c r="Z927" s="551"/>
      <c r="AA927" s="551"/>
      <c r="AB927" s="551"/>
      <c r="AC927" s="551"/>
      <c r="AD927" s="551"/>
      <c r="AE927" s="551"/>
      <c r="AF927" s="551"/>
      <c r="AG927" s="551"/>
      <c r="AH927" s="551"/>
      <c r="AI927" s="551"/>
      <c r="AJ927" s="551"/>
      <c r="AK927" s="551"/>
      <c r="AL927" s="551"/>
      <c r="AM927" s="551"/>
      <c r="AN927" s="551"/>
      <c r="AO927" s="551"/>
      <c r="AP927" s="551"/>
      <c r="AQ927" s="551"/>
      <c r="AR927" s="551"/>
      <c r="AS927" s="551"/>
      <c r="AT927" s="551"/>
      <c r="AU927" s="551"/>
      <c r="AV927" s="551"/>
      <c r="AW927" s="551"/>
      <c r="AX927" s="551"/>
      <c r="AY927" s="551"/>
      <c r="AZ927" s="551"/>
      <c r="BA927" s="551"/>
      <c r="BB927" s="551"/>
      <c r="BC927" s="551"/>
      <c r="BD927" s="551"/>
      <c r="BE927" s="551"/>
      <c r="BF927" s="551"/>
      <c r="BG927" s="551"/>
      <c r="BH927" s="551"/>
      <c r="BI927" s="551"/>
      <c r="BJ927" s="551"/>
      <c r="BK927" s="551"/>
    </row>
    <row r="928" spans="1:63" ht="12.75" customHeight="1">
      <c r="A928" s="551"/>
      <c r="B928" s="551"/>
      <c r="C928" s="551"/>
      <c r="D928" s="551"/>
      <c r="E928" s="551"/>
      <c r="F928" s="551"/>
      <c r="G928" s="551"/>
      <c r="H928" s="551"/>
      <c r="I928" s="551"/>
      <c r="J928" s="551"/>
      <c r="K928" s="551"/>
      <c r="L928" s="551"/>
      <c r="M928" s="551"/>
      <c r="N928" s="551"/>
      <c r="O928" s="551"/>
      <c r="P928" s="551"/>
      <c r="Q928" s="551"/>
      <c r="R928" s="551"/>
      <c r="S928" s="551"/>
      <c r="T928" s="551"/>
      <c r="U928" s="551"/>
      <c r="V928" s="551"/>
      <c r="W928" s="551"/>
      <c r="X928" s="551"/>
      <c r="Y928" s="551"/>
      <c r="Z928" s="551"/>
      <c r="AA928" s="551"/>
      <c r="AB928" s="551"/>
      <c r="AC928" s="551"/>
      <c r="AD928" s="551"/>
      <c r="AE928" s="551"/>
      <c r="AF928" s="551"/>
      <c r="AG928" s="551"/>
      <c r="AH928" s="551"/>
      <c r="AI928" s="551"/>
      <c r="AJ928" s="551"/>
      <c r="AK928" s="551"/>
      <c r="AL928" s="551"/>
      <c r="AM928" s="551"/>
      <c r="AN928" s="551"/>
      <c r="AO928" s="551"/>
      <c r="AP928" s="551"/>
      <c r="AQ928" s="551"/>
      <c r="AR928" s="551"/>
      <c r="AS928" s="551"/>
      <c r="AT928" s="551"/>
      <c r="AU928" s="551"/>
      <c r="AV928" s="551"/>
      <c r="AW928" s="551"/>
      <c r="AX928" s="551"/>
      <c r="AY928" s="551"/>
      <c r="AZ928" s="551"/>
      <c r="BA928" s="551"/>
      <c r="BB928" s="551"/>
      <c r="BC928" s="551"/>
      <c r="BD928" s="551"/>
      <c r="BE928" s="551"/>
      <c r="BF928" s="551"/>
      <c r="BG928" s="551"/>
      <c r="BH928" s="551"/>
      <c r="BI928" s="551"/>
      <c r="BJ928" s="551"/>
      <c r="BK928" s="551"/>
    </row>
    <row r="929" spans="1:63" ht="12.75" customHeight="1">
      <c r="A929" s="551"/>
      <c r="B929" s="551"/>
      <c r="C929" s="551"/>
      <c r="D929" s="551"/>
      <c r="E929" s="551"/>
      <c r="F929" s="551"/>
      <c r="G929" s="551"/>
      <c r="H929" s="551"/>
      <c r="I929" s="551"/>
      <c r="J929" s="551"/>
      <c r="K929" s="551"/>
      <c r="L929" s="551"/>
      <c r="M929" s="551"/>
      <c r="N929" s="551"/>
      <c r="O929" s="551"/>
      <c r="P929" s="551"/>
      <c r="Q929" s="551"/>
      <c r="R929" s="551"/>
      <c r="S929" s="551"/>
      <c r="T929" s="551"/>
      <c r="U929" s="551"/>
      <c r="V929" s="551"/>
      <c r="W929" s="551"/>
      <c r="X929" s="551"/>
      <c r="Y929" s="551"/>
      <c r="Z929" s="551"/>
      <c r="AA929" s="551"/>
      <c r="AB929" s="551"/>
      <c r="AC929" s="551"/>
      <c r="AD929" s="551"/>
      <c r="AE929" s="551"/>
      <c r="AF929" s="551"/>
      <c r="AG929" s="551"/>
      <c r="AH929" s="551"/>
      <c r="AI929" s="551"/>
      <c r="AJ929" s="551"/>
      <c r="AK929" s="551"/>
      <c r="AL929" s="551"/>
      <c r="AM929" s="551"/>
      <c r="AN929" s="551"/>
      <c r="AO929" s="551"/>
      <c r="AP929" s="551"/>
      <c r="AQ929" s="551"/>
      <c r="AR929" s="551"/>
      <c r="AS929" s="551"/>
      <c r="AT929" s="551"/>
      <c r="AU929" s="551"/>
      <c r="AV929" s="551"/>
      <c r="AW929" s="551"/>
      <c r="AX929" s="551"/>
      <c r="AY929" s="551"/>
      <c r="AZ929" s="551"/>
      <c r="BA929" s="551"/>
      <c r="BB929" s="551"/>
      <c r="BC929" s="551"/>
      <c r="BD929" s="551"/>
      <c r="BE929" s="551"/>
      <c r="BF929" s="551"/>
      <c r="BG929" s="551"/>
      <c r="BH929" s="551"/>
      <c r="BI929" s="551"/>
      <c r="BJ929" s="551"/>
      <c r="BK929" s="551"/>
    </row>
    <row r="930" spans="1:63" ht="12.75" customHeight="1">
      <c r="A930" s="551"/>
      <c r="B930" s="551"/>
      <c r="C930" s="551"/>
      <c r="D930" s="551"/>
      <c r="E930" s="551"/>
      <c r="F930" s="551"/>
      <c r="G930" s="551"/>
      <c r="H930" s="551"/>
      <c r="I930" s="551"/>
      <c r="J930" s="551"/>
      <c r="K930" s="551"/>
      <c r="L930" s="551"/>
      <c r="M930" s="551"/>
      <c r="N930" s="551"/>
      <c r="O930" s="551"/>
      <c r="P930" s="551"/>
      <c r="Q930" s="551"/>
      <c r="R930" s="551"/>
      <c r="S930" s="551"/>
      <c r="T930" s="551"/>
      <c r="U930" s="551"/>
      <c r="V930" s="551"/>
      <c r="W930" s="551"/>
      <c r="X930" s="551"/>
      <c r="Y930" s="551"/>
      <c r="Z930" s="551"/>
      <c r="AA930" s="551"/>
      <c r="AB930" s="551"/>
      <c r="AC930" s="551"/>
      <c r="AD930" s="551"/>
      <c r="AE930" s="551"/>
      <c r="AF930" s="551"/>
      <c r="AG930" s="551"/>
      <c r="AH930" s="551"/>
      <c r="AI930" s="551"/>
      <c r="AJ930" s="551"/>
      <c r="AK930" s="551"/>
      <c r="AL930" s="551"/>
      <c r="AM930" s="551"/>
      <c r="AN930" s="551"/>
      <c r="AO930" s="551"/>
      <c r="AP930" s="551"/>
      <c r="AQ930" s="551"/>
      <c r="AR930" s="551"/>
      <c r="AS930" s="551"/>
      <c r="AT930" s="551"/>
      <c r="AU930" s="551"/>
      <c r="AV930" s="551"/>
      <c r="AW930" s="551"/>
      <c r="AX930" s="551"/>
      <c r="AY930" s="551"/>
      <c r="AZ930" s="551"/>
      <c r="BA930" s="551"/>
      <c r="BB930" s="551"/>
      <c r="BC930" s="551"/>
      <c r="BD930" s="551"/>
      <c r="BE930" s="551"/>
      <c r="BF930" s="551"/>
      <c r="BG930" s="551"/>
      <c r="BH930" s="551"/>
      <c r="BI930" s="551"/>
      <c r="BJ930" s="551"/>
      <c r="BK930" s="551"/>
    </row>
    <row r="931" spans="1:63" ht="12.75" customHeight="1">
      <c r="A931" s="551"/>
      <c r="B931" s="551"/>
      <c r="C931" s="551"/>
      <c r="D931" s="551"/>
      <c r="E931" s="551"/>
      <c r="F931" s="551"/>
      <c r="G931" s="551"/>
      <c r="H931" s="551"/>
      <c r="I931" s="551"/>
      <c r="J931" s="551"/>
      <c r="K931" s="551"/>
      <c r="L931" s="551"/>
      <c r="M931" s="551"/>
      <c r="N931" s="551"/>
      <c r="O931" s="551"/>
      <c r="P931" s="551"/>
      <c r="Q931" s="551"/>
      <c r="R931" s="551"/>
      <c r="S931" s="551"/>
      <c r="T931" s="551"/>
      <c r="U931" s="551"/>
      <c r="V931" s="551"/>
      <c r="W931" s="551"/>
      <c r="X931" s="551"/>
      <c r="Y931" s="551"/>
      <c r="Z931" s="551"/>
      <c r="AA931" s="551"/>
      <c r="AB931" s="551"/>
      <c r="AC931" s="551"/>
      <c r="AD931" s="551"/>
      <c r="AE931" s="551"/>
      <c r="AF931" s="551"/>
      <c r="AG931" s="551"/>
      <c r="AH931" s="551"/>
      <c r="AI931" s="551"/>
      <c r="AJ931" s="551"/>
      <c r="AK931" s="551"/>
      <c r="AL931" s="551"/>
      <c r="AM931" s="551"/>
      <c r="AN931" s="551"/>
      <c r="AO931" s="551"/>
      <c r="AP931" s="551"/>
      <c r="AQ931" s="551"/>
      <c r="AR931" s="551"/>
      <c r="AS931" s="551"/>
      <c r="AT931" s="551"/>
      <c r="AU931" s="551"/>
      <c r="AV931" s="551"/>
      <c r="AW931" s="551"/>
      <c r="AX931" s="551"/>
      <c r="AY931" s="551"/>
      <c r="AZ931" s="551"/>
      <c r="BA931" s="551"/>
      <c r="BB931" s="551"/>
      <c r="BC931" s="551"/>
      <c r="BD931" s="551"/>
      <c r="BE931" s="551"/>
      <c r="BF931" s="551"/>
      <c r="BG931" s="551"/>
      <c r="BH931" s="551"/>
      <c r="BI931" s="551"/>
      <c r="BJ931" s="551"/>
      <c r="BK931" s="551"/>
    </row>
    <row r="932" spans="1:63" ht="12.75" customHeight="1">
      <c r="A932" s="551"/>
      <c r="B932" s="551"/>
      <c r="C932" s="551"/>
      <c r="D932" s="551"/>
      <c r="E932" s="551"/>
      <c r="F932" s="551"/>
      <c r="G932" s="551"/>
      <c r="H932" s="551"/>
      <c r="I932" s="551"/>
      <c r="J932" s="551"/>
      <c r="K932" s="551"/>
      <c r="L932" s="551"/>
      <c r="M932" s="551"/>
      <c r="N932" s="551"/>
      <c r="O932" s="551"/>
      <c r="P932" s="551"/>
      <c r="Q932" s="551"/>
      <c r="R932" s="551"/>
      <c r="S932" s="551"/>
      <c r="T932" s="551"/>
      <c r="U932" s="551"/>
      <c r="V932" s="551"/>
      <c r="W932" s="551"/>
      <c r="X932" s="551"/>
      <c r="Y932" s="551"/>
      <c r="Z932" s="551"/>
      <c r="AA932" s="551"/>
      <c r="AB932" s="551"/>
      <c r="AC932" s="551"/>
      <c r="AD932" s="551"/>
      <c r="AE932" s="551"/>
      <c r="AF932" s="551"/>
      <c r="AG932" s="551"/>
      <c r="AH932" s="551"/>
      <c r="AI932" s="551"/>
      <c r="AJ932" s="551"/>
      <c r="AK932" s="551"/>
      <c r="AL932" s="551"/>
      <c r="AM932" s="551"/>
      <c r="AN932" s="551"/>
      <c r="AO932" s="551"/>
      <c r="AP932" s="551"/>
      <c r="AQ932" s="551"/>
      <c r="AR932" s="551"/>
      <c r="AS932" s="551"/>
      <c r="AT932" s="551"/>
      <c r="AU932" s="551"/>
      <c r="AV932" s="551"/>
      <c r="AW932" s="551"/>
      <c r="AX932" s="551"/>
      <c r="AY932" s="551"/>
      <c r="AZ932" s="551"/>
      <c r="BA932" s="551"/>
      <c r="BB932" s="551"/>
      <c r="BC932" s="551"/>
      <c r="BD932" s="551"/>
      <c r="BE932" s="551"/>
      <c r="BF932" s="551"/>
      <c r="BG932" s="551"/>
      <c r="BH932" s="551"/>
      <c r="BI932" s="551"/>
      <c r="BJ932" s="551"/>
      <c r="BK932" s="551"/>
    </row>
    <row r="933" spans="1:63" ht="12.75" customHeight="1">
      <c r="A933" s="551"/>
      <c r="B933" s="551"/>
      <c r="C933" s="551"/>
      <c r="D933" s="551"/>
      <c r="E933" s="551"/>
      <c r="F933" s="551"/>
      <c r="G933" s="551"/>
      <c r="H933" s="551"/>
      <c r="I933" s="551"/>
      <c r="J933" s="551"/>
      <c r="K933" s="551"/>
      <c r="L933" s="551"/>
      <c r="M933" s="551"/>
      <c r="N933" s="551"/>
      <c r="O933" s="551"/>
      <c r="P933" s="551"/>
      <c r="Q933" s="551"/>
      <c r="R933" s="551"/>
      <c r="S933" s="551"/>
      <c r="T933" s="551"/>
      <c r="U933" s="551"/>
      <c r="V933" s="551"/>
      <c r="W933" s="551"/>
      <c r="X933" s="551"/>
      <c r="Y933" s="551"/>
      <c r="Z933" s="551"/>
      <c r="AA933" s="551"/>
      <c r="AB933" s="551"/>
      <c r="AC933" s="551"/>
      <c r="AD933" s="551"/>
      <c r="AE933" s="551"/>
      <c r="AF933" s="551"/>
      <c r="AG933" s="551"/>
      <c r="AH933" s="551"/>
      <c r="AI933" s="551"/>
      <c r="AJ933" s="551"/>
      <c r="AK933" s="551"/>
      <c r="AL933" s="551"/>
      <c r="AM933" s="551"/>
      <c r="AN933" s="551"/>
      <c r="AO933" s="551"/>
      <c r="AP933" s="551"/>
      <c r="AQ933" s="551"/>
      <c r="AR933" s="551"/>
      <c r="AS933" s="551"/>
      <c r="AT933" s="551"/>
      <c r="AU933" s="551"/>
      <c r="AV933" s="551"/>
      <c r="AW933" s="551"/>
      <c r="AX933" s="551"/>
      <c r="AY933" s="551"/>
      <c r="AZ933" s="551"/>
      <c r="BA933" s="551"/>
      <c r="BB933" s="551"/>
      <c r="BC933" s="551"/>
      <c r="BD933" s="551"/>
      <c r="BE933" s="551"/>
      <c r="BF933" s="551"/>
      <c r="BG933" s="551"/>
      <c r="BH933" s="551"/>
      <c r="BI933" s="551"/>
      <c r="BJ933" s="551"/>
      <c r="BK933" s="551"/>
    </row>
    <row r="934" spans="1:63" ht="12.75" customHeight="1">
      <c r="A934" s="551"/>
      <c r="B934" s="551"/>
      <c r="C934" s="551"/>
      <c r="D934" s="551"/>
      <c r="E934" s="551"/>
      <c r="F934" s="551"/>
      <c r="G934" s="551"/>
      <c r="H934" s="551"/>
      <c r="I934" s="551"/>
      <c r="J934" s="551"/>
      <c r="K934" s="551"/>
      <c r="L934" s="551"/>
      <c r="M934" s="551"/>
      <c r="N934" s="551"/>
      <c r="O934" s="551"/>
      <c r="P934" s="551"/>
      <c r="Q934" s="551"/>
      <c r="R934" s="551"/>
      <c r="S934" s="551"/>
      <c r="T934" s="551"/>
      <c r="U934" s="551"/>
      <c r="V934" s="551"/>
      <c r="W934" s="551"/>
      <c r="X934" s="551"/>
      <c r="Y934" s="551"/>
      <c r="Z934" s="551"/>
      <c r="AA934" s="551"/>
      <c r="AB934" s="551"/>
      <c r="AC934" s="551"/>
      <c r="AD934" s="551"/>
      <c r="AE934" s="551"/>
      <c r="AF934" s="551"/>
      <c r="AG934" s="551"/>
      <c r="AH934" s="551"/>
      <c r="AI934" s="551"/>
      <c r="AJ934" s="551"/>
      <c r="AK934" s="551"/>
      <c r="AL934" s="551"/>
      <c r="AM934" s="551"/>
      <c r="AN934" s="551"/>
      <c r="AO934" s="551"/>
      <c r="AP934" s="551"/>
      <c r="AQ934" s="551"/>
      <c r="AR934" s="551"/>
      <c r="AS934" s="551"/>
      <c r="AT934" s="551"/>
      <c r="AU934" s="551"/>
      <c r="AV934" s="551"/>
      <c r="AW934" s="551"/>
      <c r="AX934" s="551"/>
      <c r="AY934" s="551"/>
      <c r="AZ934" s="551"/>
      <c r="BA934" s="551"/>
      <c r="BB934" s="551"/>
      <c r="BC934" s="551"/>
      <c r="BD934" s="551"/>
      <c r="BE934" s="551"/>
      <c r="BF934" s="551"/>
      <c r="BG934" s="551"/>
      <c r="BH934" s="551"/>
      <c r="BI934" s="551"/>
      <c r="BJ934" s="551"/>
      <c r="BK934" s="551"/>
    </row>
    <row r="935" spans="1:63" ht="12.75" customHeight="1">
      <c r="A935" s="551"/>
      <c r="B935" s="551"/>
      <c r="C935" s="551"/>
      <c r="D935" s="551"/>
      <c r="E935" s="551"/>
      <c r="F935" s="551"/>
      <c r="G935" s="551"/>
      <c r="H935" s="551"/>
      <c r="I935" s="551"/>
      <c r="J935" s="551"/>
      <c r="K935" s="551"/>
      <c r="L935" s="551"/>
      <c r="M935" s="551"/>
      <c r="N935" s="551"/>
      <c r="O935" s="551"/>
      <c r="P935" s="551"/>
      <c r="Q935" s="551"/>
      <c r="R935" s="551"/>
      <c r="S935" s="551"/>
      <c r="T935" s="551"/>
      <c r="U935" s="551"/>
      <c r="V935" s="551"/>
      <c r="W935" s="551"/>
      <c r="X935" s="551"/>
      <c r="Y935" s="551"/>
      <c r="Z935" s="551"/>
      <c r="AA935" s="551"/>
      <c r="AB935" s="551"/>
      <c r="AC935" s="551"/>
      <c r="AD935" s="551"/>
      <c r="AE935" s="551"/>
      <c r="AF935" s="551"/>
      <c r="AG935" s="551"/>
      <c r="AH935" s="551"/>
      <c r="AI935" s="551"/>
      <c r="AJ935" s="551"/>
      <c r="AK935" s="551"/>
      <c r="AL935" s="551"/>
      <c r="AM935" s="551"/>
      <c r="AN935" s="551"/>
      <c r="AO935" s="551"/>
      <c r="AP935" s="551"/>
      <c r="AQ935" s="551"/>
      <c r="AR935" s="551"/>
      <c r="AS935" s="551"/>
      <c r="AT935" s="551"/>
      <c r="AU935" s="551"/>
      <c r="AV935" s="551"/>
      <c r="AW935" s="551"/>
      <c r="AX935" s="551"/>
      <c r="AY935" s="551"/>
      <c r="AZ935" s="551"/>
      <c r="BA935" s="551"/>
      <c r="BB935" s="551"/>
      <c r="BC935" s="551"/>
      <c r="BD935" s="551"/>
      <c r="BE935" s="551"/>
      <c r="BF935" s="551"/>
      <c r="BG935" s="551"/>
      <c r="BH935" s="551"/>
      <c r="BI935" s="551"/>
      <c r="BJ935" s="551"/>
      <c r="BK935" s="551"/>
    </row>
    <row r="936" spans="1:63" ht="12.75" customHeight="1">
      <c r="A936" s="551"/>
      <c r="B936" s="551"/>
      <c r="C936" s="551"/>
      <c r="D936" s="551"/>
      <c r="E936" s="551"/>
      <c r="F936" s="551"/>
      <c r="G936" s="551"/>
      <c r="H936" s="551"/>
      <c r="I936" s="551"/>
      <c r="J936" s="551"/>
      <c r="K936" s="551"/>
      <c r="L936" s="551"/>
      <c r="M936" s="551"/>
      <c r="N936" s="551"/>
      <c r="O936" s="551"/>
      <c r="P936" s="551"/>
      <c r="Q936" s="551"/>
      <c r="R936" s="551"/>
      <c r="S936" s="551"/>
      <c r="T936" s="551"/>
      <c r="U936" s="551"/>
      <c r="V936" s="551"/>
      <c r="W936" s="551"/>
      <c r="X936" s="551"/>
      <c r="Y936" s="551"/>
      <c r="Z936" s="551"/>
      <c r="AA936" s="551"/>
      <c r="AB936" s="551"/>
      <c r="AC936" s="551"/>
      <c r="AD936" s="551"/>
      <c r="AE936" s="551"/>
      <c r="AF936" s="551"/>
      <c r="AG936" s="551"/>
      <c r="AH936" s="551"/>
      <c r="AI936" s="551"/>
      <c r="AJ936" s="551"/>
      <c r="AK936" s="551"/>
      <c r="AL936" s="551"/>
      <c r="AM936" s="551"/>
      <c r="AN936" s="551"/>
      <c r="AO936" s="551"/>
      <c r="AP936" s="551"/>
      <c r="AQ936" s="551"/>
      <c r="AR936" s="551"/>
      <c r="AS936" s="551"/>
      <c r="AT936" s="551"/>
      <c r="AU936" s="551"/>
      <c r="AV936" s="551"/>
      <c r="AW936" s="551"/>
      <c r="AX936" s="551"/>
      <c r="AY936" s="551"/>
      <c r="AZ936" s="551"/>
      <c r="BA936" s="551"/>
      <c r="BB936" s="551"/>
      <c r="BC936" s="551"/>
      <c r="BD936" s="551"/>
      <c r="BE936" s="551"/>
      <c r="BF936" s="551"/>
      <c r="BG936" s="551"/>
      <c r="BH936" s="551"/>
      <c r="BI936" s="551"/>
      <c r="BJ936" s="551"/>
      <c r="BK936" s="551"/>
    </row>
    <row r="937" spans="1:63" ht="12.75" customHeight="1">
      <c r="A937" s="551"/>
      <c r="B937" s="551"/>
      <c r="C937" s="551"/>
      <c r="D937" s="551"/>
      <c r="E937" s="551"/>
      <c r="F937" s="551"/>
      <c r="G937" s="551"/>
      <c r="H937" s="551"/>
      <c r="I937" s="551"/>
      <c r="J937" s="551"/>
      <c r="K937" s="551"/>
      <c r="L937" s="551"/>
      <c r="M937" s="551"/>
      <c r="N937" s="551"/>
      <c r="O937" s="551"/>
      <c r="P937" s="551"/>
      <c r="Q937" s="551"/>
      <c r="R937" s="551"/>
      <c r="S937" s="551"/>
      <c r="T937" s="551"/>
      <c r="U937" s="551"/>
      <c r="V937" s="551"/>
      <c r="W937" s="551"/>
      <c r="X937" s="551"/>
      <c r="Y937" s="551"/>
      <c r="Z937" s="551"/>
      <c r="AA937" s="551"/>
      <c r="AB937" s="551"/>
      <c r="AC937" s="551"/>
      <c r="AD937" s="551"/>
      <c r="AE937" s="551"/>
      <c r="AF937" s="551"/>
      <c r="AG937" s="551"/>
      <c r="AH937" s="551"/>
      <c r="AI937" s="551"/>
      <c r="AJ937" s="551"/>
      <c r="AK937" s="551"/>
      <c r="AL937" s="551"/>
      <c r="AM937" s="551"/>
      <c r="AN937" s="551"/>
      <c r="AO937" s="551"/>
      <c r="AP937" s="551"/>
      <c r="AQ937" s="551"/>
      <c r="AR937" s="551"/>
      <c r="AS937" s="551"/>
      <c r="AT937" s="551"/>
      <c r="AU937" s="551"/>
      <c r="AV937" s="551"/>
      <c r="AW937" s="551"/>
      <c r="AX937" s="551"/>
      <c r="AY937" s="551"/>
      <c r="AZ937" s="551"/>
      <c r="BA937" s="551"/>
      <c r="BB937" s="551"/>
      <c r="BC937" s="551"/>
      <c r="BD937" s="551"/>
      <c r="BE937" s="551"/>
      <c r="BF937" s="551"/>
      <c r="BG937" s="551"/>
      <c r="BH937" s="551"/>
      <c r="BI937" s="551"/>
      <c r="BJ937" s="551"/>
      <c r="BK937" s="551"/>
    </row>
    <row r="938" spans="1:63" ht="12.75" customHeight="1">
      <c r="A938" s="551"/>
      <c r="B938" s="551"/>
      <c r="C938" s="551"/>
      <c r="D938" s="551"/>
      <c r="E938" s="551"/>
      <c r="F938" s="551"/>
      <c r="G938" s="551"/>
      <c r="H938" s="551"/>
      <c r="I938" s="551"/>
      <c r="J938" s="551"/>
      <c r="K938" s="551"/>
      <c r="L938" s="551"/>
      <c r="M938" s="551"/>
      <c r="N938" s="551"/>
      <c r="O938" s="551"/>
      <c r="P938" s="551"/>
      <c r="Q938" s="551"/>
      <c r="R938" s="551"/>
      <c r="S938" s="551"/>
      <c r="T938" s="551"/>
      <c r="U938" s="551"/>
      <c r="V938" s="551"/>
      <c r="W938" s="551"/>
      <c r="X938" s="551"/>
      <c r="Y938" s="551"/>
      <c r="Z938" s="551"/>
      <c r="AA938" s="551"/>
      <c r="AB938" s="551"/>
      <c r="AC938" s="551"/>
      <c r="AD938" s="551"/>
      <c r="AE938" s="551"/>
      <c r="AF938" s="551"/>
      <c r="AG938" s="551"/>
      <c r="AH938" s="551"/>
      <c r="AI938" s="551"/>
      <c r="AJ938" s="551"/>
      <c r="AK938" s="551"/>
      <c r="AL938" s="551"/>
      <c r="AM938" s="551"/>
      <c r="AN938" s="551"/>
      <c r="AO938" s="551"/>
      <c r="AP938" s="551"/>
      <c r="AQ938" s="551"/>
      <c r="AR938" s="551"/>
      <c r="AS938" s="551"/>
      <c r="AT938" s="551"/>
      <c r="AU938" s="551"/>
      <c r="AV938" s="551"/>
      <c r="AW938" s="551"/>
      <c r="AX938" s="551"/>
      <c r="AY938" s="551"/>
      <c r="AZ938" s="551"/>
      <c r="BA938" s="551"/>
      <c r="BB938" s="551"/>
      <c r="BC938" s="551"/>
      <c r="BD938" s="551"/>
      <c r="BE938" s="551"/>
      <c r="BF938" s="551"/>
      <c r="BG938" s="551"/>
      <c r="BH938" s="551"/>
      <c r="BI938" s="551"/>
      <c r="BJ938" s="551"/>
      <c r="BK938" s="551"/>
    </row>
    <row r="939" spans="1:63" ht="12.75" customHeight="1">
      <c r="A939" s="551"/>
      <c r="B939" s="551"/>
      <c r="C939" s="551"/>
      <c r="D939" s="551"/>
      <c r="E939" s="551"/>
      <c r="F939" s="551"/>
      <c r="G939" s="551"/>
      <c r="H939" s="551"/>
      <c r="I939" s="551"/>
      <c r="J939" s="551"/>
      <c r="K939" s="551"/>
      <c r="L939" s="551"/>
      <c r="M939" s="551"/>
      <c r="N939" s="551"/>
      <c r="O939" s="551"/>
      <c r="P939" s="551"/>
      <c r="Q939" s="551"/>
      <c r="R939" s="551"/>
      <c r="S939" s="551"/>
      <c r="T939" s="551"/>
      <c r="U939" s="551"/>
      <c r="V939" s="551"/>
      <c r="W939" s="551"/>
      <c r="X939" s="551"/>
      <c r="Y939" s="551"/>
      <c r="Z939" s="551"/>
      <c r="AA939" s="551"/>
      <c r="AB939" s="551"/>
      <c r="AC939" s="551"/>
      <c r="AD939" s="551"/>
      <c r="AE939" s="551"/>
      <c r="AF939" s="551"/>
      <c r="AG939" s="551"/>
      <c r="AH939" s="551"/>
      <c r="AI939" s="551"/>
      <c r="AJ939" s="551"/>
      <c r="AK939" s="551"/>
      <c r="AL939" s="551"/>
      <c r="AM939" s="551"/>
      <c r="AN939" s="551"/>
      <c r="AO939" s="551"/>
      <c r="AP939" s="551"/>
      <c r="AQ939" s="551"/>
      <c r="AR939" s="551"/>
      <c r="AS939" s="551"/>
      <c r="AT939" s="551"/>
      <c r="AU939" s="551"/>
      <c r="AV939" s="551"/>
      <c r="AW939" s="551"/>
      <c r="AX939" s="551"/>
      <c r="AY939" s="551"/>
      <c r="AZ939" s="551"/>
      <c r="BA939" s="551"/>
      <c r="BB939" s="551"/>
      <c r="BC939" s="551"/>
      <c r="BD939" s="551"/>
      <c r="BE939" s="551"/>
      <c r="BF939" s="551"/>
      <c r="BG939" s="551"/>
      <c r="BH939" s="551"/>
      <c r="BI939" s="551"/>
      <c r="BJ939" s="551"/>
      <c r="BK939" s="551"/>
    </row>
    <row r="940" spans="1:63" ht="12.75" customHeight="1">
      <c r="A940" s="551"/>
      <c r="B940" s="551"/>
      <c r="C940" s="551"/>
      <c r="D940" s="551"/>
      <c r="E940" s="551"/>
      <c r="F940" s="551"/>
      <c r="G940" s="551"/>
      <c r="H940" s="551"/>
      <c r="I940" s="551"/>
      <c r="J940" s="551"/>
      <c r="K940" s="551"/>
      <c r="L940" s="551"/>
      <c r="M940" s="551"/>
      <c r="N940" s="551"/>
      <c r="O940" s="551"/>
      <c r="P940" s="551"/>
      <c r="Q940" s="551"/>
      <c r="R940" s="551"/>
      <c r="S940" s="551"/>
      <c r="T940" s="551"/>
      <c r="U940" s="551"/>
      <c r="V940" s="551"/>
      <c r="W940" s="551"/>
      <c r="X940" s="551"/>
      <c r="Y940" s="551"/>
      <c r="Z940" s="551"/>
      <c r="AA940" s="551"/>
      <c r="AB940" s="551"/>
      <c r="AC940" s="551"/>
      <c r="AD940" s="551"/>
      <c r="AE940" s="551"/>
      <c r="AF940" s="551"/>
      <c r="AG940" s="551"/>
      <c r="AH940" s="551"/>
      <c r="AI940" s="551"/>
      <c r="AJ940" s="551"/>
      <c r="AK940" s="551"/>
      <c r="AL940" s="551"/>
      <c r="AM940" s="551"/>
      <c r="AN940" s="551"/>
      <c r="AO940" s="551"/>
      <c r="AP940" s="551"/>
      <c r="AQ940" s="551"/>
      <c r="AR940" s="551"/>
      <c r="AS940" s="551"/>
      <c r="AT940" s="551"/>
      <c r="AU940" s="551"/>
      <c r="AV940" s="551"/>
      <c r="AW940" s="551"/>
      <c r="AX940" s="551"/>
      <c r="AY940" s="551"/>
      <c r="AZ940" s="551"/>
      <c r="BA940" s="551"/>
      <c r="BB940" s="551"/>
      <c r="BC940" s="551"/>
      <c r="BD940" s="551"/>
      <c r="BE940" s="551"/>
      <c r="BF940" s="551"/>
      <c r="BG940" s="551"/>
      <c r="BH940" s="551"/>
      <c r="BI940" s="551"/>
      <c r="BJ940" s="551"/>
      <c r="BK940" s="551"/>
    </row>
    <row r="941" spans="1:63" ht="12.75" customHeight="1">
      <c r="A941" s="551"/>
      <c r="B941" s="551"/>
      <c r="C941" s="551"/>
      <c r="D941" s="551"/>
      <c r="E941" s="551"/>
      <c r="F941" s="551"/>
      <c r="G941" s="551"/>
      <c r="H941" s="551"/>
      <c r="I941" s="551"/>
      <c r="J941" s="551"/>
      <c r="K941" s="551"/>
      <c r="L941" s="551"/>
      <c r="M941" s="551"/>
      <c r="N941" s="551"/>
      <c r="O941" s="551"/>
      <c r="P941" s="551"/>
      <c r="Q941" s="551"/>
      <c r="R941" s="551"/>
      <c r="S941" s="551"/>
      <c r="T941" s="551"/>
      <c r="U941" s="551"/>
      <c r="V941" s="551"/>
      <c r="W941" s="551"/>
      <c r="X941" s="551"/>
      <c r="Y941" s="551"/>
      <c r="Z941" s="551"/>
      <c r="AA941" s="551"/>
      <c r="AB941" s="551"/>
      <c r="AC941" s="551"/>
      <c r="AD941" s="551"/>
      <c r="AE941" s="551"/>
      <c r="AF941" s="551"/>
      <c r="AG941" s="551"/>
      <c r="AH941" s="551"/>
      <c r="AI941" s="551"/>
      <c r="AJ941" s="551"/>
      <c r="AK941" s="551"/>
      <c r="AL941" s="551"/>
      <c r="AM941" s="551"/>
      <c r="AN941" s="551"/>
      <c r="AO941" s="551"/>
      <c r="AP941" s="551"/>
      <c r="AQ941" s="551"/>
      <c r="AR941" s="551"/>
      <c r="AS941" s="551"/>
      <c r="AT941" s="551"/>
      <c r="AU941" s="551"/>
      <c r="AV941" s="551"/>
      <c r="AW941" s="551"/>
      <c r="AX941" s="551"/>
      <c r="AY941" s="551"/>
      <c r="AZ941" s="551"/>
      <c r="BA941" s="551"/>
      <c r="BB941" s="551"/>
      <c r="BC941" s="551"/>
      <c r="BD941" s="551"/>
      <c r="BE941" s="551"/>
      <c r="BF941" s="551"/>
      <c r="BG941" s="551"/>
      <c r="BH941" s="551"/>
      <c r="BI941" s="551"/>
      <c r="BJ941" s="551"/>
      <c r="BK941" s="551"/>
    </row>
    <row r="942" spans="1:63" ht="12.75" customHeight="1">
      <c r="A942" s="551"/>
      <c r="B942" s="551"/>
      <c r="C942" s="551"/>
      <c r="D942" s="551"/>
      <c r="E942" s="551"/>
      <c r="F942" s="551"/>
      <c r="G942" s="551"/>
      <c r="H942" s="551"/>
      <c r="I942" s="551"/>
      <c r="J942" s="551"/>
      <c r="K942" s="551"/>
      <c r="L942" s="551"/>
      <c r="M942" s="551"/>
      <c r="N942" s="551"/>
      <c r="O942" s="551"/>
      <c r="P942" s="551"/>
      <c r="Q942" s="551"/>
      <c r="R942" s="551"/>
      <c r="S942" s="551"/>
      <c r="T942" s="551"/>
      <c r="U942" s="551"/>
      <c r="V942" s="551"/>
      <c r="W942" s="551"/>
      <c r="X942" s="551"/>
      <c r="Y942" s="551"/>
      <c r="Z942" s="551"/>
      <c r="AA942" s="551"/>
      <c r="AB942" s="551"/>
      <c r="AC942" s="551"/>
      <c r="AD942" s="551"/>
      <c r="AE942" s="551"/>
      <c r="AF942" s="551"/>
      <c r="AG942" s="551"/>
      <c r="AH942" s="551"/>
      <c r="AI942" s="551"/>
      <c r="AJ942" s="551"/>
      <c r="AK942" s="551"/>
      <c r="AL942" s="551"/>
      <c r="AM942" s="551"/>
      <c r="AN942" s="551"/>
      <c r="AO942" s="551"/>
      <c r="AP942" s="551"/>
      <c r="AQ942" s="551"/>
      <c r="AR942" s="551"/>
      <c r="AS942" s="551"/>
      <c r="AT942" s="551"/>
      <c r="AU942" s="551"/>
      <c r="AV942" s="551"/>
      <c r="AW942" s="551"/>
      <c r="AX942" s="551"/>
      <c r="AY942" s="551"/>
      <c r="AZ942" s="551"/>
      <c r="BA942" s="551"/>
      <c r="BB942" s="551"/>
      <c r="BC942" s="551"/>
      <c r="BD942" s="551"/>
      <c r="BE942" s="551"/>
      <c r="BF942" s="551"/>
      <c r="BG942" s="551"/>
      <c r="BH942" s="551"/>
      <c r="BI942" s="551"/>
      <c r="BJ942" s="551"/>
      <c r="BK942" s="551"/>
    </row>
    <row r="943" spans="1:63" ht="12.75" customHeight="1">
      <c r="A943" s="551"/>
      <c r="B943" s="551"/>
      <c r="C943" s="551"/>
      <c r="D943" s="551"/>
      <c r="E943" s="551"/>
      <c r="F943" s="551"/>
      <c r="G943" s="551"/>
      <c r="H943" s="551"/>
      <c r="I943" s="551"/>
      <c r="J943" s="551"/>
      <c r="K943" s="551"/>
      <c r="L943" s="551"/>
      <c r="M943" s="551"/>
      <c r="N943" s="551"/>
      <c r="O943" s="551"/>
      <c r="P943" s="551"/>
      <c r="Q943" s="551"/>
      <c r="R943" s="551"/>
      <c r="S943" s="551"/>
      <c r="T943" s="551"/>
      <c r="U943" s="551"/>
      <c r="V943" s="551"/>
      <c r="W943" s="551"/>
      <c r="X943" s="551"/>
      <c r="Y943" s="551"/>
      <c r="Z943" s="551"/>
      <c r="AA943" s="551"/>
      <c r="AB943" s="551"/>
      <c r="AC943" s="551"/>
      <c r="AD943" s="551"/>
      <c r="AE943" s="551"/>
      <c r="AF943" s="551"/>
      <c r="AG943" s="551"/>
      <c r="AH943" s="551"/>
      <c r="AI943" s="551"/>
      <c r="AJ943" s="551"/>
      <c r="AK943" s="551"/>
      <c r="AL943" s="551"/>
      <c r="AM943" s="551"/>
      <c r="AN943" s="551"/>
      <c r="AO943" s="551"/>
      <c r="AP943" s="551"/>
      <c r="AQ943" s="551"/>
      <c r="AR943" s="551"/>
      <c r="AS943" s="551"/>
      <c r="AT943" s="551"/>
      <c r="AU943" s="551"/>
      <c r="AV943" s="551"/>
      <c r="AW943" s="551"/>
      <c r="AX943" s="551"/>
      <c r="AY943" s="551"/>
      <c r="AZ943" s="551"/>
      <c r="BA943" s="551"/>
      <c r="BB943" s="551"/>
      <c r="BC943" s="551"/>
      <c r="BD943" s="551"/>
      <c r="BE943" s="551"/>
      <c r="BF943" s="551"/>
      <c r="BG943" s="551"/>
      <c r="BH943" s="551"/>
      <c r="BI943" s="551"/>
      <c r="BJ943" s="551"/>
      <c r="BK943" s="551"/>
    </row>
    <row r="944" spans="1:63" ht="12.75" customHeight="1">
      <c r="A944" s="551"/>
      <c r="B944" s="551"/>
      <c r="C944" s="551"/>
      <c r="D944" s="551"/>
      <c r="E944" s="551"/>
      <c r="F944" s="551"/>
      <c r="G944" s="551"/>
      <c r="H944" s="551"/>
      <c r="I944" s="551"/>
      <c r="J944" s="551"/>
      <c r="K944" s="551"/>
      <c r="L944" s="551"/>
      <c r="M944" s="551"/>
      <c r="N944" s="551"/>
      <c r="O944" s="551"/>
      <c r="P944" s="551"/>
      <c r="Q944" s="551"/>
      <c r="R944" s="551"/>
      <c r="S944" s="551"/>
      <c r="T944" s="551"/>
      <c r="U944" s="551"/>
      <c r="V944" s="551"/>
      <c r="W944" s="551"/>
      <c r="X944" s="551"/>
      <c r="Y944" s="551"/>
      <c r="Z944" s="551"/>
      <c r="AA944" s="551"/>
      <c r="AB944" s="551"/>
      <c r="AC944" s="551"/>
      <c r="AD944" s="551"/>
      <c r="AE944" s="551"/>
      <c r="AF944" s="551"/>
      <c r="AG944" s="551"/>
      <c r="AH944" s="551"/>
      <c r="AI944" s="551"/>
      <c r="AJ944" s="551"/>
      <c r="AK944" s="551"/>
      <c r="AL944" s="551"/>
      <c r="AM944" s="551"/>
      <c r="AN944" s="551"/>
      <c r="AO944" s="551"/>
      <c r="AP944" s="551"/>
      <c r="AQ944" s="551"/>
      <c r="AR944" s="551"/>
      <c r="AS944" s="551"/>
      <c r="AT944" s="551"/>
      <c r="AU944" s="551"/>
      <c r="AV944" s="551"/>
      <c r="AW944" s="551"/>
      <c r="AX944" s="551"/>
      <c r="AY944" s="551"/>
      <c r="AZ944" s="551"/>
      <c r="BA944" s="551"/>
      <c r="BB944" s="551"/>
      <c r="BC944" s="551"/>
      <c r="BD944" s="551"/>
      <c r="BE944" s="551"/>
      <c r="BF944" s="551"/>
      <c r="BG944" s="551"/>
      <c r="BH944" s="551"/>
      <c r="BI944" s="551"/>
      <c r="BJ944" s="551"/>
      <c r="BK944" s="551"/>
    </row>
    <row r="945" spans="1:63" ht="12.75" customHeight="1">
      <c r="A945" s="551"/>
      <c r="B945" s="551"/>
      <c r="C945" s="551"/>
      <c r="D945" s="551"/>
      <c r="E945" s="551"/>
      <c r="F945" s="551"/>
      <c r="G945" s="551"/>
      <c r="H945" s="551"/>
      <c r="I945" s="551"/>
      <c r="J945" s="551"/>
      <c r="K945" s="551"/>
      <c r="L945" s="551"/>
      <c r="M945" s="551"/>
      <c r="N945" s="551"/>
      <c r="O945" s="551"/>
      <c r="P945" s="551"/>
      <c r="Q945" s="551"/>
      <c r="R945" s="551"/>
      <c r="S945" s="551"/>
      <c r="T945" s="551"/>
      <c r="U945" s="551"/>
      <c r="V945" s="551"/>
      <c r="W945" s="551"/>
      <c r="X945" s="551"/>
      <c r="Y945" s="551"/>
      <c r="Z945" s="551"/>
      <c r="AA945" s="551"/>
      <c r="AB945" s="551"/>
      <c r="AC945" s="551"/>
      <c r="AD945" s="551"/>
      <c r="AE945" s="551"/>
      <c r="AF945" s="551"/>
      <c r="AG945" s="551"/>
      <c r="AH945" s="551"/>
      <c r="AI945" s="551"/>
      <c r="AJ945" s="551"/>
      <c r="AK945" s="551"/>
      <c r="AL945" s="551"/>
      <c r="AM945" s="551"/>
      <c r="AN945" s="551"/>
      <c r="AO945" s="551"/>
      <c r="AP945" s="551"/>
      <c r="AQ945" s="551"/>
      <c r="AR945" s="551"/>
      <c r="AS945" s="551"/>
      <c r="AT945" s="551"/>
      <c r="AU945" s="551"/>
      <c r="AV945" s="551"/>
      <c r="AW945" s="551"/>
      <c r="AX945" s="551"/>
      <c r="AY945" s="551"/>
      <c r="AZ945" s="551"/>
      <c r="BA945" s="551"/>
      <c r="BB945" s="551"/>
      <c r="BC945" s="551"/>
      <c r="BD945" s="551"/>
      <c r="BE945" s="551"/>
      <c r="BF945" s="551"/>
      <c r="BG945" s="551"/>
      <c r="BH945" s="551"/>
      <c r="BI945" s="551"/>
      <c r="BJ945" s="551"/>
      <c r="BK945" s="551"/>
    </row>
    <row r="946" spans="1:63" ht="12.75" customHeight="1">
      <c r="A946" s="551"/>
      <c r="B946" s="551"/>
      <c r="C946" s="551"/>
      <c r="D946" s="551"/>
      <c r="E946" s="551"/>
      <c r="F946" s="551"/>
      <c r="G946" s="551"/>
      <c r="H946" s="551"/>
      <c r="I946" s="551"/>
      <c r="J946" s="551"/>
      <c r="K946" s="551"/>
      <c r="L946" s="551"/>
      <c r="M946" s="551"/>
      <c r="N946" s="551"/>
      <c r="O946" s="551"/>
      <c r="P946" s="551"/>
      <c r="Q946" s="551"/>
      <c r="R946" s="551"/>
      <c r="S946" s="551"/>
      <c r="T946" s="551"/>
      <c r="U946" s="551"/>
      <c r="V946" s="551"/>
      <c r="W946" s="551"/>
      <c r="X946" s="551"/>
      <c r="Y946" s="551"/>
      <c r="Z946" s="551"/>
      <c r="AA946" s="551"/>
      <c r="AB946" s="551"/>
      <c r="AC946" s="551"/>
      <c r="AD946" s="551"/>
      <c r="AE946" s="551"/>
      <c r="AF946" s="551"/>
      <c r="AG946" s="551"/>
      <c r="AH946" s="551"/>
      <c r="AI946" s="551"/>
      <c r="AJ946" s="551"/>
      <c r="AK946" s="551"/>
      <c r="AL946" s="551"/>
      <c r="AM946" s="551"/>
      <c r="AN946" s="551"/>
      <c r="AO946" s="551"/>
      <c r="AP946" s="551"/>
      <c r="AQ946" s="551"/>
      <c r="AR946" s="551"/>
      <c r="AS946" s="551"/>
      <c r="AT946" s="551"/>
      <c r="AU946" s="551"/>
      <c r="AV946" s="551"/>
      <c r="AW946" s="551"/>
      <c r="AX946" s="551"/>
      <c r="AY946" s="551"/>
      <c r="AZ946" s="551"/>
      <c r="BA946" s="551"/>
      <c r="BB946" s="551"/>
      <c r="BC946" s="551"/>
      <c r="BD946" s="551"/>
      <c r="BE946" s="551"/>
      <c r="BF946" s="551"/>
      <c r="BG946" s="551"/>
      <c r="BH946" s="551"/>
      <c r="BI946" s="551"/>
      <c r="BJ946" s="551"/>
      <c r="BK946" s="551"/>
    </row>
    <row r="947" spans="1:63" ht="12.75" customHeight="1">
      <c r="A947" s="551"/>
      <c r="B947" s="551"/>
      <c r="C947" s="551"/>
      <c r="D947" s="551"/>
      <c r="E947" s="551"/>
      <c r="F947" s="551"/>
      <c r="G947" s="551"/>
      <c r="H947" s="551"/>
      <c r="I947" s="551"/>
      <c r="J947" s="551"/>
      <c r="K947" s="551"/>
      <c r="L947" s="551"/>
      <c r="M947" s="551"/>
      <c r="N947" s="551"/>
      <c r="O947" s="551"/>
      <c r="P947" s="551"/>
      <c r="Q947" s="551"/>
      <c r="R947" s="551"/>
      <c r="S947" s="551"/>
      <c r="T947" s="551"/>
      <c r="U947" s="551"/>
      <c r="V947" s="551"/>
      <c r="W947" s="551"/>
      <c r="X947" s="551"/>
      <c r="Y947" s="551"/>
      <c r="Z947" s="551"/>
      <c r="AA947" s="551"/>
      <c r="AB947" s="551"/>
      <c r="AC947" s="551"/>
      <c r="AD947" s="551"/>
      <c r="AE947" s="551"/>
      <c r="AF947" s="551"/>
      <c r="AG947" s="551"/>
      <c r="AH947" s="551"/>
      <c r="AI947" s="551"/>
      <c r="AJ947" s="551"/>
      <c r="AK947" s="551"/>
      <c r="AL947" s="551"/>
      <c r="AM947" s="551"/>
      <c r="AN947" s="551"/>
      <c r="AO947" s="551"/>
      <c r="AP947" s="551"/>
      <c r="AQ947" s="551"/>
      <c r="AR947" s="551"/>
      <c r="AS947" s="551"/>
      <c r="AT947" s="551"/>
      <c r="AU947" s="551"/>
      <c r="AV947" s="551"/>
      <c r="AW947" s="551"/>
      <c r="AX947" s="551"/>
      <c r="AY947" s="551"/>
      <c r="AZ947" s="551"/>
      <c r="BA947" s="551"/>
      <c r="BB947" s="551"/>
      <c r="BC947" s="551"/>
      <c r="BD947" s="551"/>
      <c r="BE947" s="551"/>
      <c r="BF947" s="551"/>
      <c r="BG947" s="551"/>
      <c r="BH947" s="551"/>
      <c r="BI947" s="551"/>
      <c r="BJ947" s="551"/>
      <c r="BK947" s="551"/>
    </row>
    <row r="948" spans="1:63" ht="12.75" customHeight="1">
      <c r="A948" s="551"/>
      <c r="B948" s="551"/>
      <c r="C948" s="551"/>
      <c r="D948" s="551"/>
      <c r="E948" s="551"/>
      <c r="F948" s="551"/>
      <c r="G948" s="551"/>
      <c r="H948" s="551"/>
      <c r="I948" s="551"/>
      <c r="J948" s="551"/>
      <c r="K948" s="551"/>
      <c r="L948" s="551"/>
      <c r="M948" s="551"/>
      <c r="N948" s="551"/>
      <c r="O948" s="551"/>
      <c r="P948" s="551"/>
      <c r="Q948" s="551"/>
      <c r="R948" s="551"/>
      <c r="S948" s="551"/>
      <c r="T948" s="551"/>
      <c r="U948" s="551"/>
      <c r="V948" s="551"/>
      <c r="W948" s="551"/>
      <c r="X948" s="551"/>
      <c r="Y948" s="551"/>
      <c r="Z948" s="551"/>
      <c r="AA948" s="551"/>
      <c r="AB948" s="551"/>
      <c r="AC948" s="551"/>
      <c r="AD948" s="551"/>
      <c r="AE948" s="551"/>
      <c r="AF948" s="551"/>
      <c r="AG948" s="551"/>
      <c r="AH948" s="551"/>
      <c r="AI948" s="551"/>
      <c r="AJ948" s="551"/>
      <c r="AK948" s="551"/>
      <c r="AL948" s="551"/>
      <c r="AM948" s="551"/>
      <c r="AN948" s="551"/>
      <c r="AO948" s="551"/>
      <c r="AP948" s="551"/>
      <c r="AQ948" s="551"/>
      <c r="AR948" s="551"/>
      <c r="AS948" s="551"/>
      <c r="AT948" s="551"/>
      <c r="AU948" s="551"/>
      <c r="AV948" s="551"/>
      <c r="AW948" s="551"/>
      <c r="AX948" s="551"/>
      <c r="AY948" s="551"/>
      <c r="AZ948" s="551"/>
      <c r="BA948" s="551"/>
      <c r="BB948" s="551"/>
      <c r="BC948" s="551"/>
      <c r="BD948" s="551"/>
      <c r="BE948" s="551"/>
      <c r="BF948" s="551"/>
      <c r="BG948" s="551"/>
      <c r="BH948" s="551"/>
      <c r="BI948" s="551"/>
      <c r="BJ948" s="551"/>
      <c r="BK948" s="551"/>
    </row>
    <row r="949" spans="1:63" ht="12.75" customHeight="1">
      <c r="A949" s="551"/>
      <c r="B949" s="551"/>
      <c r="C949" s="551"/>
      <c r="D949" s="551"/>
      <c r="E949" s="551"/>
      <c r="F949" s="551"/>
      <c r="G949" s="551"/>
      <c r="H949" s="551"/>
      <c r="I949" s="551"/>
      <c r="J949" s="551"/>
      <c r="K949" s="551"/>
      <c r="L949" s="551"/>
      <c r="M949" s="551"/>
      <c r="N949" s="551"/>
      <c r="O949" s="551"/>
      <c r="P949" s="551"/>
      <c r="Q949" s="551"/>
      <c r="R949" s="551"/>
      <c r="S949" s="551"/>
      <c r="T949" s="551"/>
      <c r="U949" s="551"/>
      <c r="V949" s="551"/>
      <c r="W949" s="551"/>
      <c r="X949" s="551"/>
      <c r="Y949" s="551"/>
      <c r="Z949" s="551"/>
      <c r="AA949" s="551"/>
      <c r="AB949" s="551"/>
      <c r="AC949" s="551"/>
      <c r="AD949" s="551"/>
      <c r="AE949" s="551"/>
      <c r="AF949" s="551"/>
      <c r="AG949" s="551"/>
      <c r="AH949" s="551"/>
      <c r="AI949" s="551"/>
      <c r="AJ949" s="551"/>
      <c r="AK949" s="551"/>
      <c r="AL949" s="551"/>
      <c r="AM949" s="551"/>
      <c r="AN949" s="551"/>
      <c r="AO949" s="551"/>
      <c r="AP949" s="551"/>
      <c r="AQ949" s="551"/>
      <c r="AR949" s="551"/>
      <c r="AS949" s="551"/>
      <c r="AT949" s="551"/>
      <c r="AU949" s="551"/>
      <c r="AV949" s="551"/>
      <c r="AW949" s="551"/>
      <c r="AX949" s="551"/>
      <c r="AY949" s="551"/>
      <c r="AZ949" s="551"/>
      <c r="BA949" s="551"/>
      <c r="BB949" s="551"/>
      <c r="BC949" s="551"/>
      <c r="BD949" s="551"/>
      <c r="BE949" s="551"/>
      <c r="BF949" s="551"/>
      <c r="BG949" s="551"/>
      <c r="BH949" s="551"/>
      <c r="BI949" s="551"/>
      <c r="BJ949" s="551"/>
      <c r="BK949" s="551"/>
    </row>
    <row r="950" spans="1:63" ht="12.75" customHeight="1">
      <c r="A950" s="551"/>
      <c r="B950" s="551"/>
      <c r="C950" s="551"/>
      <c r="D950" s="551"/>
      <c r="E950" s="551"/>
      <c r="F950" s="551"/>
      <c r="G950" s="551"/>
      <c r="H950" s="551"/>
      <c r="I950" s="551"/>
      <c r="J950" s="551"/>
      <c r="K950" s="551"/>
      <c r="L950" s="551"/>
      <c r="M950" s="551"/>
      <c r="N950" s="551"/>
      <c r="O950" s="551"/>
      <c r="P950" s="551"/>
      <c r="Q950" s="551"/>
      <c r="R950" s="551"/>
      <c r="S950" s="551"/>
      <c r="T950" s="551"/>
      <c r="U950" s="551"/>
      <c r="V950" s="551"/>
      <c r="W950" s="551"/>
      <c r="X950" s="551"/>
      <c r="Y950" s="551"/>
      <c r="Z950" s="551"/>
      <c r="AA950" s="551"/>
      <c r="AB950" s="551"/>
      <c r="AC950" s="551"/>
      <c r="AD950" s="551"/>
      <c r="AE950" s="551"/>
      <c r="AF950" s="551"/>
      <c r="AG950" s="551"/>
      <c r="AH950" s="551"/>
      <c r="AI950" s="551"/>
      <c r="AJ950" s="551"/>
      <c r="AK950" s="551"/>
      <c r="AL950" s="551"/>
      <c r="AM950" s="551"/>
      <c r="AN950" s="551"/>
      <c r="AO950" s="551"/>
      <c r="AP950" s="551"/>
      <c r="AQ950" s="551"/>
      <c r="AR950" s="551"/>
      <c r="AS950" s="551"/>
      <c r="AT950" s="551"/>
      <c r="AU950" s="551"/>
      <c r="AV950" s="551"/>
      <c r="AW950" s="551"/>
      <c r="AX950" s="551"/>
      <c r="AY950" s="551"/>
      <c r="AZ950" s="551"/>
      <c r="BA950" s="551"/>
      <c r="BB950" s="551"/>
      <c r="BC950" s="551"/>
      <c r="BD950" s="551"/>
      <c r="BE950" s="551"/>
      <c r="BF950" s="551"/>
      <c r="BG950" s="551"/>
      <c r="BH950" s="551"/>
      <c r="BI950" s="551"/>
      <c r="BJ950" s="551"/>
      <c r="BK950" s="551"/>
    </row>
    <row r="951" spans="1:63" ht="12.75" customHeight="1">
      <c r="A951" s="551"/>
      <c r="B951" s="551"/>
      <c r="C951" s="551"/>
      <c r="D951" s="551"/>
      <c r="E951" s="551"/>
      <c r="F951" s="551"/>
      <c r="G951" s="551"/>
      <c r="H951" s="551"/>
      <c r="I951" s="551"/>
      <c r="J951" s="551"/>
      <c r="K951" s="551"/>
      <c r="L951" s="551"/>
      <c r="M951" s="551"/>
      <c r="N951" s="551"/>
      <c r="O951" s="551"/>
      <c r="P951" s="551"/>
      <c r="Q951" s="551"/>
      <c r="R951" s="551"/>
      <c r="S951" s="551"/>
      <c r="T951" s="551"/>
      <c r="U951" s="551"/>
      <c r="V951" s="551"/>
      <c r="W951" s="551"/>
      <c r="X951" s="551"/>
      <c r="Y951" s="551"/>
      <c r="Z951" s="551"/>
      <c r="AA951" s="551"/>
      <c r="AB951" s="551"/>
      <c r="AC951" s="551"/>
      <c r="AD951" s="551"/>
      <c r="AE951" s="551"/>
      <c r="AF951" s="551"/>
      <c r="AG951" s="551"/>
      <c r="AH951" s="551"/>
      <c r="AI951" s="551"/>
      <c r="AJ951" s="551"/>
      <c r="AK951" s="551"/>
      <c r="AL951" s="551"/>
      <c r="AM951" s="551"/>
      <c r="AN951" s="551"/>
      <c r="AO951" s="551"/>
      <c r="AP951" s="551"/>
      <c r="AQ951" s="551"/>
      <c r="AR951" s="551"/>
      <c r="AS951" s="551"/>
      <c r="AT951" s="551"/>
      <c r="AU951" s="551"/>
      <c r="AV951" s="551"/>
      <c r="AW951" s="551"/>
      <c r="AX951" s="551"/>
      <c r="AY951" s="551"/>
      <c r="AZ951" s="551"/>
      <c r="BA951" s="551"/>
      <c r="BB951" s="551"/>
      <c r="BC951" s="551"/>
      <c r="BD951" s="551"/>
      <c r="BE951" s="551"/>
      <c r="BF951" s="551"/>
      <c r="BG951" s="551"/>
      <c r="BH951" s="551"/>
      <c r="BI951" s="551"/>
      <c r="BJ951" s="551"/>
      <c r="BK951" s="551"/>
    </row>
    <row r="952" spans="1:63" ht="12.75" customHeight="1">
      <c r="A952" s="551"/>
      <c r="B952" s="551"/>
      <c r="C952" s="551"/>
      <c r="D952" s="551"/>
      <c r="E952" s="551"/>
      <c r="F952" s="551"/>
      <c r="G952" s="551"/>
      <c r="H952" s="551"/>
      <c r="I952" s="551"/>
      <c r="J952" s="551"/>
      <c r="K952" s="551"/>
      <c r="L952" s="551"/>
      <c r="M952" s="551"/>
      <c r="N952" s="551"/>
      <c r="O952" s="551"/>
      <c r="P952" s="551"/>
      <c r="Q952" s="551"/>
      <c r="R952" s="551"/>
      <c r="S952" s="551"/>
      <c r="T952" s="551"/>
      <c r="U952" s="551"/>
      <c r="V952" s="551"/>
      <c r="W952" s="551"/>
      <c r="X952" s="551"/>
      <c r="Y952" s="551"/>
      <c r="Z952" s="551"/>
      <c r="AA952" s="551"/>
      <c r="AB952" s="551"/>
      <c r="AC952" s="551"/>
      <c r="AD952" s="551"/>
      <c r="AE952" s="551"/>
      <c r="AF952" s="551"/>
      <c r="AG952" s="551"/>
      <c r="AH952" s="551"/>
      <c r="AI952" s="551"/>
      <c r="AJ952" s="551"/>
      <c r="AK952" s="551"/>
      <c r="AL952" s="551"/>
      <c r="AM952" s="551"/>
      <c r="AN952" s="551"/>
      <c r="AO952" s="551"/>
      <c r="AP952" s="551"/>
      <c r="AQ952" s="551"/>
      <c r="AR952" s="551"/>
      <c r="AS952" s="551"/>
      <c r="AT952" s="551"/>
      <c r="AU952" s="551"/>
      <c r="AV952" s="551"/>
      <c r="AW952" s="551"/>
      <c r="AX952" s="551"/>
      <c r="AY952" s="551"/>
      <c r="AZ952" s="551"/>
      <c r="BA952" s="551"/>
      <c r="BB952" s="551"/>
      <c r="BC952" s="551"/>
      <c r="BD952" s="551"/>
      <c r="BE952" s="551"/>
      <c r="BF952" s="551"/>
      <c r="BG952" s="551"/>
      <c r="BH952" s="551"/>
      <c r="BI952" s="551"/>
      <c r="BJ952" s="551"/>
      <c r="BK952" s="551"/>
    </row>
    <row r="953" spans="1:63" ht="12.75" customHeight="1">
      <c r="A953" s="551"/>
      <c r="B953" s="551"/>
      <c r="C953" s="551"/>
      <c r="D953" s="551"/>
      <c r="E953" s="551"/>
      <c r="F953" s="551"/>
      <c r="G953" s="551"/>
      <c r="H953" s="551"/>
      <c r="I953" s="551"/>
      <c r="J953" s="551"/>
      <c r="K953" s="551"/>
      <c r="L953" s="551"/>
      <c r="M953" s="551"/>
      <c r="N953" s="551"/>
      <c r="O953" s="551"/>
      <c r="P953" s="551"/>
      <c r="Q953" s="551"/>
      <c r="R953" s="551"/>
      <c r="S953" s="551"/>
      <c r="T953" s="551"/>
      <c r="U953" s="551"/>
      <c r="V953" s="551"/>
      <c r="W953" s="551"/>
      <c r="X953" s="551"/>
      <c r="Y953" s="551"/>
      <c r="Z953" s="551"/>
      <c r="AA953" s="551"/>
      <c r="AB953" s="551"/>
      <c r="AC953" s="551"/>
      <c r="AD953" s="551"/>
      <c r="AE953" s="551"/>
      <c r="AF953" s="551"/>
      <c r="AG953" s="551"/>
      <c r="AH953" s="551"/>
      <c r="AI953" s="551"/>
      <c r="AJ953" s="551"/>
      <c r="AK953" s="551"/>
      <c r="AL953" s="551"/>
      <c r="AM953" s="551"/>
      <c r="AN953" s="551"/>
      <c r="AO953" s="551"/>
      <c r="AP953" s="551"/>
      <c r="AQ953" s="551"/>
      <c r="AR953" s="551"/>
      <c r="AS953" s="551"/>
      <c r="AT953" s="551"/>
      <c r="AU953" s="551"/>
      <c r="AV953" s="551"/>
      <c r="AW953" s="551"/>
      <c r="AX953" s="551"/>
      <c r="AY953" s="551"/>
      <c r="AZ953" s="551"/>
      <c r="BA953" s="551"/>
      <c r="BB953" s="551"/>
      <c r="BC953" s="551"/>
      <c r="BD953" s="551"/>
      <c r="BE953" s="551"/>
      <c r="BF953" s="551"/>
      <c r="BG953" s="551"/>
      <c r="BH953" s="551"/>
      <c r="BI953" s="551"/>
      <c r="BJ953" s="551"/>
      <c r="BK953" s="551"/>
    </row>
    <row r="954" spans="1:63" ht="12.75" customHeight="1">
      <c r="A954" s="551"/>
      <c r="B954" s="551"/>
      <c r="C954" s="551"/>
      <c r="D954" s="551"/>
      <c r="E954" s="551"/>
      <c r="F954" s="551"/>
      <c r="G954" s="551"/>
      <c r="H954" s="551"/>
      <c r="I954" s="551"/>
      <c r="J954" s="551"/>
      <c r="K954" s="551"/>
      <c r="L954" s="551"/>
      <c r="M954" s="551"/>
      <c r="N954" s="551"/>
      <c r="O954" s="551"/>
      <c r="P954" s="551"/>
      <c r="Q954" s="551"/>
      <c r="R954" s="551"/>
      <c r="S954" s="551"/>
      <c r="T954" s="551"/>
      <c r="U954" s="551"/>
      <c r="V954" s="551"/>
      <c r="W954" s="551"/>
      <c r="X954" s="551"/>
      <c r="Y954" s="551"/>
      <c r="Z954" s="551"/>
      <c r="AA954" s="551"/>
      <c r="AB954" s="551"/>
      <c r="AC954" s="551"/>
      <c r="AD954" s="551"/>
      <c r="AE954" s="551"/>
      <c r="AF954" s="551"/>
      <c r="AG954" s="551"/>
      <c r="AH954" s="551"/>
      <c r="AI954" s="551"/>
      <c r="AJ954" s="551"/>
      <c r="AK954" s="551"/>
      <c r="AL954" s="551"/>
      <c r="AM954" s="551"/>
      <c r="AN954" s="551"/>
      <c r="AO954" s="551"/>
      <c r="AP954" s="551"/>
      <c r="AQ954" s="551"/>
      <c r="AR954" s="551"/>
      <c r="AS954" s="551"/>
      <c r="AT954" s="551"/>
      <c r="AU954" s="551"/>
      <c r="AV954" s="551"/>
      <c r="AW954" s="551"/>
      <c r="AX954" s="551"/>
      <c r="AY954" s="551"/>
      <c r="AZ954" s="551"/>
      <c r="BA954" s="551"/>
      <c r="BB954" s="551"/>
      <c r="BC954" s="551"/>
      <c r="BD954" s="551"/>
      <c r="BE954" s="551"/>
      <c r="BF954" s="551"/>
      <c r="BG954" s="551"/>
      <c r="BH954" s="551"/>
      <c r="BI954" s="551"/>
      <c r="BJ954" s="551"/>
      <c r="BK954" s="551"/>
    </row>
    <row r="955" spans="1:63" ht="12.75" customHeight="1">
      <c r="A955" s="551"/>
      <c r="B955" s="551"/>
      <c r="C955" s="551"/>
      <c r="D955" s="551"/>
      <c r="E955" s="551"/>
      <c r="F955" s="551"/>
      <c r="G955" s="551"/>
      <c r="H955" s="551"/>
      <c r="I955" s="551"/>
      <c r="J955" s="551"/>
      <c r="K955" s="551"/>
      <c r="L955" s="551"/>
      <c r="M955" s="551"/>
      <c r="N955" s="551"/>
      <c r="O955" s="551"/>
      <c r="P955" s="551"/>
      <c r="Q955" s="551"/>
      <c r="R955" s="551"/>
      <c r="S955" s="551"/>
      <c r="T955" s="551"/>
      <c r="U955" s="551"/>
      <c r="V955" s="551"/>
      <c r="W955" s="551"/>
      <c r="X955" s="551"/>
      <c r="Y955" s="551"/>
      <c r="Z955" s="551"/>
      <c r="AA955" s="551"/>
      <c r="AB955" s="551"/>
      <c r="AC955" s="551"/>
      <c r="AD955" s="551"/>
      <c r="AE955" s="551"/>
      <c r="AF955" s="551"/>
      <c r="AG955" s="551"/>
      <c r="AH955" s="551"/>
      <c r="AI955" s="551"/>
      <c r="AJ955" s="551"/>
      <c r="AK955" s="551"/>
      <c r="AL955" s="551"/>
      <c r="AM955" s="551"/>
      <c r="AN955" s="551"/>
      <c r="AO955" s="551"/>
      <c r="AP955" s="551"/>
      <c r="AQ955" s="551"/>
      <c r="AR955" s="551"/>
      <c r="AS955" s="551"/>
      <c r="AT955" s="551"/>
      <c r="AU955" s="551"/>
      <c r="AV955" s="551"/>
      <c r="AW955" s="551"/>
      <c r="AX955" s="551"/>
      <c r="AY955" s="551"/>
      <c r="AZ955" s="551"/>
      <c r="BA955" s="551"/>
      <c r="BB955" s="551"/>
      <c r="BC955" s="551"/>
      <c r="BD955" s="551"/>
      <c r="BE955" s="551"/>
      <c r="BF955" s="551"/>
      <c r="BG955" s="551"/>
      <c r="BH955" s="551"/>
      <c r="BI955" s="551"/>
      <c r="BJ955" s="551"/>
      <c r="BK955" s="551"/>
    </row>
    <row r="956" spans="1:63" ht="12.75" customHeight="1">
      <c r="A956" s="551"/>
      <c r="B956" s="551"/>
      <c r="C956" s="551"/>
      <c r="D956" s="551"/>
      <c r="E956" s="551"/>
      <c r="F956" s="551"/>
      <c r="G956" s="551"/>
      <c r="H956" s="551"/>
      <c r="I956" s="551"/>
      <c r="J956" s="551"/>
      <c r="K956" s="551"/>
      <c r="L956" s="551"/>
      <c r="M956" s="551"/>
      <c r="N956" s="551"/>
      <c r="O956" s="551"/>
      <c r="P956" s="551"/>
      <c r="Q956" s="551"/>
      <c r="R956" s="551"/>
      <c r="S956" s="551"/>
      <c r="T956" s="551"/>
      <c r="U956" s="551"/>
      <c r="V956" s="551"/>
      <c r="W956" s="551"/>
      <c r="X956" s="551"/>
      <c r="Y956" s="551"/>
      <c r="Z956" s="551"/>
      <c r="AA956" s="551"/>
      <c r="AB956" s="551"/>
      <c r="AC956" s="551"/>
      <c r="AD956" s="551"/>
      <c r="AE956" s="551"/>
      <c r="AF956" s="551"/>
      <c r="AG956" s="551"/>
      <c r="AH956" s="551"/>
      <c r="AI956" s="551"/>
      <c r="AJ956" s="551"/>
      <c r="AK956" s="551"/>
      <c r="AL956" s="551"/>
      <c r="AM956" s="551"/>
      <c r="AN956" s="551"/>
      <c r="AO956" s="551"/>
      <c r="AP956" s="551"/>
      <c r="AQ956" s="551"/>
      <c r="AR956" s="551"/>
      <c r="AS956" s="551"/>
      <c r="AT956" s="551"/>
      <c r="AU956" s="551"/>
      <c r="AV956" s="551"/>
      <c r="AW956" s="551"/>
      <c r="AX956" s="551"/>
      <c r="AY956" s="551"/>
      <c r="AZ956" s="551"/>
      <c r="BA956" s="551"/>
      <c r="BB956" s="551"/>
      <c r="BC956" s="551"/>
      <c r="BD956" s="551"/>
      <c r="BE956" s="551"/>
      <c r="BF956" s="551"/>
      <c r="BG956" s="551"/>
      <c r="BH956" s="551"/>
      <c r="BI956" s="551"/>
      <c r="BJ956" s="551"/>
      <c r="BK956" s="551"/>
    </row>
    <row r="957" spans="1:63" ht="12.75" customHeight="1">
      <c r="A957" s="551"/>
      <c r="B957" s="551"/>
      <c r="C957" s="551"/>
      <c r="D957" s="551"/>
      <c r="E957" s="551"/>
      <c r="F957" s="551"/>
      <c r="G957" s="551"/>
      <c r="H957" s="551"/>
      <c r="I957" s="551"/>
      <c r="J957" s="551"/>
      <c r="K957" s="551"/>
      <c r="L957" s="551"/>
      <c r="M957" s="551"/>
      <c r="N957" s="551"/>
      <c r="O957" s="551"/>
      <c r="P957" s="551"/>
      <c r="Q957" s="551"/>
      <c r="R957" s="551"/>
      <c r="S957" s="551"/>
      <c r="T957" s="551"/>
      <c r="U957" s="551"/>
      <c r="V957" s="551"/>
      <c r="W957" s="551"/>
      <c r="X957" s="551"/>
      <c r="Y957" s="551"/>
      <c r="Z957" s="551"/>
      <c r="AA957" s="551"/>
      <c r="AB957" s="551"/>
      <c r="AC957" s="551"/>
      <c r="AD957" s="551"/>
      <c r="AE957" s="551"/>
      <c r="AF957" s="551"/>
      <c r="AG957" s="551"/>
      <c r="AH957" s="551"/>
      <c r="AI957" s="551"/>
      <c r="AJ957" s="551"/>
      <c r="AK957" s="551"/>
      <c r="AL957" s="551"/>
      <c r="AM957" s="551"/>
      <c r="AN957" s="551"/>
      <c r="AO957" s="551"/>
      <c r="AP957" s="551"/>
      <c r="AQ957" s="551"/>
      <c r="AR957" s="551"/>
      <c r="AS957" s="551"/>
      <c r="AT957" s="551"/>
      <c r="AU957" s="551"/>
      <c r="AV957" s="551"/>
      <c r="AW957" s="551"/>
      <c r="AX957" s="551"/>
      <c r="AY957" s="551"/>
      <c r="AZ957" s="551"/>
      <c r="BA957" s="551"/>
      <c r="BB957" s="551"/>
      <c r="BC957" s="551"/>
      <c r="BD957" s="551"/>
      <c r="BE957" s="551"/>
      <c r="BF957" s="551"/>
      <c r="BG957" s="551"/>
      <c r="BH957" s="551"/>
      <c r="BI957" s="551"/>
      <c r="BJ957" s="551"/>
      <c r="BK957" s="551"/>
    </row>
    <row r="958" spans="1:63" ht="12.75" customHeight="1">
      <c r="A958" s="551"/>
      <c r="B958" s="551"/>
      <c r="C958" s="551"/>
      <c r="D958" s="551"/>
      <c r="E958" s="551"/>
      <c r="F958" s="551"/>
      <c r="G958" s="551"/>
      <c r="H958" s="551"/>
      <c r="I958" s="551"/>
      <c r="J958" s="551"/>
      <c r="K958" s="551"/>
      <c r="L958" s="551"/>
      <c r="M958" s="551"/>
      <c r="N958" s="551"/>
      <c r="O958" s="551"/>
      <c r="P958" s="551"/>
      <c r="Q958" s="551"/>
      <c r="R958" s="551"/>
      <c r="S958" s="551"/>
      <c r="T958" s="551"/>
      <c r="U958" s="551"/>
      <c r="V958" s="551"/>
      <c r="W958" s="551"/>
      <c r="X958" s="551"/>
      <c r="Y958" s="551"/>
      <c r="Z958" s="551"/>
      <c r="AA958" s="551"/>
      <c r="AB958" s="551"/>
      <c r="AC958" s="551"/>
      <c r="AD958" s="551"/>
      <c r="AE958" s="551"/>
      <c r="AF958" s="551"/>
      <c r="AG958" s="551"/>
      <c r="AH958" s="551"/>
      <c r="AI958" s="551"/>
      <c r="AJ958" s="551"/>
      <c r="AK958" s="551"/>
      <c r="AL958" s="551"/>
      <c r="AM958" s="551"/>
      <c r="AN958" s="551"/>
      <c r="AO958" s="551"/>
      <c r="AP958" s="551"/>
      <c r="AQ958" s="551"/>
      <c r="AR958" s="551"/>
      <c r="AS958" s="551"/>
      <c r="AT958" s="551"/>
      <c r="AU958" s="551"/>
      <c r="AV958" s="551"/>
      <c r="AW958" s="551"/>
      <c r="AX958" s="551"/>
      <c r="AY958" s="551"/>
      <c r="AZ958" s="551"/>
      <c r="BA958" s="551"/>
      <c r="BB958" s="551"/>
      <c r="BC958" s="551"/>
      <c r="BD958" s="551"/>
      <c r="BE958" s="551"/>
      <c r="BF958" s="551"/>
      <c r="BG958" s="551"/>
      <c r="BH958" s="551"/>
      <c r="BI958" s="551"/>
      <c r="BJ958" s="551"/>
      <c r="BK958" s="551"/>
    </row>
    <row r="959" spans="1:63" ht="12.75" customHeight="1">
      <c r="A959" s="551"/>
      <c r="B959" s="551"/>
      <c r="C959" s="551"/>
      <c r="D959" s="551"/>
      <c r="E959" s="551"/>
      <c r="F959" s="551"/>
      <c r="G959" s="551"/>
      <c r="H959" s="551"/>
      <c r="I959" s="551"/>
      <c r="J959" s="551"/>
      <c r="K959" s="551"/>
      <c r="L959" s="551"/>
      <c r="M959" s="551"/>
      <c r="N959" s="551"/>
      <c r="O959" s="551"/>
      <c r="P959" s="551"/>
      <c r="Q959" s="551"/>
      <c r="R959" s="551"/>
      <c r="S959" s="551"/>
      <c r="T959" s="551"/>
      <c r="U959" s="551"/>
      <c r="V959" s="551"/>
      <c r="W959" s="551"/>
      <c r="X959" s="551"/>
      <c r="Y959" s="551"/>
      <c r="Z959" s="551"/>
      <c r="AA959" s="551"/>
      <c r="AB959" s="551"/>
      <c r="AC959" s="551"/>
      <c r="AD959" s="551"/>
      <c r="AE959" s="551"/>
      <c r="AF959" s="551"/>
      <c r="AG959" s="551"/>
      <c r="AH959" s="551"/>
      <c r="AI959" s="551"/>
      <c r="AJ959" s="551"/>
      <c r="AK959" s="551"/>
      <c r="AL959" s="551"/>
      <c r="AM959" s="551"/>
      <c r="AN959" s="551"/>
      <c r="AO959" s="551"/>
      <c r="AP959" s="551"/>
      <c r="AQ959" s="551"/>
      <c r="AR959" s="551"/>
      <c r="AS959" s="551"/>
      <c r="AT959" s="551"/>
      <c r="AU959" s="551"/>
      <c r="AV959" s="551"/>
      <c r="AW959" s="551"/>
      <c r="AX959" s="551"/>
      <c r="AY959" s="551"/>
      <c r="AZ959" s="551"/>
      <c r="BA959" s="551"/>
      <c r="BB959" s="551"/>
      <c r="BC959" s="551"/>
      <c r="BD959" s="551"/>
      <c r="BE959" s="551"/>
      <c r="BF959" s="551"/>
      <c r="BG959" s="551"/>
      <c r="BH959" s="551"/>
      <c r="BI959" s="551"/>
      <c r="BJ959" s="551"/>
      <c r="BK959" s="551"/>
    </row>
    <row r="960" spans="1:63" ht="12.75" customHeight="1">
      <c r="A960" s="551"/>
      <c r="B960" s="551"/>
      <c r="C960" s="551"/>
      <c r="D960" s="551"/>
      <c r="E960" s="551"/>
      <c r="F960" s="551"/>
      <c r="G960" s="551"/>
      <c r="H960" s="551"/>
      <c r="I960" s="551"/>
      <c r="J960" s="551"/>
      <c r="K960" s="551"/>
      <c r="L960" s="551"/>
      <c r="M960" s="551"/>
      <c r="N960" s="551"/>
      <c r="O960" s="551"/>
      <c r="P960" s="551"/>
      <c r="Q960" s="551"/>
      <c r="R960" s="551"/>
      <c r="S960" s="551"/>
      <c r="T960" s="551"/>
      <c r="U960" s="551"/>
      <c r="V960" s="551"/>
      <c r="W960" s="551"/>
      <c r="X960" s="551"/>
      <c r="Y960" s="551"/>
      <c r="Z960" s="551"/>
      <c r="AA960" s="551"/>
      <c r="AB960" s="551"/>
      <c r="AC960" s="551"/>
      <c r="AD960" s="551"/>
      <c r="AE960" s="551"/>
      <c r="AF960" s="551"/>
      <c r="AG960" s="551"/>
      <c r="AH960" s="551"/>
      <c r="AI960" s="551"/>
      <c r="AJ960" s="551"/>
      <c r="AK960" s="551"/>
      <c r="AL960" s="551"/>
      <c r="AM960" s="551"/>
      <c r="AN960" s="551"/>
      <c r="AO960" s="551"/>
      <c r="AP960" s="551"/>
      <c r="AQ960" s="551"/>
      <c r="AR960" s="551"/>
      <c r="AS960" s="551"/>
      <c r="AT960" s="551"/>
      <c r="AU960" s="551"/>
      <c r="AV960" s="551"/>
      <c r="AW960" s="551"/>
      <c r="AX960" s="551"/>
      <c r="AY960" s="551"/>
      <c r="AZ960" s="551"/>
      <c r="BA960" s="551"/>
      <c r="BB960" s="551"/>
      <c r="BC960" s="551"/>
      <c r="BD960" s="551"/>
      <c r="BE960" s="551"/>
      <c r="BF960" s="551"/>
      <c r="BG960" s="551"/>
      <c r="BH960" s="551"/>
      <c r="BI960" s="551"/>
      <c r="BJ960" s="551"/>
      <c r="BK960" s="551"/>
    </row>
    <row r="961" spans="1:63" ht="12.75" customHeight="1">
      <c r="A961" s="551"/>
      <c r="B961" s="551"/>
      <c r="C961" s="551"/>
      <c r="D961" s="551"/>
      <c r="E961" s="551"/>
      <c r="F961" s="551"/>
      <c r="G961" s="551"/>
      <c r="H961" s="551"/>
      <c r="I961" s="551"/>
      <c r="J961" s="551"/>
      <c r="K961" s="551"/>
      <c r="L961" s="551"/>
      <c r="M961" s="551"/>
      <c r="N961" s="551"/>
      <c r="O961" s="551"/>
      <c r="P961" s="551"/>
      <c r="Q961" s="551"/>
      <c r="R961" s="551"/>
      <c r="S961" s="551"/>
      <c r="T961" s="551"/>
      <c r="U961" s="551"/>
      <c r="V961" s="551"/>
      <c r="W961" s="551"/>
      <c r="X961" s="551"/>
      <c r="Y961" s="551"/>
      <c r="Z961" s="551"/>
      <c r="AA961" s="551"/>
      <c r="AB961" s="551"/>
      <c r="AC961" s="551"/>
      <c r="AD961" s="551"/>
      <c r="AE961" s="551"/>
      <c r="AF961" s="551"/>
      <c r="AG961" s="551"/>
      <c r="AH961" s="551"/>
      <c r="AI961" s="551"/>
      <c r="AJ961" s="551"/>
      <c r="AK961" s="551"/>
      <c r="AL961" s="551"/>
      <c r="AM961" s="551"/>
      <c r="AN961" s="551"/>
      <c r="AO961" s="551"/>
      <c r="AP961" s="551"/>
      <c r="AQ961" s="551"/>
      <c r="AR961" s="551"/>
      <c r="AS961" s="551"/>
      <c r="AT961" s="551"/>
      <c r="AU961" s="551"/>
      <c r="AV961" s="551"/>
      <c r="AW961" s="551"/>
      <c r="AX961" s="551"/>
      <c r="AY961" s="551"/>
      <c r="AZ961" s="551"/>
      <c r="BA961" s="551"/>
      <c r="BB961" s="551"/>
      <c r="BC961" s="551"/>
      <c r="BD961" s="551"/>
      <c r="BE961" s="551"/>
      <c r="BF961" s="551"/>
      <c r="BG961" s="551"/>
      <c r="BH961" s="551"/>
      <c r="BI961" s="551"/>
      <c r="BJ961" s="551"/>
      <c r="BK961" s="551"/>
    </row>
    <row r="962" spans="1:63" ht="12.75" customHeight="1">
      <c r="A962" s="551"/>
      <c r="B962" s="551"/>
      <c r="C962" s="551"/>
      <c r="D962" s="551"/>
      <c r="E962" s="551"/>
      <c r="F962" s="551"/>
      <c r="G962" s="551"/>
      <c r="H962" s="551"/>
      <c r="I962" s="551"/>
      <c r="J962" s="551"/>
      <c r="K962" s="551"/>
      <c r="L962" s="551"/>
      <c r="M962" s="551"/>
      <c r="N962" s="551"/>
      <c r="O962" s="551"/>
      <c r="P962" s="551"/>
      <c r="Q962" s="551"/>
      <c r="R962" s="551"/>
      <c r="S962" s="551"/>
      <c r="T962" s="551"/>
      <c r="U962" s="551"/>
      <c r="V962" s="551"/>
      <c r="W962" s="551"/>
      <c r="X962" s="551"/>
      <c r="Y962" s="551"/>
      <c r="Z962" s="551"/>
      <c r="AA962" s="551"/>
      <c r="AB962" s="551"/>
      <c r="AC962" s="551"/>
      <c r="AD962" s="551"/>
      <c r="AE962" s="551"/>
      <c r="AF962" s="551"/>
      <c r="AG962" s="551"/>
      <c r="AH962" s="551"/>
      <c r="AI962" s="551"/>
      <c r="AJ962" s="551"/>
      <c r="AK962" s="551"/>
      <c r="AL962" s="551"/>
      <c r="AM962" s="551"/>
      <c r="AN962" s="551"/>
      <c r="AO962" s="551"/>
      <c r="AP962" s="551"/>
      <c r="AQ962" s="551"/>
      <c r="AR962" s="551"/>
      <c r="AS962" s="551"/>
      <c r="AT962" s="551"/>
      <c r="AU962" s="551"/>
      <c r="AV962" s="551"/>
      <c r="AW962" s="551"/>
      <c r="AX962" s="551"/>
      <c r="AY962" s="551"/>
      <c r="AZ962" s="551"/>
      <c r="BA962" s="551"/>
      <c r="BB962" s="551"/>
      <c r="BC962" s="551"/>
      <c r="BD962" s="551"/>
      <c r="BE962" s="551"/>
      <c r="BF962" s="551"/>
      <c r="BG962" s="551"/>
      <c r="BH962" s="551"/>
      <c r="BI962" s="551"/>
      <c r="BJ962" s="551"/>
      <c r="BK962" s="551"/>
    </row>
    <row r="963" spans="1:63" ht="12.75" customHeight="1">
      <c r="A963" s="551"/>
      <c r="B963" s="551"/>
      <c r="C963" s="551"/>
      <c r="D963" s="551"/>
      <c r="E963" s="551"/>
      <c r="F963" s="551"/>
      <c r="G963" s="551"/>
      <c r="H963" s="551"/>
      <c r="I963" s="551"/>
      <c r="J963" s="551"/>
      <c r="K963" s="551"/>
      <c r="L963" s="551"/>
      <c r="M963" s="551"/>
      <c r="N963" s="551"/>
      <c r="O963" s="551"/>
      <c r="P963" s="551"/>
      <c r="Q963" s="551"/>
      <c r="R963" s="551"/>
      <c r="S963" s="551"/>
      <c r="T963" s="551"/>
      <c r="U963" s="551"/>
      <c r="V963" s="551"/>
      <c r="W963" s="551"/>
      <c r="X963" s="551"/>
      <c r="Y963" s="551"/>
      <c r="Z963" s="551"/>
      <c r="AA963" s="551"/>
      <c r="AB963" s="551"/>
      <c r="AC963" s="551"/>
      <c r="AD963" s="551"/>
      <c r="AE963" s="551"/>
      <c r="AF963" s="551"/>
      <c r="AG963" s="551"/>
      <c r="AH963" s="551"/>
      <c r="AI963" s="551"/>
      <c r="AJ963" s="551"/>
      <c r="AK963" s="551"/>
      <c r="AL963" s="551"/>
      <c r="AM963" s="551"/>
      <c r="AN963" s="551"/>
      <c r="AO963" s="551"/>
      <c r="AP963" s="551"/>
      <c r="AQ963" s="551"/>
      <c r="AR963" s="551"/>
      <c r="AS963" s="551"/>
      <c r="AT963" s="551"/>
      <c r="AU963" s="551"/>
      <c r="AV963" s="551"/>
      <c r="AW963" s="551"/>
      <c r="AX963" s="551"/>
      <c r="AY963" s="551"/>
      <c r="AZ963" s="551"/>
      <c r="BA963" s="551"/>
      <c r="BB963" s="551"/>
      <c r="BC963" s="551"/>
      <c r="BD963" s="551"/>
      <c r="BE963" s="551"/>
      <c r="BF963" s="551"/>
      <c r="BG963" s="551"/>
      <c r="BH963" s="551"/>
      <c r="BI963" s="551"/>
      <c r="BJ963" s="551"/>
      <c r="BK963" s="551"/>
    </row>
    <row r="964" spans="1:63" ht="12.75" customHeight="1">
      <c r="A964" s="551"/>
      <c r="B964" s="551"/>
      <c r="C964" s="551"/>
      <c r="D964" s="551"/>
      <c r="E964" s="551"/>
      <c r="F964" s="551"/>
      <c r="G964" s="551"/>
      <c r="H964" s="551"/>
      <c r="I964" s="551"/>
      <c r="J964" s="551"/>
      <c r="K964" s="551"/>
      <c r="L964" s="551"/>
      <c r="M964" s="551"/>
      <c r="N964" s="551"/>
      <c r="O964" s="551"/>
      <c r="P964" s="551"/>
      <c r="Q964" s="551"/>
      <c r="R964" s="551"/>
      <c r="S964" s="551"/>
      <c r="T964" s="551"/>
      <c r="U964" s="551"/>
      <c r="V964" s="551"/>
      <c r="W964" s="551"/>
      <c r="X964" s="551"/>
      <c r="Y964" s="551"/>
      <c r="Z964" s="551"/>
      <c r="AA964" s="551"/>
      <c r="AB964" s="551"/>
      <c r="AC964" s="551"/>
      <c r="AD964" s="551"/>
      <c r="AE964" s="551"/>
      <c r="AF964" s="551"/>
      <c r="AG964" s="551"/>
      <c r="AH964" s="551"/>
      <c r="AI964" s="551"/>
      <c r="AJ964" s="551"/>
      <c r="AK964" s="551"/>
      <c r="AL964" s="551"/>
      <c r="AM964" s="551"/>
      <c r="AN964" s="551"/>
      <c r="AO964" s="551"/>
      <c r="AP964" s="551"/>
      <c r="AQ964" s="551"/>
      <c r="AR964" s="551"/>
      <c r="AS964" s="551"/>
      <c r="AT964" s="551"/>
      <c r="AU964" s="551"/>
      <c r="AV964" s="551"/>
      <c r="AW964" s="551"/>
      <c r="AX964" s="551"/>
      <c r="AY964" s="551"/>
      <c r="AZ964" s="551"/>
      <c r="BA964" s="551"/>
      <c r="BB964" s="551"/>
      <c r="BC964" s="551"/>
      <c r="BD964" s="551"/>
      <c r="BE964" s="551"/>
      <c r="BF964" s="551"/>
      <c r="BG964" s="551"/>
      <c r="BH964" s="551"/>
      <c r="BI964" s="551"/>
      <c r="BJ964" s="551"/>
      <c r="BK964" s="551"/>
    </row>
    <row r="965" spans="1:63" ht="12.75" customHeight="1">
      <c r="A965" s="551"/>
      <c r="B965" s="551"/>
      <c r="C965" s="551"/>
      <c r="D965" s="551"/>
      <c r="E965" s="551"/>
      <c r="F965" s="551"/>
      <c r="G965" s="551"/>
      <c r="H965" s="551"/>
      <c r="I965" s="551"/>
      <c r="J965" s="551"/>
      <c r="K965" s="551"/>
      <c r="L965" s="551"/>
      <c r="M965" s="551"/>
      <c r="N965" s="551"/>
      <c r="O965" s="551"/>
      <c r="P965" s="551"/>
      <c r="Q965" s="551"/>
      <c r="R965" s="551"/>
      <c r="S965" s="551"/>
      <c r="T965" s="551"/>
      <c r="U965" s="551"/>
      <c r="V965" s="551"/>
      <c r="W965" s="551"/>
      <c r="X965" s="551"/>
      <c r="Y965" s="551"/>
      <c r="Z965" s="551"/>
      <c r="AA965" s="551"/>
      <c r="AB965" s="551"/>
      <c r="AC965" s="551"/>
      <c r="AD965" s="551"/>
      <c r="AE965" s="551"/>
      <c r="AF965" s="551"/>
      <c r="AG965" s="551"/>
      <c r="AH965" s="551"/>
      <c r="AI965" s="551"/>
      <c r="AJ965" s="551"/>
      <c r="AK965" s="551"/>
      <c r="AL965" s="551"/>
      <c r="AM965" s="551"/>
      <c r="AN965" s="551"/>
      <c r="AO965" s="551"/>
      <c r="AP965" s="551"/>
      <c r="AQ965" s="551"/>
      <c r="AR965" s="551"/>
      <c r="AS965" s="551"/>
      <c r="AT965" s="551"/>
      <c r="AU965" s="551"/>
      <c r="AV965" s="551"/>
      <c r="AW965" s="551"/>
      <c r="AX965" s="551"/>
      <c r="AY965" s="551"/>
      <c r="AZ965" s="551"/>
      <c r="BA965" s="551"/>
      <c r="BB965" s="551"/>
      <c r="BC965" s="551"/>
      <c r="BD965" s="551"/>
      <c r="BE965" s="551"/>
      <c r="BF965" s="551"/>
      <c r="BG965" s="551"/>
      <c r="BH965" s="551"/>
      <c r="BI965" s="551"/>
      <c r="BJ965" s="551"/>
      <c r="BK965" s="551"/>
    </row>
    <row r="966" spans="1:63" ht="12.75" customHeight="1">
      <c r="A966" s="551"/>
      <c r="B966" s="551"/>
      <c r="C966" s="551"/>
      <c r="D966" s="551"/>
      <c r="E966" s="551"/>
      <c r="F966" s="551"/>
      <c r="G966" s="551"/>
      <c r="H966" s="551"/>
      <c r="I966" s="551"/>
      <c r="J966" s="551"/>
      <c r="K966" s="551"/>
      <c r="L966" s="551"/>
      <c r="M966" s="551"/>
      <c r="N966" s="551"/>
      <c r="O966" s="551"/>
      <c r="P966" s="551"/>
      <c r="Q966" s="551"/>
      <c r="R966" s="551"/>
      <c r="S966" s="551"/>
      <c r="T966" s="551"/>
      <c r="U966" s="551"/>
      <c r="V966" s="551"/>
      <c r="W966" s="551"/>
      <c r="X966" s="551"/>
      <c r="Y966" s="551"/>
      <c r="Z966" s="551"/>
      <c r="AA966" s="551"/>
      <c r="AB966" s="551"/>
      <c r="AC966" s="551"/>
      <c r="AD966" s="551"/>
      <c r="AE966" s="551"/>
      <c r="AF966" s="551"/>
      <c r="AG966" s="551"/>
      <c r="AH966" s="551"/>
      <c r="AI966" s="551"/>
      <c r="AJ966" s="551"/>
      <c r="AK966" s="551"/>
      <c r="AL966" s="551"/>
      <c r="AM966" s="551"/>
      <c r="AN966" s="551"/>
      <c r="AO966" s="551"/>
      <c r="AP966" s="551"/>
      <c r="AQ966" s="551"/>
      <c r="AR966" s="551"/>
      <c r="AS966" s="551"/>
      <c r="AT966" s="551"/>
      <c r="AU966" s="551"/>
      <c r="AV966" s="551"/>
      <c r="AW966" s="551"/>
      <c r="AX966" s="551"/>
      <c r="AY966" s="551"/>
      <c r="AZ966" s="551"/>
      <c r="BA966" s="551"/>
      <c r="BB966" s="551"/>
      <c r="BC966" s="551"/>
      <c r="BD966" s="551"/>
      <c r="BE966" s="551"/>
      <c r="BF966" s="551"/>
      <c r="BG966" s="551"/>
      <c r="BH966" s="551"/>
      <c r="BI966" s="551"/>
      <c r="BJ966" s="551"/>
      <c r="BK966" s="551"/>
    </row>
    <row r="967" spans="1:63" ht="12.75" customHeight="1">
      <c r="A967" s="551"/>
      <c r="B967" s="551"/>
      <c r="C967" s="551"/>
      <c r="D967" s="551"/>
      <c r="E967" s="551"/>
      <c r="F967" s="551"/>
      <c r="G967" s="551"/>
      <c r="H967" s="551"/>
      <c r="I967" s="551"/>
      <c r="J967" s="551"/>
      <c r="K967" s="551"/>
      <c r="L967" s="551"/>
      <c r="M967" s="551"/>
      <c r="N967" s="551"/>
      <c r="O967" s="551"/>
      <c r="P967" s="551"/>
      <c r="Q967" s="551"/>
      <c r="R967" s="551"/>
      <c r="S967" s="551"/>
      <c r="T967" s="551"/>
      <c r="U967" s="551"/>
      <c r="V967" s="551"/>
      <c r="W967" s="551"/>
      <c r="X967" s="551"/>
      <c r="Y967" s="551"/>
      <c r="Z967" s="551"/>
      <c r="AA967" s="551"/>
      <c r="AB967" s="551"/>
      <c r="AC967" s="551"/>
      <c r="AD967" s="551"/>
      <c r="AE967" s="551"/>
      <c r="AF967" s="551"/>
      <c r="AG967" s="551"/>
      <c r="AH967" s="551"/>
      <c r="AI967" s="551"/>
      <c r="AJ967" s="551"/>
      <c r="AK967" s="551"/>
      <c r="AL967" s="551"/>
      <c r="AM967" s="551"/>
      <c r="AN967" s="551"/>
      <c r="AO967" s="551"/>
      <c r="AP967" s="551"/>
      <c r="AQ967" s="551"/>
      <c r="AR967" s="551"/>
      <c r="AS967" s="551"/>
      <c r="AT967" s="551"/>
      <c r="AU967" s="551"/>
      <c r="AV967" s="551"/>
      <c r="AW967" s="551"/>
      <c r="AX967" s="551"/>
      <c r="AY967" s="551"/>
      <c r="AZ967" s="551"/>
      <c r="BA967" s="551"/>
      <c r="BB967" s="551"/>
      <c r="BC967" s="551"/>
      <c r="BD967" s="551"/>
      <c r="BE967" s="551"/>
      <c r="BF967" s="551"/>
      <c r="BG967" s="551"/>
      <c r="BH967" s="551"/>
      <c r="BI967" s="551"/>
      <c r="BJ967" s="551"/>
      <c r="BK967" s="551"/>
    </row>
    <row r="968" spans="1:63" ht="12.75" customHeight="1">
      <c r="A968" s="551"/>
      <c r="B968" s="551"/>
      <c r="C968" s="551"/>
      <c r="D968" s="551"/>
      <c r="E968" s="551"/>
      <c r="F968" s="551"/>
      <c r="G968" s="551"/>
      <c r="H968" s="551"/>
      <c r="I968" s="551"/>
      <c r="J968" s="551"/>
      <c r="K968" s="551"/>
      <c r="L968" s="551"/>
      <c r="M968" s="551"/>
      <c r="N968" s="551"/>
      <c r="O968" s="551"/>
      <c r="P968" s="551"/>
      <c r="Q968" s="551"/>
      <c r="R968" s="551"/>
      <c r="S968" s="551"/>
      <c r="T968" s="551"/>
      <c r="U968" s="551"/>
      <c r="V968" s="551"/>
      <c r="W968" s="551"/>
      <c r="X968" s="551"/>
      <c r="Y968" s="551"/>
      <c r="Z968" s="551"/>
      <c r="AA968" s="551"/>
      <c r="AB968" s="551"/>
      <c r="AC968" s="551"/>
      <c r="AD968" s="551"/>
      <c r="AE968" s="551"/>
      <c r="AF968" s="551"/>
      <c r="AG968" s="551"/>
      <c r="AH968" s="551"/>
      <c r="AI968" s="551"/>
      <c r="AJ968" s="551"/>
      <c r="AK968" s="551"/>
      <c r="AL968" s="551"/>
      <c r="AM968" s="551"/>
      <c r="AN968" s="551"/>
      <c r="AO968" s="551"/>
      <c r="AP968" s="551"/>
      <c r="AQ968" s="551"/>
      <c r="AR968" s="551"/>
      <c r="AS968" s="551"/>
      <c r="AT968" s="551"/>
      <c r="AU968" s="551"/>
      <c r="AV968" s="551"/>
      <c r="AW968" s="551"/>
      <c r="AX968" s="551"/>
      <c r="AY968" s="551"/>
      <c r="AZ968" s="551"/>
      <c r="BA968" s="551"/>
      <c r="BB968" s="551"/>
      <c r="BC968" s="551"/>
      <c r="BD968" s="551"/>
      <c r="BE968" s="551"/>
      <c r="BF968" s="551"/>
      <c r="BG968" s="551"/>
      <c r="BH968" s="551"/>
      <c r="BI968" s="551"/>
      <c r="BJ968" s="551"/>
      <c r="BK968" s="551"/>
    </row>
    <row r="969" spans="1:63" ht="12.75" customHeight="1">
      <c r="A969" s="551"/>
      <c r="B969" s="551"/>
      <c r="C969" s="551"/>
      <c r="D969" s="551"/>
      <c r="E969" s="551"/>
      <c r="F969" s="551"/>
      <c r="G969" s="551"/>
      <c r="H969" s="551"/>
      <c r="I969" s="551"/>
      <c r="J969" s="551"/>
      <c r="K969" s="551"/>
      <c r="L969" s="551"/>
      <c r="M969" s="551"/>
      <c r="N969" s="551"/>
      <c r="O969" s="551"/>
      <c r="P969" s="551"/>
      <c r="Q969" s="551"/>
      <c r="R969" s="551"/>
      <c r="S969" s="551"/>
      <c r="T969" s="551"/>
      <c r="U969" s="551"/>
      <c r="V969" s="551"/>
      <c r="W969" s="551"/>
      <c r="X969" s="551"/>
      <c r="Y969" s="551"/>
      <c r="Z969" s="551"/>
      <c r="AA969" s="551"/>
      <c r="AB969" s="551"/>
      <c r="AC969" s="551"/>
      <c r="AD969" s="551"/>
      <c r="AE969" s="551"/>
      <c r="AF969" s="551"/>
      <c r="AG969" s="551"/>
      <c r="AH969" s="551"/>
      <c r="AI969" s="551"/>
      <c r="AJ969" s="551"/>
      <c r="AK969" s="551"/>
      <c r="AL969" s="551"/>
      <c r="AM969" s="551"/>
      <c r="AN969" s="551"/>
      <c r="AO969" s="551"/>
      <c r="AP969" s="551"/>
      <c r="AQ969" s="551"/>
      <c r="AR969" s="551"/>
      <c r="AS969" s="551"/>
      <c r="AT969" s="551"/>
      <c r="AU969" s="551"/>
      <c r="AV969" s="551"/>
      <c r="AW969" s="551"/>
      <c r="AX969" s="551"/>
      <c r="AY969" s="551"/>
      <c r="AZ969" s="551"/>
      <c r="BA969" s="551"/>
      <c r="BB969" s="551"/>
      <c r="BC969" s="551"/>
      <c r="BD969" s="551"/>
      <c r="BE969" s="551"/>
      <c r="BF969" s="551"/>
      <c r="BG969" s="551"/>
      <c r="BH969" s="551"/>
      <c r="BI969" s="551"/>
      <c r="BJ969" s="551"/>
      <c r="BK969" s="551"/>
    </row>
    <row r="970" spans="1:63" ht="12.75" customHeight="1">
      <c r="A970" s="551"/>
      <c r="B970" s="551"/>
      <c r="C970" s="551"/>
      <c r="D970" s="551"/>
      <c r="E970" s="551"/>
      <c r="F970" s="551"/>
      <c r="G970" s="551"/>
      <c r="H970" s="551"/>
      <c r="I970" s="551"/>
      <c r="J970" s="551"/>
      <c r="K970" s="551"/>
      <c r="L970" s="551"/>
      <c r="M970" s="551"/>
      <c r="N970" s="551"/>
      <c r="O970" s="551"/>
      <c r="P970" s="551"/>
      <c r="Q970" s="551"/>
      <c r="R970" s="551"/>
      <c r="S970" s="551"/>
      <c r="T970" s="551"/>
      <c r="U970" s="551"/>
      <c r="V970" s="551"/>
      <c r="W970" s="551"/>
      <c r="X970" s="551"/>
      <c r="Y970" s="551"/>
      <c r="Z970" s="551"/>
      <c r="AA970" s="551"/>
      <c r="AB970" s="551"/>
      <c r="AC970" s="551"/>
      <c r="AD970" s="551"/>
      <c r="AE970" s="551"/>
      <c r="AF970" s="551"/>
      <c r="AG970" s="551"/>
      <c r="AH970" s="551"/>
      <c r="AI970" s="551"/>
      <c r="AJ970" s="551"/>
      <c r="AK970" s="551"/>
      <c r="AL970" s="551"/>
      <c r="AM970" s="551"/>
      <c r="AN970" s="551"/>
      <c r="AO970" s="551"/>
      <c r="AP970" s="551"/>
      <c r="AQ970" s="551"/>
      <c r="AR970" s="551"/>
      <c r="AS970" s="551"/>
      <c r="AT970" s="551"/>
      <c r="AU970" s="551"/>
      <c r="AV970" s="551"/>
      <c r="AW970" s="551"/>
      <c r="AX970" s="551"/>
      <c r="AY970" s="551"/>
      <c r="AZ970" s="551"/>
      <c r="BA970" s="551"/>
      <c r="BB970" s="551"/>
      <c r="BC970" s="551"/>
      <c r="BD970" s="551"/>
      <c r="BE970" s="551"/>
      <c r="BF970" s="551"/>
      <c r="BG970" s="551"/>
      <c r="BH970" s="551"/>
      <c r="BI970" s="551"/>
      <c r="BJ970" s="551"/>
      <c r="BK970" s="551"/>
    </row>
    <row r="971" spans="1:63" ht="12.75" customHeight="1">
      <c r="A971" s="551"/>
      <c r="B971" s="551"/>
      <c r="C971" s="551"/>
      <c r="D971" s="551"/>
      <c r="E971" s="551"/>
      <c r="F971" s="551"/>
      <c r="G971" s="551"/>
      <c r="H971" s="551"/>
      <c r="I971" s="551"/>
      <c r="J971" s="551"/>
      <c r="K971" s="551"/>
      <c r="L971" s="551"/>
      <c r="M971" s="551"/>
      <c r="N971" s="551"/>
      <c r="O971" s="551"/>
      <c r="P971" s="551"/>
      <c r="Q971" s="551"/>
      <c r="R971" s="551"/>
      <c r="S971" s="551"/>
      <c r="T971" s="551"/>
      <c r="U971" s="551"/>
      <c r="V971" s="551"/>
      <c r="W971" s="551"/>
      <c r="X971" s="551"/>
      <c r="Y971" s="551"/>
      <c r="Z971" s="551"/>
      <c r="AA971" s="551"/>
      <c r="AB971" s="551"/>
      <c r="AC971" s="551"/>
      <c r="AD971" s="551"/>
      <c r="AE971" s="551"/>
      <c r="AF971" s="551"/>
      <c r="AG971" s="551"/>
      <c r="AH971" s="551"/>
      <c r="AI971" s="551"/>
      <c r="AJ971" s="551"/>
      <c r="AK971" s="551"/>
      <c r="AL971" s="551"/>
      <c r="AM971" s="551"/>
      <c r="AN971" s="551"/>
      <c r="AO971" s="551"/>
      <c r="AP971" s="551"/>
      <c r="AQ971" s="551"/>
      <c r="AR971" s="551"/>
      <c r="AS971" s="551"/>
      <c r="AT971" s="551"/>
      <c r="AU971" s="551"/>
      <c r="AV971" s="551"/>
      <c r="AW971" s="551"/>
      <c r="AX971" s="551"/>
      <c r="AY971" s="551"/>
      <c r="AZ971" s="551"/>
      <c r="BA971" s="551"/>
      <c r="BB971" s="551"/>
      <c r="BC971" s="551"/>
      <c r="BD971" s="551"/>
      <c r="BE971" s="551"/>
      <c r="BF971" s="551"/>
      <c r="BG971" s="551"/>
      <c r="BH971" s="551"/>
      <c r="BI971" s="551"/>
      <c r="BJ971" s="551"/>
      <c r="BK971" s="551"/>
    </row>
    <row r="972" spans="1:63" ht="12.75" customHeight="1">
      <c r="A972" s="551"/>
      <c r="B972" s="551"/>
      <c r="C972" s="551"/>
      <c r="D972" s="551"/>
      <c r="E972" s="551"/>
      <c r="F972" s="551"/>
      <c r="G972" s="551"/>
      <c r="H972" s="551"/>
      <c r="I972" s="551"/>
      <c r="J972" s="551"/>
      <c r="K972" s="551"/>
      <c r="L972" s="551"/>
      <c r="M972" s="551"/>
      <c r="N972" s="551"/>
      <c r="O972" s="551"/>
      <c r="P972" s="551"/>
      <c r="Q972" s="551"/>
      <c r="R972" s="551"/>
      <c r="S972" s="551"/>
      <c r="T972" s="551"/>
      <c r="U972" s="551"/>
      <c r="V972" s="551"/>
      <c r="W972" s="551"/>
      <c r="X972" s="551"/>
      <c r="Y972" s="551"/>
      <c r="Z972" s="551"/>
      <c r="AA972" s="551"/>
      <c r="AB972" s="551"/>
      <c r="AC972" s="551"/>
      <c r="AD972" s="551"/>
      <c r="AE972" s="551"/>
      <c r="AF972" s="551"/>
      <c r="AG972" s="551"/>
      <c r="AH972" s="551"/>
      <c r="AI972" s="551"/>
      <c r="AJ972" s="551"/>
      <c r="AK972" s="551"/>
      <c r="AL972" s="551"/>
      <c r="AM972" s="551"/>
      <c r="AN972" s="551"/>
      <c r="AO972" s="551"/>
      <c r="AP972" s="551"/>
      <c r="AQ972" s="551"/>
      <c r="AR972" s="551"/>
      <c r="AS972" s="551"/>
      <c r="AT972" s="551"/>
      <c r="AU972" s="551"/>
      <c r="AV972" s="551"/>
      <c r="AW972" s="551"/>
      <c r="AX972" s="551"/>
      <c r="AY972" s="551"/>
      <c r="AZ972" s="551"/>
      <c r="BA972" s="551"/>
      <c r="BB972" s="551"/>
      <c r="BC972" s="551"/>
      <c r="BD972" s="551"/>
      <c r="BE972" s="551"/>
      <c r="BF972" s="551"/>
      <c r="BG972" s="551"/>
      <c r="BH972" s="551"/>
      <c r="BI972" s="551"/>
      <c r="BJ972" s="551"/>
      <c r="BK972" s="551"/>
    </row>
    <row r="973" spans="1:63" ht="12.75" customHeight="1">
      <c r="A973" s="551"/>
      <c r="B973" s="551"/>
      <c r="C973" s="551"/>
      <c r="D973" s="551"/>
      <c r="E973" s="551"/>
      <c r="F973" s="551"/>
      <c r="G973" s="551"/>
      <c r="H973" s="551"/>
      <c r="I973" s="551"/>
      <c r="J973" s="551"/>
      <c r="K973" s="551"/>
      <c r="L973" s="551"/>
      <c r="M973" s="551"/>
      <c r="N973" s="551"/>
      <c r="O973" s="551"/>
      <c r="P973" s="551"/>
      <c r="Q973" s="551"/>
      <c r="R973" s="551"/>
      <c r="S973" s="551"/>
      <c r="T973" s="551"/>
      <c r="U973" s="551"/>
      <c r="V973" s="551"/>
      <c r="W973" s="551"/>
      <c r="X973" s="551"/>
      <c r="Y973" s="551"/>
      <c r="Z973" s="551"/>
      <c r="AA973" s="551"/>
      <c r="AB973" s="551"/>
      <c r="AC973" s="551"/>
      <c r="AD973" s="551"/>
      <c r="AE973" s="551"/>
      <c r="AF973" s="551"/>
      <c r="AG973" s="551"/>
      <c r="AH973" s="551"/>
      <c r="AI973" s="551"/>
      <c r="AJ973" s="551"/>
      <c r="AK973" s="551"/>
      <c r="AL973" s="551"/>
      <c r="AM973" s="551"/>
      <c r="AN973" s="551"/>
      <c r="AO973" s="551"/>
      <c r="AP973" s="551"/>
      <c r="AQ973" s="551"/>
      <c r="AR973" s="551"/>
      <c r="AS973" s="551"/>
      <c r="AT973" s="551"/>
      <c r="AU973" s="551"/>
      <c r="AV973" s="551"/>
      <c r="AW973" s="551"/>
      <c r="AX973" s="551"/>
      <c r="AY973" s="551"/>
      <c r="AZ973" s="551"/>
      <c r="BA973" s="551"/>
      <c r="BB973" s="551"/>
      <c r="BC973" s="551"/>
      <c r="BD973" s="551"/>
      <c r="BE973" s="551"/>
      <c r="BF973" s="551"/>
      <c r="BG973" s="551"/>
      <c r="BH973" s="551"/>
      <c r="BI973" s="551"/>
      <c r="BJ973" s="551"/>
      <c r="BK973" s="551"/>
    </row>
    <row r="974" spans="1:63" ht="12.75" customHeight="1">
      <c r="A974" s="551"/>
      <c r="B974" s="551"/>
      <c r="C974" s="551"/>
      <c r="D974" s="551"/>
      <c r="E974" s="551"/>
      <c r="F974" s="551"/>
      <c r="G974" s="551"/>
      <c r="H974" s="551"/>
      <c r="I974" s="551"/>
      <c r="J974" s="551"/>
      <c r="K974" s="551"/>
      <c r="L974" s="551"/>
      <c r="M974" s="551"/>
      <c r="N974" s="551"/>
      <c r="O974" s="551"/>
      <c r="P974" s="551"/>
      <c r="Q974" s="551"/>
      <c r="R974" s="551"/>
      <c r="S974" s="551"/>
      <c r="T974" s="551"/>
      <c r="U974" s="551"/>
      <c r="V974" s="551"/>
      <c r="W974" s="551"/>
      <c r="X974" s="551"/>
      <c r="Y974" s="551"/>
      <c r="Z974" s="551"/>
      <c r="AA974" s="551"/>
      <c r="AB974" s="551"/>
      <c r="AC974" s="551"/>
      <c r="AD974" s="551"/>
      <c r="AE974" s="551"/>
      <c r="AF974" s="551"/>
      <c r="AG974" s="551"/>
      <c r="AH974" s="551"/>
      <c r="AI974" s="551"/>
      <c r="AJ974" s="551"/>
      <c r="AK974" s="551"/>
      <c r="AL974" s="551"/>
      <c r="AM974" s="551"/>
      <c r="AN974" s="551"/>
      <c r="AO974" s="551"/>
      <c r="AP974" s="551"/>
      <c r="AQ974" s="551"/>
      <c r="AR974" s="551"/>
      <c r="AS974" s="551"/>
      <c r="AT974" s="551"/>
      <c r="AU974" s="551"/>
      <c r="AV974" s="551"/>
      <c r="AW974" s="551"/>
      <c r="AX974" s="551"/>
      <c r="AY974" s="551"/>
      <c r="AZ974" s="551"/>
      <c r="BA974" s="551"/>
      <c r="BB974" s="551"/>
      <c r="BC974" s="551"/>
      <c r="BD974" s="551"/>
      <c r="BE974" s="551"/>
      <c r="BF974" s="551"/>
      <c r="BG974" s="551"/>
      <c r="BH974" s="551"/>
      <c r="BI974" s="551"/>
      <c r="BJ974" s="551"/>
      <c r="BK974" s="551"/>
    </row>
    <row r="975" spans="1:63" ht="12.75" customHeight="1">
      <c r="A975" s="551"/>
      <c r="B975" s="551"/>
      <c r="C975" s="551"/>
      <c r="D975" s="551"/>
      <c r="E975" s="551"/>
      <c r="F975" s="551"/>
      <c r="G975" s="551"/>
      <c r="H975" s="551"/>
      <c r="I975" s="551"/>
      <c r="J975" s="551"/>
      <c r="K975" s="551"/>
      <c r="L975" s="551"/>
      <c r="M975" s="551"/>
      <c r="N975" s="551"/>
      <c r="O975" s="551"/>
      <c r="P975" s="551"/>
      <c r="Q975" s="551"/>
      <c r="R975" s="551"/>
      <c r="S975" s="551"/>
      <c r="T975" s="551"/>
      <c r="U975" s="551"/>
      <c r="V975" s="551"/>
      <c r="W975" s="551"/>
      <c r="X975" s="551"/>
      <c r="Y975" s="551"/>
      <c r="Z975" s="551"/>
      <c r="AA975" s="551"/>
      <c r="AB975" s="551"/>
      <c r="AC975" s="551"/>
      <c r="AD975" s="551"/>
      <c r="AE975" s="551"/>
      <c r="AF975" s="551"/>
      <c r="AG975" s="551"/>
      <c r="AH975" s="551"/>
      <c r="AI975" s="551"/>
      <c r="AJ975" s="551"/>
      <c r="AK975" s="551"/>
      <c r="AL975" s="551"/>
      <c r="AM975" s="551"/>
      <c r="AN975" s="551"/>
      <c r="AO975" s="551"/>
      <c r="AP975" s="551"/>
      <c r="AQ975" s="551"/>
      <c r="AR975" s="551"/>
      <c r="AS975" s="551"/>
      <c r="AT975" s="551"/>
      <c r="AU975" s="551"/>
      <c r="AV975" s="551"/>
      <c r="AW975" s="551"/>
      <c r="AX975" s="551"/>
      <c r="AY975" s="551"/>
      <c r="AZ975" s="551"/>
      <c r="BA975" s="551"/>
      <c r="BB975" s="551"/>
      <c r="BC975" s="551"/>
      <c r="BD975" s="551"/>
      <c r="BE975" s="551"/>
      <c r="BF975" s="551"/>
      <c r="BG975" s="551"/>
      <c r="BH975" s="551"/>
      <c r="BI975" s="551"/>
      <c r="BJ975" s="551"/>
      <c r="BK975" s="551"/>
    </row>
    <row r="976" spans="1:63" ht="12.75" customHeight="1">
      <c r="A976" s="551"/>
      <c r="B976" s="551"/>
      <c r="C976" s="551"/>
      <c r="D976" s="551"/>
      <c r="E976" s="551"/>
      <c r="F976" s="551"/>
      <c r="G976" s="551"/>
      <c r="H976" s="551"/>
      <c r="I976" s="551"/>
      <c r="J976" s="551"/>
      <c r="K976" s="551"/>
      <c r="L976" s="551"/>
      <c r="M976" s="551"/>
      <c r="N976" s="551"/>
      <c r="O976" s="551"/>
      <c r="P976" s="551"/>
      <c r="Q976" s="551"/>
      <c r="R976" s="551"/>
      <c r="S976" s="551"/>
      <c r="T976" s="551"/>
      <c r="U976" s="551"/>
      <c r="V976" s="551"/>
      <c r="W976" s="551"/>
      <c r="X976" s="551"/>
      <c r="Y976" s="551"/>
      <c r="Z976" s="551"/>
      <c r="AA976" s="551"/>
      <c r="AB976" s="551"/>
      <c r="AC976" s="551"/>
      <c r="AD976" s="551"/>
      <c r="AE976" s="551"/>
      <c r="AF976" s="551"/>
      <c r="AG976" s="551"/>
      <c r="AH976" s="551"/>
      <c r="AI976" s="551"/>
      <c r="AJ976" s="551"/>
      <c r="AK976" s="551"/>
      <c r="AL976" s="551"/>
      <c r="AM976" s="551"/>
      <c r="AN976" s="551"/>
      <c r="AO976" s="551"/>
      <c r="AP976" s="551"/>
      <c r="AQ976" s="551"/>
      <c r="AR976" s="551"/>
      <c r="AS976" s="551"/>
      <c r="AT976" s="551"/>
      <c r="AU976" s="551"/>
      <c r="AV976" s="551"/>
      <c r="AW976" s="551"/>
      <c r="AX976" s="551"/>
      <c r="AY976" s="551"/>
      <c r="AZ976" s="551"/>
      <c r="BA976" s="551"/>
      <c r="BB976" s="551"/>
      <c r="BC976" s="551"/>
      <c r="BD976" s="551"/>
      <c r="BE976" s="551"/>
      <c r="BF976" s="551"/>
      <c r="BG976" s="551"/>
      <c r="BH976" s="551"/>
      <c r="BI976" s="551"/>
      <c r="BJ976" s="551"/>
      <c r="BK976" s="551"/>
    </row>
    <row r="977" spans="1:63" ht="12.75" customHeight="1">
      <c r="A977" s="551"/>
      <c r="B977" s="551"/>
      <c r="C977" s="551"/>
      <c r="D977" s="551"/>
      <c r="E977" s="551"/>
      <c r="F977" s="551"/>
      <c r="G977" s="551"/>
      <c r="H977" s="551"/>
      <c r="I977" s="551"/>
      <c r="J977" s="551"/>
      <c r="K977" s="551"/>
      <c r="L977" s="551"/>
      <c r="M977" s="551"/>
      <c r="N977" s="551"/>
      <c r="O977" s="551"/>
      <c r="P977" s="551"/>
      <c r="Q977" s="551"/>
      <c r="R977" s="551"/>
      <c r="S977" s="551"/>
      <c r="T977" s="551"/>
      <c r="U977" s="551"/>
      <c r="V977" s="551"/>
      <c r="W977" s="551"/>
      <c r="X977" s="551"/>
      <c r="Y977" s="551"/>
      <c r="Z977" s="551"/>
      <c r="AA977" s="551"/>
      <c r="AB977" s="551"/>
      <c r="AC977" s="551"/>
      <c r="AD977" s="551"/>
      <c r="AE977" s="551"/>
      <c r="AF977" s="551"/>
      <c r="AG977" s="551"/>
      <c r="AH977" s="551"/>
      <c r="AI977" s="551"/>
      <c r="AJ977" s="551"/>
      <c r="AK977" s="551"/>
      <c r="AL977" s="551"/>
      <c r="AM977" s="551"/>
      <c r="AN977" s="551"/>
      <c r="AO977" s="551"/>
      <c r="AP977" s="551"/>
      <c r="AQ977" s="551"/>
      <c r="AR977" s="551"/>
      <c r="AS977" s="551"/>
      <c r="AT977" s="551"/>
      <c r="AU977" s="551"/>
      <c r="AV977" s="551"/>
      <c r="AW977" s="551"/>
      <c r="AX977" s="551"/>
      <c r="AY977" s="551"/>
      <c r="AZ977" s="551"/>
      <c r="BA977" s="551"/>
      <c r="BB977" s="551"/>
      <c r="BC977" s="551"/>
      <c r="BD977" s="551"/>
      <c r="BE977" s="551"/>
      <c r="BF977" s="551"/>
      <c r="BG977" s="551"/>
      <c r="BH977" s="551"/>
      <c r="BI977" s="551"/>
      <c r="BJ977" s="551"/>
      <c r="BK977" s="551"/>
    </row>
    <row r="978" spans="1:63" ht="12.75" customHeight="1">
      <c r="A978" s="551"/>
      <c r="B978" s="551"/>
      <c r="C978" s="551"/>
      <c r="D978" s="551"/>
      <c r="E978" s="551"/>
      <c r="F978" s="551"/>
      <c r="G978" s="551"/>
      <c r="H978" s="551"/>
      <c r="I978" s="551"/>
      <c r="J978" s="551"/>
      <c r="K978" s="551"/>
      <c r="L978" s="551"/>
      <c r="M978" s="551"/>
      <c r="N978" s="551"/>
      <c r="O978" s="551"/>
      <c r="P978" s="551"/>
      <c r="Q978" s="551"/>
      <c r="R978" s="551"/>
      <c r="S978" s="551"/>
      <c r="T978" s="551"/>
      <c r="U978" s="551"/>
      <c r="V978" s="551"/>
      <c r="W978" s="551"/>
      <c r="X978" s="551"/>
      <c r="Y978" s="551"/>
      <c r="Z978" s="551"/>
      <c r="AA978" s="551"/>
      <c r="AB978" s="551"/>
      <c r="AC978" s="551"/>
      <c r="AD978" s="551"/>
      <c r="AE978" s="551"/>
      <c r="AF978" s="551"/>
      <c r="AG978" s="551"/>
      <c r="AH978" s="551"/>
      <c r="AI978" s="551"/>
      <c r="AJ978" s="551"/>
      <c r="AK978" s="551"/>
      <c r="AL978" s="551"/>
      <c r="AM978" s="551"/>
      <c r="AN978" s="551"/>
      <c r="AO978" s="551"/>
      <c r="AP978" s="551"/>
      <c r="AQ978" s="551"/>
      <c r="AR978" s="551"/>
      <c r="AS978" s="551"/>
      <c r="AT978" s="551"/>
      <c r="AU978" s="551"/>
      <c r="AV978" s="551"/>
      <c r="AW978" s="551"/>
      <c r="AX978" s="551"/>
      <c r="AY978" s="551"/>
      <c r="AZ978" s="551"/>
      <c r="BA978" s="551"/>
      <c r="BB978" s="551"/>
      <c r="BC978" s="551"/>
      <c r="BD978" s="551"/>
      <c r="BE978" s="551"/>
      <c r="BF978" s="551"/>
      <c r="BG978" s="551"/>
      <c r="BH978" s="551"/>
      <c r="BI978" s="551"/>
      <c r="BJ978" s="551"/>
      <c r="BK978" s="551"/>
    </row>
    <row r="979" spans="1:63" ht="12.75" customHeight="1">
      <c r="A979" s="551"/>
      <c r="B979" s="551"/>
      <c r="C979" s="551"/>
      <c r="D979" s="551"/>
      <c r="E979" s="551"/>
      <c r="F979" s="551"/>
      <c r="G979" s="551"/>
      <c r="H979" s="551"/>
      <c r="I979" s="551"/>
      <c r="J979" s="551"/>
      <c r="K979" s="551"/>
      <c r="L979" s="551"/>
      <c r="M979" s="551"/>
      <c r="N979" s="551"/>
      <c r="O979" s="551"/>
      <c r="P979" s="551"/>
      <c r="Q979" s="551"/>
      <c r="R979" s="551"/>
      <c r="S979" s="551"/>
      <c r="T979" s="551"/>
      <c r="U979" s="551"/>
      <c r="V979" s="551"/>
      <c r="W979" s="551"/>
      <c r="X979" s="551"/>
      <c r="Y979" s="551"/>
      <c r="Z979" s="551"/>
      <c r="AA979" s="551"/>
      <c r="AB979" s="551"/>
      <c r="AC979" s="551"/>
      <c r="AD979" s="551"/>
      <c r="AE979" s="551"/>
      <c r="AF979" s="551"/>
      <c r="AG979" s="551"/>
      <c r="AH979" s="551"/>
      <c r="AI979" s="551"/>
      <c r="AJ979" s="551"/>
      <c r="AK979" s="551"/>
      <c r="AL979" s="551"/>
      <c r="AM979" s="551"/>
      <c r="AN979" s="551"/>
      <c r="AO979" s="551"/>
      <c r="AP979" s="551"/>
      <c r="AQ979" s="551"/>
      <c r="AR979" s="551"/>
      <c r="AS979" s="551"/>
      <c r="AT979" s="551"/>
      <c r="AU979" s="551"/>
      <c r="AV979" s="551"/>
      <c r="AW979" s="551"/>
      <c r="AX979" s="551"/>
      <c r="AY979" s="551"/>
      <c r="AZ979" s="551"/>
      <c r="BA979" s="551"/>
      <c r="BB979" s="551"/>
      <c r="BC979" s="551"/>
      <c r="BD979" s="551"/>
      <c r="BE979" s="551"/>
      <c r="BF979" s="551"/>
      <c r="BG979" s="551"/>
      <c r="BH979" s="551"/>
      <c r="BI979" s="551"/>
      <c r="BJ979" s="551"/>
      <c r="BK979" s="551"/>
    </row>
    <row r="980" spans="1:63" ht="12.75" customHeight="1">
      <c r="A980" s="551"/>
      <c r="B980" s="551"/>
      <c r="C980" s="551"/>
      <c r="D980" s="551"/>
      <c r="E980" s="551"/>
      <c r="F980" s="551"/>
      <c r="G980" s="551"/>
      <c r="H980" s="551"/>
      <c r="I980" s="551"/>
      <c r="J980" s="551"/>
      <c r="K980" s="551"/>
      <c r="L980" s="551"/>
      <c r="M980" s="551"/>
      <c r="N980" s="551"/>
      <c r="O980" s="551"/>
      <c r="P980" s="551"/>
      <c r="Q980" s="551"/>
      <c r="R980" s="551"/>
      <c r="S980" s="551"/>
      <c r="T980" s="551"/>
      <c r="U980" s="551"/>
      <c r="V980" s="551"/>
      <c r="W980" s="551"/>
      <c r="X980" s="551"/>
      <c r="Y980" s="551"/>
      <c r="Z980" s="551"/>
      <c r="AA980" s="551"/>
      <c r="AB980" s="551"/>
      <c r="AC980" s="551"/>
      <c r="AD980" s="551"/>
      <c r="AE980" s="551"/>
      <c r="AF980" s="551"/>
      <c r="AG980" s="551"/>
      <c r="AH980" s="551"/>
      <c r="AI980" s="551"/>
      <c r="AJ980" s="551"/>
      <c r="AK980" s="551"/>
      <c r="AL980" s="551"/>
      <c r="AM980" s="551"/>
      <c r="AN980" s="551"/>
      <c r="AO980" s="551"/>
      <c r="AP980" s="551"/>
      <c r="AQ980" s="551"/>
      <c r="AR980" s="551"/>
      <c r="AS980" s="551"/>
      <c r="AT980" s="551"/>
      <c r="AU980" s="551"/>
      <c r="AV980" s="551"/>
      <c r="AW980" s="551"/>
      <c r="AX980" s="551"/>
      <c r="AY980" s="551"/>
      <c r="AZ980" s="551"/>
      <c r="BA980" s="551"/>
      <c r="BB980" s="551"/>
      <c r="BC980" s="551"/>
      <c r="BD980" s="551"/>
      <c r="BE980" s="551"/>
      <c r="BF980" s="551"/>
      <c r="BG980" s="551"/>
      <c r="BH980" s="551"/>
      <c r="BI980" s="551"/>
      <c r="BJ980" s="551"/>
      <c r="BK980" s="551"/>
    </row>
    <row r="981" spans="1:63" ht="12.75" customHeight="1">
      <c r="A981" s="551"/>
      <c r="B981" s="551"/>
      <c r="C981" s="551"/>
      <c r="D981" s="551"/>
      <c r="E981" s="551"/>
      <c r="F981" s="551"/>
      <c r="G981" s="551"/>
      <c r="H981" s="551"/>
      <c r="I981" s="551"/>
      <c r="J981" s="551"/>
      <c r="K981" s="551"/>
      <c r="L981" s="551"/>
      <c r="M981" s="551"/>
      <c r="N981" s="551"/>
      <c r="O981" s="551"/>
      <c r="P981" s="551"/>
      <c r="Q981" s="551"/>
      <c r="R981" s="551"/>
      <c r="S981" s="551"/>
      <c r="T981" s="551"/>
      <c r="U981" s="551"/>
      <c r="V981" s="551"/>
      <c r="W981" s="551"/>
      <c r="X981" s="551"/>
      <c r="Y981" s="551"/>
      <c r="Z981" s="551"/>
      <c r="AA981" s="551"/>
      <c r="AB981" s="551"/>
      <c r="AC981" s="551"/>
      <c r="AD981" s="551"/>
      <c r="AE981" s="551"/>
      <c r="AF981" s="551"/>
      <c r="AG981" s="551"/>
      <c r="AH981" s="551"/>
      <c r="AI981" s="551"/>
      <c r="AJ981" s="551"/>
      <c r="AK981" s="551"/>
      <c r="AL981" s="551"/>
      <c r="AM981" s="551"/>
      <c r="AN981" s="551"/>
      <c r="AO981" s="551"/>
      <c r="AP981" s="551"/>
      <c r="AQ981" s="551"/>
      <c r="AR981" s="551"/>
      <c r="AS981" s="551"/>
      <c r="AT981" s="551"/>
      <c r="AU981" s="551"/>
      <c r="AV981" s="551"/>
      <c r="AW981" s="551"/>
      <c r="AX981" s="551"/>
      <c r="AY981" s="551"/>
      <c r="AZ981" s="551"/>
      <c r="BA981" s="551"/>
      <c r="BB981" s="551"/>
      <c r="BC981" s="551"/>
      <c r="BD981" s="551"/>
      <c r="BE981" s="551"/>
      <c r="BF981" s="551"/>
      <c r="BG981" s="551"/>
      <c r="BH981" s="551"/>
      <c r="BI981" s="551"/>
      <c r="BJ981" s="551"/>
      <c r="BK981" s="551"/>
    </row>
    <row r="982" spans="1:63" ht="12.75" customHeight="1">
      <c r="A982" s="551"/>
      <c r="B982" s="551"/>
      <c r="C982" s="551"/>
      <c r="D982" s="551"/>
      <c r="E982" s="551"/>
      <c r="F982" s="551"/>
      <c r="G982" s="551"/>
      <c r="H982" s="551"/>
      <c r="I982" s="551"/>
      <c r="J982" s="551"/>
      <c r="K982" s="551"/>
      <c r="L982" s="551"/>
      <c r="M982" s="551"/>
      <c r="N982" s="551"/>
      <c r="O982" s="551"/>
      <c r="P982" s="551"/>
      <c r="Q982" s="551"/>
      <c r="R982" s="551"/>
      <c r="S982" s="551"/>
      <c r="T982" s="551"/>
      <c r="U982" s="551"/>
      <c r="V982" s="551"/>
      <c r="W982" s="551"/>
      <c r="X982" s="551"/>
      <c r="Y982" s="551"/>
      <c r="Z982" s="551"/>
      <c r="AA982" s="551"/>
      <c r="AB982" s="551"/>
      <c r="AC982" s="551"/>
      <c r="AD982" s="551"/>
      <c r="AE982" s="551"/>
      <c r="AF982" s="551"/>
      <c r="AG982" s="551"/>
      <c r="AH982" s="551"/>
      <c r="AI982" s="551"/>
      <c r="AJ982" s="551"/>
      <c r="AK982" s="551"/>
      <c r="AL982" s="551"/>
      <c r="AM982" s="551"/>
      <c r="AN982" s="551"/>
      <c r="AO982" s="551"/>
      <c r="AP982" s="551"/>
      <c r="AQ982" s="551"/>
      <c r="AR982" s="551"/>
      <c r="AS982" s="551"/>
      <c r="AT982" s="551"/>
      <c r="AU982" s="551"/>
      <c r="AV982" s="551"/>
      <c r="AW982" s="551"/>
      <c r="AX982" s="551"/>
      <c r="AY982" s="551"/>
      <c r="AZ982" s="551"/>
      <c r="BA982" s="551"/>
      <c r="BB982" s="551"/>
      <c r="BC982" s="551"/>
      <c r="BD982" s="551"/>
      <c r="BE982" s="551"/>
      <c r="BF982" s="551"/>
      <c r="BG982" s="551"/>
      <c r="BH982" s="551"/>
      <c r="BI982" s="551"/>
      <c r="BJ982" s="551"/>
      <c r="BK982" s="551"/>
    </row>
    <row r="983" spans="1:63" ht="12.75" customHeight="1">
      <c r="A983" s="551"/>
      <c r="B983" s="551"/>
      <c r="C983" s="551"/>
      <c r="D983" s="551"/>
      <c r="E983" s="551"/>
      <c r="F983" s="551"/>
      <c r="G983" s="551"/>
      <c r="H983" s="551"/>
      <c r="I983" s="551"/>
      <c r="J983" s="551"/>
      <c r="K983" s="551"/>
      <c r="L983" s="551"/>
      <c r="M983" s="551"/>
      <c r="N983" s="551"/>
      <c r="O983" s="551"/>
      <c r="P983" s="551"/>
      <c r="Q983" s="551"/>
      <c r="R983" s="551"/>
      <c r="S983" s="551"/>
      <c r="T983" s="551"/>
      <c r="U983" s="551"/>
      <c r="V983" s="551"/>
      <c r="W983" s="551"/>
      <c r="X983" s="551"/>
      <c r="Y983" s="551"/>
      <c r="Z983" s="551"/>
      <c r="AA983" s="551"/>
      <c r="AB983" s="551"/>
      <c r="AC983" s="551"/>
      <c r="AD983" s="551"/>
      <c r="AE983" s="551"/>
      <c r="AF983" s="551"/>
      <c r="AG983" s="551"/>
      <c r="AH983" s="551"/>
      <c r="AI983" s="551"/>
      <c r="AJ983" s="551"/>
      <c r="AK983" s="551"/>
      <c r="AL983" s="551"/>
      <c r="AM983" s="551"/>
      <c r="AN983" s="551"/>
      <c r="AO983" s="551"/>
      <c r="AP983" s="551"/>
      <c r="AQ983" s="551"/>
      <c r="AR983" s="551"/>
      <c r="AS983" s="551"/>
      <c r="AT983" s="551"/>
      <c r="AU983" s="551"/>
      <c r="AV983" s="551"/>
      <c r="AW983" s="551"/>
      <c r="AX983" s="551"/>
      <c r="AY983" s="551"/>
      <c r="AZ983" s="551"/>
      <c r="BA983" s="551"/>
      <c r="BB983" s="551"/>
      <c r="BC983" s="551"/>
      <c r="BD983" s="551"/>
      <c r="BE983" s="551"/>
      <c r="BF983" s="551"/>
      <c r="BG983" s="551"/>
      <c r="BH983" s="551"/>
      <c r="BI983" s="551"/>
      <c r="BJ983" s="551"/>
      <c r="BK983" s="551"/>
    </row>
    <row r="984" spans="1:63" ht="12.75" customHeight="1">
      <c r="A984" s="551"/>
      <c r="B984" s="551"/>
      <c r="C984" s="551"/>
      <c r="D984" s="551"/>
      <c r="E984" s="551"/>
      <c r="F984" s="551"/>
      <c r="G984" s="551"/>
      <c r="H984" s="551"/>
      <c r="I984" s="551"/>
      <c r="J984" s="551"/>
      <c r="K984" s="551"/>
      <c r="L984" s="551"/>
      <c r="M984" s="551"/>
      <c r="N984" s="551"/>
      <c r="O984" s="551"/>
      <c r="P984" s="551"/>
      <c r="Q984" s="551"/>
      <c r="R984" s="551"/>
      <c r="S984" s="551"/>
      <c r="T984" s="551"/>
      <c r="U984" s="551"/>
      <c r="V984" s="551"/>
      <c r="W984" s="551"/>
      <c r="X984" s="551"/>
      <c r="Y984" s="551"/>
      <c r="Z984" s="551"/>
      <c r="AA984" s="551"/>
      <c r="AB984" s="551"/>
      <c r="AC984" s="551"/>
      <c r="AD984" s="551"/>
      <c r="AE984" s="551"/>
      <c r="AF984" s="551"/>
      <c r="AG984" s="551"/>
      <c r="AH984" s="551"/>
      <c r="AI984" s="551"/>
      <c r="AJ984" s="551"/>
      <c r="AK984" s="551"/>
      <c r="AL984" s="551"/>
      <c r="AM984" s="551"/>
      <c r="AN984" s="551"/>
      <c r="AO984" s="551"/>
      <c r="AP984" s="551"/>
      <c r="AQ984" s="551"/>
      <c r="AR984" s="551"/>
      <c r="AS984" s="551"/>
      <c r="AT984" s="551"/>
      <c r="AU984" s="551"/>
      <c r="AV984" s="551"/>
      <c r="AW984" s="551"/>
      <c r="AX984" s="551"/>
      <c r="AY984" s="551"/>
      <c r="AZ984" s="551"/>
      <c r="BA984" s="551"/>
      <c r="BB984" s="551"/>
      <c r="BC984" s="551"/>
      <c r="BD984" s="551"/>
      <c r="BE984" s="551"/>
      <c r="BF984" s="551"/>
      <c r="BG984" s="551"/>
      <c r="BH984" s="551"/>
      <c r="BI984" s="551"/>
      <c r="BJ984" s="551"/>
      <c r="BK984" s="551"/>
    </row>
    <row r="985" spans="1:63" ht="12.75" customHeight="1">
      <c r="A985" s="551"/>
      <c r="B985" s="551"/>
      <c r="C985" s="551"/>
      <c r="D985" s="551"/>
      <c r="E985" s="551"/>
      <c r="F985" s="551"/>
      <c r="G985" s="551"/>
      <c r="H985" s="551"/>
      <c r="I985" s="551"/>
      <c r="J985" s="551"/>
      <c r="K985" s="551"/>
      <c r="L985" s="551"/>
      <c r="M985" s="551"/>
      <c r="N985" s="551"/>
      <c r="O985" s="551"/>
      <c r="P985" s="551"/>
      <c r="Q985" s="551"/>
      <c r="R985" s="551"/>
      <c r="S985" s="551"/>
      <c r="T985" s="551"/>
      <c r="U985" s="551"/>
      <c r="V985" s="551"/>
      <c r="W985" s="551"/>
      <c r="X985" s="551"/>
      <c r="Y985" s="551"/>
      <c r="Z985" s="551"/>
      <c r="AA985" s="551"/>
      <c r="AB985" s="551"/>
      <c r="AC985" s="551"/>
      <c r="AD985" s="551"/>
      <c r="AE985" s="551"/>
      <c r="AF985" s="551"/>
      <c r="AG985" s="551"/>
      <c r="AH985" s="551"/>
      <c r="AI985" s="551"/>
      <c r="AJ985" s="551"/>
      <c r="AK985" s="551"/>
      <c r="AL985" s="551"/>
      <c r="AM985" s="551"/>
      <c r="AN985" s="551"/>
      <c r="AO985" s="551"/>
      <c r="AP985" s="551"/>
      <c r="AQ985" s="551"/>
      <c r="AR985" s="551"/>
      <c r="AS985" s="551"/>
      <c r="AT985" s="551"/>
      <c r="AU985" s="551"/>
      <c r="AV985" s="551"/>
      <c r="AW985" s="551"/>
      <c r="AX985" s="551"/>
      <c r="AY985" s="551"/>
      <c r="AZ985" s="551"/>
      <c r="BA985" s="551"/>
      <c r="BB985" s="551"/>
      <c r="BC985" s="551"/>
      <c r="BD985" s="551"/>
      <c r="BE985" s="551"/>
      <c r="BF985" s="551"/>
      <c r="BG985" s="551"/>
      <c r="BH985" s="551"/>
      <c r="BI985" s="551"/>
      <c r="BJ985" s="551"/>
      <c r="BK985" s="551"/>
    </row>
    <row r="986" spans="1:63" ht="12.75" customHeight="1">
      <c r="A986" s="551"/>
      <c r="B986" s="551"/>
      <c r="C986" s="551"/>
      <c r="D986" s="551"/>
      <c r="E986" s="551"/>
      <c r="F986" s="551"/>
      <c r="G986" s="551"/>
      <c r="H986" s="551"/>
      <c r="I986" s="551"/>
      <c r="J986" s="551"/>
      <c r="K986" s="551"/>
      <c r="L986" s="551"/>
      <c r="M986" s="551"/>
      <c r="N986" s="551"/>
      <c r="O986" s="551"/>
      <c r="P986" s="551"/>
      <c r="Q986" s="551"/>
      <c r="R986" s="551"/>
      <c r="S986" s="551"/>
      <c r="T986" s="551"/>
      <c r="U986" s="551"/>
      <c r="V986" s="551"/>
      <c r="W986" s="551"/>
      <c r="X986" s="551"/>
      <c r="Y986" s="551"/>
      <c r="Z986" s="551"/>
      <c r="AA986" s="551"/>
      <c r="AB986" s="551"/>
      <c r="AC986" s="551"/>
      <c r="AD986" s="551"/>
      <c r="AE986" s="551"/>
      <c r="AF986" s="551"/>
      <c r="AG986" s="551"/>
      <c r="AH986" s="551"/>
      <c r="AI986" s="551"/>
      <c r="AJ986" s="551"/>
      <c r="AK986" s="551"/>
      <c r="AL986" s="551"/>
      <c r="AM986" s="551"/>
      <c r="AN986" s="551"/>
      <c r="AO986" s="551"/>
      <c r="AP986" s="551"/>
      <c r="AQ986" s="551"/>
      <c r="AR986" s="551"/>
      <c r="AS986" s="551"/>
      <c r="AT986" s="551"/>
      <c r="AU986" s="551"/>
      <c r="AV986" s="551"/>
      <c r="AW986" s="551"/>
      <c r="AX986" s="551"/>
      <c r="AY986" s="551"/>
      <c r="AZ986" s="551"/>
      <c r="BA986" s="551"/>
      <c r="BB986" s="551"/>
      <c r="BC986" s="551"/>
      <c r="BD986" s="551"/>
      <c r="BE986" s="551"/>
      <c r="BF986" s="551"/>
      <c r="BG986" s="551"/>
      <c r="BH986" s="551"/>
      <c r="BI986" s="551"/>
      <c r="BJ986" s="551"/>
      <c r="BK986" s="551"/>
    </row>
    <row r="987" spans="1:63" ht="12.75" customHeight="1">
      <c r="A987" s="551"/>
      <c r="B987" s="551"/>
      <c r="C987" s="551"/>
      <c r="D987" s="551"/>
      <c r="E987" s="551"/>
      <c r="F987" s="551"/>
      <c r="G987" s="551"/>
      <c r="H987" s="551"/>
      <c r="I987" s="551"/>
      <c r="J987" s="551"/>
      <c r="K987" s="551"/>
      <c r="L987" s="551"/>
      <c r="M987" s="551"/>
      <c r="N987" s="551"/>
      <c r="O987" s="551"/>
      <c r="P987" s="551"/>
      <c r="Q987" s="551"/>
      <c r="R987" s="551"/>
      <c r="S987" s="551"/>
      <c r="T987" s="551"/>
      <c r="U987" s="551"/>
      <c r="V987" s="551"/>
      <c r="W987" s="551"/>
      <c r="X987" s="551"/>
      <c r="Y987" s="551"/>
      <c r="Z987" s="551"/>
      <c r="AA987" s="551"/>
      <c r="AB987" s="551"/>
      <c r="AC987" s="551"/>
      <c r="AD987" s="551"/>
      <c r="AE987" s="551"/>
      <c r="AF987" s="551"/>
      <c r="AG987" s="551"/>
      <c r="AH987" s="551"/>
      <c r="AI987" s="551"/>
      <c r="AJ987" s="551"/>
      <c r="AK987" s="551"/>
      <c r="AL987" s="551"/>
      <c r="AM987" s="551"/>
      <c r="AN987" s="551"/>
      <c r="AO987" s="551"/>
      <c r="AP987" s="551"/>
      <c r="AQ987" s="551"/>
      <c r="AR987" s="551"/>
      <c r="AS987" s="551"/>
      <c r="AT987" s="551"/>
      <c r="AU987" s="551"/>
      <c r="AV987" s="551"/>
      <c r="AW987" s="551"/>
      <c r="AX987" s="551"/>
      <c r="AY987" s="551"/>
      <c r="AZ987" s="551"/>
      <c r="BA987" s="551"/>
      <c r="BB987" s="551"/>
      <c r="BC987" s="551"/>
      <c r="BD987" s="551"/>
      <c r="BE987" s="551"/>
      <c r="BF987" s="551"/>
      <c r="BG987" s="551"/>
      <c r="BH987" s="551"/>
      <c r="BI987" s="551"/>
      <c r="BJ987" s="551"/>
      <c r="BK987" s="551"/>
    </row>
    <row r="988" spans="1:63" ht="12.75" customHeight="1">
      <c r="A988" s="551"/>
      <c r="B988" s="551"/>
      <c r="C988" s="551"/>
      <c r="D988" s="551"/>
      <c r="E988" s="551"/>
      <c r="F988" s="551"/>
      <c r="G988" s="551"/>
      <c r="H988" s="551"/>
      <c r="I988" s="551"/>
      <c r="J988" s="551"/>
      <c r="K988" s="551"/>
      <c r="L988" s="551"/>
      <c r="M988" s="551"/>
      <c r="N988" s="551"/>
      <c r="O988" s="551"/>
      <c r="P988" s="551"/>
      <c r="Q988" s="551"/>
      <c r="R988" s="551"/>
      <c r="S988" s="551"/>
      <c r="T988" s="551"/>
      <c r="U988" s="551"/>
      <c r="V988" s="551"/>
      <c r="W988" s="551"/>
      <c r="X988" s="551"/>
      <c r="Y988" s="551"/>
      <c r="Z988" s="551"/>
      <c r="AA988" s="551"/>
      <c r="AB988" s="551"/>
      <c r="AC988" s="551"/>
      <c r="AD988" s="551"/>
      <c r="AE988" s="551"/>
      <c r="AF988" s="551"/>
      <c r="AG988" s="551"/>
      <c r="AH988" s="551"/>
      <c r="AI988" s="551"/>
      <c r="AJ988" s="551"/>
      <c r="AK988" s="551"/>
      <c r="AL988" s="551"/>
      <c r="AM988" s="551"/>
      <c r="AN988" s="551"/>
      <c r="AO988" s="551"/>
      <c r="AP988" s="551"/>
      <c r="AQ988" s="551"/>
      <c r="AR988" s="551"/>
      <c r="AS988" s="551"/>
      <c r="AT988" s="551"/>
      <c r="AU988" s="551"/>
      <c r="AV988" s="551"/>
      <c r="AW988" s="551"/>
      <c r="AX988" s="551"/>
      <c r="AY988" s="551"/>
      <c r="AZ988" s="551"/>
      <c r="BA988" s="551"/>
      <c r="BB988" s="551"/>
      <c r="BC988" s="551"/>
      <c r="BD988" s="551"/>
      <c r="BE988" s="551"/>
      <c r="BF988" s="551"/>
      <c r="BG988" s="551"/>
      <c r="BH988" s="551"/>
      <c r="BI988" s="551"/>
      <c r="BJ988" s="551"/>
      <c r="BK988" s="551"/>
    </row>
    <row r="989" spans="1:63" ht="12.75" customHeight="1">
      <c r="A989" s="551"/>
      <c r="B989" s="551"/>
      <c r="C989" s="551"/>
      <c r="D989" s="551"/>
      <c r="E989" s="551"/>
      <c r="F989" s="551"/>
      <c r="G989" s="551"/>
      <c r="H989" s="551"/>
      <c r="I989" s="551"/>
      <c r="J989" s="551"/>
      <c r="K989" s="551"/>
      <c r="L989" s="551"/>
      <c r="M989" s="551"/>
      <c r="N989" s="551"/>
      <c r="O989" s="551"/>
      <c r="P989" s="551"/>
      <c r="Q989" s="551"/>
      <c r="R989" s="551"/>
      <c r="S989" s="551"/>
      <c r="T989" s="551"/>
      <c r="U989" s="551"/>
      <c r="V989" s="551"/>
      <c r="W989" s="551"/>
      <c r="X989" s="551"/>
      <c r="Y989" s="551"/>
      <c r="Z989" s="551"/>
      <c r="AA989" s="551"/>
      <c r="AB989" s="551"/>
      <c r="AC989" s="551"/>
      <c r="AD989" s="551"/>
      <c r="AE989" s="551"/>
      <c r="AF989" s="551"/>
      <c r="AG989" s="551"/>
      <c r="AH989" s="551"/>
      <c r="AI989" s="551"/>
      <c r="AJ989" s="551"/>
      <c r="AK989" s="551"/>
      <c r="AL989" s="551"/>
      <c r="AM989" s="551"/>
      <c r="AN989" s="551"/>
      <c r="AO989" s="551"/>
      <c r="AP989" s="551"/>
      <c r="AQ989" s="551"/>
      <c r="AR989" s="551"/>
      <c r="AS989" s="551"/>
      <c r="AT989" s="551"/>
      <c r="AU989" s="551"/>
      <c r="AV989" s="551"/>
      <c r="AW989" s="551"/>
      <c r="AX989" s="551"/>
      <c r="AY989" s="551"/>
      <c r="AZ989" s="551"/>
      <c r="BA989" s="551"/>
      <c r="BB989" s="551"/>
      <c r="BC989" s="551"/>
      <c r="BD989" s="551"/>
      <c r="BE989" s="551"/>
      <c r="BF989" s="551"/>
      <c r="BG989" s="551"/>
      <c r="BH989" s="551"/>
      <c r="BI989" s="551"/>
      <c r="BJ989" s="551"/>
      <c r="BK989" s="551"/>
    </row>
    <row r="990" spans="1:63" ht="12.75" customHeight="1">
      <c r="A990" s="551"/>
      <c r="B990" s="551"/>
      <c r="C990" s="551"/>
      <c r="D990" s="551"/>
      <c r="E990" s="551"/>
      <c r="F990" s="551"/>
      <c r="G990" s="551"/>
      <c r="H990" s="551"/>
      <c r="I990" s="551"/>
      <c r="J990" s="551"/>
      <c r="K990" s="551"/>
      <c r="L990" s="551"/>
      <c r="M990" s="551"/>
      <c r="N990" s="551"/>
      <c r="O990" s="551"/>
      <c r="P990" s="551"/>
      <c r="Q990" s="551"/>
      <c r="R990" s="551"/>
      <c r="S990" s="551"/>
      <c r="T990" s="551"/>
      <c r="U990" s="551"/>
      <c r="V990" s="551"/>
      <c r="W990" s="551"/>
      <c r="X990" s="551"/>
      <c r="Y990" s="551"/>
      <c r="Z990" s="551"/>
      <c r="AA990" s="551"/>
      <c r="AB990" s="551"/>
      <c r="AC990" s="551"/>
      <c r="AD990" s="551"/>
      <c r="AE990" s="551"/>
      <c r="AF990" s="551"/>
      <c r="AG990" s="551"/>
      <c r="AH990" s="551"/>
      <c r="AI990" s="551"/>
      <c r="AJ990" s="551"/>
      <c r="AK990" s="551"/>
      <c r="AL990" s="551"/>
      <c r="AM990" s="551"/>
      <c r="AN990" s="551"/>
      <c r="AO990" s="551"/>
      <c r="AP990" s="551"/>
      <c r="AQ990" s="551"/>
      <c r="AR990" s="551"/>
      <c r="AS990" s="551"/>
      <c r="AT990" s="551"/>
      <c r="AU990" s="551"/>
      <c r="AV990" s="551"/>
      <c r="AW990" s="551"/>
      <c r="AX990" s="551"/>
      <c r="AY990" s="551"/>
      <c r="AZ990" s="551"/>
      <c r="BA990" s="551"/>
      <c r="BB990" s="551"/>
      <c r="BC990" s="551"/>
      <c r="BD990" s="551"/>
      <c r="BE990" s="551"/>
      <c r="BF990" s="551"/>
      <c r="BG990" s="551"/>
      <c r="BH990" s="551"/>
      <c r="BI990" s="551"/>
      <c r="BJ990" s="551"/>
      <c r="BK990" s="551"/>
    </row>
    <row r="991" spans="1:63" ht="12.75" customHeight="1">
      <c r="A991" s="551"/>
      <c r="B991" s="551"/>
      <c r="C991" s="551"/>
      <c r="D991" s="551"/>
      <c r="E991" s="551"/>
      <c r="F991" s="551"/>
      <c r="G991" s="551"/>
      <c r="H991" s="551"/>
      <c r="I991" s="551"/>
      <c r="J991" s="551"/>
      <c r="K991" s="551"/>
      <c r="L991" s="551"/>
      <c r="M991" s="551"/>
      <c r="N991" s="551"/>
      <c r="O991" s="551"/>
      <c r="P991" s="551"/>
      <c r="Q991" s="551"/>
      <c r="R991" s="551"/>
      <c r="S991" s="551"/>
      <c r="T991" s="551"/>
      <c r="U991" s="551"/>
      <c r="V991" s="551"/>
      <c r="W991" s="551"/>
      <c r="X991" s="551"/>
      <c r="Y991" s="551"/>
      <c r="Z991" s="551"/>
      <c r="AA991" s="551"/>
      <c r="AB991" s="551"/>
      <c r="AC991" s="551"/>
      <c r="AD991" s="551"/>
      <c r="AE991" s="551"/>
      <c r="AF991" s="551"/>
      <c r="AG991" s="551"/>
      <c r="AH991" s="551"/>
      <c r="AI991" s="551"/>
      <c r="AJ991" s="551"/>
      <c r="AK991" s="551"/>
      <c r="AL991" s="551"/>
      <c r="AM991" s="551"/>
      <c r="AN991" s="551"/>
      <c r="AO991" s="551"/>
      <c r="AP991" s="551"/>
      <c r="AQ991" s="551"/>
      <c r="AR991" s="551"/>
      <c r="AS991" s="551"/>
      <c r="AT991" s="551"/>
      <c r="AU991" s="551"/>
      <c r="AV991" s="551"/>
      <c r="AW991" s="551"/>
      <c r="AX991" s="551"/>
      <c r="AY991" s="551"/>
      <c r="AZ991" s="551"/>
      <c r="BA991" s="551"/>
      <c r="BB991" s="551"/>
      <c r="BC991" s="551"/>
      <c r="BD991" s="551"/>
      <c r="BE991" s="551"/>
      <c r="BF991" s="551"/>
      <c r="BG991" s="551"/>
      <c r="BH991" s="551"/>
      <c r="BI991" s="551"/>
      <c r="BJ991" s="551"/>
      <c r="BK991" s="551"/>
    </row>
    <row r="992" spans="1:63" ht="12.75" customHeight="1">
      <c r="A992" s="551"/>
      <c r="B992" s="551"/>
      <c r="C992" s="551"/>
      <c r="D992" s="551"/>
      <c r="E992" s="551"/>
      <c r="F992" s="551"/>
      <c r="G992" s="551"/>
      <c r="H992" s="551"/>
      <c r="I992" s="551"/>
      <c r="J992" s="551"/>
      <c r="K992" s="551"/>
      <c r="L992" s="551"/>
      <c r="M992" s="551"/>
      <c r="N992" s="551"/>
      <c r="O992" s="551"/>
      <c r="P992" s="551"/>
      <c r="Q992" s="551"/>
      <c r="R992" s="551"/>
      <c r="S992" s="551"/>
      <c r="T992" s="551"/>
      <c r="U992" s="551"/>
      <c r="V992" s="551"/>
      <c r="W992" s="551"/>
      <c r="X992" s="551"/>
      <c r="Y992" s="551"/>
      <c r="Z992" s="551"/>
      <c r="AA992" s="551"/>
      <c r="AB992" s="551"/>
      <c r="AC992" s="551"/>
      <c r="AD992" s="551"/>
      <c r="AE992" s="551"/>
      <c r="AF992" s="551"/>
      <c r="AG992" s="551"/>
      <c r="AH992" s="551"/>
      <c r="AI992" s="551"/>
      <c r="AJ992" s="551"/>
      <c r="AK992" s="551"/>
      <c r="AL992" s="551"/>
      <c r="AM992" s="551"/>
      <c r="AN992" s="551"/>
      <c r="AO992" s="551"/>
      <c r="AP992" s="551"/>
      <c r="AQ992" s="551"/>
      <c r="AR992" s="551"/>
      <c r="AS992" s="551"/>
      <c r="AT992" s="551"/>
      <c r="AU992" s="551"/>
      <c r="AV992" s="551"/>
      <c r="AW992" s="551"/>
      <c r="AX992" s="551"/>
      <c r="AY992" s="551"/>
      <c r="AZ992" s="551"/>
      <c r="BA992" s="551"/>
      <c r="BB992" s="551"/>
      <c r="BC992" s="551"/>
      <c r="BD992" s="551"/>
      <c r="BE992" s="551"/>
      <c r="BF992" s="551"/>
      <c r="BG992" s="551"/>
      <c r="BH992" s="551"/>
      <c r="BI992" s="551"/>
      <c r="BJ992" s="551"/>
      <c r="BK992" s="551"/>
    </row>
    <row r="993" spans="1:63" ht="12.75" customHeight="1">
      <c r="A993" s="551"/>
      <c r="B993" s="551"/>
      <c r="C993" s="551"/>
      <c r="D993" s="551"/>
      <c r="E993" s="551"/>
      <c r="F993" s="551"/>
      <c r="G993" s="551"/>
      <c r="H993" s="551"/>
      <c r="I993" s="551"/>
      <c r="J993" s="551"/>
      <c r="K993" s="551"/>
      <c r="L993" s="551"/>
      <c r="M993" s="551"/>
      <c r="N993" s="551"/>
      <c r="O993" s="551"/>
      <c r="P993" s="551"/>
      <c r="Q993" s="551"/>
      <c r="R993" s="551"/>
      <c r="S993" s="551"/>
      <c r="T993" s="551"/>
      <c r="U993" s="551"/>
      <c r="V993" s="551"/>
      <c r="W993" s="551"/>
      <c r="X993" s="551"/>
      <c r="Y993" s="551"/>
      <c r="Z993" s="551"/>
      <c r="AA993" s="551"/>
      <c r="AB993" s="551"/>
      <c r="AC993" s="551"/>
      <c r="AD993" s="551"/>
      <c r="AE993" s="551"/>
      <c r="AF993" s="551"/>
      <c r="AG993" s="551"/>
      <c r="AH993" s="551"/>
      <c r="AI993" s="551"/>
      <c r="AJ993" s="551"/>
      <c r="AK993" s="551"/>
      <c r="AL993" s="551"/>
      <c r="AM993" s="551"/>
      <c r="AN993" s="551"/>
      <c r="AO993" s="551"/>
      <c r="AP993" s="551"/>
      <c r="AQ993" s="551"/>
      <c r="AR993" s="551"/>
      <c r="AS993" s="551"/>
      <c r="AT993" s="551"/>
      <c r="AU993" s="551"/>
      <c r="AV993" s="551"/>
      <c r="AW993" s="551"/>
      <c r="AX993" s="551"/>
      <c r="AY993" s="551"/>
      <c r="AZ993" s="551"/>
      <c r="BA993" s="551"/>
      <c r="BB993" s="551"/>
      <c r="BC993" s="551"/>
      <c r="BD993" s="551"/>
      <c r="BE993" s="551"/>
      <c r="BF993" s="551"/>
      <c r="BG993" s="551"/>
      <c r="BH993" s="551"/>
      <c r="BI993" s="551"/>
      <c r="BJ993" s="551"/>
      <c r="BK993" s="551"/>
    </row>
    <row r="994" spans="1:63" ht="12.75" customHeight="1">
      <c r="A994" s="551"/>
      <c r="B994" s="551"/>
      <c r="C994" s="551"/>
      <c r="D994" s="551"/>
      <c r="E994" s="551"/>
      <c r="F994" s="551"/>
      <c r="G994" s="551"/>
      <c r="H994" s="551"/>
      <c r="I994" s="551"/>
      <c r="J994" s="551"/>
      <c r="K994" s="551"/>
      <c r="L994" s="551"/>
      <c r="M994" s="551"/>
      <c r="N994" s="551"/>
      <c r="O994" s="551"/>
      <c r="P994" s="551"/>
      <c r="Q994" s="551"/>
      <c r="R994" s="551"/>
      <c r="S994" s="551"/>
      <c r="T994" s="551"/>
      <c r="U994" s="551"/>
      <c r="V994" s="551"/>
      <c r="W994" s="551"/>
      <c r="X994" s="551"/>
      <c r="Y994" s="551"/>
      <c r="Z994" s="551"/>
      <c r="AA994" s="551"/>
      <c r="AB994" s="551"/>
      <c r="AC994" s="551"/>
      <c r="AD994" s="551"/>
      <c r="AE994" s="551"/>
      <c r="AF994" s="551"/>
      <c r="AG994" s="551"/>
      <c r="AH994" s="551"/>
      <c r="AI994" s="551"/>
      <c r="AJ994" s="551"/>
      <c r="AK994" s="551"/>
      <c r="AL994" s="551"/>
      <c r="AM994" s="551"/>
      <c r="AN994" s="551"/>
      <c r="AO994" s="551"/>
      <c r="AP994" s="551"/>
      <c r="AQ994" s="551"/>
      <c r="AR994" s="551"/>
      <c r="AS994" s="551"/>
      <c r="AT994" s="551"/>
      <c r="AU994" s="551"/>
      <c r="AV994" s="551"/>
      <c r="AW994" s="551"/>
      <c r="AX994" s="551"/>
      <c r="AY994" s="551"/>
      <c r="AZ994" s="551"/>
      <c r="BA994" s="551"/>
      <c r="BB994" s="551"/>
      <c r="BC994" s="551"/>
      <c r="BD994" s="551"/>
      <c r="BE994" s="551"/>
      <c r="BF994" s="551"/>
      <c r="BG994" s="551"/>
      <c r="BH994" s="551"/>
      <c r="BI994" s="551"/>
      <c r="BJ994" s="551"/>
      <c r="BK994" s="551"/>
    </row>
    <row r="995" spans="1:63" ht="12.75" customHeight="1">
      <c r="A995" s="551"/>
      <c r="B995" s="551"/>
      <c r="C995" s="551"/>
      <c r="D995" s="551"/>
      <c r="E995" s="551"/>
      <c r="F995" s="551"/>
      <c r="G995" s="551"/>
      <c r="H995" s="551"/>
      <c r="I995" s="551"/>
      <c r="J995" s="551"/>
      <c r="K995" s="551"/>
      <c r="L995" s="551"/>
      <c r="M995" s="551"/>
      <c r="N995" s="551"/>
      <c r="O995" s="551"/>
      <c r="P995" s="551"/>
      <c r="Q995" s="551"/>
      <c r="R995" s="551"/>
      <c r="S995" s="551"/>
      <c r="T995" s="551"/>
      <c r="U995" s="551"/>
      <c r="V995" s="551"/>
      <c r="W995" s="551"/>
      <c r="X995" s="551"/>
      <c r="Y995" s="551"/>
      <c r="Z995" s="551"/>
      <c r="AA995" s="551"/>
      <c r="AB995" s="551"/>
      <c r="AC995" s="551"/>
      <c r="AD995" s="551"/>
      <c r="AE995" s="551"/>
      <c r="AF995" s="551"/>
      <c r="AG995" s="551"/>
      <c r="AH995" s="551"/>
      <c r="AI995" s="551"/>
      <c r="AJ995" s="551"/>
      <c r="AK995" s="551"/>
      <c r="AL995" s="551"/>
      <c r="AM995" s="551"/>
      <c r="AN995" s="551"/>
      <c r="AO995" s="551"/>
      <c r="AP995" s="551"/>
      <c r="AQ995" s="551"/>
      <c r="AR995" s="551"/>
      <c r="AS995" s="551"/>
      <c r="AT995" s="551"/>
      <c r="AU995" s="551"/>
      <c r="AV995" s="551"/>
      <c r="AW995" s="551"/>
      <c r="AX995" s="551"/>
      <c r="AY995" s="551"/>
      <c r="AZ995" s="551"/>
      <c r="BA995" s="551"/>
      <c r="BB995" s="551"/>
      <c r="BC995" s="551"/>
      <c r="BD995" s="551"/>
      <c r="BE995" s="551"/>
      <c r="BF995" s="551"/>
      <c r="BG995" s="551"/>
      <c r="BH995" s="551"/>
      <c r="BI995" s="551"/>
      <c r="BJ995" s="551"/>
      <c r="BK995" s="551"/>
    </row>
    <row r="996" spans="1:63" ht="12.75" customHeight="1">
      <c r="A996" s="551"/>
      <c r="B996" s="551"/>
      <c r="C996" s="551"/>
      <c r="D996" s="551"/>
      <c r="E996" s="551"/>
      <c r="F996" s="551"/>
      <c r="G996" s="551"/>
      <c r="H996" s="551"/>
      <c r="I996" s="551"/>
      <c r="J996" s="551"/>
      <c r="K996" s="551"/>
      <c r="L996" s="551"/>
      <c r="M996" s="551"/>
      <c r="N996" s="551"/>
      <c r="O996" s="551"/>
      <c r="P996" s="551"/>
      <c r="Q996" s="551"/>
      <c r="R996" s="551"/>
      <c r="S996" s="551"/>
      <c r="T996" s="551"/>
      <c r="U996" s="551"/>
      <c r="V996" s="551"/>
      <c r="W996" s="551"/>
      <c r="X996" s="551"/>
      <c r="Y996" s="551"/>
      <c r="Z996" s="551"/>
      <c r="AA996" s="551"/>
      <c r="AB996" s="551"/>
      <c r="AC996" s="551"/>
      <c r="AD996" s="551"/>
      <c r="AE996" s="551"/>
      <c r="AF996" s="551"/>
      <c r="AG996" s="551"/>
      <c r="AH996" s="551"/>
      <c r="AI996" s="551"/>
      <c r="AJ996" s="551"/>
      <c r="AK996" s="551"/>
      <c r="AL996" s="551"/>
      <c r="AM996" s="551"/>
      <c r="AN996" s="551"/>
      <c r="AO996" s="551"/>
      <c r="AP996" s="551"/>
      <c r="AQ996" s="551"/>
      <c r="AR996" s="551"/>
      <c r="AS996" s="551"/>
      <c r="AT996" s="551"/>
      <c r="AU996" s="551"/>
      <c r="AV996" s="551"/>
      <c r="AW996" s="551"/>
      <c r="AX996" s="551"/>
      <c r="AY996" s="551"/>
      <c r="AZ996" s="551"/>
      <c r="BA996" s="551"/>
      <c r="BB996" s="551"/>
      <c r="BC996" s="551"/>
      <c r="BD996" s="551"/>
      <c r="BE996" s="551"/>
      <c r="BF996" s="551"/>
      <c r="BG996" s="551"/>
      <c r="BH996" s="551"/>
      <c r="BI996" s="551"/>
      <c r="BJ996" s="551"/>
      <c r="BK996" s="551"/>
    </row>
    <row r="997" spans="1:63" ht="12.75" customHeight="1">
      <c r="A997" s="551"/>
      <c r="B997" s="551"/>
      <c r="C997" s="551"/>
      <c r="D997" s="551"/>
      <c r="E997" s="551"/>
      <c r="F997" s="551"/>
      <c r="G997" s="551"/>
      <c r="H997" s="551"/>
      <c r="I997" s="551"/>
      <c r="J997" s="551"/>
      <c r="K997" s="551"/>
      <c r="L997" s="551"/>
      <c r="M997" s="551"/>
      <c r="N997" s="551"/>
      <c r="O997" s="551"/>
      <c r="P997" s="551"/>
      <c r="Q997" s="551"/>
      <c r="R997" s="551"/>
      <c r="S997" s="551"/>
      <c r="T997" s="551"/>
      <c r="U997" s="551"/>
      <c r="V997" s="551"/>
      <c r="W997" s="551"/>
      <c r="X997" s="551"/>
      <c r="Y997" s="551"/>
      <c r="Z997" s="551"/>
      <c r="AA997" s="551"/>
      <c r="AB997" s="551"/>
      <c r="AC997" s="551"/>
      <c r="AD997" s="551"/>
      <c r="AE997" s="551"/>
      <c r="AF997" s="551"/>
      <c r="AG997" s="551"/>
      <c r="AH997" s="551"/>
      <c r="AI997" s="551"/>
      <c r="AJ997" s="551"/>
      <c r="AK997" s="551"/>
      <c r="AL997" s="551"/>
      <c r="AM997" s="551"/>
      <c r="AN997" s="551"/>
      <c r="AO997" s="551"/>
      <c r="AP997" s="551"/>
      <c r="AQ997" s="551"/>
      <c r="AR997" s="551"/>
      <c r="AS997" s="551"/>
      <c r="AT997" s="551"/>
      <c r="AU997" s="551"/>
      <c r="AV997" s="551"/>
      <c r="AW997" s="551"/>
      <c r="AX997" s="551"/>
      <c r="AY997" s="551"/>
      <c r="AZ997" s="551"/>
      <c r="BA997" s="551"/>
      <c r="BB997" s="551"/>
      <c r="BC997" s="551"/>
      <c r="BD997" s="551"/>
      <c r="BE997" s="551"/>
      <c r="BF997" s="551"/>
      <c r="BG997" s="551"/>
      <c r="BH997" s="551"/>
      <c r="BI997" s="551"/>
      <c r="BJ997" s="551"/>
      <c r="BK997" s="551"/>
    </row>
    <row r="998" spans="1:63" ht="12.75" customHeight="1">
      <c r="A998" s="551"/>
      <c r="B998" s="551"/>
      <c r="C998" s="551"/>
      <c r="D998" s="551"/>
      <c r="E998" s="551"/>
      <c r="F998" s="551"/>
      <c r="G998" s="551"/>
      <c r="H998" s="551"/>
      <c r="I998" s="551"/>
      <c r="J998" s="551"/>
      <c r="K998" s="551"/>
      <c r="L998" s="551"/>
      <c r="M998" s="551"/>
      <c r="N998" s="551"/>
      <c r="O998" s="551"/>
      <c r="P998" s="551"/>
      <c r="Q998" s="551"/>
      <c r="R998" s="551"/>
      <c r="S998" s="551"/>
      <c r="T998" s="551"/>
      <c r="U998" s="551"/>
      <c r="V998" s="551"/>
      <c r="W998" s="551"/>
      <c r="X998" s="551"/>
      <c r="Y998" s="551"/>
      <c r="Z998" s="551"/>
      <c r="AA998" s="551"/>
      <c r="AB998" s="551"/>
      <c r="AC998" s="551"/>
      <c r="AD998" s="551"/>
      <c r="AE998" s="551"/>
      <c r="AF998" s="551"/>
      <c r="AG998" s="551"/>
      <c r="AH998" s="551"/>
      <c r="AI998" s="551"/>
      <c r="AJ998" s="551"/>
      <c r="AK998" s="551"/>
      <c r="AL998" s="551"/>
      <c r="AM998" s="551"/>
      <c r="AN998" s="551"/>
      <c r="AO998" s="551"/>
      <c r="AP998" s="551"/>
      <c r="AQ998" s="551"/>
      <c r="AR998" s="551"/>
      <c r="AS998" s="551"/>
      <c r="AT998" s="551"/>
      <c r="AU998" s="551"/>
      <c r="AV998" s="551"/>
      <c r="AW998" s="551"/>
      <c r="AX998" s="551"/>
      <c r="AY998" s="551"/>
      <c r="AZ998" s="551"/>
      <c r="BA998" s="551"/>
      <c r="BB998" s="551"/>
      <c r="BC998" s="551"/>
      <c r="BD998" s="551"/>
      <c r="BE998" s="551"/>
      <c r="BF998" s="551"/>
      <c r="BG998" s="551"/>
      <c r="BH998" s="551"/>
      <c r="BI998" s="551"/>
      <c r="BJ998" s="551"/>
      <c r="BK998" s="551"/>
    </row>
    <row r="999" spans="1:63" ht="12.75" customHeight="1">
      <c r="A999" s="551"/>
      <c r="B999" s="551"/>
      <c r="C999" s="551"/>
      <c r="D999" s="551"/>
      <c r="E999" s="551"/>
      <c r="F999" s="551"/>
      <c r="G999" s="551"/>
      <c r="H999" s="551"/>
      <c r="I999" s="551"/>
      <c r="J999" s="551"/>
      <c r="K999" s="551"/>
      <c r="L999" s="551"/>
      <c r="M999" s="551"/>
      <c r="N999" s="551"/>
      <c r="O999" s="551"/>
      <c r="P999" s="551"/>
      <c r="Q999" s="551"/>
      <c r="R999" s="551"/>
      <c r="S999" s="551"/>
      <c r="T999" s="551"/>
      <c r="U999" s="551"/>
      <c r="V999" s="551"/>
      <c r="W999" s="551"/>
      <c r="X999" s="551"/>
      <c r="Y999" s="551"/>
      <c r="Z999" s="551"/>
      <c r="AA999" s="551"/>
      <c r="AB999" s="551"/>
      <c r="AC999" s="551"/>
      <c r="AD999" s="551"/>
      <c r="AE999" s="551"/>
      <c r="AF999" s="551"/>
      <c r="AG999" s="551"/>
      <c r="AH999" s="551"/>
      <c r="AI999" s="551"/>
      <c r="AJ999" s="551"/>
      <c r="AK999" s="551"/>
      <c r="AL999" s="551"/>
      <c r="AM999" s="551"/>
      <c r="AN999" s="551"/>
      <c r="AO999" s="551"/>
      <c r="AP999" s="551"/>
      <c r="AQ999" s="551"/>
      <c r="AR999" s="551"/>
      <c r="AS999" s="551"/>
      <c r="AT999" s="551"/>
      <c r="AU999" s="551"/>
      <c r="AV999" s="551"/>
      <c r="AW999" s="551"/>
      <c r="AX999" s="551"/>
      <c r="AY999" s="551"/>
      <c r="AZ999" s="551"/>
      <c r="BA999" s="551"/>
      <c r="BB999" s="551"/>
      <c r="BC999" s="551"/>
      <c r="BD999" s="551"/>
      <c r="BE999" s="551"/>
      <c r="BF999" s="551"/>
      <c r="BG999" s="551"/>
      <c r="BH999" s="551"/>
      <c r="BI999" s="551"/>
      <c r="BJ999" s="551"/>
      <c r="BK999" s="551"/>
    </row>
    <row r="1000" spans="1:63" ht="12.75" customHeight="1">
      <c r="A1000" s="551"/>
      <c r="B1000" s="551"/>
      <c r="C1000" s="551"/>
      <c r="D1000" s="551"/>
      <c r="E1000" s="551"/>
      <c r="F1000" s="551"/>
      <c r="G1000" s="551"/>
      <c r="H1000" s="551"/>
      <c r="I1000" s="551"/>
      <c r="J1000" s="551"/>
      <c r="K1000" s="551"/>
      <c r="L1000" s="551"/>
      <c r="M1000" s="551"/>
      <c r="N1000" s="551"/>
      <c r="O1000" s="551"/>
      <c r="P1000" s="551"/>
      <c r="Q1000" s="551"/>
      <c r="R1000" s="551"/>
      <c r="S1000" s="551"/>
      <c r="T1000" s="551"/>
      <c r="U1000" s="551"/>
      <c r="V1000" s="551"/>
      <c r="W1000" s="551"/>
      <c r="X1000" s="551"/>
      <c r="Y1000" s="551"/>
      <c r="Z1000" s="551"/>
      <c r="AA1000" s="551"/>
      <c r="AB1000" s="551"/>
      <c r="AC1000" s="551"/>
      <c r="AD1000" s="551"/>
      <c r="AE1000" s="551"/>
      <c r="AF1000" s="551"/>
      <c r="AG1000" s="551"/>
      <c r="AH1000" s="551"/>
      <c r="AI1000" s="551"/>
      <c r="AJ1000" s="551"/>
      <c r="AK1000" s="551"/>
      <c r="AL1000" s="551"/>
      <c r="AM1000" s="551"/>
      <c r="AN1000" s="551"/>
      <c r="AO1000" s="551"/>
      <c r="AP1000" s="551"/>
      <c r="AQ1000" s="551"/>
      <c r="AR1000" s="551"/>
      <c r="AS1000" s="551"/>
      <c r="AT1000" s="551"/>
      <c r="AU1000" s="551"/>
      <c r="AV1000" s="551"/>
      <c r="AW1000" s="551"/>
      <c r="AX1000" s="551"/>
      <c r="AY1000" s="551"/>
      <c r="AZ1000" s="551"/>
      <c r="BA1000" s="551"/>
      <c r="BB1000" s="551"/>
      <c r="BC1000" s="551"/>
      <c r="BD1000" s="551"/>
      <c r="BE1000" s="551"/>
      <c r="BF1000" s="551"/>
      <c r="BG1000" s="551"/>
      <c r="BH1000" s="551"/>
      <c r="BI1000" s="551"/>
      <c r="BJ1000" s="551"/>
      <c r="BK1000" s="551"/>
    </row>
    <row r="1001" spans="1:63" ht="12.75" customHeight="1">
      <c r="A1001" s="551"/>
      <c r="B1001" s="551"/>
      <c r="C1001" s="551"/>
      <c r="D1001" s="551"/>
      <c r="E1001" s="551"/>
      <c r="F1001" s="551"/>
      <c r="G1001" s="551"/>
      <c r="H1001" s="551"/>
      <c r="I1001" s="551"/>
      <c r="J1001" s="551"/>
      <c r="K1001" s="551"/>
      <c r="L1001" s="551"/>
      <c r="M1001" s="551"/>
      <c r="N1001" s="551"/>
      <c r="O1001" s="551"/>
      <c r="P1001" s="551"/>
      <c r="Q1001" s="551"/>
      <c r="R1001" s="551"/>
      <c r="S1001" s="551"/>
      <c r="T1001" s="551"/>
      <c r="U1001" s="551"/>
      <c r="V1001" s="551"/>
      <c r="W1001" s="551"/>
      <c r="X1001" s="551"/>
      <c r="Y1001" s="551"/>
      <c r="Z1001" s="551"/>
      <c r="AA1001" s="551"/>
      <c r="AB1001" s="551"/>
      <c r="AC1001" s="551"/>
      <c r="AD1001" s="551"/>
      <c r="AE1001" s="551"/>
      <c r="AF1001" s="551"/>
      <c r="AG1001" s="551"/>
      <c r="AH1001" s="551"/>
      <c r="AI1001" s="551"/>
      <c r="AJ1001" s="551"/>
      <c r="AK1001" s="551"/>
      <c r="AL1001" s="551"/>
      <c r="AM1001" s="551"/>
      <c r="AN1001" s="551"/>
      <c r="AO1001" s="551"/>
      <c r="AP1001" s="551"/>
      <c r="AQ1001" s="551"/>
      <c r="AR1001" s="551"/>
      <c r="AS1001" s="551"/>
      <c r="AT1001" s="551"/>
      <c r="AU1001" s="551"/>
      <c r="AV1001" s="551"/>
      <c r="AW1001" s="551"/>
      <c r="AX1001" s="551"/>
      <c r="AY1001" s="551"/>
      <c r="AZ1001" s="551"/>
      <c r="BA1001" s="551"/>
      <c r="BB1001" s="551"/>
      <c r="BC1001" s="551"/>
      <c r="BD1001" s="551"/>
      <c r="BE1001" s="551"/>
      <c r="BF1001" s="551"/>
      <c r="BG1001" s="551"/>
      <c r="BH1001" s="551"/>
      <c r="BI1001" s="551"/>
      <c r="BJ1001" s="551"/>
      <c r="BK1001" s="551"/>
    </row>
    <row r="1002" spans="1:63" ht="12.75" customHeight="1">
      <c r="A1002" s="551"/>
      <c r="B1002" s="551"/>
      <c r="C1002" s="551"/>
      <c r="D1002" s="551"/>
      <c r="E1002" s="551"/>
      <c r="F1002" s="551"/>
      <c r="G1002" s="551"/>
      <c r="H1002" s="551"/>
      <c r="I1002" s="551"/>
      <c r="J1002" s="551"/>
      <c r="K1002" s="551"/>
      <c r="L1002" s="551"/>
      <c r="M1002" s="551"/>
      <c r="N1002" s="551"/>
      <c r="O1002" s="551"/>
      <c r="P1002" s="551"/>
      <c r="Q1002" s="551"/>
      <c r="R1002" s="551"/>
      <c r="S1002" s="551"/>
      <c r="T1002" s="551"/>
      <c r="U1002" s="551"/>
      <c r="V1002" s="551"/>
      <c r="W1002" s="551"/>
      <c r="X1002" s="551"/>
      <c r="Y1002" s="551"/>
      <c r="Z1002" s="551"/>
      <c r="AA1002" s="551"/>
      <c r="AB1002" s="551"/>
      <c r="AC1002" s="551"/>
      <c r="AD1002" s="551"/>
      <c r="AE1002" s="551"/>
      <c r="AF1002" s="551"/>
      <c r="AG1002" s="551"/>
      <c r="AH1002" s="551"/>
      <c r="AI1002" s="551"/>
      <c r="AJ1002" s="551"/>
      <c r="AK1002" s="551"/>
      <c r="AL1002" s="551"/>
      <c r="AM1002" s="551"/>
      <c r="AN1002" s="551"/>
      <c r="AO1002" s="551"/>
      <c r="AP1002" s="551"/>
      <c r="AQ1002" s="551"/>
      <c r="AR1002" s="551"/>
      <c r="AS1002" s="551"/>
      <c r="AT1002" s="551"/>
      <c r="AU1002" s="551"/>
      <c r="AV1002" s="551"/>
      <c r="AW1002" s="551"/>
      <c r="AX1002" s="551"/>
      <c r="AY1002" s="551"/>
      <c r="AZ1002" s="551"/>
      <c r="BA1002" s="551"/>
      <c r="BB1002" s="551"/>
      <c r="BC1002" s="551"/>
      <c r="BD1002" s="551"/>
      <c r="BE1002" s="551"/>
      <c r="BF1002" s="551"/>
      <c r="BG1002" s="551"/>
      <c r="BH1002" s="551"/>
      <c r="BI1002" s="551"/>
      <c r="BJ1002" s="551"/>
      <c r="BK1002" s="551"/>
    </row>
    <row r="1003" spans="1:63" ht="12.75" customHeight="1">
      <c r="A1003" s="551"/>
      <c r="B1003" s="551"/>
      <c r="C1003" s="551"/>
      <c r="D1003" s="551"/>
      <c r="E1003" s="551"/>
      <c r="F1003" s="551"/>
      <c r="G1003" s="551"/>
      <c r="H1003" s="551"/>
      <c r="I1003" s="551"/>
      <c r="J1003" s="551"/>
      <c r="K1003" s="551"/>
      <c r="L1003" s="551"/>
      <c r="M1003" s="551"/>
      <c r="N1003" s="551"/>
      <c r="O1003" s="551"/>
      <c r="P1003" s="551"/>
      <c r="Q1003" s="551"/>
      <c r="R1003" s="551"/>
      <c r="S1003" s="551"/>
      <c r="T1003" s="551"/>
      <c r="U1003" s="551"/>
      <c r="V1003" s="551"/>
      <c r="W1003" s="551"/>
      <c r="X1003" s="551"/>
      <c r="Y1003" s="551"/>
      <c r="Z1003" s="551"/>
      <c r="AA1003" s="551"/>
      <c r="AB1003" s="551"/>
      <c r="AC1003" s="551"/>
      <c r="AD1003" s="551"/>
      <c r="AE1003" s="551"/>
      <c r="AF1003" s="551"/>
      <c r="AG1003" s="551"/>
      <c r="AH1003" s="551"/>
      <c r="AI1003" s="551"/>
      <c r="AJ1003" s="551"/>
      <c r="AK1003" s="551"/>
      <c r="AL1003" s="551"/>
      <c r="AM1003" s="551"/>
      <c r="AN1003" s="551"/>
      <c r="AO1003" s="551"/>
      <c r="AP1003" s="551"/>
      <c r="AQ1003" s="551"/>
      <c r="AR1003" s="551"/>
      <c r="AS1003" s="551"/>
      <c r="AT1003" s="551"/>
      <c r="AU1003" s="551"/>
      <c r="AV1003" s="551"/>
      <c r="AW1003" s="551"/>
      <c r="AX1003" s="551"/>
      <c r="AY1003" s="551"/>
      <c r="AZ1003" s="551"/>
      <c r="BA1003" s="551"/>
      <c r="BB1003" s="551"/>
      <c r="BC1003" s="551"/>
      <c r="BD1003" s="551"/>
      <c r="BE1003" s="551"/>
      <c r="BF1003" s="551"/>
      <c r="BG1003" s="551"/>
      <c r="BH1003" s="551"/>
      <c r="BI1003" s="551"/>
      <c r="BJ1003" s="551"/>
      <c r="BK1003" s="551"/>
    </row>
    <row r="1004" spans="1:63" ht="12.75" customHeight="1">
      <c r="A1004" s="551"/>
      <c r="B1004" s="551"/>
      <c r="C1004" s="551"/>
      <c r="D1004" s="551"/>
      <c r="E1004" s="551"/>
      <c r="F1004" s="551"/>
      <c r="G1004" s="551"/>
      <c r="H1004" s="551"/>
      <c r="I1004" s="551"/>
      <c r="J1004" s="551"/>
      <c r="K1004" s="551"/>
      <c r="L1004" s="551"/>
      <c r="M1004" s="551"/>
      <c r="N1004" s="551"/>
      <c r="O1004" s="551"/>
      <c r="P1004" s="551"/>
      <c r="Q1004" s="551"/>
      <c r="R1004" s="551"/>
      <c r="S1004" s="551"/>
      <c r="T1004" s="551"/>
      <c r="U1004" s="551"/>
      <c r="V1004" s="551"/>
      <c r="W1004" s="551"/>
      <c r="X1004" s="551"/>
      <c r="Y1004" s="551"/>
      <c r="Z1004" s="551"/>
      <c r="AA1004" s="551"/>
      <c r="AB1004" s="551"/>
      <c r="AC1004" s="551"/>
      <c r="AD1004" s="551"/>
      <c r="AE1004" s="551"/>
      <c r="AF1004" s="551"/>
      <c r="AG1004" s="551"/>
      <c r="AH1004" s="551"/>
      <c r="AI1004" s="551"/>
      <c r="AJ1004" s="551"/>
      <c r="AK1004" s="551"/>
      <c r="AL1004" s="551"/>
      <c r="AM1004" s="551"/>
      <c r="AN1004" s="551"/>
      <c r="AO1004" s="551"/>
      <c r="AP1004" s="551"/>
      <c r="AQ1004" s="551"/>
      <c r="AR1004" s="551"/>
      <c r="AS1004" s="551"/>
      <c r="AT1004" s="551"/>
      <c r="AU1004" s="551"/>
      <c r="AV1004" s="551"/>
      <c r="AW1004" s="551"/>
      <c r="AX1004" s="551"/>
      <c r="AY1004" s="551"/>
      <c r="AZ1004" s="551"/>
      <c r="BA1004" s="551"/>
      <c r="BB1004" s="551"/>
      <c r="BC1004" s="551"/>
      <c r="BD1004" s="551"/>
      <c r="BE1004" s="551"/>
      <c r="BF1004" s="551"/>
      <c r="BG1004" s="551"/>
      <c r="BH1004" s="551"/>
      <c r="BI1004" s="551"/>
      <c r="BJ1004" s="551"/>
      <c r="BK1004" s="551"/>
    </row>
    <row r="1005" spans="1:63" ht="12.75" customHeight="1">
      <c r="A1005" s="551"/>
      <c r="B1005" s="551"/>
      <c r="C1005" s="551"/>
      <c r="D1005" s="551"/>
      <c r="E1005" s="551"/>
      <c r="F1005" s="551"/>
      <c r="G1005" s="551"/>
      <c r="H1005" s="551"/>
      <c r="I1005" s="551"/>
      <c r="J1005" s="551"/>
      <c r="K1005" s="551"/>
      <c r="L1005" s="551"/>
      <c r="M1005" s="551"/>
      <c r="N1005" s="551"/>
      <c r="O1005" s="551"/>
      <c r="P1005" s="551"/>
      <c r="Q1005" s="551"/>
      <c r="R1005" s="551"/>
      <c r="S1005" s="551"/>
      <c r="T1005" s="551"/>
      <c r="U1005" s="551"/>
      <c r="V1005" s="551"/>
      <c r="W1005" s="551"/>
      <c r="X1005" s="551"/>
      <c r="Y1005" s="551"/>
      <c r="Z1005" s="551"/>
      <c r="AA1005" s="551"/>
      <c r="AB1005" s="551"/>
      <c r="AC1005" s="551"/>
      <c r="AD1005" s="551"/>
      <c r="AE1005" s="551"/>
      <c r="AF1005" s="551"/>
      <c r="AG1005" s="551"/>
      <c r="AH1005" s="551"/>
      <c r="AI1005" s="551"/>
      <c r="AJ1005" s="551"/>
      <c r="AK1005" s="551"/>
      <c r="AL1005" s="551"/>
      <c r="AM1005" s="551"/>
      <c r="AN1005" s="551"/>
      <c r="AO1005" s="551"/>
      <c r="AP1005" s="551"/>
      <c r="AQ1005" s="551"/>
      <c r="AR1005" s="551"/>
      <c r="AS1005" s="551"/>
      <c r="AT1005" s="551"/>
      <c r="AU1005" s="551"/>
      <c r="AV1005" s="551"/>
      <c r="AW1005" s="551"/>
      <c r="AX1005" s="551"/>
      <c r="AY1005" s="551"/>
      <c r="AZ1005" s="551"/>
      <c r="BA1005" s="551"/>
      <c r="BB1005" s="551"/>
      <c r="BC1005" s="551"/>
      <c r="BD1005" s="551"/>
      <c r="BE1005" s="551"/>
      <c r="BF1005" s="551"/>
      <c r="BG1005" s="551"/>
      <c r="BH1005" s="551"/>
      <c r="BI1005" s="551"/>
      <c r="BJ1005" s="551"/>
      <c r="BK1005" s="551"/>
    </row>
    <row r="1006" spans="1:63" ht="12.75" customHeight="1">
      <c r="A1006" s="551"/>
      <c r="B1006" s="551"/>
      <c r="C1006" s="551"/>
      <c r="D1006" s="551"/>
      <c r="E1006" s="551"/>
      <c r="F1006" s="551"/>
      <c r="G1006" s="551"/>
      <c r="H1006" s="551"/>
      <c r="I1006" s="551"/>
      <c r="J1006" s="551"/>
      <c r="K1006" s="551"/>
      <c r="L1006" s="551"/>
      <c r="M1006" s="551"/>
      <c r="N1006" s="551"/>
      <c r="O1006" s="551"/>
      <c r="P1006" s="551"/>
      <c r="Q1006" s="551"/>
      <c r="R1006" s="551"/>
      <c r="S1006" s="551"/>
      <c r="T1006" s="551"/>
      <c r="U1006" s="551"/>
      <c r="V1006" s="551"/>
      <c r="W1006" s="551"/>
      <c r="X1006" s="551"/>
      <c r="Y1006" s="551"/>
      <c r="Z1006" s="551"/>
      <c r="AA1006" s="551"/>
      <c r="AB1006" s="551"/>
      <c r="AC1006" s="551"/>
      <c r="AD1006" s="551"/>
      <c r="AE1006" s="551"/>
      <c r="AF1006" s="551"/>
      <c r="AG1006" s="551"/>
      <c r="AH1006" s="551"/>
      <c r="AI1006" s="551"/>
      <c r="AJ1006" s="551"/>
      <c r="AK1006" s="551"/>
      <c r="AL1006" s="551"/>
      <c r="AM1006" s="551"/>
      <c r="AN1006" s="551"/>
      <c r="AO1006" s="551"/>
      <c r="AP1006" s="551"/>
      <c r="AQ1006" s="551"/>
      <c r="AR1006" s="551"/>
      <c r="AS1006" s="551"/>
      <c r="AT1006" s="551"/>
      <c r="AU1006" s="551"/>
      <c r="AV1006" s="551"/>
      <c r="AW1006" s="551"/>
      <c r="AX1006" s="551"/>
      <c r="AY1006" s="551"/>
      <c r="AZ1006" s="551"/>
      <c r="BA1006" s="551"/>
      <c r="BB1006" s="551"/>
      <c r="BC1006" s="551"/>
      <c r="BD1006" s="551"/>
      <c r="BE1006" s="551"/>
      <c r="BF1006" s="551"/>
      <c r="BG1006" s="551"/>
      <c r="BH1006" s="551"/>
      <c r="BI1006" s="551"/>
      <c r="BJ1006" s="551"/>
      <c r="BK1006" s="551"/>
    </row>
    <row r="1007" spans="1:63" ht="12.75" customHeight="1">
      <c r="A1007" s="551"/>
      <c r="B1007" s="551"/>
      <c r="C1007" s="551"/>
      <c r="D1007" s="551"/>
      <c r="E1007" s="551"/>
      <c r="F1007" s="551"/>
      <c r="G1007" s="551"/>
      <c r="H1007" s="551"/>
      <c r="I1007" s="551"/>
      <c r="J1007" s="551"/>
      <c r="K1007" s="551"/>
      <c r="L1007" s="551"/>
      <c r="M1007" s="551"/>
      <c r="N1007" s="551"/>
      <c r="O1007" s="551"/>
      <c r="P1007" s="551"/>
      <c r="Q1007" s="551"/>
      <c r="R1007" s="551"/>
      <c r="S1007" s="551"/>
      <c r="T1007" s="551"/>
      <c r="U1007" s="551"/>
      <c r="V1007" s="551"/>
      <c r="W1007" s="551"/>
      <c r="X1007" s="551"/>
      <c r="Y1007" s="551"/>
      <c r="Z1007" s="551"/>
      <c r="AA1007" s="551"/>
      <c r="AB1007" s="551"/>
      <c r="AC1007" s="551"/>
      <c r="AD1007" s="551"/>
      <c r="AE1007" s="551"/>
      <c r="AF1007" s="551"/>
      <c r="AG1007" s="551"/>
      <c r="AH1007" s="551"/>
      <c r="AI1007" s="551"/>
      <c r="AJ1007" s="551"/>
      <c r="AK1007" s="551"/>
      <c r="AL1007" s="551"/>
      <c r="AM1007" s="551"/>
      <c r="AN1007" s="551"/>
      <c r="AO1007" s="551"/>
      <c r="AP1007" s="551"/>
      <c r="AQ1007" s="551"/>
      <c r="AR1007" s="551"/>
      <c r="AS1007" s="551"/>
      <c r="AT1007" s="551"/>
      <c r="AU1007" s="551"/>
      <c r="AV1007" s="551"/>
      <c r="AW1007" s="551"/>
      <c r="AX1007" s="551"/>
      <c r="AY1007" s="551"/>
      <c r="AZ1007" s="551"/>
      <c r="BA1007" s="551"/>
      <c r="BB1007" s="551"/>
      <c r="BC1007" s="551"/>
      <c r="BD1007" s="551"/>
      <c r="BE1007" s="551"/>
      <c r="BF1007" s="551"/>
      <c r="BG1007" s="551"/>
      <c r="BH1007" s="551"/>
      <c r="BI1007" s="551"/>
      <c r="BJ1007" s="551"/>
      <c r="BK1007" s="551"/>
    </row>
    <row r="1008" spans="1:63" ht="12.75" customHeight="1">
      <c r="A1008" s="551"/>
      <c r="B1008" s="551"/>
      <c r="C1008" s="551"/>
      <c r="D1008" s="551"/>
      <c r="E1008" s="551"/>
      <c r="F1008" s="551"/>
      <c r="G1008" s="551"/>
      <c r="H1008" s="551"/>
      <c r="I1008" s="551"/>
      <c r="J1008" s="551"/>
      <c r="K1008" s="551"/>
      <c r="L1008" s="551"/>
      <c r="M1008" s="551"/>
      <c r="N1008" s="551"/>
      <c r="O1008" s="551"/>
      <c r="P1008" s="551"/>
      <c r="Q1008" s="551"/>
      <c r="R1008" s="551"/>
      <c r="S1008" s="551"/>
      <c r="T1008" s="551"/>
      <c r="U1008" s="551"/>
      <c r="V1008" s="551"/>
      <c r="W1008" s="551"/>
      <c r="X1008" s="551"/>
      <c r="Y1008" s="551"/>
      <c r="Z1008" s="551"/>
      <c r="AA1008" s="551"/>
      <c r="AB1008" s="551"/>
      <c r="AC1008" s="551"/>
      <c r="AD1008" s="551"/>
      <c r="AE1008" s="551"/>
      <c r="AF1008" s="551"/>
      <c r="AG1008" s="551"/>
      <c r="AH1008" s="551"/>
      <c r="AI1008" s="551"/>
      <c r="AJ1008" s="551"/>
      <c r="AK1008" s="551"/>
      <c r="AL1008" s="551"/>
      <c r="AM1008" s="551"/>
      <c r="AN1008" s="551"/>
      <c r="AO1008" s="551"/>
      <c r="AP1008" s="551"/>
      <c r="AQ1008" s="551"/>
      <c r="AR1008" s="551"/>
      <c r="AS1008" s="551"/>
      <c r="AT1008" s="551"/>
      <c r="AU1008" s="551"/>
      <c r="AV1008" s="551"/>
      <c r="AW1008" s="551"/>
      <c r="AX1008" s="551"/>
      <c r="AY1008" s="551"/>
      <c r="AZ1008" s="551"/>
      <c r="BA1008" s="551"/>
      <c r="BB1008" s="551"/>
      <c r="BC1008" s="551"/>
      <c r="BD1008" s="551"/>
      <c r="BE1008" s="551"/>
      <c r="BF1008" s="551"/>
      <c r="BG1008" s="551"/>
      <c r="BH1008" s="551"/>
      <c r="BI1008" s="551"/>
      <c r="BJ1008" s="551"/>
      <c r="BK1008" s="551"/>
    </row>
    <row r="1009" spans="1:63" ht="12.75" customHeight="1">
      <c r="A1009" s="551"/>
      <c r="B1009" s="551"/>
      <c r="C1009" s="551"/>
      <c r="D1009" s="551"/>
      <c r="E1009" s="551"/>
      <c r="F1009" s="551"/>
      <c r="G1009" s="551"/>
      <c r="H1009" s="551"/>
      <c r="I1009" s="551"/>
      <c r="J1009" s="551"/>
      <c r="K1009" s="551"/>
      <c r="L1009" s="551"/>
      <c r="M1009" s="551"/>
      <c r="N1009" s="551"/>
      <c r="O1009" s="551"/>
      <c r="P1009" s="551"/>
      <c r="Q1009" s="551"/>
      <c r="R1009" s="551"/>
      <c r="S1009" s="551"/>
      <c r="T1009" s="551"/>
      <c r="U1009" s="551"/>
      <c r="V1009" s="551"/>
      <c r="W1009" s="551"/>
      <c r="X1009" s="551"/>
      <c r="Y1009" s="551"/>
      <c r="Z1009" s="551"/>
      <c r="AA1009" s="551"/>
      <c r="AB1009" s="551"/>
      <c r="AC1009" s="551"/>
      <c r="AD1009" s="551"/>
      <c r="AE1009" s="551"/>
      <c r="AF1009" s="551"/>
      <c r="AG1009" s="551"/>
      <c r="AH1009" s="551"/>
      <c r="AI1009" s="551"/>
      <c r="AJ1009" s="551"/>
      <c r="AK1009" s="551"/>
      <c r="AL1009" s="551"/>
      <c r="AM1009" s="551"/>
      <c r="AN1009" s="551"/>
      <c r="AO1009" s="551"/>
      <c r="AP1009" s="551"/>
      <c r="AQ1009" s="551"/>
      <c r="AR1009" s="551"/>
      <c r="AS1009" s="551"/>
      <c r="AT1009" s="551"/>
      <c r="AU1009" s="551"/>
      <c r="AV1009" s="551"/>
      <c r="AW1009" s="551"/>
      <c r="AX1009" s="551"/>
      <c r="AY1009" s="551"/>
      <c r="AZ1009" s="551"/>
      <c r="BA1009" s="551"/>
      <c r="BB1009" s="551"/>
      <c r="BC1009" s="551"/>
      <c r="BD1009" s="551"/>
      <c r="BE1009" s="551"/>
      <c r="BF1009" s="551"/>
      <c r="BG1009" s="551"/>
      <c r="BH1009" s="551"/>
      <c r="BI1009" s="551"/>
      <c r="BJ1009" s="551"/>
      <c r="BK1009" s="551"/>
    </row>
    <row r="1010" spans="1:63">
      <c r="BJ1010" s="551"/>
      <c r="BK1010" s="551"/>
    </row>
    <row r="1011" spans="1:63">
      <c r="BJ1011" s="551"/>
      <c r="BK1011" s="551"/>
    </row>
  </sheetData>
  <mergeCells count="56">
    <mergeCell ref="BH4:BH5"/>
    <mergeCell ref="BA4:BA5"/>
    <mergeCell ref="BB4:BB5"/>
    <mergeCell ref="BC4:BC5"/>
    <mergeCell ref="BD4:BD5"/>
    <mergeCell ref="BE4:BE5"/>
    <mergeCell ref="BG4:BG5"/>
    <mergeCell ref="BF4:BF5"/>
    <mergeCell ref="AZ4:AZ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N4:AN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B4:AB5"/>
    <mergeCell ref="P4:P5"/>
    <mergeCell ref="Q4:Q5"/>
    <mergeCell ref="R4:R5"/>
    <mergeCell ref="S4:S5"/>
    <mergeCell ref="T4:T5"/>
    <mergeCell ref="U4:U5"/>
    <mergeCell ref="W4:W5"/>
    <mergeCell ref="X4:X5"/>
    <mergeCell ref="Y4:Y5"/>
    <mergeCell ref="Z4:Z5"/>
    <mergeCell ref="AA4:AA5"/>
    <mergeCell ref="V4:V5"/>
    <mergeCell ref="O4:O5"/>
    <mergeCell ref="C4:C5"/>
    <mergeCell ref="D4:D5"/>
    <mergeCell ref="E4:E5"/>
    <mergeCell ref="F4:F5"/>
    <mergeCell ref="G4:G5"/>
    <mergeCell ref="I4:I5"/>
    <mergeCell ref="J4:J5"/>
    <mergeCell ref="K4:K5"/>
    <mergeCell ref="L4:L5"/>
    <mergeCell ref="M4:M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6678-69CD-4A8B-BD8C-0C634353FA0E}">
  <sheetPr>
    <tabColor rgb="FFCC66FF"/>
  </sheetPr>
  <dimension ref="A1:BJ1011"/>
  <sheetViews>
    <sheetView showGridLines="0" workbookViewId="0">
      <pane xSplit="3" ySplit="5" topLeftCell="AL6" activePane="bottomRight" state="frozen"/>
      <selection pane="bottomRight" activeCell="AL7" sqref="AL7"/>
      <selection pane="bottomLeft" activeCell="A6" sqref="A6"/>
      <selection pane="topRight" activeCell="D1" sqref="D1"/>
    </sheetView>
  </sheetViews>
  <sheetFormatPr defaultColWidth="14.42578125" defaultRowHeight="12.95"/>
  <cols>
    <col min="1" max="1" width="35.42578125" style="1424" customWidth="1"/>
    <col min="2" max="2" width="17.5703125" style="1424" customWidth="1"/>
    <col min="3" max="3" width="15.5703125" style="1424" customWidth="1"/>
    <col min="4" max="4" width="21.5703125" style="1424" customWidth="1"/>
    <col min="5" max="35" width="15.5703125" style="1424" customWidth="1"/>
    <col min="36" max="36" width="18" style="1424" customWidth="1"/>
    <col min="37" max="55" width="15.5703125" style="1424" customWidth="1"/>
    <col min="56" max="56" width="15.42578125" style="1424" customWidth="1"/>
    <col min="57" max="58" width="15.5703125" style="1424" customWidth="1"/>
    <col min="59" max="59" width="16.42578125" style="1424" customWidth="1"/>
    <col min="60" max="60" width="15.5703125" style="1424" customWidth="1"/>
    <col min="61" max="61" width="28.5703125" style="1424" bestFit="1" customWidth="1"/>
    <col min="62" max="62" width="13.5703125" style="1424" bestFit="1" customWidth="1"/>
    <col min="63" max="16384" width="14.42578125" style="1424"/>
  </cols>
  <sheetData>
    <row r="1" spans="1:62" ht="12.75" customHeight="1">
      <c r="A1" s="551" t="s">
        <v>186</v>
      </c>
      <c r="B1" s="973">
        <f>SUM(C7:W7)</f>
        <v>408113666679</v>
      </c>
      <c r="C1" s="977">
        <f>B1-'BS Konsol-Des 24'!I42</f>
        <v>0</v>
      </c>
      <c r="D1" s="977"/>
      <c r="E1" s="977"/>
      <c r="F1" s="977"/>
      <c r="G1" s="977"/>
      <c r="H1" s="977"/>
      <c r="I1" s="977"/>
      <c r="J1" s="977"/>
      <c r="K1" s="977"/>
      <c r="L1" s="977"/>
      <c r="M1" s="977"/>
      <c r="N1" s="977"/>
      <c r="O1" s="977"/>
      <c r="P1" s="977"/>
      <c r="Q1" s="977"/>
      <c r="R1" s="977"/>
      <c r="S1" s="977"/>
      <c r="T1" s="977"/>
      <c r="U1" s="977"/>
      <c r="V1" s="977"/>
      <c r="W1" s="977"/>
      <c r="X1" s="977"/>
      <c r="Y1" s="977"/>
      <c r="Z1" s="977"/>
      <c r="AA1" s="977"/>
      <c r="AB1" s="977"/>
      <c r="AC1" s="977"/>
      <c r="AD1" s="977"/>
      <c r="AE1" s="977"/>
      <c r="AF1" s="977"/>
      <c r="AG1" s="977"/>
      <c r="AH1" s="977"/>
      <c r="AI1" s="977"/>
      <c r="AJ1" s="977"/>
      <c r="AK1" s="977"/>
      <c r="AL1" s="977"/>
      <c r="AM1" s="977"/>
      <c r="AN1" s="977"/>
      <c r="AO1" s="977"/>
      <c r="AP1" s="977"/>
      <c r="AQ1" s="977"/>
      <c r="AR1" s="977"/>
      <c r="AS1" s="977"/>
      <c r="AT1" s="977"/>
      <c r="AU1" s="977"/>
      <c r="AV1" s="977"/>
      <c r="AW1" s="977"/>
      <c r="AX1" s="977"/>
      <c r="AY1" s="977"/>
      <c r="AZ1" s="977"/>
      <c r="BA1" s="977"/>
      <c r="BB1" s="977"/>
      <c r="BC1" s="977"/>
      <c r="BD1" s="977"/>
      <c r="BE1" s="977"/>
      <c r="BF1" s="977"/>
      <c r="BG1" s="977"/>
      <c r="BH1" s="551"/>
      <c r="BI1" s="551"/>
      <c r="BJ1" s="551"/>
    </row>
    <row r="2" spans="1:62" ht="12.75" customHeight="1">
      <c r="A2" s="551" t="s">
        <v>187</v>
      </c>
      <c r="B2" s="551">
        <f>SUM(Y7:AL7)</f>
        <v>-227750162734</v>
      </c>
      <c r="C2" s="977">
        <f>B2+'BS Konsol-Des 24'!I82</f>
        <v>0</v>
      </c>
      <c r="D2" s="977"/>
      <c r="E2" s="977"/>
      <c r="F2" s="977"/>
      <c r="G2" s="977"/>
      <c r="H2" s="977"/>
      <c r="I2" s="977"/>
      <c r="J2" s="977"/>
      <c r="K2" s="977"/>
      <c r="L2" s="977"/>
      <c r="M2" s="977"/>
      <c r="N2" s="977"/>
      <c r="O2" s="977"/>
      <c r="P2" s="977"/>
      <c r="Q2" s="977"/>
      <c r="R2" s="977"/>
      <c r="S2" s="977"/>
      <c r="T2" s="977"/>
      <c r="U2" s="977"/>
      <c r="V2" s="977"/>
      <c r="W2" s="977"/>
      <c r="X2" s="977"/>
      <c r="Y2" s="977"/>
      <c r="Z2" s="977"/>
      <c r="AA2" s="977"/>
      <c r="AB2" s="977"/>
      <c r="AC2" s="977"/>
      <c r="AD2" s="977"/>
      <c r="AE2" s="977"/>
      <c r="AF2" s="977"/>
      <c r="AG2" s="977"/>
      <c r="AH2" s="977"/>
      <c r="AI2" s="977"/>
      <c r="AJ2" s="977"/>
      <c r="AK2" s="977"/>
      <c r="AL2" s="977"/>
      <c r="AM2" s="977"/>
      <c r="AN2" s="977"/>
      <c r="AO2" s="977"/>
      <c r="AP2" s="977"/>
      <c r="AQ2" s="977"/>
      <c r="AR2" s="977"/>
      <c r="AS2" s="977"/>
      <c r="AT2" s="977"/>
      <c r="AU2" s="977"/>
      <c r="AV2" s="977"/>
      <c r="AW2" s="977"/>
      <c r="AX2" s="977"/>
      <c r="AY2" s="977"/>
      <c r="AZ2" s="977"/>
      <c r="BA2" s="977"/>
      <c r="BB2" s="977"/>
      <c r="BC2" s="977"/>
      <c r="BD2" s="977"/>
      <c r="BE2" s="977"/>
      <c r="BF2" s="977"/>
      <c r="BG2" s="977"/>
      <c r="BH2" s="551"/>
      <c r="BI2" s="551"/>
      <c r="BJ2" s="551"/>
    </row>
    <row r="3" spans="1:62" ht="12.75" customHeight="1">
      <c r="A3" s="551" t="s">
        <v>93</v>
      </c>
      <c r="B3" s="551">
        <f>SUM(AM7:BG7)</f>
        <v>-180363503945</v>
      </c>
      <c r="C3" s="977">
        <f>B3+'BS Konsol-Des 24'!I107</f>
        <v>0</v>
      </c>
      <c r="D3" s="977"/>
      <c r="E3" s="977"/>
      <c r="F3" s="977"/>
      <c r="G3" s="977"/>
      <c r="H3" s="977"/>
      <c r="I3" s="977"/>
      <c r="J3" s="977"/>
      <c r="K3" s="977"/>
      <c r="L3" s="977"/>
      <c r="M3" s="977"/>
      <c r="N3" s="977"/>
      <c r="O3" s="977"/>
      <c r="P3" s="977"/>
      <c r="Q3" s="977"/>
      <c r="R3" s="977"/>
      <c r="S3" s="977"/>
      <c r="T3" s="977"/>
      <c r="U3" s="977"/>
      <c r="V3" s="977"/>
      <c r="W3" s="977"/>
      <c r="X3" s="977"/>
      <c r="Y3" s="977"/>
      <c r="Z3" s="977"/>
      <c r="AA3" s="977"/>
      <c r="AB3" s="977"/>
      <c r="AC3" s="977"/>
      <c r="AD3" s="977"/>
      <c r="AE3" s="977"/>
      <c r="AF3" s="977"/>
      <c r="AG3" s="977"/>
      <c r="AH3" s="977"/>
      <c r="AI3" s="977"/>
      <c r="AJ3" s="977"/>
      <c r="AK3" s="977"/>
      <c r="AL3" s="977"/>
      <c r="AM3" s="977"/>
      <c r="AN3" s="977"/>
      <c r="AO3" s="977"/>
      <c r="AP3" s="977"/>
      <c r="AQ3" s="977"/>
      <c r="AR3" s="977"/>
      <c r="AS3" s="977"/>
      <c r="AT3" s="977"/>
      <c r="AU3" s="977"/>
      <c r="AV3" s="977"/>
      <c r="AW3" s="977"/>
      <c r="AX3" s="977"/>
      <c r="AY3" s="977"/>
      <c r="AZ3" s="977"/>
      <c r="BA3" s="977"/>
      <c r="BB3" s="977"/>
      <c r="BC3" s="977"/>
      <c r="BD3" s="977"/>
      <c r="BE3" s="977"/>
      <c r="BF3" s="977"/>
      <c r="BG3" s="977"/>
      <c r="BH3" s="551"/>
      <c r="BI3" s="551"/>
      <c r="BJ3" s="551"/>
    </row>
    <row r="4" spans="1:62" ht="12.75" customHeight="1">
      <c r="A4" s="975"/>
      <c r="B4" s="975"/>
      <c r="C4" s="2441" t="s">
        <v>188</v>
      </c>
      <c r="D4" s="2460" t="s">
        <v>422</v>
      </c>
      <c r="E4" s="2441" t="s">
        <v>189</v>
      </c>
      <c r="F4" s="2441" t="s">
        <v>190</v>
      </c>
      <c r="G4" s="2441" t="s">
        <v>191</v>
      </c>
      <c r="H4" s="2441" t="s">
        <v>192</v>
      </c>
      <c r="I4" s="1428" t="s">
        <v>193</v>
      </c>
      <c r="J4" s="2441" t="s">
        <v>194</v>
      </c>
      <c r="K4" s="2441" t="s">
        <v>59</v>
      </c>
      <c r="L4" s="2441" t="s">
        <v>195</v>
      </c>
      <c r="M4" s="2441" t="s">
        <v>60</v>
      </c>
      <c r="N4" s="2441" t="s">
        <v>196</v>
      </c>
      <c r="O4" s="1428" t="s">
        <v>197</v>
      </c>
      <c r="P4" s="2440" t="s">
        <v>198</v>
      </c>
      <c r="Q4" s="2440" t="s">
        <v>199</v>
      </c>
      <c r="R4" s="2440" t="s">
        <v>200</v>
      </c>
      <c r="S4" s="2441" t="s">
        <v>201</v>
      </c>
      <c r="T4" s="2441" t="s">
        <v>202</v>
      </c>
      <c r="U4" s="2441" t="s">
        <v>203</v>
      </c>
      <c r="V4" s="2441" t="s">
        <v>204</v>
      </c>
      <c r="W4" s="2441" t="s">
        <v>68</v>
      </c>
      <c r="X4" s="2441" t="s">
        <v>205</v>
      </c>
      <c r="Y4" s="2442" t="s">
        <v>206</v>
      </c>
      <c r="Z4" s="2441" t="s">
        <v>207</v>
      </c>
      <c r="AA4" s="2441" t="s">
        <v>208</v>
      </c>
      <c r="AB4" s="2441" t="s">
        <v>209</v>
      </c>
      <c r="AC4" s="2441" t="s">
        <v>210</v>
      </c>
      <c r="AD4" s="2441" t="s">
        <v>211</v>
      </c>
      <c r="AE4" s="2441" t="s">
        <v>212</v>
      </c>
      <c r="AF4" s="2441" t="s">
        <v>213</v>
      </c>
      <c r="AG4" s="2441" t="s">
        <v>214</v>
      </c>
      <c r="AH4" s="2441" t="s">
        <v>215</v>
      </c>
      <c r="AI4" s="2441" t="s">
        <v>216</v>
      </c>
      <c r="AJ4" s="2441" t="s">
        <v>217</v>
      </c>
      <c r="AK4" s="2441" t="s">
        <v>218</v>
      </c>
      <c r="AL4" s="2441" t="s">
        <v>219</v>
      </c>
      <c r="AM4" s="2443" t="s">
        <v>94</v>
      </c>
      <c r="AN4" s="2443" t="s">
        <v>95</v>
      </c>
      <c r="AO4" s="2445" t="s">
        <v>1530</v>
      </c>
      <c r="AP4" s="2445" t="s">
        <v>831</v>
      </c>
      <c r="AQ4" s="2445" t="s">
        <v>1531</v>
      </c>
      <c r="AR4" s="2443" t="s">
        <v>220</v>
      </c>
      <c r="AS4" s="2443" t="s">
        <v>221</v>
      </c>
      <c r="AT4" s="2446" t="s">
        <v>222</v>
      </c>
      <c r="AU4" s="2448" t="s">
        <v>223</v>
      </c>
      <c r="AV4" s="2450" t="s">
        <v>224</v>
      </c>
      <c r="AW4" s="2452" t="s">
        <v>96</v>
      </c>
      <c r="AX4" s="2453" t="s">
        <v>98</v>
      </c>
      <c r="AY4" s="2441" t="s">
        <v>163</v>
      </c>
      <c r="AZ4" s="2444" t="s">
        <v>225</v>
      </c>
      <c r="BA4" s="2444" t="s">
        <v>115</v>
      </c>
      <c r="BB4" s="2444" t="s">
        <v>226</v>
      </c>
      <c r="BC4" s="2455" t="s">
        <v>227</v>
      </c>
      <c r="BD4" s="2456" t="s">
        <v>228</v>
      </c>
      <c r="BE4" s="2459" t="s">
        <v>229</v>
      </c>
      <c r="BF4" s="2459" t="s">
        <v>230</v>
      </c>
      <c r="BG4" s="2454" t="s">
        <v>231</v>
      </c>
      <c r="BH4" s="977"/>
      <c r="BI4" s="551"/>
      <c r="BJ4" s="551"/>
    </row>
    <row r="5" spans="1:62" ht="27.75" customHeight="1">
      <c r="A5" s="978"/>
      <c r="B5" s="978"/>
      <c r="C5" s="2500"/>
      <c r="D5" s="2461"/>
      <c r="E5" s="2500"/>
      <c r="F5" s="2500"/>
      <c r="G5" s="2500"/>
      <c r="H5" s="2500"/>
      <c r="I5" s="1428" t="s">
        <v>87</v>
      </c>
      <c r="J5" s="2500"/>
      <c r="K5" s="2500"/>
      <c r="L5" s="2441"/>
      <c r="M5" s="2441"/>
      <c r="N5" s="2441"/>
      <c r="O5" s="1428" t="s">
        <v>232</v>
      </c>
      <c r="P5" s="2500"/>
      <c r="Q5" s="2500"/>
      <c r="R5" s="2500"/>
      <c r="S5" s="2500"/>
      <c r="T5" s="2500"/>
      <c r="U5" s="2500"/>
      <c r="V5" s="2500"/>
      <c r="W5" s="2500"/>
      <c r="X5" s="2441"/>
      <c r="Y5" s="2442"/>
      <c r="Z5" s="2441"/>
      <c r="AA5" s="2500"/>
      <c r="AB5" s="2500"/>
      <c r="AC5" s="2500"/>
      <c r="AD5" s="2500"/>
      <c r="AE5" s="2500"/>
      <c r="AF5" s="2500"/>
      <c r="AG5" s="2500"/>
      <c r="AH5" s="2500"/>
      <c r="AI5" s="2500"/>
      <c r="AJ5" s="2500"/>
      <c r="AK5" s="2500"/>
      <c r="AL5" s="2500"/>
      <c r="AM5" s="2500"/>
      <c r="AN5" s="2500"/>
      <c r="AO5" s="2501"/>
      <c r="AP5" s="2501"/>
      <c r="AQ5" s="2501"/>
      <c r="AR5" s="2500"/>
      <c r="AS5" s="2500"/>
      <c r="AT5" s="2447"/>
      <c r="AU5" s="2449"/>
      <c r="AV5" s="2451"/>
      <c r="AW5" s="2502"/>
      <c r="AX5" s="2500"/>
      <c r="AY5" s="2500"/>
      <c r="AZ5" s="2500"/>
      <c r="BA5" s="2500"/>
      <c r="BB5" s="2500"/>
      <c r="BC5" s="2500"/>
      <c r="BD5" s="2457"/>
      <c r="BE5" s="2500"/>
      <c r="BF5" s="2500"/>
      <c r="BG5" s="2500"/>
      <c r="BH5" s="551"/>
      <c r="BI5" s="551"/>
      <c r="BJ5" s="551"/>
    </row>
    <row r="6" spans="1:62" ht="12.75" customHeight="1">
      <c r="A6" s="978"/>
      <c r="B6" s="979"/>
      <c r="C6" s="1429"/>
      <c r="D6" s="1429"/>
      <c r="E6" s="1430"/>
      <c r="F6" s="1430"/>
      <c r="G6" s="1430"/>
      <c r="H6" s="1430"/>
      <c r="I6" s="1430"/>
      <c r="J6" s="1430"/>
      <c r="K6" s="1430"/>
      <c r="L6" s="1430"/>
      <c r="M6" s="1430"/>
      <c r="N6" s="1430"/>
      <c r="O6" s="1430"/>
      <c r="P6" s="1430"/>
      <c r="Q6" s="1430"/>
      <c r="R6" s="1430"/>
      <c r="S6" s="1430"/>
      <c r="T6" s="1430"/>
      <c r="U6" s="1430"/>
      <c r="V6" s="1430"/>
      <c r="W6" s="1430"/>
      <c r="X6" s="1430"/>
      <c r="Y6" s="1430"/>
      <c r="Z6" s="1430"/>
      <c r="AA6" s="1430"/>
      <c r="AB6" s="1430"/>
      <c r="AC6" s="1430"/>
      <c r="AD6" s="1430"/>
      <c r="AE6" s="1430"/>
      <c r="AF6" s="1430"/>
      <c r="AG6" s="1430"/>
      <c r="AH6" s="1430"/>
      <c r="AI6" s="1430"/>
      <c r="AJ6" s="1430"/>
      <c r="AK6" s="1430"/>
      <c r="AL6" s="1430"/>
      <c r="AM6" s="1430"/>
      <c r="AN6" s="1430"/>
      <c r="AO6" s="1430"/>
      <c r="AP6" s="1430"/>
      <c r="AQ6" s="1430"/>
      <c r="AR6" s="1430"/>
      <c r="AS6" s="1430"/>
      <c r="AT6" s="1430"/>
      <c r="AU6" s="1431"/>
      <c r="AV6" s="1431"/>
      <c r="AW6" s="1430"/>
      <c r="AX6" s="1430"/>
      <c r="AY6" s="1430"/>
      <c r="AZ6" s="1430"/>
      <c r="BA6" s="1430"/>
      <c r="BB6" s="1430"/>
      <c r="BC6" s="1430"/>
      <c r="BD6" s="1430"/>
      <c r="BE6" s="1430"/>
      <c r="BF6" s="1430"/>
      <c r="BG6" s="1430"/>
      <c r="BH6" s="551"/>
      <c r="BI6" s="551"/>
      <c r="BJ6" s="551"/>
    </row>
    <row r="7" spans="1:62" ht="12.75" customHeight="1">
      <c r="A7" s="978"/>
      <c r="B7" s="1034">
        <v>45565</v>
      </c>
      <c r="C7" s="1432">
        <f>'BS Konsol-Des 24'!I11-D7</f>
        <v>13187388399</v>
      </c>
      <c r="D7" s="1432">
        <f>'WS Konsol'!W47</f>
        <v>0</v>
      </c>
      <c r="E7" s="1432">
        <f>'BS Konsol-Des 24'!I14</f>
        <v>37856978018</v>
      </c>
      <c r="F7" s="1432">
        <f>'BS Konsol-Des 24'!I13</f>
        <v>339894481</v>
      </c>
      <c r="G7" s="1432"/>
      <c r="H7" s="1432"/>
      <c r="I7" s="1432">
        <f>'BS Konsol-Des 24'!I28</f>
        <v>0</v>
      </c>
      <c r="J7" s="1432">
        <f>'BS Konsol-Des 24'!I15</f>
        <v>510634104</v>
      </c>
      <c r="K7" s="1432">
        <f>'BS Konsol-Des 24'!I16</f>
        <v>262102659717</v>
      </c>
      <c r="L7" s="1432">
        <f>'BS Konsol-Des 24'!I20</f>
        <v>1488682854</v>
      </c>
      <c r="M7" s="1432">
        <f>'BS Konsol-Des 24'!I17</f>
        <v>3489807904</v>
      </c>
      <c r="N7" s="1432">
        <f>'BS Konsol-Des 24'!I18</f>
        <v>11345112342</v>
      </c>
      <c r="O7" s="1432">
        <v>0</v>
      </c>
      <c r="P7" s="1432"/>
      <c r="Q7" s="1432"/>
      <c r="R7" s="1432"/>
      <c r="S7" s="1432">
        <f>'BS Konsol-Des 24'!I29</f>
        <v>68366993855</v>
      </c>
      <c r="T7" s="1432"/>
      <c r="U7" s="1432"/>
      <c r="V7" s="1432">
        <f>'BS Konsol-Des 24'!I33</f>
        <v>7635332866</v>
      </c>
      <c r="W7" s="1432">
        <f>'BS Konsol-Des 24'!I37</f>
        <v>1790182139</v>
      </c>
      <c r="X7" s="1432"/>
      <c r="Y7" s="1432">
        <f>-'BS Konsol-Des 24'!I55</f>
        <v>-196870184183</v>
      </c>
      <c r="Z7" s="1432">
        <f>-'BS Konsol-Des 24'!I64</f>
        <v>-900894064</v>
      </c>
      <c r="AA7" s="1432">
        <v>0</v>
      </c>
      <c r="AB7" s="1433">
        <f>-'BS Konsol-Des 24'!I52</f>
        <v>-10645094570</v>
      </c>
      <c r="AC7" s="1432"/>
      <c r="AD7" s="1432">
        <f>-'BS Konsol-Des 24'!I56</f>
        <v>-4949487657</v>
      </c>
      <c r="AE7" s="1432">
        <v>0</v>
      </c>
      <c r="AF7" s="1434">
        <v>0</v>
      </c>
      <c r="AG7" s="1435">
        <v>0</v>
      </c>
      <c r="AH7" s="1435">
        <v>0</v>
      </c>
      <c r="AI7" s="1435">
        <v>0</v>
      </c>
      <c r="AJ7" s="1432">
        <f>-'BS Konsol-Des 24'!I57</f>
        <v>-4409068751</v>
      </c>
      <c r="AK7" s="1435">
        <f>-'BS Konsol-Des 24'!I61</f>
        <v>-19446177</v>
      </c>
      <c r="AL7" s="1432">
        <f>-'BS Konsol-Des 24'!I76</f>
        <v>-9955987332</v>
      </c>
      <c r="AM7" s="1436">
        <f>-'BS Konsol-Des 24'!I98+'WS Konsol'!W509</f>
        <v>-55000000000</v>
      </c>
      <c r="AN7" s="1436">
        <f>-'WS Konsol'!W512</f>
        <v>-49739416785</v>
      </c>
      <c r="AO7" s="1436">
        <f>-'WS Konsol'!W509</f>
        <v>-14500000000</v>
      </c>
      <c r="AP7" s="1436">
        <f>-'WS Konsol'!W510</f>
        <v>-58000000000</v>
      </c>
      <c r="AQ7" s="1436">
        <f>-'WS Konsol'!W511</f>
        <v>3115944915</v>
      </c>
      <c r="AR7" s="1436">
        <v>0</v>
      </c>
      <c r="AS7" s="1436">
        <f>-'BS Konsol-Des 24'!I102</f>
        <v>377072852</v>
      </c>
      <c r="AT7" s="977"/>
      <c r="AU7" s="977">
        <f>-'BS Konsol-Des 24'!I104</f>
        <v>-410000000</v>
      </c>
      <c r="AV7" s="977">
        <v>15000000000</v>
      </c>
      <c r="AW7" s="1435">
        <v>0</v>
      </c>
      <c r="AX7" s="1437">
        <f>AX8</f>
        <v>-19521729837</v>
      </c>
      <c r="AY7" s="1436">
        <f>-'PL Konsol'!F11</f>
        <v>-160540499628</v>
      </c>
      <c r="AZ7" s="1436">
        <f>-'PL Konsol'!F12</f>
        <v>107535872927</v>
      </c>
      <c r="BA7" s="1436">
        <f>-'PL Konsol'!F16</f>
        <v>13450215380</v>
      </c>
      <c r="BB7" s="1436">
        <f>-'PL Konsol'!F17</f>
        <v>26167728635</v>
      </c>
      <c r="BC7" s="1436">
        <f>-'PL Konsol'!F18</f>
        <v>-2273092655</v>
      </c>
      <c r="BD7" s="1436">
        <f>-'PL Konsol'!F19</f>
        <v>12487102791</v>
      </c>
      <c r="BE7" s="1436">
        <f>-'PL Konsol'!F25</f>
        <v>1487297460</v>
      </c>
      <c r="BF7" s="1436"/>
      <c r="BG7" s="1438"/>
      <c r="BH7" s="551">
        <f>SUM(C7:BG7)</f>
        <v>0</v>
      </c>
      <c r="BI7" s="989">
        <f>BH7/2</f>
        <v>0</v>
      </c>
      <c r="BJ7" s="551">
        <f>BI7/2</f>
        <v>0</v>
      </c>
    </row>
    <row r="8" spans="1:62" ht="12.75" customHeight="1">
      <c r="A8" s="978"/>
      <c r="B8" s="1034">
        <v>45291</v>
      </c>
      <c r="C8" s="1439">
        <f>'BS Konsol'!L11</f>
        <v>2570121355</v>
      </c>
      <c r="D8" s="1439"/>
      <c r="E8" s="1439">
        <f>'BS Konsol'!L14</f>
        <v>19981020112</v>
      </c>
      <c r="F8" s="1439">
        <f>'BS Konsol'!L13</f>
        <v>211054410</v>
      </c>
      <c r="G8" s="1439"/>
      <c r="H8" s="1439"/>
      <c r="I8" s="1439">
        <f>'BS Konsol'!L26</f>
        <v>7022707423</v>
      </c>
      <c r="J8" s="1439">
        <f>'BS Konsol'!L16</f>
        <v>510634104</v>
      </c>
      <c r="K8" s="1440">
        <f>'BS Konsol'!L17</f>
        <v>218071396362</v>
      </c>
      <c r="L8" s="1439">
        <f>'BS Konsol'!L20</f>
        <v>1104447053</v>
      </c>
      <c r="M8" s="1439">
        <f>'BS Konsol'!L18</f>
        <v>2415719386</v>
      </c>
      <c r="N8" s="1439">
        <f>'BS Konsol'!L19</f>
        <v>9663458887</v>
      </c>
      <c r="O8" s="1439">
        <v>0</v>
      </c>
      <c r="P8" s="1439"/>
      <c r="Q8" s="1439"/>
      <c r="R8" s="1439"/>
      <c r="S8" s="1439">
        <f>'BS Konsol'!L34</f>
        <v>74113104582</v>
      </c>
      <c r="T8" s="1439"/>
      <c r="U8" s="1439"/>
      <c r="V8" s="1439">
        <f>'BS Konsol'!L43</f>
        <v>7871477182</v>
      </c>
      <c r="W8" s="1439">
        <f>'BS Konsol'!L45</f>
        <v>1790182139</v>
      </c>
      <c r="X8" s="1439"/>
      <c r="Y8" s="1439">
        <f>-'BS Konsol'!L61</f>
        <v>-195441714689</v>
      </c>
      <c r="Z8" s="1439">
        <f>-'BS Konsol'!L69</f>
        <v>-3807894064</v>
      </c>
      <c r="AA8" s="1439">
        <v>0</v>
      </c>
      <c r="AB8" s="1441">
        <f>-'BS Konsol'!L58</f>
        <v>-20407901137</v>
      </c>
      <c r="AC8" s="1439"/>
      <c r="AD8" s="1439">
        <f>-'BS Konsol'!L62</f>
        <v>-2870843988</v>
      </c>
      <c r="AE8" s="1439">
        <f>-'BS Konsol'!L77</f>
        <v>-41000000</v>
      </c>
      <c r="AF8" s="1442">
        <f>-'BS Konsol'!L76</f>
        <v>-595676695</v>
      </c>
      <c r="AG8" s="1439">
        <f>-'BS Konsol'!L68</f>
        <v>-624277457</v>
      </c>
      <c r="AH8" s="1439">
        <v>0</v>
      </c>
      <c r="AI8" s="1439">
        <v>0</v>
      </c>
      <c r="AJ8" s="1439">
        <f>-'BS Konsol'!L63</f>
        <v>-2863697915</v>
      </c>
      <c r="AK8" s="1439">
        <f>-'BS Konsol'!L66</f>
        <v>-76360023</v>
      </c>
      <c r="AL8" s="1439">
        <f>-'BS Konsol'!L81</f>
        <v>-9301883257</v>
      </c>
      <c r="AM8" s="1443">
        <f>-'BS Konsol'!L97</f>
        <v>-40000000000</v>
      </c>
      <c r="AN8" s="1443">
        <f>-'BS Konsol'!L99</f>
        <v>-49739416785</v>
      </c>
      <c r="AO8" s="1443">
        <v>0</v>
      </c>
      <c r="AP8" s="1443">
        <v>0</v>
      </c>
      <c r="AQ8" s="1443"/>
      <c r="AR8" s="1443">
        <v>0</v>
      </c>
      <c r="AS8" s="1443">
        <f>-'BS Konsol'!L102</f>
        <v>377072852</v>
      </c>
      <c r="AT8" s="1443">
        <f>-6464981.73071289</f>
        <v>-6464981.7307128897</v>
      </c>
      <c r="AU8" s="1443">
        <f>-'BS Konsol'!L104-'KK CF Konsol Juni 24'!AP8</f>
        <v>-403535018.26928711</v>
      </c>
      <c r="AV8" s="1443"/>
      <c r="AW8" s="1439">
        <v>0</v>
      </c>
      <c r="AX8" s="1439">
        <f>-'BS Konsol'!L105</f>
        <v>-19521729837</v>
      </c>
      <c r="AY8" s="1443"/>
      <c r="AZ8" s="1443"/>
      <c r="BA8" s="1443"/>
      <c r="BB8" s="1443"/>
      <c r="BC8" s="1443"/>
      <c r="BD8" s="1443"/>
      <c r="BE8" s="1443"/>
      <c r="BF8" s="1443"/>
      <c r="BG8" s="1443"/>
      <c r="BH8" s="551">
        <f>SUM(C8:BG8)</f>
        <v>0</v>
      </c>
      <c r="BI8" s="995"/>
      <c r="BJ8" s="551"/>
    </row>
    <row r="9" spans="1:62" ht="12.75" customHeight="1">
      <c r="A9" s="978"/>
      <c r="B9" s="979" t="s">
        <v>233</v>
      </c>
      <c r="C9" s="1444">
        <f t="shared" ref="C9:O9" si="0">C7-C8</f>
        <v>10617267044</v>
      </c>
      <c r="D9" s="1444">
        <f t="shared" si="0"/>
        <v>0</v>
      </c>
      <c r="E9" s="1444">
        <f t="shared" si="0"/>
        <v>17875957906</v>
      </c>
      <c r="F9" s="1444">
        <f t="shared" si="0"/>
        <v>128840071</v>
      </c>
      <c r="G9" s="1444">
        <f t="shared" si="0"/>
        <v>0</v>
      </c>
      <c r="H9" s="1444">
        <f t="shared" si="0"/>
        <v>0</v>
      </c>
      <c r="I9" s="1444">
        <f t="shared" si="0"/>
        <v>-7022707423</v>
      </c>
      <c r="J9" s="1444">
        <f t="shared" si="0"/>
        <v>0</v>
      </c>
      <c r="K9" s="1444">
        <f t="shared" si="0"/>
        <v>44031263355</v>
      </c>
      <c r="L9" s="1444">
        <f t="shared" si="0"/>
        <v>384235801</v>
      </c>
      <c r="M9" s="1444">
        <f t="shared" si="0"/>
        <v>1074088518</v>
      </c>
      <c r="N9" s="1444">
        <f t="shared" si="0"/>
        <v>1681653455</v>
      </c>
      <c r="O9" s="1444">
        <f t="shared" si="0"/>
        <v>0</v>
      </c>
      <c r="P9" s="1444"/>
      <c r="Q9" s="1444">
        <f t="shared" ref="Q9:BG9" si="1">Q7-Q8</f>
        <v>0</v>
      </c>
      <c r="R9" s="1444">
        <f t="shared" si="1"/>
        <v>0</v>
      </c>
      <c r="S9" s="1444">
        <f t="shared" si="1"/>
        <v>-5746110727</v>
      </c>
      <c r="T9" s="1444">
        <f t="shared" si="1"/>
        <v>0</v>
      </c>
      <c r="U9" s="1444">
        <f t="shared" si="1"/>
        <v>0</v>
      </c>
      <c r="V9" s="1444">
        <f t="shared" si="1"/>
        <v>-236144316</v>
      </c>
      <c r="W9" s="1444">
        <f t="shared" si="1"/>
        <v>0</v>
      </c>
      <c r="X9" s="1444">
        <f t="shared" si="1"/>
        <v>0</v>
      </c>
      <c r="Y9" s="1444">
        <f t="shared" si="1"/>
        <v>-1428469494</v>
      </c>
      <c r="Z9" s="1444">
        <f t="shared" si="1"/>
        <v>2907000000</v>
      </c>
      <c r="AA9" s="1444">
        <f t="shared" si="1"/>
        <v>0</v>
      </c>
      <c r="AB9" s="1444">
        <f t="shared" si="1"/>
        <v>9762806567</v>
      </c>
      <c r="AC9" s="1444">
        <f t="shared" si="1"/>
        <v>0</v>
      </c>
      <c r="AD9" s="1444">
        <f t="shared" si="1"/>
        <v>-2078643669</v>
      </c>
      <c r="AE9" s="1444">
        <f t="shared" si="1"/>
        <v>41000000</v>
      </c>
      <c r="AF9" s="1444">
        <f t="shared" si="1"/>
        <v>595676695</v>
      </c>
      <c r="AG9" s="1444">
        <f t="shared" si="1"/>
        <v>624277457</v>
      </c>
      <c r="AH9" s="1444">
        <f t="shared" si="1"/>
        <v>0</v>
      </c>
      <c r="AI9" s="1444">
        <f t="shared" si="1"/>
        <v>0</v>
      </c>
      <c r="AJ9" s="1444">
        <f t="shared" si="1"/>
        <v>-1545370836</v>
      </c>
      <c r="AK9" s="1444">
        <f t="shared" si="1"/>
        <v>56913846</v>
      </c>
      <c r="AL9" s="1444">
        <f t="shared" si="1"/>
        <v>-654104075</v>
      </c>
      <c r="AM9" s="1444">
        <f t="shared" si="1"/>
        <v>-15000000000</v>
      </c>
      <c r="AN9" s="1444">
        <f t="shared" si="1"/>
        <v>0</v>
      </c>
      <c r="AO9" s="1444">
        <f t="shared" si="1"/>
        <v>-14500000000</v>
      </c>
      <c r="AP9" s="1444">
        <f t="shared" si="1"/>
        <v>-58000000000</v>
      </c>
      <c r="AQ9" s="1444">
        <f t="shared" si="1"/>
        <v>3115944915</v>
      </c>
      <c r="AR9" s="1444">
        <f t="shared" si="1"/>
        <v>0</v>
      </c>
      <c r="AS9" s="1444">
        <f t="shared" si="1"/>
        <v>0</v>
      </c>
      <c r="AT9" s="1444">
        <f t="shared" si="1"/>
        <v>6464981.7307128897</v>
      </c>
      <c r="AU9" s="1444">
        <f t="shared" si="1"/>
        <v>-6464981.7307128906</v>
      </c>
      <c r="AV9" s="1444">
        <f t="shared" si="1"/>
        <v>15000000000</v>
      </c>
      <c r="AW9" s="1444">
        <f t="shared" si="1"/>
        <v>0</v>
      </c>
      <c r="AX9" s="1444">
        <f t="shared" si="1"/>
        <v>0</v>
      </c>
      <c r="AY9" s="1444">
        <f t="shared" si="1"/>
        <v>-160540499628</v>
      </c>
      <c r="AZ9" s="1444">
        <f t="shared" si="1"/>
        <v>107535872927</v>
      </c>
      <c r="BA9" s="1444">
        <f t="shared" si="1"/>
        <v>13450215380</v>
      </c>
      <c r="BB9" s="1444">
        <f t="shared" si="1"/>
        <v>26167728635</v>
      </c>
      <c r="BC9" s="1444">
        <f t="shared" si="1"/>
        <v>-2273092655</v>
      </c>
      <c r="BD9" s="1444">
        <f t="shared" si="1"/>
        <v>12487102791</v>
      </c>
      <c r="BE9" s="1444">
        <f t="shared" si="1"/>
        <v>1487297460</v>
      </c>
      <c r="BF9" s="1444">
        <f t="shared" si="1"/>
        <v>0</v>
      </c>
      <c r="BG9" s="1444">
        <f t="shared" si="1"/>
        <v>0</v>
      </c>
      <c r="BH9" s="551">
        <f>SUM(C9:BG9)</f>
        <v>0</v>
      </c>
      <c r="BI9" s="995">
        <f>BH9/2</f>
        <v>0</v>
      </c>
      <c r="BJ9" s="551">
        <f>BI9/2</f>
        <v>0</v>
      </c>
    </row>
    <row r="10" spans="1:62" ht="12.75" customHeight="1">
      <c r="A10" s="997"/>
      <c r="B10" s="998" t="s">
        <v>234</v>
      </c>
      <c r="C10" s="551"/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1"/>
      <c r="R10" s="551"/>
      <c r="S10" s="551"/>
      <c r="T10" s="551"/>
      <c r="U10" s="551"/>
      <c r="V10" s="551"/>
      <c r="W10" s="551"/>
      <c r="X10" s="551"/>
      <c r="Y10" s="551"/>
      <c r="Z10" s="551"/>
      <c r="AA10" s="551"/>
      <c r="AB10" s="551"/>
      <c r="AC10" s="551"/>
      <c r="AD10" s="551"/>
      <c r="AE10" s="551"/>
      <c r="AF10" s="551"/>
      <c r="AG10" s="551"/>
      <c r="AH10" s="551"/>
      <c r="AI10" s="551"/>
      <c r="AJ10" s="551"/>
      <c r="AK10" s="551"/>
      <c r="AL10" s="551"/>
      <c r="AM10" s="551"/>
      <c r="AN10" s="551"/>
      <c r="AO10" s="551"/>
      <c r="AP10" s="551"/>
      <c r="AQ10" s="551"/>
      <c r="AR10" s="551"/>
      <c r="AS10" s="551"/>
      <c r="AT10" s="551"/>
      <c r="AU10" s="551"/>
      <c r="AV10" s="551"/>
      <c r="AW10" s="551"/>
      <c r="AX10" s="551"/>
      <c r="AY10" s="551"/>
      <c r="AZ10" s="551"/>
      <c r="BA10" s="551"/>
      <c r="BB10" s="551"/>
      <c r="BC10" s="551"/>
      <c r="BD10" s="551"/>
      <c r="BE10" s="551"/>
      <c r="BF10" s="551"/>
      <c r="BG10" s="551"/>
      <c r="BH10" s="551"/>
      <c r="BI10" s="551"/>
      <c r="BJ10" s="551"/>
    </row>
    <row r="11" spans="1:62" ht="12.75" customHeight="1">
      <c r="A11" s="999" t="s">
        <v>235</v>
      </c>
      <c r="B11" s="1000"/>
      <c r="C11" s="100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  <c r="AA11" s="551"/>
      <c r="AB11" s="551"/>
      <c r="AC11" s="551"/>
      <c r="AD11" s="551"/>
      <c r="AE11" s="551"/>
      <c r="AF11" s="551"/>
      <c r="AG11" s="551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  <c r="BC11" s="551"/>
      <c r="BD11" s="551"/>
      <c r="BE11" s="551"/>
      <c r="BF11" s="551"/>
      <c r="BG11" s="551"/>
      <c r="BH11" s="551"/>
      <c r="BI11" s="551"/>
      <c r="BJ11" s="551"/>
    </row>
    <row r="12" spans="1:62" ht="12.75" customHeight="1">
      <c r="A12" s="1002" t="s">
        <v>236</v>
      </c>
      <c r="B12" s="1003">
        <f t="shared" ref="B12:B21" si="2">SUM(E12:BG12)</f>
        <v>142535701651</v>
      </c>
      <c r="C12" s="1001"/>
      <c r="D12" s="551"/>
      <c r="E12" s="1004">
        <f>-E9</f>
        <v>-17875957906</v>
      </c>
      <c r="F12" s="1004">
        <f>-F9</f>
        <v>-128840071</v>
      </c>
      <c r="G12" s="1004">
        <f>-G9</f>
        <v>0</v>
      </c>
      <c r="H12" s="1004"/>
      <c r="I12" s="1004"/>
      <c r="J12" s="1004"/>
      <c r="K12" s="1004"/>
      <c r="L12" s="1004"/>
      <c r="M12" s="1004"/>
      <c r="N12" s="1004"/>
      <c r="O12" s="1004"/>
      <c r="P12" s="1004"/>
      <c r="Q12" s="1004"/>
      <c r="R12" s="1004"/>
      <c r="T12" s="551"/>
      <c r="U12" s="551"/>
      <c r="V12" s="551"/>
      <c r="W12" s="551"/>
      <c r="X12" s="551"/>
      <c r="Y12" s="551"/>
      <c r="Z12" s="551"/>
      <c r="AA12" s="551"/>
      <c r="AB12" s="551"/>
      <c r="AC12" s="551">
        <f>-AC9</f>
        <v>0</v>
      </c>
      <c r="AD12" s="551"/>
      <c r="AE12" s="1004"/>
      <c r="AF12" s="1004"/>
      <c r="AG12" s="1004"/>
      <c r="AH12" s="1004"/>
      <c r="AI12" s="1004"/>
      <c r="AJ12" s="551"/>
      <c r="AK12" s="551"/>
      <c r="AL12" s="551"/>
      <c r="AM12" s="551"/>
      <c r="AN12" s="551"/>
      <c r="AO12" s="551"/>
      <c r="AP12" s="551"/>
      <c r="AQ12" s="551"/>
      <c r="AR12" s="551"/>
      <c r="AS12" s="551"/>
      <c r="AT12" s="551"/>
      <c r="AU12" s="551"/>
      <c r="AV12" s="551"/>
      <c r="AW12" s="551"/>
      <c r="AX12" s="551"/>
      <c r="AY12" s="1004">
        <f>-AY9</f>
        <v>160540499628</v>
      </c>
      <c r="AZ12" s="551"/>
      <c r="BA12" s="551"/>
      <c r="BB12" s="551"/>
      <c r="BC12" s="1004"/>
      <c r="BD12" s="1004"/>
      <c r="BE12" s="551"/>
      <c r="BF12" s="551"/>
      <c r="BG12" s="551"/>
      <c r="BH12" s="551"/>
      <c r="BI12" s="551"/>
      <c r="BJ12" s="551"/>
    </row>
    <row r="13" spans="1:62" ht="12.75" customHeight="1">
      <c r="A13" s="1002" t="s">
        <v>237</v>
      </c>
      <c r="B13" s="1003">
        <f t="shared" si="2"/>
        <v>-153211436065</v>
      </c>
      <c r="C13" s="1001"/>
      <c r="D13" s="551"/>
      <c r="E13" s="551"/>
      <c r="F13" s="551"/>
      <c r="G13" s="551"/>
      <c r="H13" s="551"/>
      <c r="I13" s="1005">
        <f>-I9*0</f>
        <v>0</v>
      </c>
      <c r="J13" s="559">
        <f>-J9</f>
        <v>0</v>
      </c>
      <c r="K13" s="559">
        <f>-K9</f>
        <v>-44031263355</v>
      </c>
      <c r="L13" s="559">
        <f>-L9</f>
        <v>-384235801</v>
      </c>
      <c r="M13" s="559"/>
      <c r="N13" s="559"/>
      <c r="O13" s="559">
        <f>-O9</f>
        <v>0</v>
      </c>
      <c r="P13" s="559"/>
      <c r="Q13" s="559">
        <f>-Q9</f>
        <v>0</v>
      </c>
      <c r="R13" s="559">
        <f>-R9</f>
        <v>0</v>
      </c>
      <c r="S13" s="551"/>
      <c r="T13" s="551"/>
      <c r="U13" s="551"/>
      <c r="V13" s="551"/>
      <c r="W13" s="551"/>
      <c r="X13" s="551">
        <f>-X9</f>
        <v>0</v>
      </c>
      <c r="Z13" s="551"/>
      <c r="AA13" s="559">
        <f>-AA9</f>
        <v>0</v>
      </c>
      <c r="AB13" s="559">
        <f>-AB9</f>
        <v>-9762806567</v>
      </c>
      <c r="AC13" s="559"/>
      <c r="AD13" s="559">
        <f>-AD9</f>
        <v>2078643669</v>
      </c>
      <c r="AE13" s="1424">
        <f>-AE9</f>
        <v>-41000000</v>
      </c>
      <c r="AG13" s="559">
        <f>-AG9-AG41</f>
        <v>0</v>
      </c>
      <c r="AH13" s="559"/>
      <c r="AI13" s="551">
        <f>-AI9</f>
        <v>0</v>
      </c>
      <c r="AJ13" s="559"/>
      <c r="AK13" s="559">
        <f>-AK9</f>
        <v>-56913846</v>
      </c>
      <c r="AL13" s="559"/>
      <c r="AM13" s="559"/>
      <c r="AN13" s="551"/>
      <c r="AO13" s="551"/>
      <c r="AP13" s="551"/>
      <c r="AQ13" s="551"/>
      <c r="AR13" s="551"/>
      <c r="AS13" s="551">
        <f>-AS9-AS29</f>
        <v>0</v>
      </c>
      <c r="AT13" s="551"/>
      <c r="AU13" s="551"/>
      <c r="AV13" s="551"/>
      <c r="AW13" s="551"/>
      <c r="AX13" s="551"/>
      <c r="AY13" s="551"/>
      <c r="AZ13" s="559">
        <f>-AZ9-AZ14-AZ15</f>
        <v>-89678457206</v>
      </c>
      <c r="BA13" s="1006"/>
      <c r="BB13" s="559">
        <f>-BB9-BB14-BB15</f>
        <v>-13608495614</v>
      </c>
      <c r="BC13" s="559">
        <f>-(BC9+BC15+BC20)</f>
        <v>2273092655</v>
      </c>
      <c r="BD13" s="559"/>
      <c r="BE13" s="551"/>
      <c r="BF13" s="1007">
        <f>-2767717677.36858*0</f>
        <v>0</v>
      </c>
      <c r="BG13" s="551">
        <f>-BG9</f>
        <v>0</v>
      </c>
      <c r="BH13" s="551"/>
      <c r="BI13" s="551"/>
      <c r="BJ13" s="551"/>
    </row>
    <row r="14" spans="1:62" ht="12.75" customHeight="1">
      <c r="A14" s="1002" t="s">
        <v>238</v>
      </c>
      <c r="B14" s="1003">
        <f t="shared" si="2"/>
        <v>-24434393698</v>
      </c>
      <c r="C14" s="1001"/>
      <c r="D14" s="551"/>
      <c r="E14" s="551"/>
      <c r="F14" s="551"/>
      <c r="G14" s="551"/>
      <c r="H14" s="551">
        <f>-H9</f>
        <v>0</v>
      </c>
      <c r="I14" s="551"/>
      <c r="J14" s="551"/>
      <c r="K14" s="551"/>
      <c r="L14" s="551"/>
      <c r="M14" s="551"/>
      <c r="N14" s="551"/>
      <c r="O14" s="551"/>
      <c r="P14" s="551"/>
      <c r="Q14" s="551"/>
      <c r="R14" s="551"/>
      <c r="S14" s="551"/>
      <c r="T14" s="551"/>
      <c r="U14" s="551"/>
      <c r="V14" s="551"/>
      <c r="W14" s="551"/>
      <c r="X14" s="551"/>
      <c r="Y14" s="551"/>
      <c r="Z14" s="551"/>
      <c r="AA14" s="559"/>
      <c r="AB14" s="559"/>
      <c r="AC14" s="559"/>
      <c r="AD14" s="559"/>
      <c r="AE14" s="551"/>
      <c r="AF14" s="551"/>
      <c r="AG14" s="551"/>
      <c r="AH14" s="551"/>
      <c r="AI14" s="551"/>
      <c r="AJ14" s="559"/>
      <c r="AK14" s="559"/>
      <c r="AL14" s="1008"/>
      <c r="AM14" s="551"/>
      <c r="AN14" s="551"/>
      <c r="AO14" s="551"/>
      <c r="AP14" s="551"/>
      <c r="AQ14" s="551"/>
      <c r="AR14" s="551"/>
      <c r="AS14" s="551"/>
      <c r="AT14" s="551">
        <f>-AT9</f>
        <v>-6464981.7307128897</v>
      </c>
      <c r="AU14" s="551">
        <f>-AU9</f>
        <v>6464981.7307128906</v>
      </c>
      <c r="AV14" s="551"/>
      <c r="AW14" s="551"/>
      <c r="AX14" s="551"/>
      <c r="AY14" s="551"/>
      <c r="AZ14" s="559">
        <f>-(SUM('WS Konsol'!W609:W614)+'WS Konsol'!W617+'WS Konsol'!W620)</f>
        <v>-12338427557</v>
      </c>
      <c r="BA14" s="1006"/>
      <c r="BB14" s="559">
        <f>-'WS Konsol'!X665</f>
        <v>-12095966141</v>
      </c>
      <c r="BC14" s="551"/>
      <c r="BD14" s="551"/>
      <c r="BE14" s="551"/>
      <c r="BF14" s="551"/>
      <c r="BG14" s="551"/>
      <c r="BH14" s="551"/>
      <c r="BI14" s="551"/>
      <c r="BJ14" s="551"/>
    </row>
    <row r="15" spans="1:62" ht="12.75" customHeight="1">
      <c r="A15" s="1002" t="s">
        <v>239</v>
      </c>
      <c r="B15" s="1003">
        <f>SUM(D15:BG15)</f>
        <v>-9593676650</v>
      </c>
      <c r="C15" s="1001"/>
      <c r="D15" s="551">
        <f>D9</f>
        <v>0</v>
      </c>
      <c r="E15" s="551"/>
      <c r="F15" s="551"/>
      <c r="G15" s="551"/>
      <c r="H15" s="551"/>
      <c r="I15" s="551"/>
      <c r="J15" s="551"/>
      <c r="K15" s="551"/>
      <c r="L15" s="551"/>
      <c r="M15" s="551">
        <f>-M9</f>
        <v>-1074088518</v>
      </c>
      <c r="N15" s="551">
        <f>-N9</f>
        <v>-1681653455</v>
      </c>
      <c r="O15" s="551"/>
      <c r="P15" s="551"/>
      <c r="Q15" s="551"/>
      <c r="R15" s="551"/>
      <c r="S15" s="1424">
        <f>-S9</f>
        <v>5746110727</v>
      </c>
      <c r="T15" s="551"/>
      <c r="U15" s="551"/>
      <c r="V15" s="551">
        <f>-V9</f>
        <v>236144316</v>
      </c>
      <c r="W15" s="551">
        <f>-W9</f>
        <v>0</v>
      </c>
      <c r="X15" s="551"/>
      <c r="Y15" s="551">
        <f>-Y9-Y38-Y39</f>
        <v>2907000000</v>
      </c>
      <c r="Z15" s="551"/>
      <c r="AA15" s="559"/>
      <c r="AB15" s="559"/>
      <c r="AC15" s="559"/>
      <c r="AD15" s="559"/>
      <c r="AE15" s="551"/>
      <c r="AF15" s="551"/>
      <c r="AG15" s="1009"/>
      <c r="AH15" s="551">
        <f>-AH9</f>
        <v>0</v>
      </c>
      <c r="AI15" s="551"/>
      <c r="AJ15" s="551">
        <f>-AJ9-AJ21</f>
        <v>4538474089</v>
      </c>
      <c r="AK15" s="559"/>
      <c r="AL15" s="559">
        <f>-AL9</f>
        <v>654104075</v>
      </c>
      <c r="AM15" s="551"/>
      <c r="AN15" s="551"/>
      <c r="AO15" s="551"/>
      <c r="AP15" s="551"/>
      <c r="AQ15" s="551"/>
      <c r="AR15" s="551"/>
      <c r="AS15" s="551"/>
      <c r="AT15" s="551"/>
      <c r="AU15" s="551"/>
      <c r="AV15" s="551"/>
      <c r="AW15" s="551"/>
      <c r="AX15" s="551"/>
      <c r="AY15" s="551"/>
      <c r="AZ15" s="559">
        <f>-('WS Konsol'!W618+'WS Konsol'!W619+'WS Konsol'!W623)</f>
        <v>-5518988164</v>
      </c>
      <c r="BA15" s="1006">
        <f>-BA9</f>
        <v>-13450215380</v>
      </c>
      <c r="BB15" s="559">
        <f>-SUM('WS Konsol'!W707:W718)</f>
        <v>-463266880</v>
      </c>
      <c r="BC15" s="1010">
        <f>68879296*0</f>
        <v>0</v>
      </c>
      <c r="BD15" s="551"/>
      <c r="BE15" s="551">
        <f>-BE9</f>
        <v>-1487297460</v>
      </c>
      <c r="BF15" s="551"/>
      <c r="BG15" s="551"/>
      <c r="BH15" s="551"/>
      <c r="BI15" s="551"/>
      <c r="BJ15" s="551"/>
    </row>
    <row r="16" spans="1:62" ht="12.75" customHeight="1">
      <c r="A16" s="1002" t="s">
        <v>240</v>
      </c>
      <c r="B16" s="1003">
        <f t="shared" si="2"/>
        <v>0</v>
      </c>
      <c r="C16" s="1001"/>
      <c r="D16" s="551"/>
      <c r="E16" s="551"/>
      <c r="F16" s="551"/>
      <c r="G16" s="551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  <c r="W16" s="551"/>
      <c r="X16" s="551"/>
      <c r="Y16" s="551"/>
      <c r="Z16" s="551"/>
      <c r="AA16" s="559"/>
      <c r="AB16" s="559"/>
      <c r="AC16" s="559"/>
      <c r="AD16" s="559"/>
      <c r="AE16" s="551"/>
      <c r="AF16" s="551"/>
      <c r="AG16" s="551"/>
      <c r="AH16" s="551"/>
      <c r="AI16" s="551"/>
      <c r="AJ16" s="559"/>
      <c r="AK16" s="559"/>
      <c r="AL16" s="559"/>
      <c r="AM16" s="551"/>
      <c r="AN16" s="551"/>
      <c r="AO16" s="551"/>
      <c r="AP16" s="551"/>
      <c r="AQ16" s="551"/>
      <c r="AR16" s="551"/>
      <c r="AS16" s="551"/>
      <c r="AT16" s="551"/>
      <c r="AU16" s="551"/>
      <c r="AV16" s="551"/>
      <c r="AW16" s="551"/>
      <c r="AX16" s="551"/>
      <c r="AY16" s="551"/>
      <c r="AZ16" s="1006"/>
      <c r="BA16" s="1006"/>
      <c r="BB16" s="1425"/>
      <c r="BD16" s="551"/>
      <c r="BE16" s="551"/>
      <c r="BF16" s="551"/>
      <c r="BG16" s="551"/>
      <c r="BH16" s="551"/>
      <c r="BI16" s="551"/>
      <c r="BJ16" s="551"/>
    </row>
    <row r="17" spans="1:62" ht="12.75" customHeight="1">
      <c r="A17" s="1012" t="s">
        <v>241</v>
      </c>
      <c r="B17" s="1003">
        <f t="shared" si="2"/>
        <v>0</v>
      </c>
      <c r="C17" s="1001"/>
      <c r="D17" s="551"/>
      <c r="E17" s="551"/>
      <c r="F17" s="551"/>
      <c r="G17" s="551"/>
      <c r="H17" s="551"/>
      <c r="I17" s="551"/>
      <c r="J17" s="551"/>
      <c r="K17" s="551"/>
      <c r="L17" s="551"/>
      <c r="M17" s="551"/>
      <c r="N17" s="551"/>
      <c r="O17" s="551"/>
      <c r="P17" s="551"/>
      <c r="Q17" s="551"/>
      <c r="R17" s="551"/>
      <c r="S17" s="551"/>
      <c r="T17" s="551"/>
      <c r="U17" s="551"/>
      <c r="V17" s="551"/>
      <c r="X17" s="551"/>
      <c r="Y17" s="551"/>
      <c r="Z17" s="551"/>
      <c r="AA17" s="559"/>
      <c r="AB17" s="559"/>
      <c r="AC17" s="559"/>
      <c r="AD17" s="559"/>
      <c r="AE17" s="551"/>
      <c r="AF17" s="551"/>
      <c r="AG17" s="551"/>
      <c r="AH17" s="551"/>
      <c r="AI17" s="551"/>
      <c r="AJ17" s="1006"/>
      <c r="AK17" s="559"/>
      <c r="AL17" s="559"/>
      <c r="AM17" s="551"/>
      <c r="AN17" s="551"/>
      <c r="AO17" s="551"/>
      <c r="AP17" s="551"/>
      <c r="AQ17" s="551"/>
      <c r="AR17" s="551"/>
      <c r="AS17" s="551"/>
      <c r="AT17" s="551"/>
      <c r="AU17" s="551"/>
      <c r="AV17" s="551"/>
      <c r="AW17" s="551"/>
      <c r="AX17" s="551"/>
      <c r="AY17" s="551"/>
      <c r="AZ17" s="1006"/>
      <c r="BA17" s="1006"/>
      <c r="BB17" s="1006"/>
      <c r="BC17" s="551"/>
      <c r="BD17" s="551"/>
      <c r="BE17" s="551"/>
      <c r="BF17" s="551"/>
      <c r="BG17" s="1013">
        <v>0</v>
      </c>
      <c r="BH17" s="551"/>
      <c r="BI17" s="551"/>
      <c r="BJ17" s="551"/>
    </row>
    <row r="18" spans="1:62" ht="12.75" customHeight="1">
      <c r="A18" s="1012" t="s">
        <v>242</v>
      </c>
      <c r="B18" s="1003">
        <f t="shared" si="2"/>
        <v>0</v>
      </c>
      <c r="C18" s="1001"/>
      <c r="D18" s="551"/>
      <c r="E18" s="551"/>
      <c r="F18" s="551"/>
      <c r="G18" s="551"/>
      <c r="H18" s="551"/>
      <c r="I18" s="551"/>
      <c r="J18" s="551"/>
      <c r="K18" s="551"/>
      <c r="L18" s="551"/>
      <c r="M18" s="551"/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1"/>
      <c r="AA18" s="559"/>
      <c r="AB18" s="559"/>
      <c r="AC18" s="559"/>
      <c r="AD18" s="559"/>
      <c r="AE18" s="551"/>
      <c r="AF18" s="551"/>
      <c r="AG18" s="551"/>
      <c r="AH18" s="551"/>
      <c r="AI18" s="551"/>
      <c r="AJ18" s="1006"/>
      <c r="AK18" s="559"/>
      <c r="AM18" s="551"/>
      <c r="AN18" s="551"/>
      <c r="AO18" s="551"/>
      <c r="AP18" s="551"/>
      <c r="AQ18" s="551"/>
      <c r="AR18" s="551"/>
      <c r="AS18" s="551"/>
      <c r="AT18" s="551"/>
      <c r="AU18" s="551"/>
      <c r="AV18" s="551"/>
      <c r="AW18" s="551"/>
      <c r="AX18" s="551"/>
      <c r="AY18" s="551"/>
      <c r="AZ18" s="1006"/>
      <c r="BA18" s="1006"/>
      <c r="BB18" s="1006"/>
      <c r="BC18" s="551"/>
      <c r="BD18" s="551"/>
      <c r="BE18" s="551"/>
      <c r="BF18" s="551"/>
      <c r="BG18" s="1013"/>
      <c r="BH18" s="551"/>
      <c r="BI18" s="551"/>
      <c r="BJ18" s="551"/>
    </row>
    <row r="19" spans="1:62" ht="12.75" customHeight="1">
      <c r="A19" s="1002" t="s">
        <v>243</v>
      </c>
      <c r="B19" s="1003">
        <f t="shared" si="2"/>
        <v>0</v>
      </c>
      <c r="C19" s="1001"/>
      <c r="D19" s="551"/>
      <c r="E19" s="551"/>
      <c r="F19" s="551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1"/>
      <c r="S19" s="551"/>
      <c r="T19" s="551"/>
      <c r="U19" s="551"/>
      <c r="V19" s="551"/>
      <c r="W19" s="551"/>
      <c r="X19" s="551"/>
      <c r="Y19" s="551"/>
      <c r="Z19" s="551"/>
      <c r="AA19" s="559"/>
      <c r="AB19" s="559"/>
      <c r="AC19" s="559"/>
      <c r="AD19" s="559"/>
      <c r="AE19" s="551"/>
      <c r="AF19" s="551"/>
      <c r="AG19" s="551"/>
      <c r="AH19" s="551"/>
      <c r="AI19" s="551"/>
      <c r="AJ19" s="1006"/>
      <c r="AK19" s="559"/>
      <c r="AL19" s="559"/>
      <c r="AM19" s="551"/>
      <c r="AN19" s="551"/>
      <c r="AO19" s="551"/>
      <c r="AP19" s="551"/>
      <c r="AQ19" s="551"/>
      <c r="AR19" s="551"/>
      <c r="AS19" s="551"/>
      <c r="AT19" s="551"/>
      <c r="AU19" s="551"/>
      <c r="AV19" s="551"/>
      <c r="AW19" s="551"/>
      <c r="AX19" s="551"/>
      <c r="AY19" s="551"/>
      <c r="AZ19" s="1006"/>
      <c r="BA19" s="1006"/>
      <c r="BB19" s="1006"/>
      <c r="BC19" s="551"/>
      <c r="BD19" s="551"/>
      <c r="BE19" s="551"/>
      <c r="BF19" s="551"/>
      <c r="BG19" s="551"/>
      <c r="BH19" s="551"/>
      <c r="BI19" s="551"/>
      <c r="BJ19" s="973"/>
    </row>
    <row r="20" spans="1:62" ht="12.75" customHeight="1">
      <c r="A20" s="1002" t="s">
        <v>244</v>
      </c>
      <c r="B20" s="1003">
        <f t="shared" si="2"/>
        <v>-12487102791</v>
      </c>
      <c r="C20" s="100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59"/>
      <c r="AB20" s="559"/>
      <c r="AC20" s="559"/>
      <c r="AD20" s="559"/>
      <c r="AE20" s="551"/>
      <c r="AF20" s="551"/>
      <c r="AG20" s="551"/>
      <c r="AH20" s="551"/>
      <c r="AI20" s="551"/>
      <c r="AJ20" s="1006"/>
      <c r="AK20" s="559"/>
      <c r="AL20" s="559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  <c r="AW20" s="551"/>
      <c r="AX20" s="551"/>
      <c r="AY20" s="551"/>
      <c r="AZ20" s="1006"/>
      <c r="BA20" s="1006"/>
      <c r="BB20" s="1006"/>
      <c r="BC20" s="551"/>
      <c r="BD20" s="551">
        <f>-BD9</f>
        <v>-12487102791</v>
      </c>
      <c r="BE20" s="551"/>
      <c r="BF20" s="551"/>
      <c r="BG20" s="551"/>
      <c r="BH20" s="551"/>
      <c r="BI20" s="551"/>
      <c r="BJ20" s="551"/>
    </row>
    <row r="21" spans="1:62" ht="12.75" customHeight="1">
      <c r="A21" s="1002" t="s">
        <v>246</v>
      </c>
      <c r="B21" s="1003">
        <f t="shared" si="2"/>
        <v>-2993103253</v>
      </c>
      <c r="C21" s="100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51"/>
      <c r="AB21" s="551"/>
      <c r="AC21" s="551"/>
      <c r="AD21" s="551"/>
      <c r="AE21" s="551"/>
      <c r="AF21" s="551"/>
      <c r="AG21" s="551"/>
      <c r="AH21" s="551"/>
      <c r="AI21" s="551"/>
      <c r="AJ21" s="1426">
        <v>-2993103253</v>
      </c>
      <c r="AK21" s="559"/>
      <c r="AL21" s="559"/>
      <c r="AM21" s="551"/>
      <c r="AN21" s="551"/>
      <c r="AO21" s="551"/>
      <c r="AP21" s="551"/>
      <c r="AQ21" s="551"/>
      <c r="AR21" s="551"/>
      <c r="AS21" s="551"/>
      <c r="AT21" s="551"/>
      <c r="AU21" s="551"/>
      <c r="AV21" s="551"/>
      <c r="AW21" s="551"/>
      <c r="AX21" s="551"/>
      <c r="AY21" s="551"/>
      <c r="AZ21" s="551"/>
      <c r="BA21" s="551"/>
      <c r="BB21" s="551"/>
      <c r="BC21" s="551"/>
      <c r="BE21" s="973"/>
      <c r="BF21" s="551"/>
      <c r="BG21" s="1016"/>
      <c r="BH21" s="551"/>
      <c r="BI21" s="1427"/>
      <c r="BJ21" s="973"/>
    </row>
    <row r="22" spans="1:62" ht="12.75" customHeight="1">
      <c r="A22" s="1017" t="s">
        <v>248</v>
      </c>
      <c r="B22" s="1018">
        <f>SUM(B12:B21)</f>
        <v>-60184010806</v>
      </c>
      <c r="C22" s="1001"/>
      <c r="D22" s="551"/>
      <c r="E22" s="551"/>
      <c r="F22" s="551"/>
      <c r="G22" s="551"/>
      <c r="H22" s="551"/>
      <c r="I22" s="551"/>
      <c r="J22" s="551"/>
      <c r="K22" s="551"/>
      <c r="L22" s="551"/>
      <c r="M22" s="551"/>
      <c r="N22" s="551"/>
      <c r="O22" s="551"/>
      <c r="P22" s="551"/>
      <c r="Q22" s="551"/>
      <c r="R22" s="551"/>
      <c r="S22" s="551"/>
      <c r="T22" s="551"/>
      <c r="U22" s="551"/>
      <c r="V22" s="551"/>
      <c r="W22" s="551"/>
      <c r="X22" s="551"/>
      <c r="Y22" s="551"/>
      <c r="Z22" s="551"/>
      <c r="AA22" s="551"/>
      <c r="AB22" s="551"/>
      <c r="AC22" s="551"/>
      <c r="AD22" s="551"/>
      <c r="AE22" s="551"/>
      <c r="AF22" s="551"/>
      <c r="AG22" s="551"/>
      <c r="AH22" s="551"/>
      <c r="AI22" s="551"/>
      <c r="AJ22" s="551"/>
      <c r="AK22" s="551"/>
      <c r="AL22" s="551"/>
      <c r="AM22" s="551"/>
      <c r="AN22" s="551"/>
      <c r="AO22" s="551"/>
      <c r="AP22" s="551"/>
      <c r="AQ22" s="551"/>
      <c r="AR22" s="551"/>
      <c r="AS22" s="551"/>
      <c r="AT22" s="551"/>
      <c r="AU22" s="551"/>
      <c r="AV22" s="551"/>
      <c r="AW22" s="551"/>
      <c r="AX22" s="551"/>
      <c r="AY22" s="551"/>
      <c r="AZ22" s="551"/>
      <c r="BA22" s="551"/>
      <c r="BB22" s="551"/>
      <c r="BC22" s="551"/>
      <c r="BD22" s="551"/>
      <c r="BE22" s="551"/>
      <c r="BF22" s="551"/>
      <c r="BG22" s="551"/>
      <c r="BH22" s="551"/>
      <c r="BI22" s="551"/>
      <c r="BJ22" s="551"/>
    </row>
    <row r="23" spans="1:62" ht="12.75" customHeight="1">
      <c r="A23" s="1019"/>
      <c r="B23" s="1020"/>
      <c r="C23" s="100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51"/>
      <c r="AA23" s="551"/>
      <c r="AB23" s="551"/>
      <c r="AC23" s="551"/>
      <c r="AD23" s="551"/>
      <c r="AE23" s="551"/>
      <c r="AF23" s="551"/>
      <c r="AG23" s="551"/>
      <c r="AH23" s="551"/>
      <c r="AI23" s="551"/>
      <c r="AJ23" s="551"/>
      <c r="AK23" s="551"/>
      <c r="AL23" s="551"/>
      <c r="AM23" s="551"/>
      <c r="AN23" s="551"/>
      <c r="AO23" s="551"/>
      <c r="AP23" s="551"/>
      <c r="AQ23" s="551"/>
      <c r="AR23" s="551"/>
      <c r="AS23" s="551"/>
      <c r="AT23" s="551"/>
      <c r="AU23" s="551"/>
      <c r="AV23" s="551"/>
      <c r="AW23" s="551"/>
      <c r="AX23" s="551"/>
      <c r="AY23" s="551"/>
      <c r="AZ23" s="551"/>
      <c r="BA23" s="551"/>
      <c r="BB23" s="551"/>
      <c r="BC23" s="551"/>
      <c r="BD23" s="551"/>
      <c r="BE23" s="551"/>
      <c r="BF23" s="551"/>
      <c r="BG23" s="551"/>
      <c r="BH23" s="551"/>
      <c r="BI23" s="551"/>
      <c r="BJ23" s="551"/>
    </row>
    <row r="24" spans="1:62" ht="12.75" customHeight="1">
      <c r="A24" s="1002"/>
      <c r="B24" s="1020"/>
      <c r="C24" s="100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551"/>
      <c r="S24" s="551"/>
      <c r="T24" s="551"/>
      <c r="U24" s="551"/>
      <c r="V24" s="551"/>
      <c r="W24" s="551"/>
      <c r="X24" s="551"/>
      <c r="Y24" s="551"/>
      <c r="Z24" s="551"/>
      <c r="AA24" s="551"/>
      <c r="AB24" s="551"/>
      <c r="AC24" s="551"/>
      <c r="AD24" s="551"/>
      <c r="AE24" s="551"/>
      <c r="AF24" s="551"/>
      <c r="AG24" s="551"/>
      <c r="AH24" s="551"/>
      <c r="AI24" s="551"/>
      <c r="AJ24" s="551"/>
      <c r="AK24" s="551"/>
      <c r="AL24" s="551"/>
      <c r="AM24" s="551"/>
      <c r="AN24" s="551"/>
      <c r="AO24" s="551"/>
      <c r="AP24" s="551"/>
      <c r="AQ24" s="551"/>
      <c r="AR24" s="551"/>
      <c r="AS24" s="551"/>
      <c r="AT24" s="551"/>
      <c r="AU24" s="551"/>
      <c r="AV24" s="551"/>
      <c r="AW24" s="551"/>
      <c r="AX24" s="551"/>
      <c r="AY24" s="551"/>
      <c r="AZ24" s="551"/>
      <c r="BA24" s="551"/>
      <c r="BB24" s="551"/>
      <c r="BC24" s="551"/>
      <c r="BD24" s="551"/>
      <c r="BE24" s="551"/>
      <c r="BF24" s="551"/>
      <c r="BG24" s="551"/>
      <c r="BH24" s="551"/>
      <c r="BI24" s="551"/>
      <c r="BJ24" s="551"/>
    </row>
    <row r="25" spans="1:62" ht="12.75" customHeight="1">
      <c r="A25" s="1021" t="s">
        <v>251</v>
      </c>
      <c r="B25" s="1020"/>
      <c r="C25" s="100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51"/>
      <c r="AB25" s="551"/>
      <c r="AC25" s="551"/>
      <c r="AD25" s="551"/>
      <c r="AE25" s="551"/>
      <c r="AF25" s="551"/>
      <c r="AG25" s="551"/>
      <c r="AH25" s="551"/>
      <c r="AI25" s="551"/>
      <c r="AJ25" s="551"/>
      <c r="AK25" s="551"/>
      <c r="AL25" s="551"/>
      <c r="AM25" s="551"/>
      <c r="AN25" s="551"/>
      <c r="AO25" s="551"/>
      <c r="AP25" s="551"/>
      <c r="AQ25" s="551"/>
      <c r="AR25" s="551"/>
      <c r="AS25" s="551"/>
      <c r="AT25" s="551"/>
      <c r="AU25" s="551"/>
      <c r="AV25" s="551"/>
      <c r="AW25" s="551"/>
      <c r="AX25" s="551"/>
      <c r="AY25" s="551"/>
      <c r="AZ25" s="551"/>
      <c r="BA25" s="551"/>
      <c r="BB25" s="551"/>
      <c r="BC25" s="551"/>
      <c r="BD25" s="551"/>
      <c r="BE25" s="551"/>
      <c r="BF25" s="551"/>
      <c r="BG25" s="551"/>
      <c r="BH25" s="551"/>
      <c r="BI25" s="1180"/>
      <c r="BJ25" s="973"/>
    </row>
    <row r="26" spans="1:62" ht="12.75" customHeight="1">
      <c r="A26" s="1002"/>
      <c r="B26" s="1020"/>
      <c r="C26" s="1001"/>
      <c r="D26" s="551"/>
      <c r="E26" s="551"/>
      <c r="F26" s="551"/>
      <c r="G26" s="551"/>
      <c r="H26" s="551"/>
      <c r="I26" s="551"/>
      <c r="J26" s="551"/>
      <c r="K26" s="551"/>
      <c r="L26" s="551"/>
      <c r="M26" s="551"/>
      <c r="N26" s="551"/>
      <c r="O26" s="551"/>
      <c r="P26" s="551"/>
      <c r="Q26" s="551"/>
      <c r="R26" s="551"/>
      <c r="S26" s="551"/>
      <c r="T26" s="551"/>
      <c r="U26" s="551"/>
      <c r="V26" s="551"/>
      <c r="W26" s="551"/>
      <c r="X26" s="551"/>
      <c r="Y26" s="551"/>
      <c r="Z26" s="551"/>
      <c r="AA26" s="551"/>
      <c r="AB26" s="551"/>
      <c r="AC26" s="551"/>
      <c r="AD26" s="551"/>
      <c r="AE26" s="551"/>
      <c r="AF26" s="551"/>
      <c r="AG26" s="551"/>
      <c r="AH26" s="551"/>
      <c r="AI26" s="551"/>
      <c r="AJ26" s="551"/>
      <c r="AK26" s="551"/>
      <c r="AL26" s="551"/>
      <c r="AM26" s="551"/>
      <c r="AN26" s="551"/>
      <c r="AO26" s="551"/>
      <c r="AP26" s="551"/>
      <c r="AQ26" s="551"/>
      <c r="AR26" s="551"/>
      <c r="AS26" s="551"/>
      <c r="AT26" s="551"/>
      <c r="AU26" s="551"/>
      <c r="AV26" s="551"/>
      <c r="AW26" s="551"/>
      <c r="AX26" s="551"/>
      <c r="AY26" s="551"/>
      <c r="AZ26" s="551"/>
      <c r="BA26" s="551"/>
      <c r="BB26" s="551"/>
      <c r="BC26" s="551"/>
      <c r="BD26" s="551"/>
      <c r="BE26" s="551"/>
      <c r="BF26" s="551"/>
      <c r="BG26" s="551"/>
      <c r="BH26" s="551"/>
      <c r="BI26" s="1180"/>
      <c r="BJ26" s="973"/>
    </row>
    <row r="27" spans="1:62" ht="12.75" customHeight="1">
      <c r="A27" s="1021" t="s">
        <v>253</v>
      </c>
      <c r="B27" s="1020"/>
      <c r="C27" s="1001"/>
      <c r="D27" s="551"/>
      <c r="E27" s="551"/>
      <c r="F27" s="551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1"/>
      <c r="S27" s="551"/>
      <c r="T27" s="551"/>
      <c r="U27" s="551"/>
      <c r="V27" s="551"/>
      <c r="W27" s="551"/>
      <c r="X27" s="551"/>
      <c r="Y27" s="551"/>
      <c r="Z27" s="551"/>
      <c r="AA27" s="551"/>
      <c r="AB27" s="551"/>
      <c r="AC27" s="551"/>
      <c r="AD27" s="551"/>
      <c r="AE27" s="551"/>
      <c r="AF27" s="551"/>
      <c r="AG27" s="551"/>
      <c r="AH27" s="551"/>
      <c r="AI27" s="551"/>
      <c r="AJ27" s="551"/>
      <c r="AK27" s="551"/>
      <c r="AL27" s="551"/>
      <c r="AM27" s="551"/>
      <c r="AN27" s="551"/>
      <c r="AO27" s="551"/>
      <c r="AP27" s="551"/>
      <c r="AQ27" s="551"/>
      <c r="AR27" s="551"/>
      <c r="AS27" s="551"/>
      <c r="AT27" s="551"/>
      <c r="AU27" s="551"/>
      <c r="AV27" s="551"/>
      <c r="AW27" s="551"/>
      <c r="AX27" s="551"/>
      <c r="AY27" s="551"/>
      <c r="AZ27" s="551"/>
      <c r="BA27" s="551"/>
      <c r="BB27" s="551"/>
      <c r="BC27" s="551"/>
      <c r="BD27" s="551"/>
      <c r="BE27" s="551"/>
      <c r="BF27" s="551"/>
      <c r="BG27" s="551"/>
      <c r="BH27" s="551"/>
      <c r="BI27" s="551"/>
      <c r="BJ27" s="551"/>
    </row>
    <row r="28" spans="1:62" ht="12.75" customHeight="1">
      <c r="A28" s="1022" t="s">
        <v>254</v>
      </c>
      <c r="B28" s="1003">
        <f t="shared" ref="B28:B34" si="3">SUM(E28:BG28)</f>
        <v>0</v>
      </c>
      <c r="C28" s="1001"/>
      <c r="D28" s="551"/>
      <c r="E28" s="551"/>
      <c r="F28" s="551"/>
      <c r="G28" s="551"/>
      <c r="H28" s="551"/>
      <c r="I28" s="551"/>
      <c r="J28" s="551"/>
      <c r="K28" s="551"/>
      <c r="L28" s="551"/>
      <c r="M28" s="551"/>
      <c r="N28" s="551"/>
      <c r="O28" s="551"/>
      <c r="P28" s="551"/>
      <c r="Q28" s="1023"/>
      <c r="R28" s="1023"/>
      <c r="S28" s="1023">
        <v>0</v>
      </c>
      <c r="T28" s="1023">
        <f>-T9</f>
        <v>0</v>
      </c>
      <c r="U28" s="1023"/>
      <c r="V28" s="1023"/>
      <c r="W28" s="1023"/>
      <c r="X28" s="1023"/>
      <c r="Y28" s="1023"/>
      <c r="Z28" s="1023"/>
      <c r="AA28" s="551"/>
      <c r="AB28" s="551"/>
      <c r="AC28" s="551"/>
      <c r="AD28" s="551"/>
      <c r="AE28" s="551"/>
      <c r="AF28" s="551"/>
      <c r="AG28" s="551"/>
      <c r="AH28" s="551"/>
      <c r="AI28" s="551"/>
      <c r="AJ28" s="551"/>
      <c r="AK28" s="551"/>
      <c r="AL28" s="551"/>
      <c r="AM28" s="551"/>
      <c r="AN28" s="551"/>
      <c r="AO28" s="551"/>
      <c r="AP28" s="551"/>
      <c r="AQ28" s="551"/>
      <c r="AR28" s="551"/>
      <c r="AS28" s="551"/>
      <c r="AT28" s="551"/>
      <c r="AU28" s="551"/>
      <c r="AV28" s="551"/>
      <c r="AW28" s="1023">
        <v>0</v>
      </c>
      <c r="AX28" s="1023">
        <f>-AX9</f>
        <v>0</v>
      </c>
      <c r="AY28" s="551"/>
      <c r="AZ28" s="551"/>
      <c r="BA28" s="551"/>
      <c r="BB28" s="551"/>
      <c r="BC28" s="551"/>
      <c r="BD28" s="551"/>
      <c r="BE28" s="551"/>
      <c r="BF28" s="551"/>
      <c r="BG28" s="551"/>
      <c r="BH28" s="551"/>
      <c r="BI28" s="551"/>
      <c r="BJ28" s="551"/>
    </row>
    <row r="29" spans="1:62" ht="12.75" customHeight="1">
      <c r="A29" s="1002" t="s">
        <v>256</v>
      </c>
      <c r="B29" s="1003">
        <f t="shared" si="3"/>
        <v>0</v>
      </c>
      <c r="C29" s="1001"/>
      <c r="D29" s="551"/>
      <c r="E29" s="551"/>
      <c r="F29" s="551"/>
      <c r="G29" s="551"/>
      <c r="H29" s="551"/>
      <c r="I29" s="551"/>
      <c r="J29" s="551"/>
      <c r="K29" s="551"/>
      <c r="L29" s="551"/>
      <c r="M29" s="551"/>
      <c r="N29" s="551"/>
      <c r="O29" s="551"/>
      <c r="P29" s="551"/>
      <c r="Q29" s="551"/>
      <c r="R29" s="551"/>
      <c r="S29" s="1023"/>
      <c r="T29" s="1023"/>
      <c r="U29" s="1023"/>
      <c r="V29" s="1023"/>
      <c r="W29" s="1023"/>
      <c r="X29" s="1023"/>
      <c r="Y29" s="1023"/>
      <c r="Z29" s="1023"/>
      <c r="AA29" s="551"/>
      <c r="AB29" s="551"/>
      <c r="AC29" s="551"/>
      <c r="AD29" s="551"/>
      <c r="AE29" s="551"/>
      <c r="AF29" s="551"/>
      <c r="AG29" s="551"/>
      <c r="AH29" s="551"/>
      <c r="AI29" s="551"/>
      <c r="AJ29" s="551"/>
      <c r="AK29" s="551"/>
      <c r="AL29" s="551"/>
      <c r="AM29" s="551"/>
      <c r="AN29" s="551"/>
      <c r="AO29" s="551"/>
      <c r="AP29" s="551"/>
      <c r="AQ29" s="551"/>
      <c r="AR29" s="551"/>
      <c r="AS29" s="551"/>
      <c r="AT29" s="551"/>
      <c r="AU29" s="551"/>
      <c r="AV29" s="551"/>
      <c r="AW29" s="551"/>
      <c r="AX29" s="551"/>
      <c r="AY29" s="551"/>
      <c r="AZ29" s="551"/>
      <c r="BA29" s="551"/>
      <c r="BB29" s="551"/>
      <c r="BC29" s="551"/>
      <c r="BD29" s="551"/>
      <c r="BE29" s="551"/>
      <c r="BF29" s="551"/>
      <c r="BG29" s="551"/>
      <c r="BH29" s="551"/>
      <c r="BI29" s="551"/>
      <c r="BJ29" s="551"/>
    </row>
    <row r="30" spans="1:62" ht="12.75" customHeight="1">
      <c r="A30" s="1002" t="s">
        <v>257</v>
      </c>
      <c r="B30" s="1003">
        <f t="shared" si="3"/>
        <v>0</v>
      </c>
      <c r="C30" s="1001"/>
      <c r="D30" s="551"/>
      <c r="E30" s="551"/>
      <c r="F30" s="551"/>
      <c r="G30" s="551"/>
      <c r="H30" s="551"/>
      <c r="I30" s="551"/>
      <c r="J30" s="551"/>
      <c r="K30" s="551"/>
      <c r="L30" s="551"/>
      <c r="M30" s="551"/>
      <c r="N30" s="551"/>
      <c r="O30" s="551"/>
      <c r="P30" s="551"/>
      <c r="Q30" s="551"/>
      <c r="R30" s="551"/>
      <c r="S30" s="1023"/>
      <c r="T30" s="1023"/>
      <c r="U30" s="1023"/>
      <c r="V30" s="1023"/>
      <c r="W30" s="1023"/>
      <c r="X30" s="1023"/>
      <c r="Y30" s="1023"/>
      <c r="Z30" s="1023"/>
      <c r="AA30" s="551"/>
      <c r="AB30" s="551"/>
      <c r="AC30" s="551"/>
      <c r="AD30" s="551"/>
      <c r="AE30" s="551"/>
      <c r="AF30" s="551"/>
      <c r="AG30" s="551"/>
      <c r="AH30" s="551"/>
      <c r="AI30" s="551"/>
      <c r="AJ30" s="551"/>
      <c r="AK30" s="551"/>
      <c r="AL30" s="551"/>
      <c r="AM30" s="551"/>
      <c r="AN30" s="551"/>
      <c r="AO30" s="551"/>
      <c r="AP30" s="551"/>
      <c r="AQ30" s="551"/>
      <c r="AR30" s="551"/>
      <c r="AS30" s="551"/>
      <c r="AT30" s="551"/>
      <c r="AU30" s="551"/>
      <c r="AV30" s="551"/>
      <c r="AW30" s="551"/>
      <c r="AX30" s="551"/>
      <c r="AY30" s="551"/>
      <c r="AZ30" s="551"/>
      <c r="BA30" s="551"/>
      <c r="BB30" s="551"/>
      <c r="BC30" s="551"/>
      <c r="BD30" s="551"/>
      <c r="BE30" s="551"/>
      <c r="BF30" s="551"/>
      <c r="BG30" s="551"/>
      <c r="BH30" s="551"/>
      <c r="BI30" s="551"/>
      <c r="BJ30" s="551"/>
    </row>
    <row r="31" spans="1:62" ht="12.75" customHeight="1">
      <c r="A31" s="1002" t="s">
        <v>258</v>
      </c>
      <c r="B31" s="1003">
        <f t="shared" si="3"/>
        <v>0</v>
      </c>
      <c r="C31" s="100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1"/>
      <c r="P31" s="551"/>
      <c r="Q31" s="551"/>
      <c r="R31" s="551"/>
      <c r="S31" s="1023"/>
      <c r="T31" s="1023"/>
      <c r="U31" s="1023"/>
      <c r="V31" s="1023"/>
      <c r="W31" s="1023"/>
      <c r="X31" s="1023"/>
      <c r="Y31" s="1023"/>
      <c r="Z31" s="1023"/>
      <c r="AA31" s="551"/>
      <c r="AB31" s="551"/>
      <c r="AC31" s="551"/>
      <c r="AD31" s="551"/>
      <c r="AE31" s="551"/>
      <c r="AF31" s="551"/>
      <c r="AG31" s="551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  <c r="AS31" s="551"/>
      <c r="AT31" s="551"/>
      <c r="AU31" s="551"/>
      <c r="AV31" s="551"/>
      <c r="AW31" s="551"/>
      <c r="AX31" s="551"/>
      <c r="AY31" s="551"/>
      <c r="AZ31" s="551"/>
      <c r="BA31" s="551"/>
      <c r="BB31" s="551"/>
      <c r="BC31" s="1004"/>
      <c r="BD31" s="1004"/>
      <c r="BE31" s="551"/>
      <c r="BF31" s="551"/>
      <c r="BG31" s="551"/>
      <c r="BH31" s="551"/>
      <c r="BI31" s="973"/>
      <c r="BJ31" s="973"/>
    </row>
    <row r="32" spans="1:62" ht="12.75" customHeight="1">
      <c r="A32" s="1002" t="s">
        <v>1532</v>
      </c>
      <c r="B32" s="1003">
        <f>SUM(D32:BG32)</f>
        <v>0</v>
      </c>
      <c r="C32" s="1001"/>
      <c r="D32" s="551">
        <f>-D9</f>
        <v>0</v>
      </c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1"/>
      <c r="P32" s="551"/>
      <c r="Q32" s="551"/>
      <c r="R32" s="551"/>
      <c r="S32" s="1023"/>
      <c r="T32" s="1023"/>
      <c r="U32" s="1023"/>
      <c r="V32" s="1023"/>
      <c r="W32" s="1023"/>
      <c r="X32" s="1023"/>
      <c r="Y32" s="1023"/>
      <c r="Z32" s="1023"/>
      <c r="AA32" s="551"/>
      <c r="AB32" s="551"/>
      <c r="AC32" s="551"/>
      <c r="AD32" s="551"/>
      <c r="AE32" s="551"/>
      <c r="AF32" s="551"/>
      <c r="AG32" s="551"/>
      <c r="AH32" s="551"/>
      <c r="AI32" s="551"/>
      <c r="AJ32" s="551"/>
      <c r="AK32" s="551"/>
      <c r="AL32" s="551"/>
      <c r="AM32" s="551"/>
      <c r="AN32" s="551"/>
      <c r="AO32" s="551"/>
      <c r="AP32" s="551"/>
      <c r="AQ32" s="551"/>
      <c r="AR32" s="551"/>
      <c r="AS32" s="551"/>
      <c r="AT32" s="551"/>
      <c r="AU32" s="551"/>
      <c r="AV32" s="551"/>
      <c r="AW32" s="551"/>
      <c r="AX32" s="551"/>
      <c r="AY32" s="551"/>
      <c r="AZ32" s="551"/>
      <c r="BA32" s="551"/>
      <c r="BB32" s="551"/>
      <c r="BC32" s="1004"/>
      <c r="BD32" s="1004"/>
      <c r="BE32" s="551"/>
      <c r="BF32" s="551"/>
      <c r="BG32" s="551"/>
      <c r="BH32" s="551"/>
      <c r="BI32" s="973"/>
      <c r="BJ32" s="973"/>
    </row>
    <row r="33" spans="1:62" ht="12.75" customHeight="1">
      <c r="A33" s="1002" t="s">
        <v>260</v>
      </c>
      <c r="B33" s="1003">
        <f t="shared" si="3"/>
        <v>7022707423</v>
      </c>
      <c r="C33" s="1001"/>
      <c r="D33" s="551"/>
      <c r="E33" s="551"/>
      <c r="F33" s="551"/>
      <c r="G33" s="551"/>
      <c r="H33" s="551"/>
      <c r="I33" s="551">
        <f>-I9</f>
        <v>7022707423</v>
      </c>
      <c r="J33" s="551"/>
      <c r="K33" s="551"/>
      <c r="L33" s="551"/>
      <c r="M33" s="551"/>
      <c r="N33" s="551"/>
      <c r="O33" s="551"/>
      <c r="P33" s="551"/>
      <c r="Q33" s="551"/>
      <c r="R33" s="551"/>
      <c r="S33" s="1023"/>
      <c r="T33" s="1023"/>
      <c r="U33" s="1023"/>
      <c r="V33" s="1023"/>
      <c r="W33" s="1023"/>
      <c r="X33" s="1023"/>
      <c r="Y33" s="1023"/>
      <c r="Z33" s="1023"/>
      <c r="AA33" s="551"/>
      <c r="AB33" s="551"/>
      <c r="AC33" s="551"/>
      <c r="AD33" s="551"/>
      <c r="AE33" s="551"/>
      <c r="AF33" s="551"/>
      <c r="AG33" s="551"/>
      <c r="AH33" s="551"/>
      <c r="AI33" s="551"/>
      <c r="AJ33" s="551"/>
      <c r="AK33" s="551"/>
      <c r="AL33" s="551"/>
      <c r="AM33" s="551"/>
      <c r="AN33" s="551"/>
      <c r="AO33" s="551"/>
      <c r="AP33" s="551"/>
      <c r="AQ33" s="551"/>
      <c r="AR33" s="551"/>
      <c r="AS33" s="551"/>
      <c r="AT33" s="551"/>
      <c r="AU33" s="551"/>
      <c r="AV33" s="551"/>
      <c r="AW33" s="551"/>
      <c r="AX33" s="551"/>
      <c r="AY33" s="551"/>
      <c r="AZ33" s="551"/>
      <c r="BA33" s="551"/>
      <c r="BB33" s="551"/>
      <c r="BC33" s="1004"/>
      <c r="BD33" s="1004"/>
      <c r="BE33" s="551"/>
      <c r="BF33" s="551"/>
      <c r="BG33" s="551"/>
      <c r="BH33" s="551"/>
      <c r="BI33" s="973"/>
      <c r="BJ33" s="973"/>
    </row>
    <row r="34" spans="1:62" ht="12.75" customHeight="1">
      <c r="A34" s="1002" t="s">
        <v>261</v>
      </c>
      <c r="B34" s="1003">
        <f t="shared" si="3"/>
        <v>0</v>
      </c>
      <c r="C34" s="1001"/>
      <c r="D34" s="551"/>
      <c r="E34" s="551"/>
      <c r="F34" s="551"/>
      <c r="G34" s="551"/>
      <c r="H34" s="551"/>
      <c r="I34" s="551"/>
      <c r="J34" s="551"/>
      <c r="K34" s="551"/>
      <c r="L34" s="551"/>
      <c r="M34" s="551"/>
      <c r="N34" s="551"/>
      <c r="O34" s="551"/>
      <c r="P34" s="551"/>
      <c r="Q34" s="551"/>
      <c r="R34" s="551"/>
      <c r="S34" s="1023"/>
      <c r="T34" s="1023"/>
      <c r="U34" s="1023"/>
      <c r="V34" s="1023"/>
      <c r="W34" s="1023"/>
      <c r="X34" s="1023"/>
      <c r="Y34" s="1023"/>
      <c r="Z34" s="1023"/>
      <c r="AA34" s="551"/>
      <c r="AB34" s="551"/>
      <c r="AC34" s="551"/>
      <c r="AD34" s="551"/>
      <c r="AE34" s="551"/>
      <c r="AF34" s="551"/>
      <c r="AG34" s="551"/>
      <c r="AH34" s="551"/>
      <c r="AI34" s="551"/>
      <c r="AJ34" s="551"/>
      <c r="AK34" s="551"/>
      <c r="AL34" s="551"/>
      <c r="AM34" s="551"/>
      <c r="AN34" s="551"/>
      <c r="AO34" s="551"/>
      <c r="AP34" s="551"/>
      <c r="AQ34" s="551"/>
      <c r="AR34" s="551"/>
      <c r="AS34" s="551"/>
      <c r="AT34" s="551"/>
      <c r="AU34" s="551"/>
      <c r="AV34" s="551"/>
      <c r="AW34" s="551"/>
      <c r="AX34" s="551"/>
      <c r="AY34" s="551"/>
      <c r="AZ34" s="551"/>
      <c r="BA34" s="551"/>
      <c r="BB34" s="551"/>
      <c r="BC34" s="551"/>
      <c r="BD34" s="551"/>
      <c r="BE34" s="551"/>
      <c r="BF34" s="551"/>
      <c r="BG34" s="551"/>
      <c r="BH34" s="551"/>
      <c r="BI34" s="551"/>
      <c r="BJ34" s="551"/>
    </row>
    <row r="35" spans="1:62" ht="12.75" customHeight="1">
      <c r="A35" s="1002" t="s">
        <v>263</v>
      </c>
      <c r="B35" s="1024">
        <f>SUM(B28:B34)</f>
        <v>7022707423</v>
      </c>
      <c r="C35" s="100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1"/>
      <c r="P35" s="551"/>
      <c r="Q35" s="551"/>
      <c r="R35" s="551"/>
      <c r="S35" s="551"/>
      <c r="T35" s="551"/>
      <c r="U35" s="551"/>
      <c r="V35" s="551"/>
      <c r="W35" s="551"/>
      <c r="X35" s="551"/>
      <c r="Y35" s="551"/>
      <c r="Z35" s="551"/>
      <c r="AA35" s="551"/>
      <c r="AB35" s="551"/>
      <c r="AC35" s="551"/>
      <c r="AD35" s="551"/>
      <c r="AE35" s="551"/>
      <c r="AF35" s="551"/>
      <c r="AG35" s="551"/>
      <c r="AH35" s="551"/>
      <c r="AI35" s="551"/>
      <c r="AJ35" s="551"/>
      <c r="AK35" s="551"/>
      <c r="AL35" s="551"/>
      <c r="AM35" s="551"/>
      <c r="AN35" s="551"/>
      <c r="AO35" s="551"/>
      <c r="AP35" s="551"/>
      <c r="AQ35" s="551"/>
      <c r="AR35" s="551"/>
      <c r="AS35" s="551"/>
      <c r="AT35" s="551"/>
      <c r="AU35" s="551"/>
      <c r="AV35" s="551"/>
      <c r="AW35" s="551"/>
      <c r="AX35" s="551"/>
      <c r="AY35" s="551"/>
      <c r="AZ35" s="551"/>
      <c r="BA35" s="551"/>
      <c r="BB35" s="551"/>
      <c r="BC35" s="551"/>
      <c r="BD35" s="551"/>
      <c r="BE35" s="551"/>
      <c r="BF35" s="551"/>
      <c r="BG35" s="551"/>
      <c r="BH35" s="551"/>
      <c r="BI35" s="551"/>
      <c r="BJ35" s="551"/>
    </row>
    <row r="36" spans="1:62" ht="12.75" customHeight="1">
      <c r="A36" s="1002"/>
      <c r="B36" s="1003"/>
      <c r="C36" s="100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1"/>
      <c r="P36" s="551"/>
      <c r="Q36" s="551"/>
      <c r="R36" s="551"/>
      <c r="S36" s="551"/>
      <c r="T36" s="551"/>
      <c r="U36" s="551"/>
      <c r="V36" s="551"/>
      <c r="W36" s="551"/>
      <c r="X36" s="551"/>
      <c r="Y36" s="551"/>
      <c r="Z36" s="551"/>
      <c r="AA36" s="551"/>
      <c r="AB36" s="551"/>
      <c r="AC36" s="551"/>
      <c r="AD36" s="551"/>
      <c r="AE36" s="551"/>
      <c r="AF36" s="551"/>
      <c r="AG36" s="551"/>
      <c r="AH36" s="551"/>
      <c r="AI36" s="551"/>
      <c r="AJ36" s="551"/>
      <c r="AK36" s="551"/>
      <c r="AL36" s="551"/>
      <c r="AM36" s="551"/>
      <c r="AN36" s="551"/>
      <c r="AO36" s="551"/>
      <c r="AP36" s="551"/>
      <c r="AQ36" s="551"/>
      <c r="AR36" s="551"/>
      <c r="AS36" s="551"/>
      <c r="AT36" s="551"/>
      <c r="AU36" s="551"/>
      <c r="AV36" s="551"/>
      <c r="AW36" s="551"/>
      <c r="AX36" s="551"/>
      <c r="AY36" s="551"/>
      <c r="AZ36" s="551"/>
      <c r="BA36" s="551"/>
      <c r="BB36" s="551"/>
      <c r="BC36" s="551"/>
      <c r="BD36" s="551"/>
      <c r="BE36" s="551"/>
      <c r="BF36" s="551"/>
      <c r="BG36" s="551"/>
      <c r="BH36" s="551"/>
      <c r="BI36" s="973"/>
      <c r="BJ36" s="973"/>
    </row>
    <row r="37" spans="1:62" ht="12.75" customHeight="1">
      <c r="A37" s="1021" t="s">
        <v>265</v>
      </c>
      <c r="B37" s="1025"/>
      <c r="C37" s="1001"/>
      <c r="D37" s="551"/>
      <c r="E37" s="551"/>
      <c r="F37" s="551"/>
      <c r="G37" s="551"/>
      <c r="H37" s="551"/>
      <c r="I37" s="551"/>
      <c r="J37" s="551"/>
      <c r="K37" s="551"/>
      <c r="L37" s="551"/>
      <c r="M37" s="551"/>
      <c r="N37" s="551"/>
      <c r="O37" s="551"/>
      <c r="P37" s="551"/>
      <c r="Q37" s="551"/>
      <c r="R37" s="551"/>
      <c r="S37" s="551"/>
      <c r="T37" s="551"/>
      <c r="U37" s="551"/>
      <c r="V37" s="551"/>
      <c r="W37" s="551"/>
      <c r="X37" s="551"/>
      <c r="Y37" s="551"/>
      <c r="Z37" s="551"/>
      <c r="AA37" s="551"/>
      <c r="AB37" s="551"/>
      <c r="AC37" s="551"/>
      <c r="AD37" s="551"/>
      <c r="AE37" s="551"/>
      <c r="AF37" s="551"/>
      <c r="AG37" s="551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1"/>
      <c r="BD37" s="551"/>
      <c r="BE37" s="551"/>
      <c r="BF37" s="551"/>
      <c r="BG37" s="551"/>
      <c r="BH37" s="551"/>
      <c r="BI37" s="973"/>
      <c r="BJ37" s="1181"/>
    </row>
    <row r="38" spans="1:62" ht="12.75" customHeight="1">
      <c r="A38" s="1002" t="s">
        <v>267</v>
      </c>
      <c r="B38" s="1003">
        <f>SUM(F38:BG38)</f>
        <v>649398050028</v>
      </c>
      <c r="C38" s="1001"/>
      <c r="D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1446">
        <f>'Hutang Bank'!M25</f>
        <v>649398050028</v>
      </c>
      <c r="AA38" s="551"/>
      <c r="AB38" s="551"/>
      <c r="AC38" s="551"/>
      <c r="AD38" s="551"/>
      <c r="AE38" s="551"/>
      <c r="AF38" s="551"/>
      <c r="AG38" s="551"/>
      <c r="AH38" s="551"/>
      <c r="AI38" s="551"/>
      <c r="AJ38" s="551"/>
      <c r="AK38" s="551"/>
      <c r="AL38" s="551"/>
      <c r="AM38" s="551"/>
      <c r="AN38" s="551"/>
      <c r="AO38" s="551"/>
      <c r="AP38" s="551"/>
      <c r="AQ38" s="551"/>
      <c r="AR38" s="551"/>
      <c r="AS38" s="551"/>
      <c r="AT38" s="551"/>
      <c r="AU38" s="551"/>
      <c r="AV38" s="551"/>
      <c r="AW38" s="551"/>
      <c r="AX38" s="551"/>
      <c r="AY38" s="551"/>
      <c r="AZ38" s="551"/>
      <c r="BA38" s="551"/>
      <c r="BB38" s="551"/>
      <c r="BC38" s="551"/>
      <c r="BD38" s="551"/>
      <c r="BE38" s="551"/>
      <c r="BF38" s="551"/>
      <c r="BG38" s="551"/>
      <c r="BH38" s="551"/>
      <c r="BI38" s="1180"/>
      <c r="BJ38" s="973"/>
    </row>
    <row r="39" spans="1:62" ht="12.75" customHeight="1">
      <c r="A39" s="1002" t="s">
        <v>268</v>
      </c>
      <c r="B39" s="1003">
        <f>SUM(F39:BG39)</f>
        <v>-653783580534</v>
      </c>
      <c r="C39" s="1001"/>
      <c r="D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1446">
        <f>-'Hutang Bank'!L25</f>
        <v>-650876580534</v>
      </c>
      <c r="Z39" s="551">
        <f>-Z9</f>
        <v>-2907000000</v>
      </c>
      <c r="AA39" s="551"/>
      <c r="AB39" s="551"/>
      <c r="AC39" s="551"/>
      <c r="AD39" s="551"/>
      <c r="AE39" s="551"/>
      <c r="AF39" s="551"/>
      <c r="AG39" s="551"/>
      <c r="AH39" s="551"/>
      <c r="AJ39" s="551"/>
      <c r="AK39" s="551"/>
      <c r="AL39" s="551"/>
      <c r="AM39" s="551"/>
      <c r="AN39" s="551"/>
      <c r="AO39" s="551"/>
      <c r="AP39" s="551"/>
      <c r="AQ39" s="551"/>
      <c r="AR39" s="551"/>
      <c r="AS39" s="551"/>
      <c r="AT39" s="551"/>
      <c r="AU39" s="551"/>
      <c r="AV39" s="551"/>
      <c r="AW39" s="551"/>
      <c r="AX39" s="551"/>
      <c r="AY39" s="551"/>
      <c r="AZ39" s="551"/>
      <c r="BA39" s="551"/>
      <c r="BB39" s="551"/>
      <c r="BC39" s="551"/>
      <c r="BD39" s="551"/>
      <c r="BE39" s="551"/>
      <c r="BF39" s="551"/>
      <c r="BG39" s="551"/>
      <c r="BH39" s="551"/>
      <c r="BI39" s="551"/>
      <c r="BJ39" s="551"/>
    </row>
    <row r="40" spans="1:62" ht="12.75" customHeight="1">
      <c r="A40" s="1002" t="s">
        <v>269</v>
      </c>
      <c r="B40" s="1003">
        <f t="shared" ref="B40:B47" si="4">SUM(E40:BG40)</f>
        <v>0</v>
      </c>
      <c r="C40" s="1001"/>
      <c r="D40" s="551"/>
      <c r="E40" s="551"/>
      <c r="F40" s="551"/>
      <c r="G40" s="551"/>
      <c r="H40" s="551"/>
      <c r="I40" s="551"/>
      <c r="J40" s="551"/>
      <c r="K40" s="551"/>
      <c r="L40" s="551"/>
      <c r="M40" s="551"/>
      <c r="N40" s="551"/>
      <c r="O40" s="551"/>
      <c r="P40" s="551"/>
      <c r="Q40" s="551"/>
      <c r="R40" s="551"/>
      <c r="S40" s="551"/>
      <c r="T40" s="551"/>
      <c r="U40" s="551"/>
      <c r="V40" s="551"/>
      <c r="W40" s="551"/>
      <c r="X40" s="551"/>
      <c r="Y40" s="551"/>
      <c r="Z40" s="551"/>
      <c r="AA40" s="551"/>
      <c r="AB40" s="551"/>
      <c r="AC40" s="551"/>
      <c r="AD40" s="551"/>
      <c r="AE40" s="551"/>
      <c r="AF40" s="551"/>
      <c r="AG40" s="551"/>
      <c r="AH40" s="551"/>
      <c r="AI40" s="551"/>
      <c r="AJ40" s="551"/>
      <c r="AK40" s="551"/>
      <c r="AL40" s="551"/>
      <c r="AM40" s="551"/>
      <c r="AN40" s="551"/>
      <c r="AO40" s="551"/>
      <c r="AP40" s="551"/>
      <c r="AQ40" s="551"/>
      <c r="AR40" s="551"/>
      <c r="AS40" s="551"/>
      <c r="AT40" s="551"/>
      <c r="AU40" s="551"/>
      <c r="AV40" s="551"/>
      <c r="AW40" s="551"/>
      <c r="AX40" s="551"/>
      <c r="AY40" s="551"/>
      <c r="AZ40" s="551"/>
      <c r="BA40" s="551"/>
      <c r="BB40" s="551"/>
      <c r="BC40" s="551"/>
      <c r="BD40" s="551"/>
      <c r="BE40" s="551"/>
      <c r="BF40" s="551"/>
      <c r="BG40" s="551"/>
      <c r="BH40" s="551"/>
      <c r="BI40" s="551"/>
      <c r="BJ40" s="551"/>
    </row>
    <row r="41" spans="1:62" ht="12.75" customHeight="1">
      <c r="A41" s="1002" t="s">
        <v>270</v>
      </c>
      <c r="B41" s="1003">
        <f t="shared" si="4"/>
        <v>-624277457</v>
      </c>
      <c r="C41" s="1001"/>
      <c r="D41" s="551"/>
      <c r="E41" s="551"/>
      <c r="F41" s="551"/>
      <c r="G41" s="551"/>
      <c r="H41" s="551"/>
      <c r="I41" s="551"/>
      <c r="J41" s="551"/>
      <c r="K41" s="551"/>
      <c r="L41" s="551"/>
      <c r="M41" s="551"/>
      <c r="N41" s="551"/>
      <c r="O41" s="551"/>
      <c r="P41" s="551"/>
      <c r="Q41" s="551"/>
      <c r="R41" s="551"/>
      <c r="S41" s="551"/>
      <c r="T41" s="551"/>
      <c r="U41" s="551"/>
      <c r="V41" s="551"/>
      <c r="W41" s="551"/>
      <c r="X41" s="551"/>
      <c r="Y41" s="551"/>
      <c r="Z41" s="551"/>
      <c r="AA41" s="551"/>
      <c r="AB41" s="551"/>
      <c r="AC41" s="551"/>
      <c r="AD41" s="551"/>
      <c r="AE41" s="551"/>
      <c r="AF41" s="551"/>
      <c r="AG41" s="551">
        <f>-'BS Konsol'!L68</f>
        <v>-624277457</v>
      </c>
      <c r="AH41" s="551"/>
      <c r="AI41" s="551"/>
      <c r="AJ41" s="551"/>
      <c r="AK41" s="551"/>
      <c r="AL41" s="551"/>
      <c r="AM41" s="551"/>
      <c r="AN41" s="551"/>
      <c r="AO41" s="551"/>
      <c r="AP41" s="551"/>
      <c r="AQ41" s="551"/>
      <c r="AR41" s="551"/>
      <c r="AS41" s="551"/>
      <c r="AT41" s="551"/>
      <c r="AU41" s="551"/>
      <c r="AV41" s="551"/>
      <c r="AW41" s="551"/>
      <c r="AX41" s="551"/>
      <c r="AY41" s="551"/>
      <c r="AZ41" s="551"/>
      <c r="BA41" s="551"/>
      <c r="BB41" s="551"/>
      <c r="BC41" s="551"/>
      <c r="BD41" s="551"/>
      <c r="BE41" s="551"/>
      <c r="BF41" s="551"/>
      <c r="BG41" s="551"/>
      <c r="BH41" s="551"/>
      <c r="BI41" s="551"/>
      <c r="BJ41" s="551"/>
    </row>
    <row r="42" spans="1:62" ht="12.75" customHeight="1">
      <c r="A42" s="1002" t="s">
        <v>271</v>
      </c>
      <c r="B42" s="1003">
        <f t="shared" si="4"/>
        <v>0</v>
      </c>
      <c r="C42" s="1001"/>
      <c r="D42" s="551"/>
      <c r="E42" s="551"/>
      <c r="F42" s="551"/>
      <c r="G42" s="551"/>
      <c r="H42" s="551"/>
      <c r="I42" s="551"/>
      <c r="J42" s="551"/>
      <c r="K42" s="551"/>
      <c r="L42" s="551"/>
      <c r="M42" s="551"/>
      <c r="N42" s="551"/>
      <c r="O42" s="551"/>
      <c r="P42" s="551"/>
      <c r="Q42" s="551"/>
      <c r="R42" s="551"/>
      <c r="S42" s="551"/>
      <c r="T42" s="551"/>
      <c r="U42" s="551"/>
      <c r="V42" s="551"/>
      <c r="W42" s="551"/>
      <c r="X42" s="551"/>
      <c r="Y42" s="551"/>
      <c r="Z42" s="551"/>
      <c r="AA42" s="551"/>
      <c r="AB42" s="551"/>
      <c r="AC42" s="551"/>
      <c r="AD42" s="551"/>
      <c r="AE42" s="551"/>
      <c r="AF42" s="551"/>
      <c r="AG42" s="551"/>
      <c r="AH42" s="551"/>
      <c r="AI42" s="551"/>
      <c r="AJ42" s="551"/>
      <c r="AK42" s="551"/>
      <c r="AL42" s="551"/>
      <c r="AM42" s="551">
        <f>-AM9</f>
        <v>15000000000</v>
      </c>
      <c r="AN42" s="551"/>
      <c r="AO42" s="551"/>
      <c r="AP42" s="551"/>
      <c r="AQ42" s="551"/>
      <c r="AR42" s="551"/>
      <c r="AS42" s="551"/>
      <c r="AT42" s="551"/>
      <c r="AU42" s="551"/>
      <c r="AV42" s="551">
        <f>-AV9</f>
        <v>-15000000000</v>
      </c>
      <c r="AW42" s="551"/>
      <c r="AX42" s="551"/>
      <c r="AY42" s="551"/>
      <c r="AZ42" s="551"/>
      <c r="BA42" s="551"/>
      <c r="BB42" s="551"/>
      <c r="BC42" s="551"/>
      <c r="BD42" s="551"/>
      <c r="BE42" s="551"/>
      <c r="BF42" s="551"/>
      <c r="BG42" s="551"/>
      <c r="BH42" s="551"/>
      <c r="BI42" s="551"/>
      <c r="BJ42" s="551"/>
    </row>
    <row r="43" spans="1:62" ht="12.75" customHeight="1">
      <c r="A43" s="1002" t="s">
        <v>272</v>
      </c>
      <c r="B43" s="1003">
        <f t="shared" si="4"/>
        <v>0</v>
      </c>
      <c r="C43" s="100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1"/>
      <c r="P43" s="551"/>
      <c r="Q43" s="551"/>
      <c r="R43" s="551"/>
      <c r="S43" s="551"/>
      <c r="T43" s="551"/>
      <c r="U43" s="551"/>
      <c r="V43" s="551"/>
      <c r="W43" s="551"/>
      <c r="X43" s="551"/>
      <c r="Y43" s="551"/>
      <c r="Z43" s="551"/>
      <c r="AA43" s="551"/>
      <c r="AB43" s="551"/>
      <c r="AC43" s="551"/>
      <c r="AD43" s="551"/>
      <c r="AE43" s="551"/>
      <c r="AF43" s="551"/>
      <c r="AG43" s="551"/>
      <c r="AH43" s="551"/>
      <c r="AI43" s="551"/>
      <c r="AJ43" s="551"/>
      <c r="AK43" s="551"/>
      <c r="AL43" s="551"/>
      <c r="AM43" s="551"/>
      <c r="AN43" s="551"/>
      <c r="AO43" s="551"/>
      <c r="AP43" s="551"/>
      <c r="AQ43" s="551"/>
      <c r="AR43" s="551"/>
      <c r="AS43" s="551"/>
      <c r="AT43" s="551"/>
      <c r="AU43" s="551"/>
      <c r="AV43" s="551"/>
      <c r="AW43" s="551"/>
      <c r="AX43" s="551"/>
      <c r="AY43" s="551"/>
      <c r="AZ43" s="551"/>
      <c r="BA43" s="551"/>
      <c r="BB43" s="551"/>
      <c r="BC43" s="551"/>
      <c r="BD43" s="551"/>
      <c r="BE43" s="551"/>
      <c r="BF43" s="551"/>
      <c r="BG43" s="551"/>
      <c r="BH43" s="551"/>
      <c r="BI43" s="551"/>
      <c r="BJ43" s="551"/>
    </row>
    <row r="44" spans="1:62" ht="12.75" customHeight="1">
      <c r="A44" s="1002" t="s">
        <v>1533</v>
      </c>
      <c r="B44" s="1003">
        <f t="shared" si="4"/>
        <v>14500000000</v>
      </c>
      <c r="C44" s="100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1"/>
      <c r="P44" s="551"/>
      <c r="Q44" s="551"/>
      <c r="R44" s="551"/>
      <c r="S44" s="551"/>
      <c r="T44" s="551"/>
      <c r="U44" s="551"/>
      <c r="V44" s="551"/>
      <c r="W44" s="551"/>
      <c r="X44" s="551"/>
      <c r="Y44" s="551"/>
      <c r="Z44" s="551"/>
      <c r="AA44" s="551"/>
      <c r="AB44" s="551"/>
      <c r="AC44" s="551"/>
      <c r="AD44" s="551"/>
      <c r="AE44" s="551"/>
      <c r="AF44" s="551"/>
      <c r="AG44" s="551"/>
      <c r="AH44" s="551"/>
      <c r="AI44" s="551"/>
      <c r="AJ44" s="551"/>
      <c r="AK44" s="551"/>
      <c r="AL44" s="551"/>
      <c r="AM44" s="551"/>
      <c r="AN44" s="551"/>
      <c r="AO44" s="551">
        <f>-AO9</f>
        <v>14500000000</v>
      </c>
      <c r="AP44" s="551"/>
      <c r="AQ44" s="551"/>
      <c r="AR44" s="551"/>
      <c r="AS44" s="551"/>
      <c r="AT44" s="551"/>
      <c r="AU44" s="551"/>
      <c r="AV44" s="551"/>
      <c r="AW44" s="551"/>
      <c r="AX44" s="551"/>
      <c r="AY44" s="551"/>
      <c r="AZ44" s="551"/>
      <c r="BA44" s="551"/>
      <c r="BB44" s="551"/>
      <c r="BC44" s="551"/>
      <c r="BD44" s="551"/>
      <c r="BE44" s="551"/>
      <c r="BF44" s="551"/>
      <c r="BG44" s="551"/>
      <c r="BH44" s="551"/>
      <c r="BI44" s="551"/>
      <c r="BJ44" s="551"/>
    </row>
    <row r="45" spans="1:62" ht="12.75" customHeight="1">
      <c r="A45" s="1002" t="s">
        <v>1534</v>
      </c>
      <c r="B45" s="1003">
        <f t="shared" si="4"/>
        <v>58000000000</v>
      </c>
      <c r="C45" s="100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51"/>
      <c r="AB45" s="551"/>
      <c r="AC45" s="551"/>
      <c r="AD45" s="551"/>
      <c r="AE45" s="551"/>
      <c r="AF45" s="551"/>
      <c r="AG45" s="551"/>
      <c r="AH45" s="551"/>
      <c r="AI45" s="551"/>
      <c r="AJ45" s="551"/>
      <c r="AK45" s="551"/>
      <c r="AL45" s="551"/>
      <c r="AM45" s="551"/>
      <c r="AN45" s="551"/>
      <c r="AO45" s="551"/>
      <c r="AP45" s="551">
        <f>-AP9</f>
        <v>58000000000</v>
      </c>
      <c r="AQ45" s="551"/>
      <c r="AR45" s="551"/>
      <c r="AS45" s="551"/>
      <c r="AT45" s="551"/>
      <c r="AU45" s="551"/>
      <c r="AV45" s="551"/>
      <c r="AW45" s="551"/>
      <c r="AX45" s="551"/>
      <c r="AY45" s="551"/>
      <c r="AZ45" s="551"/>
      <c r="BA45" s="551"/>
      <c r="BB45" s="551"/>
      <c r="BC45" s="551"/>
      <c r="BD45" s="551"/>
      <c r="BE45" s="551"/>
      <c r="BF45" s="551"/>
      <c r="BG45" s="551"/>
      <c r="BH45" s="551"/>
      <c r="BI45" s="551"/>
      <c r="BJ45" s="551"/>
    </row>
    <row r="46" spans="1:62" ht="12.75" customHeight="1">
      <c r="A46" s="1002" t="s">
        <v>1535</v>
      </c>
      <c r="B46" s="1003">
        <f t="shared" si="4"/>
        <v>-3115944915</v>
      </c>
      <c r="C46" s="1001"/>
      <c r="D46" s="551"/>
      <c r="E46" s="551"/>
      <c r="F46" s="551"/>
      <c r="G46" s="551"/>
      <c r="H46" s="551"/>
      <c r="I46" s="551"/>
      <c r="J46" s="551"/>
      <c r="K46" s="551"/>
      <c r="L46" s="551"/>
      <c r="M46" s="551"/>
      <c r="N46" s="551"/>
      <c r="O46" s="551"/>
      <c r="P46" s="551"/>
      <c r="Q46" s="551"/>
      <c r="R46" s="551"/>
      <c r="S46" s="551"/>
      <c r="T46" s="551"/>
      <c r="U46" s="551"/>
      <c r="V46" s="551"/>
      <c r="W46" s="551"/>
      <c r="X46" s="551"/>
      <c r="Y46" s="551"/>
      <c r="Z46" s="551"/>
      <c r="AA46" s="551"/>
      <c r="AB46" s="551"/>
      <c r="AC46" s="551"/>
      <c r="AD46" s="551"/>
      <c r="AE46" s="551"/>
      <c r="AF46" s="551"/>
      <c r="AG46" s="551"/>
      <c r="AH46" s="551"/>
      <c r="AI46" s="551"/>
      <c r="AJ46" s="551"/>
      <c r="AK46" s="551"/>
      <c r="AL46" s="551"/>
      <c r="AM46" s="551"/>
      <c r="AN46" s="551"/>
      <c r="AO46" s="551"/>
      <c r="AP46" s="551"/>
      <c r="AQ46" s="551">
        <f>-AQ9</f>
        <v>-3115944915</v>
      </c>
      <c r="AR46" s="551"/>
      <c r="AS46" s="551"/>
      <c r="AT46" s="551"/>
      <c r="AU46" s="551"/>
      <c r="AV46" s="551"/>
      <c r="AW46" s="551"/>
      <c r="AX46" s="551"/>
      <c r="AY46" s="551"/>
      <c r="AZ46" s="551"/>
      <c r="BA46" s="551"/>
      <c r="BB46" s="551"/>
      <c r="BC46" s="551"/>
      <c r="BD46" s="551"/>
      <c r="BE46" s="551"/>
      <c r="BF46" s="551"/>
      <c r="BG46" s="551"/>
      <c r="BH46" s="551"/>
      <c r="BI46" s="551"/>
      <c r="BJ46" s="551"/>
    </row>
    <row r="47" spans="1:62" ht="12.75" customHeight="1">
      <c r="A47" s="1002" t="s">
        <v>273</v>
      </c>
      <c r="B47" s="1003">
        <f t="shared" si="4"/>
        <v>-595676695</v>
      </c>
      <c r="C47" s="100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1"/>
      <c r="P47" s="551"/>
      <c r="Q47" s="551"/>
      <c r="R47" s="551"/>
      <c r="S47" s="551"/>
      <c r="T47" s="551"/>
      <c r="U47" s="551"/>
      <c r="V47" s="551"/>
      <c r="W47" s="551"/>
      <c r="X47" s="551"/>
      <c r="Y47" s="551"/>
      <c r="Z47" s="551"/>
      <c r="AA47" s="551"/>
      <c r="AB47" s="551"/>
      <c r="AC47" s="551"/>
      <c r="AD47" s="551"/>
      <c r="AE47" s="559"/>
      <c r="AF47" s="559">
        <f>-AF9</f>
        <v>-595676695</v>
      </c>
      <c r="AG47" s="551"/>
      <c r="AH47" s="551"/>
      <c r="AI47" s="551"/>
      <c r="AJ47" s="551"/>
      <c r="AK47" s="551"/>
      <c r="AL47" s="551"/>
      <c r="AM47" s="551"/>
      <c r="AN47" s="551"/>
      <c r="AO47" s="551"/>
      <c r="AP47" s="551"/>
      <c r="AQ47" s="551"/>
      <c r="AR47" s="551"/>
      <c r="AS47" s="551"/>
      <c r="AT47" s="551"/>
      <c r="AU47" s="551"/>
      <c r="AV47" s="551"/>
      <c r="AW47" s="551"/>
      <c r="AX47" s="551"/>
      <c r="AY47" s="551"/>
      <c r="AZ47" s="551"/>
      <c r="BA47" s="551"/>
      <c r="BB47" s="551"/>
      <c r="BC47" s="551"/>
      <c r="BD47" s="551"/>
      <c r="BE47" s="551"/>
      <c r="BF47" s="551"/>
      <c r="BG47" s="551"/>
      <c r="BH47" s="551"/>
      <c r="BI47" s="551"/>
      <c r="BJ47" s="551"/>
    </row>
    <row r="48" spans="1:62" ht="12.75" customHeight="1">
      <c r="A48" s="1026" t="s">
        <v>274</v>
      </c>
      <c r="B48" s="1000">
        <f>SUM(B38:B47)</f>
        <v>63778570427</v>
      </c>
      <c r="C48" s="100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1"/>
      <c r="P48" s="551"/>
      <c r="Q48" s="551"/>
      <c r="R48" s="551"/>
      <c r="S48" s="551"/>
      <c r="T48" s="551"/>
      <c r="U48" s="551"/>
      <c r="V48" s="551"/>
      <c r="W48" s="551"/>
      <c r="X48" s="551"/>
      <c r="Y48" s="551"/>
      <c r="Z48" s="551"/>
      <c r="AA48" s="551"/>
      <c r="AB48" s="551"/>
      <c r="AC48" s="551"/>
      <c r="AD48" s="551"/>
      <c r="AE48" s="551"/>
      <c r="AF48" s="551"/>
      <c r="AG48" s="551"/>
      <c r="AH48" s="551"/>
      <c r="AI48" s="551"/>
      <c r="AJ48" s="551"/>
      <c r="AK48" s="551"/>
      <c r="AL48" s="551"/>
      <c r="AM48" s="551"/>
      <c r="AN48" s="551"/>
      <c r="AO48" s="551"/>
      <c r="AP48" s="551"/>
      <c r="AQ48" s="551"/>
      <c r="AR48" s="551"/>
      <c r="AS48" s="551"/>
      <c r="AT48" s="551"/>
      <c r="AU48" s="551"/>
      <c r="AV48" s="551"/>
      <c r="AW48" s="551"/>
      <c r="AX48" s="551"/>
      <c r="AY48" s="551"/>
      <c r="AZ48" s="551"/>
      <c r="BA48" s="551"/>
      <c r="BB48" s="551"/>
      <c r="BC48" s="551"/>
      <c r="BD48" s="551"/>
      <c r="BE48" s="551"/>
      <c r="BF48" s="551"/>
      <c r="BG48" s="551"/>
      <c r="BH48" s="551"/>
      <c r="BI48" s="551"/>
      <c r="BJ48" s="551"/>
    </row>
    <row r="49" spans="1:62" ht="12.75" customHeight="1">
      <c r="A49" s="1026"/>
      <c r="B49" s="1020"/>
      <c r="C49" s="100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51"/>
      <c r="AB49" s="551"/>
      <c r="AC49" s="551"/>
      <c r="AD49" s="551"/>
      <c r="AE49" s="551"/>
      <c r="AF49" s="551"/>
      <c r="AG49" s="551"/>
      <c r="AH49" s="551"/>
      <c r="AI49" s="551"/>
      <c r="AJ49" s="551"/>
      <c r="AK49" s="551"/>
      <c r="AL49" s="551"/>
      <c r="AM49" s="551"/>
      <c r="AN49" s="551"/>
      <c r="AO49" s="551"/>
      <c r="AP49" s="551"/>
      <c r="AQ49" s="551"/>
      <c r="AR49" s="551"/>
      <c r="AS49" s="551"/>
      <c r="AT49" s="551"/>
      <c r="AU49" s="551"/>
      <c r="AV49" s="551"/>
      <c r="AW49" s="551"/>
      <c r="AX49" s="551"/>
      <c r="AY49" s="551"/>
      <c r="AZ49" s="551"/>
      <c r="BA49" s="551"/>
      <c r="BB49" s="551"/>
      <c r="BC49" s="551"/>
      <c r="BD49" s="551"/>
      <c r="BE49" s="551"/>
      <c r="BF49" s="551"/>
      <c r="BG49" s="551"/>
      <c r="BH49" s="551"/>
      <c r="BI49" s="551"/>
      <c r="BJ49" s="551"/>
    </row>
    <row r="50" spans="1:62" ht="12.75" customHeight="1">
      <c r="A50" s="1026" t="s">
        <v>275</v>
      </c>
      <c r="B50" s="1020"/>
      <c r="C50" s="100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51"/>
      <c r="AB50" s="551"/>
      <c r="AC50" s="551"/>
      <c r="AD50" s="551"/>
      <c r="AE50" s="551"/>
      <c r="AF50" s="551"/>
      <c r="AG50" s="551"/>
      <c r="AH50" s="551"/>
      <c r="AI50" s="551"/>
      <c r="AJ50" s="551"/>
      <c r="AK50" s="551"/>
      <c r="AL50" s="551"/>
      <c r="AM50" s="551"/>
      <c r="AN50" s="551"/>
      <c r="AO50" s="551"/>
      <c r="AP50" s="551"/>
      <c r="AQ50" s="551"/>
      <c r="AR50" s="551"/>
      <c r="AS50" s="551"/>
      <c r="AT50" s="551"/>
      <c r="AU50" s="551"/>
      <c r="AV50" s="551"/>
      <c r="AW50" s="551"/>
      <c r="AX50" s="551"/>
      <c r="AY50" s="551"/>
      <c r="AZ50" s="551"/>
      <c r="BA50" s="551"/>
      <c r="BB50" s="551"/>
      <c r="BC50" s="551"/>
      <c r="BD50" s="551"/>
      <c r="BE50" s="551"/>
      <c r="BF50" s="551"/>
      <c r="BG50" s="551"/>
      <c r="BH50" s="551"/>
      <c r="BI50" s="551"/>
      <c r="BJ50" s="551"/>
    </row>
    <row r="51" spans="1:62" ht="12.75" customHeight="1">
      <c r="A51" s="1026"/>
      <c r="B51" s="1020"/>
      <c r="C51" s="1001"/>
      <c r="D51" s="551"/>
      <c r="E51" s="551"/>
      <c r="F51" s="551"/>
      <c r="G51" s="551"/>
      <c r="H51" s="551"/>
      <c r="I51" s="551"/>
      <c r="J51" s="551"/>
      <c r="K51" s="551"/>
      <c r="L51" s="551"/>
      <c r="M51" s="551"/>
      <c r="N51" s="551"/>
      <c r="O51" s="551"/>
      <c r="P51" s="551"/>
      <c r="Q51" s="551"/>
      <c r="R51" s="551"/>
      <c r="S51" s="551"/>
      <c r="T51" s="551"/>
      <c r="U51" s="551"/>
      <c r="V51" s="551"/>
      <c r="W51" s="551"/>
      <c r="X51" s="551"/>
      <c r="Y51" s="551"/>
      <c r="Z51" s="551"/>
      <c r="AA51" s="551"/>
      <c r="AB51" s="551"/>
      <c r="AC51" s="551"/>
      <c r="AD51" s="551"/>
      <c r="AE51" s="551"/>
      <c r="AF51" s="551"/>
      <c r="AG51" s="551"/>
      <c r="AH51" s="551"/>
      <c r="AI51" s="551"/>
      <c r="AJ51" s="551"/>
      <c r="AK51" s="551"/>
      <c r="AL51" s="551"/>
      <c r="AM51" s="551"/>
      <c r="AN51" s="551"/>
      <c r="AO51" s="551"/>
      <c r="AP51" s="551"/>
      <c r="AQ51" s="551"/>
      <c r="AR51" s="551"/>
      <c r="AS51" s="551"/>
      <c r="AT51" s="551"/>
      <c r="AU51" s="551"/>
      <c r="AV51" s="551"/>
      <c r="AW51" s="551"/>
      <c r="AX51" s="551"/>
      <c r="AY51" s="551"/>
      <c r="AZ51" s="551"/>
      <c r="BA51" s="551"/>
      <c r="BB51" s="551"/>
      <c r="BC51" s="551"/>
      <c r="BD51" s="551"/>
      <c r="BE51" s="551"/>
      <c r="BF51" s="551"/>
      <c r="BG51" s="551"/>
      <c r="BH51" s="551"/>
      <c r="BI51" s="551"/>
      <c r="BJ51" s="551"/>
    </row>
    <row r="52" spans="1:62" ht="12.75" customHeight="1">
      <c r="A52" s="1002"/>
      <c r="B52" s="1020"/>
      <c r="C52" s="1001"/>
      <c r="D52" s="551"/>
      <c r="E52" s="551"/>
      <c r="F52" s="551"/>
      <c r="G52" s="551"/>
      <c r="H52" s="551"/>
      <c r="I52" s="551"/>
      <c r="J52" s="551"/>
      <c r="K52" s="551"/>
      <c r="L52" s="551"/>
      <c r="M52" s="551"/>
      <c r="N52" s="551"/>
      <c r="O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51"/>
      <c r="AA52" s="551"/>
      <c r="AB52" s="551"/>
      <c r="AC52" s="551"/>
      <c r="AD52" s="551"/>
      <c r="AE52" s="551"/>
      <c r="AF52" s="551"/>
      <c r="AG52" s="551"/>
      <c r="AH52" s="551"/>
      <c r="AI52" s="551"/>
      <c r="AJ52" s="551"/>
      <c r="AK52" s="551"/>
      <c r="AL52" s="551"/>
      <c r="AM52" s="551"/>
      <c r="AN52" s="551"/>
      <c r="AO52" s="551"/>
      <c r="AP52" s="551"/>
      <c r="AQ52" s="551"/>
      <c r="AR52" s="551"/>
      <c r="AS52" s="551"/>
      <c r="AT52" s="551"/>
      <c r="AU52" s="551"/>
      <c r="AV52" s="551"/>
      <c r="AW52" s="551"/>
      <c r="AX52" s="551"/>
      <c r="AY52" s="551"/>
      <c r="AZ52" s="551"/>
      <c r="BA52" s="551"/>
      <c r="BB52" s="551"/>
      <c r="BC52" s="551"/>
      <c r="BD52" s="551"/>
      <c r="BE52" s="551"/>
      <c r="BF52" s="551"/>
      <c r="BG52" s="551"/>
      <c r="BH52" s="551"/>
      <c r="BI52" s="551"/>
      <c r="BJ52" s="551"/>
    </row>
    <row r="53" spans="1:62" ht="12.75" customHeight="1">
      <c r="A53" s="1021" t="s">
        <v>276</v>
      </c>
      <c r="B53" s="1020">
        <f>B48+B35+B22</f>
        <v>10617267044</v>
      </c>
      <c r="C53" s="1001"/>
      <c r="D53" s="551"/>
      <c r="E53" s="551"/>
      <c r="F53" s="551"/>
      <c r="G53" s="551"/>
      <c r="H53" s="551"/>
      <c r="I53" s="551"/>
      <c r="J53" s="551"/>
      <c r="K53" s="551"/>
      <c r="L53" s="551"/>
      <c r="M53" s="551"/>
      <c r="N53" s="551"/>
      <c r="O53" s="551"/>
      <c r="P53" s="551"/>
      <c r="Q53" s="551"/>
      <c r="R53" s="551"/>
      <c r="S53" s="551"/>
      <c r="T53" s="551"/>
      <c r="U53" s="551"/>
      <c r="V53" s="551"/>
      <c r="W53" s="551"/>
      <c r="X53" s="551"/>
      <c r="Y53" s="551"/>
      <c r="Z53" s="551"/>
      <c r="AA53" s="551"/>
      <c r="AB53" s="551"/>
      <c r="AC53" s="551"/>
      <c r="AD53" s="551"/>
      <c r="AE53" s="551"/>
      <c r="AF53" s="551"/>
      <c r="AG53" s="551"/>
      <c r="AH53" s="551"/>
      <c r="AI53" s="551"/>
      <c r="AJ53" s="551"/>
      <c r="AK53" s="551"/>
      <c r="AL53" s="551"/>
      <c r="AM53" s="551"/>
      <c r="AN53" s="551"/>
      <c r="AO53" s="551"/>
      <c r="AP53" s="551"/>
      <c r="AQ53" s="551"/>
      <c r="AR53" s="551"/>
      <c r="AS53" s="551"/>
      <c r="AT53" s="551"/>
      <c r="AU53" s="551"/>
      <c r="AV53" s="551"/>
      <c r="AW53" s="551"/>
      <c r="AX53" s="551"/>
      <c r="AY53" s="551"/>
      <c r="AZ53" s="551"/>
      <c r="BA53" s="551"/>
      <c r="BB53" s="551"/>
      <c r="BC53" s="551"/>
      <c r="BD53" s="551"/>
      <c r="BE53" s="551"/>
      <c r="BF53" s="551"/>
      <c r="BG53" s="551"/>
      <c r="BH53" s="551"/>
      <c r="BI53" s="551"/>
      <c r="BJ53" s="551"/>
    </row>
    <row r="54" spans="1:62" ht="12.75" customHeight="1">
      <c r="A54" s="1021"/>
      <c r="B54" s="1020"/>
      <c r="C54" s="1001"/>
      <c r="D54" s="551"/>
      <c r="E54" s="551"/>
      <c r="F54" s="551"/>
      <c r="G54" s="551"/>
      <c r="H54" s="551"/>
      <c r="I54" s="551"/>
      <c r="J54" s="551"/>
      <c r="K54" s="551"/>
      <c r="L54" s="551"/>
      <c r="M54" s="551"/>
      <c r="N54" s="551"/>
      <c r="O54" s="551"/>
      <c r="P54" s="551"/>
      <c r="Q54" s="551"/>
      <c r="R54" s="551"/>
      <c r="S54" s="551"/>
      <c r="T54" s="551"/>
      <c r="U54" s="551"/>
      <c r="V54" s="551"/>
      <c r="W54" s="551"/>
      <c r="X54" s="551"/>
      <c r="Y54" s="551"/>
      <c r="Z54" s="551"/>
      <c r="AA54" s="551"/>
      <c r="AB54" s="551"/>
      <c r="AC54" s="551"/>
      <c r="AD54" s="551"/>
      <c r="AE54" s="551"/>
      <c r="AF54" s="551"/>
      <c r="AG54" s="551"/>
      <c r="AH54" s="551"/>
      <c r="AI54" s="551"/>
      <c r="AJ54" s="551"/>
      <c r="AK54" s="551"/>
      <c r="AL54" s="551"/>
      <c r="AM54" s="551"/>
      <c r="AN54" s="551"/>
      <c r="AO54" s="551"/>
      <c r="AP54" s="551"/>
      <c r="AQ54" s="551"/>
      <c r="AR54" s="551"/>
      <c r="AS54" s="551"/>
      <c r="AT54" s="551"/>
      <c r="AU54" s="551"/>
      <c r="AV54" s="551"/>
      <c r="AW54" s="551"/>
      <c r="AX54" s="551"/>
      <c r="AY54" s="551"/>
      <c r="AZ54" s="551"/>
      <c r="BA54" s="551"/>
      <c r="BB54" s="551"/>
      <c r="BC54" s="551"/>
      <c r="BD54" s="551"/>
      <c r="BE54" s="551"/>
      <c r="BF54" s="551"/>
      <c r="BG54" s="551"/>
      <c r="BH54" s="551"/>
      <c r="BI54" s="551"/>
      <c r="BJ54" s="551"/>
    </row>
    <row r="55" spans="1:62" ht="12.75" customHeight="1">
      <c r="A55" s="1021" t="s">
        <v>277</v>
      </c>
      <c r="B55" s="1020">
        <f>C8</f>
        <v>2570121355</v>
      </c>
      <c r="C55" s="100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  <c r="Q55" s="551"/>
      <c r="R55" s="551"/>
      <c r="S55" s="551"/>
      <c r="T55" s="551"/>
      <c r="U55" s="551"/>
      <c r="V55" s="551"/>
      <c r="W55" s="551"/>
      <c r="X55" s="551"/>
      <c r="Y55" s="551"/>
      <c r="Z55" s="551"/>
      <c r="AA55" s="551"/>
      <c r="AB55" s="551"/>
      <c r="AC55" s="551"/>
      <c r="AD55" s="551"/>
      <c r="AE55" s="551"/>
      <c r="AF55" s="551"/>
      <c r="AG55" s="551"/>
      <c r="AH55" s="551"/>
      <c r="AI55" s="551"/>
      <c r="AJ55" s="551"/>
      <c r="AK55" s="551"/>
      <c r="AL55" s="551"/>
      <c r="AM55" s="551"/>
      <c r="AN55" s="551"/>
      <c r="AO55" s="551"/>
      <c r="AP55" s="551"/>
      <c r="AQ55" s="551"/>
      <c r="AR55" s="551"/>
      <c r="AS55" s="551"/>
      <c r="AT55" s="551"/>
      <c r="AU55" s="551"/>
      <c r="AV55" s="551"/>
      <c r="AW55" s="551"/>
      <c r="AX55" s="551"/>
      <c r="AY55" s="551"/>
      <c r="AZ55" s="551"/>
      <c r="BA55" s="551"/>
      <c r="BB55" s="551"/>
      <c r="BC55" s="551"/>
      <c r="BD55" s="551"/>
      <c r="BE55" s="551"/>
      <c r="BF55" s="551"/>
      <c r="BG55" s="551"/>
      <c r="BH55" s="551"/>
      <c r="BI55" s="551"/>
      <c r="BJ55" s="551"/>
    </row>
    <row r="56" spans="1:62" ht="12.75" customHeight="1">
      <c r="A56" s="1021"/>
      <c r="B56" s="1020"/>
      <c r="C56" s="1001"/>
      <c r="D56" s="551"/>
      <c r="E56" s="551"/>
      <c r="F56" s="551"/>
      <c r="G56" s="551"/>
      <c r="H56" s="551"/>
      <c r="I56" s="551"/>
      <c r="J56" s="551"/>
      <c r="K56" s="551"/>
      <c r="L56" s="551"/>
      <c r="M56" s="551"/>
      <c r="N56" s="551"/>
      <c r="O56" s="551"/>
      <c r="P56" s="551"/>
      <c r="Q56" s="551"/>
      <c r="R56" s="551"/>
      <c r="S56" s="551"/>
      <c r="T56" s="551"/>
      <c r="U56" s="551"/>
      <c r="V56" s="551"/>
      <c r="W56" s="551"/>
      <c r="X56" s="551"/>
      <c r="Y56" s="551"/>
      <c r="Z56" s="551"/>
      <c r="AA56" s="551"/>
      <c r="AB56" s="551"/>
      <c r="AC56" s="551"/>
      <c r="AD56" s="551"/>
      <c r="AE56" s="551"/>
      <c r="AF56" s="551"/>
      <c r="AG56" s="551"/>
      <c r="AH56" s="551"/>
      <c r="AI56" s="551"/>
      <c r="AJ56" s="551"/>
      <c r="AK56" s="551"/>
      <c r="AL56" s="551"/>
      <c r="AM56" s="551"/>
      <c r="AN56" s="551"/>
      <c r="AO56" s="551"/>
      <c r="AP56" s="551"/>
      <c r="AQ56" s="551"/>
      <c r="AR56" s="551"/>
      <c r="AS56" s="551"/>
      <c r="AT56" s="551"/>
      <c r="AU56" s="551"/>
      <c r="AV56" s="551"/>
      <c r="AW56" s="551"/>
      <c r="AX56" s="551"/>
      <c r="AY56" s="551"/>
      <c r="AZ56" s="551"/>
      <c r="BA56" s="551"/>
      <c r="BB56" s="551"/>
      <c r="BC56" s="551"/>
      <c r="BD56" s="551"/>
      <c r="BE56" s="551"/>
      <c r="BF56" s="551"/>
      <c r="BG56" s="551"/>
      <c r="BH56" s="551"/>
      <c r="BI56" s="551"/>
      <c r="BJ56" s="551"/>
    </row>
    <row r="57" spans="1:62" ht="12.75" customHeight="1">
      <c r="A57" s="1027" t="s">
        <v>278</v>
      </c>
      <c r="B57" s="1028">
        <f>B53+B55</f>
        <v>13187388399</v>
      </c>
      <c r="C57" s="1029"/>
      <c r="D57" s="1030"/>
      <c r="E57" s="1030"/>
      <c r="F57" s="1030"/>
      <c r="G57" s="1030"/>
      <c r="H57" s="1030"/>
      <c r="I57" s="1030"/>
      <c r="J57" s="1030"/>
      <c r="K57" s="1030"/>
      <c r="L57" s="1030"/>
      <c r="M57" s="1030"/>
      <c r="N57" s="1030"/>
      <c r="O57" s="1030"/>
      <c r="P57" s="1030"/>
      <c r="Q57" s="1030"/>
      <c r="R57" s="1030"/>
      <c r="S57" s="1030"/>
      <c r="T57" s="1030"/>
      <c r="U57" s="1030"/>
      <c r="V57" s="1030"/>
      <c r="W57" s="1030"/>
      <c r="X57" s="1030"/>
      <c r="Y57" s="1030"/>
      <c r="Z57" s="1030"/>
      <c r="AA57" s="1030"/>
      <c r="AB57" s="1030"/>
      <c r="AC57" s="1030"/>
      <c r="AD57" s="1030"/>
      <c r="AE57" s="1030"/>
      <c r="AF57" s="1030"/>
      <c r="AG57" s="1030"/>
      <c r="AH57" s="1030"/>
      <c r="AI57" s="1030"/>
      <c r="AJ57" s="1030"/>
      <c r="AK57" s="1030"/>
      <c r="AL57" s="1030"/>
      <c r="AM57" s="1030"/>
      <c r="AN57" s="1030"/>
      <c r="AO57" s="1030"/>
      <c r="AP57" s="1030"/>
      <c r="AQ57" s="1030"/>
      <c r="AR57" s="1030"/>
      <c r="AS57" s="1030"/>
      <c r="AT57" s="1030"/>
      <c r="AU57" s="1030"/>
      <c r="AV57" s="1030"/>
      <c r="AW57" s="1030"/>
      <c r="AX57" s="1030"/>
      <c r="AY57" s="1030"/>
      <c r="AZ57" s="1030"/>
      <c r="BA57" s="551"/>
      <c r="BB57" s="551"/>
      <c r="BC57" s="551"/>
      <c r="BD57" s="551"/>
      <c r="BE57" s="551"/>
      <c r="BF57" s="551"/>
      <c r="BG57" s="551"/>
      <c r="BH57" s="551"/>
      <c r="BI57" s="551"/>
      <c r="BJ57" s="551"/>
    </row>
    <row r="58" spans="1:62" ht="12.75" customHeight="1">
      <c r="A58" s="1031"/>
      <c r="B58" s="551"/>
      <c r="C58" s="1445">
        <f t="shared" ref="C58:Y58" si="5">SUM(C9:C57)</f>
        <v>10617267044</v>
      </c>
      <c r="D58" s="1445"/>
      <c r="E58" s="1445">
        <f t="shared" si="5"/>
        <v>0</v>
      </c>
      <c r="F58" s="1445">
        <f t="shared" si="5"/>
        <v>0</v>
      </c>
      <c r="G58" s="1445">
        <f t="shared" si="5"/>
        <v>0</v>
      </c>
      <c r="H58" s="1445">
        <f t="shared" si="5"/>
        <v>0</v>
      </c>
      <c r="I58" s="1445">
        <f t="shared" si="5"/>
        <v>0</v>
      </c>
      <c r="J58" s="1445">
        <f t="shared" si="5"/>
        <v>0</v>
      </c>
      <c r="K58" s="1445">
        <f t="shared" si="5"/>
        <v>0</v>
      </c>
      <c r="L58" s="1445">
        <f t="shared" si="5"/>
        <v>0</v>
      </c>
      <c r="M58" s="1445">
        <f t="shared" si="5"/>
        <v>0</v>
      </c>
      <c r="N58" s="1445">
        <f t="shared" si="5"/>
        <v>0</v>
      </c>
      <c r="O58" s="1445">
        <f t="shared" si="5"/>
        <v>0</v>
      </c>
      <c r="P58" s="1445">
        <f t="shared" si="5"/>
        <v>0</v>
      </c>
      <c r="Q58" s="1445">
        <f t="shared" si="5"/>
        <v>0</v>
      </c>
      <c r="R58" s="1445">
        <f t="shared" si="5"/>
        <v>0</v>
      </c>
      <c r="S58" s="1445">
        <f t="shared" si="5"/>
        <v>0</v>
      </c>
      <c r="T58" s="1445">
        <f t="shared" si="5"/>
        <v>0</v>
      </c>
      <c r="U58" s="1445">
        <f t="shared" si="5"/>
        <v>0</v>
      </c>
      <c r="V58" s="1445">
        <f t="shared" si="5"/>
        <v>0</v>
      </c>
      <c r="W58" s="1445">
        <f t="shared" si="5"/>
        <v>0</v>
      </c>
      <c r="X58" s="1445">
        <f t="shared" si="5"/>
        <v>0</v>
      </c>
      <c r="Y58" s="1445">
        <f t="shared" si="5"/>
        <v>0</v>
      </c>
      <c r="Z58" s="1445"/>
      <c r="AA58" s="1445">
        <f t="shared" ref="AA58:AS58" si="6">SUM(AA9:AA57)</f>
        <v>0</v>
      </c>
      <c r="AB58" s="1445">
        <f t="shared" si="6"/>
        <v>0</v>
      </c>
      <c r="AC58" s="1445">
        <f t="shared" si="6"/>
        <v>0</v>
      </c>
      <c r="AD58" s="1445">
        <f t="shared" si="6"/>
        <v>0</v>
      </c>
      <c r="AE58" s="1445">
        <f t="shared" si="6"/>
        <v>0</v>
      </c>
      <c r="AF58" s="1445">
        <f t="shared" si="6"/>
        <v>0</v>
      </c>
      <c r="AG58" s="1445">
        <f t="shared" si="6"/>
        <v>0</v>
      </c>
      <c r="AH58" s="1445">
        <f t="shared" si="6"/>
        <v>0</v>
      </c>
      <c r="AI58" s="1445">
        <f t="shared" si="6"/>
        <v>0</v>
      </c>
      <c r="AJ58" s="1445">
        <f t="shared" si="6"/>
        <v>0</v>
      </c>
      <c r="AK58" s="1445">
        <f t="shared" si="6"/>
        <v>0</v>
      </c>
      <c r="AL58" s="1445">
        <f t="shared" si="6"/>
        <v>0</v>
      </c>
      <c r="AM58" s="1445">
        <f t="shared" si="6"/>
        <v>0</v>
      </c>
      <c r="AN58" s="1445">
        <f t="shared" si="6"/>
        <v>0</v>
      </c>
      <c r="AO58" s="1445">
        <f t="shared" si="6"/>
        <v>0</v>
      </c>
      <c r="AP58" s="1445">
        <f t="shared" si="6"/>
        <v>0</v>
      </c>
      <c r="AQ58" s="1445">
        <f t="shared" si="6"/>
        <v>0</v>
      </c>
      <c r="AR58" s="1445">
        <f t="shared" si="6"/>
        <v>0</v>
      </c>
      <c r="AS58" s="1445">
        <f t="shared" si="6"/>
        <v>0</v>
      </c>
      <c r="AT58" s="1445"/>
      <c r="AU58" s="1445"/>
      <c r="AV58" s="1445"/>
      <c r="AW58" s="1445">
        <f>SUM(AW9:AW57)</f>
        <v>0</v>
      </c>
      <c r="AX58" s="1445">
        <f>SUM(AX9:AX57)</f>
        <v>0</v>
      </c>
      <c r="AY58" s="1445">
        <f>SUM(AY9:AY57)</f>
        <v>0</v>
      </c>
      <c r="AZ58" s="1445">
        <f>SUM(AZ9:AZ57)</f>
        <v>0</v>
      </c>
      <c r="BA58" s="1445"/>
      <c r="BB58" s="1445">
        <f>SUM(BB9:BB57)</f>
        <v>0</v>
      </c>
      <c r="BC58" s="1445">
        <f>SUM(BC9:BC57)</f>
        <v>0</v>
      </c>
      <c r="BD58" s="1445"/>
      <c r="BE58" s="1445">
        <f>SUM(BE9:BE57)</f>
        <v>0</v>
      </c>
      <c r="BF58" s="1445">
        <f>SUM(BF9:BF57)</f>
        <v>0</v>
      </c>
      <c r="BG58" s="1445">
        <f>SUM(BG9:BG57)</f>
        <v>0</v>
      </c>
      <c r="BH58" s="551">
        <f>SUM(E58:BG58)</f>
        <v>0</v>
      </c>
      <c r="BI58" s="551"/>
      <c r="BJ58" s="551"/>
    </row>
    <row r="59" spans="1:62" ht="12.75" customHeight="1">
      <c r="A59" s="551"/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51"/>
      <c r="AB59" s="551"/>
      <c r="AC59" s="551"/>
      <c r="AD59" s="551"/>
      <c r="AE59" s="551"/>
      <c r="AF59" s="551"/>
      <c r="AG59" s="551"/>
      <c r="AH59" s="551"/>
      <c r="AI59" s="551"/>
      <c r="AJ59" s="551"/>
      <c r="AK59" s="551"/>
      <c r="AL59" s="551"/>
      <c r="AM59" s="551"/>
      <c r="AN59" s="551"/>
      <c r="AO59" s="551"/>
      <c r="AP59" s="551"/>
      <c r="AQ59" s="551"/>
      <c r="AR59" s="551"/>
      <c r="AS59" s="551"/>
      <c r="AT59" s="551"/>
      <c r="AU59" s="551"/>
      <c r="AV59" s="551"/>
      <c r="AW59" s="551"/>
      <c r="AX59" s="551"/>
      <c r="AY59" s="551"/>
      <c r="AZ59" s="551"/>
      <c r="BA59" s="551"/>
      <c r="BB59" s="551"/>
      <c r="BC59" s="551"/>
      <c r="BD59" s="551"/>
      <c r="BE59" s="551"/>
      <c r="BF59" s="551"/>
      <c r="BG59" s="551"/>
      <c r="BH59" s="551"/>
      <c r="BI59" s="551"/>
      <c r="BJ59" s="551"/>
    </row>
    <row r="60" spans="1:62" ht="12.75" customHeight="1">
      <c r="A60" s="551"/>
      <c r="B60" s="551"/>
      <c r="C60" s="551"/>
      <c r="D60" s="551"/>
      <c r="E60" s="551"/>
      <c r="F60" s="551"/>
      <c r="G60" s="551"/>
      <c r="H60" s="551"/>
      <c r="I60" s="551"/>
      <c r="J60" s="551"/>
      <c r="K60" s="551"/>
      <c r="L60" s="551"/>
      <c r="M60" s="551"/>
      <c r="N60" s="551"/>
      <c r="O60" s="551"/>
      <c r="P60" s="551"/>
      <c r="Q60" s="551"/>
      <c r="R60" s="551"/>
      <c r="S60" s="551"/>
      <c r="T60" s="551"/>
      <c r="U60" s="551"/>
      <c r="V60" s="551"/>
      <c r="W60" s="551"/>
      <c r="X60" s="551"/>
      <c r="Y60" s="551"/>
      <c r="Z60" s="551"/>
      <c r="AA60" s="551"/>
      <c r="AB60" s="551"/>
      <c r="AC60" s="551"/>
      <c r="AD60" s="551"/>
      <c r="AE60" s="551"/>
      <c r="AF60" s="551"/>
      <c r="AG60" s="551"/>
      <c r="AH60" s="551"/>
      <c r="AI60" s="551"/>
      <c r="AJ60" s="551"/>
      <c r="AK60" s="551"/>
      <c r="AL60" s="551"/>
      <c r="AM60" s="551"/>
      <c r="AN60" s="551"/>
      <c r="AO60" s="551"/>
      <c r="AP60" s="551"/>
      <c r="AQ60" s="551"/>
      <c r="AR60" s="551"/>
      <c r="AS60" s="551"/>
      <c r="AT60" s="551"/>
      <c r="AU60" s="551"/>
      <c r="AV60" s="551"/>
      <c r="AW60" s="551"/>
      <c r="AX60" s="551"/>
      <c r="AY60" s="551"/>
      <c r="AZ60" s="551"/>
      <c r="BA60" s="551"/>
      <c r="BB60" s="551"/>
      <c r="BC60" s="551"/>
      <c r="BD60" s="551"/>
      <c r="BE60" s="551"/>
      <c r="BF60" s="551"/>
      <c r="BG60" s="551"/>
      <c r="BH60" s="551"/>
      <c r="BI60" s="551"/>
      <c r="BJ60" s="551"/>
    </row>
    <row r="61" spans="1:62" ht="12.75" customHeight="1">
      <c r="A61" s="551"/>
      <c r="B61" s="1033">
        <f>'BS Konsol-Des 24'!I11</f>
        <v>13187388399</v>
      </c>
      <c r="C61" s="551"/>
      <c r="D61" s="551"/>
      <c r="E61" s="551"/>
      <c r="F61" s="551"/>
      <c r="G61" s="551"/>
      <c r="H61" s="551"/>
      <c r="I61" s="551"/>
      <c r="J61" s="551"/>
      <c r="K61" s="551"/>
      <c r="L61" s="551"/>
      <c r="M61" s="551"/>
      <c r="N61" s="551"/>
      <c r="O61" s="551"/>
      <c r="P61" s="551"/>
      <c r="Q61" s="551"/>
      <c r="R61" s="551"/>
      <c r="S61" s="551"/>
      <c r="T61" s="551"/>
      <c r="U61" s="551"/>
      <c r="V61" s="551"/>
      <c r="W61" s="551"/>
      <c r="X61" s="551"/>
      <c r="Y61" s="551"/>
      <c r="Z61" s="551"/>
      <c r="AA61" s="551"/>
      <c r="AB61" s="551"/>
      <c r="AC61" s="551"/>
      <c r="AD61" s="551"/>
      <c r="AE61" s="551"/>
      <c r="AF61" s="551"/>
      <c r="AG61" s="551"/>
      <c r="AH61" s="551"/>
      <c r="AI61" s="551"/>
      <c r="AJ61" s="551"/>
      <c r="AK61" s="551"/>
      <c r="AL61" s="551"/>
      <c r="AM61" s="551"/>
      <c r="AN61" s="551"/>
      <c r="AO61" s="551"/>
      <c r="AP61" s="551"/>
      <c r="AQ61" s="551"/>
      <c r="AR61" s="551"/>
      <c r="AS61" s="551"/>
      <c r="AT61" s="551"/>
      <c r="AU61" s="551"/>
      <c r="AV61" s="551"/>
      <c r="AW61" s="551"/>
      <c r="AX61" s="551"/>
      <c r="AY61" s="551"/>
      <c r="AZ61" s="551"/>
      <c r="BA61" s="551"/>
      <c r="BB61" s="551"/>
      <c r="BC61" s="551"/>
      <c r="BD61" s="551"/>
      <c r="BE61" s="551"/>
      <c r="BF61" s="551"/>
      <c r="BG61" s="551"/>
      <c r="BH61" s="551"/>
      <c r="BI61" s="551"/>
      <c r="BJ61" s="551"/>
    </row>
    <row r="62" spans="1:62" ht="12.75" customHeight="1">
      <c r="A62" s="551" t="s">
        <v>279</v>
      </c>
      <c r="B62" s="551">
        <f>B61-B57</f>
        <v>0</v>
      </c>
      <c r="C62" s="551"/>
      <c r="D62" s="551"/>
      <c r="E62" s="551"/>
      <c r="F62" s="551"/>
      <c r="G62" s="551"/>
      <c r="H62" s="551"/>
      <c r="I62" s="551"/>
      <c r="J62" s="551"/>
      <c r="K62" s="551"/>
      <c r="L62" s="551"/>
      <c r="M62" s="551"/>
      <c r="N62" s="551"/>
      <c r="O62" s="551"/>
      <c r="P62" s="551"/>
      <c r="Q62" s="551"/>
      <c r="R62" s="551"/>
      <c r="S62" s="551"/>
      <c r="T62" s="551"/>
      <c r="U62" s="551"/>
      <c r="V62" s="551"/>
      <c r="W62" s="551"/>
      <c r="X62" s="551"/>
      <c r="Y62" s="551"/>
      <c r="Z62" s="551"/>
      <c r="AA62" s="551"/>
      <c r="AB62" s="551"/>
      <c r="AC62" s="551"/>
      <c r="AD62" s="551"/>
      <c r="AE62" s="551"/>
      <c r="AF62" s="551"/>
      <c r="AG62" s="551"/>
      <c r="AH62" s="551"/>
      <c r="AI62" s="551"/>
      <c r="AJ62" s="551"/>
      <c r="AK62" s="551"/>
      <c r="AL62" s="551"/>
      <c r="AM62" s="551"/>
      <c r="AN62" s="551"/>
      <c r="AO62" s="551"/>
      <c r="AP62" s="551"/>
      <c r="AQ62" s="551"/>
      <c r="AR62" s="551"/>
      <c r="AS62" s="551"/>
      <c r="AT62" s="551"/>
      <c r="AU62" s="551"/>
      <c r="AV62" s="551"/>
      <c r="AW62" s="551"/>
      <c r="AX62" s="551"/>
      <c r="AY62" s="551"/>
      <c r="AZ62" s="551"/>
      <c r="BA62" s="551"/>
      <c r="BB62" s="551"/>
      <c r="BC62" s="551"/>
      <c r="BD62" s="551"/>
      <c r="BE62" s="551"/>
      <c r="BF62" s="551"/>
      <c r="BG62" s="551"/>
      <c r="BH62" s="551"/>
      <c r="BI62" s="551"/>
      <c r="BJ62" s="551"/>
    </row>
    <row r="63" spans="1:62" ht="12.75" customHeight="1">
      <c r="A63" s="551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1"/>
      <c r="P63" s="551"/>
      <c r="Q63" s="551"/>
      <c r="R63" s="551"/>
      <c r="S63" s="551"/>
      <c r="T63" s="551"/>
      <c r="U63" s="551"/>
      <c r="V63" s="551"/>
      <c r="W63" s="551"/>
      <c r="X63" s="551"/>
      <c r="Y63" s="551"/>
      <c r="Z63" s="551"/>
      <c r="AA63" s="551"/>
      <c r="AB63" s="551"/>
      <c r="AC63" s="551"/>
      <c r="AD63" s="551"/>
      <c r="AE63" s="551"/>
      <c r="AF63" s="551"/>
      <c r="AG63" s="551"/>
      <c r="AH63" s="551"/>
      <c r="AI63" s="551"/>
      <c r="AJ63" s="551"/>
      <c r="AK63" s="551"/>
      <c r="AL63" s="551"/>
      <c r="AM63" s="551"/>
      <c r="AN63" s="551"/>
      <c r="AO63" s="551"/>
      <c r="AP63" s="551"/>
      <c r="AQ63" s="551"/>
      <c r="AR63" s="551"/>
      <c r="AS63" s="551"/>
      <c r="AT63" s="551"/>
      <c r="AU63" s="551"/>
      <c r="AV63" s="551"/>
      <c r="AW63" s="551"/>
      <c r="AX63" s="551"/>
      <c r="AY63" s="551"/>
      <c r="AZ63" s="551"/>
      <c r="BA63" s="551"/>
      <c r="BB63" s="551"/>
      <c r="BC63" s="551"/>
      <c r="BD63" s="551"/>
      <c r="BE63" s="551"/>
      <c r="BF63" s="551"/>
      <c r="BG63" s="551"/>
      <c r="BH63" s="551"/>
      <c r="BI63" s="551"/>
      <c r="BJ63" s="551"/>
    </row>
    <row r="64" spans="1:62" ht="12.75" customHeight="1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1"/>
      <c r="P64" s="551"/>
      <c r="Q64" s="551"/>
      <c r="R64" s="551"/>
      <c r="S64" s="551"/>
      <c r="T64" s="551"/>
      <c r="U64" s="551"/>
      <c r="V64" s="551"/>
      <c r="W64" s="551"/>
      <c r="X64" s="551"/>
      <c r="Y64" s="551"/>
      <c r="Z64" s="551"/>
      <c r="AA64" s="551"/>
      <c r="AB64" s="551"/>
      <c r="AC64" s="551"/>
      <c r="AD64" s="551"/>
      <c r="AE64" s="551"/>
      <c r="AF64" s="551"/>
      <c r="AG64" s="551"/>
      <c r="AH64" s="551"/>
      <c r="AI64" s="551"/>
      <c r="AJ64" s="551"/>
      <c r="AK64" s="551"/>
      <c r="AL64" s="551"/>
      <c r="AM64" s="551"/>
      <c r="AN64" s="551"/>
      <c r="AO64" s="551"/>
      <c r="AP64" s="551"/>
      <c r="AQ64" s="551"/>
      <c r="AR64" s="551"/>
      <c r="AS64" s="551"/>
      <c r="AT64" s="551"/>
      <c r="AU64" s="551"/>
      <c r="AV64" s="551"/>
      <c r="AW64" s="551"/>
      <c r="AX64" s="551"/>
      <c r="AY64" s="551"/>
      <c r="AZ64" s="551"/>
      <c r="BA64" s="551"/>
      <c r="BB64" s="551"/>
      <c r="BC64" s="551"/>
      <c r="BD64" s="551"/>
      <c r="BE64" s="551"/>
      <c r="BF64" s="551"/>
      <c r="BG64" s="551"/>
      <c r="BH64" s="551"/>
      <c r="BI64" s="551"/>
      <c r="BJ64" s="551"/>
    </row>
    <row r="65" spans="1:62" ht="12.75" customHeight="1">
      <c r="A65" s="551"/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51"/>
      <c r="AB65" s="551"/>
      <c r="AC65" s="551"/>
      <c r="AD65" s="551"/>
      <c r="AE65" s="551"/>
      <c r="AF65" s="551"/>
      <c r="AG65" s="551"/>
      <c r="AH65" s="551"/>
      <c r="AI65" s="551"/>
      <c r="AJ65" s="551"/>
      <c r="AK65" s="551"/>
      <c r="AL65" s="551"/>
      <c r="AM65" s="551"/>
      <c r="AN65" s="551"/>
      <c r="AO65" s="551"/>
      <c r="AP65" s="551"/>
      <c r="AQ65" s="551"/>
      <c r="AR65" s="551"/>
      <c r="AS65" s="551"/>
      <c r="AT65" s="551"/>
      <c r="AU65" s="551"/>
      <c r="AV65" s="551"/>
      <c r="AW65" s="551"/>
      <c r="AX65" s="551"/>
      <c r="AY65" s="551"/>
      <c r="AZ65" s="551"/>
      <c r="BA65" s="551"/>
      <c r="BB65" s="551"/>
      <c r="BC65" s="551"/>
      <c r="BD65" s="551"/>
      <c r="BE65" s="551"/>
      <c r="BF65" s="551"/>
      <c r="BG65" s="551"/>
      <c r="BH65" s="551"/>
      <c r="BI65" s="551"/>
      <c r="BJ65" s="551"/>
    </row>
    <row r="66" spans="1:62" ht="12.75" customHeight="1">
      <c r="A66" s="551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1"/>
      <c r="M66" s="551"/>
      <c r="N66" s="551"/>
      <c r="O66" s="551"/>
      <c r="P66" s="551"/>
      <c r="Q66" s="551"/>
      <c r="R66" s="551"/>
      <c r="S66" s="551"/>
      <c r="T66" s="551"/>
      <c r="U66" s="551"/>
      <c r="V66" s="551"/>
      <c r="W66" s="551"/>
      <c r="X66" s="551"/>
      <c r="Y66" s="551"/>
      <c r="Z66" s="551"/>
      <c r="AA66" s="551"/>
      <c r="AB66" s="551"/>
      <c r="AC66" s="551"/>
      <c r="AD66" s="551"/>
      <c r="AE66" s="551"/>
      <c r="AF66" s="551"/>
      <c r="AG66" s="551"/>
      <c r="AH66" s="551"/>
      <c r="AI66" s="551"/>
      <c r="AJ66" s="551"/>
      <c r="AK66" s="551"/>
      <c r="AL66" s="551"/>
      <c r="AM66" s="551"/>
      <c r="AN66" s="551"/>
      <c r="AO66" s="551"/>
      <c r="AP66" s="551"/>
      <c r="AQ66" s="551"/>
      <c r="AR66" s="551"/>
      <c r="AS66" s="551"/>
      <c r="AT66" s="551"/>
      <c r="AU66" s="551"/>
      <c r="AV66" s="551"/>
      <c r="AW66" s="551"/>
      <c r="AX66" s="551"/>
      <c r="AY66" s="551"/>
      <c r="AZ66" s="551"/>
      <c r="BA66" s="551"/>
      <c r="BB66" s="551"/>
      <c r="BC66" s="551"/>
      <c r="BD66" s="551"/>
      <c r="BE66" s="551"/>
      <c r="BF66" s="551"/>
      <c r="BG66" s="551"/>
      <c r="BH66" s="551"/>
      <c r="BI66" s="551"/>
      <c r="BJ66" s="551"/>
    </row>
    <row r="67" spans="1:62" ht="12.75" customHeight="1">
      <c r="A67" s="551"/>
      <c r="B67" s="551"/>
      <c r="C67" s="551"/>
      <c r="D67" s="551"/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1"/>
      <c r="R67" s="551"/>
      <c r="S67" s="551"/>
      <c r="T67" s="551"/>
      <c r="U67" s="551"/>
      <c r="V67" s="551"/>
      <c r="W67" s="551"/>
      <c r="X67" s="551"/>
      <c r="Y67" s="551"/>
      <c r="Z67" s="551"/>
      <c r="AA67" s="551"/>
      <c r="AB67" s="551"/>
      <c r="AC67" s="551"/>
      <c r="AD67" s="551"/>
      <c r="AE67" s="551"/>
      <c r="AF67" s="551"/>
      <c r="AG67" s="551"/>
      <c r="AH67" s="551"/>
      <c r="AI67" s="551"/>
      <c r="AJ67" s="551"/>
      <c r="AK67" s="551"/>
      <c r="AL67" s="551"/>
      <c r="AM67" s="551"/>
      <c r="AN67" s="551"/>
      <c r="AO67" s="551"/>
      <c r="AP67" s="551"/>
      <c r="AQ67" s="551"/>
      <c r="AR67" s="551"/>
      <c r="AS67" s="551"/>
      <c r="AT67" s="551"/>
      <c r="AU67" s="551"/>
      <c r="AV67" s="551"/>
      <c r="AW67" s="551"/>
      <c r="AX67" s="551"/>
      <c r="AY67" s="551"/>
      <c r="AZ67" s="551"/>
      <c r="BA67" s="551"/>
      <c r="BB67" s="551"/>
      <c r="BC67" s="551"/>
      <c r="BD67" s="551"/>
      <c r="BE67" s="551"/>
      <c r="BF67" s="551"/>
      <c r="BG67" s="551"/>
      <c r="BH67" s="551"/>
      <c r="BI67" s="551"/>
      <c r="BJ67" s="551"/>
    </row>
    <row r="68" spans="1:62" ht="12.75" customHeight="1">
      <c r="A68" s="551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1"/>
      <c r="M68" s="551"/>
      <c r="N68" s="551"/>
      <c r="O68" s="551"/>
      <c r="P68" s="551"/>
      <c r="Q68" s="551"/>
      <c r="R68" s="551"/>
      <c r="S68" s="551"/>
      <c r="T68" s="551"/>
      <c r="U68" s="551"/>
      <c r="V68" s="551"/>
      <c r="W68" s="551"/>
      <c r="X68" s="551"/>
      <c r="Y68" s="551"/>
      <c r="Z68" s="551"/>
      <c r="AA68" s="551"/>
      <c r="AB68" s="551"/>
      <c r="AC68" s="551"/>
      <c r="AD68" s="551"/>
      <c r="AE68" s="551"/>
      <c r="AF68" s="551"/>
      <c r="AG68" s="551"/>
      <c r="AH68" s="551"/>
      <c r="AI68" s="551"/>
      <c r="AJ68" s="551"/>
      <c r="AK68" s="551"/>
      <c r="AL68" s="551"/>
      <c r="AM68" s="551"/>
      <c r="AN68" s="551"/>
      <c r="AO68" s="551"/>
      <c r="AP68" s="551"/>
      <c r="AQ68" s="551"/>
      <c r="AR68" s="551"/>
      <c r="AS68" s="551"/>
      <c r="AT68" s="551"/>
      <c r="AU68" s="551"/>
      <c r="AV68" s="551"/>
      <c r="AW68" s="551"/>
      <c r="AX68" s="551"/>
      <c r="AY68" s="551"/>
      <c r="AZ68" s="551"/>
      <c r="BA68" s="551"/>
      <c r="BB68" s="551"/>
      <c r="BC68" s="551"/>
      <c r="BD68" s="551"/>
      <c r="BE68" s="551"/>
      <c r="BF68" s="551"/>
      <c r="BG68" s="551"/>
      <c r="BH68" s="551"/>
      <c r="BI68" s="551"/>
      <c r="BJ68" s="551"/>
    </row>
    <row r="69" spans="1:62" ht="12.75" customHeight="1">
      <c r="A69" s="551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1"/>
      <c r="P69" s="551"/>
      <c r="Q69" s="551"/>
      <c r="R69" s="551"/>
      <c r="S69" s="551"/>
      <c r="T69" s="551"/>
      <c r="U69" s="551"/>
      <c r="V69" s="551"/>
      <c r="W69" s="551"/>
      <c r="X69" s="551"/>
      <c r="Y69" s="551"/>
      <c r="Z69" s="551"/>
      <c r="AA69" s="551"/>
      <c r="AB69" s="551"/>
      <c r="AC69" s="551"/>
      <c r="AD69" s="551"/>
      <c r="AE69" s="551"/>
      <c r="AF69" s="551"/>
      <c r="AG69" s="551"/>
      <c r="AH69" s="551"/>
      <c r="AI69" s="551"/>
      <c r="AJ69" s="551"/>
      <c r="AK69" s="551"/>
      <c r="AL69" s="551"/>
      <c r="AM69" s="551"/>
      <c r="AN69" s="551"/>
      <c r="AO69" s="551"/>
      <c r="AP69" s="551"/>
      <c r="AQ69" s="551"/>
      <c r="AR69" s="551"/>
      <c r="AS69" s="551"/>
      <c r="AT69" s="551"/>
      <c r="AU69" s="551"/>
      <c r="AV69" s="551"/>
      <c r="AW69" s="551"/>
      <c r="AX69" s="551"/>
      <c r="AY69" s="551"/>
      <c r="AZ69" s="551"/>
      <c r="BA69" s="551"/>
      <c r="BB69" s="551"/>
      <c r="BC69" s="551"/>
      <c r="BD69" s="551"/>
      <c r="BE69" s="551"/>
      <c r="BF69" s="551"/>
      <c r="BG69" s="551"/>
      <c r="BH69" s="551"/>
      <c r="BI69" s="551"/>
      <c r="BJ69" s="551"/>
    </row>
    <row r="70" spans="1:62" ht="12.75" customHeight="1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1"/>
      <c r="P70" s="551"/>
      <c r="Q70" s="551"/>
      <c r="R70" s="551"/>
      <c r="S70" s="551"/>
      <c r="T70" s="551"/>
      <c r="U70" s="551"/>
      <c r="V70" s="551"/>
      <c r="W70" s="551"/>
      <c r="X70" s="551"/>
      <c r="Y70" s="551"/>
      <c r="Z70" s="551"/>
      <c r="AA70" s="551"/>
      <c r="AB70" s="551"/>
      <c r="AC70" s="551"/>
      <c r="AD70" s="551"/>
      <c r="AE70" s="551"/>
      <c r="AF70" s="551"/>
      <c r="AG70" s="551"/>
      <c r="AH70" s="551"/>
      <c r="AI70" s="551"/>
      <c r="AJ70" s="551"/>
      <c r="AK70" s="551"/>
      <c r="AL70" s="551"/>
      <c r="AM70" s="551"/>
      <c r="AN70" s="551"/>
      <c r="AO70" s="551"/>
      <c r="AP70" s="551"/>
      <c r="AQ70" s="551"/>
      <c r="AR70" s="551"/>
      <c r="AS70" s="551"/>
      <c r="AT70" s="551"/>
      <c r="AU70" s="551"/>
      <c r="AV70" s="551"/>
      <c r="AW70" s="551"/>
      <c r="AX70" s="551"/>
      <c r="AY70" s="551"/>
      <c r="AZ70" s="551"/>
      <c r="BA70" s="551"/>
      <c r="BB70" s="551"/>
      <c r="BC70" s="551"/>
      <c r="BD70" s="551"/>
      <c r="BE70" s="551"/>
      <c r="BF70" s="551"/>
      <c r="BG70" s="551"/>
      <c r="BH70" s="551"/>
      <c r="BI70" s="551"/>
      <c r="BJ70" s="551"/>
    </row>
    <row r="71" spans="1:62" ht="12.75" customHeight="1">
      <c r="A71" s="551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1"/>
      <c r="AB71" s="551"/>
      <c r="AC71" s="551"/>
      <c r="AD71" s="551"/>
      <c r="AE71" s="551"/>
      <c r="AF71" s="551"/>
      <c r="AG71" s="551"/>
      <c r="AH71" s="551"/>
      <c r="AI71" s="551"/>
      <c r="AJ71" s="551"/>
      <c r="AK71" s="551"/>
      <c r="AL71" s="551"/>
      <c r="AM71" s="551"/>
      <c r="AN71" s="551"/>
      <c r="AO71" s="551"/>
      <c r="AP71" s="551"/>
      <c r="AQ71" s="551"/>
      <c r="AR71" s="551"/>
      <c r="AS71" s="551"/>
      <c r="AT71" s="551"/>
      <c r="AU71" s="551"/>
      <c r="AV71" s="551"/>
      <c r="AW71" s="551"/>
      <c r="AX71" s="551"/>
      <c r="AY71" s="551"/>
      <c r="AZ71" s="551"/>
      <c r="BA71" s="551"/>
      <c r="BB71" s="551"/>
      <c r="BC71" s="551"/>
      <c r="BD71" s="551"/>
      <c r="BE71" s="551"/>
      <c r="BF71" s="551"/>
      <c r="BG71" s="551"/>
      <c r="BH71" s="551"/>
      <c r="BI71" s="551"/>
      <c r="BJ71" s="551"/>
    </row>
    <row r="72" spans="1:62" ht="12.75" customHeight="1">
      <c r="A72" s="551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1"/>
      <c r="AB72" s="551"/>
      <c r="AC72" s="551"/>
      <c r="AD72" s="551"/>
      <c r="AE72" s="551"/>
      <c r="AF72" s="551"/>
      <c r="AG72" s="551"/>
      <c r="AH72" s="551"/>
      <c r="AI72" s="551"/>
      <c r="AJ72" s="551"/>
      <c r="AK72" s="551"/>
      <c r="AL72" s="551"/>
      <c r="AM72" s="551"/>
      <c r="AN72" s="551"/>
      <c r="AO72" s="551"/>
      <c r="AP72" s="551"/>
      <c r="AQ72" s="551"/>
      <c r="AR72" s="551"/>
      <c r="AS72" s="551"/>
      <c r="AT72" s="551"/>
      <c r="AU72" s="551"/>
      <c r="AV72" s="551"/>
      <c r="AW72" s="551"/>
      <c r="AX72" s="551"/>
      <c r="AY72" s="551"/>
      <c r="AZ72" s="551"/>
      <c r="BA72" s="551"/>
      <c r="BB72" s="551"/>
      <c r="BC72" s="551"/>
      <c r="BD72" s="551"/>
      <c r="BE72" s="551"/>
      <c r="BF72" s="551"/>
      <c r="BG72" s="551"/>
      <c r="BH72" s="551"/>
      <c r="BI72" s="551"/>
      <c r="BJ72" s="551"/>
    </row>
    <row r="73" spans="1:62" ht="12.75" customHeight="1">
      <c r="A73" s="551"/>
      <c r="B73" s="551"/>
      <c r="C73" s="551"/>
      <c r="D73" s="551"/>
      <c r="E73" s="551"/>
      <c r="F73" s="551"/>
      <c r="G73" s="551"/>
      <c r="H73" s="551"/>
      <c r="I73" s="551"/>
      <c r="J73" s="551"/>
      <c r="K73" s="551"/>
      <c r="L73" s="551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  <c r="AA73" s="551"/>
      <c r="AB73" s="551"/>
      <c r="AC73" s="551"/>
      <c r="AD73" s="551"/>
      <c r="AE73" s="551"/>
      <c r="AF73" s="551"/>
      <c r="AG73" s="551"/>
      <c r="AH73" s="551"/>
      <c r="AI73" s="551"/>
      <c r="AJ73" s="551"/>
      <c r="AK73" s="551"/>
      <c r="AL73" s="551"/>
      <c r="AM73" s="551"/>
      <c r="AN73" s="551"/>
      <c r="AO73" s="551"/>
      <c r="AP73" s="551"/>
      <c r="AQ73" s="551"/>
      <c r="AR73" s="551"/>
      <c r="AS73" s="551"/>
      <c r="AT73" s="551"/>
      <c r="AU73" s="551"/>
      <c r="AV73" s="551"/>
      <c r="AW73" s="551"/>
      <c r="AX73" s="551"/>
      <c r="AY73" s="551"/>
      <c r="AZ73" s="551"/>
      <c r="BA73" s="551"/>
      <c r="BB73" s="551"/>
      <c r="BC73" s="551"/>
      <c r="BD73" s="551"/>
      <c r="BE73" s="551"/>
      <c r="BF73" s="551"/>
      <c r="BG73" s="551"/>
      <c r="BH73" s="551"/>
      <c r="BI73" s="551"/>
      <c r="BJ73" s="551"/>
    </row>
    <row r="74" spans="1:62" ht="12.75" customHeight="1">
      <c r="A74" s="551"/>
      <c r="B74" s="551"/>
      <c r="C74" s="551"/>
      <c r="D74" s="551"/>
      <c r="E74" s="551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  <c r="AA74" s="551"/>
      <c r="AB74" s="551"/>
      <c r="AC74" s="551"/>
      <c r="AD74" s="551"/>
      <c r="AE74" s="551"/>
      <c r="AF74" s="551"/>
      <c r="AG74" s="551"/>
      <c r="AH74" s="551"/>
      <c r="AI74" s="551"/>
      <c r="AJ74" s="551"/>
      <c r="AK74" s="551"/>
      <c r="AL74" s="551"/>
      <c r="AM74" s="551"/>
      <c r="AN74" s="551"/>
      <c r="AO74" s="551"/>
      <c r="AP74" s="551"/>
      <c r="AQ74" s="551"/>
      <c r="AR74" s="551"/>
      <c r="AS74" s="551"/>
      <c r="AT74" s="551"/>
      <c r="AU74" s="551"/>
      <c r="AV74" s="551"/>
      <c r="AW74" s="551"/>
      <c r="AX74" s="551"/>
      <c r="AY74" s="551"/>
      <c r="AZ74" s="551"/>
      <c r="BA74" s="551"/>
      <c r="BB74" s="551"/>
      <c r="BC74" s="551"/>
      <c r="BD74" s="551"/>
      <c r="BE74" s="551"/>
      <c r="BF74" s="551"/>
      <c r="BG74" s="551"/>
      <c r="BH74" s="551"/>
      <c r="BI74" s="551"/>
      <c r="BJ74" s="551"/>
    </row>
    <row r="75" spans="1:62" ht="12.75" customHeight="1">
      <c r="A75" s="551"/>
      <c r="B75" s="551"/>
      <c r="C75" s="551"/>
      <c r="D75" s="551"/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1"/>
      <c r="AB75" s="551"/>
      <c r="AC75" s="551"/>
      <c r="AD75" s="551"/>
      <c r="AE75" s="551"/>
      <c r="AF75" s="551"/>
      <c r="AG75" s="551"/>
      <c r="AH75" s="551"/>
      <c r="AI75" s="551"/>
      <c r="AJ75" s="551"/>
      <c r="AK75" s="551"/>
      <c r="AL75" s="551"/>
      <c r="AM75" s="551"/>
      <c r="AN75" s="551"/>
      <c r="AO75" s="551"/>
      <c r="AP75" s="551"/>
      <c r="AQ75" s="551"/>
      <c r="AR75" s="551"/>
      <c r="AS75" s="551"/>
      <c r="AT75" s="551"/>
      <c r="AU75" s="551"/>
      <c r="AV75" s="551"/>
      <c r="AW75" s="551"/>
      <c r="AX75" s="551"/>
      <c r="AY75" s="551"/>
      <c r="AZ75" s="551"/>
      <c r="BA75" s="551"/>
      <c r="BB75" s="551"/>
      <c r="BC75" s="551"/>
      <c r="BD75" s="551"/>
      <c r="BE75" s="551"/>
      <c r="BF75" s="551"/>
      <c r="BG75" s="551"/>
      <c r="BH75" s="551"/>
      <c r="BI75" s="551"/>
      <c r="BJ75" s="551"/>
    </row>
    <row r="76" spans="1:62" ht="12.75" customHeight="1">
      <c r="A76" s="551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1"/>
      <c r="S76" s="551"/>
      <c r="T76" s="551"/>
      <c r="U76" s="551"/>
      <c r="V76" s="551"/>
      <c r="W76" s="551"/>
      <c r="X76" s="551"/>
      <c r="Y76" s="551"/>
      <c r="Z76" s="551"/>
      <c r="AA76" s="551"/>
      <c r="AB76" s="551"/>
      <c r="AC76" s="551"/>
      <c r="AD76" s="551"/>
      <c r="AE76" s="551"/>
      <c r="AF76" s="551"/>
      <c r="AG76" s="551"/>
      <c r="AH76" s="551"/>
      <c r="AI76" s="551"/>
      <c r="AJ76" s="551"/>
      <c r="AK76" s="551"/>
      <c r="AL76" s="551"/>
      <c r="AM76" s="551"/>
      <c r="AN76" s="551"/>
      <c r="AO76" s="551"/>
      <c r="AP76" s="551"/>
      <c r="AQ76" s="551"/>
      <c r="AR76" s="551"/>
      <c r="AS76" s="551"/>
      <c r="AT76" s="551"/>
      <c r="AU76" s="551"/>
      <c r="AV76" s="551"/>
      <c r="AW76" s="551"/>
      <c r="AX76" s="551"/>
      <c r="AY76" s="551"/>
      <c r="AZ76" s="551"/>
      <c r="BA76" s="551"/>
      <c r="BB76" s="551"/>
      <c r="BC76" s="551"/>
      <c r="BD76" s="551"/>
      <c r="BE76" s="551"/>
      <c r="BF76" s="551"/>
      <c r="BG76" s="551"/>
      <c r="BH76" s="551"/>
      <c r="BI76" s="551"/>
      <c r="BJ76" s="551"/>
    </row>
    <row r="77" spans="1:62" ht="12.75" customHeight="1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1"/>
      <c r="S77" s="551"/>
      <c r="T77" s="551"/>
      <c r="U77" s="551"/>
      <c r="V77" s="551"/>
      <c r="W77" s="551"/>
      <c r="X77" s="551"/>
      <c r="Y77" s="551"/>
      <c r="Z77" s="551"/>
      <c r="AA77" s="551"/>
      <c r="AB77" s="551"/>
      <c r="AC77" s="551"/>
      <c r="AD77" s="551"/>
      <c r="AE77" s="551"/>
      <c r="AF77" s="551"/>
      <c r="AG77" s="551"/>
      <c r="AH77" s="551"/>
      <c r="AI77" s="551"/>
      <c r="AJ77" s="551"/>
      <c r="AK77" s="551"/>
      <c r="AL77" s="551"/>
      <c r="AM77" s="551"/>
      <c r="AN77" s="551"/>
      <c r="AO77" s="551"/>
      <c r="AP77" s="551"/>
      <c r="AQ77" s="551"/>
      <c r="AR77" s="551"/>
      <c r="AS77" s="551"/>
      <c r="AT77" s="551"/>
      <c r="AU77" s="551"/>
      <c r="AV77" s="551"/>
      <c r="AW77" s="551"/>
      <c r="AX77" s="551"/>
      <c r="AY77" s="551"/>
      <c r="AZ77" s="551"/>
      <c r="BA77" s="551"/>
      <c r="BB77" s="551"/>
      <c r="BC77" s="551"/>
      <c r="BD77" s="551"/>
      <c r="BE77" s="551"/>
      <c r="BF77" s="551"/>
      <c r="BG77" s="551"/>
      <c r="BH77" s="551"/>
      <c r="BI77" s="551"/>
      <c r="BJ77" s="551"/>
    </row>
    <row r="78" spans="1:62" ht="12.75" customHeight="1">
      <c r="A78" s="551"/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51"/>
      <c r="AB78" s="551"/>
      <c r="AC78" s="551"/>
      <c r="AD78" s="551"/>
      <c r="AE78" s="551"/>
      <c r="AF78" s="551"/>
      <c r="AG78" s="551"/>
      <c r="AH78" s="551"/>
      <c r="AI78" s="551"/>
      <c r="AJ78" s="551"/>
      <c r="AK78" s="551"/>
      <c r="AL78" s="551"/>
      <c r="AM78" s="551"/>
      <c r="AN78" s="551"/>
      <c r="AO78" s="551"/>
      <c r="AP78" s="551"/>
      <c r="AQ78" s="551"/>
      <c r="AR78" s="551"/>
      <c r="AS78" s="551"/>
      <c r="AT78" s="551"/>
      <c r="AU78" s="551"/>
      <c r="AV78" s="551"/>
      <c r="AW78" s="551"/>
      <c r="AX78" s="551"/>
      <c r="AY78" s="551"/>
      <c r="AZ78" s="551"/>
      <c r="BA78" s="551"/>
      <c r="BB78" s="551"/>
      <c r="BC78" s="551"/>
      <c r="BD78" s="551"/>
      <c r="BE78" s="551"/>
      <c r="BF78" s="551"/>
      <c r="BG78" s="551"/>
      <c r="BH78" s="551"/>
      <c r="BI78" s="551"/>
      <c r="BJ78" s="551"/>
    </row>
    <row r="79" spans="1:62" ht="12.75" customHeight="1">
      <c r="A79" s="551"/>
      <c r="B79" s="551"/>
      <c r="C79" s="551"/>
      <c r="D79" s="551"/>
      <c r="E79" s="551"/>
      <c r="F79" s="551"/>
      <c r="G79" s="551"/>
      <c r="H79" s="551"/>
      <c r="I79" s="551"/>
      <c r="J79" s="551"/>
      <c r="K79" s="551"/>
      <c r="L79" s="551"/>
      <c r="M79" s="551"/>
      <c r="N79" s="551"/>
      <c r="O79" s="551"/>
      <c r="P79" s="551"/>
      <c r="Q79" s="551"/>
      <c r="R79" s="551"/>
      <c r="S79" s="551"/>
      <c r="T79" s="551"/>
      <c r="U79" s="551"/>
      <c r="V79" s="551"/>
      <c r="W79" s="551"/>
      <c r="X79" s="551"/>
      <c r="Y79" s="551"/>
      <c r="Z79" s="551"/>
      <c r="AA79" s="551"/>
      <c r="AB79" s="551"/>
      <c r="AC79" s="551"/>
      <c r="AD79" s="551"/>
      <c r="AE79" s="551"/>
      <c r="AF79" s="551"/>
      <c r="AG79" s="551"/>
      <c r="AH79" s="551"/>
      <c r="AI79" s="551"/>
      <c r="AJ79" s="551"/>
      <c r="AK79" s="551"/>
      <c r="AL79" s="551"/>
      <c r="AM79" s="551"/>
      <c r="AN79" s="551"/>
      <c r="AO79" s="551"/>
      <c r="AP79" s="551"/>
      <c r="AQ79" s="551"/>
      <c r="AR79" s="551"/>
      <c r="AS79" s="551"/>
      <c r="AT79" s="551"/>
      <c r="AU79" s="551"/>
      <c r="AV79" s="551"/>
      <c r="AW79" s="551"/>
      <c r="AX79" s="551"/>
      <c r="AY79" s="551"/>
      <c r="AZ79" s="551"/>
      <c r="BA79" s="551"/>
      <c r="BB79" s="551"/>
      <c r="BC79" s="551"/>
      <c r="BD79" s="551"/>
      <c r="BE79" s="551"/>
      <c r="BF79" s="551"/>
      <c r="BG79" s="551"/>
      <c r="BH79" s="551"/>
      <c r="BI79" s="551"/>
      <c r="BJ79" s="551"/>
    </row>
    <row r="80" spans="1:62" ht="12.75" customHeight="1">
      <c r="A80" s="551"/>
      <c r="B80" s="551"/>
      <c r="C80" s="551"/>
      <c r="D80" s="551"/>
      <c r="E80" s="551"/>
      <c r="F80" s="551"/>
      <c r="G80" s="551"/>
      <c r="H80" s="551"/>
      <c r="I80" s="551"/>
      <c r="J80" s="551"/>
      <c r="K80" s="551"/>
      <c r="L80" s="551"/>
      <c r="M80" s="551"/>
      <c r="N80" s="551"/>
      <c r="O80" s="551"/>
      <c r="P80" s="551"/>
      <c r="Q80" s="551"/>
      <c r="R80" s="551"/>
      <c r="S80" s="551"/>
      <c r="T80" s="551"/>
      <c r="U80" s="551"/>
      <c r="V80" s="551"/>
      <c r="W80" s="551"/>
      <c r="X80" s="551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1"/>
      <c r="AK80" s="551"/>
      <c r="AL80" s="551"/>
      <c r="AM80" s="551"/>
      <c r="AN80" s="551"/>
      <c r="AO80" s="551"/>
      <c r="AP80" s="551"/>
      <c r="AQ80" s="551"/>
      <c r="AR80" s="551"/>
      <c r="AS80" s="551"/>
      <c r="AT80" s="551"/>
      <c r="AU80" s="551"/>
      <c r="AV80" s="551"/>
      <c r="AW80" s="551"/>
      <c r="AX80" s="551"/>
      <c r="AY80" s="551"/>
      <c r="AZ80" s="551"/>
      <c r="BA80" s="551"/>
      <c r="BB80" s="551"/>
      <c r="BC80" s="551"/>
      <c r="BD80" s="551"/>
      <c r="BE80" s="551"/>
      <c r="BF80" s="551"/>
      <c r="BG80" s="551"/>
      <c r="BH80" s="551"/>
      <c r="BI80" s="551"/>
      <c r="BJ80" s="551"/>
    </row>
    <row r="81" spans="1:62" ht="12.75" customHeight="1">
      <c r="A81" s="551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1"/>
      <c r="S81" s="551"/>
      <c r="T81" s="551"/>
      <c r="U81" s="551"/>
      <c r="V81" s="551"/>
      <c r="W81" s="551"/>
      <c r="X81" s="551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1"/>
      <c r="AK81" s="551"/>
      <c r="AL81" s="551"/>
      <c r="AM81" s="551"/>
      <c r="AN81" s="551"/>
      <c r="AO81" s="551"/>
      <c r="AP81" s="551"/>
      <c r="AQ81" s="551"/>
      <c r="AR81" s="551"/>
      <c r="AS81" s="551"/>
      <c r="AT81" s="551"/>
      <c r="AU81" s="551"/>
      <c r="AV81" s="551"/>
      <c r="AW81" s="551"/>
      <c r="AX81" s="551"/>
      <c r="AY81" s="551"/>
      <c r="AZ81" s="551"/>
      <c r="BA81" s="551"/>
      <c r="BB81" s="551"/>
      <c r="BC81" s="551"/>
      <c r="BD81" s="551"/>
      <c r="BE81" s="551"/>
      <c r="BF81" s="551"/>
      <c r="BG81" s="551"/>
      <c r="BH81" s="551"/>
      <c r="BI81" s="551"/>
      <c r="BJ81" s="551"/>
    </row>
    <row r="82" spans="1:62" ht="12.75" customHeight="1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1"/>
      <c r="P82" s="551"/>
      <c r="Q82" s="551"/>
      <c r="R82" s="551"/>
      <c r="S82" s="551"/>
      <c r="T82" s="551"/>
      <c r="U82" s="551"/>
      <c r="V82" s="551"/>
      <c r="W82" s="551"/>
      <c r="X82" s="551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1"/>
      <c r="AX82" s="551"/>
      <c r="AY82" s="551"/>
      <c r="AZ82" s="551"/>
      <c r="BA82" s="551"/>
      <c r="BB82" s="551"/>
      <c r="BC82" s="551"/>
      <c r="BD82" s="551"/>
      <c r="BE82" s="551"/>
      <c r="BF82" s="551"/>
      <c r="BG82" s="551"/>
      <c r="BH82" s="551"/>
      <c r="BI82" s="551"/>
      <c r="BJ82" s="551"/>
    </row>
    <row r="83" spans="1:62" ht="12.75" customHeight="1">
      <c r="A83" s="551"/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1"/>
      <c r="AX83" s="551"/>
      <c r="AY83" s="551"/>
      <c r="AZ83" s="551"/>
      <c r="BA83" s="551"/>
      <c r="BB83" s="551"/>
      <c r="BC83" s="551"/>
      <c r="BD83" s="551"/>
      <c r="BE83" s="551"/>
      <c r="BF83" s="551"/>
      <c r="BG83" s="551"/>
      <c r="BH83" s="551"/>
      <c r="BI83" s="551"/>
      <c r="BJ83" s="551"/>
    </row>
    <row r="84" spans="1:62" ht="12.75" customHeight="1">
      <c r="A84" s="551"/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1"/>
      <c r="AK84" s="551"/>
      <c r="AL84" s="551"/>
      <c r="AM84" s="551"/>
      <c r="AN84" s="551"/>
      <c r="AO84" s="551"/>
      <c r="AP84" s="551"/>
      <c r="AQ84" s="551"/>
      <c r="AR84" s="551"/>
      <c r="AS84" s="551"/>
      <c r="AT84" s="551"/>
      <c r="AU84" s="551"/>
      <c r="AV84" s="551"/>
      <c r="AW84" s="551"/>
      <c r="AX84" s="551"/>
      <c r="AY84" s="551"/>
      <c r="AZ84" s="551"/>
      <c r="BA84" s="551"/>
      <c r="BB84" s="551"/>
      <c r="BC84" s="551"/>
      <c r="BD84" s="551"/>
      <c r="BE84" s="551"/>
      <c r="BF84" s="551"/>
      <c r="BG84" s="551"/>
      <c r="BH84" s="551"/>
      <c r="BI84" s="551"/>
      <c r="BJ84" s="551"/>
    </row>
    <row r="85" spans="1:62" ht="12.75" customHeight="1">
      <c r="A85" s="551"/>
      <c r="B85" s="551"/>
      <c r="C85" s="551"/>
      <c r="D85" s="551"/>
      <c r="E85" s="551"/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551"/>
      <c r="S85" s="551"/>
      <c r="T85" s="551"/>
      <c r="U85" s="551"/>
      <c r="V85" s="551"/>
      <c r="W85" s="551"/>
      <c r="X85" s="551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1"/>
      <c r="AK85" s="551"/>
      <c r="AL85" s="551"/>
      <c r="AM85" s="551"/>
      <c r="AN85" s="551"/>
      <c r="AO85" s="551"/>
      <c r="AP85" s="551"/>
      <c r="AQ85" s="551"/>
      <c r="AR85" s="551"/>
      <c r="AS85" s="551"/>
      <c r="AT85" s="551"/>
      <c r="AU85" s="551"/>
      <c r="AV85" s="551"/>
      <c r="AW85" s="551"/>
      <c r="AX85" s="551"/>
      <c r="AY85" s="551"/>
      <c r="AZ85" s="551"/>
      <c r="BA85" s="551"/>
      <c r="BB85" s="551"/>
      <c r="BC85" s="551"/>
      <c r="BD85" s="551"/>
      <c r="BE85" s="551"/>
      <c r="BF85" s="551"/>
      <c r="BG85" s="551"/>
      <c r="BH85" s="551"/>
      <c r="BI85" s="551"/>
      <c r="BJ85" s="551"/>
    </row>
    <row r="86" spans="1:62" ht="12.75" customHeight="1">
      <c r="A86" s="551"/>
      <c r="B86" s="551"/>
      <c r="C86" s="551"/>
      <c r="D86" s="551"/>
      <c r="E86" s="551"/>
      <c r="F86" s="551"/>
      <c r="G86" s="551"/>
      <c r="H86" s="551"/>
      <c r="I86" s="551"/>
      <c r="J86" s="551"/>
      <c r="K86" s="551"/>
      <c r="L86" s="551"/>
      <c r="M86" s="551"/>
      <c r="N86" s="551"/>
      <c r="O86" s="551"/>
      <c r="P86" s="551"/>
      <c r="Q86" s="551"/>
      <c r="R86" s="551"/>
      <c r="S86" s="551"/>
      <c r="T86" s="551"/>
      <c r="U86" s="551"/>
      <c r="V86" s="551"/>
      <c r="W86" s="551"/>
      <c r="X86" s="551"/>
      <c r="Y86" s="551"/>
      <c r="Z86" s="551"/>
      <c r="AA86" s="551"/>
      <c r="AB86" s="551"/>
      <c r="AC86" s="551"/>
      <c r="AD86" s="551"/>
      <c r="AE86" s="551"/>
      <c r="AF86" s="551"/>
      <c r="AG86" s="551"/>
      <c r="AH86" s="551"/>
      <c r="AI86" s="551"/>
      <c r="AJ86" s="551"/>
      <c r="AK86" s="551"/>
      <c r="AL86" s="551"/>
      <c r="AM86" s="551"/>
      <c r="AN86" s="551"/>
      <c r="AO86" s="551"/>
      <c r="AP86" s="551"/>
      <c r="AQ86" s="551"/>
      <c r="AR86" s="551"/>
      <c r="AS86" s="551"/>
      <c r="AT86" s="551"/>
      <c r="AU86" s="551"/>
      <c r="AV86" s="551"/>
      <c r="AW86" s="551"/>
      <c r="AX86" s="551"/>
      <c r="AY86" s="551"/>
      <c r="AZ86" s="551"/>
      <c r="BA86" s="551"/>
      <c r="BB86" s="551"/>
      <c r="BC86" s="551"/>
      <c r="BD86" s="551"/>
      <c r="BE86" s="551"/>
      <c r="BF86" s="551"/>
      <c r="BG86" s="551"/>
      <c r="BH86" s="551"/>
      <c r="BI86" s="551"/>
      <c r="BJ86" s="551"/>
    </row>
    <row r="87" spans="1:62" ht="12.75" customHeight="1">
      <c r="A87" s="551"/>
      <c r="B87" s="551"/>
      <c r="C87" s="551"/>
      <c r="D87" s="551"/>
      <c r="E87" s="551"/>
      <c r="F87" s="551"/>
      <c r="G87" s="551"/>
      <c r="H87" s="551"/>
      <c r="I87" s="551"/>
      <c r="J87" s="551"/>
      <c r="K87" s="551"/>
      <c r="L87" s="551"/>
      <c r="M87" s="551"/>
      <c r="N87" s="551"/>
      <c r="O87" s="551"/>
      <c r="P87" s="551"/>
      <c r="Q87" s="551"/>
      <c r="R87" s="551"/>
      <c r="S87" s="551"/>
      <c r="T87" s="551"/>
      <c r="U87" s="551"/>
      <c r="V87" s="551"/>
      <c r="W87" s="551"/>
      <c r="X87" s="551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1"/>
      <c r="AX87" s="551"/>
      <c r="AY87" s="551"/>
      <c r="AZ87" s="551"/>
      <c r="BA87" s="551"/>
      <c r="BB87" s="551"/>
      <c r="BC87" s="551"/>
      <c r="BD87" s="551"/>
      <c r="BE87" s="551"/>
      <c r="BF87" s="551"/>
      <c r="BG87" s="551"/>
      <c r="BH87" s="551"/>
      <c r="BI87" s="551"/>
      <c r="BJ87" s="551"/>
    </row>
    <row r="88" spans="1:62" ht="12.75" customHeight="1">
      <c r="A88" s="551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1"/>
      <c r="P88" s="551"/>
      <c r="Q88" s="551"/>
      <c r="R88" s="551"/>
      <c r="S88" s="551"/>
      <c r="T88" s="551"/>
      <c r="U88" s="551"/>
      <c r="V88" s="551"/>
      <c r="W88" s="551"/>
      <c r="X88" s="551"/>
      <c r="Y88" s="551"/>
      <c r="Z88" s="551"/>
      <c r="AA88" s="551"/>
      <c r="AB88" s="551"/>
      <c r="AC88" s="551"/>
      <c r="AD88" s="551"/>
      <c r="AE88" s="551"/>
      <c r="AF88" s="551"/>
      <c r="AG88" s="551"/>
      <c r="AH88" s="551"/>
      <c r="AI88" s="551"/>
      <c r="AJ88" s="551"/>
      <c r="AK88" s="551"/>
      <c r="AL88" s="551"/>
      <c r="AM88" s="551"/>
      <c r="AN88" s="551"/>
      <c r="AO88" s="551"/>
      <c r="AP88" s="551"/>
      <c r="AQ88" s="551"/>
      <c r="AR88" s="551"/>
      <c r="AS88" s="551"/>
      <c r="AT88" s="551"/>
      <c r="AU88" s="551"/>
      <c r="AV88" s="551"/>
      <c r="AW88" s="551"/>
      <c r="AX88" s="551"/>
      <c r="AY88" s="551"/>
      <c r="AZ88" s="551"/>
      <c r="BA88" s="551"/>
      <c r="BB88" s="551"/>
      <c r="BC88" s="551"/>
      <c r="BD88" s="551"/>
      <c r="BE88" s="551"/>
      <c r="BF88" s="551"/>
      <c r="BG88" s="551"/>
      <c r="BH88" s="551"/>
      <c r="BI88" s="551"/>
      <c r="BJ88" s="551"/>
    </row>
    <row r="89" spans="1:62" ht="12.75" customHeight="1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1"/>
      <c r="P89" s="551"/>
      <c r="Q89" s="551"/>
      <c r="R89" s="551"/>
      <c r="S89" s="551"/>
      <c r="T89" s="551"/>
      <c r="U89" s="551"/>
      <c r="V89" s="551"/>
      <c r="W89" s="551"/>
      <c r="X89" s="551"/>
      <c r="Y89" s="551"/>
      <c r="Z89" s="551"/>
      <c r="AA89" s="551"/>
      <c r="AB89" s="551"/>
      <c r="AC89" s="551"/>
      <c r="AD89" s="551"/>
      <c r="AE89" s="551"/>
      <c r="AF89" s="551"/>
      <c r="AG89" s="551"/>
      <c r="AH89" s="551"/>
      <c r="AI89" s="551"/>
      <c r="AJ89" s="551"/>
      <c r="AK89" s="551"/>
      <c r="AL89" s="551"/>
      <c r="AM89" s="551"/>
      <c r="AN89" s="551"/>
      <c r="AO89" s="551"/>
      <c r="AP89" s="551"/>
      <c r="AQ89" s="551"/>
      <c r="AR89" s="551"/>
      <c r="AS89" s="551"/>
      <c r="AT89" s="551"/>
      <c r="AU89" s="551"/>
      <c r="AV89" s="551"/>
      <c r="AW89" s="551"/>
      <c r="AX89" s="551"/>
      <c r="AY89" s="551"/>
      <c r="AZ89" s="551"/>
      <c r="BA89" s="551"/>
      <c r="BB89" s="551"/>
      <c r="BC89" s="551"/>
      <c r="BD89" s="551"/>
      <c r="BE89" s="551"/>
      <c r="BF89" s="551"/>
      <c r="BG89" s="551"/>
      <c r="BH89" s="551"/>
      <c r="BI89" s="551"/>
      <c r="BJ89" s="551"/>
    </row>
    <row r="90" spans="1:62" ht="12.75" customHeight="1">
      <c r="A90" s="551"/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51"/>
      <c r="AB90" s="551"/>
      <c r="AC90" s="551"/>
      <c r="AD90" s="551"/>
      <c r="AE90" s="551"/>
      <c r="AF90" s="551"/>
      <c r="AG90" s="551"/>
      <c r="AH90" s="551"/>
      <c r="AI90" s="551"/>
      <c r="AJ90" s="551"/>
      <c r="AK90" s="551"/>
      <c r="AL90" s="551"/>
      <c r="AM90" s="551"/>
      <c r="AN90" s="551"/>
      <c r="AO90" s="551"/>
      <c r="AP90" s="551"/>
      <c r="AQ90" s="551"/>
      <c r="AR90" s="551"/>
      <c r="AS90" s="551"/>
      <c r="AT90" s="551"/>
      <c r="AU90" s="551"/>
      <c r="AV90" s="551"/>
      <c r="AW90" s="551"/>
      <c r="AX90" s="551"/>
      <c r="AY90" s="551"/>
      <c r="AZ90" s="551"/>
      <c r="BA90" s="551"/>
      <c r="BB90" s="551"/>
      <c r="BC90" s="551"/>
      <c r="BD90" s="551"/>
      <c r="BE90" s="551"/>
      <c r="BF90" s="551"/>
      <c r="BG90" s="551"/>
      <c r="BH90" s="551"/>
      <c r="BI90" s="551"/>
      <c r="BJ90" s="551"/>
    </row>
    <row r="91" spans="1:62" ht="12.75" customHeight="1">
      <c r="A91" s="551"/>
      <c r="B91" s="551"/>
      <c r="C91" s="551"/>
      <c r="D91" s="551"/>
      <c r="E91" s="551"/>
      <c r="F91" s="551"/>
      <c r="G91" s="551"/>
      <c r="H91" s="551"/>
      <c r="I91" s="551"/>
      <c r="J91" s="551"/>
      <c r="K91" s="551"/>
      <c r="L91" s="551"/>
      <c r="M91" s="551"/>
      <c r="N91" s="551"/>
      <c r="O91" s="551"/>
      <c r="P91" s="551"/>
      <c r="Q91" s="551"/>
      <c r="R91" s="551"/>
      <c r="S91" s="551"/>
      <c r="T91" s="551"/>
      <c r="U91" s="551"/>
      <c r="V91" s="551"/>
      <c r="W91" s="551"/>
      <c r="X91" s="551"/>
      <c r="Y91" s="551"/>
      <c r="Z91" s="551"/>
      <c r="AA91" s="551"/>
      <c r="AB91" s="551"/>
      <c r="AC91" s="551"/>
      <c r="AD91" s="551"/>
      <c r="AE91" s="551"/>
      <c r="AF91" s="551"/>
      <c r="AG91" s="551"/>
      <c r="AH91" s="551"/>
      <c r="AI91" s="551"/>
      <c r="AJ91" s="551"/>
      <c r="AK91" s="551"/>
      <c r="AL91" s="551"/>
      <c r="AM91" s="551"/>
      <c r="AN91" s="551"/>
      <c r="AO91" s="551"/>
      <c r="AP91" s="551"/>
      <c r="AQ91" s="551"/>
      <c r="AR91" s="551"/>
      <c r="AS91" s="551"/>
      <c r="AT91" s="551"/>
      <c r="AU91" s="551"/>
      <c r="AV91" s="551"/>
      <c r="AW91" s="551"/>
      <c r="AX91" s="551"/>
      <c r="AY91" s="551"/>
      <c r="AZ91" s="551"/>
      <c r="BA91" s="551"/>
      <c r="BB91" s="551"/>
      <c r="BC91" s="551"/>
      <c r="BD91" s="551"/>
      <c r="BE91" s="551"/>
      <c r="BF91" s="551"/>
      <c r="BG91" s="551"/>
      <c r="BH91" s="551"/>
      <c r="BI91" s="551"/>
      <c r="BJ91" s="551"/>
    </row>
    <row r="92" spans="1:62" ht="12.75" customHeight="1">
      <c r="A92" s="551"/>
      <c r="B92" s="551"/>
      <c r="C92" s="551"/>
      <c r="D92" s="551"/>
      <c r="E92" s="551"/>
      <c r="F92" s="551"/>
      <c r="G92" s="551"/>
      <c r="H92" s="551"/>
      <c r="I92" s="551"/>
      <c r="J92" s="551"/>
      <c r="K92" s="551"/>
      <c r="L92" s="551"/>
      <c r="M92" s="551"/>
      <c r="N92" s="551"/>
      <c r="O92" s="551"/>
      <c r="P92" s="551"/>
      <c r="Q92" s="551"/>
      <c r="R92" s="551"/>
      <c r="S92" s="551"/>
      <c r="T92" s="551"/>
      <c r="U92" s="551"/>
      <c r="V92" s="551"/>
      <c r="W92" s="551"/>
      <c r="X92" s="551"/>
      <c r="Y92" s="551"/>
      <c r="Z92" s="551"/>
      <c r="AA92" s="551"/>
      <c r="AB92" s="551"/>
      <c r="AC92" s="551"/>
      <c r="AD92" s="551"/>
      <c r="AE92" s="551"/>
      <c r="AF92" s="551"/>
      <c r="AG92" s="551"/>
      <c r="AH92" s="551"/>
      <c r="AI92" s="551"/>
      <c r="AJ92" s="551"/>
      <c r="AK92" s="551"/>
      <c r="AL92" s="551"/>
      <c r="AM92" s="551"/>
      <c r="AN92" s="551"/>
      <c r="AO92" s="551"/>
      <c r="AP92" s="551"/>
      <c r="AQ92" s="551"/>
      <c r="AR92" s="551"/>
      <c r="AS92" s="551"/>
      <c r="AT92" s="551"/>
      <c r="AU92" s="551"/>
      <c r="AV92" s="551"/>
      <c r="AW92" s="551"/>
      <c r="AX92" s="551"/>
      <c r="AY92" s="551"/>
      <c r="AZ92" s="551"/>
      <c r="BA92" s="551"/>
      <c r="BB92" s="551"/>
      <c r="BC92" s="551"/>
      <c r="BD92" s="551"/>
      <c r="BE92" s="551"/>
      <c r="BF92" s="551"/>
      <c r="BG92" s="551"/>
      <c r="BH92" s="551"/>
      <c r="BI92" s="551"/>
      <c r="BJ92" s="551"/>
    </row>
    <row r="93" spans="1:62" ht="12.75" customHeight="1">
      <c r="A93" s="551"/>
      <c r="B93" s="551"/>
      <c r="C93" s="551"/>
      <c r="D93" s="551"/>
      <c r="E93" s="551"/>
      <c r="F93" s="551"/>
      <c r="G93" s="551"/>
      <c r="H93" s="551"/>
      <c r="I93" s="551"/>
      <c r="J93" s="551"/>
      <c r="K93" s="551"/>
      <c r="L93" s="551"/>
      <c r="M93" s="551"/>
      <c r="N93" s="551"/>
      <c r="O93" s="551"/>
      <c r="P93" s="551"/>
      <c r="Q93" s="551"/>
      <c r="R93" s="551"/>
      <c r="S93" s="551"/>
      <c r="T93" s="551"/>
      <c r="U93" s="551"/>
      <c r="V93" s="551"/>
      <c r="W93" s="551"/>
      <c r="X93" s="551"/>
      <c r="Y93" s="551"/>
      <c r="Z93" s="551"/>
      <c r="AA93" s="551"/>
      <c r="AB93" s="551"/>
      <c r="AC93" s="551"/>
      <c r="AD93" s="551"/>
      <c r="AE93" s="551"/>
      <c r="AF93" s="551"/>
      <c r="AG93" s="551"/>
      <c r="AH93" s="551"/>
      <c r="AI93" s="551"/>
      <c r="AJ93" s="551"/>
      <c r="AK93" s="551"/>
      <c r="AL93" s="551"/>
      <c r="AM93" s="551"/>
      <c r="AN93" s="551"/>
      <c r="AO93" s="551"/>
      <c r="AP93" s="551"/>
      <c r="AQ93" s="551"/>
      <c r="AR93" s="551"/>
      <c r="AS93" s="551"/>
      <c r="AT93" s="551"/>
      <c r="AU93" s="551"/>
      <c r="AV93" s="551"/>
      <c r="AW93" s="551"/>
      <c r="AX93" s="551"/>
      <c r="AY93" s="551"/>
      <c r="AZ93" s="551"/>
      <c r="BA93" s="551"/>
      <c r="BB93" s="551"/>
      <c r="BC93" s="551"/>
      <c r="BD93" s="551"/>
      <c r="BE93" s="551"/>
      <c r="BF93" s="551"/>
      <c r="BG93" s="551"/>
      <c r="BH93" s="551"/>
      <c r="BI93" s="551"/>
      <c r="BJ93" s="551"/>
    </row>
    <row r="94" spans="1:62" ht="12.75" customHeight="1">
      <c r="A94" s="551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1"/>
      <c r="M94" s="551"/>
      <c r="N94" s="551"/>
      <c r="O94" s="551"/>
      <c r="P94" s="551"/>
      <c r="Q94" s="551"/>
      <c r="R94" s="551"/>
      <c r="S94" s="551"/>
      <c r="T94" s="551"/>
      <c r="U94" s="551"/>
      <c r="V94" s="551"/>
      <c r="W94" s="551"/>
      <c r="X94" s="551"/>
      <c r="Y94" s="551"/>
      <c r="Z94" s="551"/>
      <c r="AA94" s="551"/>
      <c r="AB94" s="551"/>
      <c r="AC94" s="551"/>
      <c r="AD94" s="551"/>
      <c r="AE94" s="551"/>
      <c r="AF94" s="551"/>
      <c r="AG94" s="551"/>
      <c r="AH94" s="551"/>
      <c r="AI94" s="551"/>
      <c r="AJ94" s="551"/>
      <c r="AK94" s="551"/>
      <c r="AL94" s="551"/>
      <c r="AM94" s="551"/>
      <c r="AN94" s="551"/>
      <c r="AO94" s="551"/>
      <c r="AP94" s="551"/>
      <c r="AQ94" s="551"/>
      <c r="AR94" s="551"/>
      <c r="AS94" s="551"/>
      <c r="AT94" s="551"/>
      <c r="AU94" s="551"/>
      <c r="AV94" s="551"/>
      <c r="AW94" s="551"/>
      <c r="AX94" s="551"/>
      <c r="AY94" s="551"/>
      <c r="AZ94" s="551"/>
      <c r="BA94" s="551"/>
      <c r="BB94" s="551"/>
      <c r="BC94" s="551"/>
      <c r="BD94" s="551"/>
      <c r="BE94" s="551"/>
      <c r="BF94" s="551"/>
      <c r="BG94" s="551"/>
      <c r="BH94" s="551"/>
      <c r="BI94" s="551"/>
      <c r="BJ94" s="551"/>
    </row>
    <row r="95" spans="1:62" ht="12.75" customHeight="1">
      <c r="A95" s="551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1"/>
      <c r="P95" s="551"/>
      <c r="Q95" s="551"/>
      <c r="R95" s="551"/>
      <c r="S95" s="551"/>
      <c r="T95" s="551"/>
      <c r="U95" s="551"/>
      <c r="V95" s="551"/>
      <c r="W95" s="551"/>
      <c r="X95" s="551"/>
      <c r="Y95" s="551"/>
      <c r="Z95" s="551"/>
      <c r="AA95" s="551"/>
      <c r="AB95" s="551"/>
      <c r="AC95" s="551"/>
      <c r="AD95" s="551"/>
      <c r="AE95" s="551"/>
      <c r="AF95" s="551"/>
      <c r="AG95" s="551"/>
      <c r="AH95" s="551"/>
      <c r="AI95" s="551"/>
      <c r="AJ95" s="551"/>
      <c r="AK95" s="551"/>
      <c r="AL95" s="551"/>
      <c r="AM95" s="551"/>
      <c r="AN95" s="551"/>
      <c r="AO95" s="551"/>
      <c r="AP95" s="551"/>
      <c r="AQ95" s="551"/>
      <c r="AR95" s="551"/>
      <c r="AS95" s="551"/>
      <c r="AT95" s="551"/>
      <c r="AU95" s="551"/>
      <c r="AV95" s="551"/>
      <c r="AW95" s="551"/>
      <c r="AX95" s="551"/>
      <c r="AY95" s="551"/>
      <c r="AZ95" s="551"/>
      <c r="BA95" s="551"/>
      <c r="BB95" s="551"/>
      <c r="BC95" s="551"/>
      <c r="BD95" s="551"/>
      <c r="BE95" s="551"/>
      <c r="BF95" s="551"/>
      <c r="BG95" s="551"/>
      <c r="BH95" s="551"/>
      <c r="BI95" s="551"/>
      <c r="BJ95" s="551"/>
    </row>
    <row r="96" spans="1:62" ht="12.75" customHeight="1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1"/>
      <c r="P96" s="551"/>
      <c r="Q96" s="551"/>
      <c r="R96" s="551"/>
      <c r="S96" s="551"/>
      <c r="T96" s="551"/>
      <c r="U96" s="551"/>
      <c r="V96" s="551"/>
      <c r="W96" s="551"/>
      <c r="X96" s="551"/>
      <c r="Y96" s="551"/>
      <c r="Z96" s="551"/>
      <c r="AA96" s="551"/>
      <c r="AB96" s="551"/>
      <c r="AC96" s="551"/>
      <c r="AD96" s="551"/>
      <c r="AE96" s="551"/>
      <c r="AF96" s="551"/>
      <c r="AG96" s="551"/>
      <c r="AH96" s="551"/>
      <c r="AI96" s="551"/>
      <c r="AJ96" s="551"/>
      <c r="AK96" s="551"/>
      <c r="AL96" s="551"/>
      <c r="AM96" s="551"/>
      <c r="AN96" s="551"/>
      <c r="AO96" s="551"/>
      <c r="AP96" s="551"/>
      <c r="AQ96" s="551"/>
      <c r="AR96" s="551"/>
      <c r="AS96" s="551"/>
      <c r="AT96" s="551"/>
      <c r="AU96" s="551"/>
      <c r="AV96" s="551"/>
      <c r="AW96" s="551"/>
      <c r="AX96" s="551"/>
      <c r="AY96" s="551"/>
      <c r="AZ96" s="551"/>
      <c r="BA96" s="551"/>
      <c r="BB96" s="551"/>
      <c r="BC96" s="551"/>
      <c r="BD96" s="551"/>
      <c r="BE96" s="551"/>
      <c r="BF96" s="551"/>
      <c r="BG96" s="551"/>
      <c r="BH96" s="551"/>
      <c r="BI96" s="551"/>
      <c r="BJ96" s="551"/>
    </row>
    <row r="97" spans="1:62" ht="12.75" customHeight="1">
      <c r="A97" s="551"/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51"/>
      <c r="AB97" s="551"/>
      <c r="AC97" s="551"/>
      <c r="AD97" s="551"/>
      <c r="AE97" s="551"/>
      <c r="AF97" s="551"/>
      <c r="AG97" s="551"/>
      <c r="AH97" s="551"/>
      <c r="AI97" s="551"/>
      <c r="AJ97" s="551"/>
      <c r="AK97" s="551"/>
      <c r="AL97" s="551"/>
      <c r="AM97" s="551"/>
      <c r="AN97" s="551"/>
      <c r="AO97" s="551"/>
      <c r="AP97" s="551"/>
      <c r="AQ97" s="551"/>
      <c r="AR97" s="551"/>
      <c r="AS97" s="551"/>
      <c r="AT97" s="551"/>
      <c r="AU97" s="551"/>
      <c r="AV97" s="551"/>
      <c r="AW97" s="551"/>
      <c r="AX97" s="551"/>
      <c r="AY97" s="551"/>
      <c r="AZ97" s="551"/>
      <c r="BA97" s="551"/>
      <c r="BB97" s="551"/>
      <c r="BC97" s="551"/>
      <c r="BD97" s="551"/>
      <c r="BE97" s="551"/>
      <c r="BF97" s="551"/>
      <c r="BG97" s="551"/>
      <c r="BH97" s="551"/>
      <c r="BI97" s="551"/>
      <c r="BJ97" s="551"/>
    </row>
    <row r="98" spans="1:62" ht="12.75" customHeight="1">
      <c r="A98" s="551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51"/>
      <c r="AB98" s="551"/>
      <c r="AC98" s="551"/>
      <c r="AD98" s="551"/>
      <c r="AE98" s="551"/>
      <c r="AF98" s="551"/>
      <c r="AG98" s="551"/>
      <c r="AH98" s="551"/>
      <c r="AI98" s="551"/>
      <c r="AJ98" s="551"/>
      <c r="AK98" s="551"/>
      <c r="AL98" s="551"/>
      <c r="AM98" s="551"/>
      <c r="AN98" s="551"/>
      <c r="AO98" s="551"/>
      <c r="AP98" s="551"/>
      <c r="AQ98" s="551"/>
      <c r="AR98" s="551"/>
      <c r="AS98" s="551"/>
      <c r="AT98" s="551"/>
      <c r="AU98" s="551"/>
      <c r="AV98" s="551"/>
      <c r="AW98" s="551"/>
      <c r="AX98" s="551"/>
      <c r="AY98" s="551"/>
      <c r="AZ98" s="551"/>
      <c r="BA98" s="551"/>
      <c r="BB98" s="551"/>
      <c r="BC98" s="551"/>
      <c r="BD98" s="551"/>
      <c r="BE98" s="551"/>
      <c r="BF98" s="551"/>
      <c r="BG98" s="551"/>
      <c r="BH98" s="551"/>
      <c r="BI98" s="551"/>
      <c r="BJ98" s="551"/>
    </row>
    <row r="99" spans="1:62" ht="12.75" customHeight="1">
      <c r="A99" s="551"/>
      <c r="B99" s="551"/>
      <c r="C99" s="551"/>
      <c r="D99" s="551"/>
      <c r="E99" s="551"/>
      <c r="F99" s="551"/>
      <c r="G99" s="551"/>
      <c r="H99" s="551"/>
      <c r="I99" s="551"/>
      <c r="J99" s="551"/>
      <c r="K99" s="551"/>
      <c r="L99" s="551"/>
      <c r="M99" s="551"/>
      <c r="N99" s="551"/>
      <c r="O99" s="551"/>
      <c r="P99" s="551"/>
      <c r="Q99" s="551"/>
      <c r="R99" s="551"/>
      <c r="S99" s="551"/>
      <c r="T99" s="551"/>
      <c r="U99" s="551"/>
      <c r="V99" s="551"/>
      <c r="W99" s="551"/>
      <c r="X99" s="551"/>
      <c r="Y99" s="551"/>
      <c r="Z99" s="551"/>
      <c r="AA99" s="551"/>
      <c r="AB99" s="551"/>
      <c r="AC99" s="551"/>
      <c r="AD99" s="551"/>
      <c r="AE99" s="551"/>
      <c r="AF99" s="551"/>
      <c r="AG99" s="551"/>
      <c r="AH99" s="551"/>
      <c r="AI99" s="551"/>
      <c r="AJ99" s="551"/>
      <c r="AK99" s="551"/>
      <c r="AL99" s="551"/>
      <c r="AM99" s="551"/>
      <c r="AN99" s="551"/>
      <c r="AO99" s="551"/>
      <c r="AP99" s="551"/>
      <c r="AQ99" s="551"/>
      <c r="AR99" s="551"/>
      <c r="AS99" s="551"/>
      <c r="AT99" s="551"/>
      <c r="AU99" s="551"/>
      <c r="AV99" s="551"/>
      <c r="AW99" s="551"/>
      <c r="AX99" s="551"/>
      <c r="AY99" s="551"/>
      <c r="AZ99" s="551"/>
      <c r="BA99" s="551"/>
      <c r="BB99" s="551"/>
      <c r="BC99" s="551"/>
      <c r="BD99" s="551"/>
      <c r="BE99" s="551"/>
      <c r="BF99" s="551"/>
      <c r="BG99" s="551"/>
      <c r="BH99" s="551"/>
      <c r="BI99" s="551"/>
      <c r="BJ99" s="551"/>
    </row>
    <row r="100" spans="1:62" ht="12.75" customHeight="1">
      <c r="A100" s="551"/>
      <c r="B100" s="551"/>
      <c r="C100" s="551"/>
      <c r="D100" s="551"/>
      <c r="E100" s="551"/>
      <c r="F100" s="551"/>
      <c r="G100" s="551"/>
      <c r="H100" s="551"/>
      <c r="I100" s="551"/>
      <c r="J100" s="551"/>
      <c r="K100" s="551"/>
      <c r="L100" s="551"/>
      <c r="M100" s="551"/>
      <c r="N100" s="551"/>
      <c r="O100" s="551"/>
      <c r="P100" s="551"/>
      <c r="Q100" s="551"/>
      <c r="R100" s="551"/>
      <c r="S100" s="551"/>
      <c r="T100" s="551"/>
      <c r="U100" s="551"/>
      <c r="V100" s="551"/>
      <c r="W100" s="551"/>
      <c r="X100" s="551"/>
      <c r="Y100" s="551"/>
      <c r="Z100" s="551"/>
      <c r="AA100" s="551"/>
      <c r="AB100" s="551"/>
      <c r="AC100" s="551"/>
      <c r="AD100" s="551"/>
      <c r="AE100" s="551"/>
      <c r="AF100" s="551"/>
      <c r="AG100" s="551"/>
      <c r="AH100" s="551"/>
      <c r="AI100" s="551"/>
      <c r="AJ100" s="551"/>
      <c r="AK100" s="551"/>
      <c r="AL100" s="551"/>
      <c r="AM100" s="551"/>
      <c r="AN100" s="551"/>
      <c r="AO100" s="551"/>
      <c r="AP100" s="551"/>
      <c r="AQ100" s="551"/>
      <c r="AR100" s="551"/>
      <c r="AS100" s="551"/>
      <c r="AT100" s="551"/>
      <c r="AU100" s="551"/>
      <c r="AV100" s="551"/>
      <c r="AW100" s="551"/>
      <c r="AX100" s="551"/>
      <c r="AY100" s="551"/>
      <c r="AZ100" s="551"/>
      <c r="BA100" s="551"/>
      <c r="BB100" s="551"/>
      <c r="BC100" s="551"/>
      <c r="BD100" s="551"/>
      <c r="BE100" s="551"/>
      <c r="BF100" s="551"/>
      <c r="BG100" s="551"/>
      <c r="BH100" s="551"/>
      <c r="BI100" s="551"/>
      <c r="BJ100" s="551"/>
    </row>
    <row r="101" spans="1:62" ht="12.75" customHeight="1">
      <c r="A101" s="551"/>
      <c r="B101" s="551"/>
      <c r="C101" s="551"/>
      <c r="D101" s="551"/>
      <c r="E101" s="551"/>
      <c r="F101" s="551"/>
      <c r="G101" s="551"/>
      <c r="H101" s="551"/>
      <c r="I101" s="551"/>
      <c r="J101" s="551"/>
      <c r="K101" s="551"/>
      <c r="L101" s="551"/>
      <c r="M101" s="551"/>
      <c r="N101" s="551"/>
      <c r="O101" s="551"/>
      <c r="P101" s="551"/>
      <c r="Q101" s="551"/>
      <c r="R101" s="551"/>
      <c r="S101" s="551"/>
      <c r="T101" s="551"/>
      <c r="U101" s="551"/>
      <c r="V101" s="551"/>
      <c r="W101" s="551"/>
      <c r="X101" s="551"/>
      <c r="Y101" s="551"/>
      <c r="Z101" s="551"/>
      <c r="AA101" s="551"/>
      <c r="AB101" s="551"/>
      <c r="AC101" s="551"/>
      <c r="AD101" s="551"/>
      <c r="AE101" s="551"/>
      <c r="AF101" s="551"/>
      <c r="AG101" s="551"/>
      <c r="AH101" s="551"/>
      <c r="AI101" s="551"/>
      <c r="AJ101" s="551"/>
      <c r="AK101" s="551"/>
      <c r="AL101" s="551"/>
      <c r="AM101" s="551"/>
      <c r="AN101" s="551"/>
      <c r="AO101" s="551"/>
      <c r="AP101" s="551"/>
      <c r="AQ101" s="551"/>
      <c r="AR101" s="551"/>
      <c r="AS101" s="551"/>
      <c r="AT101" s="551"/>
      <c r="AU101" s="551"/>
      <c r="AV101" s="551"/>
      <c r="AW101" s="551"/>
      <c r="AX101" s="551"/>
      <c r="AY101" s="551"/>
      <c r="AZ101" s="551"/>
      <c r="BA101" s="551"/>
      <c r="BB101" s="551"/>
      <c r="BC101" s="551"/>
      <c r="BD101" s="551"/>
      <c r="BE101" s="551"/>
      <c r="BF101" s="551"/>
      <c r="BG101" s="551"/>
      <c r="BH101" s="551"/>
      <c r="BI101" s="551"/>
      <c r="BJ101" s="551"/>
    </row>
    <row r="102" spans="1:62" ht="12.75" customHeight="1">
      <c r="A102" s="551"/>
      <c r="B102" s="551"/>
      <c r="C102" s="551"/>
      <c r="D102" s="551"/>
      <c r="E102" s="551"/>
      <c r="F102" s="551"/>
      <c r="G102" s="551"/>
      <c r="H102" s="551"/>
      <c r="I102" s="551"/>
      <c r="J102" s="551"/>
      <c r="K102" s="551"/>
      <c r="L102" s="551"/>
      <c r="M102" s="551"/>
      <c r="N102" s="551"/>
      <c r="O102" s="551"/>
      <c r="P102" s="551"/>
      <c r="Q102" s="551"/>
      <c r="R102" s="551"/>
      <c r="S102" s="551"/>
      <c r="T102" s="551"/>
      <c r="U102" s="551"/>
      <c r="V102" s="551"/>
      <c r="W102" s="551"/>
      <c r="X102" s="551"/>
      <c r="Y102" s="551"/>
      <c r="Z102" s="551"/>
      <c r="AA102" s="551"/>
      <c r="AB102" s="551"/>
      <c r="AC102" s="551"/>
      <c r="AD102" s="551"/>
      <c r="AE102" s="551"/>
      <c r="AF102" s="551"/>
      <c r="AG102" s="551"/>
      <c r="AH102" s="551"/>
      <c r="AI102" s="551"/>
      <c r="AJ102" s="551"/>
      <c r="AK102" s="551"/>
      <c r="AL102" s="551"/>
      <c r="AM102" s="551"/>
      <c r="AN102" s="551"/>
      <c r="AO102" s="551"/>
      <c r="AP102" s="551"/>
      <c r="AQ102" s="551"/>
      <c r="AR102" s="551"/>
      <c r="AS102" s="551"/>
      <c r="AT102" s="551"/>
      <c r="AU102" s="551"/>
      <c r="AV102" s="551"/>
      <c r="AW102" s="551"/>
      <c r="AX102" s="551"/>
      <c r="AY102" s="551"/>
      <c r="AZ102" s="551"/>
      <c r="BA102" s="551"/>
      <c r="BB102" s="551"/>
      <c r="BC102" s="551"/>
      <c r="BD102" s="551"/>
      <c r="BE102" s="551"/>
      <c r="BF102" s="551"/>
      <c r="BG102" s="551"/>
      <c r="BH102" s="551"/>
      <c r="BI102" s="551"/>
      <c r="BJ102" s="551"/>
    </row>
    <row r="103" spans="1:62" ht="12.75" customHeight="1">
      <c r="A103" s="551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1"/>
      <c r="P103" s="551"/>
      <c r="Q103" s="551"/>
      <c r="R103" s="551"/>
      <c r="S103" s="551"/>
      <c r="T103" s="551"/>
      <c r="U103" s="551"/>
      <c r="V103" s="551"/>
      <c r="W103" s="551"/>
      <c r="X103" s="551"/>
      <c r="Y103" s="551"/>
      <c r="Z103" s="551"/>
      <c r="AA103" s="551"/>
      <c r="AB103" s="551"/>
      <c r="AC103" s="551"/>
      <c r="AD103" s="551"/>
      <c r="AE103" s="551"/>
      <c r="AF103" s="551"/>
      <c r="AG103" s="551"/>
      <c r="AH103" s="551"/>
      <c r="AI103" s="551"/>
      <c r="AJ103" s="551"/>
      <c r="AK103" s="551"/>
      <c r="AL103" s="551"/>
      <c r="AM103" s="551"/>
      <c r="AN103" s="551"/>
      <c r="AO103" s="551"/>
      <c r="AP103" s="551"/>
      <c r="AQ103" s="551"/>
      <c r="AR103" s="551"/>
      <c r="AS103" s="551"/>
      <c r="AT103" s="551"/>
      <c r="AU103" s="551"/>
      <c r="AV103" s="551"/>
      <c r="AW103" s="551"/>
      <c r="AX103" s="551"/>
      <c r="AY103" s="551"/>
      <c r="AZ103" s="551"/>
      <c r="BA103" s="551"/>
      <c r="BB103" s="551"/>
      <c r="BC103" s="551"/>
      <c r="BD103" s="551"/>
      <c r="BE103" s="551"/>
      <c r="BF103" s="551"/>
      <c r="BG103" s="551"/>
      <c r="BH103" s="551"/>
      <c r="BI103" s="551"/>
      <c r="BJ103" s="551"/>
    </row>
    <row r="104" spans="1:62" ht="12.75" customHeight="1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1"/>
      <c r="P104" s="551"/>
      <c r="Q104" s="551"/>
      <c r="R104" s="551"/>
      <c r="S104" s="551"/>
      <c r="T104" s="551"/>
      <c r="U104" s="551"/>
      <c r="V104" s="551"/>
      <c r="W104" s="551"/>
      <c r="X104" s="551"/>
      <c r="Y104" s="551"/>
      <c r="Z104" s="551"/>
      <c r="AA104" s="551"/>
      <c r="AB104" s="551"/>
      <c r="AC104" s="551"/>
      <c r="AD104" s="551"/>
      <c r="AE104" s="551"/>
      <c r="AF104" s="551"/>
      <c r="AG104" s="551"/>
      <c r="AH104" s="551"/>
      <c r="AI104" s="551"/>
      <c r="AJ104" s="551"/>
      <c r="AK104" s="551"/>
      <c r="AL104" s="551"/>
      <c r="AM104" s="551"/>
      <c r="AN104" s="551"/>
      <c r="AO104" s="551"/>
      <c r="AP104" s="551"/>
      <c r="AQ104" s="551"/>
      <c r="AR104" s="551"/>
      <c r="AS104" s="551"/>
      <c r="AT104" s="551"/>
      <c r="AU104" s="551"/>
      <c r="AV104" s="551"/>
      <c r="AW104" s="551"/>
      <c r="AX104" s="551"/>
      <c r="AY104" s="551"/>
      <c r="AZ104" s="551"/>
      <c r="BA104" s="551"/>
      <c r="BB104" s="551"/>
      <c r="BC104" s="551"/>
      <c r="BD104" s="551"/>
      <c r="BE104" s="551"/>
      <c r="BF104" s="551"/>
      <c r="BG104" s="551"/>
      <c r="BH104" s="551"/>
      <c r="BI104" s="551"/>
      <c r="BJ104" s="551"/>
    </row>
    <row r="105" spans="1:62" ht="12.75" customHeight="1">
      <c r="A105" s="551"/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51"/>
      <c r="AB105" s="551"/>
      <c r="AC105" s="551"/>
      <c r="AD105" s="551"/>
      <c r="AE105" s="551"/>
      <c r="AF105" s="551"/>
      <c r="AG105" s="551"/>
      <c r="AH105" s="551"/>
      <c r="AI105" s="551"/>
      <c r="AJ105" s="551"/>
      <c r="AK105" s="551"/>
      <c r="AL105" s="551"/>
      <c r="AM105" s="551"/>
      <c r="AN105" s="551"/>
      <c r="AO105" s="551"/>
      <c r="AP105" s="551"/>
      <c r="AQ105" s="551"/>
      <c r="AR105" s="551"/>
      <c r="AS105" s="551"/>
      <c r="AT105" s="551"/>
      <c r="AU105" s="551"/>
      <c r="AV105" s="551"/>
      <c r="AW105" s="551"/>
      <c r="AX105" s="551"/>
      <c r="AY105" s="551"/>
      <c r="AZ105" s="551"/>
      <c r="BA105" s="551"/>
      <c r="BB105" s="551"/>
      <c r="BC105" s="551"/>
      <c r="BD105" s="551"/>
      <c r="BE105" s="551"/>
      <c r="BF105" s="551"/>
      <c r="BG105" s="551"/>
      <c r="BH105" s="551"/>
      <c r="BI105" s="551"/>
      <c r="BJ105" s="551"/>
    </row>
    <row r="106" spans="1:62" ht="12.75" customHeight="1">
      <c r="A106" s="551"/>
      <c r="B106" s="551"/>
      <c r="C106" s="551"/>
      <c r="D106" s="551"/>
      <c r="E106" s="551"/>
      <c r="F106" s="551"/>
      <c r="G106" s="551"/>
      <c r="H106" s="551"/>
      <c r="I106" s="551"/>
      <c r="J106" s="551"/>
      <c r="K106" s="551"/>
      <c r="L106" s="551"/>
      <c r="M106" s="551"/>
      <c r="N106" s="551"/>
      <c r="O106" s="551"/>
      <c r="P106" s="551"/>
      <c r="Q106" s="551"/>
      <c r="R106" s="551"/>
      <c r="S106" s="551"/>
      <c r="T106" s="551"/>
      <c r="U106" s="551"/>
      <c r="V106" s="551"/>
      <c r="W106" s="551"/>
      <c r="X106" s="551"/>
      <c r="Y106" s="551"/>
      <c r="Z106" s="551"/>
      <c r="AA106" s="551"/>
      <c r="AB106" s="551"/>
      <c r="AC106" s="551"/>
      <c r="AD106" s="551"/>
      <c r="AE106" s="551"/>
      <c r="AF106" s="551"/>
      <c r="AG106" s="551"/>
      <c r="AH106" s="551"/>
      <c r="AI106" s="551"/>
      <c r="AJ106" s="551"/>
      <c r="AK106" s="551"/>
      <c r="AL106" s="551"/>
      <c r="AM106" s="551"/>
      <c r="AN106" s="551"/>
      <c r="AO106" s="551"/>
      <c r="AP106" s="551"/>
      <c r="AQ106" s="551"/>
      <c r="AR106" s="551"/>
      <c r="AS106" s="551"/>
      <c r="AT106" s="551"/>
      <c r="AU106" s="551"/>
      <c r="AV106" s="551"/>
      <c r="AW106" s="551"/>
      <c r="AX106" s="551"/>
      <c r="AY106" s="551"/>
      <c r="AZ106" s="551"/>
      <c r="BA106" s="551"/>
      <c r="BB106" s="551"/>
      <c r="BC106" s="551"/>
      <c r="BD106" s="551"/>
      <c r="BE106" s="551"/>
      <c r="BF106" s="551"/>
      <c r="BG106" s="551"/>
      <c r="BH106" s="551"/>
      <c r="BI106" s="551"/>
      <c r="BJ106" s="551"/>
    </row>
    <row r="107" spans="1:62" ht="12.75" customHeight="1">
      <c r="A107" s="551"/>
      <c r="B107" s="551"/>
      <c r="C107" s="551"/>
      <c r="D107" s="551"/>
      <c r="E107" s="551"/>
      <c r="F107" s="551"/>
      <c r="G107" s="551"/>
      <c r="H107" s="551"/>
      <c r="I107" s="551"/>
      <c r="J107" s="551"/>
      <c r="K107" s="551"/>
      <c r="L107" s="551"/>
      <c r="M107" s="551"/>
      <c r="N107" s="551"/>
      <c r="O107" s="551"/>
      <c r="P107" s="551"/>
      <c r="Q107" s="551"/>
      <c r="R107" s="551"/>
      <c r="S107" s="551"/>
      <c r="T107" s="551"/>
      <c r="U107" s="551"/>
      <c r="V107" s="551"/>
      <c r="W107" s="551"/>
      <c r="X107" s="551"/>
      <c r="Y107" s="551"/>
      <c r="Z107" s="551"/>
      <c r="AA107" s="551"/>
      <c r="AB107" s="551"/>
      <c r="AC107" s="551"/>
      <c r="AD107" s="551"/>
      <c r="AE107" s="551"/>
      <c r="AF107" s="551"/>
      <c r="AG107" s="551"/>
      <c r="AH107" s="551"/>
      <c r="AI107" s="551"/>
      <c r="AJ107" s="551"/>
      <c r="AK107" s="551"/>
      <c r="AL107" s="551"/>
      <c r="AM107" s="551"/>
      <c r="AN107" s="551"/>
      <c r="AO107" s="551"/>
      <c r="AP107" s="551"/>
      <c r="AQ107" s="551"/>
      <c r="AR107" s="551"/>
      <c r="AS107" s="551"/>
      <c r="AT107" s="551"/>
      <c r="AU107" s="551"/>
      <c r="AV107" s="551"/>
      <c r="AW107" s="551"/>
      <c r="AX107" s="551"/>
      <c r="AY107" s="551"/>
      <c r="AZ107" s="551"/>
      <c r="BA107" s="551"/>
      <c r="BB107" s="551"/>
      <c r="BC107" s="551"/>
      <c r="BD107" s="551"/>
      <c r="BE107" s="551"/>
      <c r="BF107" s="551"/>
      <c r="BG107" s="551"/>
      <c r="BH107" s="551"/>
      <c r="BI107" s="551"/>
      <c r="BJ107" s="551"/>
    </row>
    <row r="108" spans="1:62" ht="12.75" customHeight="1">
      <c r="A108" s="551"/>
      <c r="B108" s="551"/>
      <c r="C108" s="551"/>
      <c r="D108" s="551"/>
      <c r="E108" s="551"/>
      <c r="F108" s="551"/>
      <c r="G108" s="551"/>
      <c r="H108" s="551"/>
      <c r="I108" s="551"/>
      <c r="J108" s="551"/>
      <c r="K108" s="551"/>
      <c r="L108" s="551"/>
      <c r="M108" s="551"/>
      <c r="N108" s="551"/>
      <c r="O108" s="551"/>
      <c r="P108" s="551"/>
      <c r="Q108" s="551"/>
      <c r="R108" s="551"/>
      <c r="S108" s="551"/>
      <c r="T108" s="551"/>
      <c r="U108" s="551"/>
      <c r="V108" s="551"/>
      <c r="W108" s="551"/>
      <c r="X108" s="551"/>
      <c r="Y108" s="551"/>
      <c r="Z108" s="551"/>
      <c r="AA108" s="551"/>
      <c r="AB108" s="551"/>
      <c r="AC108" s="551"/>
      <c r="AD108" s="551"/>
      <c r="AE108" s="551"/>
      <c r="AF108" s="551"/>
      <c r="AG108" s="551"/>
      <c r="AH108" s="551"/>
      <c r="AI108" s="551"/>
      <c r="AJ108" s="551"/>
      <c r="AK108" s="551"/>
      <c r="AL108" s="551"/>
      <c r="AM108" s="551"/>
      <c r="AN108" s="551"/>
      <c r="AO108" s="551"/>
      <c r="AP108" s="551"/>
      <c r="AQ108" s="551"/>
      <c r="AR108" s="551"/>
      <c r="AS108" s="551"/>
      <c r="AT108" s="551"/>
      <c r="AU108" s="551"/>
      <c r="AV108" s="551"/>
      <c r="AW108" s="551"/>
      <c r="AX108" s="551"/>
      <c r="AY108" s="551"/>
      <c r="AZ108" s="551"/>
      <c r="BA108" s="551"/>
      <c r="BB108" s="551"/>
      <c r="BC108" s="551"/>
      <c r="BD108" s="551"/>
      <c r="BE108" s="551"/>
      <c r="BF108" s="551"/>
      <c r="BG108" s="551"/>
      <c r="BH108" s="551"/>
      <c r="BI108" s="551"/>
      <c r="BJ108" s="551"/>
    </row>
    <row r="109" spans="1:62" ht="12.75" customHeight="1">
      <c r="A109" s="551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1"/>
      <c r="P109" s="551"/>
      <c r="Q109" s="551"/>
      <c r="R109" s="551"/>
      <c r="S109" s="551"/>
      <c r="T109" s="551"/>
      <c r="U109" s="551"/>
      <c r="V109" s="551"/>
      <c r="W109" s="551"/>
      <c r="X109" s="551"/>
      <c r="Y109" s="551"/>
      <c r="Z109" s="551"/>
      <c r="AA109" s="551"/>
      <c r="AB109" s="551"/>
      <c r="AC109" s="551"/>
      <c r="AD109" s="551"/>
      <c r="AE109" s="551"/>
      <c r="AF109" s="551"/>
      <c r="AG109" s="551"/>
      <c r="AH109" s="551"/>
      <c r="AI109" s="551"/>
      <c r="AJ109" s="551"/>
      <c r="AK109" s="551"/>
      <c r="AL109" s="551"/>
      <c r="AM109" s="551"/>
      <c r="AN109" s="551"/>
      <c r="AO109" s="551"/>
      <c r="AP109" s="551"/>
      <c r="AQ109" s="551"/>
      <c r="AR109" s="551"/>
      <c r="AS109" s="551"/>
      <c r="AT109" s="551"/>
      <c r="AU109" s="551"/>
      <c r="AV109" s="551"/>
      <c r="AW109" s="551"/>
      <c r="AX109" s="551"/>
      <c r="AY109" s="551"/>
      <c r="AZ109" s="551"/>
      <c r="BA109" s="551"/>
      <c r="BB109" s="551"/>
      <c r="BC109" s="551"/>
      <c r="BD109" s="551"/>
      <c r="BE109" s="551"/>
      <c r="BF109" s="551"/>
      <c r="BG109" s="551"/>
      <c r="BH109" s="551"/>
      <c r="BI109" s="551"/>
      <c r="BJ109" s="551"/>
    </row>
    <row r="110" spans="1:62" ht="12.75" customHeight="1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1"/>
      <c r="P110" s="551"/>
      <c r="Q110" s="551"/>
      <c r="R110" s="551"/>
      <c r="S110" s="551"/>
      <c r="T110" s="551"/>
      <c r="U110" s="551"/>
      <c r="V110" s="551"/>
      <c r="W110" s="551"/>
      <c r="X110" s="551"/>
      <c r="Y110" s="551"/>
      <c r="Z110" s="551"/>
      <c r="AA110" s="551"/>
      <c r="AB110" s="551"/>
      <c r="AC110" s="551"/>
      <c r="AD110" s="551"/>
      <c r="AE110" s="551"/>
      <c r="AF110" s="551"/>
      <c r="AG110" s="551"/>
      <c r="AH110" s="551"/>
      <c r="AI110" s="551"/>
      <c r="AJ110" s="551"/>
      <c r="AK110" s="551"/>
      <c r="AL110" s="551"/>
      <c r="AM110" s="551"/>
      <c r="AN110" s="551"/>
      <c r="AO110" s="551"/>
      <c r="AP110" s="551"/>
      <c r="AQ110" s="551"/>
      <c r="AR110" s="551"/>
      <c r="AS110" s="551"/>
      <c r="AT110" s="551"/>
      <c r="AU110" s="551"/>
      <c r="AV110" s="551"/>
      <c r="AW110" s="551"/>
      <c r="AX110" s="551"/>
      <c r="AY110" s="551"/>
      <c r="AZ110" s="551"/>
      <c r="BA110" s="551"/>
      <c r="BB110" s="551"/>
      <c r="BC110" s="551"/>
      <c r="BD110" s="551"/>
      <c r="BE110" s="551"/>
      <c r="BF110" s="551"/>
      <c r="BG110" s="551"/>
      <c r="BH110" s="551"/>
      <c r="BI110" s="551"/>
      <c r="BJ110" s="551"/>
    </row>
    <row r="111" spans="1:62" ht="12.75" customHeight="1">
      <c r="A111" s="551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51"/>
      <c r="AB111" s="551"/>
      <c r="AC111" s="551"/>
      <c r="AD111" s="551"/>
      <c r="AE111" s="551"/>
      <c r="AF111" s="551"/>
      <c r="AG111" s="551"/>
      <c r="AH111" s="551"/>
      <c r="AI111" s="551"/>
      <c r="AJ111" s="551"/>
      <c r="AK111" s="551"/>
      <c r="AL111" s="551"/>
      <c r="AM111" s="551"/>
      <c r="AN111" s="551"/>
      <c r="AO111" s="551"/>
      <c r="AP111" s="551"/>
      <c r="AQ111" s="551"/>
      <c r="AR111" s="551"/>
      <c r="AS111" s="551"/>
      <c r="AT111" s="551"/>
      <c r="AU111" s="551"/>
      <c r="AV111" s="551"/>
      <c r="AW111" s="551"/>
      <c r="AX111" s="551"/>
      <c r="AY111" s="551"/>
      <c r="AZ111" s="551"/>
      <c r="BA111" s="551"/>
      <c r="BB111" s="551"/>
      <c r="BC111" s="551"/>
      <c r="BD111" s="551"/>
      <c r="BE111" s="551"/>
      <c r="BF111" s="551"/>
      <c r="BG111" s="551"/>
      <c r="BH111" s="551"/>
      <c r="BI111" s="551"/>
      <c r="BJ111" s="551"/>
    </row>
    <row r="112" spans="1:62" ht="12.75" customHeight="1">
      <c r="A112" s="551"/>
      <c r="B112" s="551"/>
      <c r="C112" s="551"/>
      <c r="D112" s="551"/>
      <c r="E112" s="551"/>
      <c r="F112" s="551"/>
      <c r="G112" s="551"/>
      <c r="H112" s="551"/>
      <c r="I112" s="551"/>
      <c r="J112" s="551"/>
      <c r="K112" s="551"/>
      <c r="L112" s="551"/>
      <c r="M112" s="551"/>
      <c r="N112" s="551"/>
      <c r="O112" s="551"/>
      <c r="P112" s="551"/>
      <c r="Q112" s="551"/>
      <c r="R112" s="551"/>
      <c r="S112" s="551"/>
      <c r="T112" s="551"/>
      <c r="U112" s="551"/>
      <c r="V112" s="551"/>
      <c r="W112" s="551"/>
      <c r="X112" s="551"/>
      <c r="Y112" s="551"/>
      <c r="Z112" s="551"/>
      <c r="AA112" s="551"/>
      <c r="AB112" s="551"/>
      <c r="AC112" s="551"/>
      <c r="AD112" s="551"/>
      <c r="AE112" s="551"/>
      <c r="AF112" s="551"/>
      <c r="AG112" s="551"/>
      <c r="AH112" s="551"/>
      <c r="AI112" s="551"/>
      <c r="AJ112" s="551"/>
      <c r="AK112" s="551"/>
      <c r="AL112" s="551"/>
      <c r="AM112" s="551"/>
      <c r="AN112" s="551"/>
      <c r="AO112" s="551"/>
      <c r="AP112" s="551"/>
      <c r="AQ112" s="551"/>
      <c r="AR112" s="551"/>
      <c r="AS112" s="551"/>
      <c r="AT112" s="551"/>
      <c r="AU112" s="551"/>
      <c r="AV112" s="551"/>
      <c r="AW112" s="551"/>
      <c r="AX112" s="551"/>
      <c r="AY112" s="551"/>
      <c r="AZ112" s="551"/>
      <c r="BA112" s="551"/>
      <c r="BB112" s="551"/>
      <c r="BC112" s="551"/>
      <c r="BD112" s="551"/>
      <c r="BE112" s="551"/>
      <c r="BF112" s="551"/>
      <c r="BG112" s="551"/>
      <c r="BH112" s="551"/>
      <c r="BI112" s="551"/>
      <c r="BJ112" s="551"/>
    </row>
    <row r="113" spans="1:62" ht="12.75" customHeight="1">
      <c r="A113" s="551"/>
      <c r="B113" s="551"/>
      <c r="C113" s="551"/>
      <c r="D113" s="551"/>
      <c r="E113" s="551"/>
      <c r="F113" s="551"/>
      <c r="G113" s="551"/>
      <c r="H113" s="551"/>
      <c r="I113" s="551"/>
      <c r="J113" s="551"/>
      <c r="K113" s="551"/>
      <c r="L113" s="551"/>
      <c r="M113" s="551"/>
      <c r="N113" s="551"/>
      <c r="O113" s="551"/>
      <c r="P113" s="551"/>
      <c r="Q113" s="551"/>
      <c r="R113" s="551"/>
      <c r="S113" s="551"/>
      <c r="T113" s="551"/>
      <c r="U113" s="551"/>
      <c r="V113" s="551"/>
      <c r="W113" s="551"/>
      <c r="X113" s="551"/>
      <c r="Y113" s="551"/>
      <c r="Z113" s="551"/>
      <c r="AA113" s="551"/>
      <c r="AB113" s="551"/>
      <c r="AC113" s="551"/>
      <c r="AD113" s="551"/>
      <c r="AE113" s="551"/>
      <c r="AF113" s="551"/>
      <c r="AG113" s="551"/>
      <c r="AH113" s="551"/>
      <c r="AI113" s="551"/>
      <c r="AJ113" s="551"/>
      <c r="AK113" s="551"/>
      <c r="AL113" s="551"/>
      <c r="AM113" s="551"/>
      <c r="AN113" s="551"/>
      <c r="AO113" s="551"/>
      <c r="AP113" s="551"/>
      <c r="AQ113" s="551"/>
      <c r="AR113" s="551"/>
      <c r="AS113" s="551"/>
      <c r="AT113" s="551"/>
      <c r="AU113" s="551"/>
      <c r="AV113" s="551"/>
      <c r="AW113" s="551"/>
      <c r="AX113" s="551"/>
      <c r="AY113" s="551"/>
      <c r="AZ113" s="551"/>
      <c r="BA113" s="551"/>
      <c r="BB113" s="551"/>
      <c r="BC113" s="551"/>
      <c r="BD113" s="551"/>
      <c r="BE113" s="551"/>
      <c r="BF113" s="551"/>
      <c r="BG113" s="551"/>
      <c r="BH113" s="551"/>
      <c r="BI113" s="551"/>
      <c r="BJ113" s="551"/>
    </row>
    <row r="114" spans="1:62" ht="12.75" customHeight="1">
      <c r="A114" s="551"/>
      <c r="B114" s="551"/>
      <c r="C114" s="551"/>
      <c r="D114" s="551"/>
      <c r="E114" s="551"/>
      <c r="F114" s="551"/>
      <c r="G114" s="551"/>
      <c r="H114" s="551"/>
      <c r="I114" s="551"/>
      <c r="J114" s="551"/>
      <c r="K114" s="551"/>
      <c r="L114" s="551"/>
      <c r="M114" s="551"/>
      <c r="N114" s="551"/>
      <c r="O114" s="551"/>
      <c r="P114" s="551"/>
      <c r="Q114" s="551"/>
      <c r="R114" s="551"/>
      <c r="S114" s="551"/>
      <c r="T114" s="551"/>
      <c r="U114" s="551"/>
      <c r="V114" s="551"/>
      <c r="W114" s="551"/>
      <c r="X114" s="551"/>
      <c r="Y114" s="551"/>
      <c r="Z114" s="551"/>
      <c r="AA114" s="551"/>
      <c r="AB114" s="551"/>
      <c r="AC114" s="551"/>
      <c r="AD114" s="551"/>
      <c r="AE114" s="551"/>
      <c r="AF114" s="551"/>
      <c r="AG114" s="551"/>
      <c r="AH114" s="551"/>
      <c r="AI114" s="551"/>
      <c r="AJ114" s="551"/>
      <c r="AK114" s="551"/>
      <c r="AL114" s="551"/>
      <c r="AM114" s="551"/>
      <c r="AN114" s="551"/>
      <c r="AO114" s="551"/>
      <c r="AP114" s="551"/>
      <c r="AQ114" s="551"/>
      <c r="AR114" s="551"/>
      <c r="AS114" s="551"/>
      <c r="AT114" s="551"/>
      <c r="AU114" s="551"/>
      <c r="AV114" s="551"/>
      <c r="AW114" s="551"/>
      <c r="AX114" s="551"/>
      <c r="AY114" s="551"/>
      <c r="AZ114" s="551"/>
      <c r="BA114" s="551"/>
      <c r="BB114" s="551"/>
      <c r="BC114" s="551"/>
      <c r="BD114" s="551"/>
      <c r="BE114" s="551"/>
      <c r="BF114" s="551"/>
      <c r="BG114" s="551"/>
      <c r="BH114" s="551"/>
      <c r="BI114" s="551"/>
      <c r="BJ114" s="551"/>
    </row>
    <row r="115" spans="1:62" ht="12.75" customHeight="1">
      <c r="A115" s="551"/>
      <c r="B115" s="551"/>
      <c r="C115" s="551"/>
      <c r="D115" s="551"/>
      <c r="E115" s="551"/>
      <c r="F115" s="551"/>
      <c r="G115" s="551"/>
      <c r="H115" s="551"/>
      <c r="I115" s="551"/>
      <c r="J115" s="551"/>
      <c r="K115" s="551"/>
      <c r="L115" s="551"/>
      <c r="M115" s="551"/>
      <c r="N115" s="551"/>
      <c r="O115" s="551"/>
      <c r="P115" s="551"/>
      <c r="Q115" s="551"/>
      <c r="R115" s="551"/>
      <c r="S115" s="551"/>
      <c r="T115" s="551"/>
      <c r="U115" s="551"/>
      <c r="V115" s="551"/>
      <c r="W115" s="551"/>
      <c r="X115" s="551"/>
      <c r="Y115" s="551"/>
      <c r="Z115" s="551"/>
      <c r="AA115" s="551"/>
      <c r="AB115" s="551"/>
      <c r="AC115" s="551"/>
      <c r="AD115" s="551"/>
      <c r="AE115" s="551"/>
      <c r="AF115" s="551"/>
      <c r="AG115" s="551"/>
      <c r="AH115" s="551"/>
      <c r="AI115" s="551"/>
      <c r="AJ115" s="551"/>
      <c r="AK115" s="551"/>
      <c r="AL115" s="551"/>
      <c r="AM115" s="551"/>
      <c r="AN115" s="551"/>
      <c r="AO115" s="551"/>
      <c r="AP115" s="551"/>
      <c r="AQ115" s="551"/>
      <c r="AR115" s="551"/>
      <c r="AS115" s="551"/>
      <c r="AT115" s="551"/>
      <c r="AU115" s="551"/>
      <c r="AV115" s="551"/>
      <c r="AW115" s="551"/>
      <c r="AX115" s="551"/>
      <c r="AY115" s="551"/>
      <c r="AZ115" s="551"/>
      <c r="BA115" s="551"/>
      <c r="BB115" s="551"/>
      <c r="BC115" s="551"/>
      <c r="BD115" s="551"/>
      <c r="BE115" s="551"/>
      <c r="BF115" s="551"/>
      <c r="BG115" s="551"/>
      <c r="BH115" s="551"/>
      <c r="BI115" s="551"/>
      <c r="BJ115" s="551"/>
    </row>
    <row r="116" spans="1:62" ht="12.75" customHeight="1">
      <c r="A116" s="551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1"/>
      <c r="P116" s="551"/>
      <c r="Q116" s="551"/>
      <c r="R116" s="551"/>
      <c r="S116" s="551"/>
      <c r="T116" s="551"/>
      <c r="U116" s="551"/>
      <c r="V116" s="551"/>
      <c r="W116" s="551"/>
      <c r="X116" s="551"/>
      <c r="Y116" s="551"/>
      <c r="Z116" s="551"/>
      <c r="AA116" s="551"/>
      <c r="AB116" s="551"/>
      <c r="AC116" s="551"/>
      <c r="AD116" s="551"/>
      <c r="AE116" s="551"/>
      <c r="AF116" s="551"/>
      <c r="AG116" s="551"/>
      <c r="AH116" s="551"/>
      <c r="AI116" s="551"/>
      <c r="AJ116" s="551"/>
      <c r="AK116" s="551"/>
      <c r="AL116" s="551"/>
      <c r="AM116" s="551"/>
      <c r="AN116" s="551"/>
      <c r="AO116" s="551"/>
      <c r="AP116" s="551"/>
      <c r="AQ116" s="551"/>
      <c r="AR116" s="551"/>
      <c r="AS116" s="551"/>
      <c r="AT116" s="551"/>
      <c r="AU116" s="551"/>
      <c r="AV116" s="551"/>
      <c r="AW116" s="551"/>
      <c r="AX116" s="551"/>
      <c r="AY116" s="551"/>
      <c r="AZ116" s="551"/>
      <c r="BA116" s="551"/>
      <c r="BB116" s="551"/>
      <c r="BC116" s="551"/>
      <c r="BD116" s="551"/>
      <c r="BE116" s="551"/>
      <c r="BF116" s="551"/>
      <c r="BG116" s="551"/>
      <c r="BH116" s="551"/>
      <c r="BI116" s="551"/>
      <c r="BJ116" s="551"/>
    </row>
    <row r="117" spans="1:62" ht="12.75" customHeight="1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1"/>
      <c r="P117" s="551"/>
      <c r="Q117" s="551"/>
      <c r="R117" s="551"/>
      <c r="S117" s="551"/>
      <c r="T117" s="551"/>
      <c r="U117" s="551"/>
      <c r="V117" s="551"/>
      <c r="W117" s="551"/>
      <c r="X117" s="551"/>
      <c r="Y117" s="551"/>
      <c r="Z117" s="551"/>
      <c r="AA117" s="551"/>
      <c r="AB117" s="551"/>
      <c r="AC117" s="551"/>
      <c r="AD117" s="551"/>
      <c r="AE117" s="551"/>
      <c r="AF117" s="551"/>
      <c r="AG117" s="551"/>
      <c r="AH117" s="551"/>
      <c r="AI117" s="551"/>
      <c r="AJ117" s="551"/>
      <c r="AK117" s="551"/>
      <c r="AL117" s="551"/>
      <c r="AM117" s="551"/>
      <c r="AN117" s="551"/>
      <c r="AO117" s="551"/>
      <c r="AP117" s="551"/>
      <c r="AQ117" s="551"/>
      <c r="AR117" s="551"/>
      <c r="AS117" s="551"/>
      <c r="AT117" s="551"/>
      <c r="AU117" s="551"/>
      <c r="AV117" s="551"/>
      <c r="AW117" s="551"/>
      <c r="AX117" s="551"/>
      <c r="AY117" s="551"/>
      <c r="AZ117" s="551"/>
      <c r="BA117" s="551"/>
      <c r="BB117" s="551"/>
      <c r="BC117" s="551"/>
      <c r="BD117" s="551"/>
      <c r="BE117" s="551"/>
      <c r="BF117" s="551"/>
      <c r="BG117" s="551"/>
      <c r="BH117" s="551"/>
      <c r="BI117" s="551"/>
      <c r="BJ117" s="551"/>
    </row>
    <row r="118" spans="1:62" ht="12.75" customHeight="1">
      <c r="A118" s="551"/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51"/>
      <c r="AB118" s="551"/>
      <c r="AC118" s="551"/>
      <c r="AD118" s="551"/>
      <c r="AE118" s="551"/>
      <c r="AF118" s="551"/>
      <c r="AG118" s="551"/>
      <c r="AH118" s="551"/>
      <c r="AI118" s="551"/>
      <c r="AJ118" s="551"/>
      <c r="AK118" s="551"/>
      <c r="AL118" s="551"/>
      <c r="AM118" s="551"/>
      <c r="AN118" s="551"/>
      <c r="AO118" s="551"/>
      <c r="AP118" s="551"/>
      <c r="AQ118" s="551"/>
      <c r="AR118" s="551"/>
      <c r="AS118" s="551"/>
      <c r="AT118" s="551"/>
      <c r="AU118" s="551"/>
      <c r="AV118" s="551"/>
      <c r="AW118" s="551"/>
      <c r="AX118" s="551"/>
      <c r="AY118" s="551"/>
      <c r="AZ118" s="551"/>
      <c r="BA118" s="551"/>
      <c r="BB118" s="551"/>
      <c r="BC118" s="551"/>
      <c r="BD118" s="551"/>
      <c r="BE118" s="551"/>
      <c r="BF118" s="551"/>
      <c r="BG118" s="551"/>
      <c r="BH118" s="551"/>
      <c r="BI118" s="551"/>
      <c r="BJ118" s="551"/>
    </row>
    <row r="119" spans="1:62" ht="12.75" customHeight="1">
      <c r="A119" s="551"/>
      <c r="B119" s="551"/>
      <c r="C119" s="551"/>
      <c r="D119" s="551"/>
      <c r="E119" s="551"/>
      <c r="F119" s="551"/>
      <c r="G119" s="551"/>
      <c r="H119" s="551"/>
      <c r="I119" s="551"/>
      <c r="J119" s="551"/>
      <c r="K119" s="551"/>
      <c r="L119" s="551"/>
      <c r="M119" s="551"/>
      <c r="N119" s="551"/>
      <c r="O119" s="551"/>
      <c r="P119" s="551"/>
      <c r="Q119" s="551"/>
      <c r="R119" s="551"/>
      <c r="S119" s="551"/>
      <c r="T119" s="551"/>
      <c r="U119" s="551"/>
      <c r="V119" s="551"/>
      <c r="W119" s="551"/>
      <c r="X119" s="551"/>
      <c r="Y119" s="551"/>
      <c r="Z119" s="551"/>
      <c r="AA119" s="551"/>
      <c r="AB119" s="551"/>
      <c r="AC119" s="551"/>
      <c r="AD119" s="551"/>
      <c r="AE119" s="551"/>
      <c r="AF119" s="551"/>
      <c r="AG119" s="551"/>
      <c r="AH119" s="551"/>
      <c r="AI119" s="551"/>
      <c r="AJ119" s="551"/>
      <c r="AK119" s="551"/>
      <c r="AL119" s="551"/>
      <c r="AM119" s="551"/>
      <c r="AN119" s="551"/>
      <c r="AO119" s="551"/>
      <c r="AP119" s="551"/>
      <c r="AQ119" s="551"/>
      <c r="AR119" s="551"/>
      <c r="AS119" s="551"/>
      <c r="AT119" s="551"/>
      <c r="AU119" s="551"/>
      <c r="AV119" s="551"/>
      <c r="AW119" s="551"/>
      <c r="AX119" s="551"/>
      <c r="AY119" s="551"/>
      <c r="AZ119" s="551"/>
      <c r="BA119" s="551"/>
      <c r="BB119" s="551"/>
      <c r="BC119" s="551"/>
      <c r="BD119" s="551"/>
      <c r="BE119" s="551"/>
      <c r="BF119" s="551"/>
      <c r="BG119" s="551"/>
      <c r="BH119" s="551"/>
      <c r="BI119" s="551"/>
      <c r="BJ119" s="551"/>
    </row>
    <row r="120" spans="1:62" ht="12.75" customHeight="1">
      <c r="A120" s="551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1"/>
      <c r="P120" s="551"/>
      <c r="Q120" s="551"/>
      <c r="R120" s="551"/>
      <c r="S120" s="551"/>
      <c r="T120" s="551"/>
      <c r="U120" s="551"/>
      <c r="V120" s="551"/>
      <c r="W120" s="551"/>
      <c r="X120" s="551"/>
      <c r="Y120" s="551"/>
      <c r="Z120" s="551"/>
      <c r="AA120" s="551"/>
      <c r="AB120" s="551"/>
      <c r="AC120" s="551"/>
      <c r="AD120" s="551"/>
      <c r="AE120" s="551"/>
      <c r="AF120" s="551"/>
      <c r="AG120" s="551"/>
      <c r="AH120" s="551"/>
      <c r="AI120" s="551"/>
      <c r="AJ120" s="551"/>
      <c r="AK120" s="551"/>
      <c r="AL120" s="551"/>
      <c r="AM120" s="551"/>
      <c r="AN120" s="551"/>
      <c r="AO120" s="551"/>
      <c r="AP120" s="551"/>
      <c r="AQ120" s="551"/>
      <c r="AR120" s="551"/>
      <c r="AS120" s="551"/>
      <c r="AT120" s="551"/>
      <c r="AU120" s="551"/>
      <c r="AV120" s="551"/>
      <c r="AW120" s="551"/>
      <c r="AX120" s="551"/>
      <c r="AY120" s="551"/>
      <c r="AZ120" s="551"/>
      <c r="BA120" s="551"/>
      <c r="BB120" s="551"/>
      <c r="BC120" s="551"/>
      <c r="BD120" s="551"/>
      <c r="BE120" s="551"/>
      <c r="BF120" s="551"/>
      <c r="BG120" s="551"/>
      <c r="BH120" s="551"/>
      <c r="BI120" s="551"/>
      <c r="BJ120" s="551"/>
    </row>
    <row r="121" spans="1:62" ht="12.75" customHeight="1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1"/>
      <c r="P121" s="551"/>
      <c r="Q121" s="551"/>
      <c r="R121" s="551"/>
      <c r="S121" s="551"/>
      <c r="T121" s="551"/>
      <c r="U121" s="551"/>
      <c r="V121" s="551"/>
      <c r="W121" s="551"/>
      <c r="X121" s="551"/>
      <c r="Y121" s="551"/>
      <c r="Z121" s="551"/>
      <c r="AA121" s="551"/>
      <c r="AB121" s="551"/>
      <c r="AC121" s="551"/>
      <c r="AD121" s="551"/>
      <c r="AE121" s="551"/>
      <c r="AF121" s="551"/>
      <c r="AG121" s="551"/>
      <c r="AH121" s="551"/>
      <c r="AI121" s="551"/>
      <c r="AJ121" s="551"/>
      <c r="AK121" s="551"/>
      <c r="AL121" s="551"/>
      <c r="AM121" s="551"/>
      <c r="AN121" s="551"/>
      <c r="AO121" s="551"/>
      <c r="AP121" s="551"/>
      <c r="AQ121" s="551"/>
      <c r="AR121" s="551"/>
      <c r="AS121" s="551"/>
      <c r="AT121" s="551"/>
      <c r="AU121" s="551"/>
      <c r="AV121" s="551"/>
      <c r="AW121" s="551"/>
      <c r="AX121" s="551"/>
      <c r="AY121" s="551"/>
      <c r="AZ121" s="551"/>
      <c r="BA121" s="551"/>
      <c r="BB121" s="551"/>
      <c r="BC121" s="551"/>
      <c r="BD121" s="551"/>
      <c r="BE121" s="551"/>
      <c r="BF121" s="551"/>
      <c r="BG121" s="551"/>
      <c r="BH121" s="551"/>
      <c r="BI121" s="551"/>
      <c r="BJ121" s="551"/>
    </row>
    <row r="122" spans="1:62" ht="12.75" customHeight="1">
      <c r="A122" s="551"/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51"/>
      <c r="AB122" s="551"/>
      <c r="AC122" s="551"/>
      <c r="AD122" s="551"/>
      <c r="AE122" s="551"/>
      <c r="AF122" s="551"/>
      <c r="AG122" s="551"/>
      <c r="AH122" s="551"/>
      <c r="AI122" s="551"/>
      <c r="AJ122" s="551"/>
      <c r="AK122" s="551"/>
      <c r="AL122" s="551"/>
      <c r="AM122" s="551"/>
      <c r="AN122" s="551"/>
      <c r="AO122" s="551"/>
      <c r="AP122" s="551"/>
      <c r="AQ122" s="551"/>
      <c r="AR122" s="551"/>
      <c r="AS122" s="551"/>
      <c r="AT122" s="551"/>
      <c r="AU122" s="551"/>
      <c r="AV122" s="551"/>
      <c r="AW122" s="551"/>
      <c r="AX122" s="551"/>
      <c r="AY122" s="551"/>
      <c r="AZ122" s="551"/>
      <c r="BA122" s="551"/>
      <c r="BB122" s="551"/>
      <c r="BC122" s="551"/>
      <c r="BD122" s="551"/>
      <c r="BE122" s="551"/>
      <c r="BF122" s="551"/>
      <c r="BG122" s="551"/>
      <c r="BH122" s="551"/>
      <c r="BI122" s="551"/>
      <c r="BJ122" s="551"/>
    </row>
    <row r="123" spans="1:62" ht="12.75" customHeight="1">
      <c r="A123" s="551"/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51"/>
      <c r="AB123" s="551"/>
      <c r="AC123" s="551"/>
      <c r="AD123" s="551"/>
      <c r="AE123" s="551"/>
      <c r="AF123" s="551"/>
      <c r="AG123" s="551"/>
      <c r="AH123" s="551"/>
      <c r="AI123" s="551"/>
      <c r="AJ123" s="551"/>
      <c r="AK123" s="551"/>
      <c r="AL123" s="551"/>
      <c r="AM123" s="551"/>
      <c r="AN123" s="551"/>
      <c r="AO123" s="551"/>
      <c r="AP123" s="551"/>
      <c r="AQ123" s="551"/>
      <c r="AR123" s="551"/>
      <c r="AS123" s="551"/>
      <c r="AT123" s="551"/>
      <c r="AU123" s="551"/>
      <c r="AV123" s="551"/>
      <c r="AW123" s="551"/>
      <c r="AX123" s="551"/>
      <c r="AY123" s="551"/>
      <c r="AZ123" s="551"/>
      <c r="BA123" s="551"/>
      <c r="BB123" s="551"/>
      <c r="BC123" s="551"/>
      <c r="BD123" s="551"/>
      <c r="BE123" s="551"/>
      <c r="BF123" s="551"/>
      <c r="BG123" s="551"/>
      <c r="BH123" s="551"/>
      <c r="BI123" s="551"/>
      <c r="BJ123" s="551"/>
    </row>
    <row r="124" spans="1:62" ht="12.75" customHeight="1">
      <c r="A124" s="551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1"/>
      <c r="M124" s="551"/>
      <c r="N124" s="551"/>
      <c r="O124" s="551"/>
      <c r="P124" s="551"/>
      <c r="Q124" s="551"/>
      <c r="R124" s="551"/>
      <c r="S124" s="551"/>
      <c r="T124" s="551"/>
      <c r="U124" s="551"/>
      <c r="V124" s="551"/>
      <c r="W124" s="551"/>
      <c r="X124" s="551"/>
      <c r="Y124" s="551"/>
      <c r="Z124" s="551"/>
      <c r="AA124" s="551"/>
      <c r="AB124" s="551"/>
      <c r="AC124" s="551"/>
      <c r="AD124" s="551"/>
      <c r="AE124" s="551"/>
      <c r="AF124" s="551"/>
      <c r="AG124" s="551"/>
      <c r="AH124" s="551"/>
      <c r="AI124" s="551"/>
      <c r="AJ124" s="551"/>
      <c r="AK124" s="551"/>
      <c r="AL124" s="551"/>
      <c r="AM124" s="551"/>
      <c r="AN124" s="551"/>
      <c r="AO124" s="551"/>
      <c r="AP124" s="551"/>
      <c r="AQ124" s="551"/>
      <c r="AR124" s="551"/>
      <c r="AS124" s="551"/>
      <c r="AT124" s="551"/>
      <c r="AU124" s="551"/>
      <c r="AV124" s="551"/>
      <c r="AW124" s="551"/>
      <c r="AX124" s="551"/>
      <c r="AY124" s="551"/>
      <c r="AZ124" s="551"/>
      <c r="BA124" s="551"/>
      <c r="BB124" s="551"/>
      <c r="BC124" s="551"/>
      <c r="BD124" s="551"/>
      <c r="BE124" s="551"/>
      <c r="BF124" s="551"/>
      <c r="BG124" s="551"/>
      <c r="BH124" s="551"/>
      <c r="BI124" s="551"/>
      <c r="BJ124" s="551"/>
    </row>
    <row r="125" spans="1:62" ht="12.75" customHeight="1">
      <c r="A125" s="551"/>
      <c r="B125" s="551"/>
      <c r="C125" s="551"/>
      <c r="D125" s="551"/>
      <c r="E125" s="551"/>
      <c r="F125" s="551"/>
      <c r="G125" s="551"/>
      <c r="H125" s="551"/>
      <c r="I125" s="551"/>
      <c r="J125" s="551"/>
      <c r="K125" s="551"/>
      <c r="L125" s="551"/>
      <c r="M125" s="551"/>
      <c r="N125" s="551"/>
      <c r="O125" s="551"/>
      <c r="P125" s="551"/>
      <c r="Q125" s="551"/>
      <c r="R125" s="551"/>
      <c r="S125" s="551"/>
      <c r="T125" s="551"/>
      <c r="U125" s="551"/>
      <c r="V125" s="551"/>
      <c r="W125" s="551"/>
      <c r="X125" s="551"/>
      <c r="Y125" s="551"/>
      <c r="Z125" s="551"/>
      <c r="AA125" s="551"/>
      <c r="AB125" s="551"/>
      <c r="AC125" s="551"/>
      <c r="AD125" s="551"/>
      <c r="AE125" s="551"/>
      <c r="AF125" s="551"/>
      <c r="AG125" s="551"/>
      <c r="AH125" s="551"/>
      <c r="AI125" s="551"/>
      <c r="AJ125" s="551"/>
      <c r="AK125" s="551"/>
      <c r="AL125" s="551"/>
      <c r="AM125" s="551"/>
      <c r="AN125" s="551"/>
      <c r="AO125" s="551"/>
      <c r="AP125" s="551"/>
      <c r="AQ125" s="551"/>
      <c r="AR125" s="551"/>
      <c r="AS125" s="551"/>
      <c r="AT125" s="551"/>
      <c r="AU125" s="551"/>
      <c r="AV125" s="551"/>
      <c r="AW125" s="551"/>
      <c r="AX125" s="551"/>
      <c r="AY125" s="551"/>
      <c r="AZ125" s="551"/>
      <c r="BA125" s="551"/>
      <c r="BB125" s="551"/>
      <c r="BC125" s="551"/>
      <c r="BD125" s="551"/>
      <c r="BE125" s="551"/>
      <c r="BF125" s="551"/>
      <c r="BG125" s="551"/>
      <c r="BH125" s="551"/>
      <c r="BI125" s="551"/>
      <c r="BJ125" s="551"/>
    </row>
    <row r="126" spans="1:62" ht="12.75" customHeight="1">
      <c r="A126" s="551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1"/>
      <c r="P126" s="551"/>
      <c r="Q126" s="551"/>
      <c r="R126" s="551"/>
      <c r="S126" s="551"/>
      <c r="T126" s="551"/>
      <c r="U126" s="551"/>
      <c r="V126" s="551"/>
      <c r="W126" s="551"/>
      <c r="X126" s="551"/>
      <c r="Y126" s="551"/>
      <c r="Z126" s="551"/>
      <c r="AA126" s="551"/>
      <c r="AB126" s="551"/>
      <c r="AC126" s="551"/>
      <c r="AD126" s="551"/>
      <c r="AE126" s="551"/>
      <c r="AF126" s="551"/>
      <c r="AG126" s="551"/>
      <c r="AH126" s="551"/>
      <c r="AI126" s="551"/>
      <c r="AJ126" s="551"/>
      <c r="AK126" s="551"/>
      <c r="AL126" s="551"/>
      <c r="AM126" s="551"/>
      <c r="AN126" s="551"/>
      <c r="AO126" s="551"/>
      <c r="AP126" s="551"/>
      <c r="AQ126" s="551"/>
      <c r="AR126" s="551"/>
      <c r="AS126" s="551"/>
      <c r="AT126" s="551"/>
      <c r="AU126" s="551"/>
      <c r="AV126" s="551"/>
      <c r="AW126" s="551"/>
      <c r="AX126" s="551"/>
      <c r="AY126" s="551"/>
      <c r="AZ126" s="551"/>
      <c r="BA126" s="551"/>
      <c r="BB126" s="551"/>
      <c r="BC126" s="551"/>
      <c r="BD126" s="551"/>
      <c r="BE126" s="551"/>
      <c r="BF126" s="551"/>
      <c r="BG126" s="551"/>
      <c r="BH126" s="551"/>
      <c r="BI126" s="551"/>
      <c r="BJ126" s="551"/>
    </row>
    <row r="127" spans="1:62" ht="12.75" customHeight="1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1"/>
      <c r="P127" s="551"/>
      <c r="Q127" s="551"/>
      <c r="R127" s="551"/>
      <c r="S127" s="551"/>
      <c r="T127" s="551"/>
      <c r="U127" s="551"/>
      <c r="V127" s="551"/>
      <c r="W127" s="551"/>
      <c r="X127" s="551"/>
      <c r="Y127" s="551"/>
      <c r="Z127" s="551"/>
      <c r="AA127" s="551"/>
      <c r="AB127" s="551"/>
      <c r="AC127" s="551"/>
      <c r="AD127" s="551"/>
      <c r="AE127" s="551"/>
      <c r="AF127" s="551"/>
      <c r="AG127" s="551"/>
      <c r="AH127" s="551"/>
      <c r="AI127" s="551"/>
      <c r="AJ127" s="551"/>
      <c r="AK127" s="551"/>
      <c r="AL127" s="551"/>
      <c r="AM127" s="551"/>
      <c r="AN127" s="551"/>
      <c r="AO127" s="551"/>
      <c r="AP127" s="551"/>
      <c r="AQ127" s="551"/>
      <c r="AR127" s="551"/>
      <c r="AS127" s="551"/>
      <c r="AT127" s="551"/>
      <c r="AU127" s="551"/>
      <c r="AV127" s="551"/>
      <c r="AW127" s="551"/>
      <c r="AX127" s="551"/>
      <c r="AY127" s="551"/>
      <c r="AZ127" s="551"/>
      <c r="BA127" s="551"/>
      <c r="BB127" s="551"/>
      <c r="BC127" s="551"/>
      <c r="BD127" s="551"/>
      <c r="BE127" s="551"/>
      <c r="BF127" s="551"/>
      <c r="BG127" s="551"/>
      <c r="BH127" s="551"/>
      <c r="BI127" s="551"/>
      <c r="BJ127" s="551"/>
    </row>
    <row r="128" spans="1:62" ht="12.75" customHeight="1">
      <c r="A128" s="551"/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51"/>
      <c r="AB128" s="551"/>
      <c r="AC128" s="551"/>
      <c r="AD128" s="551"/>
      <c r="AE128" s="551"/>
      <c r="AF128" s="551"/>
      <c r="AG128" s="551"/>
      <c r="AH128" s="551"/>
      <c r="AI128" s="551"/>
      <c r="AJ128" s="551"/>
      <c r="AK128" s="551"/>
      <c r="AL128" s="551"/>
      <c r="AM128" s="551"/>
      <c r="AN128" s="551"/>
      <c r="AO128" s="551"/>
      <c r="AP128" s="551"/>
      <c r="AQ128" s="551"/>
      <c r="AR128" s="551"/>
      <c r="AS128" s="551"/>
      <c r="AT128" s="551"/>
      <c r="AU128" s="551"/>
      <c r="AV128" s="551"/>
      <c r="AW128" s="551"/>
      <c r="AX128" s="551"/>
      <c r="AY128" s="551"/>
      <c r="AZ128" s="551"/>
      <c r="BA128" s="551"/>
      <c r="BB128" s="551"/>
      <c r="BC128" s="551"/>
      <c r="BD128" s="551"/>
      <c r="BE128" s="551"/>
      <c r="BF128" s="551"/>
      <c r="BG128" s="551"/>
      <c r="BH128" s="551"/>
      <c r="BI128" s="551"/>
      <c r="BJ128" s="551"/>
    </row>
    <row r="129" spans="1:62" ht="12.75" customHeight="1">
      <c r="A129" s="551"/>
      <c r="B129" s="551"/>
      <c r="C129" s="551"/>
      <c r="D129" s="551"/>
      <c r="E129" s="551"/>
      <c r="F129" s="551"/>
      <c r="G129" s="551"/>
      <c r="H129" s="551"/>
      <c r="I129" s="551"/>
      <c r="J129" s="551"/>
      <c r="K129" s="551"/>
      <c r="L129" s="551"/>
      <c r="M129" s="551"/>
      <c r="N129" s="551"/>
      <c r="O129" s="551"/>
      <c r="P129" s="551"/>
      <c r="Q129" s="551"/>
      <c r="R129" s="551"/>
      <c r="S129" s="551"/>
      <c r="T129" s="551"/>
      <c r="U129" s="551"/>
      <c r="V129" s="551"/>
      <c r="W129" s="551"/>
      <c r="X129" s="551"/>
      <c r="Y129" s="551"/>
      <c r="Z129" s="551"/>
      <c r="AA129" s="551"/>
      <c r="AB129" s="551"/>
      <c r="AC129" s="551"/>
      <c r="AD129" s="551"/>
      <c r="AE129" s="551"/>
      <c r="AF129" s="551"/>
      <c r="AG129" s="551"/>
      <c r="AH129" s="551"/>
      <c r="AI129" s="551"/>
      <c r="AJ129" s="551"/>
      <c r="AK129" s="551"/>
      <c r="AL129" s="551"/>
      <c r="AM129" s="551"/>
      <c r="AN129" s="551"/>
      <c r="AO129" s="551"/>
      <c r="AP129" s="551"/>
      <c r="AQ129" s="551"/>
      <c r="AR129" s="551"/>
      <c r="AS129" s="551"/>
      <c r="AT129" s="551"/>
      <c r="AU129" s="551"/>
      <c r="AV129" s="551"/>
      <c r="AW129" s="551"/>
      <c r="AX129" s="551"/>
      <c r="AY129" s="551"/>
      <c r="AZ129" s="551"/>
      <c r="BA129" s="551"/>
      <c r="BB129" s="551"/>
      <c r="BC129" s="551"/>
      <c r="BD129" s="551"/>
      <c r="BE129" s="551"/>
      <c r="BF129" s="551"/>
      <c r="BG129" s="551"/>
      <c r="BH129" s="551"/>
      <c r="BI129" s="551"/>
      <c r="BJ129" s="551"/>
    </row>
    <row r="130" spans="1:62" ht="12.75" customHeight="1">
      <c r="A130" s="551"/>
      <c r="B130" s="551"/>
      <c r="C130" s="551"/>
      <c r="D130" s="551"/>
      <c r="E130" s="551"/>
      <c r="F130" s="551"/>
      <c r="G130" s="551"/>
      <c r="H130" s="551"/>
      <c r="I130" s="551"/>
      <c r="J130" s="551"/>
      <c r="K130" s="551"/>
      <c r="L130" s="551"/>
      <c r="M130" s="551"/>
      <c r="N130" s="551"/>
      <c r="O130" s="551"/>
      <c r="P130" s="551"/>
      <c r="Q130" s="551"/>
      <c r="R130" s="551"/>
      <c r="S130" s="551"/>
      <c r="T130" s="551"/>
      <c r="U130" s="551"/>
      <c r="V130" s="551"/>
      <c r="W130" s="551"/>
      <c r="X130" s="551"/>
      <c r="Y130" s="551"/>
      <c r="Z130" s="551"/>
      <c r="AA130" s="551"/>
      <c r="AB130" s="551"/>
      <c r="AC130" s="551"/>
      <c r="AD130" s="551"/>
      <c r="AE130" s="551"/>
      <c r="AF130" s="551"/>
      <c r="AG130" s="551"/>
      <c r="AH130" s="551"/>
      <c r="AI130" s="551"/>
      <c r="AJ130" s="551"/>
      <c r="AK130" s="551"/>
      <c r="AL130" s="551"/>
      <c r="AM130" s="551"/>
      <c r="AN130" s="551"/>
      <c r="AO130" s="551"/>
      <c r="AP130" s="551"/>
      <c r="AQ130" s="551"/>
      <c r="AR130" s="551"/>
      <c r="AS130" s="551"/>
      <c r="AT130" s="551"/>
      <c r="AU130" s="551"/>
      <c r="AV130" s="551"/>
      <c r="AW130" s="551"/>
      <c r="AX130" s="551"/>
      <c r="AY130" s="551"/>
      <c r="AZ130" s="551"/>
      <c r="BA130" s="551"/>
      <c r="BB130" s="551"/>
      <c r="BC130" s="551"/>
      <c r="BD130" s="551"/>
      <c r="BE130" s="551"/>
      <c r="BF130" s="551"/>
      <c r="BG130" s="551"/>
      <c r="BH130" s="551"/>
      <c r="BI130" s="551"/>
      <c r="BJ130" s="551"/>
    </row>
    <row r="131" spans="1:62" ht="12.75" customHeight="1">
      <c r="A131" s="551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1"/>
      <c r="P131" s="551"/>
      <c r="Q131" s="551"/>
      <c r="R131" s="551"/>
      <c r="S131" s="551"/>
      <c r="T131" s="551"/>
      <c r="U131" s="551"/>
      <c r="V131" s="551"/>
      <c r="W131" s="551"/>
      <c r="X131" s="551"/>
      <c r="Y131" s="551"/>
      <c r="Z131" s="551"/>
      <c r="AA131" s="551"/>
      <c r="AB131" s="551"/>
      <c r="AC131" s="551"/>
      <c r="AD131" s="551"/>
      <c r="AE131" s="551"/>
      <c r="AF131" s="551"/>
      <c r="AG131" s="551"/>
      <c r="AH131" s="551"/>
      <c r="AI131" s="551"/>
      <c r="AJ131" s="551"/>
      <c r="AK131" s="551"/>
      <c r="AL131" s="551"/>
      <c r="AM131" s="551"/>
      <c r="AN131" s="551"/>
      <c r="AO131" s="551"/>
      <c r="AP131" s="551"/>
      <c r="AQ131" s="551"/>
      <c r="AR131" s="551"/>
      <c r="AS131" s="551"/>
      <c r="AT131" s="551"/>
      <c r="AU131" s="551"/>
      <c r="AV131" s="551"/>
      <c r="AW131" s="551"/>
      <c r="AX131" s="551"/>
      <c r="AY131" s="551"/>
      <c r="AZ131" s="551"/>
      <c r="BA131" s="551"/>
      <c r="BB131" s="551"/>
      <c r="BC131" s="551"/>
      <c r="BD131" s="551"/>
      <c r="BE131" s="551"/>
      <c r="BF131" s="551"/>
      <c r="BG131" s="551"/>
      <c r="BH131" s="551"/>
      <c r="BI131" s="551"/>
      <c r="BJ131" s="551"/>
    </row>
    <row r="132" spans="1:62" ht="12.75" customHeight="1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1"/>
      <c r="P132" s="551"/>
      <c r="Q132" s="551"/>
      <c r="R132" s="551"/>
      <c r="S132" s="551"/>
      <c r="T132" s="551"/>
      <c r="U132" s="551"/>
      <c r="V132" s="551"/>
      <c r="W132" s="551"/>
      <c r="X132" s="551"/>
      <c r="Y132" s="551"/>
      <c r="Z132" s="551"/>
      <c r="AA132" s="551"/>
      <c r="AB132" s="551"/>
      <c r="AC132" s="551"/>
      <c r="AD132" s="551"/>
      <c r="AE132" s="551"/>
      <c r="AF132" s="551"/>
      <c r="AG132" s="551"/>
      <c r="AH132" s="551"/>
      <c r="AI132" s="551"/>
      <c r="AJ132" s="551"/>
      <c r="AK132" s="551"/>
      <c r="AL132" s="551"/>
      <c r="AM132" s="551"/>
      <c r="AN132" s="551"/>
      <c r="AO132" s="551"/>
      <c r="AP132" s="551"/>
      <c r="AQ132" s="551"/>
      <c r="AR132" s="551"/>
      <c r="AS132" s="551"/>
      <c r="AT132" s="551"/>
      <c r="AU132" s="551"/>
      <c r="AV132" s="551"/>
      <c r="AW132" s="551"/>
      <c r="AX132" s="551"/>
      <c r="AY132" s="551"/>
      <c r="AZ132" s="551"/>
      <c r="BA132" s="551"/>
      <c r="BB132" s="551"/>
      <c r="BC132" s="551"/>
      <c r="BD132" s="551"/>
      <c r="BE132" s="551"/>
      <c r="BF132" s="551"/>
      <c r="BG132" s="551"/>
      <c r="BH132" s="551"/>
      <c r="BI132" s="551"/>
      <c r="BJ132" s="551"/>
    </row>
    <row r="133" spans="1:62" ht="12.75" customHeight="1">
      <c r="A133" s="551"/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51"/>
      <c r="AB133" s="551"/>
      <c r="AC133" s="551"/>
      <c r="AD133" s="551"/>
      <c r="AE133" s="551"/>
      <c r="AF133" s="551"/>
      <c r="AG133" s="551"/>
      <c r="AH133" s="551"/>
      <c r="AI133" s="551"/>
      <c r="AJ133" s="551"/>
      <c r="AK133" s="551"/>
      <c r="AL133" s="551"/>
      <c r="AM133" s="551"/>
      <c r="AN133" s="551"/>
      <c r="AO133" s="551"/>
      <c r="AP133" s="551"/>
      <c r="AQ133" s="551"/>
      <c r="AR133" s="551"/>
      <c r="AS133" s="551"/>
      <c r="AT133" s="551"/>
      <c r="AU133" s="551"/>
      <c r="AV133" s="551"/>
      <c r="AW133" s="551"/>
      <c r="AX133" s="551"/>
      <c r="AY133" s="551"/>
      <c r="AZ133" s="551"/>
      <c r="BA133" s="551"/>
      <c r="BB133" s="551"/>
      <c r="BC133" s="551"/>
      <c r="BD133" s="551"/>
      <c r="BE133" s="551"/>
      <c r="BF133" s="551"/>
      <c r="BG133" s="551"/>
      <c r="BH133" s="551"/>
      <c r="BI133" s="551"/>
      <c r="BJ133" s="551"/>
    </row>
    <row r="134" spans="1:62" ht="12.75" customHeight="1">
      <c r="A134" s="551"/>
      <c r="B134" s="551"/>
      <c r="C134" s="551"/>
      <c r="D134" s="551"/>
      <c r="E134" s="551"/>
      <c r="F134" s="551"/>
      <c r="G134" s="551"/>
      <c r="H134" s="551"/>
      <c r="I134" s="551"/>
      <c r="J134" s="551"/>
      <c r="K134" s="551"/>
      <c r="L134" s="551"/>
      <c r="M134" s="551"/>
      <c r="N134" s="551"/>
      <c r="O134" s="551"/>
      <c r="P134" s="551"/>
      <c r="Q134" s="551"/>
      <c r="R134" s="551"/>
      <c r="S134" s="551"/>
      <c r="T134" s="551"/>
      <c r="U134" s="551"/>
      <c r="V134" s="551"/>
      <c r="W134" s="551"/>
      <c r="X134" s="551"/>
      <c r="Y134" s="551"/>
      <c r="Z134" s="551"/>
      <c r="AA134" s="551"/>
      <c r="AB134" s="551"/>
      <c r="AC134" s="551"/>
      <c r="AD134" s="551"/>
      <c r="AE134" s="551"/>
      <c r="AF134" s="551"/>
      <c r="AG134" s="551"/>
      <c r="AH134" s="551"/>
      <c r="AI134" s="551"/>
      <c r="AJ134" s="551"/>
      <c r="AK134" s="551"/>
      <c r="AL134" s="551"/>
      <c r="AM134" s="551"/>
      <c r="AN134" s="551"/>
      <c r="AO134" s="551"/>
      <c r="AP134" s="551"/>
      <c r="AQ134" s="551"/>
      <c r="AR134" s="551"/>
      <c r="AS134" s="551"/>
      <c r="AT134" s="551"/>
      <c r="AU134" s="551"/>
      <c r="AV134" s="551"/>
      <c r="AW134" s="551"/>
      <c r="AX134" s="551"/>
      <c r="AY134" s="551"/>
      <c r="AZ134" s="551"/>
      <c r="BA134" s="551"/>
      <c r="BB134" s="551"/>
      <c r="BC134" s="551"/>
      <c r="BD134" s="551"/>
      <c r="BE134" s="551"/>
      <c r="BF134" s="551"/>
      <c r="BG134" s="551"/>
      <c r="BH134" s="551"/>
      <c r="BI134" s="551"/>
      <c r="BJ134" s="551"/>
    </row>
    <row r="135" spans="1:62" ht="12.75" customHeight="1">
      <c r="A135" s="551"/>
      <c r="B135" s="551"/>
      <c r="C135" s="551"/>
      <c r="D135" s="551"/>
      <c r="E135" s="551"/>
      <c r="F135" s="551"/>
      <c r="G135" s="551"/>
      <c r="H135" s="551"/>
      <c r="I135" s="551"/>
      <c r="J135" s="551"/>
      <c r="K135" s="551"/>
      <c r="L135" s="551"/>
      <c r="M135" s="551"/>
      <c r="N135" s="551"/>
      <c r="O135" s="551"/>
      <c r="P135" s="551"/>
      <c r="Q135" s="551"/>
      <c r="R135" s="551"/>
      <c r="S135" s="551"/>
      <c r="T135" s="551"/>
      <c r="U135" s="551"/>
      <c r="V135" s="551"/>
      <c r="W135" s="551"/>
      <c r="X135" s="551"/>
      <c r="Y135" s="551"/>
      <c r="Z135" s="551"/>
      <c r="AA135" s="551"/>
      <c r="AB135" s="551"/>
      <c r="AC135" s="551"/>
      <c r="AD135" s="551"/>
      <c r="AE135" s="551"/>
      <c r="AF135" s="551"/>
      <c r="AG135" s="551"/>
      <c r="AH135" s="551"/>
      <c r="AI135" s="551"/>
      <c r="AJ135" s="551"/>
      <c r="AK135" s="551"/>
      <c r="AL135" s="551"/>
      <c r="AM135" s="551"/>
      <c r="AN135" s="551"/>
      <c r="AO135" s="551"/>
      <c r="AP135" s="551"/>
      <c r="AQ135" s="551"/>
      <c r="AR135" s="551"/>
      <c r="AS135" s="551"/>
      <c r="AT135" s="551"/>
      <c r="AU135" s="551"/>
      <c r="AV135" s="551"/>
      <c r="AW135" s="551"/>
      <c r="AX135" s="551"/>
      <c r="AY135" s="551"/>
      <c r="AZ135" s="551"/>
      <c r="BA135" s="551"/>
      <c r="BB135" s="551"/>
      <c r="BC135" s="551"/>
      <c r="BD135" s="551"/>
      <c r="BE135" s="551"/>
      <c r="BF135" s="551"/>
      <c r="BG135" s="551"/>
      <c r="BH135" s="551"/>
      <c r="BI135" s="551"/>
      <c r="BJ135" s="551"/>
    </row>
    <row r="136" spans="1:62" ht="12.75" customHeight="1">
      <c r="A136" s="551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1"/>
      <c r="P136" s="551"/>
      <c r="Q136" s="551"/>
      <c r="R136" s="551"/>
      <c r="S136" s="551"/>
      <c r="T136" s="551"/>
      <c r="U136" s="551"/>
      <c r="V136" s="551"/>
      <c r="W136" s="551"/>
      <c r="X136" s="551"/>
      <c r="Y136" s="551"/>
      <c r="Z136" s="551"/>
      <c r="AA136" s="551"/>
      <c r="AB136" s="551"/>
      <c r="AC136" s="551"/>
      <c r="AD136" s="551"/>
      <c r="AE136" s="551"/>
      <c r="AF136" s="551"/>
      <c r="AG136" s="551"/>
      <c r="AH136" s="551"/>
      <c r="AI136" s="551"/>
      <c r="AJ136" s="551"/>
      <c r="AK136" s="551"/>
      <c r="AL136" s="551"/>
      <c r="AM136" s="551"/>
      <c r="AN136" s="551"/>
      <c r="AO136" s="551"/>
      <c r="AP136" s="551"/>
      <c r="AQ136" s="551"/>
      <c r="AR136" s="551"/>
      <c r="AS136" s="551"/>
      <c r="AT136" s="551"/>
      <c r="AU136" s="551"/>
      <c r="AV136" s="551"/>
      <c r="AW136" s="551"/>
      <c r="AX136" s="551"/>
      <c r="AY136" s="551"/>
      <c r="AZ136" s="551"/>
      <c r="BA136" s="551"/>
      <c r="BB136" s="551"/>
      <c r="BC136" s="551"/>
      <c r="BD136" s="551"/>
      <c r="BE136" s="551"/>
      <c r="BF136" s="551"/>
      <c r="BG136" s="551"/>
      <c r="BH136" s="551"/>
      <c r="BI136" s="551"/>
      <c r="BJ136" s="551"/>
    </row>
    <row r="137" spans="1:62" ht="12.75" customHeight="1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1"/>
      <c r="P137" s="551"/>
      <c r="Q137" s="551"/>
      <c r="R137" s="551"/>
      <c r="S137" s="551"/>
      <c r="T137" s="551"/>
      <c r="U137" s="551"/>
      <c r="V137" s="551"/>
      <c r="W137" s="551"/>
      <c r="X137" s="551"/>
      <c r="Y137" s="551"/>
      <c r="Z137" s="551"/>
      <c r="AA137" s="551"/>
      <c r="AB137" s="551"/>
      <c r="AC137" s="551"/>
      <c r="AD137" s="551"/>
      <c r="AE137" s="551"/>
      <c r="AF137" s="551"/>
      <c r="AG137" s="551"/>
      <c r="AH137" s="551"/>
      <c r="AI137" s="551"/>
      <c r="AJ137" s="551"/>
      <c r="AK137" s="551"/>
      <c r="AL137" s="551"/>
      <c r="AM137" s="551"/>
      <c r="AN137" s="551"/>
      <c r="AO137" s="551"/>
      <c r="AP137" s="551"/>
      <c r="AQ137" s="551"/>
      <c r="AR137" s="551"/>
      <c r="AS137" s="551"/>
      <c r="AT137" s="551"/>
      <c r="AU137" s="551"/>
      <c r="AV137" s="551"/>
      <c r="AW137" s="551"/>
      <c r="AX137" s="551"/>
      <c r="AY137" s="551"/>
      <c r="AZ137" s="551"/>
      <c r="BA137" s="551"/>
      <c r="BB137" s="551"/>
      <c r="BC137" s="551"/>
      <c r="BD137" s="551"/>
      <c r="BE137" s="551"/>
      <c r="BF137" s="551"/>
      <c r="BG137" s="551"/>
      <c r="BH137" s="551"/>
      <c r="BI137" s="551"/>
      <c r="BJ137" s="551"/>
    </row>
    <row r="138" spans="1:62" ht="12.75" customHeight="1">
      <c r="A138" s="551"/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51"/>
      <c r="AB138" s="551"/>
      <c r="AC138" s="551"/>
      <c r="AD138" s="551"/>
      <c r="AE138" s="551"/>
      <c r="AF138" s="551"/>
      <c r="AG138" s="551"/>
      <c r="AH138" s="551"/>
      <c r="AI138" s="551"/>
      <c r="AJ138" s="551"/>
      <c r="AK138" s="551"/>
      <c r="AL138" s="551"/>
      <c r="AM138" s="551"/>
      <c r="AN138" s="551"/>
      <c r="AO138" s="551"/>
      <c r="AP138" s="551"/>
      <c r="AQ138" s="551"/>
      <c r="AR138" s="551"/>
      <c r="AS138" s="551"/>
      <c r="AT138" s="551"/>
      <c r="AU138" s="551"/>
      <c r="AV138" s="551"/>
      <c r="AW138" s="551"/>
      <c r="AX138" s="551"/>
      <c r="AY138" s="551"/>
      <c r="AZ138" s="551"/>
      <c r="BA138" s="551"/>
      <c r="BB138" s="551"/>
      <c r="BC138" s="551"/>
      <c r="BD138" s="551"/>
      <c r="BE138" s="551"/>
      <c r="BF138" s="551"/>
      <c r="BG138" s="551"/>
      <c r="BH138" s="551"/>
      <c r="BI138" s="551"/>
      <c r="BJ138" s="551"/>
    </row>
    <row r="139" spans="1:62" ht="12.75" customHeight="1">
      <c r="A139" s="551"/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51"/>
      <c r="AB139" s="551"/>
      <c r="AC139" s="551"/>
      <c r="AD139" s="551"/>
      <c r="AE139" s="551"/>
      <c r="AF139" s="551"/>
      <c r="AG139" s="551"/>
      <c r="AH139" s="551"/>
      <c r="AI139" s="551"/>
      <c r="AJ139" s="551"/>
      <c r="AK139" s="551"/>
      <c r="AL139" s="551"/>
      <c r="AM139" s="551"/>
      <c r="AN139" s="551"/>
      <c r="AO139" s="551"/>
      <c r="AP139" s="551"/>
      <c r="AQ139" s="551"/>
      <c r="AR139" s="551"/>
      <c r="AS139" s="551"/>
      <c r="AT139" s="551"/>
      <c r="AU139" s="551"/>
      <c r="AV139" s="551"/>
      <c r="AW139" s="551"/>
      <c r="AX139" s="551"/>
      <c r="AY139" s="551"/>
      <c r="AZ139" s="551"/>
      <c r="BA139" s="551"/>
      <c r="BB139" s="551"/>
      <c r="BC139" s="551"/>
      <c r="BD139" s="551"/>
      <c r="BE139" s="551"/>
      <c r="BF139" s="551"/>
      <c r="BG139" s="551"/>
      <c r="BH139" s="551"/>
      <c r="BI139" s="551"/>
      <c r="BJ139" s="551"/>
    </row>
    <row r="140" spans="1:62" ht="12.75" customHeight="1">
      <c r="A140" s="551"/>
      <c r="B140" s="551"/>
      <c r="C140" s="551"/>
      <c r="D140" s="551"/>
      <c r="E140" s="551"/>
      <c r="F140" s="551"/>
      <c r="G140" s="551"/>
      <c r="H140" s="551"/>
      <c r="I140" s="551"/>
      <c r="J140" s="551"/>
      <c r="K140" s="551"/>
      <c r="L140" s="551"/>
      <c r="M140" s="551"/>
      <c r="N140" s="551"/>
      <c r="O140" s="551"/>
      <c r="P140" s="551"/>
      <c r="Q140" s="551"/>
      <c r="R140" s="551"/>
      <c r="S140" s="551"/>
      <c r="T140" s="551"/>
      <c r="U140" s="551"/>
      <c r="V140" s="551"/>
      <c r="W140" s="551"/>
      <c r="X140" s="551"/>
      <c r="Y140" s="551"/>
      <c r="Z140" s="551"/>
      <c r="AA140" s="551"/>
      <c r="AB140" s="551"/>
      <c r="AC140" s="551"/>
      <c r="AD140" s="551"/>
      <c r="AE140" s="551"/>
      <c r="AF140" s="551"/>
      <c r="AG140" s="551"/>
      <c r="AH140" s="551"/>
      <c r="AI140" s="551"/>
      <c r="AJ140" s="551"/>
      <c r="AK140" s="551"/>
      <c r="AL140" s="551"/>
      <c r="AM140" s="551"/>
      <c r="AN140" s="551"/>
      <c r="AO140" s="551"/>
      <c r="AP140" s="551"/>
      <c r="AQ140" s="551"/>
      <c r="AR140" s="551"/>
      <c r="AS140" s="551"/>
      <c r="AT140" s="551"/>
      <c r="AU140" s="551"/>
      <c r="AV140" s="551"/>
      <c r="AW140" s="551"/>
      <c r="AX140" s="551"/>
      <c r="AY140" s="551"/>
      <c r="AZ140" s="551"/>
      <c r="BA140" s="551"/>
      <c r="BB140" s="551"/>
      <c r="BC140" s="551"/>
      <c r="BD140" s="551"/>
      <c r="BE140" s="551"/>
      <c r="BF140" s="551"/>
      <c r="BG140" s="551"/>
      <c r="BH140" s="551"/>
      <c r="BI140" s="551"/>
      <c r="BJ140" s="551"/>
    </row>
    <row r="141" spans="1:62" ht="12.75" customHeight="1">
      <c r="A141" s="551"/>
      <c r="B141" s="551"/>
      <c r="C141" s="551"/>
      <c r="D141" s="551"/>
      <c r="E141" s="551"/>
      <c r="F141" s="551"/>
      <c r="G141" s="551"/>
      <c r="H141" s="551"/>
      <c r="I141" s="551"/>
      <c r="J141" s="551"/>
      <c r="K141" s="551"/>
      <c r="L141" s="551"/>
      <c r="M141" s="551"/>
      <c r="N141" s="551"/>
      <c r="O141" s="551"/>
      <c r="P141" s="551"/>
      <c r="Q141" s="551"/>
      <c r="R141" s="551"/>
      <c r="S141" s="551"/>
      <c r="T141" s="551"/>
      <c r="U141" s="551"/>
      <c r="V141" s="551"/>
      <c r="W141" s="551"/>
      <c r="X141" s="551"/>
      <c r="Y141" s="551"/>
      <c r="Z141" s="551"/>
      <c r="AA141" s="551"/>
      <c r="AB141" s="551"/>
      <c r="AC141" s="551"/>
      <c r="AD141" s="551"/>
      <c r="AE141" s="551"/>
      <c r="AF141" s="551"/>
      <c r="AG141" s="551"/>
      <c r="AH141" s="551"/>
      <c r="AI141" s="551"/>
      <c r="AJ141" s="551"/>
      <c r="AK141" s="551"/>
      <c r="AL141" s="551"/>
      <c r="AM141" s="551"/>
      <c r="AN141" s="551"/>
      <c r="AO141" s="551"/>
      <c r="AP141" s="551"/>
      <c r="AQ141" s="551"/>
      <c r="AR141" s="551"/>
      <c r="AS141" s="551"/>
      <c r="AT141" s="551"/>
      <c r="AU141" s="551"/>
      <c r="AV141" s="551"/>
      <c r="AW141" s="551"/>
      <c r="AX141" s="551"/>
      <c r="AY141" s="551"/>
      <c r="AZ141" s="551"/>
      <c r="BA141" s="551"/>
      <c r="BB141" s="551"/>
      <c r="BC141" s="551"/>
      <c r="BD141" s="551"/>
      <c r="BE141" s="551"/>
      <c r="BF141" s="551"/>
      <c r="BG141" s="551"/>
      <c r="BH141" s="551"/>
      <c r="BI141" s="551"/>
      <c r="BJ141" s="551"/>
    </row>
    <row r="142" spans="1:62" ht="12.75" customHeight="1">
      <c r="A142" s="551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1"/>
      <c r="P142" s="551"/>
      <c r="Q142" s="551"/>
      <c r="R142" s="551"/>
      <c r="S142" s="551"/>
      <c r="T142" s="551"/>
      <c r="U142" s="551"/>
      <c r="V142" s="551"/>
      <c r="W142" s="551"/>
      <c r="X142" s="551"/>
      <c r="Y142" s="551"/>
      <c r="Z142" s="551"/>
      <c r="AA142" s="551"/>
      <c r="AB142" s="551"/>
      <c r="AC142" s="551"/>
      <c r="AD142" s="551"/>
      <c r="AE142" s="551"/>
      <c r="AF142" s="551"/>
      <c r="AG142" s="551"/>
      <c r="AH142" s="551"/>
      <c r="AI142" s="551"/>
      <c r="AJ142" s="551"/>
      <c r="AK142" s="551"/>
      <c r="AL142" s="551"/>
      <c r="AM142" s="551"/>
      <c r="AN142" s="551"/>
      <c r="AO142" s="551"/>
      <c r="AP142" s="551"/>
      <c r="AQ142" s="551"/>
      <c r="AR142" s="551"/>
      <c r="AS142" s="551"/>
      <c r="AT142" s="551"/>
      <c r="AU142" s="551"/>
      <c r="AV142" s="551"/>
      <c r="AW142" s="551"/>
      <c r="AX142" s="551"/>
      <c r="AY142" s="551"/>
      <c r="AZ142" s="551"/>
      <c r="BA142" s="551"/>
      <c r="BB142" s="551"/>
      <c r="BC142" s="551"/>
      <c r="BD142" s="551"/>
      <c r="BE142" s="551"/>
      <c r="BF142" s="551"/>
      <c r="BG142" s="551"/>
      <c r="BH142" s="551"/>
      <c r="BI142" s="551"/>
      <c r="BJ142" s="551"/>
    </row>
    <row r="143" spans="1:62" ht="12.75" customHeight="1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1"/>
      <c r="P143" s="551"/>
      <c r="Q143" s="551"/>
      <c r="R143" s="551"/>
      <c r="S143" s="551"/>
      <c r="T143" s="551"/>
      <c r="U143" s="551"/>
      <c r="V143" s="551"/>
      <c r="W143" s="551"/>
      <c r="X143" s="551"/>
      <c r="Y143" s="551"/>
      <c r="Z143" s="551"/>
      <c r="AA143" s="551"/>
      <c r="AB143" s="551"/>
      <c r="AC143" s="551"/>
      <c r="AD143" s="551"/>
      <c r="AE143" s="551"/>
      <c r="AF143" s="551"/>
      <c r="AG143" s="551"/>
      <c r="AH143" s="551"/>
      <c r="AI143" s="551"/>
      <c r="AJ143" s="551"/>
      <c r="AK143" s="551"/>
      <c r="AL143" s="551"/>
      <c r="AM143" s="551"/>
      <c r="AN143" s="551"/>
      <c r="AO143" s="551"/>
      <c r="AP143" s="551"/>
      <c r="AQ143" s="551"/>
      <c r="AR143" s="551"/>
      <c r="AS143" s="551"/>
      <c r="AT143" s="551"/>
      <c r="AU143" s="551"/>
      <c r="AV143" s="551"/>
      <c r="AW143" s="551"/>
      <c r="AX143" s="551"/>
      <c r="AY143" s="551"/>
      <c r="AZ143" s="551"/>
      <c r="BA143" s="551"/>
      <c r="BB143" s="551"/>
      <c r="BC143" s="551"/>
      <c r="BD143" s="551"/>
      <c r="BE143" s="551"/>
      <c r="BF143" s="551"/>
      <c r="BG143" s="551"/>
      <c r="BH143" s="551"/>
      <c r="BI143" s="551"/>
      <c r="BJ143" s="551"/>
    </row>
    <row r="144" spans="1:62" ht="12.75" customHeight="1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51"/>
      <c r="AB144" s="551"/>
      <c r="AC144" s="551"/>
      <c r="AD144" s="551"/>
      <c r="AE144" s="551"/>
      <c r="AF144" s="551"/>
      <c r="AG144" s="551"/>
      <c r="AH144" s="551"/>
      <c r="AI144" s="551"/>
      <c r="AJ144" s="551"/>
      <c r="AK144" s="551"/>
      <c r="AL144" s="551"/>
      <c r="AM144" s="551"/>
      <c r="AN144" s="551"/>
      <c r="AO144" s="551"/>
      <c r="AP144" s="551"/>
      <c r="AQ144" s="551"/>
      <c r="AR144" s="551"/>
      <c r="AS144" s="551"/>
      <c r="AT144" s="551"/>
      <c r="AU144" s="551"/>
      <c r="AV144" s="551"/>
      <c r="AW144" s="551"/>
      <c r="AX144" s="551"/>
      <c r="AY144" s="551"/>
      <c r="AZ144" s="551"/>
      <c r="BA144" s="551"/>
      <c r="BB144" s="551"/>
      <c r="BC144" s="551"/>
      <c r="BD144" s="551"/>
      <c r="BE144" s="551"/>
      <c r="BF144" s="551"/>
      <c r="BG144" s="551"/>
      <c r="BH144" s="551"/>
      <c r="BI144" s="551"/>
      <c r="BJ144" s="551"/>
    </row>
    <row r="145" spans="1:62" ht="12.75" customHeight="1">
      <c r="A145" s="551"/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51"/>
      <c r="AB145" s="551"/>
      <c r="AC145" s="551"/>
      <c r="AD145" s="551"/>
      <c r="AE145" s="551"/>
      <c r="AF145" s="551"/>
      <c r="AG145" s="551"/>
      <c r="AH145" s="551"/>
      <c r="AI145" s="551"/>
      <c r="AJ145" s="551"/>
      <c r="AK145" s="551"/>
      <c r="AL145" s="551"/>
      <c r="AM145" s="551"/>
      <c r="AN145" s="551"/>
      <c r="AO145" s="551"/>
      <c r="AP145" s="551"/>
      <c r="AQ145" s="551"/>
      <c r="AR145" s="551"/>
      <c r="AS145" s="551"/>
      <c r="AT145" s="551"/>
      <c r="AU145" s="551"/>
      <c r="AV145" s="551"/>
      <c r="AW145" s="551"/>
      <c r="AX145" s="551"/>
      <c r="AY145" s="551"/>
      <c r="AZ145" s="551"/>
      <c r="BA145" s="551"/>
      <c r="BB145" s="551"/>
      <c r="BC145" s="551"/>
      <c r="BD145" s="551"/>
      <c r="BE145" s="551"/>
      <c r="BF145" s="551"/>
      <c r="BG145" s="551"/>
      <c r="BH145" s="551"/>
      <c r="BI145" s="551"/>
      <c r="BJ145" s="551"/>
    </row>
    <row r="146" spans="1:62" ht="12.75" customHeight="1">
      <c r="A146" s="551"/>
      <c r="B146" s="551"/>
      <c r="C146" s="551"/>
      <c r="D146" s="551"/>
      <c r="E146" s="551"/>
      <c r="F146" s="551"/>
      <c r="G146" s="551"/>
      <c r="H146" s="551"/>
      <c r="I146" s="551"/>
      <c r="J146" s="551"/>
      <c r="K146" s="551"/>
      <c r="L146" s="551"/>
      <c r="M146" s="551"/>
      <c r="N146" s="551"/>
      <c r="O146" s="551"/>
      <c r="P146" s="551"/>
      <c r="Q146" s="551"/>
      <c r="R146" s="551"/>
      <c r="S146" s="551"/>
      <c r="T146" s="551"/>
      <c r="U146" s="551"/>
      <c r="V146" s="551"/>
      <c r="W146" s="551"/>
      <c r="X146" s="551"/>
      <c r="Y146" s="551"/>
      <c r="Z146" s="551"/>
      <c r="AA146" s="551"/>
      <c r="AB146" s="551"/>
      <c r="AC146" s="551"/>
      <c r="AD146" s="551"/>
      <c r="AE146" s="551"/>
      <c r="AF146" s="551"/>
      <c r="AG146" s="551"/>
      <c r="AH146" s="551"/>
      <c r="AI146" s="551"/>
      <c r="AJ146" s="551"/>
      <c r="AK146" s="551"/>
      <c r="AL146" s="551"/>
      <c r="AM146" s="551"/>
      <c r="AN146" s="551"/>
      <c r="AO146" s="551"/>
      <c r="AP146" s="551"/>
      <c r="AQ146" s="551"/>
      <c r="AR146" s="551"/>
      <c r="AS146" s="551"/>
      <c r="AT146" s="551"/>
      <c r="AU146" s="551"/>
      <c r="AV146" s="551"/>
      <c r="AW146" s="551"/>
      <c r="AX146" s="551"/>
      <c r="AY146" s="551"/>
      <c r="AZ146" s="551"/>
      <c r="BA146" s="551"/>
      <c r="BB146" s="551"/>
      <c r="BC146" s="551"/>
      <c r="BD146" s="551"/>
      <c r="BE146" s="551"/>
      <c r="BF146" s="551"/>
      <c r="BG146" s="551"/>
      <c r="BH146" s="551"/>
      <c r="BI146" s="551"/>
      <c r="BJ146" s="551"/>
    </row>
    <row r="147" spans="1:62" ht="12.75" customHeight="1">
      <c r="A147" s="551"/>
      <c r="B147" s="551"/>
      <c r="C147" s="551"/>
      <c r="D147" s="551"/>
      <c r="E147" s="551"/>
      <c r="F147" s="551"/>
      <c r="G147" s="551"/>
      <c r="H147" s="551"/>
      <c r="I147" s="551"/>
      <c r="J147" s="551"/>
      <c r="K147" s="551"/>
      <c r="L147" s="551"/>
      <c r="M147" s="551"/>
      <c r="N147" s="551"/>
      <c r="O147" s="551"/>
      <c r="P147" s="551"/>
      <c r="Q147" s="551"/>
      <c r="R147" s="551"/>
      <c r="S147" s="551"/>
      <c r="T147" s="551"/>
      <c r="U147" s="551"/>
      <c r="V147" s="551"/>
      <c r="W147" s="551"/>
      <c r="X147" s="551"/>
      <c r="Y147" s="551"/>
      <c r="Z147" s="551"/>
      <c r="AA147" s="551"/>
      <c r="AB147" s="551"/>
      <c r="AC147" s="551"/>
      <c r="AD147" s="551"/>
      <c r="AE147" s="551"/>
      <c r="AF147" s="551"/>
      <c r="AG147" s="551"/>
      <c r="AH147" s="551"/>
      <c r="AI147" s="551"/>
      <c r="AJ147" s="551"/>
      <c r="AK147" s="551"/>
      <c r="AL147" s="551"/>
      <c r="AM147" s="551"/>
      <c r="AN147" s="551"/>
      <c r="AO147" s="551"/>
      <c r="AP147" s="551"/>
      <c r="AQ147" s="551"/>
      <c r="AR147" s="551"/>
      <c r="AS147" s="551"/>
      <c r="AT147" s="551"/>
      <c r="AU147" s="551"/>
      <c r="AV147" s="551"/>
      <c r="AW147" s="551"/>
      <c r="AX147" s="551"/>
      <c r="AY147" s="551"/>
      <c r="AZ147" s="551"/>
      <c r="BA147" s="551"/>
      <c r="BB147" s="551"/>
      <c r="BC147" s="551"/>
      <c r="BD147" s="551"/>
      <c r="BE147" s="551"/>
      <c r="BF147" s="551"/>
      <c r="BG147" s="551"/>
      <c r="BH147" s="551"/>
      <c r="BI147" s="551"/>
      <c r="BJ147" s="551"/>
    </row>
    <row r="148" spans="1:62" ht="12.75" customHeight="1">
      <c r="A148" s="551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1"/>
      <c r="P148" s="551"/>
      <c r="Q148" s="551"/>
      <c r="R148" s="551"/>
      <c r="S148" s="551"/>
      <c r="T148" s="551"/>
      <c r="U148" s="551"/>
      <c r="V148" s="551"/>
      <c r="W148" s="551"/>
      <c r="X148" s="551"/>
      <c r="Y148" s="551"/>
      <c r="Z148" s="551"/>
      <c r="AA148" s="551"/>
      <c r="AB148" s="551"/>
      <c r="AC148" s="551"/>
      <c r="AD148" s="551"/>
      <c r="AE148" s="551"/>
      <c r="AF148" s="551"/>
      <c r="AG148" s="551"/>
      <c r="AH148" s="551"/>
      <c r="AI148" s="551"/>
      <c r="AJ148" s="551"/>
      <c r="AK148" s="551"/>
      <c r="AL148" s="551"/>
      <c r="AM148" s="551"/>
      <c r="AN148" s="551"/>
      <c r="AO148" s="551"/>
      <c r="AP148" s="551"/>
      <c r="AQ148" s="551"/>
      <c r="AR148" s="551"/>
      <c r="AS148" s="551"/>
      <c r="AT148" s="551"/>
      <c r="AU148" s="551"/>
      <c r="AV148" s="551"/>
      <c r="AW148" s="551"/>
      <c r="AX148" s="551"/>
      <c r="AY148" s="551"/>
      <c r="AZ148" s="551"/>
      <c r="BA148" s="551"/>
      <c r="BB148" s="551"/>
      <c r="BC148" s="551"/>
      <c r="BD148" s="551"/>
      <c r="BE148" s="551"/>
      <c r="BF148" s="551"/>
      <c r="BG148" s="551"/>
      <c r="BH148" s="551"/>
      <c r="BI148" s="551"/>
      <c r="BJ148" s="551"/>
    </row>
    <row r="149" spans="1:62" ht="12.75" customHeight="1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1"/>
      <c r="P149" s="551"/>
      <c r="Q149" s="551"/>
      <c r="R149" s="551"/>
      <c r="S149" s="551"/>
      <c r="T149" s="551"/>
      <c r="U149" s="551"/>
      <c r="V149" s="551"/>
      <c r="W149" s="551"/>
      <c r="X149" s="551"/>
      <c r="Y149" s="551"/>
      <c r="Z149" s="551"/>
      <c r="AA149" s="551"/>
      <c r="AB149" s="551"/>
      <c r="AC149" s="551"/>
      <c r="AD149" s="551"/>
      <c r="AE149" s="551"/>
      <c r="AF149" s="551"/>
      <c r="AG149" s="551"/>
      <c r="AH149" s="551"/>
      <c r="AI149" s="551"/>
      <c r="AJ149" s="551"/>
      <c r="AK149" s="551"/>
      <c r="AL149" s="551"/>
      <c r="AM149" s="551"/>
      <c r="AN149" s="551"/>
      <c r="AO149" s="551"/>
      <c r="AP149" s="551"/>
      <c r="AQ149" s="551"/>
      <c r="AR149" s="551"/>
      <c r="AS149" s="551"/>
      <c r="AT149" s="551"/>
      <c r="AU149" s="551"/>
      <c r="AV149" s="551"/>
      <c r="AW149" s="551"/>
      <c r="AX149" s="551"/>
      <c r="AY149" s="551"/>
      <c r="AZ149" s="551"/>
      <c r="BA149" s="551"/>
      <c r="BB149" s="551"/>
      <c r="BC149" s="551"/>
      <c r="BD149" s="551"/>
      <c r="BE149" s="551"/>
      <c r="BF149" s="551"/>
      <c r="BG149" s="551"/>
      <c r="BH149" s="551"/>
      <c r="BI149" s="551"/>
      <c r="BJ149" s="551"/>
    </row>
    <row r="150" spans="1:62" ht="12.75" customHeight="1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51"/>
      <c r="AB150" s="551"/>
      <c r="AC150" s="551"/>
      <c r="AD150" s="551"/>
      <c r="AE150" s="551"/>
      <c r="AF150" s="551"/>
      <c r="AG150" s="551"/>
      <c r="AH150" s="551"/>
      <c r="AI150" s="551"/>
      <c r="AJ150" s="551"/>
      <c r="AK150" s="551"/>
      <c r="AL150" s="551"/>
      <c r="AM150" s="551"/>
      <c r="AN150" s="551"/>
      <c r="AO150" s="551"/>
      <c r="AP150" s="551"/>
      <c r="AQ150" s="551"/>
      <c r="AR150" s="551"/>
      <c r="AS150" s="551"/>
      <c r="AT150" s="551"/>
      <c r="AU150" s="551"/>
      <c r="AV150" s="551"/>
      <c r="AW150" s="551"/>
      <c r="AX150" s="551"/>
      <c r="AY150" s="551"/>
      <c r="AZ150" s="551"/>
      <c r="BA150" s="551"/>
      <c r="BB150" s="551"/>
      <c r="BC150" s="551"/>
      <c r="BD150" s="551"/>
      <c r="BE150" s="551"/>
      <c r="BF150" s="551"/>
      <c r="BG150" s="551"/>
      <c r="BH150" s="551"/>
      <c r="BI150" s="551"/>
      <c r="BJ150" s="551"/>
    </row>
    <row r="151" spans="1:62" ht="12.75" customHeight="1">
      <c r="A151" s="551"/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51"/>
      <c r="AB151" s="551"/>
      <c r="AC151" s="551"/>
      <c r="AD151" s="551"/>
      <c r="AE151" s="551"/>
      <c r="AF151" s="551"/>
      <c r="AG151" s="551"/>
      <c r="AH151" s="551"/>
      <c r="AI151" s="551"/>
      <c r="AJ151" s="551"/>
      <c r="AK151" s="551"/>
      <c r="AL151" s="551"/>
      <c r="AM151" s="551"/>
      <c r="AN151" s="551"/>
      <c r="AO151" s="551"/>
      <c r="AP151" s="551"/>
      <c r="AQ151" s="551"/>
      <c r="AR151" s="551"/>
      <c r="AS151" s="551"/>
      <c r="AT151" s="551"/>
      <c r="AU151" s="551"/>
      <c r="AV151" s="551"/>
      <c r="AW151" s="551"/>
      <c r="AX151" s="551"/>
      <c r="AY151" s="551"/>
      <c r="AZ151" s="551"/>
      <c r="BA151" s="551"/>
      <c r="BB151" s="551"/>
      <c r="BC151" s="551"/>
      <c r="BD151" s="551"/>
      <c r="BE151" s="551"/>
      <c r="BF151" s="551"/>
      <c r="BG151" s="551"/>
      <c r="BH151" s="551"/>
      <c r="BI151" s="551"/>
      <c r="BJ151" s="551"/>
    </row>
    <row r="152" spans="1:62" ht="12.75" customHeight="1">
      <c r="A152" s="551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1"/>
      <c r="P152" s="551"/>
      <c r="Q152" s="551"/>
      <c r="R152" s="551"/>
      <c r="S152" s="551"/>
      <c r="T152" s="551"/>
      <c r="U152" s="551"/>
      <c r="V152" s="551"/>
      <c r="W152" s="551"/>
      <c r="X152" s="551"/>
      <c r="Y152" s="551"/>
      <c r="Z152" s="551"/>
      <c r="AA152" s="551"/>
      <c r="AB152" s="551"/>
      <c r="AC152" s="551"/>
      <c r="AD152" s="551"/>
      <c r="AE152" s="551"/>
      <c r="AF152" s="551"/>
      <c r="AG152" s="551"/>
      <c r="AH152" s="551"/>
      <c r="AI152" s="551"/>
      <c r="AJ152" s="551"/>
      <c r="AK152" s="551"/>
      <c r="AL152" s="551"/>
      <c r="AM152" s="551"/>
      <c r="AN152" s="551"/>
      <c r="AO152" s="551"/>
      <c r="AP152" s="551"/>
      <c r="AQ152" s="551"/>
      <c r="AR152" s="551"/>
      <c r="AS152" s="551"/>
      <c r="AT152" s="551"/>
      <c r="AU152" s="551"/>
      <c r="AV152" s="551"/>
      <c r="AW152" s="551"/>
      <c r="AX152" s="551"/>
      <c r="AY152" s="551"/>
      <c r="AZ152" s="551"/>
      <c r="BA152" s="551"/>
      <c r="BB152" s="551"/>
      <c r="BC152" s="551"/>
      <c r="BD152" s="551"/>
      <c r="BE152" s="551"/>
      <c r="BF152" s="551"/>
      <c r="BG152" s="551"/>
      <c r="BH152" s="551"/>
      <c r="BI152" s="551"/>
      <c r="BJ152" s="551"/>
    </row>
    <row r="153" spans="1:62" ht="12.75" customHeight="1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1"/>
      <c r="P153" s="551"/>
      <c r="Q153" s="551"/>
      <c r="R153" s="551"/>
      <c r="S153" s="551"/>
      <c r="T153" s="551"/>
      <c r="U153" s="551"/>
      <c r="V153" s="551"/>
      <c r="W153" s="551"/>
      <c r="X153" s="551"/>
      <c r="Y153" s="551"/>
      <c r="Z153" s="551"/>
      <c r="AA153" s="551"/>
      <c r="AB153" s="551"/>
      <c r="AC153" s="551"/>
      <c r="AD153" s="551"/>
      <c r="AE153" s="551"/>
      <c r="AF153" s="551"/>
      <c r="AG153" s="551"/>
      <c r="AH153" s="551"/>
      <c r="AI153" s="551"/>
      <c r="AJ153" s="551"/>
      <c r="AK153" s="551"/>
      <c r="AL153" s="551"/>
      <c r="AM153" s="551"/>
      <c r="AN153" s="551"/>
      <c r="AO153" s="551"/>
      <c r="AP153" s="551"/>
      <c r="AQ153" s="551"/>
      <c r="AR153" s="551"/>
      <c r="AS153" s="551"/>
      <c r="AT153" s="551"/>
      <c r="AU153" s="551"/>
      <c r="AV153" s="551"/>
      <c r="AW153" s="551"/>
      <c r="AX153" s="551"/>
      <c r="AY153" s="551"/>
      <c r="AZ153" s="551"/>
      <c r="BA153" s="551"/>
      <c r="BB153" s="551"/>
      <c r="BC153" s="551"/>
      <c r="BD153" s="551"/>
      <c r="BE153" s="551"/>
      <c r="BF153" s="551"/>
      <c r="BG153" s="551"/>
      <c r="BH153" s="551"/>
      <c r="BI153" s="551"/>
      <c r="BJ153" s="551"/>
    </row>
    <row r="154" spans="1:62" ht="12.75" customHeight="1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1"/>
      <c r="P154" s="551"/>
      <c r="Q154" s="551"/>
      <c r="R154" s="551"/>
      <c r="S154" s="551"/>
      <c r="T154" s="551"/>
      <c r="U154" s="551"/>
      <c r="V154" s="551"/>
      <c r="W154" s="551"/>
      <c r="X154" s="551"/>
      <c r="Y154" s="551"/>
      <c r="Z154" s="551"/>
      <c r="AA154" s="551"/>
      <c r="AB154" s="551"/>
      <c r="AC154" s="551"/>
      <c r="AD154" s="551"/>
      <c r="AE154" s="551"/>
      <c r="AF154" s="551"/>
      <c r="AG154" s="551"/>
      <c r="AH154" s="551"/>
      <c r="AI154" s="551"/>
      <c r="AJ154" s="551"/>
      <c r="AK154" s="551"/>
      <c r="AL154" s="551"/>
      <c r="AM154" s="551"/>
      <c r="AN154" s="551"/>
      <c r="AO154" s="551"/>
      <c r="AP154" s="551"/>
      <c r="AQ154" s="551"/>
      <c r="AR154" s="551"/>
      <c r="AS154" s="551"/>
      <c r="AT154" s="551"/>
      <c r="AU154" s="551"/>
      <c r="AV154" s="551"/>
      <c r="AW154" s="551"/>
      <c r="AX154" s="551"/>
      <c r="AY154" s="551"/>
      <c r="AZ154" s="551"/>
      <c r="BA154" s="551"/>
      <c r="BB154" s="551"/>
      <c r="BC154" s="551"/>
      <c r="BD154" s="551"/>
      <c r="BE154" s="551"/>
      <c r="BF154" s="551"/>
      <c r="BG154" s="551"/>
      <c r="BH154" s="551"/>
      <c r="BI154" s="551"/>
      <c r="BJ154" s="551"/>
    </row>
    <row r="155" spans="1:62" ht="12.75" customHeight="1">
      <c r="A155" s="551"/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51"/>
      <c r="AB155" s="551"/>
      <c r="AC155" s="551"/>
      <c r="AD155" s="551"/>
      <c r="AE155" s="551"/>
      <c r="AF155" s="551"/>
      <c r="AG155" s="551"/>
      <c r="AH155" s="551"/>
      <c r="AI155" s="551"/>
      <c r="AJ155" s="551"/>
      <c r="AK155" s="551"/>
      <c r="AL155" s="551"/>
      <c r="AM155" s="551"/>
      <c r="AN155" s="551"/>
      <c r="AO155" s="551"/>
      <c r="AP155" s="551"/>
      <c r="AQ155" s="551"/>
      <c r="AR155" s="551"/>
      <c r="AS155" s="551"/>
      <c r="AT155" s="551"/>
      <c r="AU155" s="551"/>
      <c r="AV155" s="551"/>
      <c r="AW155" s="551"/>
      <c r="AX155" s="551"/>
      <c r="AY155" s="551"/>
      <c r="AZ155" s="551"/>
      <c r="BA155" s="551"/>
      <c r="BB155" s="551"/>
      <c r="BC155" s="551"/>
      <c r="BD155" s="551"/>
      <c r="BE155" s="551"/>
      <c r="BF155" s="551"/>
      <c r="BG155" s="551"/>
      <c r="BH155" s="551"/>
      <c r="BI155" s="551"/>
      <c r="BJ155" s="551"/>
    </row>
    <row r="156" spans="1:62" ht="12.75" customHeight="1">
      <c r="A156" s="551"/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51"/>
      <c r="AB156" s="551"/>
      <c r="AC156" s="551"/>
      <c r="AD156" s="551"/>
      <c r="AE156" s="551"/>
      <c r="AF156" s="551"/>
      <c r="AG156" s="551"/>
      <c r="AH156" s="551"/>
      <c r="AI156" s="551"/>
      <c r="AJ156" s="551"/>
      <c r="AK156" s="551"/>
      <c r="AL156" s="551"/>
      <c r="AM156" s="551"/>
      <c r="AN156" s="551"/>
      <c r="AO156" s="551"/>
      <c r="AP156" s="551"/>
      <c r="AQ156" s="551"/>
      <c r="AR156" s="551"/>
      <c r="AS156" s="551"/>
      <c r="AT156" s="551"/>
      <c r="AU156" s="551"/>
      <c r="AV156" s="551"/>
      <c r="AW156" s="551"/>
      <c r="AX156" s="551"/>
      <c r="AY156" s="551"/>
      <c r="AZ156" s="551"/>
      <c r="BA156" s="551"/>
      <c r="BB156" s="551"/>
      <c r="BC156" s="551"/>
      <c r="BD156" s="551"/>
      <c r="BE156" s="551"/>
      <c r="BF156" s="551"/>
      <c r="BG156" s="551"/>
      <c r="BH156" s="551"/>
      <c r="BI156" s="551"/>
      <c r="BJ156" s="551"/>
    </row>
    <row r="157" spans="1:62" ht="12.75" customHeight="1">
      <c r="A157" s="551"/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51"/>
      <c r="AB157" s="551"/>
      <c r="AC157" s="551"/>
      <c r="AD157" s="551"/>
      <c r="AE157" s="551"/>
      <c r="AF157" s="551"/>
      <c r="AG157" s="551"/>
      <c r="AH157" s="551"/>
      <c r="AI157" s="551"/>
      <c r="AJ157" s="551"/>
      <c r="AK157" s="551"/>
      <c r="AL157" s="551"/>
      <c r="AM157" s="551"/>
      <c r="AN157" s="551"/>
      <c r="AO157" s="551"/>
      <c r="AP157" s="551"/>
      <c r="AQ157" s="551"/>
      <c r="AR157" s="551"/>
      <c r="AS157" s="551"/>
      <c r="AT157" s="551"/>
      <c r="AU157" s="551"/>
      <c r="AV157" s="551"/>
      <c r="AW157" s="551"/>
      <c r="AX157" s="551"/>
      <c r="AY157" s="551"/>
      <c r="AZ157" s="551"/>
      <c r="BA157" s="551"/>
      <c r="BB157" s="551"/>
      <c r="BC157" s="551"/>
      <c r="BD157" s="551"/>
      <c r="BE157" s="551"/>
      <c r="BF157" s="551"/>
      <c r="BG157" s="551"/>
      <c r="BH157" s="551"/>
      <c r="BI157" s="551"/>
      <c r="BJ157" s="551"/>
    </row>
    <row r="158" spans="1:62" ht="12.75" customHeight="1">
      <c r="A158" s="551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1"/>
      <c r="P158" s="551"/>
      <c r="Q158" s="551"/>
      <c r="R158" s="551"/>
      <c r="S158" s="551"/>
      <c r="T158" s="551"/>
      <c r="U158" s="551"/>
      <c r="V158" s="551"/>
      <c r="W158" s="551"/>
      <c r="X158" s="551"/>
      <c r="Y158" s="551"/>
      <c r="Z158" s="551"/>
      <c r="AA158" s="551"/>
      <c r="AB158" s="551"/>
      <c r="AC158" s="551"/>
      <c r="AD158" s="551"/>
      <c r="AE158" s="551"/>
      <c r="AF158" s="551"/>
      <c r="AG158" s="551"/>
      <c r="AH158" s="551"/>
      <c r="AI158" s="551"/>
      <c r="AJ158" s="551"/>
      <c r="AK158" s="551"/>
      <c r="AL158" s="551"/>
      <c r="AM158" s="551"/>
      <c r="AN158" s="551"/>
      <c r="AO158" s="551"/>
      <c r="AP158" s="551"/>
      <c r="AQ158" s="551"/>
      <c r="AR158" s="551"/>
      <c r="AS158" s="551"/>
      <c r="AT158" s="551"/>
      <c r="AU158" s="551"/>
      <c r="AV158" s="551"/>
      <c r="AW158" s="551"/>
      <c r="AX158" s="551"/>
      <c r="AY158" s="551"/>
      <c r="AZ158" s="551"/>
      <c r="BA158" s="551"/>
      <c r="BB158" s="551"/>
      <c r="BC158" s="551"/>
      <c r="BD158" s="551"/>
      <c r="BE158" s="551"/>
      <c r="BF158" s="551"/>
      <c r="BG158" s="551"/>
      <c r="BH158" s="551"/>
      <c r="BI158" s="551"/>
      <c r="BJ158" s="551"/>
    </row>
    <row r="159" spans="1:62" ht="12.75" customHeight="1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1"/>
      <c r="P159" s="551"/>
      <c r="Q159" s="551"/>
      <c r="R159" s="551"/>
      <c r="S159" s="551"/>
      <c r="T159" s="551"/>
      <c r="U159" s="551"/>
      <c r="V159" s="551"/>
      <c r="W159" s="551"/>
      <c r="X159" s="551"/>
      <c r="Y159" s="551"/>
      <c r="Z159" s="551"/>
      <c r="AA159" s="551"/>
      <c r="AB159" s="551"/>
      <c r="AC159" s="551"/>
      <c r="AD159" s="551"/>
      <c r="AE159" s="551"/>
      <c r="AF159" s="551"/>
      <c r="AG159" s="551"/>
      <c r="AH159" s="551"/>
      <c r="AI159" s="551"/>
      <c r="AJ159" s="551"/>
      <c r="AK159" s="551"/>
      <c r="AL159" s="551"/>
      <c r="AM159" s="551"/>
      <c r="AN159" s="551"/>
      <c r="AO159" s="551"/>
      <c r="AP159" s="551"/>
      <c r="AQ159" s="551"/>
      <c r="AR159" s="551"/>
      <c r="AS159" s="551"/>
      <c r="AT159" s="551"/>
      <c r="AU159" s="551"/>
      <c r="AV159" s="551"/>
      <c r="AW159" s="551"/>
      <c r="AX159" s="551"/>
      <c r="AY159" s="551"/>
      <c r="AZ159" s="551"/>
      <c r="BA159" s="551"/>
      <c r="BB159" s="551"/>
      <c r="BC159" s="551"/>
      <c r="BD159" s="551"/>
      <c r="BE159" s="551"/>
      <c r="BF159" s="551"/>
      <c r="BG159" s="551"/>
      <c r="BH159" s="551"/>
      <c r="BI159" s="551"/>
      <c r="BJ159" s="551"/>
    </row>
    <row r="160" spans="1:62" ht="12.75" customHeight="1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51"/>
      <c r="AB160" s="551"/>
      <c r="AC160" s="551"/>
      <c r="AD160" s="551"/>
      <c r="AE160" s="551"/>
      <c r="AF160" s="551"/>
      <c r="AG160" s="551"/>
      <c r="AH160" s="551"/>
      <c r="AI160" s="551"/>
      <c r="AJ160" s="551"/>
      <c r="AK160" s="551"/>
      <c r="AL160" s="551"/>
      <c r="AM160" s="551"/>
      <c r="AN160" s="551"/>
      <c r="AO160" s="551"/>
      <c r="AP160" s="551"/>
      <c r="AQ160" s="551"/>
      <c r="AR160" s="551"/>
      <c r="AS160" s="551"/>
      <c r="AT160" s="551"/>
      <c r="AU160" s="551"/>
      <c r="AV160" s="551"/>
      <c r="AW160" s="551"/>
      <c r="AX160" s="551"/>
      <c r="AY160" s="551"/>
      <c r="AZ160" s="551"/>
      <c r="BA160" s="551"/>
      <c r="BB160" s="551"/>
      <c r="BC160" s="551"/>
      <c r="BD160" s="551"/>
      <c r="BE160" s="551"/>
      <c r="BF160" s="551"/>
      <c r="BG160" s="551"/>
      <c r="BH160" s="551"/>
      <c r="BI160" s="551"/>
      <c r="BJ160" s="551"/>
    </row>
    <row r="161" spans="1:62" ht="12.75" customHeight="1">
      <c r="A161" s="551"/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51"/>
      <c r="AB161" s="551"/>
      <c r="AC161" s="551"/>
      <c r="AD161" s="551"/>
      <c r="AE161" s="551"/>
      <c r="AF161" s="551"/>
      <c r="AG161" s="551"/>
      <c r="AH161" s="551"/>
      <c r="AI161" s="551"/>
      <c r="AJ161" s="551"/>
      <c r="AK161" s="551"/>
      <c r="AL161" s="551"/>
      <c r="AM161" s="551"/>
      <c r="AN161" s="551"/>
      <c r="AO161" s="551"/>
      <c r="AP161" s="551"/>
      <c r="AQ161" s="551"/>
      <c r="AR161" s="551"/>
      <c r="AS161" s="551"/>
      <c r="AT161" s="551"/>
      <c r="AU161" s="551"/>
      <c r="AV161" s="551"/>
      <c r="AW161" s="551"/>
      <c r="AX161" s="551"/>
      <c r="AY161" s="551"/>
      <c r="AZ161" s="551"/>
      <c r="BA161" s="551"/>
      <c r="BB161" s="551"/>
      <c r="BC161" s="551"/>
      <c r="BD161" s="551"/>
      <c r="BE161" s="551"/>
      <c r="BF161" s="551"/>
      <c r="BG161" s="551"/>
      <c r="BH161" s="551"/>
      <c r="BI161" s="551"/>
      <c r="BJ161" s="551"/>
    </row>
    <row r="162" spans="1:62" ht="12.75" customHeight="1">
      <c r="A162" s="551"/>
      <c r="B162" s="551"/>
      <c r="C162" s="551"/>
      <c r="D162" s="551"/>
      <c r="E162" s="551"/>
      <c r="F162" s="551"/>
      <c r="G162" s="551"/>
      <c r="H162" s="551"/>
      <c r="I162" s="551"/>
      <c r="J162" s="551"/>
      <c r="K162" s="551"/>
      <c r="L162" s="551"/>
      <c r="M162" s="551"/>
      <c r="N162" s="551"/>
      <c r="O162" s="551"/>
      <c r="P162" s="551"/>
      <c r="Q162" s="551"/>
      <c r="R162" s="551"/>
      <c r="S162" s="551"/>
      <c r="T162" s="551"/>
      <c r="U162" s="551"/>
      <c r="V162" s="551"/>
      <c r="W162" s="551"/>
      <c r="X162" s="551"/>
      <c r="Y162" s="551"/>
      <c r="Z162" s="551"/>
      <c r="AA162" s="551"/>
      <c r="AB162" s="551"/>
      <c r="AC162" s="551"/>
      <c r="AD162" s="551"/>
      <c r="AE162" s="551"/>
      <c r="AF162" s="551"/>
      <c r="AG162" s="551"/>
      <c r="AH162" s="551"/>
      <c r="AI162" s="551"/>
      <c r="AJ162" s="551"/>
      <c r="AK162" s="551"/>
      <c r="AL162" s="551"/>
      <c r="AM162" s="551"/>
      <c r="AN162" s="551"/>
      <c r="AO162" s="551"/>
      <c r="AP162" s="551"/>
      <c r="AQ162" s="551"/>
      <c r="AR162" s="551"/>
      <c r="AS162" s="551"/>
      <c r="AT162" s="551"/>
      <c r="AU162" s="551"/>
      <c r="AV162" s="551"/>
      <c r="AW162" s="551"/>
      <c r="AX162" s="551"/>
      <c r="AY162" s="551"/>
      <c r="AZ162" s="551"/>
      <c r="BA162" s="551"/>
      <c r="BB162" s="551"/>
      <c r="BC162" s="551"/>
      <c r="BD162" s="551"/>
      <c r="BE162" s="551"/>
      <c r="BF162" s="551"/>
      <c r="BG162" s="551"/>
      <c r="BH162" s="551"/>
      <c r="BI162" s="551"/>
      <c r="BJ162" s="551"/>
    </row>
    <row r="163" spans="1:62" ht="12.75" customHeight="1">
      <c r="A163" s="551"/>
      <c r="B163" s="551"/>
      <c r="C163" s="551"/>
      <c r="D163" s="551"/>
      <c r="E163" s="551"/>
      <c r="F163" s="551"/>
      <c r="G163" s="551"/>
      <c r="H163" s="551"/>
      <c r="I163" s="551"/>
      <c r="J163" s="551"/>
      <c r="K163" s="551"/>
      <c r="L163" s="551"/>
      <c r="M163" s="551"/>
      <c r="N163" s="551"/>
      <c r="O163" s="551"/>
      <c r="P163" s="551"/>
      <c r="Q163" s="551"/>
      <c r="R163" s="551"/>
      <c r="S163" s="551"/>
      <c r="T163" s="551"/>
      <c r="U163" s="551"/>
      <c r="V163" s="551"/>
      <c r="W163" s="551"/>
      <c r="X163" s="551"/>
      <c r="Y163" s="551"/>
      <c r="Z163" s="551"/>
      <c r="AA163" s="551"/>
      <c r="AB163" s="551"/>
      <c r="AC163" s="551"/>
      <c r="AD163" s="551"/>
      <c r="AE163" s="551"/>
      <c r="AF163" s="551"/>
      <c r="AG163" s="551"/>
      <c r="AH163" s="551"/>
      <c r="AI163" s="551"/>
      <c r="AJ163" s="551"/>
      <c r="AK163" s="551"/>
      <c r="AL163" s="551"/>
      <c r="AM163" s="551"/>
      <c r="AN163" s="551"/>
      <c r="AO163" s="551"/>
      <c r="AP163" s="551"/>
      <c r="AQ163" s="551"/>
      <c r="AR163" s="551"/>
      <c r="AS163" s="551"/>
      <c r="AT163" s="551"/>
      <c r="AU163" s="551"/>
      <c r="AV163" s="551"/>
      <c r="AW163" s="551"/>
      <c r="AX163" s="551"/>
      <c r="AY163" s="551"/>
      <c r="AZ163" s="551"/>
      <c r="BA163" s="551"/>
      <c r="BB163" s="551"/>
      <c r="BC163" s="551"/>
      <c r="BD163" s="551"/>
      <c r="BE163" s="551"/>
      <c r="BF163" s="551"/>
      <c r="BG163" s="551"/>
      <c r="BH163" s="551"/>
      <c r="BI163" s="551"/>
      <c r="BJ163" s="551"/>
    </row>
    <row r="164" spans="1:62" ht="12.75" customHeight="1">
      <c r="A164" s="551"/>
      <c r="B164" s="551"/>
      <c r="C164" s="551"/>
      <c r="D164" s="551"/>
      <c r="E164" s="551"/>
      <c r="F164" s="551"/>
      <c r="G164" s="551"/>
      <c r="H164" s="551"/>
      <c r="I164" s="551"/>
      <c r="J164" s="551"/>
      <c r="K164" s="551"/>
      <c r="L164" s="551"/>
      <c r="M164" s="551"/>
      <c r="N164" s="551"/>
      <c r="O164" s="551"/>
      <c r="P164" s="551"/>
      <c r="Q164" s="551"/>
      <c r="R164" s="551"/>
      <c r="S164" s="551"/>
      <c r="T164" s="551"/>
      <c r="U164" s="551"/>
      <c r="V164" s="551"/>
      <c r="W164" s="551"/>
      <c r="X164" s="551"/>
      <c r="Y164" s="551"/>
      <c r="Z164" s="551"/>
      <c r="AA164" s="551"/>
      <c r="AB164" s="551"/>
      <c r="AC164" s="551"/>
      <c r="AD164" s="551"/>
      <c r="AE164" s="551"/>
      <c r="AF164" s="551"/>
      <c r="AG164" s="551"/>
      <c r="AH164" s="551"/>
      <c r="AI164" s="551"/>
      <c r="AJ164" s="551"/>
      <c r="AK164" s="551"/>
      <c r="AL164" s="551"/>
      <c r="AM164" s="551"/>
      <c r="AN164" s="551"/>
      <c r="AO164" s="551"/>
      <c r="AP164" s="551"/>
      <c r="AQ164" s="551"/>
      <c r="AR164" s="551"/>
      <c r="AS164" s="551"/>
      <c r="AT164" s="551"/>
      <c r="AU164" s="551"/>
      <c r="AV164" s="551"/>
      <c r="AW164" s="551"/>
      <c r="AX164" s="551"/>
      <c r="AY164" s="551"/>
      <c r="AZ164" s="551"/>
      <c r="BA164" s="551"/>
      <c r="BB164" s="551"/>
      <c r="BC164" s="551"/>
      <c r="BD164" s="551"/>
      <c r="BE164" s="551"/>
      <c r="BF164" s="551"/>
      <c r="BG164" s="551"/>
      <c r="BH164" s="551"/>
      <c r="BI164" s="551"/>
      <c r="BJ164" s="551"/>
    </row>
    <row r="165" spans="1:62" ht="12.75" customHeight="1">
      <c r="A165" s="551"/>
      <c r="B165" s="551"/>
      <c r="C165" s="551"/>
      <c r="D165" s="551"/>
      <c r="E165" s="551"/>
      <c r="F165" s="551"/>
      <c r="G165" s="551"/>
      <c r="H165" s="551"/>
      <c r="I165" s="551"/>
      <c r="J165" s="551"/>
      <c r="K165" s="551"/>
      <c r="L165" s="551"/>
      <c r="M165" s="551"/>
      <c r="N165" s="551"/>
      <c r="O165" s="551"/>
      <c r="P165" s="551"/>
      <c r="Q165" s="551"/>
      <c r="R165" s="551"/>
      <c r="S165" s="551"/>
      <c r="T165" s="551"/>
      <c r="U165" s="551"/>
      <c r="V165" s="551"/>
      <c r="W165" s="551"/>
      <c r="X165" s="551"/>
      <c r="Y165" s="551"/>
      <c r="Z165" s="551"/>
      <c r="AA165" s="551"/>
      <c r="AB165" s="551"/>
      <c r="AC165" s="551"/>
      <c r="AD165" s="551"/>
      <c r="AE165" s="551"/>
      <c r="AF165" s="551"/>
      <c r="AG165" s="551"/>
      <c r="AH165" s="551"/>
      <c r="AI165" s="551"/>
      <c r="AJ165" s="551"/>
      <c r="AK165" s="551"/>
      <c r="AL165" s="551"/>
      <c r="AM165" s="551"/>
      <c r="AN165" s="551"/>
      <c r="AO165" s="551"/>
      <c r="AP165" s="551"/>
      <c r="AQ165" s="551"/>
      <c r="AR165" s="551"/>
      <c r="AS165" s="551"/>
      <c r="AT165" s="551"/>
      <c r="AU165" s="551"/>
      <c r="AV165" s="551"/>
      <c r="AW165" s="551"/>
      <c r="AX165" s="551"/>
      <c r="AY165" s="551"/>
      <c r="AZ165" s="551"/>
      <c r="BA165" s="551"/>
      <c r="BB165" s="551"/>
      <c r="BC165" s="551"/>
      <c r="BD165" s="551"/>
      <c r="BE165" s="551"/>
      <c r="BF165" s="551"/>
      <c r="BG165" s="551"/>
      <c r="BH165" s="551"/>
      <c r="BI165" s="551"/>
      <c r="BJ165" s="551"/>
    </row>
    <row r="166" spans="1:62" ht="12.75" customHeight="1">
      <c r="A166" s="551"/>
      <c r="B166" s="551"/>
      <c r="C166" s="551"/>
      <c r="D166" s="551"/>
      <c r="E166" s="551"/>
      <c r="F166" s="551"/>
      <c r="G166" s="551"/>
      <c r="H166" s="551"/>
      <c r="I166" s="551"/>
      <c r="J166" s="551"/>
      <c r="K166" s="551"/>
      <c r="L166" s="551"/>
      <c r="M166" s="551"/>
      <c r="N166" s="551"/>
      <c r="O166" s="551"/>
      <c r="P166" s="551"/>
      <c r="Q166" s="551"/>
      <c r="R166" s="551"/>
      <c r="S166" s="551"/>
      <c r="T166" s="551"/>
      <c r="U166" s="551"/>
      <c r="V166" s="551"/>
      <c r="W166" s="551"/>
      <c r="X166" s="551"/>
      <c r="Y166" s="551"/>
      <c r="Z166" s="551"/>
      <c r="AA166" s="551"/>
      <c r="AB166" s="551"/>
      <c r="AC166" s="551"/>
      <c r="AD166" s="551"/>
      <c r="AE166" s="551"/>
      <c r="AF166" s="551"/>
      <c r="AG166" s="551"/>
      <c r="AH166" s="551"/>
      <c r="AI166" s="551"/>
      <c r="AJ166" s="551"/>
      <c r="AK166" s="551"/>
      <c r="AL166" s="551"/>
      <c r="AM166" s="551"/>
      <c r="AN166" s="551"/>
      <c r="AO166" s="551"/>
      <c r="AP166" s="551"/>
      <c r="AQ166" s="551"/>
      <c r="AR166" s="551"/>
      <c r="AS166" s="551"/>
      <c r="AT166" s="551"/>
      <c r="AU166" s="551"/>
      <c r="AV166" s="551"/>
      <c r="AW166" s="551"/>
      <c r="AX166" s="551"/>
      <c r="AY166" s="551"/>
      <c r="AZ166" s="551"/>
      <c r="BA166" s="551"/>
      <c r="BB166" s="551"/>
      <c r="BC166" s="551"/>
      <c r="BD166" s="551"/>
      <c r="BE166" s="551"/>
      <c r="BF166" s="551"/>
      <c r="BG166" s="551"/>
      <c r="BH166" s="551"/>
      <c r="BI166" s="551"/>
      <c r="BJ166" s="551"/>
    </row>
    <row r="167" spans="1:62" ht="12.75" customHeight="1">
      <c r="A167" s="551"/>
      <c r="B167" s="551"/>
      <c r="C167" s="551"/>
      <c r="D167" s="551"/>
      <c r="E167" s="551"/>
      <c r="F167" s="551"/>
      <c r="G167" s="551"/>
      <c r="H167" s="551"/>
      <c r="I167" s="551"/>
      <c r="J167" s="551"/>
      <c r="K167" s="551"/>
      <c r="L167" s="551"/>
      <c r="M167" s="551"/>
      <c r="N167" s="551"/>
      <c r="O167" s="551"/>
      <c r="P167" s="551"/>
      <c r="Q167" s="551"/>
      <c r="R167" s="551"/>
      <c r="S167" s="551"/>
      <c r="T167" s="551"/>
      <c r="U167" s="551"/>
      <c r="V167" s="551"/>
      <c r="W167" s="551"/>
      <c r="X167" s="551"/>
      <c r="Y167" s="551"/>
      <c r="Z167" s="551"/>
      <c r="AA167" s="551"/>
      <c r="AB167" s="551"/>
      <c r="AC167" s="551"/>
      <c r="AD167" s="551"/>
      <c r="AE167" s="551"/>
      <c r="AF167" s="551"/>
      <c r="AG167" s="551"/>
      <c r="AH167" s="551"/>
      <c r="AI167" s="551"/>
      <c r="AJ167" s="551"/>
      <c r="AK167" s="551"/>
      <c r="AL167" s="551"/>
      <c r="AM167" s="551"/>
      <c r="AN167" s="551"/>
      <c r="AO167" s="551"/>
      <c r="AP167" s="551"/>
      <c r="AQ167" s="551"/>
      <c r="AR167" s="551"/>
      <c r="AS167" s="551"/>
      <c r="AT167" s="551"/>
      <c r="AU167" s="551"/>
      <c r="AV167" s="551"/>
      <c r="AW167" s="551"/>
      <c r="AX167" s="551"/>
      <c r="AY167" s="551"/>
      <c r="AZ167" s="551"/>
      <c r="BA167" s="551"/>
      <c r="BB167" s="551"/>
      <c r="BC167" s="551"/>
      <c r="BD167" s="551"/>
      <c r="BE167" s="551"/>
      <c r="BF167" s="551"/>
      <c r="BG167" s="551"/>
      <c r="BH167" s="551"/>
      <c r="BI167" s="551"/>
      <c r="BJ167" s="551"/>
    </row>
    <row r="168" spans="1:62" ht="12.75" customHeight="1">
      <c r="A168" s="551"/>
      <c r="B168" s="551"/>
      <c r="C168" s="551"/>
      <c r="D168" s="551"/>
      <c r="E168" s="551"/>
      <c r="F168" s="551"/>
      <c r="G168" s="551"/>
      <c r="H168" s="551"/>
      <c r="I168" s="551"/>
      <c r="J168" s="551"/>
      <c r="K168" s="551"/>
      <c r="L168" s="551"/>
      <c r="M168" s="551"/>
      <c r="N168" s="551"/>
      <c r="O168" s="551"/>
      <c r="P168" s="551"/>
      <c r="Q168" s="551"/>
      <c r="R168" s="551"/>
      <c r="S168" s="551"/>
      <c r="T168" s="551"/>
      <c r="U168" s="551"/>
      <c r="V168" s="551"/>
      <c r="W168" s="551"/>
      <c r="X168" s="551"/>
      <c r="Y168" s="551"/>
      <c r="Z168" s="551"/>
      <c r="AA168" s="551"/>
      <c r="AB168" s="551"/>
      <c r="AC168" s="551"/>
      <c r="AD168" s="551"/>
      <c r="AE168" s="551"/>
      <c r="AF168" s="551"/>
      <c r="AG168" s="551"/>
      <c r="AH168" s="551"/>
      <c r="AI168" s="551"/>
      <c r="AJ168" s="551"/>
      <c r="AK168" s="551"/>
      <c r="AL168" s="551"/>
      <c r="AM168" s="551"/>
      <c r="AN168" s="551"/>
      <c r="AO168" s="551"/>
      <c r="AP168" s="551"/>
      <c r="AQ168" s="551"/>
      <c r="AR168" s="551"/>
      <c r="AS168" s="551"/>
      <c r="AT168" s="551"/>
      <c r="AU168" s="551"/>
      <c r="AV168" s="551"/>
      <c r="AW168" s="551"/>
      <c r="AX168" s="551"/>
      <c r="AY168" s="551"/>
      <c r="AZ168" s="551"/>
      <c r="BA168" s="551"/>
      <c r="BB168" s="551"/>
      <c r="BC168" s="551"/>
      <c r="BD168" s="551"/>
      <c r="BE168" s="551"/>
      <c r="BF168" s="551"/>
      <c r="BG168" s="551"/>
      <c r="BH168" s="551"/>
      <c r="BI168" s="551"/>
      <c r="BJ168" s="551"/>
    </row>
    <row r="169" spans="1:62" ht="12.75" customHeight="1">
      <c r="A169" s="551"/>
      <c r="B169" s="551"/>
      <c r="C169" s="551"/>
      <c r="D169" s="551"/>
      <c r="E169" s="551"/>
      <c r="F169" s="551"/>
      <c r="G169" s="551"/>
      <c r="H169" s="551"/>
      <c r="I169" s="551"/>
      <c r="J169" s="551"/>
      <c r="K169" s="551"/>
      <c r="L169" s="551"/>
      <c r="M169" s="551"/>
      <c r="N169" s="551"/>
      <c r="O169" s="551"/>
      <c r="P169" s="551"/>
      <c r="Q169" s="551"/>
      <c r="R169" s="551"/>
      <c r="S169" s="551"/>
      <c r="T169" s="551"/>
      <c r="U169" s="551"/>
      <c r="V169" s="551"/>
      <c r="W169" s="551"/>
      <c r="X169" s="551"/>
      <c r="Y169" s="551"/>
      <c r="Z169" s="551"/>
      <c r="AA169" s="551"/>
      <c r="AB169" s="551"/>
      <c r="AC169" s="551"/>
      <c r="AD169" s="551"/>
      <c r="AE169" s="551"/>
      <c r="AF169" s="551"/>
      <c r="AG169" s="551"/>
      <c r="AH169" s="551"/>
      <c r="AI169" s="551"/>
      <c r="AJ169" s="551"/>
      <c r="AK169" s="551"/>
      <c r="AL169" s="551"/>
      <c r="AM169" s="551"/>
      <c r="AN169" s="551"/>
      <c r="AO169" s="551"/>
      <c r="AP169" s="551"/>
      <c r="AQ169" s="551"/>
      <c r="AR169" s="551"/>
      <c r="AS169" s="551"/>
      <c r="AT169" s="551"/>
      <c r="AU169" s="551"/>
      <c r="AV169" s="551"/>
      <c r="AW169" s="551"/>
      <c r="AX169" s="551"/>
      <c r="AY169" s="551"/>
      <c r="AZ169" s="551"/>
      <c r="BA169" s="551"/>
      <c r="BB169" s="551"/>
      <c r="BC169" s="551"/>
      <c r="BD169" s="551"/>
      <c r="BE169" s="551"/>
      <c r="BF169" s="551"/>
      <c r="BG169" s="551"/>
      <c r="BH169" s="551"/>
      <c r="BI169" s="551"/>
      <c r="BJ169" s="551"/>
    </row>
    <row r="170" spans="1:62" ht="12.75" customHeight="1">
      <c r="A170" s="551"/>
      <c r="B170" s="551"/>
      <c r="C170" s="551"/>
      <c r="D170" s="551"/>
      <c r="E170" s="551"/>
      <c r="F170" s="551"/>
      <c r="G170" s="551"/>
      <c r="H170" s="551"/>
      <c r="I170" s="551"/>
      <c r="J170" s="551"/>
      <c r="K170" s="551"/>
      <c r="L170" s="551"/>
      <c r="M170" s="551"/>
      <c r="N170" s="551"/>
      <c r="O170" s="551"/>
      <c r="P170" s="551"/>
      <c r="Q170" s="551"/>
      <c r="R170" s="551"/>
      <c r="S170" s="551"/>
      <c r="T170" s="551"/>
      <c r="U170" s="551"/>
      <c r="V170" s="551"/>
      <c r="W170" s="551"/>
      <c r="X170" s="551"/>
      <c r="Y170" s="551"/>
      <c r="Z170" s="551"/>
      <c r="AA170" s="551"/>
      <c r="AB170" s="551"/>
      <c r="AC170" s="551"/>
      <c r="AD170" s="551"/>
      <c r="AE170" s="551"/>
      <c r="AF170" s="551"/>
      <c r="AG170" s="551"/>
      <c r="AH170" s="551"/>
      <c r="AI170" s="551"/>
      <c r="AJ170" s="551"/>
      <c r="AK170" s="551"/>
      <c r="AL170" s="551"/>
      <c r="AM170" s="551"/>
      <c r="AN170" s="551"/>
      <c r="AO170" s="551"/>
      <c r="AP170" s="551"/>
      <c r="AQ170" s="551"/>
      <c r="AR170" s="551"/>
      <c r="AS170" s="551"/>
      <c r="AT170" s="551"/>
      <c r="AU170" s="551"/>
      <c r="AV170" s="551"/>
      <c r="AW170" s="551"/>
      <c r="AX170" s="551"/>
      <c r="AY170" s="551"/>
      <c r="AZ170" s="551"/>
      <c r="BA170" s="551"/>
      <c r="BB170" s="551"/>
      <c r="BC170" s="551"/>
      <c r="BD170" s="551"/>
      <c r="BE170" s="551"/>
      <c r="BF170" s="551"/>
      <c r="BG170" s="551"/>
      <c r="BH170" s="551"/>
      <c r="BI170" s="551"/>
      <c r="BJ170" s="551"/>
    </row>
    <row r="171" spans="1:62" ht="12.75" customHeight="1">
      <c r="A171" s="551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1"/>
      <c r="P171" s="551"/>
      <c r="Q171" s="551"/>
      <c r="R171" s="551"/>
      <c r="S171" s="551"/>
      <c r="T171" s="551"/>
      <c r="U171" s="551"/>
      <c r="V171" s="551"/>
      <c r="W171" s="551"/>
      <c r="X171" s="551"/>
      <c r="Y171" s="551"/>
      <c r="Z171" s="551"/>
      <c r="AA171" s="551"/>
      <c r="AB171" s="551"/>
      <c r="AC171" s="551"/>
      <c r="AD171" s="551"/>
      <c r="AE171" s="551"/>
      <c r="AF171" s="551"/>
      <c r="AG171" s="551"/>
      <c r="AH171" s="551"/>
      <c r="AI171" s="551"/>
      <c r="AJ171" s="551"/>
      <c r="AK171" s="551"/>
      <c r="AL171" s="551"/>
      <c r="AM171" s="551"/>
      <c r="AN171" s="551"/>
      <c r="AO171" s="551"/>
      <c r="AP171" s="551"/>
      <c r="AQ171" s="551"/>
      <c r="AR171" s="551"/>
      <c r="AS171" s="551"/>
      <c r="AT171" s="551"/>
      <c r="AU171" s="551"/>
      <c r="AV171" s="551"/>
      <c r="AW171" s="551"/>
      <c r="AX171" s="551"/>
      <c r="AY171" s="551"/>
      <c r="AZ171" s="551"/>
      <c r="BA171" s="551"/>
      <c r="BB171" s="551"/>
      <c r="BC171" s="551"/>
      <c r="BD171" s="551"/>
      <c r="BE171" s="551"/>
      <c r="BF171" s="551"/>
      <c r="BG171" s="551"/>
      <c r="BH171" s="551"/>
      <c r="BI171" s="551"/>
      <c r="BJ171" s="551"/>
    </row>
    <row r="172" spans="1:62" ht="12.75" customHeight="1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1"/>
      <c r="P172" s="551"/>
      <c r="Q172" s="551"/>
      <c r="R172" s="551"/>
      <c r="S172" s="551"/>
      <c r="T172" s="551"/>
      <c r="U172" s="551"/>
      <c r="V172" s="551"/>
      <c r="W172" s="551"/>
      <c r="X172" s="551"/>
      <c r="Y172" s="551"/>
      <c r="Z172" s="551"/>
      <c r="AA172" s="551"/>
      <c r="AB172" s="551"/>
      <c r="AC172" s="551"/>
      <c r="AD172" s="551"/>
      <c r="AE172" s="551"/>
      <c r="AF172" s="551"/>
      <c r="AG172" s="551"/>
      <c r="AH172" s="551"/>
      <c r="AI172" s="551"/>
      <c r="AJ172" s="551"/>
      <c r="AK172" s="551"/>
      <c r="AL172" s="551"/>
      <c r="AM172" s="551"/>
      <c r="AN172" s="551"/>
      <c r="AO172" s="551"/>
      <c r="AP172" s="551"/>
      <c r="AQ172" s="551"/>
      <c r="AR172" s="551"/>
      <c r="AS172" s="551"/>
      <c r="AT172" s="551"/>
      <c r="AU172" s="551"/>
      <c r="AV172" s="551"/>
      <c r="AW172" s="551"/>
      <c r="AX172" s="551"/>
      <c r="AY172" s="551"/>
      <c r="AZ172" s="551"/>
      <c r="BA172" s="551"/>
      <c r="BB172" s="551"/>
      <c r="BC172" s="551"/>
      <c r="BD172" s="551"/>
      <c r="BE172" s="551"/>
      <c r="BF172" s="551"/>
      <c r="BG172" s="551"/>
      <c r="BH172" s="551"/>
      <c r="BI172" s="551"/>
      <c r="BJ172" s="551"/>
    </row>
    <row r="173" spans="1:62" ht="12.75" customHeight="1">
      <c r="A173" s="551"/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51"/>
      <c r="AB173" s="551"/>
      <c r="AC173" s="551"/>
      <c r="AD173" s="551"/>
      <c r="AE173" s="551"/>
      <c r="AF173" s="551"/>
      <c r="AG173" s="551"/>
      <c r="AH173" s="551"/>
      <c r="AI173" s="551"/>
      <c r="AJ173" s="551"/>
      <c r="AK173" s="551"/>
      <c r="AL173" s="551"/>
      <c r="AM173" s="551"/>
      <c r="AN173" s="551"/>
      <c r="AO173" s="551"/>
      <c r="AP173" s="551"/>
      <c r="AQ173" s="551"/>
      <c r="AR173" s="551"/>
      <c r="AS173" s="551"/>
      <c r="AT173" s="551"/>
      <c r="AU173" s="551"/>
      <c r="AV173" s="551"/>
      <c r="AW173" s="551"/>
      <c r="AX173" s="551"/>
      <c r="AY173" s="551"/>
      <c r="AZ173" s="551"/>
      <c r="BA173" s="551"/>
      <c r="BB173" s="551"/>
      <c r="BC173" s="551"/>
      <c r="BD173" s="551"/>
      <c r="BE173" s="551"/>
      <c r="BF173" s="551"/>
      <c r="BG173" s="551"/>
      <c r="BH173" s="551"/>
      <c r="BI173" s="551"/>
      <c r="BJ173" s="551"/>
    </row>
    <row r="174" spans="1:62" ht="12.75" customHeight="1">
      <c r="A174" s="551"/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  <c r="M174" s="551"/>
      <c r="N174" s="551"/>
      <c r="O174" s="551"/>
      <c r="P174" s="551"/>
      <c r="Q174" s="551"/>
      <c r="R174" s="551"/>
      <c r="S174" s="551"/>
      <c r="T174" s="551"/>
      <c r="U174" s="551"/>
      <c r="V174" s="551"/>
      <c r="W174" s="551"/>
      <c r="X174" s="551"/>
      <c r="Y174" s="551"/>
      <c r="Z174" s="551"/>
      <c r="AA174" s="551"/>
      <c r="AB174" s="551"/>
      <c r="AC174" s="551"/>
      <c r="AD174" s="551"/>
      <c r="AE174" s="551"/>
      <c r="AF174" s="551"/>
      <c r="AG174" s="551"/>
      <c r="AH174" s="551"/>
      <c r="AI174" s="551"/>
      <c r="AJ174" s="551"/>
      <c r="AK174" s="551"/>
      <c r="AL174" s="551"/>
      <c r="AM174" s="551"/>
      <c r="AN174" s="551"/>
      <c r="AO174" s="551"/>
      <c r="AP174" s="551"/>
      <c r="AQ174" s="551"/>
      <c r="AR174" s="551"/>
      <c r="AS174" s="551"/>
      <c r="AT174" s="551"/>
      <c r="AU174" s="551"/>
      <c r="AV174" s="551"/>
      <c r="AW174" s="551"/>
      <c r="AX174" s="551"/>
      <c r="AY174" s="551"/>
      <c r="AZ174" s="551"/>
      <c r="BA174" s="551"/>
      <c r="BB174" s="551"/>
      <c r="BC174" s="551"/>
      <c r="BD174" s="551"/>
      <c r="BE174" s="551"/>
      <c r="BF174" s="551"/>
      <c r="BG174" s="551"/>
      <c r="BH174" s="551"/>
      <c r="BI174" s="551"/>
      <c r="BJ174" s="551"/>
    </row>
    <row r="175" spans="1:62" ht="12.75" customHeight="1">
      <c r="A175" s="551"/>
      <c r="B175" s="551"/>
      <c r="C175" s="551"/>
      <c r="D175" s="551"/>
      <c r="E175" s="551"/>
      <c r="F175" s="551"/>
      <c r="G175" s="551"/>
      <c r="H175" s="551"/>
      <c r="I175" s="551"/>
      <c r="J175" s="551"/>
      <c r="K175" s="551"/>
      <c r="L175" s="551"/>
      <c r="M175" s="551"/>
      <c r="N175" s="551"/>
      <c r="O175" s="551"/>
      <c r="P175" s="551"/>
      <c r="Q175" s="551"/>
      <c r="R175" s="551"/>
      <c r="S175" s="551"/>
      <c r="T175" s="551"/>
      <c r="U175" s="551"/>
      <c r="V175" s="551"/>
      <c r="W175" s="551"/>
      <c r="X175" s="551"/>
      <c r="Y175" s="551"/>
      <c r="Z175" s="551"/>
      <c r="AA175" s="551"/>
      <c r="AB175" s="551"/>
      <c r="AC175" s="551"/>
      <c r="AD175" s="551"/>
      <c r="AE175" s="551"/>
      <c r="AF175" s="551"/>
      <c r="AG175" s="551"/>
      <c r="AH175" s="551"/>
      <c r="AI175" s="551"/>
      <c r="AJ175" s="551"/>
      <c r="AK175" s="551"/>
      <c r="AL175" s="551"/>
      <c r="AM175" s="551"/>
      <c r="AN175" s="551"/>
      <c r="AO175" s="551"/>
      <c r="AP175" s="551"/>
      <c r="AQ175" s="551"/>
      <c r="AR175" s="551"/>
      <c r="AS175" s="551"/>
      <c r="AT175" s="551"/>
      <c r="AU175" s="551"/>
      <c r="AV175" s="551"/>
      <c r="AW175" s="551"/>
      <c r="AX175" s="551"/>
      <c r="AY175" s="551"/>
      <c r="AZ175" s="551"/>
      <c r="BA175" s="551"/>
      <c r="BB175" s="551"/>
      <c r="BC175" s="551"/>
      <c r="BD175" s="551"/>
      <c r="BE175" s="551"/>
      <c r="BF175" s="551"/>
      <c r="BG175" s="551"/>
      <c r="BH175" s="551"/>
      <c r="BI175" s="551"/>
      <c r="BJ175" s="551"/>
    </row>
    <row r="176" spans="1:62" ht="12.75" customHeight="1">
      <c r="A176" s="551"/>
      <c r="B176" s="551"/>
      <c r="C176" s="551"/>
      <c r="D176" s="551"/>
      <c r="E176" s="551"/>
      <c r="F176" s="551"/>
      <c r="G176" s="551"/>
      <c r="H176" s="551"/>
      <c r="I176" s="551"/>
      <c r="J176" s="551"/>
      <c r="K176" s="551"/>
      <c r="L176" s="551"/>
      <c r="M176" s="551"/>
      <c r="N176" s="551"/>
      <c r="O176" s="551"/>
      <c r="P176" s="551"/>
      <c r="Q176" s="551"/>
      <c r="R176" s="551"/>
      <c r="S176" s="551"/>
      <c r="T176" s="551"/>
      <c r="U176" s="551"/>
      <c r="V176" s="551"/>
      <c r="W176" s="551"/>
      <c r="X176" s="551"/>
      <c r="Y176" s="551"/>
      <c r="Z176" s="551"/>
      <c r="AA176" s="551"/>
      <c r="AB176" s="551"/>
      <c r="AC176" s="551"/>
      <c r="AD176" s="551"/>
      <c r="AE176" s="551"/>
      <c r="AF176" s="551"/>
      <c r="AG176" s="551"/>
      <c r="AH176" s="551"/>
      <c r="AI176" s="551"/>
      <c r="AJ176" s="551"/>
      <c r="AK176" s="551"/>
      <c r="AL176" s="551"/>
      <c r="AM176" s="551"/>
      <c r="AN176" s="551"/>
      <c r="AO176" s="551"/>
      <c r="AP176" s="551"/>
      <c r="AQ176" s="551"/>
      <c r="AR176" s="551"/>
      <c r="AS176" s="551"/>
      <c r="AT176" s="551"/>
      <c r="AU176" s="551"/>
      <c r="AV176" s="551"/>
      <c r="AW176" s="551"/>
      <c r="AX176" s="551"/>
      <c r="AY176" s="551"/>
      <c r="AZ176" s="551"/>
      <c r="BA176" s="551"/>
      <c r="BB176" s="551"/>
      <c r="BC176" s="551"/>
      <c r="BD176" s="551"/>
      <c r="BE176" s="551"/>
      <c r="BF176" s="551"/>
      <c r="BG176" s="551"/>
      <c r="BH176" s="551"/>
      <c r="BI176" s="551"/>
      <c r="BJ176" s="551"/>
    </row>
    <row r="177" spans="1:62" ht="12.75" customHeight="1">
      <c r="A177" s="551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1"/>
      <c r="P177" s="551"/>
      <c r="Q177" s="551"/>
      <c r="R177" s="551"/>
      <c r="S177" s="551"/>
      <c r="T177" s="551"/>
      <c r="U177" s="551"/>
      <c r="V177" s="551"/>
      <c r="W177" s="551"/>
      <c r="X177" s="551"/>
      <c r="Y177" s="551"/>
      <c r="Z177" s="551"/>
      <c r="AA177" s="551"/>
      <c r="AB177" s="551"/>
      <c r="AC177" s="551"/>
      <c r="AD177" s="551"/>
      <c r="AE177" s="551"/>
      <c r="AF177" s="551"/>
      <c r="AG177" s="551"/>
      <c r="AH177" s="551"/>
      <c r="AI177" s="551"/>
      <c r="AJ177" s="551"/>
      <c r="AK177" s="551"/>
      <c r="AL177" s="551"/>
      <c r="AM177" s="551"/>
      <c r="AN177" s="551"/>
      <c r="AO177" s="551"/>
      <c r="AP177" s="551"/>
      <c r="AQ177" s="551"/>
      <c r="AR177" s="551"/>
      <c r="AS177" s="551"/>
      <c r="AT177" s="551"/>
      <c r="AU177" s="551"/>
      <c r="AV177" s="551"/>
      <c r="AW177" s="551"/>
      <c r="AX177" s="551"/>
      <c r="AY177" s="551"/>
      <c r="AZ177" s="551"/>
      <c r="BA177" s="551"/>
      <c r="BB177" s="551"/>
      <c r="BC177" s="551"/>
      <c r="BD177" s="551"/>
      <c r="BE177" s="551"/>
      <c r="BF177" s="551"/>
      <c r="BG177" s="551"/>
      <c r="BH177" s="551"/>
      <c r="BI177" s="551"/>
      <c r="BJ177" s="551"/>
    </row>
    <row r="178" spans="1:62" ht="12.75" customHeight="1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1"/>
      <c r="P178" s="551"/>
      <c r="Q178" s="551"/>
      <c r="R178" s="551"/>
      <c r="S178" s="551"/>
      <c r="T178" s="551"/>
      <c r="U178" s="551"/>
      <c r="V178" s="551"/>
      <c r="W178" s="551"/>
      <c r="X178" s="551"/>
      <c r="Y178" s="551"/>
      <c r="Z178" s="551"/>
      <c r="AA178" s="551"/>
      <c r="AB178" s="551"/>
      <c r="AC178" s="551"/>
      <c r="AD178" s="551"/>
      <c r="AE178" s="551"/>
      <c r="AF178" s="551"/>
      <c r="AG178" s="551"/>
      <c r="AH178" s="551"/>
      <c r="AI178" s="551"/>
      <c r="AJ178" s="551"/>
      <c r="AK178" s="551"/>
      <c r="AL178" s="551"/>
      <c r="AM178" s="551"/>
      <c r="AN178" s="551"/>
      <c r="AO178" s="551"/>
      <c r="AP178" s="551"/>
      <c r="AQ178" s="551"/>
      <c r="AR178" s="551"/>
      <c r="AS178" s="551"/>
      <c r="AT178" s="551"/>
      <c r="AU178" s="551"/>
      <c r="AV178" s="551"/>
      <c r="AW178" s="551"/>
      <c r="AX178" s="551"/>
      <c r="AY178" s="551"/>
      <c r="AZ178" s="551"/>
      <c r="BA178" s="551"/>
      <c r="BB178" s="551"/>
      <c r="BC178" s="551"/>
      <c r="BD178" s="551"/>
      <c r="BE178" s="551"/>
      <c r="BF178" s="551"/>
      <c r="BG178" s="551"/>
      <c r="BH178" s="551"/>
      <c r="BI178" s="551"/>
      <c r="BJ178" s="551"/>
    </row>
    <row r="179" spans="1:62" ht="12.75" customHeight="1">
      <c r="A179" s="551"/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51"/>
      <c r="AB179" s="551"/>
      <c r="AC179" s="551"/>
      <c r="AD179" s="551"/>
      <c r="AE179" s="551"/>
      <c r="AF179" s="551"/>
      <c r="AG179" s="551"/>
      <c r="AH179" s="551"/>
      <c r="AI179" s="551"/>
      <c r="AJ179" s="551"/>
      <c r="AK179" s="551"/>
      <c r="AL179" s="551"/>
      <c r="AM179" s="551"/>
      <c r="AN179" s="551"/>
      <c r="AO179" s="551"/>
      <c r="AP179" s="551"/>
      <c r="AQ179" s="551"/>
      <c r="AR179" s="551"/>
      <c r="AS179" s="551"/>
      <c r="AT179" s="551"/>
      <c r="AU179" s="551"/>
      <c r="AV179" s="551"/>
      <c r="AW179" s="551"/>
      <c r="AX179" s="551"/>
      <c r="AY179" s="551"/>
      <c r="AZ179" s="551"/>
      <c r="BA179" s="551"/>
      <c r="BB179" s="551"/>
      <c r="BC179" s="551"/>
      <c r="BD179" s="551"/>
      <c r="BE179" s="551"/>
      <c r="BF179" s="551"/>
      <c r="BG179" s="551"/>
      <c r="BH179" s="551"/>
      <c r="BI179" s="551"/>
      <c r="BJ179" s="551"/>
    </row>
    <row r="180" spans="1:62" ht="12.75" customHeight="1">
      <c r="A180" s="551"/>
      <c r="B180" s="551"/>
      <c r="C180" s="551"/>
      <c r="D180" s="551"/>
      <c r="E180" s="551"/>
      <c r="F180" s="551"/>
      <c r="G180" s="551"/>
      <c r="H180" s="551"/>
      <c r="I180" s="551"/>
      <c r="J180" s="551"/>
      <c r="K180" s="551"/>
      <c r="L180" s="551"/>
      <c r="M180" s="551"/>
      <c r="N180" s="551"/>
      <c r="O180" s="551"/>
      <c r="P180" s="551"/>
      <c r="Q180" s="551"/>
      <c r="R180" s="551"/>
      <c r="S180" s="551"/>
      <c r="T180" s="551"/>
      <c r="U180" s="551"/>
      <c r="V180" s="551"/>
      <c r="W180" s="551"/>
      <c r="X180" s="551"/>
      <c r="Y180" s="551"/>
      <c r="Z180" s="551"/>
      <c r="AA180" s="551"/>
      <c r="AB180" s="551"/>
      <c r="AC180" s="551"/>
      <c r="AD180" s="551"/>
      <c r="AE180" s="551"/>
      <c r="AF180" s="551"/>
      <c r="AG180" s="551"/>
      <c r="AH180" s="551"/>
      <c r="AI180" s="551"/>
      <c r="AJ180" s="551"/>
      <c r="AK180" s="551"/>
      <c r="AL180" s="551"/>
      <c r="AM180" s="551"/>
      <c r="AN180" s="551"/>
      <c r="AO180" s="551"/>
      <c r="AP180" s="551"/>
      <c r="AQ180" s="551"/>
      <c r="AR180" s="551"/>
      <c r="AS180" s="551"/>
      <c r="AT180" s="551"/>
      <c r="AU180" s="551"/>
      <c r="AV180" s="551"/>
      <c r="AW180" s="551"/>
      <c r="AX180" s="551"/>
      <c r="AY180" s="551"/>
      <c r="AZ180" s="551"/>
      <c r="BA180" s="551"/>
      <c r="BB180" s="551"/>
      <c r="BC180" s="551"/>
      <c r="BD180" s="551"/>
      <c r="BE180" s="551"/>
      <c r="BF180" s="551"/>
      <c r="BG180" s="551"/>
      <c r="BH180" s="551"/>
      <c r="BI180" s="551"/>
      <c r="BJ180" s="551"/>
    </row>
    <row r="181" spans="1:62" ht="12.75" customHeight="1">
      <c r="A181" s="551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1"/>
      <c r="P181" s="551"/>
      <c r="Q181" s="551"/>
      <c r="R181" s="551"/>
      <c r="S181" s="551"/>
      <c r="T181" s="551"/>
      <c r="U181" s="551"/>
      <c r="V181" s="551"/>
      <c r="W181" s="551"/>
      <c r="X181" s="551"/>
      <c r="Y181" s="551"/>
      <c r="Z181" s="551"/>
      <c r="AA181" s="551"/>
      <c r="AB181" s="551"/>
      <c r="AC181" s="551"/>
      <c r="AD181" s="551"/>
      <c r="AE181" s="551"/>
      <c r="AF181" s="551"/>
      <c r="AG181" s="551"/>
      <c r="AH181" s="551"/>
      <c r="AI181" s="551"/>
      <c r="AJ181" s="551"/>
      <c r="AK181" s="551"/>
      <c r="AL181" s="551"/>
      <c r="AM181" s="551"/>
      <c r="AN181" s="551"/>
      <c r="AO181" s="551"/>
      <c r="AP181" s="551"/>
      <c r="AQ181" s="551"/>
      <c r="AR181" s="551"/>
      <c r="AS181" s="551"/>
      <c r="AT181" s="551"/>
      <c r="AU181" s="551"/>
      <c r="AV181" s="551"/>
      <c r="AW181" s="551"/>
      <c r="AX181" s="551"/>
      <c r="AY181" s="551"/>
      <c r="AZ181" s="551"/>
      <c r="BA181" s="551"/>
      <c r="BB181" s="551"/>
      <c r="BC181" s="551"/>
      <c r="BD181" s="551"/>
      <c r="BE181" s="551"/>
      <c r="BF181" s="551"/>
      <c r="BG181" s="551"/>
      <c r="BH181" s="551"/>
      <c r="BI181" s="551"/>
      <c r="BJ181" s="551"/>
    </row>
    <row r="182" spans="1:62" ht="12.75" customHeight="1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1"/>
      <c r="P182" s="551"/>
      <c r="Q182" s="551"/>
      <c r="R182" s="551"/>
      <c r="S182" s="551"/>
      <c r="T182" s="551"/>
      <c r="U182" s="551"/>
      <c r="V182" s="551"/>
      <c r="W182" s="551"/>
      <c r="X182" s="551"/>
      <c r="Y182" s="551"/>
      <c r="Z182" s="551"/>
      <c r="AA182" s="551"/>
      <c r="AB182" s="551"/>
      <c r="AC182" s="551"/>
      <c r="AD182" s="551"/>
      <c r="AE182" s="551"/>
      <c r="AF182" s="551"/>
      <c r="AG182" s="551"/>
      <c r="AH182" s="551"/>
      <c r="AI182" s="551"/>
      <c r="AJ182" s="551"/>
      <c r="AK182" s="551"/>
      <c r="AL182" s="551"/>
      <c r="AM182" s="551"/>
      <c r="AN182" s="551"/>
      <c r="AO182" s="551"/>
      <c r="AP182" s="551"/>
      <c r="AQ182" s="551"/>
      <c r="AR182" s="551"/>
      <c r="AS182" s="551"/>
      <c r="AT182" s="551"/>
      <c r="AU182" s="551"/>
      <c r="AV182" s="551"/>
      <c r="AW182" s="551"/>
      <c r="AX182" s="551"/>
      <c r="AY182" s="551"/>
      <c r="AZ182" s="551"/>
      <c r="BA182" s="551"/>
      <c r="BB182" s="551"/>
      <c r="BC182" s="551"/>
      <c r="BD182" s="551"/>
      <c r="BE182" s="551"/>
      <c r="BF182" s="551"/>
      <c r="BG182" s="551"/>
      <c r="BH182" s="551"/>
      <c r="BI182" s="551"/>
      <c r="BJ182" s="551"/>
    </row>
    <row r="183" spans="1:62" ht="12.75" customHeight="1">
      <c r="A183" s="551"/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51"/>
      <c r="AB183" s="551"/>
      <c r="AC183" s="551"/>
      <c r="AD183" s="551"/>
      <c r="AE183" s="551"/>
      <c r="AF183" s="551"/>
      <c r="AG183" s="551"/>
      <c r="AH183" s="551"/>
      <c r="AI183" s="551"/>
      <c r="AJ183" s="551"/>
      <c r="AK183" s="551"/>
      <c r="AL183" s="551"/>
      <c r="AM183" s="551"/>
      <c r="AN183" s="551"/>
      <c r="AO183" s="551"/>
      <c r="AP183" s="551"/>
      <c r="AQ183" s="551"/>
      <c r="AR183" s="551"/>
      <c r="AS183" s="551"/>
      <c r="AT183" s="551"/>
      <c r="AU183" s="551"/>
      <c r="AV183" s="551"/>
      <c r="AW183" s="551"/>
      <c r="AX183" s="551"/>
      <c r="AY183" s="551"/>
      <c r="AZ183" s="551"/>
      <c r="BA183" s="551"/>
      <c r="BB183" s="551"/>
      <c r="BC183" s="551"/>
      <c r="BD183" s="551"/>
      <c r="BE183" s="551"/>
      <c r="BF183" s="551"/>
      <c r="BG183" s="551"/>
      <c r="BH183" s="551"/>
      <c r="BI183" s="551"/>
      <c r="BJ183" s="551"/>
    </row>
    <row r="184" spans="1:62" ht="12.75" customHeight="1">
      <c r="A184" s="551"/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51"/>
      <c r="AB184" s="551"/>
      <c r="AC184" s="551"/>
      <c r="AD184" s="551"/>
      <c r="AE184" s="551"/>
      <c r="AF184" s="551"/>
      <c r="AG184" s="551"/>
      <c r="AH184" s="551"/>
      <c r="AI184" s="551"/>
      <c r="AJ184" s="551"/>
      <c r="AK184" s="551"/>
      <c r="AL184" s="551"/>
      <c r="AM184" s="551"/>
      <c r="AN184" s="551"/>
      <c r="AO184" s="551"/>
      <c r="AP184" s="551"/>
      <c r="AQ184" s="551"/>
      <c r="AR184" s="551"/>
      <c r="AS184" s="551"/>
      <c r="AT184" s="551"/>
      <c r="AU184" s="551"/>
      <c r="AV184" s="551"/>
      <c r="AW184" s="551"/>
      <c r="AX184" s="551"/>
      <c r="AY184" s="551"/>
      <c r="AZ184" s="551"/>
      <c r="BA184" s="551"/>
      <c r="BB184" s="551"/>
      <c r="BC184" s="551"/>
      <c r="BD184" s="551"/>
      <c r="BE184" s="551"/>
      <c r="BF184" s="551"/>
      <c r="BG184" s="551"/>
      <c r="BH184" s="551"/>
      <c r="BI184" s="551"/>
      <c r="BJ184" s="551"/>
    </row>
    <row r="185" spans="1:62" ht="12.75" customHeight="1">
      <c r="A185" s="551"/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1"/>
      <c r="M185" s="551"/>
      <c r="N185" s="551"/>
      <c r="O185" s="551"/>
      <c r="P185" s="551"/>
      <c r="Q185" s="551"/>
      <c r="R185" s="551"/>
      <c r="S185" s="551"/>
      <c r="T185" s="551"/>
      <c r="U185" s="551"/>
      <c r="V185" s="551"/>
      <c r="W185" s="551"/>
      <c r="X185" s="551"/>
      <c r="Y185" s="551"/>
      <c r="Z185" s="551"/>
      <c r="AA185" s="551"/>
      <c r="AB185" s="551"/>
      <c r="AC185" s="551"/>
      <c r="AD185" s="551"/>
      <c r="AE185" s="551"/>
      <c r="AF185" s="551"/>
      <c r="AG185" s="551"/>
      <c r="AH185" s="551"/>
      <c r="AI185" s="551"/>
      <c r="AJ185" s="551"/>
      <c r="AK185" s="551"/>
      <c r="AL185" s="551"/>
      <c r="AM185" s="551"/>
      <c r="AN185" s="551"/>
      <c r="AO185" s="551"/>
      <c r="AP185" s="551"/>
      <c r="AQ185" s="551"/>
      <c r="AR185" s="551"/>
      <c r="AS185" s="551"/>
      <c r="AT185" s="551"/>
      <c r="AU185" s="551"/>
      <c r="AV185" s="551"/>
      <c r="AW185" s="551"/>
      <c r="AX185" s="551"/>
      <c r="AY185" s="551"/>
      <c r="AZ185" s="551"/>
      <c r="BA185" s="551"/>
      <c r="BB185" s="551"/>
      <c r="BC185" s="551"/>
      <c r="BD185" s="551"/>
      <c r="BE185" s="551"/>
      <c r="BF185" s="551"/>
      <c r="BG185" s="551"/>
      <c r="BH185" s="551"/>
      <c r="BI185" s="551"/>
      <c r="BJ185" s="551"/>
    </row>
    <row r="186" spans="1:62" ht="12.75" customHeight="1">
      <c r="A186" s="551"/>
      <c r="B186" s="551"/>
      <c r="C186" s="551"/>
      <c r="D186" s="551"/>
      <c r="E186" s="551"/>
      <c r="F186" s="551"/>
      <c r="G186" s="551"/>
      <c r="H186" s="551"/>
      <c r="I186" s="551"/>
      <c r="J186" s="551"/>
      <c r="K186" s="551"/>
      <c r="L186" s="551"/>
      <c r="M186" s="551"/>
      <c r="N186" s="551"/>
      <c r="O186" s="551"/>
      <c r="P186" s="551"/>
      <c r="Q186" s="551"/>
      <c r="R186" s="551"/>
      <c r="S186" s="551"/>
      <c r="T186" s="551"/>
      <c r="U186" s="551"/>
      <c r="V186" s="551"/>
      <c r="W186" s="551"/>
      <c r="X186" s="551"/>
      <c r="Y186" s="551"/>
      <c r="Z186" s="551"/>
      <c r="AA186" s="551"/>
      <c r="AB186" s="551"/>
      <c r="AC186" s="551"/>
      <c r="AD186" s="551"/>
      <c r="AE186" s="551"/>
      <c r="AF186" s="551"/>
      <c r="AG186" s="551"/>
      <c r="AH186" s="551"/>
      <c r="AI186" s="551"/>
      <c r="AJ186" s="551"/>
      <c r="AK186" s="551"/>
      <c r="AL186" s="551"/>
      <c r="AM186" s="551"/>
      <c r="AN186" s="551"/>
      <c r="AO186" s="551"/>
      <c r="AP186" s="551"/>
      <c r="AQ186" s="551"/>
      <c r="AR186" s="551"/>
      <c r="AS186" s="551"/>
      <c r="AT186" s="551"/>
      <c r="AU186" s="551"/>
      <c r="AV186" s="551"/>
      <c r="AW186" s="551"/>
      <c r="AX186" s="551"/>
      <c r="AY186" s="551"/>
      <c r="AZ186" s="551"/>
      <c r="BA186" s="551"/>
      <c r="BB186" s="551"/>
      <c r="BC186" s="551"/>
      <c r="BD186" s="551"/>
      <c r="BE186" s="551"/>
      <c r="BF186" s="551"/>
      <c r="BG186" s="551"/>
      <c r="BH186" s="551"/>
      <c r="BI186" s="551"/>
      <c r="BJ186" s="551"/>
    </row>
    <row r="187" spans="1:62" ht="12.75" customHeight="1">
      <c r="A187" s="551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1"/>
      <c r="P187" s="551"/>
      <c r="Q187" s="551"/>
      <c r="R187" s="551"/>
      <c r="S187" s="551"/>
      <c r="T187" s="551"/>
      <c r="U187" s="551"/>
      <c r="V187" s="551"/>
      <c r="W187" s="551"/>
      <c r="X187" s="551"/>
      <c r="Y187" s="551"/>
      <c r="Z187" s="551"/>
      <c r="AA187" s="551"/>
      <c r="AB187" s="551"/>
      <c r="AC187" s="551"/>
      <c r="AD187" s="551"/>
      <c r="AE187" s="551"/>
      <c r="AF187" s="551"/>
      <c r="AG187" s="551"/>
      <c r="AH187" s="551"/>
      <c r="AI187" s="551"/>
      <c r="AJ187" s="551"/>
      <c r="AK187" s="551"/>
      <c r="AL187" s="551"/>
      <c r="AM187" s="551"/>
      <c r="AN187" s="551"/>
      <c r="AO187" s="551"/>
      <c r="AP187" s="551"/>
      <c r="AQ187" s="551"/>
      <c r="AR187" s="551"/>
      <c r="AS187" s="551"/>
      <c r="AT187" s="551"/>
      <c r="AU187" s="551"/>
      <c r="AV187" s="551"/>
      <c r="AW187" s="551"/>
      <c r="AX187" s="551"/>
      <c r="AY187" s="551"/>
      <c r="AZ187" s="551"/>
      <c r="BA187" s="551"/>
      <c r="BB187" s="551"/>
      <c r="BC187" s="551"/>
      <c r="BD187" s="551"/>
      <c r="BE187" s="551"/>
      <c r="BF187" s="551"/>
      <c r="BG187" s="551"/>
      <c r="BH187" s="551"/>
      <c r="BI187" s="551"/>
      <c r="BJ187" s="551"/>
    </row>
    <row r="188" spans="1:62" ht="12.75" customHeight="1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1"/>
      <c r="P188" s="551"/>
      <c r="Q188" s="551"/>
      <c r="R188" s="551"/>
      <c r="S188" s="551"/>
      <c r="T188" s="551"/>
      <c r="U188" s="551"/>
      <c r="V188" s="551"/>
      <c r="W188" s="551"/>
      <c r="X188" s="551"/>
      <c r="Y188" s="551"/>
      <c r="Z188" s="551"/>
      <c r="AA188" s="551"/>
      <c r="AB188" s="551"/>
      <c r="AC188" s="551"/>
      <c r="AD188" s="551"/>
      <c r="AE188" s="551"/>
      <c r="AF188" s="551"/>
      <c r="AG188" s="551"/>
      <c r="AH188" s="551"/>
      <c r="AI188" s="551"/>
      <c r="AJ188" s="551"/>
      <c r="AK188" s="551"/>
      <c r="AL188" s="551"/>
      <c r="AM188" s="551"/>
      <c r="AN188" s="551"/>
      <c r="AO188" s="551"/>
      <c r="AP188" s="551"/>
      <c r="AQ188" s="551"/>
      <c r="AR188" s="551"/>
      <c r="AS188" s="551"/>
      <c r="AT188" s="551"/>
      <c r="AU188" s="551"/>
      <c r="AV188" s="551"/>
      <c r="AW188" s="551"/>
      <c r="AX188" s="551"/>
      <c r="AY188" s="551"/>
      <c r="AZ188" s="551"/>
      <c r="BA188" s="551"/>
      <c r="BB188" s="551"/>
      <c r="BC188" s="551"/>
      <c r="BD188" s="551"/>
      <c r="BE188" s="551"/>
      <c r="BF188" s="551"/>
      <c r="BG188" s="551"/>
      <c r="BH188" s="551"/>
      <c r="BI188" s="551"/>
      <c r="BJ188" s="551"/>
    </row>
    <row r="189" spans="1:62" ht="12.75" customHeight="1">
      <c r="A189" s="551"/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51"/>
      <c r="AB189" s="551"/>
      <c r="AC189" s="551"/>
      <c r="AD189" s="551"/>
      <c r="AE189" s="551"/>
      <c r="AF189" s="551"/>
      <c r="AG189" s="551"/>
      <c r="AH189" s="551"/>
      <c r="AI189" s="551"/>
      <c r="AJ189" s="551"/>
      <c r="AK189" s="551"/>
      <c r="AL189" s="551"/>
      <c r="AM189" s="551"/>
      <c r="AN189" s="551"/>
      <c r="AO189" s="551"/>
      <c r="AP189" s="551"/>
      <c r="AQ189" s="551"/>
      <c r="AR189" s="551"/>
      <c r="AS189" s="551"/>
      <c r="AT189" s="551"/>
      <c r="AU189" s="551"/>
      <c r="AV189" s="551"/>
      <c r="AW189" s="551"/>
      <c r="AX189" s="551"/>
      <c r="AY189" s="551"/>
      <c r="AZ189" s="551"/>
      <c r="BA189" s="551"/>
      <c r="BB189" s="551"/>
      <c r="BC189" s="551"/>
      <c r="BD189" s="551"/>
      <c r="BE189" s="551"/>
      <c r="BF189" s="551"/>
      <c r="BG189" s="551"/>
      <c r="BH189" s="551"/>
      <c r="BI189" s="551"/>
      <c r="BJ189" s="551"/>
    </row>
    <row r="190" spans="1:62" ht="12.75" customHeight="1">
      <c r="A190" s="551"/>
      <c r="B190" s="551"/>
      <c r="C190" s="551"/>
      <c r="D190" s="551"/>
      <c r="E190" s="551"/>
      <c r="F190" s="551"/>
      <c r="G190" s="551"/>
      <c r="H190" s="551"/>
      <c r="I190" s="551"/>
      <c r="J190" s="551"/>
      <c r="K190" s="551"/>
      <c r="L190" s="551"/>
      <c r="M190" s="551"/>
      <c r="N190" s="551"/>
      <c r="O190" s="551"/>
      <c r="P190" s="551"/>
      <c r="Q190" s="551"/>
      <c r="R190" s="551"/>
      <c r="S190" s="551"/>
      <c r="T190" s="551"/>
      <c r="U190" s="551"/>
      <c r="V190" s="551"/>
      <c r="W190" s="551"/>
      <c r="X190" s="551"/>
      <c r="Y190" s="551"/>
      <c r="Z190" s="551"/>
      <c r="AA190" s="551"/>
      <c r="AB190" s="551"/>
      <c r="AC190" s="551"/>
      <c r="AD190" s="551"/>
      <c r="AE190" s="551"/>
      <c r="AF190" s="551"/>
      <c r="AG190" s="551"/>
      <c r="AH190" s="551"/>
      <c r="AI190" s="551"/>
      <c r="AJ190" s="551"/>
      <c r="AK190" s="551"/>
      <c r="AL190" s="551"/>
      <c r="AM190" s="551"/>
      <c r="AN190" s="551"/>
      <c r="AO190" s="551"/>
      <c r="AP190" s="551"/>
      <c r="AQ190" s="551"/>
      <c r="AR190" s="551"/>
      <c r="AS190" s="551"/>
      <c r="AT190" s="551"/>
      <c r="AU190" s="551"/>
      <c r="AV190" s="551"/>
      <c r="AW190" s="551"/>
      <c r="AX190" s="551"/>
      <c r="AY190" s="551"/>
      <c r="AZ190" s="551"/>
      <c r="BA190" s="551"/>
      <c r="BB190" s="551"/>
      <c r="BC190" s="551"/>
      <c r="BD190" s="551"/>
      <c r="BE190" s="551"/>
      <c r="BF190" s="551"/>
      <c r="BG190" s="551"/>
      <c r="BH190" s="551"/>
      <c r="BI190" s="551"/>
      <c r="BJ190" s="551"/>
    </row>
    <row r="191" spans="1:62" ht="12.75" customHeight="1">
      <c r="A191" s="551"/>
      <c r="B191" s="551"/>
      <c r="C191" s="551"/>
      <c r="D191" s="551"/>
      <c r="E191" s="551"/>
      <c r="F191" s="551"/>
      <c r="G191" s="551"/>
      <c r="H191" s="551"/>
      <c r="I191" s="551"/>
      <c r="J191" s="551"/>
      <c r="K191" s="551"/>
      <c r="L191" s="551"/>
      <c r="M191" s="551"/>
      <c r="N191" s="551"/>
      <c r="O191" s="551"/>
      <c r="P191" s="551"/>
      <c r="Q191" s="551"/>
      <c r="R191" s="551"/>
      <c r="S191" s="551"/>
      <c r="T191" s="551"/>
      <c r="U191" s="551"/>
      <c r="V191" s="551"/>
      <c r="W191" s="551"/>
      <c r="X191" s="551"/>
      <c r="Y191" s="551"/>
      <c r="Z191" s="551"/>
      <c r="AA191" s="551"/>
      <c r="AB191" s="551"/>
      <c r="AC191" s="551"/>
      <c r="AD191" s="551"/>
      <c r="AE191" s="551"/>
      <c r="AF191" s="551"/>
      <c r="AG191" s="551"/>
      <c r="AH191" s="551"/>
      <c r="AI191" s="551"/>
      <c r="AJ191" s="551"/>
      <c r="AK191" s="551"/>
      <c r="AL191" s="551"/>
      <c r="AM191" s="551"/>
      <c r="AN191" s="551"/>
      <c r="AO191" s="551"/>
      <c r="AP191" s="551"/>
      <c r="AQ191" s="551"/>
      <c r="AR191" s="551"/>
      <c r="AS191" s="551"/>
      <c r="AT191" s="551"/>
      <c r="AU191" s="551"/>
      <c r="AV191" s="551"/>
      <c r="AW191" s="551"/>
      <c r="AX191" s="551"/>
      <c r="AY191" s="551"/>
      <c r="AZ191" s="551"/>
      <c r="BA191" s="551"/>
      <c r="BB191" s="551"/>
      <c r="BC191" s="551"/>
      <c r="BD191" s="551"/>
      <c r="BE191" s="551"/>
      <c r="BF191" s="551"/>
      <c r="BG191" s="551"/>
      <c r="BH191" s="551"/>
      <c r="BI191" s="551"/>
      <c r="BJ191" s="551"/>
    </row>
    <row r="192" spans="1:62" ht="12.75" customHeight="1">
      <c r="A192" s="551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1"/>
      <c r="P192" s="551"/>
      <c r="Q192" s="551"/>
      <c r="R192" s="551"/>
      <c r="S192" s="551"/>
      <c r="T192" s="551"/>
      <c r="U192" s="551"/>
      <c r="V192" s="551"/>
      <c r="W192" s="551"/>
      <c r="X192" s="551"/>
      <c r="Y192" s="551"/>
      <c r="Z192" s="551"/>
      <c r="AA192" s="551"/>
      <c r="AB192" s="551"/>
      <c r="AC192" s="551"/>
      <c r="AD192" s="551"/>
      <c r="AE192" s="551"/>
      <c r="AF192" s="551"/>
      <c r="AG192" s="551"/>
      <c r="AH192" s="551"/>
      <c r="AI192" s="551"/>
      <c r="AJ192" s="551"/>
      <c r="AK192" s="551"/>
      <c r="AL192" s="551"/>
      <c r="AM192" s="551"/>
      <c r="AN192" s="551"/>
      <c r="AO192" s="551"/>
      <c r="AP192" s="551"/>
      <c r="AQ192" s="551"/>
      <c r="AR192" s="551"/>
      <c r="AS192" s="551"/>
      <c r="AT192" s="551"/>
      <c r="AU192" s="551"/>
      <c r="AV192" s="551"/>
      <c r="AW192" s="551"/>
      <c r="AX192" s="551"/>
      <c r="AY192" s="551"/>
      <c r="AZ192" s="551"/>
      <c r="BA192" s="551"/>
      <c r="BB192" s="551"/>
      <c r="BC192" s="551"/>
      <c r="BD192" s="551"/>
      <c r="BE192" s="551"/>
      <c r="BF192" s="551"/>
      <c r="BG192" s="551"/>
      <c r="BH192" s="551"/>
      <c r="BI192" s="551"/>
      <c r="BJ192" s="551"/>
    </row>
    <row r="193" spans="1:62" ht="12.75" customHeight="1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1"/>
      <c r="P193" s="551"/>
      <c r="Q193" s="551"/>
      <c r="R193" s="551"/>
      <c r="S193" s="551"/>
      <c r="T193" s="551"/>
      <c r="U193" s="551"/>
      <c r="V193" s="551"/>
      <c r="W193" s="551"/>
      <c r="X193" s="551"/>
      <c r="Y193" s="551"/>
      <c r="Z193" s="551"/>
      <c r="AA193" s="551"/>
      <c r="AB193" s="551"/>
      <c r="AC193" s="551"/>
      <c r="AD193" s="551"/>
      <c r="AE193" s="551"/>
      <c r="AF193" s="551"/>
      <c r="AG193" s="551"/>
      <c r="AH193" s="551"/>
      <c r="AI193" s="551"/>
      <c r="AJ193" s="551"/>
      <c r="AK193" s="551"/>
      <c r="AL193" s="551"/>
      <c r="AM193" s="551"/>
      <c r="AN193" s="551"/>
      <c r="AO193" s="551"/>
      <c r="AP193" s="551"/>
      <c r="AQ193" s="551"/>
      <c r="AR193" s="551"/>
      <c r="AS193" s="551"/>
      <c r="AT193" s="551"/>
      <c r="AU193" s="551"/>
      <c r="AV193" s="551"/>
      <c r="AW193" s="551"/>
      <c r="AX193" s="551"/>
      <c r="AY193" s="551"/>
      <c r="AZ193" s="551"/>
      <c r="BA193" s="551"/>
      <c r="BB193" s="551"/>
      <c r="BC193" s="551"/>
      <c r="BD193" s="551"/>
      <c r="BE193" s="551"/>
      <c r="BF193" s="551"/>
      <c r="BG193" s="551"/>
      <c r="BH193" s="551"/>
      <c r="BI193" s="551"/>
      <c r="BJ193" s="551"/>
    </row>
    <row r="194" spans="1:62" ht="12.75" customHeight="1">
      <c r="A194" s="551"/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51"/>
      <c r="AB194" s="551"/>
      <c r="AC194" s="551"/>
      <c r="AD194" s="551"/>
      <c r="AE194" s="551"/>
      <c r="AF194" s="551"/>
      <c r="AG194" s="551"/>
      <c r="AH194" s="551"/>
      <c r="AI194" s="551"/>
      <c r="AJ194" s="551"/>
      <c r="AK194" s="551"/>
      <c r="AL194" s="551"/>
      <c r="AM194" s="551"/>
      <c r="AN194" s="551"/>
      <c r="AO194" s="551"/>
      <c r="AP194" s="551"/>
      <c r="AQ194" s="551"/>
      <c r="AR194" s="551"/>
      <c r="AS194" s="551"/>
      <c r="AT194" s="551"/>
      <c r="AU194" s="551"/>
      <c r="AV194" s="551"/>
      <c r="AW194" s="551"/>
      <c r="AX194" s="551"/>
      <c r="AY194" s="551"/>
      <c r="AZ194" s="551"/>
      <c r="BA194" s="551"/>
      <c r="BB194" s="551"/>
      <c r="BC194" s="551"/>
      <c r="BD194" s="551"/>
      <c r="BE194" s="551"/>
      <c r="BF194" s="551"/>
      <c r="BG194" s="551"/>
      <c r="BH194" s="551"/>
      <c r="BI194" s="551"/>
      <c r="BJ194" s="551"/>
    </row>
    <row r="195" spans="1:62" ht="12.75" customHeight="1">
      <c r="A195" s="551"/>
      <c r="B195" s="551"/>
      <c r="C195" s="551"/>
      <c r="D195" s="551"/>
      <c r="E195" s="551"/>
      <c r="F195" s="551"/>
      <c r="G195" s="551"/>
      <c r="H195" s="551"/>
      <c r="I195" s="551"/>
      <c r="J195" s="551"/>
      <c r="K195" s="551"/>
      <c r="L195" s="551"/>
      <c r="M195" s="551"/>
      <c r="N195" s="551"/>
      <c r="O195" s="551"/>
      <c r="P195" s="551"/>
      <c r="Q195" s="551"/>
      <c r="R195" s="551"/>
      <c r="S195" s="551"/>
      <c r="T195" s="551"/>
      <c r="U195" s="551"/>
      <c r="V195" s="551"/>
      <c r="W195" s="551"/>
      <c r="X195" s="551"/>
      <c r="Y195" s="551"/>
      <c r="Z195" s="551"/>
      <c r="AA195" s="551"/>
      <c r="AB195" s="551"/>
      <c r="AC195" s="551"/>
      <c r="AD195" s="551"/>
      <c r="AE195" s="551"/>
      <c r="AF195" s="551"/>
      <c r="AG195" s="551"/>
      <c r="AH195" s="551"/>
      <c r="AI195" s="551"/>
      <c r="AJ195" s="551"/>
      <c r="AK195" s="551"/>
      <c r="AL195" s="551"/>
      <c r="AM195" s="551"/>
      <c r="AN195" s="551"/>
      <c r="AO195" s="551"/>
      <c r="AP195" s="551"/>
      <c r="AQ195" s="551"/>
      <c r="AR195" s="551"/>
      <c r="AS195" s="551"/>
      <c r="AT195" s="551"/>
      <c r="AU195" s="551"/>
      <c r="AV195" s="551"/>
      <c r="AW195" s="551"/>
      <c r="AX195" s="551"/>
      <c r="AY195" s="551"/>
      <c r="AZ195" s="551"/>
      <c r="BA195" s="551"/>
      <c r="BB195" s="551"/>
      <c r="BC195" s="551"/>
      <c r="BD195" s="551"/>
      <c r="BE195" s="551"/>
      <c r="BF195" s="551"/>
      <c r="BG195" s="551"/>
      <c r="BH195" s="551"/>
      <c r="BI195" s="551"/>
      <c r="BJ195" s="551"/>
    </row>
    <row r="196" spans="1:62" ht="12.75" customHeight="1">
      <c r="A196" s="551"/>
      <c r="B196" s="551"/>
      <c r="C196" s="551"/>
      <c r="D196" s="551"/>
      <c r="E196" s="551"/>
      <c r="F196" s="551"/>
      <c r="G196" s="551"/>
      <c r="H196" s="551"/>
      <c r="I196" s="551"/>
      <c r="J196" s="551"/>
      <c r="K196" s="551"/>
      <c r="L196" s="551"/>
      <c r="M196" s="551"/>
      <c r="N196" s="551"/>
      <c r="O196" s="551"/>
      <c r="P196" s="551"/>
      <c r="Q196" s="551"/>
      <c r="R196" s="551"/>
      <c r="S196" s="551"/>
      <c r="T196" s="551"/>
      <c r="U196" s="551"/>
      <c r="V196" s="551"/>
      <c r="W196" s="551"/>
      <c r="X196" s="551"/>
      <c r="Y196" s="551"/>
      <c r="Z196" s="551"/>
      <c r="AA196" s="551"/>
      <c r="AB196" s="551"/>
      <c r="AC196" s="551"/>
      <c r="AD196" s="551"/>
      <c r="AE196" s="551"/>
      <c r="AF196" s="551"/>
      <c r="AG196" s="551"/>
      <c r="AH196" s="551"/>
      <c r="AI196" s="551"/>
      <c r="AJ196" s="551"/>
      <c r="AK196" s="551"/>
      <c r="AL196" s="551"/>
      <c r="AM196" s="551"/>
      <c r="AN196" s="551"/>
      <c r="AO196" s="551"/>
      <c r="AP196" s="551"/>
      <c r="AQ196" s="551"/>
      <c r="AR196" s="551"/>
      <c r="AS196" s="551"/>
      <c r="AT196" s="551"/>
      <c r="AU196" s="551"/>
      <c r="AV196" s="551"/>
      <c r="AW196" s="551"/>
      <c r="AX196" s="551"/>
      <c r="AY196" s="551"/>
      <c r="AZ196" s="551"/>
      <c r="BA196" s="551"/>
      <c r="BB196" s="551"/>
      <c r="BC196" s="551"/>
      <c r="BD196" s="551"/>
      <c r="BE196" s="551"/>
      <c r="BF196" s="551"/>
      <c r="BG196" s="551"/>
      <c r="BH196" s="551"/>
      <c r="BI196" s="551"/>
      <c r="BJ196" s="551"/>
    </row>
    <row r="197" spans="1:62" ht="12.75" customHeight="1">
      <c r="A197" s="551"/>
      <c r="B197" s="551"/>
      <c r="C197" s="551"/>
      <c r="D197" s="551"/>
      <c r="E197" s="551"/>
      <c r="F197" s="551"/>
      <c r="G197" s="551"/>
      <c r="H197" s="551"/>
      <c r="I197" s="551"/>
      <c r="J197" s="551"/>
      <c r="K197" s="551"/>
      <c r="L197" s="551"/>
      <c r="M197" s="551"/>
      <c r="N197" s="551"/>
      <c r="O197" s="551"/>
      <c r="P197" s="551"/>
      <c r="Q197" s="551"/>
      <c r="R197" s="551"/>
      <c r="S197" s="551"/>
      <c r="T197" s="551"/>
      <c r="U197" s="551"/>
      <c r="V197" s="551"/>
      <c r="W197" s="551"/>
      <c r="X197" s="551"/>
      <c r="Y197" s="551"/>
      <c r="Z197" s="551"/>
      <c r="AA197" s="551"/>
      <c r="AB197" s="551"/>
      <c r="AC197" s="551"/>
      <c r="AD197" s="551"/>
      <c r="AE197" s="551"/>
      <c r="AF197" s="551"/>
      <c r="AG197" s="551"/>
      <c r="AH197" s="551"/>
      <c r="AI197" s="551"/>
      <c r="AJ197" s="551"/>
      <c r="AK197" s="551"/>
      <c r="AL197" s="551"/>
      <c r="AM197" s="551"/>
      <c r="AN197" s="551"/>
      <c r="AO197" s="551"/>
      <c r="AP197" s="551"/>
      <c r="AQ197" s="551"/>
      <c r="AR197" s="551"/>
      <c r="AS197" s="551"/>
      <c r="AT197" s="551"/>
      <c r="AU197" s="551"/>
      <c r="AV197" s="551"/>
      <c r="AW197" s="551"/>
      <c r="AX197" s="551"/>
      <c r="AY197" s="551"/>
      <c r="AZ197" s="551"/>
      <c r="BA197" s="551"/>
      <c r="BB197" s="551"/>
      <c r="BC197" s="551"/>
      <c r="BD197" s="551"/>
      <c r="BE197" s="551"/>
      <c r="BF197" s="551"/>
      <c r="BG197" s="551"/>
      <c r="BH197" s="551"/>
      <c r="BI197" s="551"/>
      <c r="BJ197" s="551"/>
    </row>
    <row r="198" spans="1:62" ht="12.75" customHeight="1">
      <c r="A198" s="551"/>
      <c r="B198" s="551"/>
      <c r="C198" s="551"/>
      <c r="D198" s="551"/>
      <c r="E198" s="551"/>
      <c r="F198" s="551"/>
      <c r="G198" s="551"/>
      <c r="H198" s="551"/>
      <c r="I198" s="551"/>
      <c r="J198" s="551"/>
      <c r="K198" s="551"/>
      <c r="L198" s="551"/>
      <c r="M198" s="551"/>
      <c r="N198" s="551"/>
      <c r="O198" s="551"/>
      <c r="P198" s="551"/>
      <c r="Q198" s="551"/>
      <c r="R198" s="551"/>
      <c r="S198" s="551"/>
      <c r="T198" s="551"/>
      <c r="U198" s="551"/>
      <c r="V198" s="551"/>
      <c r="W198" s="551"/>
      <c r="X198" s="551"/>
      <c r="Y198" s="551"/>
      <c r="Z198" s="551"/>
      <c r="AA198" s="551"/>
      <c r="AB198" s="551"/>
      <c r="AC198" s="551"/>
      <c r="AD198" s="551"/>
      <c r="AE198" s="551"/>
      <c r="AF198" s="551"/>
      <c r="AG198" s="551"/>
      <c r="AH198" s="551"/>
      <c r="AI198" s="551"/>
      <c r="AJ198" s="551"/>
      <c r="AK198" s="551"/>
      <c r="AL198" s="551"/>
      <c r="AM198" s="551"/>
      <c r="AN198" s="551"/>
      <c r="AO198" s="551"/>
      <c r="AP198" s="551"/>
      <c r="AQ198" s="551"/>
      <c r="AR198" s="551"/>
      <c r="AS198" s="551"/>
      <c r="AT198" s="551"/>
      <c r="AU198" s="551"/>
      <c r="AV198" s="551"/>
      <c r="AW198" s="551"/>
      <c r="AX198" s="551"/>
      <c r="AY198" s="551"/>
      <c r="AZ198" s="551"/>
      <c r="BA198" s="551"/>
      <c r="BB198" s="551"/>
      <c r="BC198" s="551"/>
      <c r="BD198" s="551"/>
      <c r="BE198" s="551"/>
      <c r="BF198" s="551"/>
      <c r="BG198" s="551"/>
      <c r="BH198" s="551"/>
      <c r="BI198" s="551"/>
      <c r="BJ198" s="551"/>
    </row>
    <row r="199" spans="1:62" ht="12.75" customHeight="1">
      <c r="A199" s="551"/>
      <c r="B199" s="551"/>
      <c r="C199" s="551"/>
      <c r="D199" s="551"/>
      <c r="E199" s="551"/>
      <c r="F199" s="551"/>
      <c r="G199" s="551"/>
      <c r="H199" s="551"/>
      <c r="I199" s="551"/>
      <c r="J199" s="551"/>
      <c r="K199" s="551"/>
      <c r="L199" s="551"/>
      <c r="M199" s="551"/>
      <c r="N199" s="551"/>
      <c r="O199" s="551"/>
      <c r="P199" s="551"/>
      <c r="Q199" s="551"/>
      <c r="R199" s="551"/>
      <c r="S199" s="551"/>
      <c r="T199" s="551"/>
      <c r="U199" s="551"/>
      <c r="V199" s="551"/>
      <c r="W199" s="551"/>
      <c r="X199" s="551"/>
      <c r="Y199" s="551"/>
      <c r="Z199" s="551"/>
      <c r="AA199" s="551"/>
      <c r="AB199" s="551"/>
      <c r="AC199" s="551"/>
      <c r="AD199" s="551"/>
      <c r="AE199" s="551"/>
      <c r="AF199" s="551"/>
      <c r="AG199" s="551"/>
      <c r="AH199" s="551"/>
      <c r="AI199" s="551"/>
      <c r="AJ199" s="551"/>
      <c r="AK199" s="551"/>
      <c r="AL199" s="551"/>
      <c r="AM199" s="551"/>
      <c r="AN199" s="551"/>
      <c r="AO199" s="551"/>
      <c r="AP199" s="551"/>
      <c r="AQ199" s="551"/>
      <c r="AR199" s="551"/>
      <c r="AS199" s="551"/>
      <c r="AT199" s="551"/>
      <c r="AU199" s="551"/>
      <c r="AV199" s="551"/>
      <c r="AW199" s="551"/>
      <c r="AX199" s="551"/>
      <c r="AY199" s="551"/>
      <c r="AZ199" s="551"/>
      <c r="BA199" s="551"/>
      <c r="BB199" s="551"/>
      <c r="BC199" s="551"/>
      <c r="BD199" s="551"/>
      <c r="BE199" s="551"/>
      <c r="BF199" s="551"/>
      <c r="BG199" s="551"/>
      <c r="BH199" s="551"/>
      <c r="BI199" s="551"/>
      <c r="BJ199" s="551"/>
    </row>
    <row r="200" spans="1:62" ht="12.75" customHeight="1">
      <c r="A200" s="551"/>
      <c r="B200" s="551"/>
      <c r="C200" s="551"/>
      <c r="D200" s="551"/>
      <c r="E200" s="551"/>
      <c r="F200" s="551"/>
      <c r="G200" s="551"/>
      <c r="H200" s="551"/>
      <c r="I200" s="551"/>
      <c r="J200" s="551"/>
      <c r="K200" s="551"/>
      <c r="L200" s="551"/>
      <c r="M200" s="551"/>
      <c r="N200" s="551"/>
      <c r="O200" s="551"/>
      <c r="P200" s="551"/>
      <c r="Q200" s="551"/>
      <c r="R200" s="551"/>
      <c r="S200" s="551"/>
      <c r="T200" s="551"/>
      <c r="U200" s="551"/>
      <c r="V200" s="551"/>
      <c r="W200" s="551"/>
      <c r="X200" s="551"/>
      <c r="Y200" s="551"/>
      <c r="Z200" s="551"/>
      <c r="AA200" s="551"/>
      <c r="AB200" s="551"/>
      <c r="AC200" s="551"/>
      <c r="AD200" s="551"/>
      <c r="AE200" s="551"/>
      <c r="AF200" s="551"/>
      <c r="AG200" s="551"/>
      <c r="AH200" s="551"/>
      <c r="AI200" s="551"/>
      <c r="AJ200" s="551"/>
      <c r="AK200" s="551"/>
      <c r="AL200" s="551"/>
      <c r="AM200" s="551"/>
      <c r="AN200" s="551"/>
      <c r="AO200" s="551"/>
      <c r="AP200" s="551"/>
      <c r="AQ200" s="551"/>
      <c r="AR200" s="551"/>
      <c r="AS200" s="551"/>
      <c r="AT200" s="551"/>
      <c r="AU200" s="551"/>
      <c r="AV200" s="551"/>
      <c r="AW200" s="551"/>
      <c r="AX200" s="551"/>
      <c r="AY200" s="551"/>
      <c r="AZ200" s="551"/>
      <c r="BA200" s="551"/>
      <c r="BB200" s="551"/>
      <c r="BC200" s="551"/>
      <c r="BD200" s="551"/>
      <c r="BE200" s="551"/>
      <c r="BF200" s="551"/>
      <c r="BG200" s="551"/>
      <c r="BH200" s="551"/>
      <c r="BI200" s="551"/>
      <c r="BJ200" s="551"/>
    </row>
    <row r="201" spans="1:62" ht="12.75" customHeight="1">
      <c r="A201" s="551"/>
      <c r="B201" s="551"/>
      <c r="C201" s="551"/>
      <c r="D201" s="551"/>
      <c r="E201" s="551"/>
      <c r="F201" s="551"/>
      <c r="G201" s="551"/>
      <c r="H201" s="551"/>
      <c r="I201" s="551"/>
      <c r="J201" s="551"/>
      <c r="K201" s="551"/>
      <c r="L201" s="551"/>
      <c r="M201" s="551"/>
      <c r="N201" s="551"/>
      <c r="O201" s="551"/>
      <c r="P201" s="551"/>
      <c r="Q201" s="551"/>
      <c r="R201" s="551"/>
      <c r="S201" s="551"/>
      <c r="T201" s="551"/>
      <c r="U201" s="551"/>
      <c r="V201" s="551"/>
      <c r="W201" s="551"/>
      <c r="X201" s="551"/>
      <c r="Y201" s="551"/>
      <c r="Z201" s="551"/>
      <c r="AA201" s="551"/>
      <c r="AB201" s="551"/>
      <c r="AC201" s="551"/>
      <c r="AD201" s="551"/>
      <c r="AE201" s="551"/>
      <c r="AF201" s="551"/>
      <c r="AG201" s="551"/>
      <c r="AH201" s="551"/>
      <c r="AI201" s="551"/>
      <c r="AJ201" s="551"/>
      <c r="AK201" s="551"/>
      <c r="AL201" s="551"/>
      <c r="AM201" s="551"/>
      <c r="AN201" s="551"/>
      <c r="AO201" s="551"/>
      <c r="AP201" s="551"/>
      <c r="AQ201" s="551"/>
      <c r="AR201" s="551"/>
      <c r="AS201" s="551"/>
      <c r="AT201" s="551"/>
      <c r="AU201" s="551"/>
      <c r="AV201" s="551"/>
      <c r="AW201" s="551"/>
      <c r="AX201" s="551"/>
      <c r="AY201" s="551"/>
      <c r="AZ201" s="551"/>
      <c r="BA201" s="551"/>
      <c r="BB201" s="551"/>
      <c r="BC201" s="551"/>
      <c r="BD201" s="551"/>
      <c r="BE201" s="551"/>
      <c r="BF201" s="551"/>
      <c r="BG201" s="551"/>
      <c r="BH201" s="551"/>
      <c r="BI201" s="551"/>
      <c r="BJ201" s="551"/>
    </row>
    <row r="202" spans="1:62" ht="12.75" customHeight="1">
      <c r="A202" s="551"/>
      <c r="B202" s="551"/>
      <c r="C202" s="551"/>
      <c r="D202" s="551"/>
      <c r="E202" s="551"/>
      <c r="F202" s="551"/>
      <c r="G202" s="551"/>
      <c r="H202" s="551"/>
      <c r="I202" s="551"/>
      <c r="J202" s="551"/>
      <c r="K202" s="551"/>
      <c r="L202" s="551"/>
      <c r="M202" s="551"/>
      <c r="N202" s="551"/>
      <c r="O202" s="551"/>
      <c r="P202" s="551"/>
      <c r="Q202" s="551"/>
      <c r="R202" s="551"/>
      <c r="S202" s="551"/>
      <c r="T202" s="551"/>
      <c r="U202" s="551"/>
      <c r="V202" s="551"/>
      <c r="W202" s="551"/>
      <c r="X202" s="551"/>
      <c r="Y202" s="551"/>
      <c r="Z202" s="551"/>
      <c r="AA202" s="551"/>
      <c r="AB202" s="551"/>
      <c r="AC202" s="551"/>
      <c r="AD202" s="551"/>
      <c r="AE202" s="551"/>
      <c r="AF202" s="551"/>
      <c r="AG202" s="551"/>
      <c r="AH202" s="551"/>
      <c r="AI202" s="551"/>
      <c r="AJ202" s="551"/>
      <c r="AK202" s="551"/>
      <c r="AL202" s="551"/>
      <c r="AM202" s="551"/>
      <c r="AN202" s="551"/>
      <c r="AO202" s="551"/>
      <c r="AP202" s="551"/>
      <c r="AQ202" s="551"/>
      <c r="AR202" s="551"/>
      <c r="AS202" s="551"/>
      <c r="AT202" s="551"/>
      <c r="AU202" s="551"/>
      <c r="AV202" s="551"/>
      <c r="AW202" s="551"/>
      <c r="AX202" s="551"/>
      <c r="AY202" s="551"/>
      <c r="AZ202" s="551"/>
      <c r="BA202" s="551"/>
      <c r="BB202" s="551"/>
      <c r="BC202" s="551"/>
      <c r="BD202" s="551"/>
      <c r="BE202" s="551"/>
      <c r="BF202" s="551"/>
      <c r="BG202" s="551"/>
      <c r="BH202" s="551"/>
      <c r="BI202" s="551"/>
      <c r="BJ202" s="551"/>
    </row>
    <row r="203" spans="1:62" ht="12.75" customHeight="1">
      <c r="A203" s="551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1"/>
      <c r="P203" s="551"/>
      <c r="Q203" s="551"/>
      <c r="R203" s="551"/>
      <c r="S203" s="551"/>
      <c r="T203" s="551"/>
      <c r="U203" s="551"/>
      <c r="V203" s="551"/>
      <c r="W203" s="551"/>
      <c r="X203" s="551"/>
      <c r="Y203" s="551"/>
      <c r="Z203" s="551"/>
      <c r="AA203" s="551"/>
      <c r="AB203" s="551"/>
      <c r="AC203" s="551"/>
      <c r="AD203" s="551"/>
      <c r="AE203" s="551"/>
      <c r="AF203" s="551"/>
      <c r="AG203" s="551"/>
      <c r="AH203" s="551"/>
      <c r="AI203" s="551"/>
      <c r="AJ203" s="551"/>
      <c r="AK203" s="551"/>
      <c r="AL203" s="551"/>
      <c r="AM203" s="551"/>
      <c r="AN203" s="551"/>
      <c r="AO203" s="551"/>
      <c r="AP203" s="551"/>
      <c r="AQ203" s="551"/>
      <c r="AR203" s="551"/>
      <c r="AS203" s="551"/>
      <c r="AT203" s="551"/>
      <c r="AU203" s="551"/>
      <c r="AV203" s="551"/>
      <c r="AW203" s="551"/>
      <c r="AX203" s="551"/>
      <c r="AY203" s="551"/>
      <c r="AZ203" s="551"/>
      <c r="BA203" s="551"/>
      <c r="BB203" s="551"/>
      <c r="BC203" s="551"/>
      <c r="BD203" s="551"/>
      <c r="BE203" s="551"/>
      <c r="BF203" s="551"/>
      <c r="BG203" s="551"/>
      <c r="BH203" s="551"/>
      <c r="BI203" s="551"/>
      <c r="BJ203" s="551"/>
    </row>
    <row r="204" spans="1:62" ht="12.75" customHeight="1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1"/>
      <c r="P204" s="551"/>
      <c r="Q204" s="551"/>
      <c r="R204" s="551"/>
      <c r="S204" s="551"/>
      <c r="T204" s="551"/>
      <c r="U204" s="551"/>
      <c r="V204" s="551"/>
      <c r="W204" s="551"/>
      <c r="X204" s="551"/>
      <c r="Y204" s="551"/>
      <c r="Z204" s="551"/>
      <c r="AA204" s="551"/>
      <c r="AB204" s="551"/>
      <c r="AC204" s="551"/>
      <c r="AD204" s="551"/>
      <c r="AE204" s="551"/>
      <c r="AF204" s="551"/>
      <c r="AG204" s="551"/>
      <c r="AH204" s="551"/>
      <c r="AI204" s="551"/>
      <c r="AJ204" s="551"/>
      <c r="AK204" s="551"/>
      <c r="AL204" s="551"/>
      <c r="AM204" s="551"/>
      <c r="AN204" s="551"/>
      <c r="AO204" s="551"/>
      <c r="AP204" s="551"/>
      <c r="AQ204" s="551"/>
      <c r="AR204" s="551"/>
      <c r="AS204" s="551"/>
      <c r="AT204" s="551"/>
      <c r="AU204" s="551"/>
      <c r="AV204" s="551"/>
      <c r="AW204" s="551"/>
      <c r="AX204" s="551"/>
      <c r="AY204" s="551"/>
      <c r="AZ204" s="551"/>
      <c r="BA204" s="551"/>
      <c r="BB204" s="551"/>
      <c r="BC204" s="551"/>
      <c r="BD204" s="551"/>
      <c r="BE204" s="551"/>
      <c r="BF204" s="551"/>
      <c r="BG204" s="551"/>
      <c r="BH204" s="551"/>
      <c r="BI204" s="551"/>
      <c r="BJ204" s="551"/>
    </row>
    <row r="205" spans="1:62" ht="12.75" customHeight="1">
      <c r="A205" s="551"/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51"/>
      <c r="AB205" s="551"/>
      <c r="AC205" s="551"/>
      <c r="AD205" s="551"/>
      <c r="AE205" s="551"/>
      <c r="AF205" s="551"/>
      <c r="AG205" s="551"/>
      <c r="AH205" s="551"/>
      <c r="AI205" s="551"/>
      <c r="AJ205" s="551"/>
      <c r="AK205" s="551"/>
      <c r="AL205" s="551"/>
      <c r="AM205" s="551"/>
      <c r="AN205" s="551"/>
      <c r="AO205" s="551"/>
      <c r="AP205" s="551"/>
      <c r="AQ205" s="551"/>
      <c r="AR205" s="551"/>
      <c r="AS205" s="551"/>
      <c r="AT205" s="551"/>
      <c r="AU205" s="551"/>
      <c r="AV205" s="551"/>
      <c r="AW205" s="551"/>
      <c r="AX205" s="551"/>
      <c r="AY205" s="551"/>
      <c r="AZ205" s="551"/>
      <c r="BA205" s="551"/>
      <c r="BB205" s="551"/>
      <c r="BC205" s="551"/>
      <c r="BD205" s="551"/>
      <c r="BE205" s="551"/>
      <c r="BF205" s="551"/>
      <c r="BG205" s="551"/>
      <c r="BH205" s="551"/>
      <c r="BI205" s="551"/>
      <c r="BJ205" s="551"/>
    </row>
    <row r="206" spans="1:62" ht="12.75" customHeight="1">
      <c r="A206" s="551"/>
      <c r="B206" s="551"/>
      <c r="C206" s="551"/>
      <c r="D206" s="551"/>
      <c r="E206" s="551"/>
      <c r="F206" s="551"/>
      <c r="G206" s="551"/>
      <c r="H206" s="551"/>
      <c r="I206" s="551"/>
      <c r="J206" s="551"/>
      <c r="K206" s="551"/>
      <c r="L206" s="551"/>
      <c r="M206" s="551"/>
      <c r="N206" s="551"/>
      <c r="O206" s="551"/>
      <c r="P206" s="551"/>
      <c r="Q206" s="551"/>
      <c r="R206" s="551"/>
      <c r="S206" s="551"/>
      <c r="T206" s="551"/>
      <c r="U206" s="551"/>
      <c r="V206" s="551"/>
      <c r="W206" s="551"/>
      <c r="X206" s="551"/>
      <c r="Y206" s="551"/>
      <c r="Z206" s="551"/>
      <c r="AA206" s="551"/>
      <c r="AB206" s="551"/>
      <c r="AC206" s="551"/>
      <c r="AD206" s="551"/>
      <c r="AE206" s="551"/>
      <c r="AF206" s="551"/>
      <c r="AG206" s="551"/>
      <c r="AH206" s="551"/>
      <c r="AI206" s="551"/>
      <c r="AJ206" s="551"/>
      <c r="AK206" s="551"/>
      <c r="AL206" s="551"/>
      <c r="AM206" s="551"/>
      <c r="AN206" s="551"/>
      <c r="AO206" s="551"/>
      <c r="AP206" s="551"/>
      <c r="AQ206" s="551"/>
      <c r="AR206" s="551"/>
      <c r="AS206" s="551"/>
      <c r="AT206" s="551"/>
      <c r="AU206" s="551"/>
      <c r="AV206" s="551"/>
      <c r="AW206" s="551"/>
      <c r="AX206" s="551"/>
      <c r="AY206" s="551"/>
      <c r="AZ206" s="551"/>
      <c r="BA206" s="551"/>
      <c r="BB206" s="551"/>
      <c r="BC206" s="551"/>
      <c r="BD206" s="551"/>
      <c r="BE206" s="551"/>
      <c r="BF206" s="551"/>
      <c r="BG206" s="551"/>
      <c r="BH206" s="551"/>
      <c r="BI206" s="551"/>
      <c r="BJ206" s="551"/>
    </row>
    <row r="207" spans="1:62" ht="12.75" customHeight="1">
      <c r="A207" s="551"/>
      <c r="B207" s="551"/>
      <c r="C207" s="551"/>
      <c r="D207" s="551"/>
      <c r="E207" s="551"/>
      <c r="F207" s="551"/>
      <c r="G207" s="551"/>
      <c r="H207" s="551"/>
      <c r="I207" s="551"/>
      <c r="J207" s="551"/>
      <c r="K207" s="551"/>
      <c r="L207" s="551"/>
      <c r="M207" s="551"/>
      <c r="N207" s="551"/>
      <c r="O207" s="551"/>
      <c r="P207" s="551"/>
      <c r="Q207" s="551"/>
      <c r="R207" s="551"/>
      <c r="S207" s="551"/>
      <c r="T207" s="551"/>
      <c r="U207" s="551"/>
      <c r="V207" s="551"/>
      <c r="W207" s="551"/>
      <c r="X207" s="551"/>
      <c r="Y207" s="551"/>
      <c r="Z207" s="551"/>
      <c r="AA207" s="551"/>
      <c r="AB207" s="551"/>
      <c r="AC207" s="551"/>
      <c r="AD207" s="551"/>
      <c r="AE207" s="551"/>
      <c r="AF207" s="551"/>
      <c r="AG207" s="551"/>
      <c r="AH207" s="551"/>
      <c r="AI207" s="551"/>
      <c r="AJ207" s="551"/>
      <c r="AK207" s="551"/>
      <c r="AL207" s="551"/>
      <c r="AM207" s="551"/>
      <c r="AN207" s="551"/>
      <c r="AO207" s="551"/>
      <c r="AP207" s="551"/>
      <c r="AQ207" s="551"/>
      <c r="AR207" s="551"/>
      <c r="AS207" s="551"/>
      <c r="AT207" s="551"/>
      <c r="AU207" s="551"/>
      <c r="AV207" s="551"/>
      <c r="AW207" s="551"/>
      <c r="AX207" s="551"/>
      <c r="AY207" s="551"/>
      <c r="AZ207" s="551"/>
      <c r="BA207" s="551"/>
      <c r="BB207" s="551"/>
      <c r="BC207" s="551"/>
      <c r="BD207" s="551"/>
      <c r="BE207" s="551"/>
      <c r="BF207" s="551"/>
      <c r="BG207" s="551"/>
      <c r="BH207" s="551"/>
      <c r="BI207" s="551"/>
      <c r="BJ207" s="551"/>
    </row>
    <row r="208" spans="1:62" ht="12.75" customHeight="1">
      <c r="A208" s="551"/>
      <c r="B208" s="551"/>
      <c r="C208" s="551"/>
      <c r="D208" s="551"/>
      <c r="E208" s="551"/>
      <c r="F208" s="551"/>
      <c r="G208" s="551"/>
      <c r="H208" s="551"/>
      <c r="I208" s="551"/>
      <c r="J208" s="551"/>
      <c r="K208" s="551"/>
      <c r="L208" s="551"/>
      <c r="M208" s="551"/>
      <c r="N208" s="551"/>
      <c r="O208" s="551"/>
      <c r="P208" s="551"/>
      <c r="Q208" s="551"/>
      <c r="R208" s="551"/>
      <c r="S208" s="551"/>
      <c r="T208" s="551"/>
      <c r="U208" s="551"/>
      <c r="V208" s="551"/>
      <c r="W208" s="551"/>
      <c r="X208" s="551"/>
      <c r="Y208" s="551"/>
      <c r="Z208" s="551"/>
      <c r="AA208" s="551"/>
      <c r="AB208" s="551"/>
      <c r="AC208" s="551"/>
      <c r="AD208" s="551"/>
      <c r="AE208" s="551"/>
      <c r="AF208" s="551"/>
      <c r="AG208" s="551"/>
      <c r="AH208" s="551"/>
      <c r="AI208" s="551"/>
      <c r="AJ208" s="551"/>
      <c r="AK208" s="551"/>
      <c r="AL208" s="551"/>
      <c r="AM208" s="551"/>
      <c r="AN208" s="551"/>
      <c r="AO208" s="551"/>
      <c r="AP208" s="551"/>
      <c r="AQ208" s="551"/>
      <c r="AR208" s="551"/>
      <c r="AS208" s="551"/>
      <c r="AT208" s="551"/>
      <c r="AU208" s="551"/>
      <c r="AV208" s="551"/>
      <c r="AW208" s="551"/>
      <c r="AX208" s="551"/>
      <c r="AY208" s="551"/>
      <c r="AZ208" s="551"/>
      <c r="BA208" s="551"/>
      <c r="BB208" s="551"/>
      <c r="BC208" s="551"/>
      <c r="BD208" s="551"/>
      <c r="BE208" s="551"/>
      <c r="BF208" s="551"/>
      <c r="BG208" s="551"/>
      <c r="BH208" s="551"/>
      <c r="BI208" s="551"/>
      <c r="BJ208" s="551"/>
    </row>
    <row r="209" spans="1:62" ht="12.75" customHeight="1">
      <c r="A209" s="551"/>
      <c r="B209" s="551"/>
      <c r="C209" s="551"/>
      <c r="D209" s="551"/>
      <c r="E209" s="551"/>
      <c r="F209" s="551"/>
      <c r="G209" s="551"/>
      <c r="H209" s="551"/>
      <c r="I209" s="551"/>
      <c r="J209" s="551"/>
      <c r="K209" s="551"/>
      <c r="L209" s="551"/>
      <c r="M209" s="551"/>
      <c r="N209" s="551"/>
      <c r="O209" s="551"/>
      <c r="P209" s="551"/>
      <c r="Q209" s="551"/>
      <c r="R209" s="551"/>
      <c r="S209" s="551"/>
      <c r="T209" s="551"/>
      <c r="U209" s="551"/>
      <c r="V209" s="551"/>
      <c r="W209" s="551"/>
      <c r="X209" s="551"/>
      <c r="Y209" s="551"/>
      <c r="Z209" s="551"/>
      <c r="AA209" s="551"/>
      <c r="AB209" s="551"/>
      <c r="AC209" s="551"/>
      <c r="AD209" s="551"/>
      <c r="AE209" s="551"/>
      <c r="AF209" s="551"/>
      <c r="AG209" s="551"/>
      <c r="AH209" s="551"/>
      <c r="AI209" s="551"/>
      <c r="AJ209" s="551"/>
      <c r="AK209" s="551"/>
      <c r="AL209" s="551"/>
      <c r="AM209" s="551"/>
      <c r="AN209" s="551"/>
      <c r="AO209" s="551"/>
      <c r="AP209" s="551"/>
      <c r="AQ209" s="551"/>
      <c r="AR209" s="551"/>
      <c r="AS209" s="551"/>
      <c r="AT209" s="551"/>
      <c r="AU209" s="551"/>
      <c r="AV209" s="551"/>
      <c r="AW209" s="551"/>
      <c r="AX209" s="551"/>
      <c r="AY209" s="551"/>
      <c r="AZ209" s="551"/>
      <c r="BA209" s="551"/>
      <c r="BB209" s="551"/>
      <c r="BC209" s="551"/>
      <c r="BD209" s="551"/>
      <c r="BE209" s="551"/>
      <c r="BF209" s="551"/>
      <c r="BG209" s="551"/>
      <c r="BH209" s="551"/>
      <c r="BI209" s="551"/>
      <c r="BJ209" s="551"/>
    </row>
    <row r="210" spans="1:62" ht="12.75" customHeight="1">
      <c r="A210" s="551"/>
      <c r="B210" s="551"/>
      <c r="C210" s="551"/>
      <c r="D210" s="551"/>
      <c r="E210" s="551"/>
      <c r="F210" s="551"/>
      <c r="G210" s="551"/>
      <c r="H210" s="551"/>
      <c r="I210" s="551"/>
      <c r="J210" s="551"/>
      <c r="K210" s="551"/>
      <c r="L210" s="551"/>
      <c r="M210" s="551"/>
      <c r="N210" s="551"/>
      <c r="O210" s="551"/>
      <c r="P210" s="551"/>
      <c r="Q210" s="551"/>
      <c r="R210" s="551"/>
      <c r="S210" s="551"/>
      <c r="T210" s="551"/>
      <c r="U210" s="551"/>
      <c r="V210" s="551"/>
      <c r="W210" s="551"/>
      <c r="X210" s="551"/>
      <c r="Y210" s="551"/>
      <c r="Z210" s="551"/>
      <c r="AA210" s="551"/>
      <c r="AB210" s="551"/>
      <c r="AC210" s="551"/>
      <c r="AD210" s="551"/>
      <c r="AE210" s="551"/>
      <c r="AF210" s="551"/>
      <c r="AG210" s="551"/>
      <c r="AH210" s="551"/>
      <c r="AI210" s="551"/>
      <c r="AJ210" s="551"/>
      <c r="AK210" s="551"/>
      <c r="AL210" s="551"/>
      <c r="AM210" s="551"/>
      <c r="AN210" s="551"/>
      <c r="AO210" s="551"/>
      <c r="AP210" s="551"/>
      <c r="AQ210" s="551"/>
      <c r="AR210" s="551"/>
      <c r="AS210" s="551"/>
      <c r="AT210" s="551"/>
      <c r="AU210" s="551"/>
      <c r="AV210" s="551"/>
      <c r="AW210" s="551"/>
      <c r="AX210" s="551"/>
      <c r="AY210" s="551"/>
      <c r="AZ210" s="551"/>
      <c r="BA210" s="551"/>
      <c r="BB210" s="551"/>
      <c r="BC210" s="551"/>
      <c r="BD210" s="551"/>
      <c r="BE210" s="551"/>
      <c r="BF210" s="551"/>
      <c r="BG210" s="551"/>
      <c r="BH210" s="551"/>
      <c r="BI210" s="551"/>
      <c r="BJ210" s="551"/>
    </row>
    <row r="211" spans="1:62" ht="12.75" customHeight="1">
      <c r="A211" s="551"/>
      <c r="B211" s="551"/>
      <c r="C211" s="551"/>
      <c r="D211" s="551"/>
      <c r="E211" s="551"/>
      <c r="F211" s="551"/>
      <c r="G211" s="551"/>
      <c r="H211" s="551"/>
      <c r="I211" s="551"/>
      <c r="J211" s="551"/>
      <c r="K211" s="551"/>
      <c r="L211" s="551"/>
      <c r="M211" s="551"/>
      <c r="N211" s="551"/>
      <c r="O211" s="551"/>
      <c r="P211" s="551"/>
      <c r="Q211" s="551"/>
      <c r="R211" s="551"/>
      <c r="S211" s="551"/>
      <c r="T211" s="551"/>
      <c r="U211" s="551"/>
      <c r="V211" s="551"/>
      <c r="W211" s="551"/>
      <c r="X211" s="551"/>
      <c r="Y211" s="551"/>
      <c r="Z211" s="551"/>
      <c r="AA211" s="551"/>
      <c r="AB211" s="551"/>
      <c r="AC211" s="551"/>
      <c r="AD211" s="551"/>
      <c r="AE211" s="551"/>
      <c r="AF211" s="551"/>
      <c r="AG211" s="551"/>
      <c r="AH211" s="551"/>
      <c r="AI211" s="551"/>
      <c r="AJ211" s="551"/>
      <c r="AK211" s="551"/>
      <c r="AL211" s="551"/>
      <c r="AM211" s="551"/>
      <c r="AN211" s="551"/>
      <c r="AO211" s="551"/>
      <c r="AP211" s="551"/>
      <c r="AQ211" s="551"/>
      <c r="AR211" s="551"/>
      <c r="AS211" s="551"/>
      <c r="AT211" s="551"/>
      <c r="AU211" s="551"/>
      <c r="AV211" s="551"/>
      <c r="AW211" s="551"/>
      <c r="AX211" s="551"/>
      <c r="AY211" s="551"/>
      <c r="AZ211" s="551"/>
      <c r="BA211" s="551"/>
      <c r="BB211" s="551"/>
      <c r="BC211" s="551"/>
      <c r="BD211" s="551"/>
      <c r="BE211" s="551"/>
      <c r="BF211" s="551"/>
      <c r="BG211" s="551"/>
      <c r="BH211" s="551"/>
      <c r="BI211" s="551"/>
      <c r="BJ211" s="551"/>
    </row>
    <row r="212" spans="1:62" ht="12.75" customHeight="1">
      <c r="A212" s="551"/>
      <c r="B212" s="551"/>
      <c r="C212" s="551"/>
      <c r="D212" s="551"/>
      <c r="E212" s="551"/>
      <c r="F212" s="551"/>
      <c r="G212" s="551"/>
      <c r="H212" s="551"/>
      <c r="I212" s="551"/>
      <c r="J212" s="551"/>
      <c r="K212" s="551"/>
      <c r="L212" s="551"/>
      <c r="M212" s="551"/>
      <c r="N212" s="551"/>
      <c r="O212" s="551"/>
      <c r="P212" s="551"/>
      <c r="Q212" s="551"/>
      <c r="R212" s="551"/>
      <c r="S212" s="551"/>
      <c r="T212" s="551"/>
      <c r="U212" s="551"/>
      <c r="V212" s="551"/>
      <c r="W212" s="551"/>
      <c r="X212" s="551"/>
      <c r="Y212" s="551"/>
      <c r="Z212" s="551"/>
      <c r="AA212" s="551"/>
      <c r="AB212" s="551"/>
      <c r="AC212" s="551"/>
      <c r="AD212" s="551"/>
      <c r="AE212" s="551"/>
      <c r="AF212" s="551"/>
      <c r="AG212" s="551"/>
      <c r="AH212" s="551"/>
      <c r="AI212" s="551"/>
      <c r="AJ212" s="551"/>
      <c r="AK212" s="551"/>
      <c r="AL212" s="551"/>
      <c r="AM212" s="551"/>
      <c r="AN212" s="551"/>
      <c r="AO212" s="551"/>
      <c r="AP212" s="551"/>
      <c r="AQ212" s="551"/>
      <c r="AR212" s="551"/>
      <c r="AS212" s="551"/>
      <c r="AT212" s="551"/>
      <c r="AU212" s="551"/>
      <c r="AV212" s="551"/>
      <c r="AW212" s="551"/>
      <c r="AX212" s="551"/>
      <c r="AY212" s="551"/>
      <c r="AZ212" s="551"/>
      <c r="BA212" s="551"/>
      <c r="BB212" s="551"/>
      <c r="BC212" s="551"/>
      <c r="BD212" s="551"/>
      <c r="BE212" s="551"/>
      <c r="BF212" s="551"/>
      <c r="BG212" s="551"/>
      <c r="BH212" s="551"/>
      <c r="BI212" s="551"/>
      <c r="BJ212" s="551"/>
    </row>
    <row r="213" spans="1:62" ht="12.75" customHeight="1">
      <c r="A213" s="551"/>
      <c r="B213" s="551"/>
      <c r="C213" s="551"/>
      <c r="D213" s="551"/>
      <c r="E213" s="551"/>
      <c r="F213" s="551"/>
      <c r="G213" s="551"/>
      <c r="H213" s="551"/>
      <c r="I213" s="551"/>
      <c r="J213" s="551"/>
      <c r="K213" s="551"/>
      <c r="L213" s="551"/>
      <c r="M213" s="551"/>
      <c r="N213" s="551"/>
      <c r="O213" s="551"/>
      <c r="P213" s="551"/>
      <c r="Q213" s="551"/>
      <c r="R213" s="551"/>
      <c r="S213" s="551"/>
      <c r="T213" s="551"/>
      <c r="U213" s="551"/>
      <c r="V213" s="551"/>
      <c r="W213" s="551"/>
      <c r="X213" s="551"/>
      <c r="Y213" s="551"/>
      <c r="Z213" s="551"/>
      <c r="AA213" s="551"/>
      <c r="AB213" s="551"/>
      <c r="AC213" s="551"/>
      <c r="AD213" s="551"/>
      <c r="AE213" s="551"/>
      <c r="AF213" s="551"/>
      <c r="AG213" s="551"/>
      <c r="AH213" s="551"/>
      <c r="AI213" s="551"/>
      <c r="AJ213" s="551"/>
      <c r="AK213" s="551"/>
      <c r="AL213" s="551"/>
      <c r="AM213" s="551"/>
      <c r="AN213" s="551"/>
      <c r="AO213" s="551"/>
      <c r="AP213" s="551"/>
      <c r="AQ213" s="551"/>
      <c r="AR213" s="551"/>
      <c r="AS213" s="551"/>
      <c r="AT213" s="551"/>
      <c r="AU213" s="551"/>
      <c r="AV213" s="551"/>
      <c r="AW213" s="551"/>
      <c r="AX213" s="551"/>
      <c r="AY213" s="551"/>
      <c r="AZ213" s="551"/>
      <c r="BA213" s="551"/>
      <c r="BB213" s="551"/>
      <c r="BC213" s="551"/>
      <c r="BD213" s="551"/>
      <c r="BE213" s="551"/>
      <c r="BF213" s="551"/>
      <c r="BG213" s="551"/>
      <c r="BH213" s="551"/>
      <c r="BI213" s="551"/>
      <c r="BJ213" s="551"/>
    </row>
    <row r="214" spans="1:62" ht="12.75" customHeight="1">
      <c r="A214" s="551"/>
      <c r="B214" s="551"/>
      <c r="C214" s="551"/>
      <c r="D214" s="551"/>
      <c r="E214" s="551"/>
      <c r="F214" s="551"/>
      <c r="G214" s="551"/>
      <c r="H214" s="551"/>
      <c r="I214" s="551"/>
      <c r="J214" s="551"/>
      <c r="K214" s="551"/>
      <c r="L214" s="551"/>
      <c r="M214" s="551"/>
      <c r="N214" s="551"/>
      <c r="O214" s="551"/>
      <c r="P214" s="551"/>
      <c r="Q214" s="551"/>
      <c r="R214" s="551"/>
      <c r="S214" s="551"/>
      <c r="T214" s="551"/>
      <c r="U214" s="551"/>
      <c r="V214" s="551"/>
      <c r="W214" s="551"/>
      <c r="X214" s="551"/>
      <c r="Y214" s="551"/>
      <c r="Z214" s="551"/>
      <c r="AA214" s="551"/>
      <c r="AB214" s="551"/>
      <c r="AC214" s="551"/>
      <c r="AD214" s="551"/>
      <c r="AE214" s="551"/>
      <c r="AF214" s="551"/>
      <c r="AG214" s="551"/>
      <c r="AH214" s="551"/>
      <c r="AI214" s="551"/>
      <c r="AJ214" s="551"/>
      <c r="AK214" s="551"/>
      <c r="AL214" s="551"/>
      <c r="AM214" s="551"/>
      <c r="AN214" s="551"/>
      <c r="AO214" s="551"/>
      <c r="AP214" s="551"/>
      <c r="AQ214" s="551"/>
      <c r="AR214" s="551"/>
      <c r="AS214" s="551"/>
      <c r="AT214" s="551"/>
      <c r="AU214" s="551"/>
      <c r="AV214" s="551"/>
      <c r="AW214" s="551"/>
      <c r="AX214" s="551"/>
      <c r="AY214" s="551"/>
      <c r="AZ214" s="551"/>
      <c r="BA214" s="551"/>
      <c r="BB214" s="551"/>
      <c r="BC214" s="551"/>
      <c r="BD214" s="551"/>
      <c r="BE214" s="551"/>
      <c r="BF214" s="551"/>
      <c r="BG214" s="551"/>
      <c r="BH214" s="551"/>
      <c r="BI214" s="551"/>
      <c r="BJ214" s="551"/>
    </row>
    <row r="215" spans="1:62" ht="12.75" customHeight="1">
      <c r="A215" s="551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1"/>
      <c r="P215" s="551"/>
      <c r="Q215" s="551"/>
      <c r="R215" s="551"/>
      <c r="S215" s="551"/>
      <c r="T215" s="551"/>
      <c r="U215" s="551"/>
      <c r="V215" s="551"/>
      <c r="W215" s="551"/>
      <c r="X215" s="551"/>
      <c r="Y215" s="551"/>
      <c r="Z215" s="551"/>
      <c r="AA215" s="551"/>
      <c r="AB215" s="551"/>
      <c r="AC215" s="551"/>
      <c r="AD215" s="551"/>
      <c r="AE215" s="551"/>
      <c r="AF215" s="551"/>
      <c r="AG215" s="551"/>
      <c r="AH215" s="551"/>
      <c r="AI215" s="551"/>
      <c r="AJ215" s="551"/>
      <c r="AK215" s="551"/>
      <c r="AL215" s="551"/>
      <c r="AM215" s="551"/>
      <c r="AN215" s="551"/>
      <c r="AO215" s="551"/>
      <c r="AP215" s="551"/>
      <c r="AQ215" s="551"/>
      <c r="AR215" s="551"/>
      <c r="AS215" s="551"/>
      <c r="AT215" s="551"/>
      <c r="AU215" s="551"/>
      <c r="AV215" s="551"/>
      <c r="AW215" s="551"/>
      <c r="AX215" s="551"/>
      <c r="AY215" s="551"/>
      <c r="AZ215" s="551"/>
      <c r="BA215" s="551"/>
      <c r="BB215" s="551"/>
      <c r="BC215" s="551"/>
      <c r="BD215" s="551"/>
      <c r="BE215" s="551"/>
      <c r="BF215" s="551"/>
      <c r="BG215" s="551"/>
      <c r="BH215" s="551"/>
      <c r="BI215" s="551"/>
      <c r="BJ215" s="551"/>
    </row>
    <row r="216" spans="1:62" ht="12.75" customHeight="1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1"/>
      <c r="P216" s="551"/>
      <c r="Q216" s="551"/>
      <c r="R216" s="551"/>
      <c r="S216" s="551"/>
      <c r="T216" s="551"/>
      <c r="U216" s="551"/>
      <c r="V216" s="551"/>
      <c r="W216" s="551"/>
      <c r="X216" s="551"/>
      <c r="Y216" s="551"/>
      <c r="Z216" s="551"/>
      <c r="AA216" s="551"/>
      <c r="AB216" s="551"/>
      <c r="AC216" s="551"/>
      <c r="AD216" s="551"/>
      <c r="AE216" s="551"/>
      <c r="AF216" s="551"/>
      <c r="AG216" s="551"/>
      <c r="AH216" s="551"/>
      <c r="AI216" s="551"/>
      <c r="AJ216" s="551"/>
      <c r="AK216" s="551"/>
      <c r="AL216" s="551"/>
      <c r="AM216" s="551"/>
      <c r="AN216" s="551"/>
      <c r="AO216" s="551"/>
      <c r="AP216" s="551"/>
      <c r="AQ216" s="551"/>
      <c r="AR216" s="551"/>
      <c r="AS216" s="551"/>
      <c r="AT216" s="551"/>
      <c r="AU216" s="551"/>
      <c r="AV216" s="551"/>
      <c r="AW216" s="551"/>
      <c r="AX216" s="551"/>
      <c r="AY216" s="551"/>
      <c r="AZ216" s="551"/>
      <c r="BA216" s="551"/>
      <c r="BB216" s="551"/>
      <c r="BC216" s="551"/>
      <c r="BD216" s="551"/>
      <c r="BE216" s="551"/>
      <c r="BF216" s="551"/>
      <c r="BG216" s="551"/>
      <c r="BH216" s="551"/>
      <c r="BI216" s="551"/>
      <c r="BJ216" s="551"/>
    </row>
    <row r="217" spans="1:62" ht="12.75" customHeight="1">
      <c r="A217" s="551"/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51"/>
      <c r="AB217" s="551"/>
      <c r="AC217" s="551"/>
      <c r="AD217" s="551"/>
      <c r="AE217" s="551"/>
      <c r="AF217" s="551"/>
      <c r="AG217" s="551"/>
      <c r="AH217" s="551"/>
      <c r="AI217" s="551"/>
      <c r="AJ217" s="551"/>
      <c r="AK217" s="551"/>
      <c r="AL217" s="551"/>
      <c r="AM217" s="551"/>
      <c r="AN217" s="551"/>
      <c r="AO217" s="551"/>
      <c r="AP217" s="551"/>
      <c r="AQ217" s="551"/>
      <c r="AR217" s="551"/>
      <c r="AS217" s="551"/>
      <c r="AT217" s="551"/>
      <c r="AU217" s="551"/>
      <c r="AV217" s="551"/>
      <c r="AW217" s="551"/>
      <c r="AX217" s="551"/>
      <c r="AY217" s="551"/>
      <c r="AZ217" s="551"/>
      <c r="BA217" s="551"/>
      <c r="BB217" s="551"/>
      <c r="BC217" s="551"/>
      <c r="BD217" s="551"/>
      <c r="BE217" s="551"/>
      <c r="BF217" s="551"/>
      <c r="BG217" s="551"/>
      <c r="BH217" s="551"/>
      <c r="BI217" s="551"/>
      <c r="BJ217" s="551"/>
    </row>
    <row r="218" spans="1:62" ht="12.75" customHeight="1">
      <c r="A218" s="551"/>
      <c r="B218" s="551"/>
      <c r="C218" s="551"/>
      <c r="D218" s="551"/>
      <c r="E218" s="551"/>
      <c r="F218" s="551"/>
      <c r="G218" s="551"/>
      <c r="H218" s="551"/>
      <c r="I218" s="551"/>
      <c r="J218" s="551"/>
      <c r="K218" s="551"/>
      <c r="L218" s="551"/>
      <c r="M218" s="551"/>
      <c r="N218" s="551"/>
      <c r="O218" s="551"/>
      <c r="P218" s="551"/>
      <c r="Q218" s="551"/>
      <c r="R218" s="551"/>
      <c r="S218" s="551"/>
      <c r="T218" s="551"/>
      <c r="U218" s="551"/>
      <c r="V218" s="551"/>
      <c r="W218" s="551"/>
      <c r="X218" s="551"/>
      <c r="Y218" s="551"/>
      <c r="Z218" s="551"/>
      <c r="AA218" s="551"/>
      <c r="AB218" s="551"/>
      <c r="AC218" s="551"/>
      <c r="AD218" s="551"/>
      <c r="AE218" s="551"/>
      <c r="AF218" s="551"/>
      <c r="AG218" s="551"/>
      <c r="AH218" s="551"/>
      <c r="AI218" s="551"/>
      <c r="AJ218" s="551"/>
      <c r="AK218" s="551"/>
      <c r="AL218" s="551"/>
      <c r="AM218" s="551"/>
      <c r="AN218" s="551"/>
      <c r="AO218" s="551"/>
      <c r="AP218" s="551"/>
      <c r="AQ218" s="551"/>
      <c r="AR218" s="551"/>
      <c r="AS218" s="551"/>
      <c r="AT218" s="551"/>
      <c r="AU218" s="551"/>
      <c r="AV218" s="551"/>
      <c r="AW218" s="551"/>
      <c r="AX218" s="551"/>
      <c r="AY218" s="551"/>
      <c r="AZ218" s="551"/>
      <c r="BA218" s="551"/>
      <c r="BB218" s="551"/>
      <c r="BC218" s="551"/>
      <c r="BD218" s="551"/>
      <c r="BE218" s="551"/>
      <c r="BF218" s="551"/>
      <c r="BG218" s="551"/>
      <c r="BH218" s="551"/>
      <c r="BI218" s="551"/>
      <c r="BJ218" s="551"/>
    </row>
    <row r="219" spans="1:62" ht="12.75" customHeight="1">
      <c r="A219" s="551"/>
      <c r="B219" s="551"/>
      <c r="C219" s="551"/>
      <c r="D219" s="551"/>
      <c r="E219" s="551"/>
      <c r="F219" s="551"/>
      <c r="G219" s="551"/>
      <c r="H219" s="551"/>
      <c r="I219" s="551"/>
      <c r="J219" s="551"/>
      <c r="K219" s="551"/>
      <c r="L219" s="551"/>
      <c r="M219" s="551"/>
      <c r="N219" s="551"/>
      <c r="O219" s="551"/>
      <c r="P219" s="551"/>
      <c r="Q219" s="551"/>
      <c r="R219" s="551"/>
      <c r="S219" s="551"/>
      <c r="T219" s="551"/>
      <c r="U219" s="551"/>
      <c r="V219" s="551"/>
      <c r="W219" s="551"/>
      <c r="X219" s="551"/>
      <c r="Y219" s="551"/>
      <c r="Z219" s="551"/>
      <c r="AA219" s="551"/>
      <c r="AB219" s="551"/>
      <c r="AC219" s="551"/>
      <c r="AD219" s="551"/>
      <c r="AE219" s="551"/>
      <c r="AF219" s="551"/>
      <c r="AG219" s="551"/>
      <c r="AH219" s="551"/>
      <c r="AI219" s="551"/>
      <c r="AJ219" s="551"/>
      <c r="AK219" s="551"/>
      <c r="AL219" s="551"/>
      <c r="AM219" s="551"/>
      <c r="AN219" s="551"/>
      <c r="AO219" s="551"/>
      <c r="AP219" s="551"/>
      <c r="AQ219" s="551"/>
      <c r="AR219" s="551"/>
      <c r="AS219" s="551"/>
      <c r="AT219" s="551"/>
      <c r="AU219" s="551"/>
      <c r="AV219" s="551"/>
      <c r="AW219" s="551"/>
      <c r="AX219" s="551"/>
      <c r="AY219" s="551"/>
      <c r="AZ219" s="551"/>
      <c r="BA219" s="551"/>
      <c r="BB219" s="551"/>
      <c r="BC219" s="551"/>
      <c r="BD219" s="551"/>
      <c r="BE219" s="551"/>
      <c r="BF219" s="551"/>
      <c r="BG219" s="551"/>
      <c r="BH219" s="551"/>
      <c r="BI219" s="551"/>
      <c r="BJ219" s="551"/>
    </row>
    <row r="220" spans="1:62" ht="12.75" customHeight="1">
      <c r="A220" s="551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1"/>
      <c r="P220" s="551"/>
      <c r="Q220" s="551"/>
      <c r="R220" s="551"/>
      <c r="S220" s="551"/>
      <c r="T220" s="551"/>
      <c r="U220" s="551"/>
      <c r="V220" s="551"/>
      <c r="W220" s="551"/>
      <c r="X220" s="551"/>
      <c r="Y220" s="551"/>
      <c r="Z220" s="551"/>
      <c r="AA220" s="551"/>
      <c r="AB220" s="551"/>
      <c r="AC220" s="551"/>
      <c r="AD220" s="551"/>
      <c r="AE220" s="551"/>
      <c r="AF220" s="551"/>
      <c r="AG220" s="551"/>
      <c r="AH220" s="551"/>
      <c r="AI220" s="551"/>
      <c r="AJ220" s="551"/>
      <c r="AK220" s="551"/>
      <c r="AL220" s="551"/>
      <c r="AM220" s="551"/>
      <c r="AN220" s="551"/>
      <c r="AO220" s="551"/>
      <c r="AP220" s="551"/>
      <c r="AQ220" s="551"/>
      <c r="AR220" s="551"/>
      <c r="AS220" s="551"/>
      <c r="AT220" s="551"/>
      <c r="AU220" s="551"/>
      <c r="AV220" s="551"/>
      <c r="AW220" s="551"/>
      <c r="AX220" s="551"/>
      <c r="AY220" s="551"/>
      <c r="AZ220" s="551"/>
      <c r="BA220" s="551"/>
      <c r="BB220" s="551"/>
      <c r="BC220" s="551"/>
      <c r="BD220" s="551"/>
      <c r="BE220" s="551"/>
      <c r="BF220" s="551"/>
      <c r="BG220" s="551"/>
      <c r="BH220" s="551"/>
      <c r="BI220" s="551"/>
      <c r="BJ220" s="551"/>
    </row>
    <row r="221" spans="1:62" ht="12.75" customHeight="1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1"/>
      <c r="P221" s="551"/>
      <c r="Q221" s="551"/>
      <c r="R221" s="551"/>
      <c r="S221" s="551"/>
      <c r="T221" s="551"/>
      <c r="U221" s="551"/>
      <c r="V221" s="551"/>
      <c r="W221" s="551"/>
      <c r="X221" s="551"/>
      <c r="Y221" s="551"/>
      <c r="Z221" s="551"/>
      <c r="AA221" s="551"/>
      <c r="AB221" s="551"/>
      <c r="AC221" s="551"/>
      <c r="AD221" s="551"/>
      <c r="AE221" s="551"/>
      <c r="AF221" s="551"/>
      <c r="AG221" s="551"/>
      <c r="AH221" s="551"/>
      <c r="AI221" s="551"/>
      <c r="AJ221" s="551"/>
      <c r="AK221" s="551"/>
      <c r="AL221" s="551"/>
      <c r="AM221" s="551"/>
      <c r="AN221" s="551"/>
      <c r="AO221" s="551"/>
      <c r="AP221" s="551"/>
      <c r="AQ221" s="551"/>
      <c r="AR221" s="551"/>
      <c r="AS221" s="551"/>
      <c r="AT221" s="551"/>
      <c r="AU221" s="551"/>
      <c r="AV221" s="551"/>
      <c r="AW221" s="551"/>
      <c r="AX221" s="551"/>
      <c r="AY221" s="551"/>
      <c r="AZ221" s="551"/>
      <c r="BA221" s="551"/>
      <c r="BB221" s="551"/>
      <c r="BC221" s="551"/>
      <c r="BD221" s="551"/>
      <c r="BE221" s="551"/>
      <c r="BF221" s="551"/>
      <c r="BG221" s="551"/>
      <c r="BH221" s="551"/>
      <c r="BI221" s="551"/>
      <c r="BJ221" s="551"/>
    </row>
    <row r="222" spans="1:62" ht="12.75" customHeight="1">
      <c r="A222" s="551"/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51"/>
      <c r="AB222" s="551"/>
      <c r="AC222" s="551"/>
      <c r="AD222" s="551"/>
      <c r="AE222" s="551"/>
      <c r="AF222" s="551"/>
      <c r="AG222" s="551"/>
      <c r="AH222" s="551"/>
      <c r="AI222" s="551"/>
      <c r="AJ222" s="551"/>
      <c r="AK222" s="551"/>
      <c r="AL222" s="551"/>
      <c r="AM222" s="551"/>
      <c r="AN222" s="551"/>
      <c r="AO222" s="551"/>
      <c r="AP222" s="551"/>
      <c r="AQ222" s="551"/>
      <c r="AR222" s="551"/>
      <c r="AS222" s="551"/>
      <c r="AT222" s="551"/>
      <c r="AU222" s="551"/>
      <c r="AV222" s="551"/>
      <c r="AW222" s="551"/>
      <c r="AX222" s="551"/>
      <c r="AY222" s="551"/>
      <c r="AZ222" s="551"/>
      <c r="BA222" s="551"/>
      <c r="BB222" s="551"/>
      <c r="BC222" s="551"/>
      <c r="BD222" s="551"/>
      <c r="BE222" s="551"/>
      <c r="BF222" s="551"/>
      <c r="BG222" s="551"/>
      <c r="BH222" s="551"/>
      <c r="BI222" s="551"/>
      <c r="BJ222" s="551"/>
    </row>
    <row r="223" spans="1:62" ht="12.75" customHeight="1">
      <c r="A223" s="551"/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51"/>
      <c r="AB223" s="551"/>
      <c r="AC223" s="551"/>
      <c r="AD223" s="551"/>
      <c r="AE223" s="551"/>
      <c r="AF223" s="551"/>
      <c r="AG223" s="551"/>
      <c r="AH223" s="551"/>
      <c r="AI223" s="551"/>
      <c r="AJ223" s="551"/>
      <c r="AK223" s="551"/>
      <c r="AL223" s="551"/>
      <c r="AM223" s="551"/>
      <c r="AN223" s="551"/>
      <c r="AO223" s="551"/>
      <c r="AP223" s="551"/>
      <c r="AQ223" s="551"/>
      <c r="AR223" s="551"/>
      <c r="AS223" s="551"/>
      <c r="AT223" s="551"/>
      <c r="AU223" s="551"/>
      <c r="AV223" s="551"/>
      <c r="AW223" s="551"/>
      <c r="AX223" s="551"/>
      <c r="AY223" s="551"/>
      <c r="AZ223" s="551"/>
      <c r="BA223" s="551"/>
      <c r="BB223" s="551"/>
      <c r="BC223" s="551"/>
      <c r="BD223" s="551"/>
      <c r="BE223" s="551"/>
      <c r="BF223" s="551"/>
      <c r="BG223" s="551"/>
      <c r="BH223" s="551"/>
      <c r="BI223" s="551"/>
      <c r="BJ223" s="551"/>
    </row>
    <row r="224" spans="1:62" ht="12.75" customHeight="1">
      <c r="A224" s="551"/>
      <c r="B224" s="551"/>
      <c r="C224" s="551"/>
      <c r="D224" s="551"/>
      <c r="E224" s="551"/>
      <c r="F224" s="551"/>
      <c r="G224" s="551"/>
      <c r="H224" s="551"/>
      <c r="I224" s="551"/>
      <c r="J224" s="551"/>
      <c r="K224" s="551"/>
      <c r="L224" s="551"/>
      <c r="M224" s="551"/>
      <c r="N224" s="551"/>
      <c r="O224" s="551"/>
      <c r="P224" s="551"/>
      <c r="Q224" s="551"/>
      <c r="R224" s="551"/>
      <c r="S224" s="551"/>
      <c r="T224" s="551"/>
      <c r="U224" s="551"/>
      <c r="V224" s="551"/>
      <c r="W224" s="551"/>
      <c r="X224" s="551"/>
      <c r="Y224" s="551"/>
      <c r="Z224" s="551"/>
      <c r="AA224" s="551"/>
      <c r="AB224" s="551"/>
      <c r="AC224" s="551"/>
      <c r="AD224" s="551"/>
      <c r="AE224" s="551"/>
      <c r="AF224" s="551"/>
      <c r="AG224" s="551"/>
      <c r="AH224" s="551"/>
      <c r="AI224" s="551"/>
      <c r="AJ224" s="551"/>
      <c r="AK224" s="551"/>
      <c r="AL224" s="551"/>
      <c r="AM224" s="551"/>
      <c r="AN224" s="551"/>
      <c r="AO224" s="551"/>
      <c r="AP224" s="551"/>
      <c r="AQ224" s="551"/>
      <c r="AR224" s="551"/>
      <c r="AS224" s="551"/>
      <c r="AT224" s="551"/>
      <c r="AU224" s="551"/>
      <c r="AV224" s="551"/>
      <c r="AW224" s="551"/>
      <c r="AX224" s="551"/>
      <c r="AY224" s="551"/>
      <c r="AZ224" s="551"/>
      <c r="BA224" s="551"/>
      <c r="BB224" s="551"/>
      <c r="BC224" s="551"/>
      <c r="BD224" s="551"/>
      <c r="BE224" s="551"/>
      <c r="BF224" s="551"/>
      <c r="BG224" s="551"/>
      <c r="BH224" s="551"/>
      <c r="BI224" s="551"/>
      <c r="BJ224" s="551"/>
    </row>
    <row r="225" spans="1:62" ht="12.75" customHeight="1">
      <c r="A225" s="551"/>
      <c r="B225" s="551"/>
      <c r="C225" s="551"/>
      <c r="D225" s="551"/>
      <c r="E225" s="551"/>
      <c r="F225" s="551"/>
      <c r="G225" s="551"/>
      <c r="H225" s="551"/>
      <c r="I225" s="551"/>
      <c r="J225" s="551"/>
      <c r="K225" s="551"/>
      <c r="L225" s="551"/>
      <c r="M225" s="551"/>
      <c r="N225" s="551"/>
      <c r="O225" s="551"/>
      <c r="P225" s="551"/>
      <c r="Q225" s="551"/>
      <c r="R225" s="551"/>
      <c r="S225" s="551"/>
      <c r="T225" s="551"/>
      <c r="U225" s="551"/>
      <c r="V225" s="551"/>
      <c r="W225" s="551"/>
      <c r="X225" s="551"/>
      <c r="Y225" s="551"/>
      <c r="Z225" s="551"/>
      <c r="AA225" s="551"/>
      <c r="AB225" s="551"/>
      <c r="AC225" s="551"/>
      <c r="AD225" s="551"/>
      <c r="AE225" s="551"/>
      <c r="AF225" s="551"/>
      <c r="AG225" s="551"/>
      <c r="AH225" s="551"/>
      <c r="AI225" s="551"/>
      <c r="AJ225" s="551"/>
      <c r="AK225" s="551"/>
      <c r="AL225" s="551"/>
      <c r="AM225" s="551"/>
      <c r="AN225" s="551"/>
      <c r="AO225" s="551"/>
      <c r="AP225" s="551"/>
      <c r="AQ225" s="551"/>
      <c r="AR225" s="551"/>
      <c r="AS225" s="551"/>
      <c r="AT225" s="551"/>
      <c r="AU225" s="551"/>
      <c r="AV225" s="551"/>
      <c r="AW225" s="551"/>
      <c r="AX225" s="551"/>
      <c r="AY225" s="551"/>
      <c r="AZ225" s="551"/>
      <c r="BA225" s="551"/>
      <c r="BB225" s="551"/>
      <c r="BC225" s="551"/>
      <c r="BD225" s="551"/>
      <c r="BE225" s="551"/>
      <c r="BF225" s="551"/>
      <c r="BG225" s="551"/>
      <c r="BH225" s="551"/>
      <c r="BI225" s="551"/>
      <c r="BJ225" s="551"/>
    </row>
    <row r="226" spans="1:62" ht="12.75" customHeight="1">
      <c r="A226" s="551"/>
      <c r="B226" s="551"/>
      <c r="C226" s="551"/>
      <c r="D226" s="551"/>
      <c r="E226" s="551"/>
      <c r="F226" s="551"/>
      <c r="G226" s="551"/>
      <c r="H226" s="551"/>
      <c r="I226" s="551"/>
      <c r="J226" s="551"/>
      <c r="K226" s="551"/>
      <c r="L226" s="551"/>
      <c r="M226" s="551"/>
      <c r="N226" s="551"/>
      <c r="O226" s="551"/>
      <c r="P226" s="551"/>
      <c r="Q226" s="551"/>
      <c r="R226" s="551"/>
      <c r="S226" s="551"/>
      <c r="T226" s="551"/>
      <c r="U226" s="551"/>
      <c r="V226" s="551"/>
      <c r="W226" s="551"/>
      <c r="X226" s="551"/>
      <c r="Y226" s="551"/>
      <c r="Z226" s="551"/>
      <c r="AA226" s="551"/>
      <c r="AB226" s="551"/>
      <c r="AC226" s="551"/>
      <c r="AD226" s="551"/>
      <c r="AE226" s="551"/>
      <c r="AF226" s="551"/>
      <c r="AG226" s="551"/>
      <c r="AH226" s="551"/>
      <c r="AI226" s="551"/>
      <c r="AJ226" s="551"/>
      <c r="AK226" s="551"/>
      <c r="AL226" s="551"/>
      <c r="AM226" s="551"/>
      <c r="AN226" s="551"/>
      <c r="AO226" s="551"/>
      <c r="AP226" s="551"/>
      <c r="AQ226" s="551"/>
      <c r="AR226" s="551"/>
      <c r="AS226" s="551"/>
      <c r="AT226" s="551"/>
      <c r="AU226" s="551"/>
      <c r="AV226" s="551"/>
      <c r="AW226" s="551"/>
      <c r="AX226" s="551"/>
      <c r="AY226" s="551"/>
      <c r="AZ226" s="551"/>
      <c r="BA226" s="551"/>
      <c r="BB226" s="551"/>
      <c r="BC226" s="551"/>
      <c r="BD226" s="551"/>
      <c r="BE226" s="551"/>
      <c r="BF226" s="551"/>
      <c r="BG226" s="551"/>
      <c r="BH226" s="551"/>
      <c r="BI226" s="551"/>
      <c r="BJ226" s="551"/>
    </row>
    <row r="227" spans="1:62" ht="12.75" customHeight="1">
      <c r="A227" s="551"/>
      <c r="B227" s="551"/>
      <c r="C227" s="551"/>
      <c r="D227" s="551"/>
      <c r="E227" s="551"/>
      <c r="F227" s="551"/>
      <c r="G227" s="551"/>
      <c r="H227" s="551"/>
      <c r="I227" s="551"/>
      <c r="J227" s="551"/>
      <c r="K227" s="551"/>
      <c r="L227" s="551"/>
      <c r="M227" s="551"/>
      <c r="N227" s="551"/>
      <c r="O227" s="551"/>
      <c r="P227" s="551"/>
      <c r="Q227" s="551"/>
      <c r="R227" s="551"/>
      <c r="S227" s="551"/>
      <c r="T227" s="551"/>
      <c r="U227" s="551"/>
      <c r="V227" s="551"/>
      <c r="W227" s="551"/>
      <c r="X227" s="551"/>
      <c r="Y227" s="551"/>
      <c r="Z227" s="551"/>
      <c r="AA227" s="551"/>
      <c r="AB227" s="551"/>
      <c r="AC227" s="551"/>
      <c r="AD227" s="551"/>
      <c r="AE227" s="551"/>
      <c r="AF227" s="551"/>
      <c r="AG227" s="551"/>
      <c r="AH227" s="551"/>
      <c r="AI227" s="551"/>
      <c r="AJ227" s="551"/>
      <c r="AK227" s="551"/>
      <c r="AL227" s="551"/>
      <c r="AM227" s="551"/>
      <c r="AN227" s="551"/>
      <c r="AO227" s="551"/>
      <c r="AP227" s="551"/>
      <c r="AQ227" s="551"/>
      <c r="AR227" s="551"/>
      <c r="AS227" s="551"/>
      <c r="AT227" s="551"/>
      <c r="AU227" s="551"/>
      <c r="AV227" s="551"/>
      <c r="AW227" s="551"/>
      <c r="AX227" s="551"/>
      <c r="AY227" s="551"/>
      <c r="AZ227" s="551"/>
      <c r="BA227" s="551"/>
      <c r="BB227" s="551"/>
      <c r="BC227" s="551"/>
      <c r="BD227" s="551"/>
      <c r="BE227" s="551"/>
      <c r="BF227" s="551"/>
      <c r="BG227" s="551"/>
      <c r="BH227" s="551"/>
      <c r="BI227" s="551"/>
      <c r="BJ227" s="551"/>
    </row>
    <row r="228" spans="1:62" ht="12.75" customHeight="1">
      <c r="A228" s="551"/>
      <c r="B228" s="551"/>
      <c r="C228" s="551"/>
      <c r="D228" s="551"/>
      <c r="E228" s="551"/>
      <c r="F228" s="551"/>
      <c r="G228" s="551"/>
      <c r="H228" s="551"/>
      <c r="I228" s="551"/>
      <c r="J228" s="551"/>
      <c r="K228" s="551"/>
      <c r="L228" s="551"/>
      <c r="M228" s="551"/>
      <c r="N228" s="551"/>
      <c r="O228" s="551"/>
      <c r="P228" s="551"/>
      <c r="Q228" s="551"/>
      <c r="R228" s="551"/>
      <c r="S228" s="551"/>
      <c r="T228" s="551"/>
      <c r="U228" s="551"/>
      <c r="V228" s="551"/>
      <c r="W228" s="551"/>
      <c r="X228" s="551"/>
      <c r="Y228" s="551"/>
      <c r="Z228" s="551"/>
      <c r="AA228" s="551"/>
      <c r="AB228" s="551"/>
      <c r="AC228" s="551"/>
      <c r="AD228" s="551"/>
      <c r="AE228" s="551"/>
      <c r="AF228" s="551"/>
      <c r="AG228" s="551"/>
      <c r="AH228" s="551"/>
      <c r="AI228" s="551"/>
      <c r="AJ228" s="551"/>
      <c r="AK228" s="551"/>
      <c r="AL228" s="551"/>
      <c r="AM228" s="551"/>
      <c r="AN228" s="551"/>
      <c r="AO228" s="551"/>
      <c r="AP228" s="551"/>
      <c r="AQ228" s="551"/>
      <c r="AR228" s="551"/>
      <c r="AS228" s="551"/>
      <c r="AT228" s="551"/>
      <c r="AU228" s="551"/>
      <c r="AV228" s="551"/>
      <c r="AW228" s="551"/>
      <c r="AX228" s="551"/>
      <c r="AY228" s="551"/>
      <c r="AZ228" s="551"/>
      <c r="BA228" s="551"/>
      <c r="BB228" s="551"/>
      <c r="BC228" s="551"/>
      <c r="BD228" s="551"/>
      <c r="BE228" s="551"/>
      <c r="BF228" s="551"/>
      <c r="BG228" s="551"/>
      <c r="BH228" s="551"/>
      <c r="BI228" s="551"/>
      <c r="BJ228" s="551"/>
    </row>
    <row r="229" spans="1:62" ht="12.75" customHeight="1">
      <c r="A229" s="551"/>
      <c r="B229" s="551"/>
      <c r="C229" s="551"/>
      <c r="D229" s="551"/>
      <c r="E229" s="551"/>
      <c r="F229" s="551"/>
      <c r="G229" s="551"/>
      <c r="H229" s="551"/>
      <c r="I229" s="551"/>
      <c r="J229" s="551"/>
      <c r="K229" s="551"/>
      <c r="L229" s="551"/>
      <c r="M229" s="551"/>
      <c r="N229" s="551"/>
      <c r="O229" s="551"/>
      <c r="P229" s="551"/>
      <c r="Q229" s="551"/>
      <c r="R229" s="551"/>
      <c r="S229" s="551"/>
      <c r="T229" s="551"/>
      <c r="U229" s="551"/>
      <c r="V229" s="551"/>
      <c r="W229" s="551"/>
      <c r="X229" s="551"/>
      <c r="Y229" s="551"/>
      <c r="Z229" s="551"/>
      <c r="AA229" s="551"/>
      <c r="AB229" s="551"/>
      <c r="AC229" s="551"/>
      <c r="AD229" s="551"/>
      <c r="AE229" s="551"/>
      <c r="AF229" s="551"/>
      <c r="AG229" s="551"/>
      <c r="AH229" s="551"/>
      <c r="AI229" s="551"/>
      <c r="AJ229" s="551"/>
      <c r="AK229" s="551"/>
      <c r="AL229" s="551"/>
      <c r="AM229" s="551"/>
      <c r="AN229" s="551"/>
      <c r="AO229" s="551"/>
      <c r="AP229" s="551"/>
      <c r="AQ229" s="551"/>
      <c r="AR229" s="551"/>
      <c r="AS229" s="551"/>
      <c r="AT229" s="551"/>
      <c r="AU229" s="551"/>
      <c r="AV229" s="551"/>
      <c r="AW229" s="551"/>
      <c r="AX229" s="551"/>
      <c r="AY229" s="551"/>
      <c r="AZ229" s="551"/>
      <c r="BA229" s="551"/>
      <c r="BB229" s="551"/>
      <c r="BC229" s="551"/>
      <c r="BD229" s="551"/>
      <c r="BE229" s="551"/>
      <c r="BF229" s="551"/>
      <c r="BG229" s="551"/>
      <c r="BH229" s="551"/>
      <c r="BI229" s="551"/>
      <c r="BJ229" s="551"/>
    </row>
    <row r="230" spans="1:62" ht="12.75" customHeight="1">
      <c r="A230" s="551"/>
      <c r="B230" s="551"/>
      <c r="C230" s="551"/>
      <c r="D230" s="551"/>
      <c r="E230" s="551"/>
      <c r="F230" s="551"/>
      <c r="G230" s="551"/>
      <c r="H230" s="551"/>
      <c r="I230" s="551"/>
      <c r="J230" s="551"/>
      <c r="K230" s="551"/>
      <c r="L230" s="551"/>
      <c r="M230" s="551"/>
      <c r="N230" s="551"/>
      <c r="O230" s="551"/>
      <c r="P230" s="551"/>
      <c r="Q230" s="551"/>
      <c r="R230" s="551"/>
      <c r="S230" s="551"/>
      <c r="T230" s="551"/>
      <c r="U230" s="551"/>
      <c r="V230" s="551"/>
      <c r="W230" s="551"/>
      <c r="X230" s="551"/>
      <c r="Y230" s="551"/>
      <c r="Z230" s="551"/>
      <c r="AA230" s="551"/>
      <c r="AB230" s="551"/>
      <c r="AC230" s="551"/>
      <c r="AD230" s="551"/>
      <c r="AE230" s="551"/>
      <c r="AF230" s="551"/>
      <c r="AG230" s="551"/>
      <c r="AH230" s="551"/>
      <c r="AI230" s="551"/>
      <c r="AJ230" s="551"/>
      <c r="AK230" s="551"/>
      <c r="AL230" s="551"/>
      <c r="AM230" s="551"/>
      <c r="AN230" s="551"/>
      <c r="AO230" s="551"/>
      <c r="AP230" s="551"/>
      <c r="AQ230" s="551"/>
      <c r="AR230" s="551"/>
      <c r="AS230" s="551"/>
      <c r="AT230" s="551"/>
      <c r="AU230" s="551"/>
      <c r="AV230" s="551"/>
      <c r="AW230" s="551"/>
      <c r="AX230" s="551"/>
      <c r="AY230" s="551"/>
      <c r="AZ230" s="551"/>
      <c r="BA230" s="551"/>
      <c r="BB230" s="551"/>
      <c r="BC230" s="551"/>
      <c r="BD230" s="551"/>
      <c r="BE230" s="551"/>
      <c r="BF230" s="551"/>
      <c r="BG230" s="551"/>
      <c r="BH230" s="551"/>
      <c r="BI230" s="551"/>
      <c r="BJ230" s="551"/>
    </row>
    <row r="231" spans="1:62" ht="12.75" customHeight="1">
      <c r="A231" s="551"/>
      <c r="B231" s="551"/>
      <c r="C231" s="551"/>
      <c r="D231" s="551"/>
      <c r="E231" s="551"/>
      <c r="F231" s="551"/>
      <c r="G231" s="551"/>
      <c r="H231" s="551"/>
      <c r="I231" s="551"/>
      <c r="J231" s="551"/>
      <c r="K231" s="551"/>
      <c r="L231" s="551"/>
      <c r="M231" s="551"/>
      <c r="N231" s="551"/>
      <c r="O231" s="551"/>
      <c r="P231" s="551"/>
      <c r="Q231" s="551"/>
      <c r="R231" s="551"/>
      <c r="S231" s="551"/>
      <c r="T231" s="551"/>
      <c r="U231" s="551"/>
      <c r="V231" s="551"/>
      <c r="W231" s="551"/>
      <c r="X231" s="551"/>
      <c r="Y231" s="551"/>
      <c r="Z231" s="551"/>
      <c r="AA231" s="551"/>
      <c r="AB231" s="551"/>
      <c r="AC231" s="551"/>
      <c r="AD231" s="551"/>
      <c r="AE231" s="551"/>
      <c r="AF231" s="551"/>
      <c r="AG231" s="551"/>
      <c r="AH231" s="551"/>
      <c r="AI231" s="551"/>
      <c r="AJ231" s="551"/>
      <c r="AK231" s="551"/>
      <c r="AL231" s="551"/>
      <c r="AM231" s="551"/>
      <c r="AN231" s="551"/>
      <c r="AO231" s="551"/>
      <c r="AP231" s="551"/>
      <c r="AQ231" s="551"/>
      <c r="AR231" s="551"/>
      <c r="AS231" s="551"/>
      <c r="AT231" s="551"/>
      <c r="AU231" s="551"/>
      <c r="AV231" s="551"/>
      <c r="AW231" s="551"/>
      <c r="AX231" s="551"/>
      <c r="AY231" s="551"/>
      <c r="AZ231" s="551"/>
      <c r="BA231" s="551"/>
      <c r="BB231" s="551"/>
      <c r="BC231" s="551"/>
      <c r="BD231" s="551"/>
      <c r="BE231" s="551"/>
      <c r="BF231" s="551"/>
      <c r="BG231" s="551"/>
      <c r="BH231" s="551"/>
      <c r="BI231" s="551"/>
      <c r="BJ231" s="551"/>
    </row>
    <row r="232" spans="1:62" ht="12.75" customHeight="1">
      <c r="A232" s="551"/>
      <c r="B232" s="551"/>
      <c r="C232" s="551"/>
      <c r="D232" s="551"/>
      <c r="E232" s="551"/>
      <c r="F232" s="551"/>
      <c r="G232" s="551"/>
      <c r="H232" s="551"/>
      <c r="I232" s="551"/>
      <c r="J232" s="551"/>
      <c r="K232" s="551"/>
      <c r="L232" s="551"/>
      <c r="M232" s="551"/>
      <c r="N232" s="551"/>
      <c r="O232" s="551"/>
      <c r="P232" s="551"/>
      <c r="Q232" s="551"/>
      <c r="R232" s="551"/>
      <c r="S232" s="551"/>
      <c r="T232" s="551"/>
      <c r="U232" s="551"/>
      <c r="V232" s="551"/>
      <c r="W232" s="551"/>
      <c r="X232" s="551"/>
      <c r="Y232" s="551"/>
      <c r="Z232" s="551"/>
      <c r="AA232" s="551"/>
      <c r="AB232" s="551"/>
      <c r="AC232" s="551"/>
      <c r="AD232" s="551"/>
      <c r="AE232" s="551"/>
      <c r="AF232" s="551"/>
      <c r="AG232" s="551"/>
      <c r="AH232" s="551"/>
      <c r="AI232" s="551"/>
      <c r="AJ232" s="551"/>
      <c r="AK232" s="551"/>
      <c r="AL232" s="551"/>
      <c r="AM232" s="551"/>
      <c r="AN232" s="551"/>
      <c r="AO232" s="551"/>
      <c r="AP232" s="551"/>
      <c r="AQ232" s="551"/>
      <c r="AR232" s="551"/>
      <c r="AS232" s="551"/>
      <c r="AT232" s="551"/>
      <c r="AU232" s="551"/>
      <c r="AV232" s="551"/>
      <c r="AW232" s="551"/>
      <c r="AX232" s="551"/>
      <c r="AY232" s="551"/>
      <c r="AZ232" s="551"/>
      <c r="BA232" s="551"/>
      <c r="BB232" s="551"/>
      <c r="BC232" s="551"/>
      <c r="BD232" s="551"/>
      <c r="BE232" s="551"/>
      <c r="BF232" s="551"/>
      <c r="BG232" s="551"/>
      <c r="BH232" s="551"/>
      <c r="BI232" s="551"/>
      <c r="BJ232" s="551"/>
    </row>
    <row r="233" spans="1:62" ht="12.75" customHeight="1">
      <c r="A233" s="551"/>
      <c r="B233" s="551"/>
      <c r="C233" s="551"/>
      <c r="D233" s="551"/>
      <c r="E233" s="551"/>
      <c r="F233" s="551"/>
      <c r="G233" s="551"/>
      <c r="H233" s="551"/>
      <c r="I233" s="551"/>
      <c r="J233" s="551"/>
      <c r="K233" s="551"/>
      <c r="L233" s="551"/>
      <c r="M233" s="551"/>
      <c r="N233" s="551"/>
      <c r="O233" s="551"/>
      <c r="P233" s="551"/>
      <c r="Q233" s="551"/>
      <c r="R233" s="551"/>
      <c r="S233" s="551"/>
      <c r="T233" s="551"/>
      <c r="U233" s="551"/>
      <c r="V233" s="551"/>
      <c r="W233" s="551"/>
      <c r="X233" s="551"/>
      <c r="Y233" s="551"/>
      <c r="Z233" s="551"/>
      <c r="AA233" s="551"/>
      <c r="AB233" s="551"/>
      <c r="AC233" s="551"/>
      <c r="AD233" s="551"/>
      <c r="AE233" s="551"/>
      <c r="AF233" s="551"/>
      <c r="AG233" s="551"/>
      <c r="AH233" s="551"/>
      <c r="AI233" s="551"/>
      <c r="AJ233" s="551"/>
      <c r="AK233" s="551"/>
      <c r="AL233" s="551"/>
      <c r="AM233" s="551"/>
      <c r="AN233" s="551"/>
      <c r="AO233" s="551"/>
      <c r="AP233" s="551"/>
      <c r="AQ233" s="551"/>
      <c r="AR233" s="551"/>
      <c r="AS233" s="551"/>
      <c r="AT233" s="551"/>
      <c r="AU233" s="551"/>
      <c r="AV233" s="551"/>
      <c r="AW233" s="551"/>
      <c r="AX233" s="551"/>
      <c r="AY233" s="551"/>
      <c r="AZ233" s="551"/>
      <c r="BA233" s="551"/>
      <c r="BB233" s="551"/>
      <c r="BC233" s="551"/>
      <c r="BD233" s="551"/>
      <c r="BE233" s="551"/>
      <c r="BF233" s="551"/>
      <c r="BG233" s="551"/>
      <c r="BH233" s="551"/>
      <c r="BI233" s="551"/>
      <c r="BJ233" s="551"/>
    </row>
    <row r="234" spans="1:62" ht="12.75" customHeight="1">
      <c r="A234" s="551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1"/>
      <c r="P234" s="551"/>
      <c r="Q234" s="551"/>
      <c r="R234" s="551"/>
      <c r="S234" s="551"/>
      <c r="T234" s="551"/>
      <c r="U234" s="551"/>
      <c r="V234" s="551"/>
      <c r="W234" s="551"/>
      <c r="X234" s="551"/>
      <c r="Y234" s="551"/>
      <c r="Z234" s="551"/>
      <c r="AA234" s="551"/>
      <c r="AB234" s="551"/>
      <c r="AC234" s="551"/>
      <c r="AD234" s="551"/>
      <c r="AE234" s="551"/>
      <c r="AF234" s="551"/>
      <c r="AG234" s="551"/>
      <c r="AH234" s="551"/>
      <c r="AI234" s="551"/>
      <c r="AJ234" s="551"/>
      <c r="AK234" s="551"/>
      <c r="AL234" s="551"/>
      <c r="AM234" s="551"/>
      <c r="AN234" s="551"/>
      <c r="AO234" s="551"/>
      <c r="AP234" s="551"/>
      <c r="AQ234" s="551"/>
      <c r="AR234" s="551"/>
      <c r="AS234" s="551"/>
      <c r="AT234" s="551"/>
      <c r="AU234" s="551"/>
      <c r="AV234" s="551"/>
      <c r="AW234" s="551"/>
      <c r="AX234" s="551"/>
      <c r="AY234" s="551"/>
      <c r="AZ234" s="551"/>
      <c r="BA234" s="551"/>
      <c r="BB234" s="551"/>
      <c r="BC234" s="551"/>
      <c r="BD234" s="551"/>
      <c r="BE234" s="551"/>
      <c r="BF234" s="551"/>
      <c r="BG234" s="551"/>
      <c r="BH234" s="551"/>
      <c r="BI234" s="551"/>
      <c r="BJ234" s="551"/>
    </row>
    <row r="235" spans="1:62" ht="12.75" customHeight="1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1"/>
      <c r="P235" s="551"/>
      <c r="Q235" s="551"/>
      <c r="R235" s="551"/>
      <c r="S235" s="551"/>
      <c r="T235" s="551"/>
      <c r="U235" s="551"/>
      <c r="V235" s="551"/>
      <c r="W235" s="551"/>
      <c r="X235" s="551"/>
      <c r="Y235" s="551"/>
      <c r="Z235" s="551"/>
      <c r="AA235" s="551"/>
      <c r="AB235" s="551"/>
      <c r="AC235" s="551"/>
      <c r="AD235" s="551"/>
      <c r="AE235" s="551"/>
      <c r="AF235" s="551"/>
      <c r="AG235" s="551"/>
      <c r="AH235" s="551"/>
      <c r="AI235" s="551"/>
      <c r="AJ235" s="551"/>
      <c r="AK235" s="551"/>
      <c r="AL235" s="551"/>
      <c r="AM235" s="551"/>
      <c r="AN235" s="551"/>
      <c r="AO235" s="551"/>
      <c r="AP235" s="551"/>
      <c r="AQ235" s="551"/>
      <c r="AR235" s="551"/>
      <c r="AS235" s="551"/>
      <c r="AT235" s="551"/>
      <c r="AU235" s="551"/>
      <c r="AV235" s="551"/>
      <c r="AW235" s="551"/>
      <c r="AX235" s="551"/>
      <c r="AY235" s="551"/>
      <c r="AZ235" s="551"/>
      <c r="BA235" s="551"/>
      <c r="BB235" s="551"/>
      <c r="BC235" s="551"/>
      <c r="BD235" s="551"/>
      <c r="BE235" s="551"/>
      <c r="BF235" s="551"/>
      <c r="BG235" s="551"/>
      <c r="BH235" s="551"/>
      <c r="BI235" s="551"/>
      <c r="BJ235" s="551"/>
    </row>
    <row r="236" spans="1:62" ht="12.75" customHeight="1">
      <c r="A236" s="551"/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51"/>
      <c r="AB236" s="551"/>
      <c r="AC236" s="551"/>
      <c r="AD236" s="551"/>
      <c r="AE236" s="551"/>
      <c r="AF236" s="551"/>
      <c r="AG236" s="551"/>
      <c r="AH236" s="551"/>
      <c r="AI236" s="551"/>
      <c r="AJ236" s="551"/>
      <c r="AK236" s="551"/>
      <c r="AL236" s="551"/>
      <c r="AM236" s="551"/>
      <c r="AN236" s="551"/>
      <c r="AO236" s="551"/>
      <c r="AP236" s="551"/>
      <c r="AQ236" s="551"/>
      <c r="AR236" s="551"/>
      <c r="AS236" s="551"/>
      <c r="AT236" s="551"/>
      <c r="AU236" s="551"/>
      <c r="AV236" s="551"/>
      <c r="AW236" s="551"/>
      <c r="AX236" s="551"/>
      <c r="AY236" s="551"/>
      <c r="AZ236" s="551"/>
      <c r="BA236" s="551"/>
      <c r="BB236" s="551"/>
      <c r="BC236" s="551"/>
      <c r="BD236" s="551"/>
      <c r="BE236" s="551"/>
      <c r="BF236" s="551"/>
      <c r="BG236" s="551"/>
      <c r="BH236" s="551"/>
      <c r="BI236" s="551"/>
      <c r="BJ236" s="551"/>
    </row>
    <row r="237" spans="1:62" ht="12.75" customHeight="1">
      <c r="A237" s="551"/>
      <c r="B237" s="551"/>
      <c r="C237" s="551"/>
      <c r="D237" s="551"/>
      <c r="E237" s="551"/>
      <c r="F237" s="551"/>
      <c r="G237" s="551"/>
      <c r="H237" s="551"/>
      <c r="I237" s="551"/>
      <c r="J237" s="551"/>
      <c r="K237" s="551"/>
      <c r="L237" s="551"/>
      <c r="M237" s="551"/>
      <c r="N237" s="551"/>
      <c r="O237" s="551"/>
      <c r="P237" s="551"/>
      <c r="Q237" s="551"/>
      <c r="R237" s="551"/>
      <c r="S237" s="551"/>
      <c r="T237" s="551"/>
      <c r="U237" s="551"/>
      <c r="V237" s="551"/>
      <c r="W237" s="551"/>
      <c r="X237" s="551"/>
      <c r="Y237" s="551"/>
      <c r="Z237" s="551"/>
      <c r="AA237" s="551"/>
      <c r="AB237" s="551"/>
      <c r="AC237" s="551"/>
      <c r="AD237" s="551"/>
      <c r="AE237" s="551"/>
      <c r="AF237" s="551"/>
      <c r="AG237" s="551"/>
      <c r="AH237" s="551"/>
      <c r="AI237" s="551"/>
      <c r="AJ237" s="551"/>
      <c r="AK237" s="551"/>
      <c r="AL237" s="551"/>
      <c r="AM237" s="551"/>
      <c r="AN237" s="551"/>
      <c r="AO237" s="551"/>
      <c r="AP237" s="551"/>
      <c r="AQ237" s="551"/>
      <c r="AR237" s="551"/>
      <c r="AS237" s="551"/>
      <c r="AT237" s="551"/>
      <c r="AU237" s="551"/>
      <c r="AV237" s="551"/>
      <c r="AW237" s="551"/>
      <c r="AX237" s="551"/>
      <c r="AY237" s="551"/>
      <c r="AZ237" s="551"/>
      <c r="BA237" s="551"/>
      <c r="BB237" s="551"/>
      <c r="BC237" s="551"/>
      <c r="BD237" s="551"/>
      <c r="BE237" s="551"/>
      <c r="BF237" s="551"/>
      <c r="BG237" s="551"/>
      <c r="BH237" s="551"/>
      <c r="BI237" s="551"/>
      <c r="BJ237" s="551"/>
    </row>
    <row r="238" spans="1:62" ht="12.75" customHeight="1">
      <c r="A238" s="551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1"/>
      <c r="P238" s="551"/>
      <c r="Q238" s="551"/>
      <c r="R238" s="551"/>
      <c r="S238" s="551"/>
      <c r="T238" s="551"/>
      <c r="U238" s="551"/>
      <c r="V238" s="551"/>
      <c r="W238" s="551"/>
      <c r="X238" s="551"/>
      <c r="Y238" s="551"/>
      <c r="Z238" s="551"/>
      <c r="AA238" s="551"/>
      <c r="AB238" s="551"/>
      <c r="AC238" s="551"/>
      <c r="AD238" s="551"/>
      <c r="AE238" s="551"/>
      <c r="AF238" s="551"/>
      <c r="AG238" s="551"/>
      <c r="AH238" s="551"/>
      <c r="AI238" s="551"/>
      <c r="AJ238" s="551"/>
      <c r="AK238" s="551"/>
      <c r="AL238" s="551"/>
      <c r="AM238" s="551"/>
      <c r="AN238" s="551"/>
      <c r="AO238" s="551"/>
      <c r="AP238" s="551"/>
      <c r="AQ238" s="551"/>
      <c r="AR238" s="551"/>
      <c r="AS238" s="551"/>
      <c r="AT238" s="551"/>
      <c r="AU238" s="551"/>
      <c r="AV238" s="551"/>
      <c r="AW238" s="551"/>
      <c r="AX238" s="551"/>
      <c r="AY238" s="551"/>
      <c r="AZ238" s="551"/>
      <c r="BA238" s="551"/>
      <c r="BB238" s="551"/>
      <c r="BC238" s="551"/>
      <c r="BD238" s="551"/>
      <c r="BE238" s="551"/>
      <c r="BF238" s="551"/>
      <c r="BG238" s="551"/>
      <c r="BH238" s="551"/>
      <c r="BI238" s="551"/>
      <c r="BJ238" s="551"/>
    </row>
    <row r="239" spans="1:62" ht="12.75" customHeight="1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1"/>
      <c r="P239" s="551"/>
      <c r="Q239" s="551"/>
      <c r="R239" s="551"/>
      <c r="S239" s="551"/>
      <c r="T239" s="551"/>
      <c r="U239" s="551"/>
      <c r="V239" s="551"/>
      <c r="W239" s="551"/>
      <c r="X239" s="551"/>
      <c r="Y239" s="551"/>
      <c r="Z239" s="551"/>
      <c r="AA239" s="551"/>
      <c r="AB239" s="551"/>
      <c r="AC239" s="551"/>
      <c r="AD239" s="551"/>
      <c r="AE239" s="551"/>
      <c r="AF239" s="551"/>
      <c r="AG239" s="551"/>
      <c r="AH239" s="551"/>
      <c r="AI239" s="551"/>
      <c r="AJ239" s="551"/>
      <c r="AK239" s="551"/>
      <c r="AL239" s="551"/>
      <c r="AM239" s="551"/>
      <c r="AN239" s="551"/>
      <c r="AO239" s="551"/>
      <c r="AP239" s="551"/>
      <c r="AQ239" s="551"/>
      <c r="AR239" s="551"/>
      <c r="AS239" s="551"/>
      <c r="AT239" s="551"/>
      <c r="AU239" s="551"/>
      <c r="AV239" s="551"/>
      <c r="AW239" s="551"/>
      <c r="AX239" s="551"/>
      <c r="AY239" s="551"/>
      <c r="AZ239" s="551"/>
      <c r="BA239" s="551"/>
      <c r="BB239" s="551"/>
      <c r="BC239" s="551"/>
      <c r="BD239" s="551"/>
      <c r="BE239" s="551"/>
      <c r="BF239" s="551"/>
      <c r="BG239" s="551"/>
      <c r="BH239" s="551"/>
      <c r="BI239" s="551"/>
      <c r="BJ239" s="551"/>
    </row>
    <row r="240" spans="1:62" ht="12.75" customHeight="1">
      <c r="A240" s="551"/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51"/>
      <c r="AB240" s="551"/>
      <c r="AC240" s="551"/>
      <c r="AD240" s="551"/>
      <c r="AE240" s="551"/>
      <c r="AF240" s="551"/>
      <c r="AG240" s="551"/>
      <c r="AH240" s="551"/>
      <c r="AI240" s="551"/>
      <c r="AJ240" s="551"/>
      <c r="AK240" s="551"/>
      <c r="AL240" s="551"/>
      <c r="AM240" s="551"/>
      <c r="AN240" s="551"/>
      <c r="AO240" s="551"/>
      <c r="AP240" s="551"/>
      <c r="AQ240" s="551"/>
      <c r="AR240" s="551"/>
      <c r="AS240" s="551"/>
      <c r="AT240" s="551"/>
      <c r="AU240" s="551"/>
      <c r="AV240" s="551"/>
      <c r="AW240" s="551"/>
      <c r="AX240" s="551"/>
      <c r="AY240" s="551"/>
      <c r="AZ240" s="551"/>
      <c r="BA240" s="551"/>
      <c r="BB240" s="551"/>
      <c r="BC240" s="551"/>
      <c r="BD240" s="551"/>
      <c r="BE240" s="551"/>
      <c r="BF240" s="551"/>
      <c r="BG240" s="551"/>
      <c r="BH240" s="551"/>
      <c r="BI240" s="551"/>
      <c r="BJ240" s="551"/>
    </row>
    <row r="241" spans="1:62" ht="12.75" customHeight="1">
      <c r="A241" s="551"/>
      <c r="B241" s="551"/>
      <c r="C241" s="551"/>
      <c r="D241" s="551"/>
      <c r="E241" s="551"/>
      <c r="F241" s="551"/>
      <c r="G241" s="551"/>
      <c r="H241" s="551"/>
      <c r="I241" s="551"/>
      <c r="J241" s="551"/>
      <c r="K241" s="551"/>
      <c r="L241" s="551"/>
      <c r="M241" s="551"/>
      <c r="N241" s="551"/>
      <c r="O241" s="551"/>
      <c r="P241" s="551"/>
      <c r="Q241" s="551"/>
      <c r="R241" s="551"/>
      <c r="S241" s="551"/>
      <c r="T241" s="551"/>
      <c r="U241" s="551"/>
      <c r="V241" s="551"/>
      <c r="W241" s="551"/>
      <c r="X241" s="551"/>
      <c r="Y241" s="551"/>
      <c r="Z241" s="551"/>
      <c r="AA241" s="551"/>
      <c r="AB241" s="551"/>
      <c r="AC241" s="551"/>
      <c r="AD241" s="551"/>
      <c r="AE241" s="551"/>
      <c r="AF241" s="551"/>
      <c r="AG241" s="551"/>
      <c r="AH241" s="551"/>
      <c r="AI241" s="551"/>
      <c r="AJ241" s="551"/>
      <c r="AK241" s="551"/>
      <c r="AL241" s="551"/>
      <c r="AM241" s="551"/>
      <c r="AN241" s="551"/>
      <c r="AO241" s="551"/>
      <c r="AP241" s="551"/>
      <c r="AQ241" s="551"/>
      <c r="AR241" s="551"/>
      <c r="AS241" s="551"/>
      <c r="AT241" s="551"/>
      <c r="AU241" s="551"/>
      <c r="AV241" s="551"/>
      <c r="AW241" s="551"/>
      <c r="AX241" s="551"/>
      <c r="AY241" s="551"/>
      <c r="AZ241" s="551"/>
      <c r="BA241" s="551"/>
      <c r="BB241" s="551"/>
      <c r="BC241" s="551"/>
      <c r="BD241" s="551"/>
      <c r="BE241" s="551"/>
      <c r="BF241" s="551"/>
      <c r="BG241" s="551"/>
      <c r="BH241" s="551"/>
      <c r="BI241" s="551"/>
      <c r="BJ241" s="551"/>
    </row>
    <row r="242" spans="1:62" ht="12.75" customHeight="1">
      <c r="A242" s="551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1"/>
      <c r="P242" s="551"/>
      <c r="Q242" s="551"/>
      <c r="R242" s="551"/>
      <c r="S242" s="551"/>
      <c r="T242" s="551"/>
      <c r="U242" s="551"/>
      <c r="V242" s="551"/>
      <c r="W242" s="551"/>
      <c r="X242" s="551"/>
      <c r="Y242" s="551"/>
      <c r="Z242" s="551"/>
      <c r="AA242" s="551"/>
      <c r="AB242" s="551"/>
      <c r="AC242" s="551"/>
      <c r="AD242" s="551"/>
      <c r="AE242" s="551"/>
      <c r="AF242" s="551"/>
      <c r="AG242" s="551"/>
      <c r="AH242" s="551"/>
      <c r="AI242" s="551"/>
      <c r="AJ242" s="551"/>
      <c r="AK242" s="551"/>
      <c r="AL242" s="551"/>
      <c r="AM242" s="551"/>
      <c r="AN242" s="551"/>
      <c r="AO242" s="551"/>
      <c r="AP242" s="551"/>
      <c r="AQ242" s="551"/>
      <c r="AR242" s="551"/>
      <c r="AS242" s="551"/>
      <c r="AT242" s="551"/>
      <c r="AU242" s="551"/>
      <c r="AV242" s="551"/>
      <c r="AW242" s="551"/>
      <c r="AX242" s="551"/>
      <c r="AY242" s="551"/>
      <c r="AZ242" s="551"/>
      <c r="BA242" s="551"/>
      <c r="BB242" s="551"/>
      <c r="BC242" s="551"/>
      <c r="BD242" s="551"/>
      <c r="BE242" s="551"/>
      <c r="BF242" s="551"/>
      <c r="BG242" s="551"/>
      <c r="BH242" s="551"/>
      <c r="BI242" s="551"/>
      <c r="BJ242" s="551"/>
    </row>
    <row r="243" spans="1:62" ht="12.75" customHeight="1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1"/>
      <c r="P243" s="551"/>
      <c r="Q243" s="551"/>
      <c r="R243" s="551"/>
      <c r="S243" s="551"/>
      <c r="T243" s="551"/>
      <c r="U243" s="551"/>
      <c r="V243" s="551"/>
      <c r="W243" s="551"/>
      <c r="X243" s="551"/>
      <c r="Y243" s="551"/>
      <c r="Z243" s="551"/>
      <c r="AA243" s="551"/>
      <c r="AB243" s="551"/>
      <c r="AC243" s="551"/>
      <c r="AD243" s="551"/>
      <c r="AE243" s="551"/>
      <c r="AF243" s="551"/>
      <c r="AG243" s="551"/>
      <c r="AH243" s="551"/>
      <c r="AI243" s="551"/>
      <c r="AJ243" s="551"/>
      <c r="AK243" s="551"/>
      <c r="AL243" s="551"/>
      <c r="AM243" s="551"/>
      <c r="AN243" s="551"/>
      <c r="AO243" s="551"/>
      <c r="AP243" s="551"/>
      <c r="AQ243" s="551"/>
      <c r="AR243" s="551"/>
      <c r="AS243" s="551"/>
      <c r="AT243" s="551"/>
      <c r="AU243" s="551"/>
      <c r="AV243" s="551"/>
      <c r="AW243" s="551"/>
      <c r="AX243" s="551"/>
      <c r="AY243" s="551"/>
      <c r="AZ243" s="551"/>
      <c r="BA243" s="551"/>
      <c r="BB243" s="551"/>
      <c r="BC243" s="551"/>
      <c r="BD243" s="551"/>
      <c r="BE243" s="551"/>
      <c r="BF243" s="551"/>
      <c r="BG243" s="551"/>
      <c r="BH243" s="551"/>
      <c r="BI243" s="551"/>
      <c r="BJ243" s="551"/>
    </row>
    <row r="244" spans="1:62" ht="12.75" customHeight="1">
      <c r="A244" s="551"/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51"/>
      <c r="AB244" s="551"/>
      <c r="AC244" s="551"/>
      <c r="AD244" s="551"/>
      <c r="AE244" s="551"/>
      <c r="AF244" s="551"/>
      <c r="AG244" s="551"/>
      <c r="AH244" s="551"/>
      <c r="AI244" s="551"/>
      <c r="AJ244" s="551"/>
      <c r="AK244" s="551"/>
      <c r="AL244" s="551"/>
      <c r="AM244" s="551"/>
      <c r="AN244" s="551"/>
      <c r="AO244" s="551"/>
      <c r="AP244" s="551"/>
      <c r="AQ244" s="551"/>
      <c r="AR244" s="551"/>
      <c r="AS244" s="551"/>
      <c r="AT244" s="551"/>
      <c r="AU244" s="551"/>
      <c r="AV244" s="551"/>
      <c r="AW244" s="551"/>
      <c r="AX244" s="551"/>
      <c r="AY244" s="551"/>
      <c r="AZ244" s="551"/>
      <c r="BA244" s="551"/>
      <c r="BB244" s="551"/>
      <c r="BC244" s="551"/>
      <c r="BD244" s="551"/>
      <c r="BE244" s="551"/>
      <c r="BF244" s="551"/>
      <c r="BG244" s="551"/>
      <c r="BH244" s="551"/>
      <c r="BI244" s="551"/>
      <c r="BJ244" s="551"/>
    </row>
    <row r="245" spans="1:62" ht="12.75" customHeight="1">
      <c r="A245" s="551"/>
      <c r="B245" s="551"/>
      <c r="C245" s="551"/>
      <c r="D245" s="551"/>
      <c r="E245" s="551"/>
      <c r="F245" s="551"/>
      <c r="G245" s="551"/>
      <c r="H245" s="551"/>
      <c r="I245" s="551"/>
      <c r="J245" s="551"/>
      <c r="K245" s="551"/>
      <c r="L245" s="551"/>
      <c r="M245" s="551"/>
      <c r="N245" s="551"/>
      <c r="O245" s="551"/>
      <c r="P245" s="551"/>
      <c r="Q245" s="551"/>
      <c r="R245" s="551"/>
      <c r="S245" s="551"/>
      <c r="T245" s="551"/>
      <c r="U245" s="551"/>
      <c r="V245" s="551"/>
      <c r="W245" s="551"/>
      <c r="X245" s="551"/>
      <c r="Y245" s="551"/>
      <c r="Z245" s="551"/>
      <c r="AA245" s="551"/>
      <c r="AB245" s="551"/>
      <c r="AC245" s="551"/>
      <c r="AD245" s="551"/>
      <c r="AE245" s="551"/>
      <c r="AF245" s="551"/>
      <c r="AG245" s="551"/>
      <c r="AH245" s="551"/>
      <c r="AI245" s="551"/>
      <c r="AJ245" s="551"/>
      <c r="AK245" s="551"/>
      <c r="AL245" s="551"/>
      <c r="AM245" s="551"/>
      <c r="AN245" s="551"/>
      <c r="AO245" s="551"/>
      <c r="AP245" s="551"/>
      <c r="AQ245" s="551"/>
      <c r="AR245" s="551"/>
      <c r="AS245" s="551"/>
      <c r="AT245" s="551"/>
      <c r="AU245" s="551"/>
      <c r="AV245" s="551"/>
      <c r="AW245" s="551"/>
      <c r="AX245" s="551"/>
      <c r="AY245" s="551"/>
      <c r="AZ245" s="551"/>
      <c r="BA245" s="551"/>
      <c r="BB245" s="551"/>
      <c r="BC245" s="551"/>
      <c r="BD245" s="551"/>
      <c r="BE245" s="551"/>
      <c r="BF245" s="551"/>
      <c r="BG245" s="551"/>
      <c r="BH245" s="551"/>
      <c r="BI245" s="551"/>
      <c r="BJ245" s="551"/>
    </row>
    <row r="246" spans="1:62" ht="12.75" customHeight="1">
      <c r="A246" s="551"/>
      <c r="B246" s="551"/>
      <c r="C246" s="551"/>
      <c r="D246" s="551"/>
      <c r="E246" s="551"/>
      <c r="F246" s="551"/>
      <c r="G246" s="551"/>
      <c r="H246" s="551"/>
      <c r="I246" s="551"/>
      <c r="J246" s="551"/>
      <c r="K246" s="551"/>
      <c r="L246" s="551"/>
      <c r="M246" s="551"/>
      <c r="N246" s="551"/>
      <c r="O246" s="551"/>
      <c r="P246" s="551"/>
      <c r="Q246" s="551"/>
      <c r="R246" s="551"/>
      <c r="S246" s="551"/>
      <c r="T246" s="551"/>
      <c r="U246" s="551"/>
      <c r="V246" s="551"/>
      <c r="W246" s="551"/>
      <c r="X246" s="551"/>
      <c r="Y246" s="551"/>
      <c r="Z246" s="551"/>
      <c r="AA246" s="551"/>
      <c r="AB246" s="551"/>
      <c r="AC246" s="551"/>
      <c r="AD246" s="551"/>
      <c r="AE246" s="551"/>
      <c r="AF246" s="551"/>
      <c r="AG246" s="551"/>
      <c r="AH246" s="551"/>
      <c r="AI246" s="551"/>
      <c r="AJ246" s="551"/>
      <c r="AK246" s="551"/>
      <c r="AL246" s="551"/>
      <c r="AM246" s="551"/>
      <c r="AN246" s="551"/>
      <c r="AO246" s="551"/>
      <c r="AP246" s="551"/>
      <c r="AQ246" s="551"/>
      <c r="AR246" s="551"/>
      <c r="AS246" s="551"/>
      <c r="AT246" s="551"/>
      <c r="AU246" s="551"/>
      <c r="AV246" s="551"/>
      <c r="AW246" s="551"/>
      <c r="AX246" s="551"/>
      <c r="AY246" s="551"/>
      <c r="AZ246" s="551"/>
      <c r="BA246" s="551"/>
      <c r="BB246" s="551"/>
      <c r="BC246" s="551"/>
      <c r="BD246" s="551"/>
      <c r="BE246" s="551"/>
      <c r="BF246" s="551"/>
      <c r="BG246" s="551"/>
      <c r="BH246" s="551"/>
      <c r="BI246" s="551"/>
      <c r="BJ246" s="551"/>
    </row>
    <row r="247" spans="1:62" ht="12.75" customHeight="1">
      <c r="A247" s="551"/>
      <c r="B247" s="551"/>
      <c r="C247" s="551"/>
      <c r="D247" s="551"/>
      <c r="E247" s="551"/>
      <c r="F247" s="551"/>
      <c r="G247" s="551"/>
      <c r="H247" s="551"/>
      <c r="I247" s="551"/>
      <c r="J247" s="551"/>
      <c r="K247" s="551"/>
      <c r="L247" s="551"/>
      <c r="M247" s="551"/>
      <c r="N247" s="551"/>
      <c r="O247" s="551"/>
      <c r="P247" s="551"/>
      <c r="Q247" s="551"/>
      <c r="R247" s="551"/>
      <c r="S247" s="551"/>
      <c r="T247" s="551"/>
      <c r="U247" s="551"/>
      <c r="V247" s="551"/>
      <c r="W247" s="551"/>
      <c r="X247" s="551"/>
      <c r="Y247" s="551"/>
      <c r="Z247" s="551"/>
      <c r="AA247" s="551"/>
      <c r="AB247" s="551"/>
      <c r="AC247" s="551"/>
      <c r="AD247" s="551"/>
      <c r="AE247" s="551"/>
      <c r="AF247" s="551"/>
      <c r="AG247" s="551"/>
      <c r="AH247" s="551"/>
      <c r="AI247" s="551"/>
      <c r="AJ247" s="551"/>
      <c r="AK247" s="551"/>
      <c r="AL247" s="551"/>
      <c r="AM247" s="551"/>
      <c r="AN247" s="551"/>
      <c r="AO247" s="551"/>
      <c r="AP247" s="551"/>
      <c r="AQ247" s="551"/>
      <c r="AR247" s="551"/>
      <c r="AS247" s="551"/>
      <c r="AT247" s="551"/>
      <c r="AU247" s="551"/>
      <c r="AV247" s="551"/>
      <c r="AW247" s="551"/>
      <c r="AX247" s="551"/>
      <c r="AY247" s="551"/>
      <c r="AZ247" s="551"/>
      <c r="BA247" s="551"/>
      <c r="BB247" s="551"/>
      <c r="BC247" s="551"/>
      <c r="BD247" s="551"/>
      <c r="BE247" s="551"/>
      <c r="BF247" s="551"/>
      <c r="BG247" s="551"/>
      <c r="BH247" s="551"/>
      <c r="BI247" s="551"/>
      <c r="BJ247" s="551"/>
    </row>
    <row r="248" spans="1:62" ht="12.75" customHeight="1">
      <c r="A248" s="551"/>
      <c r="B248" s="551"/>
      <c r="C248" s="551"/>
      <c r="D248" s="551"/>
      <c r="E248" s="551"/>
      <c r="F248" s="551"/>
      <c r="G248" s="551"/>
      <c r="H248" s="551"/>
      <c r="I248" s="551"/>
      <c r="J248" s="551"/>
      <c r="K248" s="551"/>
      <c r="L248" s="551"/>
      <c r="M248" s="551"/>
      <c r="N248" s="551"/>
      <c r="O248" s="551"/>
      <c r="P248" s="551"/>
      <c r="Q248" s="551"/>
      <c r="R248" s="551"/>
      <c r="S248" s="551"/>
      <c r="T248" s="551"/>
      <c r="U248" s="551"/>
      <c r="V248" s="551"/>
      <c r="W248" s="551"/>
      <c r="X248" s="551"/>
      <c r="Y248" s="551"/>
      <c r="Z248" s="551"/>
      <c r="AA248" s="551"/>
      <c r="AB248" s="551"/>
      <c r="AC248" s="551"/>
      <c r="AD248" s="551"/>
      <c r="AE248" s="551"/>
      <c r="AF248" s="551"/>
      <c r="AG248" s="551"/>
      <c r="AH248" s="551"/>
      <c r="AI248" s="551"/>
      <c r="AJ248" s="551"/>
      <c r="AK248" s="551"/>
      <c r="AL248" s="551"/>
      <c r="AM248" s="551"/>
      <c r="AN248" s="551"/>
      <c r="AO248" s="551"/>
      <c r="AP248" s="551"/>
      <c r="AQ248" s="551"/>
      <c r="AR248" s="551"/>
      <c r="AS248" s="551"/>
      <c r="AT248" s="551"/>
      <c r="AU248" s="551"/>
      <c r="AV248" s="551"/>
      <c r="AW248" s="551"/>
      <c r="AX248" s="551"/>
      <c r="AY248" s="551"/>
      <c r="AZ248" s="551"/>
      <c r="BA248" s="551"/>
      <c r="BB248" s="551"/>
      <c r="BC248" s="551"/>
      <c r="BD248" s="551"/>
      <c r="BE248" s="551"/>
      <c r="BF248" s="551"/>
      <c r="BG248" s="551"/>
      <c r="BH248" s="551"/>
      <c r="BI248" s="551"/>
      <c r="BJ248" s="551"/>
    </row>
    <row r="249" spans="1:62" ht="12.75" customHeight="1">
      <c r="A249" s="551"/>
      <c r="B249" s="551"/>
      <c r="C249" s="551"/>
      <c r="D249" s="551"/>
      <c r="E249" s="551"/>
      <c r="F249" s="551"/>
      <c r="G249" s="551"/>
      <c r="H249" s="551"/>
      <c r="I249" s="551"/>
      <c r="J249" s="551"/>
      <c r="K249" s="551"/>
      <c r="L249" s="551"/>
      <c r="M249" s="551"/>
      <c r="N249" s="551"/>
      <c r="O249" s="551"/>
      <c r="P249" s="551"/>
      <c r="Q249" s="551"/>
      <c r="R249" s="551"/>
      <c r="S249" s="551"/>
      <c r="T249" s="551"/>
      <c r="U249" s="551"/>
      <c r="V249" s="551"/>
      <c r="W249" s="551"/>
      <c r="X249" s="551"/>
      <c r="Y249" s="551"/>
      <c r="Z249" s="551"/>
      <c r="AA249" s="551"/>
      <c r="AB249" s="551"/>
      <c r="AC249" s="551"/>
      <c r="AD249" s="551"/>
      <c r="AE249" s="551"/>
      <c r="AF249" s="551"/>
      <c r="AG249" s="551"/>
      <c r="AH249" s="551"/>
      <c r="AI249" s="551"/>
      <c r="AJ249" s="551"/>
      <c r="AK249" s="551"/>
      <c r="AL249" s="551"/>
      <c r="AM249" s="551"/>
      <c r="AN249" s="551"/>
      <c r="AO249" s="551"/>
      <c r="AP249" s="551"/>
      <c r="AQ249" s="551"/>
      <c r="AR249" s="551"/>
      <c r="AS249" s="551"/>
      <c r="AT249" s="551"/>
      <c r="AU249" s="551"/>
      <c r="AV249" s="551"/>
      <c r="AW249" s="551"/>
      <c r="AX249" s="551"/>
      <c r="AY249" s="551"/>
      <c r="AZ249" s="551"/>
      <c r="BA249" s="551"/>
      <c r="BB249" s="551"/>
      <c r="BC249" s="551"/>
      <c r="BD249" s="551"/>
      <c r="BE249" s="551"/>
      <c r="BF249" s="551"/>
      <c r="BG249" s="551"/>
      <c r="BH249" s="551"/>
      <c r="BI249" s="551"/>
      <c r="BJ249" s="551"/>
    </row>
    <row r="250" spans="1:62" ht="12.75" customHeight="1">
      <c r="A250" s="551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1"/>
      <c r="P250" s="551"/>
      <c r="Q250" s="551"/>
      <c r="R250" s="551"/>
      <c r="S250" s="551"/>
      <c r="T250" s="551"/>
      <c r="U250" s="551"/>
      <c r="V250" s="551"/>
      <c r="W250" s="551"/>
      <c r="X250" s="551"/>
      <c r="Y250" s="551"/>
      <c r="Z250" s="551"/>
      <c r="AA250" s="551"/>
      <c r="AB250" s="551"/>
      <c r="AC250" s="551"/>
      <c r="AD250" s="551"/>
      <c r="AE250" s="551"/>
      <c r="AF250" s="551"/>
      <c r="AG250" s="551"/>
      <c r="AH250" s="551"/>
      <c r="AI250" s="551"/>
      <c r="AJ250" s="551"/>
      <c r="AK250" s="551"/>
      <c r="AL250" s="551"/>
      <c r="AM250" s="551"/>
      <c r="AN250" s="551"/>
      <c r="AO250" s="551"/>
      <c r="AP250" s="551"/>
      <c r="AQ250" s="551"/>
      <c r="AR250" s="551"/>
      <c r="AS250" s="551"/>
      <c r="AT250" s="551"/>
      <c r="AU250" s="551"/>
      <c r="AV250" s="551"/>
      <c r="AW250" s="551"/>
      <c r="AX250" s="551"/>
      <c r="AY250" s="551"/>
      <c r="AZ250" s="551"/>
      <c r="BA250" s="551"/>
      <c r="BB250" s="551"/>
      <c r="BC250" s="551"/>
      <c r="BD250" s="551"/>
      <c r="BE250" s="551"/>
      <c r="BF250" s="551"/>
      <c r="BG250" s="551"/>
      <c r="BH250" s="551"/>
      <c r="BI250" s="551"/>
      <c r="BJ250" s="551"/>
    </row>
    <row r="251" spans="1:62" ht="12.75" customHeight="1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1"/>
      <c r="P251" s="551"/>
      <c r="Q251" s="551"/>
      <c r="R251" s="551"/>
      <c r="S251" s="551"/>
      <c r="T251" s="551"/>
      <c r="U251" s="551"/>
      <c r="V251" s="551"/>
      <c r="W251" s="551"/>
      <c r="X251" s="551"/>
      <c r="Y251" s="551"/>
      <c r="Z251" s="551"/>
      <c r="AA251" s="551"/>
      <c r="AB251" s="551"/>
      <c r="AC251" s="551"/>
      <c r="AD251" s="551"/>
      <c r="AE251" s="551"/>
      <c r="AF251" s="551"/>
      <c r="AG251" s="551"/>
      <c r="AH251" s="551"/>
      <c r="AI251" s="551"/>
      <c r="AJ251" s="551"/>
      <c r="AK251" s="551"/>
      <c r="AL251" s="551"/>
      <c r="AM251" s="551"/>
      <c r="AN251" s="551"/>
      <c r="AO251" s="551"/>
      <c r="AP251" s="551"/>
      <c r="AQ251" s="551"/>
      <c r="AR251" s="551"/>
      <c r="AS251" s="551"/>
      <c r="AT251" s="551"/>
      <c r="AU251" s="551"/>
      <c r="AV251" s="551"/>
      <c r="AW251" s="551"/>
      <c r="AX251" s="551"/>
      <c r="AY251" s="551"/>
      <c r="AZ251" s="551"/>
      <c r="BA251" s="551"/>
      <c r="BB251" s="551"/>
      <c r="BC251" s="551"/>
      <c r="BD251" s="551"/>
      <c r="BE251" s="551"/>
      <c r="BF251" s="551"/>
      <c r="BG251" s="551"/>
      <c r="BH251" s="551"/>
      <c r="BI251" s="551"/>
      <c r="BJ251" s="551"/>
    </row>
    <row r="252" spans="1:62" ht="12.75" customHeight="1">
      <c r="A252" s="551"/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51"/>
      <c r="AB252" s="551"/>
      <c r="AC252" s="551"/>
      <c r="AD252" s="551"/>
      <c r="AE252" s="551"/>
      <c r="AF252" s="551"/>
      <c r="AG252" s="551"/>
      <c r="AH252" s="551"/>
      <c r="AI252" s="551"/>
      <c r="AJ252" s="551"/>
      <c r="AK252" s="551"/>
      <c r="AL252" s="551"/>
      <c r="AM252" s="551"/>
      <c r="AN252" s="551"/>
      <c r="AO252" s="551"/>
      <c r="AP252" s="551"/>
      <c r="AQ252" s="551"/>
      <c r="AR252" s="551"/>
      <c r="AS252" s="551"/>
      <c r="AT252" s="551"/>
      <c r="AU252" s="551"/>
      <c r="AV252" s="551"/>
      <c r="AW252" s="551"/>
      <c r="AX252" s="551"/>
      <c r="AY252" s="551"/>
      <c r="AZ252" s="551"/>
      <c r="BA252" s="551"/>
      <c r="BB252" s="551"/>
      <c r="BC252" s="551"/>
      <c r="BD252" s="551"/>
      <c r="BE252" s="551"/>
      <c r="BF252" s="551"/>
      <c r="BG252" s="551"/>
      <c r="BH252" s="551"/>
      <c r="BI252" s="551"/>
      <c r="BJ252" s="551"/>
    </row>
    <row r="253" spans="1:62" ht="12.75" customHeight="1">
      <c r="A253" s="551"/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51"/>
      <c r="AB253" s="551"/>
      <c r="AC253" s="551"/>
      <c r="AD253" s="551"/>
      <c r="AE253" s="551"/>
      <c r="AF253" s="551"/>
      <c r="AG253" s="551"/>
      <c r="AH253" s="551"/>
      <c r="AI253" s="551"/>
      <c r="AJ253" s="551"/>
      <c r="AK253" s="551"/>
      <c r="AL253" s="551"/>
      <c r="AM253" s="551"/>
      <c r="AN253" s="551"/>
      <c r="AO253" s="551"/>
      <c r="AP253" s="551"/>
      <c r="AQ253" s="551"/>
      <c r="AR253" s="551"/>
      <c r="AS253" s="551"/>
      <c r="AT253" s="551"/>
      <c r="AU253" s="551"/>
      <c r="AV253" s="551"/>
      <c r="AW253" s="551"/>
      <c r="AX253" s="551"/>
      <c r="AY253" s="551"/>
      <c r="AZ253" s="551"/>
      <c r="BA253" s="551"/>
      <c r="BB253" s="551"/>
      <c r="BC253" s="551"/>
      <c r="BD253" s="551"/>
      <c r="BE253" s="551"/>
      <c r="BF253" s="551"/>
      <c r="BG253" s="551"/>
      <c r="BH253" s="551"/>
      <c r="BI253" s="551"/>
      <c r="BJ253" s="551"/>
    </row>
    <row r="254" spans="1:62" ht="12.75" customHeight="1">
      <c r="A254" s="551"/>
      <c r="B254" s="551"/>
      <c r="C254" s="551"/>
      <c r="D254" s="551"/>
      <c r="E254" s="551"/>
      <c r="F254" s="551"/>
      <c r="G254" s="551"/>
      <c r="H254" s="551"/>
      <c r="I254" s="551"/>
      <c r="J254" s="551"/>
      <c r="K254" s="551"/>
      <c r="L254" s="551"/>
      <c r="M254" s="551"/>
      <c r="N254" s="551"/>
      <c r="O254" s="551"/>
      <c r="P254" s="551"/>
      <c r="Q254" s="551"/>
      <c r="R254" s="551"/>
      <c r="S254" s="551"/>
      <c r="T254" s="551"/>
      <c r="U254" s="551"/>
      <c r="V254" s="551"/>
      <c r="W254" s="551"/>
      <c r="X254" s="551"/>
      <c r="Y254" s="551"/>
      <c r="Z254" s="551"/>
      <c r="AA254" s="551"/>
      <c r="AB254" s="551"/>
      <c r="AC254" s="551"/>
      <c r="AD254" s="551"/>
      <c r="AE254" s="551"/>
      <c r="AF254" s="551"/>
      <c r="AG254" s="551"/>
      <c r="AH254" s="551"/>
      <c r="AI254" s="551"/>
      <c r="AJ254" s="551"/>
      <c r="AK254" s="551"/>
      <c r="AL254" s="551"/>
      <c r="AM254" s="551"/>
      <c r="AN254" s="551"/>
      <c r="AO254" s="551"/>
      <c r="AP254" s="551"/>
      <c r="AQ254" s="551"/>
      <c r="AR254" s="551"/>
      <c r="AS254" s="551"/>
      <c r="AT254" s="551"/>
      <c r="AU254" s="551"/>
      <c r="AV254" s="551"/>
      <c r="AW254" s="551"/>
      <c r="AX254" s="551"/>
      <c r="AY254" s="551"/>
      <c r="AZ254" s="551"/>
      <c r="BA254" s="551"/>
      <c r="BB254" s="551"/>
      <c r="BC254" s="551"/>
      <c r="BD254" s="551"/>
      <c r="BE254" s="551"/>
      <c r="BF254" s="551"/>
      <c r="BG254" s="551"/>
      <c r="BH254" s="551"/>
      <c r="BI254" s="551"/>
      <c r="BJ254" s="551"/>
    </row>
    <row r="255" spans="1:62" ht="12.75" customHeight="1">
      <c r="A255" s="551"/>
      <c r="B255" s="551"/>
      <c r="C255" s="551"/>
      <c r="D255" s="551"/>
      <c r="E255" s="551"/>
      <c r="F255" s="551"/>
      <c r="G255" s="551"/>
      <c r="H255" s="551"/>
      <c r="I255" s="551"/>
      <c r="J255" s="551"/>
      <c r="K255" s="551"/>
      <c r="L255" s="551"/>
      <c r="M255" s="551"/>
      <c r="N255" s="551"/>
      <c r="O255" s="551"/>
      <c r="P255" s="551"/>
      <c r="Q255" s="551"/>
      <c r="R255" s="551"/>
      <c r="S255" s="551"/>
      <c r="T255" s="551"/>
      <c r="U255" s="551"/>
      <c r="V255" s="551"/>
      <c r="W255" s="551"/>
      <c r="X255" s="551"/>
      <c r="Y255" s="551"/>
      <c r="Z255" s="551"/>
      <c r="AA255" s="551"/>
      <c r="AB255" s="551"/>
      <c r="AC255" s="551"/>
      <c r="AD255" s="551"/>
      <c r="AE255" s="551"/>
      <c r="AF255" s="551"/>
      <c r="AG255" s="551"/>
      <c r="AH255" s="551"/>
      <c r="AI255" s="551"/>
      <c r="AJ255" s="551"/>
      <c r="AK255" s="551"/>
      <c r="AL255" s="551"/>
      <c r="AM255" s="551"/>
      <c r="AN255" s="551"/>
      <c r="AO255" s="551"/>
      <c r="AP255" s="551"/>
      <c r="AQ255" s="551"/>
      <c r="AR255" s="551"/>
      <c r="AS255" s="551"/>
      <c r="AT255" s="551"/>
      <c r="AU255" s="551"/>
      <c r="AV255" s="551"/>
      <c r="AW255" s="551"/>
      <c r="AX255" s="551"/>
      <c r="AY255" s="551"/>
      <c r="AZ255" s="551"/>
      <c r="BA255" s="551"/>
      <c r="BB255" s="551"/>
      <c r="BC255" s="551"/>
      <c r="BD255" s="551"/>
      <c r="BE255" s="551"/>
      <c r="BF255" s="551"/>
      <c r="BG255" s="551"/>
      <c r="BH255" s="551"/>
      <c r="BI255" s="551"/>
      <c r="BJ255" s="551"/>
    </row>
    <row r="256" spans="1:62" ht="12.75" customHeight="1">
      <c r="A256" s="551"/>
      <c r="B256" s="551"/>
      <c r="C256" s="551"/>
      <c r="D256" s="551"/>
      <c r="E256" s="551"/>
      <c r="F256" s="551"/>
      <c r="G256" s="551"/>
      <c r="H256" s="551"/>
      <c r="I256" s="551"/>
      <c r="J256" s="551"/>
      <c r="K256" s="551"/>
      <c r="L256" s="551"/>
      <c r="M256" s="551"/>
      <c r="N256" s="551"/>
      <c r="O256" s="551"/>
      <c r="P256" s="551"/>
      <c r="Q256" s="551"/>
      <c r="R256" s="551"/>
      <c r="S256" s="551"/>
      <c r="T256" s="551"/>
      <c r="U256" s="551"/>
      <c r="V256" s="551"/>
      <c r="W256" s="551"/>
      <c r="X256" s="551"/>
      <c r="Y256" s="551"/>
      <c r="Z256" s="551"/>
      <c r="AA256" s="551"/>
      <c r="AB256" s="551"/>
      <c r="AC256" s="551"/>
      <c r="AD256" s="551"/>
      <c r="AE256" s="551"/>
      <c r="AF256" s="551"/>
      <c r="AG256" s="551"/>
      <c r="AH256" s="551"/>
      <c r="AI256" s="551"/>
      <c r="AJ256" s="551"/>
      <c r="AK256" s="551"/>
      <c r="AL256" s="551"/>
      <c r="AM256" s="551"/>
      <c r="AN256" s="551"/>
      <c r="AO256" s="551"/>
      <c r="AP256" s="551"/>
      <c r="AQ256" s="551"/>
      <c r="AR256" s="551"/>
      <c r="AS256" s="551"/>
      <c r="AT256" s="551"/>
      <c r="AU256" s="551"/>
      <c r="AV256" s="551"/>
      <c r="AW256" s="551"/>
      <c r="AX256" s="551"/>
      <c r="AY256" s="551"/>
      <c r="AZ256" s="551"/>
      <c r="BA256" s="551"/>
      <c r="BB256" s="551"/>
      <c r="BC256" s="551"/>
      <c r="BD256" s="551"/>
      <c r="BE256" s="551"/>
      <c r="BF256" s="551"/>
      <c r="BG256" s="551"/>
      <c r="BH256" s="551"/>
      <c r="BI256" s="551"/>
      <c r="BJ256" s="551"/>
    </row>
    <row r="257" spans="1:62" ht="12.75" customHeight="1">
      <c r="A257" s="551"/>
      <c r="B257" s="551"/>
      <c r="C257" s="551"/>
      <c r="D257" s="551"/>
      <c r="E257" s="551"/>
      <c r="F257" s="551"/>
      <c r="G257" s="551"/>
      <c r="H257" s="551"/>
      <c r="I257" s="551"/>
      <c r="J257" s="551"/>
      <c r="K257" s="551"/>
      <c r="L257" s="551"/>
      <c r="M257" s="551"/>
      <c r="N257" s="551"/>
      <c r="O257" s="551"/>
      <c r="P257" s="551"/>
      <c r="Q257" s="551"/>
      <c r="R257" s="551"/>
      <c r="S257" s="551"/>
      <c r="T257" s="551"/>
      <c r="U257" s="551"/>
      <c r="V257" s="551"/>
      <c r="W257" s="551"/>
      <c r="X257" s="551"/>
      <c r="Y257" s="551"/>
      <c r="Z257" s="551"/>
      <c r="AA257" s="551"/>
      <c r="AB257" s="551"/>
      <c r="AC257" s="551"/>
      <c r="AD257" s="551"/>
      <c r="AE257" s="551"/>
      <c r="AF257" s="551"/>
      <c r="AG257" s="551"/>
      <c r="AH257" s="551"/>
      <c r="AI257" s="551"/>
      <c r="AJ257" s="551"/>
      <c r="AK257" s="551"/>
      <c r="AL257" s="551"/>
      <c r="AM257" s="551"/>
      <c r="AN257" s="551"/>
      <c r="AO257" s="551"/>
      <c r="AP257" s="551"/>
      <c r="AQ257" s="551"/>
      <c r="AR257" s="551"/>
      <c r="AS257" s="551"/>
      <c r="AT257" s="551"/>
      <c r="AU257" s="551"/>
      <c r="AV257" s="551"/>
      <c r="AW257" s="551"/>
      <c r="AX257" s="551"/>
      <c r="AY257" s="551"/>
      <c r="AZ257" s="551"/>
      <c r="BA257" s="551"/>
      <c r="BB257" s="551"/>
      <c r="BC257" s="551"/>
      <c r="BD257" s="551"/>
      <c r="BE257" s="551"/>
      <c r="BF257" s="551"/>
      <c r="BG257" s="551"/>
      <c r="BH257" s="551"/>
      <c r="BI257" s="551"/>
      <c r="BJ257" s="551"/>
    </row>
    <row r="258" spans="1:62" ht="12.75" customHeight="1">
      <c r="A258" s="551"/>
      <c r="B258" s="551"/>
      <c r="C258" s="551"/>
      <c r="D258" s="551"/>
      <c r="E258" s="551"/>
      <c r="F258" s="551"/>
      <c r="G258" s="551"/>
      <c r="H258" s="551"/>
      <c r="I258" s="551"/>
      <c r="J258" s="551"/>
      <c r="K258" s="551"/>
      <c r="L258" s="551"/>
      <c r="M258" s="551"/>
      <c r="N258" s="551"/>
      <c r="O258" s="551"/>
      <c r="P258" s="551"/>
      <c r="Q258" s="551"/>
      <c r="R258" s="551"/>
      <c r="S258" s="551"/>
      <c r="T258" s="551"/>
      <c r="U258" s="551"/>
      <c r="V258" s="551"/>
      <c r="W258" s="551"/>
      <c r="X258" s="551"/>
      <c r="Y258" s="551"/>
      <c r="Z258" s="551"/>
      <c r="AA258" s="551"/>
      <c r="AB258" s="551"/>
      <c r="AC258" s="551"/>
      <c r="AD258" s="551"/>
      <c r="AE258" s="551"/>
      <c r="AF258" s="551"/>
      <c r="AG258" s="551"/>
      <c r="AH258" s="551"/>
      <c r="AI258" s="551"/>
      <c r="AJ258" s="551"/>
      <c r="AK258" s="551"/>
      <c r="AL258" s="551"/>
      <c r="AM258" s="551"/>
      <c r="AN258" s="551"/>
      <c r="AO258" s="551"/>
      <c r="AP258" s="551"/>
      <c r="AQ258" s="551"/>
      <c r="AR258" s="551"/>
      <c r="AS258" s="551"/>
      <c r="AT258" s="551"/>
      <c r="AU258" s="551"/>
      <c r="AV258" s="551"/>
      <c r="AW258" s="551"/>
      <c r="AX258" s="551"/>
      <c r="AY258" s="551"/>
      <c r="AZ258" s="551"/>
      <c r="BA258" s="551"/>
      <c r="BB258" s="551"/>
      <c r="BC258" s="551"/>
      <c r="BD258" s="551"/>
      <c r="BE258" s="551"/>
      <c r="BF258" s="551"/>
      <c r="BG258" s="551"/>
      <c r="BH258" s="551"/>
      <c r="BI258" s="551"/>
      <c r="BJ258" s="551"/>
    </row>
    <row r="259" spans="1:62" ht="12.75" customHeight="1">
      <c r="A259" s="551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1"/>
      <c r="P259" s="551"/>
      <c r="Q259" s="551"/>
      <c r="R259" s="551"/>
      <c r="S259" s="551"/>
      <c r="T259" s="551"/>
      <c r="U259" s="551"/>
      <c r="V259" s="551"/>
      <c r="W259" s="551"/>
      <c r="X259" s="551"/>
      <c r="Y259" s="551"/>
      <c r="Z259" s="551"/>
      <c r="AA259" s="551"/>
      <c r="AB259" s="551"/>
      <c r="AC259" s="551"/>
      <c r="AD259" s="551"/>
      <c r="AE259" s="551"/>
      <c r="AF259" s="551"/>
      <c r="AG259" s="551"/>
      <c r="AH259" s="551"/>
      <c r="AI259" s="551"/>
      <c r="AJ259" s="551"/>
      <c r="AK259" s="551"/>
      <c r="AL259" s="551"/>
      <c r="AM259" s="551"/>
      <c r="AN259" s="551"/>
      <c r="AO259" s="551"/>
      <c r="AP259" s="551"/>
      <c r="AQ259" s="551"/>
      <c r="AR259" s="551"/>
      <c r="AS259" s="551"/>
      <c r="AT259" s="551"/>
      <c r="AU259" s="551"/>
      <c r="AV259" s="551"/>
      <c r="AW259" s="551"/>
      <c r="AX259" s="551"/>
      <c r="AY259" s="551"/>
      <c r="AZ259" s="551"/>
      <c r="BA259" s="551"/>
      <c r="BB259" s="551"/>
      <c r="BC259" s="551"/>
      <c r="BD259" s="551"/>
      <c r="BE259" s="551"/>
      <c r="BF259" s="551"/>
      <c r="BG259" s="551"/>
      <c r="BH259" s="551"/>
      <c r="BI259" s="551"/>
      <c r="BJ259" s="551"/>
    </row>
    <row r="260" spans="1:62" ht="12.75" customHeight="1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1"/>
      <c r="P260" s="551"/>
      <c r="Q260" s="551"/>
      <c r="R260" s="551"/>
      <c r="S260" s="551"/>
      <c r="T260" s="551"/>
      <c r="U260" s="551"/>
      <c r="V260" s="551"/>
      <c r="W260" s="551"/>
      <c r="X260" s="551"/>
      <c r="Y260" s="551"/>
      <c r="Z260" s="551"/>
      <c r="AA260" s="551"/>
      <c r="AB260" s="551"/>
      <c r="AC260" s="551"/>
      <c r="AD260" s="551"/>
      <c r="AE260" s="551"/>
      <c r="AF260" s="551"/>
      <c r="AG260" s="551"/>
      <c r="AH260" s="551"/>
      <c r="AI260" s="551"/>
      <c r="AJ260" s="551"/>
      <c r="AK260" s="551"/>
      <c r="AL260" s="551"/>
      <c r="AM260" s="551"/>
      <c r="AN260" s="551"/>
      <c r="AO260" s="551"/>
      <c r="AP260" s="551"/>
      <c r="AQ260" s="551"/>
      <c r="AR260" s="551"/>
      <c r="AS260" s="551"/>
      <c r="AT260" s="551"/>
      <c r="AU260" s="551"/>
      <c r="AV260" s="551"/>
      <c r="AW260" s="551"/>
      <c r="AX260" s="551"/>
      <c r="AY260" s="551"/>
      <c r="AZ260" s="551"/>
      <c r="BA260" s="551"/>
      <c r="BB260" s="551"/>
      <c r="BC260" s="551"/>
      <c r="BD260" s="551"/>
      <c r="BE260" s="551"/>
      <c r="BF260" s="551"/>
      <c r="BG260" s="551"/>
      <c r="BH260" s="551"/>
      <c r="BI260" s="551"/>
      <c r="BJ260" s="551"/>
    </row>
    <row r="261" spans="1:62" ht="12.75" customHeight="1">
      <c r="A261" s="551"/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51"/>
      <c r="AB261" s="551"/>
      <c r="AC261" s="551"/>
      <c r="AD261" s="551"/>
      <c r="AE261" s="551"/>
      <c r="AF261" s="551"/>
      <c r="AG261" s="551"/>
      <c r="AH261" s="551"/>
      <c r="AI261" s="551"/>
      <c r="AJ261" s="551"/>
      <c r="AK261" s="551"/>
      <c r="AL261" s="551"/>
      <c r="AM261" s="551"/>
      <c r="AN261" s="551"/>
      <c r="AO261" s="551"/>
      <c r="AP261" s="551"/>
      <c r="AQ261" s="551"/>
      <c r="AR261" s="551"/>
      <c r="AS261" s="551"/>
      <c r="AT261" s="551"/>
      <c r="AU261" s="551"/>
      <c r="AV261" s="551"/>
      <c r="AW261" s="551"/>
      <c r="AX261" s="551"/>
      <c r="AY261" s="551"/>
      <c r="AZ261" s="551"/>
      <c r="BA261" s="551"/>
      <c r="BB261" s="551"/>
      <c r="BC261" s="551"/>
      <c r="BD261" s="551"/>
      <c r="BE261" s="551"/>
      <c r="BF261" s="551"/>
      <c r="BG261" s="551"/>
      <c r="BH261" s="551"/>
      <c r="BI261" s="551"/>
      <c r="BJ261" s="551"/>
    </row>
    <row r="262" spans="1:62" ht="12.75" customHeight="1">
      <c r="A262" s="551"/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51"/>
      <c r="AB262" s="551"/>
      <c r="AC262" s="551"/>
      <c r="AD262" s="551"/>
      <c r="AE262" s="551"/>
      <c r="AF262" s="551"/>
      <c r="AG262" s="551"/>
      <c r="AH262" s="551"/>
      <c r="AI262" s="551"/>
      <c r="AJ262" s="551"/>
      <c r="AK262" s="551"/>
      <c r="AL262" s="551"/>
      <c r="AM262" s="551"/>
      <c r="AN262" s="551"/>
      <c r="AO262" s="551"/>
      <c r="AP262" s="551"/>
      <c r="AQ262" s="551"/>
      <c r="AR262" s="551"/>
      <c r="AS262" s="551"/>
      <c r="AT262" s="551"/>
      <c r="AU262" s="551"/>
      <c r="AV262" s="551"/>
      <c r="AW262" s="551"/>
      <c r="AX262" s="551"/>
      <c r="AY262" s="551"/>
      <c r="AZ262" s="551"/>
      <c r="BA262" s="551"/>
      <c r="BB262" s="551"/>
      <c r="BC262" s="551"/>
      <c r="BD262" s="551"/>
      <c r="BE262" s="551"/>
      <c r="BF262" s="551"/>
      <c r="BG262" s="551"/>
      <c r="BH262" s="551"/>
      <c r="BI262" s="551"/>
      <c r="BJ262" s="551"/>
    </row>
    <row r="263" spans="1:62" ht="12.75" customHeight="1">
      <c r="A263" s="551"/>
      <c r="B263" s="551"/>
      <c r="C263" s="551"/>
      <c r="D263" s="551"/>
      <c r="E263" s="551"/>
      <c r="F263" s="551"/>
      <c r="G263" s="551"/>
      <c r="H263" s="551"/>
      <c r="I263" s="551"/>
      <c r="J263" s="551"/>
      <c r="K263" s="551"/>
      <c r="L263" s="551"/>
      <c r="M263" s="551"/>
      <c r="N263" s="551"/>
      <c r="O263" s="551"/>
      <c r="P263" s="551"/>
      <c r="Q263" s="551"/>
      <c r="R263" s="551"/>
      <c r="S263" s="551"/>
      <c r="T263" s="551"/>
      <c r="U263" s="551"/>
      <c r="V263" s="551"/>
      <c r="W263" s="551"/>
      <c r="X263" s="551"/>
      <c r="Y263" s="551"/>
      <c r="Z263" s="551"/>
      <c r="AA263" s="551"/>
      <c r="AB263" s="551"/>
      <c r="AC263" s="551"/>
      <c r="AD263" s="551"/>
      <c r="AE263" s="551"/>
      <c r="AF263" s="551"/>
      <c r="AG263" s="551"/>
      <c r="AH263" s="551"/>
      <c r="AI263" s="551"/>
      <c r="AJ263" s="551"/>
      <c r="AK263" s="551"/>
      <c r="AL263" s="551"/>
      <c r="AM263" s="551"/>
      <c r="AN263" s="551"/>
      <c r="AO263" s="551"/>
      <c r="AP263" s="551"/>
      <c r="AQ263" s="551"/>
      <c r="AR263" s="551"/>
      <c r="AS263" s="551"/>
      <c r="AT263" s="551"/>
      <c r="AU263" s="551"/>
      <c r="AV263" s="551"/>
      <c r="AW263" s="551"/>
      <c r="AX263" s="551"/>
      <c r="AY263" s="551"/>
      <c r="AZ263" s="551"/>
      <c r="BA263" s="551"/>
      <c r="BB263" s="551"/>
      <c r="BC263" s="551"/>
      <c r="BD263" s="551"/>
      <c r="BE263" s="551"/>
      <c r="BF263" s="551"/>
      <c r="BG263" s="551"/>
      <c r="BH263" s="551"/>
      <c r="BI263" s="551"/>
      <c r="BJ263" s="551"/>
    </row>
    <row r="264" spans="1:62" ht="12.75" customHeight="1">
      <c r="A264" s="551"/>
      <c r="B264" s="551"/>
      <c r="C264" s="551"/>
      <c r="D264" s="551"/>
      <c r="E264" s="551"/>
      <c r="F264" s="551"/>
      <c r="G264" s="551"/>
      <c r="H264" s="551"/>
      <c r="I264" s="551"/>
      <c r="J264" s="551"/>
      <c r="K264" s="551"/>
      <c r="L264" s="551"/>
      <c r="M264" s="551"/>
      <c r="N264" s="551"/>
      <c r="O264" s="551"/>
      <c r="P264" s="551"/>
      <c r="Q264" s="551"/>
      <c r="R264" s="551"/>
      <c r="S264" s="551"/>
      <c r="T264" s="551"/>
      <c r="U264" s="551"/>
      <c r="V264" s="551"/>
      <c r="W264" s="551"/>
      <c r="X264" s="551"/>
      <c r="Y264" s="551"/>
      <c r="Z264" s="551"/>
      <c r="AA264" s="551"/>
      <c r="AB264" s="551"/>
      <c r="AC264" s="551"/>
      <c r="AD264" s="551"/>
      <c r="AE264" s="551"/>
      <c r="AF264" s="551"/>
      <c r="AG264" s="551"/>
      <c r="AH264" s="551"/>
      <c r="AI264" s="551"/>
      <c r="AJ264" s="551"/>
      <c r="AK264" s="551"/>
      <c r="AL264" s="551"/>
      <c r="AM264" s="551"/>
      <c r="AN264" s="551"/>
      <c r="AO264" s="551"/>
      <c r="AP264" s="551"/>
      <c r="AQ264" s="551"/>
      <c r="AR264" s="551"/>
      <c r="AS264" s="551"/>
      <c r="AT264" s="551"/>
      <c r="AU264" s="551"/>
      <c r="AV264" s="551"/>
      <c r="AW264" s="551"/>
      <c r="AX264" s="551"/>
      <c r="AY264" s="551"/>
      <c r="AZ264" s="551"/>
      <c r="BA264" s="551"/>
      <c r="BB264" s="551"/>
      <c r="BC264" s="551"/>
      <c r="BD264" s="551"/>
      <c r="BE264" s="551"/>
      <c r="BF264" s="551"/>
      <c r="BG264" s="551"/>
      <c r="BH264" s="551"/>
      <c r="BI264" s="551"/>
      <c r="BJ264" s="551"/>
    </row>
    <row r="265" spans="1:62" ht="12.75" customHeight="1">
      <c r="A265" s="551"/>
      <c r="B265" s="551"/>
      <c r="C265" s="551"/>
      <c r="D265" s="551"/>
      <c r="E265" s="551"/>
      <c r="F265" s="551"/>
      <c r="G265" s="551"/>
      <c r="H265" s="551"/>
      <c r="I265" s="551"/>
      <c r="J265" s="551"/>
      <c r="K265" s="551"/>
      <c r="L265" s="551"/>
      <c r="M265" s="551"/>
      <c r="N265" s="551"/>
      <c r="O265" s="551"/>
      <c r="P265" s="551"/>
      <c r="Q265" s="551"/>
      <c r="R265" s="551"/>
      <c r="S265" s="551"/>
      <c r="T265" s="551"/>
      <c r="U265" s="551"/>
      <c r="V265" s="551"/>
      <c r="W265" s="551"/>
      <c r="X265" s="551"/>
      <c r="Y265" s="551"/>
      <c r="Z265" s="551"/>
      <c r="AA265" s="551"/>
      <c r="AB265" s="551"/>
      <c r="AC265" s="551"/>
      <c r="AD265" s="551"/>
      <c r="AE265" s="551"/>
      <c r="AF265" s="551"/>
      <c r="AG265" s="551"/>
      <c r="AH265" s="551"/>
      <c r="AI265" s="551"/>
      <c r="AJ265" s="551"/>
      <c r="AK265" s="551"/>
      <c r="AL265" s="551"/>
      <c r="AM265" s="551"/>
      <c r="AN265" s="551"/>
      <c r="AO265" s="551"/>
      <c r="AP265" s="551"/>
      <c r="AQ265" s="551"/>
      <c r="AR265" s="551"/>
      <c r="AS265" s="551"/>
      <c r="AT265" s="551"/>
      <c r="AU265" s="551"/>
      <c r="AV265" s="551"/>
      <c r="AW265" s="551"/>
      <c r="AX265" s="551"/>
      <c r="AY265" s="551"/>
      <c r="AZ265" s="551"/>
      <c r="BA265" s="551"/>
      <c r="BB265" s="551"/>
      <c r="BC265" s="551"/>
      <c r="BD265" s="551"/>
      <c r="BE265" s="551"/>
      <c r="BF265" s="551"/>
      <c r="BG265" s="551"/>
      <c r="BH265" s="551"/>
      <c r="BI265" s="551"/>
      <c r="BJ265" s="551"/>
    </row>
    <row r="266" spans="1:62" ht="12.75" customHeight="1">
      <c r="A266" s="551"/>
      <c r="B266" s="551"/>
      <c r="C266" s="551"/>
      <c r="D266" s="551"/>
      <c r="E266" s="551"/>
      <c r="F266" s="551"/>
      <c r="G266" s="551"/>
      <c r="H266" s="551"/>
      <c r="I266" s="551"/>
      <c r="J266" s="551"/>
      <c r="K266" s="551"/>
      <c r="L266" s="551"/>
      <c r="M266" s="551"/>
      <c r="N266" s="551"/>
      <c r="O266" s="551"/>
      <c r="P266" s="551"/>
      <c r="Q266" s="551"/>
      <c r="R266" s="551"/>
      <c r="S266" s="551"/>
      <c r="T266" s="551"/>
      <c r="U266" s="551"/>
      <c r="V266" s="551"/>
      <c r="W266" s="551"/>
      <c r="X266" s="551"/>
      <c r="Y266" s="551"/>
      <c r="Z266" s="551"/>
      <c r="AA266" s="551"/>
      <c r="AB266" s="551"/>
      <c r="AC266" s="551"/>
      <c r="AD266" s="551"/>
      <c r="AE266" s="551"/>
      <c r="AF266" s="551"/>
      <c r="AG266" s="551"/>
      <c r="AH266" s="551"/>
      <c r="AI266" s="551"/>
      <c r="AJ266" s="551"/>
      <c r="AK266" s="551"/>
      <c r="AL266" s="551"/>
      <c r="AM266" s="551"/>
      <c r="AN266" s="551"/>
      <c r="AO266" s="551"/>
      <c r="AP266" s="551"/>
      <c r="AQ266" s="551"/>
      <c r="AR266" s="551"/>
      <c r="AS266" s="551"/>
      <c r="AT266" s="551"/>
      <c r="AU266" s="551"/>
      <c r="AV266" s="551"/>
      <c r="AW266" s="551"/>
      <c r="AX266" s="551"/>
      <c r="AY266" s="551"/>
      <c r="AZ266" s="551"/>
      <c r="BA266" s="551"/>
      <c r="BB266" s="551"/>
      <c r="BC266" s="551"/>
      <c r="BD266" s="551"/>
      <c r="BE266" s="551"/>
      <c r="BF266" s="551"/>
      <c r="BG266" s="551"/>
      <c r="BH266" s="551"/>
      <c r="BI266" s="551"/>
      <c r="BJ266" s="551"/>
    </row>
    <row r="267" spans="1:62" ht="12.75" customHeight="1">
      <c r="A267" s="551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1"/>
      <c r="P267" s="551"/>
      <c r="Q267" s="551"/>
      <c r="R267" s="551"/>
      <c r="S267" s="551"/>
      <c r="T267" s="551"/>
      <c r="U267" s="551"/>
      <c r="V267" s="551"/>
      <c r="W267" s="551"/>
      <c r="X267" s="551"/>
      <c r="Y267" s="551"/>
      <c r="Z267" s="551"/>
      <c r="AA267" s="551"/>
      <c r="AB267" s="551"/>
      <c r="AC267" s="551"/>
      <c r="AD267" s="551"/>
      <c r="AE267" s="551"/>
      <c r="AF267" s="551"/>
      <c r="AG267" s="551"/>
      <c r="AH267" s="551"/>
      <c r="AI267" s="551"/>
      <c r="AJ267" s="551"/>
      <c r="AK267" s="551"/>
      <c r="AL267" s="551"/>
      <c r="AM267" s="551"/>
      <c r="AN267" s="551"/>
      <c r="AO267" s="551"/>
      <c r="AP267" s="551"/>
      <c r="AQ267" s="551"/>
      <c r="AR267" s="551"/>
      <c r="AS267" s="551"/>
      <c r="AT267" s="551"/>
      <c r="AU267" s="551"/>
      <c r="AV267" s="551"/>
      <c r="AW267" s="551"/>
      <c r="AX267" s="551"/>
      <c r="AY267" s="551"/>
      <c r="AZ267" s="551"/>
      <c r="BA267" s="551"/>
      <c r="BB267" s="551"/>
      <c r="BC267" s="551"/>
      <c r="BD267" s="551"/>
      <c r="BE267" s="551"/>
      <c r="BF267" s="551"/>
      <c r="BG267" s="551"/>
      <c r="BH267" s="551"/>
      <c r="BI267" s="551"/>
      <c r="BJ267" s="551"/>
    </row>
    <row r="268" spans="1:62" ht="12.75" customHeight="1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1"/>
      <c r="P268" s="551"/>
      <c r="Q268" s="551"/>
      <c r="R268" s="551"/>
      <c r="S268" s="551"/>
      <c r="T268" s="551"/>
      <c r="U268" s="551"/>
      <c r="V268" s="551"/>
      <c r="W268" s="551"/>
      <c r="X268" s="551"/>
      <c r="Y268" s="551"/>
      <c r="Z268" s="551"/>
      <c r="AA268" s="551"/>
      <c r="AB268" s="551"/>
      <c r="AC268" s="551"/>
      <c r="AD268" s="551"/>
      <c r="AE268" s="551"/>
      <c r="AF268" s="551"/>
      <c r="AG268" s="551"/>
      <c r="AH268" s="551"/>
      <c r="AI268" s="551"/>
      <c r="AJ268" s="551"/>
      <c r="AK268" s="551"/>
      <c r="AL268" s="551"/>
      <c r="AM268" s="551"/>
      <c r="AN268" s="551"/>
      <c r="AO268" s="551"/>
      <c r="AP268" s="551"/>
      <c r="AQ268" s="551"/>
      <c r="AR268" s="551"/>
      <c r="AS268" s="551"/>
      <c r="AT268" s="551"/>
      <c r="AU268" s="551"/>
      <c r="AV268" s="551"/>
      <c r="AW268" s="551"/>
      <c r="AX268" s="551"/>
      <c r="AY268" s="551"/>
      <c r="AZ268" s="551"/>
      <c r="BA268" s="551"/>
      <c r="BB268" s="551"/>
      <c r="BC268" s="551"/>
      <c r="BD268" s="551"/>
      <c r="BE268" s="551"/>
      <c r="BF268" s="551"/>
      <c r="BG268" s="551"/>
      <c r="BH268" s="551"/>
      <c r="BI268" s="551"/>
      <c r="BJ268" s="551"/>
    </row>
    <row r="269" spans="1:62" ht="12.75" customHeight="1">
      <c r="A269" s="551"/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51"/>
      <c r="AB269" s="551"/>
      <c r="AC269" s="551"/>
      <c r="AD269" s="551"/>
      <c r="AE269" s="551"/>
      <c r="AF269" s="551"/>
      <c r="AG269" s="551"/>
      <c r="AH269" s="551"/>
      <c r="AI269" s="551"/>
      <c r="AJ269" s="551"/>
      <c r="AK269" s="551"/>
      <c r="AL269" s="551"/>
      <c r="AM269" s="551"/>
      <c r="AN269" s="551"/>
      <c r="AO269" s="551"/>
      <c r="AP269" s="551"/>
      <c r="AQ269" s="551"/>
      <c r="AR269" s="551"/>
      <c r="AS269" s="551"/>
      <c r="AT269" s="551"/>
      <c r="AU269" s="551"/>
      <c r="AV269" s="551"/>
      <c r="AW269" s="551"/>
      <c r="AX269" s="551"/>
      <c r="AY269" s="551"/>
      <c r="AZ269" s="551"/>
      <c r="BA269" s="551"/>
      <c r="BB269" s="551"/>
      <c r="BC269" s="551"/>
      <c r="BD269" s="551"/>
      <c r="BE269" s="551"/>
      <c r="BF269" s="551"/>
      <c r="BG269" s="551"/>
      <c r="BH269" s="551"/>
      <c r="BI269" s="551"/>
      <c r="BJ269" s="551"/>
    </row>
    <row r="270" spans="1:62" ht="12.75" customHeight="1">
      <c r="A270" s="551"/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51"/>
      <c r="AB270" s="551"/>
      <c r="AC270" s="551"/>
      <c r="AD270" s="551"/>
      <c r="AE270" s="551"/>
      <c r="AF270" s="551"/>
      <c r="AG270" s="551"/>
      <c r="AH270" s="551"/>
      <c r="AI270" s="551"/>
      <c r="AJ270" s="551"/>
      <c r="AK270" s="551"/>
      <c r="AL270" s="551"/>
      <c r="AM270" s="551"/>
      <c r="AN270" s="551"/>
      <c r="AO270" s="551"/>
      <c r="AP270" s="551"/>
      <c r="AQ270" s="551"/>
      <c r="AR270" s="551"/>
      <c r="AS270" s="551"/>
      <c r="AT270" s="551"/>
      <c r="AU270" s="551"/>
      <c r="AV270" s="551"/>
      <c r="AW270" s="551"/>
      <c r="AX270" s="551"/>
      <c r="AY270" s="551"/>
      <c r="AZ270" s="551"/>
      <c r="BA270" s="551"/>
      <c r="BB270" s="551"/>
      <c r="BC270" s="551"/>
      <c r="BD270" s="551"/>
      <c r="BE270" s="551"/>
      <c r="BF270" s="551"/>
      <c r="BG270" s="551"/>
      <c r="BH270" s="551"/>
      <c r="BI270" s="551"/>
      <c r="BJ270" s="551"/>
    </row>
    <row r="271" spans="1:62" ht="12.75" customHeight="1">
      <c r="A271" s="551"/>
      <c r="B271" s="551"/>
      <c r="C271" s="551"/>
      <c r="D271" s="551"/>
      <c r="E271" s="551"/>
      <c r="F271" s="551"/>
      <c r="G271" s="551"/>
      <c r="H271" s="551"/>
      <c r="I271" s="551"/>
      <c r="J271" s="551"/>
      <c r="K271" s="551"/>
      <c r="L271" s="551"/>
      <c r="M271" s="551"/>
      <c r="N271" s="551"/>
      <c r="O271" s="551"/>
      <c r="P271" s="551"/>
      <c r="Q271" s="551"/>
      <c r="R271" s="551"/>
      <c r="S271" s="551"/>
      <c r="T271" s="551"/>
      <c r="U271" s="551"/>
      <c r="V271" s="551"/>
      <c r="W271" s="551"/>
      <c r="X271" s="551"/>
      <c r="Y271" s="551"/>
      <c r="Z271" s="551"/>
      <c r="AA271" s="551"/>
      <c r="AB271" s="551"/>
      <c r="AC271" s="551"/>
      <c r="AD271" s="551"/>
      <c r="AE271" s="551"/>
      <c r="AF271" s="551"/>
      <c r="AG271" s="551"/>
      <c r="AH271" s="551"/>
      <c r="AI271" s="551"/>
      <c r="AJ271" s="551"/>
      <c r="AK271" s="551"/>
      <c r="AL271" s="551"/>
      <c r="AM271" s="551"/>
      <c r="AN271" s="551"/>
      <c r="AO271" s="551"/>
      <c r="AP271" s="551"/>
      <c r="AQ271" s="551"/>
      <c r="AR271" s="551"/>
      <c r="AS271" s="551"/>
      <c r="AT271" s="551"/>
      <c r="AU271" s="551"/>
      <c r="AV271" s="551"/>
      <c r="AW271" s="551"/>
      <c r="AX271" s="551"/>
      <c r="AY271" s="551"/>
      <c r="AZ271" s="551"/>
      <c r="BA271" s="551"/>
      <c r="BB271" s="551"/>
      <c r="BC271" s="551"/>
      <c r="BD271" s="551"/>
      <c r="BE271" s="551"/>
      <c r="BF271" s="551"/>
      <c r="BG271" s="551"/>
      <c r="BH271" s="551"/>
      <c r="BI271" s="551"/>
      <c r="BJ271" s="551"/>
    </row>
    <row r="272" spans="1:62" ht="12.75" customHeight="1">
      <c r="A272" s="551"/>
      <c r="B272" s="551"/>
      <c r="C272" s="551"/>
      <c r="D272" s="551"/>
      <c r="E272" s="551"/>
      <c r="F272" s="551"/>
      <c r="G272" s="551"/>
      <c r="H272" s="551"/>
      <c r="I272" s="551"/>
      <c r="J272" s="551"/>
      <c r="K272" s="551"/>
      <c r="L272" s="551"/>
      <c r="M272" s="551"/>
      <c r="N272" s="551"/>
      <c r="O272" s="551"/>
      <c r="P272" s="551"/>
      <c r="Q272" s="551"/>
      <c r="R272" s="551"/>
      <c r="S272" s="551"/>
      <c r="T272" s="551"/>
      <c r="U272" s="551"/>
      <c r="V272" s="551"/>
      <c r="W272" s="551"/>
      <c r="X272" s="551"/>
      <c r="Y272" s="551"/>
      <c r="Z272" s="551"/>
      <c r="AA272" s="551"/>
      <c r="AB272" s="551"/>
      <c r="AC272" s="551"/>
      <c r="AD272" s="551"/>
      <c r="AE272" s="551"/>
      <c r="AF272" s="551"/>
      <c r="AG272" s="551"/>
      <c r="AH272" s="551"/>
      <c r="AI272" s="551"/>
      <c r="AJ272" s="551"/>
      <c r="AK272" s="551"/>
      <c r="AL272" s="551"/>
      <c r="AM272" s="551"/>
      <c r="AN272" s="551"/>
      <c r="AO272" s="551"/>
      <c r="AP272" s="551"/>
      <c r="AQ272" s="551"/>
      <c r="AR272" s="551"/>
      <c r="AS272" s="551"/>
      <c r="AT272" s="551"/>
      <c r="AU272" s="551"/>
      <c r="AV272" s="551"/>
      <c r="AW272" s="551"/>
      <c r="AX272" s="551"/>
      <c r="AY272" s="551"/>
      <c r="AZ272" s="551"/>
      <c r="BA272" s="551"/>
      <c r="BB272" s="551"/>
      <c r="BC272" s="551"/>
      <c r="BD272" s="551"/>
      <c r="BE272" s="551"/>
      <c r="BF272" s="551"/>
      <c r="BG272" s="551"/>
      <c r="BH272" s="551"/>
      <c r="BI272" s="551"/>
      <c r="BJ272" s="551"/>
    </row>
    <row r="273" spans="1:62" ht="12.75" customHeight="1">
      <c r="A273" s="551"/>
      <c r="B273" s="551"/>
      <c r="C273" s="551"/>
      <c r="D273" s="551"/>
      <c r="E273" s="551"/>
      <c r="F273" s="551"/>
      <c r="G273" s="551"/>
      <c r="H273" s="551"/>
      <c r="I273" s="551"/>
      <c r="J273" s="551"/>
      <c r="K273" s="551"/>
      <c r="L273" s="551"/>
      <c r="M273" s="551"/>
      <c r="N273" s="551"/>
      <c r="O273" s="551"/>
      <c r="P273" s="551"/>
      <c r="Q273" s="551"/>
      <c r="R273" s="551"/>
      <c r="S273" s="551"/>
      <c r="T273" s="551"/>
      <c r="U273" s="551"/>
      <c r="V273" s="551"/>
      <c r="W273" s="551"/>
      <c r="X273" s="551"/>
      <c r="Y273" s="551"/>
      <c r="Z273" s="551"/>
      <c r="AA273" s="551"/>
      <c r="AB273" s="551"/>
      <c r="AC273" s="551"/>
      <c r="AD273" s="551"/>
      <c r="AE273" s="551"/>
      <c r="AF273" s="551"/>
      <c r="AG273" s="551"/>
      <c r="AH273" s="551"/>
      <c r="AI273" s="551"/>
      <c r="AJ273" s="551"/>
      <c r="AK273" s="551"/>
      <c r="AL273" s="551"/>
      <c r="AM273" s="551"/>
      <c r="AN273" s="551"/>
      <c r="AO273" s="551"/>
      <c r="AP273" s="551"/>
      <c r="AQ273" s="551"/>
      <c r="AR273" s="551"/>
      <c r="AS273" s="551"/>
      <c r="AT273" s="551"/>
      <c r="AU273" s="551"/>
      <c r="AV273" s="551"/>
      <c r="AW273" s="551"/>
      <c r="AX273" s="551"/>
      <c r="AY273" s="551"/>
      <c r="AZ273" s="551"/>
      <c r="BA273" s="551"/>
      <c r="BB273" s="551"/>
      <c r="BC273" s="551"/>
      <c r="BD273" s="551"/>
      <c r="BE273" s="551"/>
      <c r="BF273" s="551"/>
      <c r="BG273" s="551"/>
      <c r="BH273" s="551"/>
      <c r="BI273" s="551"/>
      <c r="BJ273" s="551"/>
    </row>
    <row r="274" spans="1:62" ht="12.75" customHeight="1">
      <c r="A274" s="551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1"/>
      <c r="P274" s="551"/>
      <c r="Q274" s="551"/>
      <c r="R274" s="551"/>
      <c r="S274" s="551"/>
      <c r="T274" s="551"/>
      <c r="U274" s="551"/>
      <c r="V274" s="551"/>
      <c r="W274" s="551"/>
      <c r="X274" s="551"/>
      <c r="Y274" s="551"/>
      <c r="Z274" s="551"/>
      <c r="AA274" s="551"/>
      <c r="AB274" s="551"/>
      <c r="AC274" s="551"/>
      <c r="AD274" s="551"/>
      <c r="AE274" s="551"/>
      <c r="AF274" s="551"/>
      <c r="AG274" s="551"/>
      <c r="AH274" s="551"/>
      <c r="AI274" s="551"/>
      <c r="AJ274" s="551"/>
      <c r="AK274" s="551"/>
      <c r="AL274" s="551"/>
      <c r="AM274" s="551"/>
      <c r="AN274" s="551"/>
      <c r="AO274" s="551"/>
      <c r="AP274" s="551"/>
      <c r="AQ274" s="551"/>
      <c r="AR274" s="551"/>
      <c r="AS274" s="551"/>
      <c r="AT274" s="551"/>
      <c r="AU274" s="551"/>
      <c r="AV274" s="551"/>
      <c r="AW274" s="551"/>
      <c r="AX274" s="551"/>
      <c r="AY274" s="551"/>
      <c r="AZ274" s="551"/>
      <c r="BA274" s="551"/>
      <c r="BB274" s="551"/>
      <c r="BC274" s="551"/>
      <c r="BD274" s="551"/>
      <c r="BE274" s="551"/>
      <c r="BF274" s="551"/>
      <c r="BG274" s="551"/>
      <c r="BH274" s="551"/>
      <c r="BI274" s="551"/>
      <c r="BJ274" s="551"/>
    </row>
    <row r="275" spans="1:62" ht="12.75" customHeight="1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1"/>
      <c r="P275" s="551"/>
      <c r="Q275" s="551"/>
      <c r="R275" s="551"/>
      <c r="S275" s="551"/>
      <c r="T275" s="551"/>
      <c r="U275" s="551"/>
      <c r="V275" s="551"/>
      <c r="W275" s="551"/>
      <c r="X275" s="551"/>
      <c r="Y275" s="551"/>
      <c r="Z275" s="551"/>
      <c r="AA275" s="551"/>
      <c r="AB275" s="551"/>
      <c r="AC275" s="551"/>
      <c r="AD275" s="551"/>
      <c r="AE275" s="551"/>
      <c r="AF275" s="551"/>
      <c r="AG275" s="551"/>
      <c r="AH275" s="551"/>
      <c r="AI275" s="551"/>
      <c r="AJ275" s="551"/>
      <c r="AK275" s="551"/>
      <c r="AL275" s="551"/>
      <c r="AM275" s="551"/>
      <c r="AN275" s="551"/>
      <c r="AO275" s="551"/>
      <c r="AP275" s="551"/>
      <c r="AQ275" s="551"/>
      <c r="AR275" s="551"/>
      <c r="AS275" s="551"/>
      <c r="AT275" s="551"/>
      <c r="AU275" s="551"/>
      <c r="AV275" s="551"/>
      <c r="AW275" s="551"/>
      <c r="AX275" s="551"/>
      <c r="AY275" s="551"/>
      <c r="AZ275" s="551"/>
      <c r="BA275" s="551"/>
      <c r="BB275" s="551"/>
      <c r="BC275" s="551"/>
      <c r="BD275" s="551"/>
      <c r="BE275" s="551"/>
      <c r="BF275" s="551"/>
      <c r="BG275" s="551"/>
      <c r="BH275" s="551"/>
      <c r="BI275" s="551"/>
      <c r="BJ275" s="551"/>
    </row>
    <row r="276" spans="1:62" ht="12.75" customHeight="1">
      <c r="A276" s="551"/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51"/>
      <c r="AB276" s="551"/>
      <c r="AC276" s="551"/>
      <c r="AD276" s="551"/>
      <c r="AE276" s="551"/>
      <c r="AF276" s="551"/>
      <c r="AG276" s="551"/>
      <c r="AH276" s="551"/>
      <c r="AI276" s="551"/>
      <c r="AJ276" s="551"/>
      <c r="AK276" s="551"/>
      <c r="AL276" s="551"/>
      <c r="AM276" s="551"/>
      <c r="AN276" s="551"/>
      <c r="AO276" s="551"/>
      <c r="AP276" s="551"/>
      <c r="AQ276" s="551"/>
      <c r="AR276" s="551"/>
      <c r="AS276" s="551"/>
      <c r="AT276" s="551"/>
      <c r="AU276" s="551"/>
      <c r="AV276" s="551"/>
      <c r="AW276" s="551"/>
      <c r="AX276" s="551"/>
      <c r="AY276" s="551"/>
      <c r="AZ276" s="551"/>
      <c r="BA276" s="551"/>
      <c r="BB276" s="551"/>
      <c r="BC276" s="551"/>
      <c r="BD276" s="551"/>
      <c r="BE276" s="551"/>
      <c r="BF276" s="551"/>
      <c r="BG276" s="551"/>
      <c r="BH276" s="551"/>
      <c r="BI276" s="551"/>
      <c r="BJ276" s="551"/>
    </row>
    <row r="277" spans="1:62" ht="12.75" customHeight="1">
      <c r="A277" s="551"/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51"/>
      <c r="AB277" s="551"/>
      <c r="AC277" s="551"/>
      <c r="AD277" s="551"/>
      <c r="AE277" s="551"/>
      <c r="AF277" s="551"/>
      <c r="AG277" s="551"/>
      <c r="AH277" s="551"/>
      <c r="AI277" s="551"/>
      <c r="AJ277" s="551"/>
      <c r="AK277" s="551"/>
      <c r="AL277" s="551"/>
      <c r="AM277" s="551"/>
      <c r="AN277" s="551"/>
      <c r="AO277" s="551"/>
      <c r="AP277" s="551"/>
      <c r="AQ277" s="551"/>
      <c r="AR277" s="551"/>
      <c r="AS277" s="551"/>
      <c r="AT277" s="551"/>
      <c r="AU277" s="551"/>
      <c r="AV277" s="551"/>
      <c r="AW277" s="551"/>
      <c r="AX277" s="551"/>
      <c r="AY277" s="551"/>
      <c r="AZ277" s="551"/>
      <c r="BA277" s="551"/>
      <c r="BB277" s="551"/>
      <c r="BC277" s="551"/>
      <c r="BD277" s="551"/>
      <c r="BE277" s="551"/>
      <c r="BF277" s="551"/>
      <c r="BG277" s="551"/>
      <c r="BH277" s="551"/>
      <c r="BI277" s="551"/>
      <c r="BJ277" s="551"/>
    </row>
    <row r="278" spans="1:62" ht="12.75" customHeight="1">
      <c r="A278" s="551"/>
      <c r="B278" s="551"/>
      <c r="C278" s="551"/>
      <c r="D278" s="551"/>
      <c r="E278" s="551"/>
      <c r="F278" s="551"/>
      <c r="G278" s="551"/>
      <c r="H278" s="551"/>
      <c r="I278" s="551"/>
      <c r="J278" s="551"/>
      <c r="K278" s="551"/>
      <c r="L278" s="551"/>
      <c r="M278" s="551"/>
      <c r="N278" s="551"/>
      <c r="O278" s="551"/>
      <c r="P278" s="551"/>
      <c r="Q278" s="551"/>
      <c r="R278" s="551"/>
      <c r="S278" s="551"/>
      <c r="T278" s="551"/>
      <c r="U278" s="551"/>
      <c r="V278" s="551"/>
      <c r="W278" s="551"/>
      <c r="X278" s="551"/>
      <c r="Y278" s="551"/>
      <c r="Z278" s="551"/>
      <c r="AA278" s="551"/>
      <c r="AB278" s="551"/>
      <c r="AC278" s="551"/>
      <c r="AD278" s="551"/>
      <c r="AE278" s="551"/>
      <c r="AF278" s="551"/>
      <c r="AG278" s="551"/>
      <c r="AH278" s="551"/>
      <c r="AI278" s="551"/>
      <c r="AJ278" s="551"/>
      <c r="AK278" s="551"/>
      <c r="AL278" s="551"/>
      <c r="AM278" s="551"/>
      <c r="AN278" s="551"/>
      <c r="AO278" s="551"/>
      <c r="AP278" s="551"/>
      <c r="AQ278" s="551"/>
      <c r="AR278" s="551"/>
      <c r="AS278" s="551"/>
      <c r="AT278" s="551"/>
      <c r="AU278" s="551"/>
      <c r="AV278" s="551"/>
      <c r="AW278" s="551"/>
      <c r="AX278" s="551"/>
      <c r="AY278" s="551"/>
      <c r="AZ278" s="551"/>
      <c r="BA278" s="551"/>
      <c r="BB278" s="551"/>
      <c r="BC278" s="551"/>
      <c r="BD278" s="551"/>
      <c r="BE278" s="551"/>
      <c r="BF278" s="551"/>
      <c r="BG278" s="551"/>
      <c r="BH278" s="551"/>
      <c r="BI278" s="551"/>
      <c r="BJ278" s="551"/>
    </row>
    <row r="279" spans="1:62" ht="12.75" customHeight="1">
      <c r="A279" s="551"/>
      <c r="B279" s="551"/>
      <c r="C279" s="551"/>
      <c r="D279" s="551"/>
      <c r="E279" s="551"/>
      <c r="F279" s="551"/>
      <c r="G279" s="551"/>
      <c r="H279" s="551"/>
      <c r="I279" s="551"/>
      <c r="J279" s="551"/>
      <c r="K279" s="551"/>
      <c r="L279" s="551"/>
      <c r="M279" s="551"/>
      <c r="N279" s="551"/>
      <c r="O279" s="551"/>
      <c r="P279" s="551"/>
      <c r="Q279" s="551"/>
      <c r="R279" s="551"/>
      <c r="S279" s="551"/>
      <c r="T279" s="551"/>
      <c r="U279" s="551"/>
      <c r="V279" s="551"/>
      <c r="W279" s="551"/>
      <c r="X279" s="551"/>
      <c r="Y279" s="551"/>
      <c r="Z279" s="551"/>
      <c r="AA279" s="551"/>
      <c r="AB279" s="551"/>
      <c r="AC279" s="551"/>
      <c r="AD279" s="551"/>
      <c r="AE279" s="551"/>
      <c r="AF279" s="551"/>
      <c r="AG279" s="551"/>
      <c r="AH279" s="551"/>
      <c r="AI279" s="551"/>
      <c r="AJ279" s="551"/>
      <c r="AK279" s="551"/>
      <c r="AL279" s="551"/>
      <c r="AM279" s="551"/>
      <c r="AN279" s="551"/>
      <c r="AO279" s="551"/>
      <c r="AP279" s="551"/>
      <c r="AQ279" s="551"/>
      <c r="AR279" s="551"/>
      <c r="AS279" s="551"/>
      <c r="AT279" s="551"/>
      <c r="AU279" s="551"/>
      <c r="AV279" s="551"/>
      <c r="AW279" s="551"/>
      <c r="AX279" s="551"/>
      <c r="AY279" s="551"/>
      <c r="AZ279" s="551"/>
      <c r="BA279" s="551"/>
      <c r="BB279" s="551"/>
      <c r="BC279" s="551"/>
      <c r="BD279" s="551"/>
      <c r="BE279" s="551"/>
      <c r="BF279" s="551"/>
      <c r="BG279" s="551"/>
      <c r="BH279" s="551"/>
      <c r="BI279" s="551"/>
      <c r="BJ279" s="551"/>
    </row>
    <row r="280" spans="1:62" ht="12.75" customHeight="1">
      <c r="A280" s="551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1"/>
      <c r="P280" s="551"/>
      <c r="Q280" s="551"/>
      <c r="R280" s="551"/>
      <c r="S280" s="551"/>
      <c r="T280" s="551"/>
      <c r="U280" s="551"/>
      <c r="V280" s="551"/>
      <c r="W280" s="551"/>
      <c r="X280" s="551"/>
      <c r="Y280" s="551"/>
      <c r="Z280" s="551"/>
      <c r="AA280" s="551"/>
      <c r="AB280" s="551"/>
      <c r="AC280" s="551"/>
      <c r="AD280" s="551"/>
      <c r="AE280" s="551"/>
      <c r="AF280" s="551"/>
      <c r="AG280" s="551"/>
      <c r="AH280" s="551"/>
      <c r="AI280" s="551"/>
      <c r="AJ280" s="551"/>
      <c r="AK280" s="551"/>
      <c r="AL280" s="551"/>
      <c r="AM280" s="551"/>
      <c r="AN280" s="551"/>
      <c r="AO280" s="551"/>
      <c r="AP280" s="551"/>
      <c r="AQ280" s="551"/>
      <c r="AR280" s="551"/>
      <c r="AS280" s="551"/>
      <c r="AT280" s="551"/>
      <c r="AU280" s="551"/>
      <c r="AV280" s="551"/>
      <c r="AW280" s="551"/>
      <c r="AX280" s="551"/>
      <c r="AY280" s="551"/>
      <c r="AZ280" s="551"/>
      <c r="BA280" s="551"/>
      <c r="BB280" s="551"/>
      <c r="BC280" s="551"/>
      <c r="BD280" s="551"/>
      <c r="BE280" s="551"/>
      <c r="BF280" s="551"/>
      <c r="BG280" s="551"/>
      <c r="BH280" s="551"/>
      <c r="BI280" s="551"/>
      <c r="BJ280" s="551"/>
    </row>
    <row r="281" spans="1:62" ht="12.75" customHeight="1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1"/>
      <c r="P281" s="551"/>
      <c r="Q281" s="551"/>
      <c r="R281" s="551"/>
      <c r="S281" s="551"/>
      <c r="T281" s="551"/>
      <c r="U281" s="551"/>
      <c r="V281" s="551"/>
      <c r="W281" s="551"/>
      <c r="X281" s="551"/>
      <c r="Y281" s="551"/>
      <c r="Z281" s="551"/>
      <c r="AA281" s="551"/>
      <c r="AB281" s="551"/>
      <c r="AC281" s="551"/>
      <c r="AD281" s="551"/>
      <c r="AE281" s="551"/>
      <c r="AF281" s="551"/>
      <c r="AG281" s="551"/>
      <c r="AH281" s="551"/>
      <c r="AI281" s="551"/>
      <c r="AJ281" s="551"/>
      <c r="AK281" s="551"/>
      <c r="AL281" s="551"/>
      <c r="AM281" s="551"/>
      <c r="AN281" s="551"/>
      <c r="AO281" s="551"/>
      <c r="AP281" s="551"/>
      <c r="AQ281" s="551"/>
      <c r="AR281" s="551"/>
      <c r="AS281" s="551"/>
      <c r="AT281" s="551"/>
      <c r="AU281" s="551"/>
      <c r="AV281" s="551"/>
      <c r="AW281" s="551"/>
      <c r="AX281" s="551"/>
      <c r="AY281" s="551"/>
      <c r="AZ281" s="551"/>
      <c r="BA281" s="551"/>
      <c r="BB281" s="551"/>
      <c r="BC281" s="551"/>
      <c r="BD281" s="551"/>
      <c r="BE281" s="551"/>
      <c r="BF281" s="551"/>
      <c r="BG281" s="551"/>
      <c r="BH281" s="551"/>
      <c r="BI281" s="551"/>
      <c r="BJ281" s="551"/>
    </row>
    <row r="282" spans="1:62" ht="12.75" customHeight="1">
      <c r="A282" s="551"/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51"/>
      <c r="AB282" s="551"/>
      <c r="AC282" s="551"/>
      <c r="AD282" s="551"/>
      <c r="AE282" s="551"/>
      <c r="AF282" s="551"/>
      <c r="AG282" s="551"/>
      <c r="AH282" s="551"/>
      <c r="AI282" s="551"/>
      <c r="AJ282" s="551"/>
      <c r="AK282" s="551"/>
      <c r="AL282" s="551"/>
      <c r="AM282" s="551"/>
      <c r="AN282" s="551"/>
      <c r="AO282" s="551"/>
      <c r="AP282" s="551"/>
      <c r="AQ282" s="551"/>
      <c r="AR282" s="551"/>
      <c r="AS282" s="551"/>
      <c r="AT282" s="551"/>
      <c r="AU282" s="551"/>
      <c r="AV282" s="551"/>
      <c r="AW282" s="551"/>
      <c r="AX282" s="551"/>
      <c r="AY282" s="551"/>
      <c r="AZ282" s="551"/>
      <c r="BA282" s="551"/>
      <c r="BB282" s="551"/>
      <c r="BC282" s="551"/>
      <c r="BD282" s="551"/>
      <c r="BE282" s="551"/>
      <c r="BF282" s="551"/>
      <c r="BG282" s="551"/>
      <c r="BH282" s="551"/>
      <c r="BI282" s="551"/>
      <c r="BJ282" s="551"/>
    </row>
    <row r="283" spans="1:62" ht="12.75" customHeight="1">
      <c r="A283" s="551"/>
      <c r="B283" s="551"/>
      <c r="C283" s="551"/>
      <c r="D283" s="551"/>
      <c r="E283" s="551"/>
      <c r="F283" s="551"/>
      <c r="G283" s="551"/>
      <c r="H283" s="551"/>
      <c r="I283" s="551"/>
      <c r="J283" s="551"/>
      <c r="K283" s="551"/>
      <c r="L283" s="551"/>
      <c r="M283" s="551"/>
      <c r="N283" s="551"/>
      <c r="O283" s="551"/>
      <c r="P283" s="551"/>
      <c r="Q283" s="551"/>
      <c r="R283" s="551"/>
      <c r="S283" s="551"/>
      <c r="T283" s="551"/>
      <c r="U283" s="551"/>
      <c r="V283" s="551"/>
      <c r="W283" s="551"/>
      <c r="X283" s="551"/>
      <c r="Y283" s="551"/>
      <c r="Z283" s="551"/>
      <c r="AA283" s="551"/>
      <c r="AB283" s="551"/>
      <c r="AC283" s="551"/>
      <c r="AD283" s="551"/>
      <c r="AE283" s="551"/>
      <c r="AF283" s="551"/>
      <c r="AG283" s="551"/>
      <c r="AH283" s="551"/>
      <c r="AI283" s="551"/>
      <c r="AJ283" s="551"/>
      <c r="AK283" s="551"/>
      <c r="AL283" s="551"/>
      <c r="AM283" s="551"/>
      <c r="AN283" s="551"/>
      <c r="AO283" s="551"/>
      <c r="AP283" s="551"/>
      <c r="AQ283" s="551"/>
      <c r="AR283" s="551"/>
      <c r="AS283" s="551"/>
      <c r="AT283" s="551"/>
      <c r="AU283" s="551"/>
      <c r="AV283" s="551"/>
      <c r="AW283" s="551"/>
      <c r="AX283" s="551"/>
      <c r="AY283" s="551"/>
      <c r="AZ283" s="551"/>
      <c r="BA283" s="551"/>
      <c r="BB283" s="551"/>
      <c r="BC283" s="551"/>
      <c r="BD283" s="551"/>
      <c r="BE283" s="551"/>
      <c r="BF283" s="551"/>
      <c r="BG283" s="551"/>
      <c r="BH283" s="551"/>
      <c r="BI283" s="551"/>
      <c r="BJ283" s="551"/>
    </row>
    <row r="284" spans="1:62" ht="12.75" customHeight="1">
      <c r="A284" s="551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1"/>
      <c r="P284" s="551"/>
      <c r="Q284" s="551"/>
      <c r="R284" s="551"/>
      <c r="S284" s="551"/>
      <c r="T284" s="551"/>
      <c r="U284" s="551"/>
      <c r="V284" s="551"/>
      <c r="W284" s="551"/>
      <c r="X284" s="551"/>
      <c r="Y284" s="551"/>
      <c r="Z284" s="551"/>
      <c r="AA284" s="551"/>
      <c r="AB284" s="551"/>
      <c r="AC284" s="551"/>
      <c r="AD284" s="551"/>
      <c r="AE284" s="551"/>
      <c r="AF284" s="551"/>
      <c r="AG284" s="551"/>
      <c r="AH284" s="551"/>
      <c r="AI284" s="551"/>
      <c r="AJ284" s="551"/>
      <c r="AK284" s="551"/>
      <c r="AL284" s="551"/>
      <c r="AM284" s="551"/>
      <c r="AN284" s="551"/>
      <c r="AO284" s="551"/>
      <c r="AP284" s="551"/>
      <c r="AQ284" s="551"/>
      <c r="AR284" s="551"/>
      <c r="AS284" s="551"/>
      <c r="AT284" s="551"/>
      <c r="AU284" s="551"/>
      <c r="AV284" s="551"/>
      <c r="AW284" s="551"/>
      <c r="AX284" s="551"/>
      <c r="AY284" s="551"/>
      <c r="AZ284" s="551"/>
      <c r="BA284" s="551"/>
      <c r="BB284" s="551"/>
      <c r="BC284" s="551"/>
      <c r="BD284" s="551"/>
      <c r="BE284" s="551"/>
      <c r="BF284" s="551"/>
      <c r="BG284" s="551"/>
      <c r="BH284" s="551"/>
      <c r="BI284" s="551"/>
      <c r="BJ284" s="551"/>
    </row>
    <row r="285" spans="1:62" ht="12.75" customHeight="1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1"/>
      <c r="P285" s="551"/>
      <c r="Q285" s="551"/>
      <c r="R285" s="551"/>
      <c r="S285" s="551"/>
      <c r="T285" s="551"/>
      <c r="U285" s="551"/>
      <c r="V285" s="551"/>
      <c r="W285" s="551"/>
      <c r="X285" s="551"/>
      <c r="Y285" s="551"/>
      <c r="Z285" s="551"/>
      <c r="AA285" s="551"/>
      <c r="AB285" s="551"/>
      <c r="AC285" s="551"/>
      <c r="AD285" s="551"/>
      <c r="AE285" s="551"/>
      <c r="AF285" s="551"/>
      <c r="AG285" s="551"/>
      <c r="AH285" s="551"/>
      <c r="AI285" s="551"/>
      <c r="AJ285" s="551"/>
      <c r="AK285" s="551"/>
      <c r="AL285" s="551"/>
      <c r="AM285" s="551"/>
      <c r="AN285" s="551"/>
      <c r="AO285" s="551"/>
      <c r="AP285" s="551"/>
      <c r="AQ285" s="551"/>
      <c r="AR285" s="551"/>
      <c r="AS285" s="551"/>
      <c r="AT285" s="551"/>
      <c r="AU285" s="551"/>
      <c r="AV285" s="551"/>
      <c r="AW285" s="551"/>
      <c r="AX285" s="551"/>
      <c r="AY285" s="551"/>
      <c r="AZ285" s="551"/>
      <c r="BA285" s="551"/>
      <c r="BB285" s="551"/>
      <c r="BC285" s="551"/>
      <c r="BD285" s="551"/>
      <c r="BE285" s="551"/>
      <c r="BF285" s="551"/>
      <c r="BG285" s="551"/>
      <c r="BH285" s="551"/>
      <c r="BI285" s="551"/>
      <c r="BJ285" s="551"/>
    </row>
    <row r="286" spans="1:62" ht="12.75" customHeight="1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51"/>
      <c r="AB286" s="551"/>
      <c r="AC286" s="551"/>
      <c r="AD286" s="551"/>
      <c r="AE286" s="551"/>
      <c r="AF286" s="551"/>
      <c r="AG286" s="551"/>
      <c r="AH286" s="551"/>
      <c r="AI286" s="551"/>
      <c r="AJ286" s="551"/>
      <c r="AK286" s="551"/>
      <c r="AL286" s="551"/>
      <c r="AM286" s="551"/>
      <c r="AN286" s="551"/>
      <c r="AO286" s="551"/>
      <c r="AP286" s="551"/>
      <c r="AQ286" s="551"/>
      <c r="AR286" s="551"/>
      <c r="AS286" s="551"/>
      <c r="AT286" s="551"/>
      <c r="AU286" s="551"/>
      <c r="AV286" s="551"/>
      <c r="AW286" s="551"/>
      <c r="AX286" s="551"/>
      <c r="AY286" s="551"/>
      <c r="AZ286" s="551"/>
      <c r="BA286" s="551"/>
      <c r="BB286" s="551"/>
      <c r="BC286" s="551"/>
      <c r="BD286" s="551"/>
      <c r="BE286" s="551"/>
      <c r="BF286" s="551"/>
      <c r="BG286" s="551"/>
      <c r="BH286" s="551"/>
      <c r="BI286" s="551"/>
      <c r="BJ286" s="551"/>
    </row>
    <row r="287" spans="1:62" ht="12.75" customHeight="1">
      <c r="A287" s="551"/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51"/>
      <c r="AB287" s="551"/>
      <c r="AC287" s="551"/>
      <c r="AD287" s="551"/>
      <c r="AE287" s="551"/>
      <c r="AF287" s="551"/>
      <c r="AG287" s="551"/>
      <c r="AH287" s="551"/>
      <c r="AI287" s="551"/>
      <c r="AJ287" s="551"/>
      <c r="AK287" s="551"/>
      <c r="AL287" s="551"/>
      <c r="AM287" s="551"/>
      <c r="AN287" s="551"/>
      <c r="AO287" s="551"/>
      <c r="AP287" s="551"/>
      <c r="AQ287" s="551"/>
      <c r="AR287" s="551"/>
      <c r="AS287" s="551"/>
      <c r="AT287" s="551"/>
      <c r="AU287" s="551"/>
      <c r="AV287" s="551"/>
      <c r="AW287" s="551"/>
      <c r="AX287" s="551"/>
      <c r="AY287" s="551"/>
      <c r="AZ287" s="551"/>
      <c r="BA287" s="551"/>
      <c r="BB287" s="551"/>
      <c r="BC287" s="551"/>
      <c r="BD287" s="551"/>
      <c r="BE287" s="551"/>
      <c r="BF287" s="551"/>
      <c r="BG287" s="551"/>
      <c r="BH287" s="551"/>
      <c r="BI287" s="551"/>
      <c r="BJ287" s="551"/>
    </row>
    <row r="288" spans="1:62" ht="12.75" customHeight="1">
      <c r="A288" s="551"/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51"/>
      <c r="AB288" s="551"/>
      <c r="AC288" s="551"/>
      <c r="AD288" s="551"/>
      <c r="AE288" s="551"/>
      <c r="AF288" s="551"/>
      <c r="AG288" s="551"/>
      <c r="AH288" s="551"/>
      <c r="AI288" s="551"/>
      <c r="AJ288" s="551"/>
      <c r="AK288" s="551"/>
      <c r="AL288" s="551"/>
      <c r="AM288" s="551"/>
      <c r="AN288" s="551"/>
      <c r="AO288" s="551"/>
      <c r="AP288" s="551"/>
      <c r="AQ288" s="551"/>
      <c r="AR288" s="551"/>
      <c r="AS288" s="551"/>
      <c r="AT288" s="551"/>
      <c r="AU288" s="551"/>
      <c r="AV288" s="551"/>
      <c r="AW288" s="551"/>
      <c r="AX288" s="551"/>
      <c r="AY288" s="551"/>
      <c r="AZ288" s="551"/>
      <c r="BA288" s="551"/>
      <c r="BB288" s="551"/>
      <c r="BC288" s="551"/>
      <c r="BD288" s="551"/>
      <c r="BE288" s="551"/>
      <c r="BF288" s="551"/>
      <c r="BG288" s="551"/>
      <c r="BH288" s="551"/>
      <c r="BI288" s="551"/>
      <c r="BJ288" s="551"/>
    </row>
    <row r="289" spans="1:62" ht="12.75" customHeight="1">
      <c r="A289" s="551"/>
      <c r="B289" s="551"/>
      <c r="C289" s="551"/>
      <c r="D289" s="551"/>
      <c r="E289" s="551"/>
      <c r="F289" s="551"/>
      <c r="G289" s="551"/>
      <c r="H289" s="551"/>
      <c r="I289" s="551"/>
      <c r="J289" s="551"/>
      <c r="K289" s="551"/>
      <c r="L289" s="551"/>
      <c r="M289" s="551"/>
      <c r="N289" s="551"/>
      <c r="O289" s="551"/>
      <c r="P289" s="551"/>
      <c r="Q289" s="551"/>
      <c r="R289" s="551"/>
      <c r="S289" s="551"/>
      <c r="T289" s="551"/>
      <c r="U289" s="551"/>
      <c r="V289" s="551"/>
      <c r="W289" s="551"/>
      <c r="X289" s="551"/>
      <c r="Y289" s="551"/>
      <c r="Z289" s="551"/>
      <c r="AA289" s="551"/>
      <c r="AB289" s="551"/>
      <c r="AC289" s="551"/>
      <c r="AD289" s="551"/>
      <c r="AE289" s="551"/>
      <c r="AF289" s="551"/>
      <c r="AG289" s="551"/>
      <c r="AH289" s="551"/>
      <c r="AI289" s="551"/>
      <c r="AJ289" s="551"/>
      <c r="AK289" s="551"/>
      <c r="AL289" s="551"/>
      <c r="AM289" s="551"/>
      <c r="AN289" s="551"/>
      <c r="AO289" s="551"/>
      <c r="AP289" s="551"/>
      <c r="AQ289" s="551"/>
      <c r="AR289" s="551"/>
      <c r="AS289" s="551"/>
      <c r="AT289" s="551"/>
      <c r="AU289" s="551"/>
      <c r="AV289" s="551"/>
      <c r="AW289" s="551"/>
      <c r="AX289" s="551"/>
      <c r="AY289" s="551"/>
      <c r="AZ289" s="551"/>
      <c r="BA289" s="551"/>
      <c r="BB289" s="551"/>
      <c r="BC289" s="551"/>
      <c r="BD289" s="551"/>
      <c r="BE289" s="551"/>
      <c r="BF289" s="551"/>
      <c r="BG289" s="551"/>
      <c r="BH289" s="551"/>
      <c r="BI289" s="551"/>
      <c r="BJ289" s="551"/>
    </row>
    <row r="290" spans="1:62" ht="12.75" customHeight="1">
      <c r="A290" s="551"/>
      <c r="B290" s="551"/>
      <c r="C290" s="551"/>
      <c r="D290" s="551"/>
      <c r="E290" s="551"/>
      <c r="F290" s="551"/>
      <c r="G290" s="551"/>
      <c r="H290" s="551"/>
      <c r="I290" s="551"/>
      <c r="J290" s="551"/>
      <c r="K290" s="551"/>
      <c r="L290" s="551"/>
      <c r="M290" s="551"/>
      <c r="N290" s="551"/>
      <c r="O290" s="551"/>
      <c r="P290" s="551"/>
      <c r="Q290" s="551"/>
      <c r="R290" s="551"/>
      <c r="S290" s="551"/>
      <c r="T290" s="551"/>
      <c r="U290" s="551"/>
      <c r="V290" s="551"/>
      <c r="W290" s="551"/>
      <c r="X290" s="551"/>
      <c r="Y290" s="551"/>
      <c r="Z290" s="551"/>
      <c r="AA290" s="551"/>
      <c r="AB290" s="551"/>
      <c r="AC290" s="551"/>
      <c r="AD290" s="551"/>
      <c r="AE290" s="551"/>
      <c r="AF290" s="551"/>
      <c r="AG290" s="551"/>
      <c r="AH290" s="551"/>
      <c r="AI290" s="551"/>
      <c r="AJ290" s="551"/>
      <c r="AK290" s="551"/>
      <c r="AL290" s="551"/>
      <c r="AM290" s="551"/>
      <c r="AN290" s="551"/>
      <c r="AO290" s="551"/>
      <c r="AP290" s="551"/>
      <c r="AQ290" s="551"/>
      <c r="AR290" s="551"/>
      <c r="AS290" s="551"/>
      <c r="AT290" s="551"/>
      <c r="AU290" s="551"/>
      <c r="AV290" s="551"/>
      <c r="AW290" s="551"/>
      <c r="AX290" s="551"/>
      <c r="AY290" s="551"/>
      <c r="AZ290" s="551"/>
      <c r="BA290" s="551"/>
      <c r="BB290" s="551"/>
      <c r="BC290" s="551"/>
      <c r="BD290" s="551"/>
      <c r="BE290" s="551"/>
      <c r="BF290" s="551"/>
      <c r="BG290" s="551"/>
      <c r="BH290" s="551"/>
      <c r="BI290" s="551"/>
      <c r="BJ290" s="551"/>
    </row>
    <row r="291" spans="1:62" ht="12.75" customHeight="1">
      <c r="A291" s="551"/>
      <c r="B291" s="551"/>
      <c r="C291" s="551"/>
      <c r="D291" s="551"/>
      <c r="E291" s="551"/>
      <c r="F291" s="551"/>
      <c r="G291" s="551"/>
      <c r="H291" s="551"/>
      <c r="I291" s="551"/>
      <c r="J291" s="551"/>
      <c r="K291" s="551"/>
      <c r="L291" s="551"/>
      <c r="M291" s="551"/>
      <c r="N291" s="551"/>
      <c r="O291" s="551"/>
      <c r="P291" s="551"/>
      <c r="Q291" s="551"/>
      <c r="R291" s="551"/>
      <c r="S291" s="551"/>
      <c r="T291" s="551"/>
      <c r="U291" s="551"/>
      <c r="V291" s="551"/>
      <c r="W291" s="551"/>
      <c r="X291" s="551"/>
      <c r="Y291" s="551"/>
      <c r="Z291" s="551"/>
      <c r="AA291" s="551"/>
      <c r="AB291" s="551"/>
      <c r="AC291" s="551"/>
      <c r="AD291" s="551"/>
      <c r="AE291" s="551"/>
      <c r="AF291" s="551"/>
      <c r="AG291" s="551"/>
      <c r="AH291" s="551"/>
      <c r="AI291" s="551"/>
      <c r="AJ291" s="551"/>
      <c r="AK291" s="551"/>
      <c r="AL291" s="551"/>
      <c r="AM291" s="551"/>
      <c r="AN291" s="551"/>
      <c r="AO291" s="551"/>
      <c r="AP291" s="551"/>
      <c r="AQ291" s="551"/>
      <c r="AR291" s="551"/>
      <c r="AS291" s="551"/>
      <c r="AT291" s="551"/>
      <c r="AU291" s="551"/>
      <c r="AV291" s="551"/>
      <c r="AW291" s="551"/>
      <c r="AX291" s="551"/>
      <c r="AY291" s="551"/>
      <c r="AZ291" s="551"/>
      <c r="BA291" s="551"/>
      <c r="BB291" s="551"/>
      <c r="BC291" s="551"/>
      <c r="BD291" s="551"/>
      <c r="BE291" s="551"/>
      <c r="BF291" s="551"/>
      <c r="BG291" s="551"/>
      <c r="BH291" s="551"/>
      <c r="BI291" s="551"/>
      <c r="BJ291" s="551"/>
    </row>
    <row r="292" spans="1:62" ht="12.75" customHeight="1">
      <c r="A292" s="551"/>
      <c r="B292" s="551"/>
      <c r="C292" s="551"/>
      <c r="D292" s="551"/>
      <c r="E292" s="551"/>
      <c r="F292" s="551"/>
      <c r="G292" s="551"/>
      <c r="H292" s="551"/>
      <c r="I292" s="551"/>
      <c r="J292" s="551"/>
      <c r="K292" s="551"/>
      <c r="L292" s="551"/>
      <c r="M292" s="551"/>
      <c r="N292" s="551"/>
      <c r="O292" s="551"/>
      <c r="P292" s="551"/>
      <c r="Q292" s="551"/>
      <c r="R292" s="551"/>
      <c r="S292" s="551"/>
      <c r="T292" s="551"/>
      <c r="U292" s="551"/>
      <c r="V292" s="551"/>
      <c r="W292" s="551"/>
      <c r="X292" s="551"/>
      <c r="Y292" s="551"/>
      <c r="Z292" s="551"/>
      <c r="AA292" s="551"/>
      <c r="AB292" s="551"/>
      <c r="AC292" s="551"/>
      <c r="AD292" s="551"/>
      <c r="AE292" s="551"/>
      <c r="AF292" s="551"/>
      <c r="AG292" s="551"/>
      <c r="AH292" s="551"/>
      <c r="AI292" s="551"/>
      <c r="AJ292" s="551"/>
      <c r="AK292" s="551"/>
      <c r="AL292" s="551"/>
      <c r="AM292" s="551"/>
      <c r="AN292" s="551"/>
      <c r="AO292" s="551"/>
      <c r="AP292" s="551"/>
      <c r="AQ292" s="551"/>
      <c r="AR292" s="551"/>
      <c r="AS292" s="551"/>
      <c r="AT292" s="551"/>
      <c r="AU292" s="551"/>
      <c r="AV292" s="551"/>
      <c r="AW292" s="551"/>
      <c r="AX292" s="551"/>
      <c r="AY292" s="551"/>
      <c r="AZ292" s="551"/>
      <c r="BA292" s="551"/>
      <c r="BB292" s="551"/>
      <c r="BC292" s="551"/>
      <c r="BD292" s="551"/>
      <c r="BE292" s="551"/>
      <c r="BF292" s="551"/>
      <c r="BG292" s="551"/>
      <c r="BH292" s="551"/>
      <c r="BI292" s="551"/>
      <c r="BJ292" s="551"/>
    </row>
    <row r="293" spans="1:62" ht="12.75" customHeight="1">
      <c r="A293" s="551"/>
      <c r="B293" s="551"/>
      <c r="C293" s="551"/>
      <c r="D293" s="551"/>
      <c r="E293" s="551"/>
      <c r="F293" s="551"/>
      <c r="G293" s="551"/>
      <c r="H293" s="551"/>
      <c r="I293" s="551"/>
      <c r="J293" s="551"/>
      <c r="K293" s="551"/>
      <c r="L293" s="551"/>
      <c r="M293" s="551"/>
      <c r="N293" s="551"/>
      <c r="O293" s="551"/>
      <c r="P293" s="551"/>
      <c r="Q293" s="551"/>
      <c r="R293" s="551"/>
      <c r="S293" s="551"/>
      <c r="T293" s="551"/>
      <c r="U293" s="551"/>
      <c r="V293" s="551"/>
      <c r="W293" s="551"/>
      <c r="X293" s="551"/>
      <c r="Y293" s="551"/>
      <c r="Z293" s="551"/>
      <c r="AA293" s="551"/>
      <c r="AB293" s="551"/>
      <c r="AC293" s="551"/>
      <c r="AD293" s="551"/>
      <c r="AE293" s="551"/>
      <c r="AF293" s="551"/>
      <c r="AG293" s="551"/>
      <c r="AH293" s="551"/>
      <c r="AI293" s="551"/>
      <c r="AJ293" s="551"/>
      <c r="AK293" s="551"/>
      <c r="AL293" s="551"/>
      <c r="AM293" s="551"/>
      <c r="AN293" s="551"/>
      <c r="AO293" s="551"/>
      <c r="AP293" s="551"/>
      <c r="AQ293" s="551"/>
      <c r="AR293" s="551"/>
      <c r="AS293" s="551"/>
      <c r="AT293" s="551"/>
      <c r="AU293" s="551"/>
      <c r="AV293" s="551"/>
      <c r="AW293" s="551"/>
      <c r="AX293" s="551"/>
      <c r="AY293" s="551"/>
      <c r="AZ293" s="551"/>
      <c r="BA293" s="551"/>
      <c r="BB293" s="551"/>
      <c r="BC293" s="551"/>
      <c r="BD293" s="551"/>
      <c r="BE293" s="551"/>
      <c r="BF293" s="551"/>
      <c r="BG293" s="551"/>
      <c r="BH293" s="551"/>
      <c r="BI293" s="551"/>
      <c r="BJ293" s="551"/>
    </row>
    <row r="294" spans="1:62" ht="12.75" customHeight="1">
      <c r="A294" s="551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1"/>
      <c r="P294" s="551"/>
      <c r="Q294" s="551"/>
      <c r="R294" s="551"/>
      <c r="S294" s="551"/>
      <c r="T294" s="551"/>
      <c r="U294" s="551"/>
      <c r="V294" s="551"/>
      <c r="W294" s="551"/>
      <c r="X294" s="551"/>
      <c r="Y294" s="551"/>
      <c r="Z294" s="551"/>
      <c r="AA294" s="551"/>
      <c r="AB294" s="551"/>
      <c r="AC294" s="551"/>
      <c r="AD294" s="551"/>
      <c r="AE294" s="551"/>
      <c r="AF294" s="551"/>
      <c r="AG294" s="551"/>
      <c r="AH294" s="551"/>
      <c r="AI294" s="551"/>
      <c r="AJ294" s="551"/>
      <c r="AK294" s="551"/>
      <c r="AL294" s="551"/>
      <c r="AM294" s="551"/>
      <c r="AN294" s="551"/>
      <c r="AO294" s="551"/>
      <c r="AP294" s="551"/>
      <c r="AQ294" s="551"/>
      <c r="AR294" s="551"/>
      <c r="AS294" s="551"/>
      <c r="AT294" s="551"/>
      <c r="AU294" s="551"/>
      <c r="AV294" s="551"/>
      <c r="AW294" s="551"/>
      <c r="AX294" s="551"/>
      <c r="AY294" s="551"/>
      <c r="AZ294" s="551"/>
      <c r="BA294" s="551"/>
      <c r="BB294" s="551"/>
      <c r="BC294" s="551"/>
      <c r="BD294" s="551"/>
      <c r="BE294" s="551"/>
      <c r="BF294" s="551"/>
      <c r="BG294" s="551"/>
      <c r="BH294" s="551"/>
      <c r="BI294" s="551"/>
      <c r="BJ294" s="551"/>
    </row>
    <row r="295" spans="1:62" ht="12.75" customHeight="1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1"/>
      <c r="P295" s="551"/>
      <c r="Q295" s="551"/>
      <c r="R295" s="551"/>
      <c r="S295" s="551"/>
      <c r="T295" s="551"/>
      <c r="U295" s="551"/>
      <c r="V295" s="551"/>
      <c r="W295" s="551"/>
      <c r="X295" s="551"/>
      <c r="Y295" s="551"/>
      <c r="Z295" s="551"/>
      <c r="AA295" s="551"/>
      <c r="AB295" s="551"/>
      <c r="AC295" s="551"/>
      <c r="AD295" s="551"/>
      <c r="AE295" s="551"/>
      <c r="AF295" s="551"/>
      <c r="AG295" s="551"/>
      <c r="AH295" s="551"/>
      <c r="AI295" s="551"/>
      <c r="AJ295" s="551"/>
      <c r="AK295" s="551"/>
      <c r="AL295" s="551"/>
      <c r="AM295" s="551"/>
      <c r="AN295" s="551"/>
      <c r="AO295" s="551"/>
      <c r="AP295" s="551"/>
      <c r="AQ295" s="551"/>
      <c r="AR295" s="551"/>
      <c r="AS295" s="551"/>
      <c r="AT295" s="551"/>
      <c r="AU295" s="551"/>
      <c r="AV295" s="551"/>
      <c r="AW295" s="551"/>
      <c r="AX295" s="551"/>
      <c r="AY295" s="551"/>
      <c r="AZ295" s="551"/>
      <c r="BA295" s="551"/>
      <c r="BB295" s="551"/>
      <c r="BC295" s="551"/>
      <c r="BD295" s="551"/>
      <c r="BE295" s="551"/>
      <c r="BF295" s="551"/>
      <c r="BG295" s="551"/>
      <c r="BH295" s="551"/>
      <c r="BI295" s="551"/>
      <c r="BJ295" s="551"/>
    </row>
    <row r="296" spans="1:62" ht="12.75" customHeight="1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51"/>
      <c r="AB296" s="551"/>
      <c r="AC296" s="551"/>
      <c r="AD296" s="551"/>
      <c r="AE296" s="551"/>
      <c r="AF296" s="551"/>
      <c r="AG296" s="551"/>
      <c r="AH296" s="551"/>
      <c r="AI296" s="551"/>
      <c r="AJ296" s="551"/>
      <c r="AK296" s="551"/>
      <c r="AL296" s="551"/>
      <c r="AM296" s="551"/>
      <c r="AN296" s="551"/>
      <c r="AO296" s="551"/>
      <c r="AP296" s="551"/>
      <c r="AQ296" s="551"/>
      <c r="AR296" s="551"/>
      <c r="AS296" s="551"/>
      <c r="AT296" s="551"/>
      <c r="AU296" s="551"/>
      <c r="AV296" s="551"/>
      <c r="AW296" s="551"/>
      <c r="AX296" s="551"/>
      <c r="AY296" s="551"/>
      <c r="AZ296" s="551"/>
      <c r="BA296" s="551"/>
      <c r="BB296" s="551"/>
      <c r="BC296" s="551"/>
      <c r="BD296" s="551"/>
      <c r="BE296" s="551"/>
      <c r="BF296" s="551"/>
      <c r="BG296" s="551"/>
      <c r="BH296" s="551"/>
      <c r="BI296" s="551"/>
      <c r="BJ296" s="551"/>
    </row>
    <row r="297" spans="1:62" ht="12.75" customHeight="1">
      <c r="A297" s="551"/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51"/>
      <c r="AB297" s="551"/>
      <c r="AC297" s="551"/>
      <c r="AD297" s="551"/>
      <c r="AE297" s="551"/>
      <c r="AF297" s="551"/>
      <c r="AG297" s="551"/>
      <c r="AH297" s="551"/>
      <c r="AI297" s="551"/>
      <c r="AJ297" s="551"/>
      <c r="AK297" s="551"/>
      <c r="AL297" s="551"/>
      <c r="AM297" s="551"/>
      <c r="AN297" s="551"/>
      <c r="AO297" s="551"/>
      <c r="AP297" s="551"/>
      <c r="AQ297" s="551"/>
      <c r="AR297" s="551"/>
      <c r="AS297" s="551"/>
      <c r="AT297" s="551"/>
      <c r="AU297" s="551"/>
      <c r="AV297" s="551"/>
      <c r="AW297" s="551"/>
      <c r="AX297" s="551"/>
      <c r="AY297" s="551"/>
      <c r="AZ297" s="551"/>
      <c r="BA297" s="551"/>
      <c r="BB297" s="551"/>
      <c r="BC297" s="551"/>
      <c r="BD297" s="551"/>
      <c r="BE297" s="551"/>
      <c r="BF297" s="551"/>
      <c r="BG297" s="551"/>
      <c r="BH297" s="551"/>
      <c r="BI297" s="551"/>
      <c r="BJ297" s="551"/>
    </row>
    <row r="298" spans="1:62" ht="12.75" customHeight="1">
      <c r="A298" s="551"/>
      <c r="B298" s="551"/>
      <c r="C298" s="551"/>
      <c r="D298" s="551"/>
      <c r="E298" s="551"/>
      <c r="F298" s="551"/>
      <c r="G298" s="551"/>
      <c r="H298" s="551"/>
      <c r="I298" s="551"/>
      <c r="J298" s="551"/>
      <c r="K298" s="551"/>
      <c r="L298" s="551"/>
      <c r="M298" s="551"/>
      <c r="N298" s="551"/>
      <c r="O298" s="551"/>
      <c r="P298" s="551"/>
      <c r="Q298" s="551"/>
      <c r="R298" s="551"/>
      <c r="S298" s="551"/>
      <c r="T298" s="551"/>
      <c r="U298" s="551"/>
      <c r="V298" s="551"/>
      <c r="W298" s="551"/>
      <c r="X298" s="551"/>
      <c r="Y298" s="551"/>
      <c r="Z298" s="551"/>
      <c r="AA298" s="551"/>
      <c r="AB298" s="551"/>
      <c r="AC298" s="551"/>
      <c r="AD298" s="551"/>
      <c r="AE298" s="551"/>
      <c r="AF298" s="551"/>
      <c r="AG298" s="551"/>
      <c r="AH298" s="551"/>
      <c r="AI298" s="551"/>
      <c r="AJ298" s="551"/>
      <c r="AK298" s="551"/>
      <c r="AL298" s="551"/>
      <c r="AM298" s="551"/>
      <c r="AN298" s="551"/>
      <c r="AO298" s="551"/>
      <c r="AP298" s="551"/>
      <c r="AQ298" s="551"/>
      <c r="AR298" s="551"/>
      <c r="AS298" s="551"/>
      <c r="AT298" s="551"/>
      <c r="AU298" s="551"/>
      <c r="AV298" s="551"/>
      <c r="AW298" s="551"/>
      <c r="AX298" s="551"/>
      <c r="AY298" s="551"/>
      <c r="AZ298" s="551"/>
      <c r="BA298" s="551"/>
      <c r="BB298" s="551"/>
      <c r="BC298" s="551"/>
      <c r="BD298" s="551"/>
      <c r="BE298" s="551"/>
      <c r="BF298" s="551"/>
      <c r="BG298" s="551"/>
      <c r="BH298" s="551"/>
      <c r="BI298" s="551"/>
      <c r="BJ298" s="551"/>
    </row>
    <row r="299" spans="1:62" ht="12.75" customHeight="1">
      <c r="A299" s="551"/>
      <c r="B299" s="551"/>
      <c r="C299" s="551"/>
      <c r="D299" s="551"/>
      <c r="E299" s="551"/>
      <c r="F299" s="551"/>
      <c r="G299" s="551"/>
      <c r="H299" s="551"/>
      <c r="I299" s="551"/>
      <c r="J299" s="551"/>
      <c r="K299" s="551"/>
      <c r="L299" s="551"/>
      <c r="M299" s="551"/>
      <c r="N299" s="551"/>
      <c r="O299" s="551"/>
      <c r="P299" s="551"/>
      <c r="Q299" s="551"/>
      <c r="R299" s="551"/>
      <c r="S299" s="551"/>
      <c r="T299" s="551"/>
      <c r="U299" s="551"/>
      <c r="V299" s="551"/>
      <c r="W299" s="551"/>
      <c r="X299" s="551"/>
      <c r="Y299" s="551"/>
      <c r="Z299" s="551"/>
      <c r="AA299" s="551"/>
      <c r="AB299" s="551"/>
      <c r="AC299" s="551"/>
      <c r="AD299" s="551"/>
      <c r="AE299" s="551"/>
      <c r="AF299" s="551"/>
      <c r="AG299" s="551"/>
      <c r="AH299" s="551"/>
      <c r="AI299" s="551"/>
      <c r="AJ299" s="551"/>
      <c r="AK299" s="551"/>
      <c r="AL299" s="551"/>
      <c r="AM299" s="551"/>
      <c r="AN299" s="551"/>
      <c r="AO299" s="551"/>
      <c r="AP299" s="551"/>
      <c r="AQ299" s="551"/>
      <c r="AR299" s="551"/>
      <c r="AS299" s="551"/>
      <c r="AT299" s="551"/>
      <c r="AU299" s="551"/>
      <c r="AV299" s="551"/>
      <c r="AW299" s="551"/>
      <c r="AX299" s="551"/>
      <c r="AY299" s="551"/>
      <c r="AZ299" s="551"/>
      <c r="BA299" s="551"/>
      <c r="BB299" s="551"/>
      <c r="BC299" s="551"/>
      <c r="BD299" s="551"/>
      <c r="BE299" s="551"/>
      <c r="BF299" s="551"/>
      <c r="BG299" s="551"/>
      <c r="BH299" s="551"/>
      <c r="BI299" s="551"/>
      <c r="BJ299" s="551"/>
    </row>
    <row r="300" spans="1:62" ht="12.75" customHeight="1">
      <c r="A300" s="551"/>
      <c r="B300" s="551"/>
      <c r="C300" s="551"/>
      <c r="D300" s="551"/>
      <c r="E300" s="551"/>
      <c r="F300" s="551"/>
      <c r="G300" s="551"/>
      <c r="H300" s="551"/>
      <c r="I300" s="551"/>
      <c r="J300" s="551"/>
      <c r="K300" s="551"/>
      <c r="L300" s="551"/>
      <c r="M300" s="551"/>
      <c r="N300" s="551"/>
      <c r="O300" s="551"/>
      <c r="P300" s="551"/>
      <c r="Q300" s="551"/>
      <c r="R300" s="551"/>
      <c r="S300" s="551"/>
      <c r="T300" s="551"/>
      <c r="U300" s="551"/>
      <c r="V300" s="551"/>
      <c r="W300" s="551"/>
      <c r="X300" s="551"/>
      <c r="Y300" s="551"/>
      <c r="Z300" s="551"/>
      <c r="AA300" s="551"/>
      <c r="AB300" s="551"/>
      <c r="AC300" s="551"/>
      <c r="AD300" s="551"/>
      <c r="AE300" s="551"/>
      <c r="AF300" s="551"/>
      <c r="AG300" s="551"/>
      <c r="AH300" s="551"/>
      <c r="AI300" s="551"/>
      <c r="AJ300" s="551"/>
      <c r="AK300" s="551"/>
      <c r="AL300" s="551"/>
      <c r="AM300" s="551"/>
      <c r="AN300" s="551"/>
      <c r="AO300" s="551"/>
      <c r="AP300" s="551"/>
      <c r="AQ300" s="551"/>
      <c r="AR300" s="551"/>
      <c r="AS300" s="551"/>
      <c r="AT300" s="551"/>
      <c r="AU300" s="551"/>
      <c r="AV300" s="551"/>
      <c r="AW300" s="551"/>
      <c r="AX300" s="551"/>
      <c r="AY300" s="551"/>
      <c r="AZ300" s="551"/>
      <c r="BA300" s="551"/>
      <c r="BB300" s="551"/>
      <c r="BC300" s="551"/>
      <c r="BD300" s="551"/>
      <c r="BE300" s="551"/>
      <c r="BF300" s="551"/>
      <c r="BG300" s="551"/>
      <c r="BH300" s="551"/>
      <c r="BI300" s="551"/>
      <c r="BJ300" s="551"/>
    </row>
    <row r="301" spans="1:62" ht="12.75" customHeight="1">
      <c r="A301" s="551"/>
      <c r="B301" s="551"/>
      <c r="C301" s="551"/>
      <c r="D301" s="551"/>
      <c r="E301" s="551"/>
      <c r="F301" s="551"/>
      <c r="G301" s="551"/>
      <c r="H301" s="551"/>
      <c r="I301" s="551"/>
      <c r="J301" s="551"/>
      <c r="K301" s="551"/>
      <c r="L301" s="551"/>
      <c r="M301" s="551"/>
      <c r="N301" s="551"/>
      <c r="O301" s="551"/>
      <c r="P301" s="551"/>
      <c r="Q301" s="551"/>
      <c r="R301" s="551"/>
      <c r="S301" s="551"/>
      <c r="T301" s="551"/>
      <c r="U301" s="551"/>
      <c r="V301" s="551"/>
      <c r="W301" s="551"/>
      <c r="X301" s="551"/>
      <c r="Y301" s="551"/>
      <c r="Z301" s="551"/>
      <c r="AA301" s="551"/>
      <c r="AB301" s="551"/>
      <c r="AC301" s="551"/>
      <c r="AD301" s="551"/>
      <c r="AE301" s="551"/>
      <c r="AF301" s="551"/>
      <c r="AG301" s="551"/>
      <c r="AH301" s="551"/>
      <c r="AI301" s="551"/>
      <c r="AJ301" s="551"/>
      <c r="AK301" s="551"/>
      <c r="AL301" s="551"/>
      <c r="AM301" s="551"/>
      <c r="AN301" s="551"/>
      <c r="AO301" s="551"/>
      <c r="AP301" s="551"/>
      <c r="AQ301" s="551"/>
      <c r="AR301" s="551"/>
      <c r="AS301" s="551"/>
      <c r="AT301" s="551"/>
      <c r="AU301" s="551"/>
      <c r="AV301" s="551"/>
      <c r="AW301" s="551"/>
      <c r="AX301" s="551"/>
      <c r="AY301" s="551"/>
      <c r="AZ301" s="551"/>
      <c r="BA301" s="551"/>
      <c r="BB301" s="551"/>
      <c r="BC301" s="551"/>
      <c r="BD301" s="551"/>
      <c r="BE301" s="551"/>
      <c r="BF301" s="551"/>
      <c r="BG301" s="551"/>
      <c r="BH301" s="551"/>
      <c r="BI301" s="551"/>
      <c r="BJ301" s="551"/>
    </row>
    <row r="302" spans="1:62" ht="12.75" customHeight="1">
      <c r="A302" s="551"/>
      <c r="B302" s="551"/>
      <c r="C302" s="551"/>
      <c r="D302" s="551"/>
      <c r="E302" s="551"/>
      <c r="F302" s="551"/>
      <c r="G302" s="551"/>
      <c r="H302" s="551"/>
      <c r="I302" s="551"/>
      <c r="J302" s="551"/>
      <c r="K302" s="551"/>
      <c r="L302" s="551"/>
      <c r="M302" s="551"/>
      <c r="N302" s="551"/>
      <c r="O302" s="551"/>
      <c r="P302" s="551"/>
      <c r="Q302" s="551"/>
      <c r="R302" s="551"/>
      <c r="S302" s="551"/>
      <c r="T302" s="551"/>
      <c r="U302" s="551"/>
      <c r="V302" s="551"/>
      <c r="W302" s="551"/>
      <c r="X302" s="551"/>
      <c r="Y302" s="551"/>
      <c r="Z302" s="551"/>
      <c r="AA302" s="551"/>
      <c r="AB302" s="551"/>
      <c r="AC302" s="551"/>
      <c r="AD302" s="551"/>
      <c r="AE302" s="551"/>
      <c r="AF302" s="551"/>
      <c r="AG302" s="551"/>
      <c r="AH302" s="551"/>
      <c r="AI302" s="551"/>
      <c r="AJ302" s="551"/>
      <c r="AK302" s="551"/>
      <c r="AL302" s="551"/>
      <c r="AM302" s="551"/>
      <c r="AN302" s="551"/>
      <c r="AO302" s="551"/>
      <c r="AP302" s="551"/>
      <c r="AQ302" s="551"/>
      <c r="AR302" s="551"/>
      <c r="AS302" s="551"/>
      <c r="AT302" s="551"/>
      <c r="AU302" s="551"/>
      <c r="AV302" s="551"/>
      <c r="AW302" s="551"/>
      <c r="AX302" s="551"/>
      <c r="AY302" s="551"/>
      <c r="AZ302" s="551"/>
      <c r="BA302" s="551"/>
      <c r="BB302" s="551"/>
      <c r="BC302" s="551"/>
      <c r="BD302" s="551"/>
      <c r="BE302" s="551"/>
      <c r="BF302" s="551"/>
      <c r="BG302" s="551"/>
      <c r="BH302" s="551"/>
      <c r="BI302" s="551"/>
      <c r="BJ302" s="551"/>
    </row>
    <row r="303" spans="1:62" ht="12.75" customHeight="1">
      <c r="A303" s="551"/>
      <c r="B303" s="551"/>
      <c r="C303" s="551"/>
      <c r="D303" s="551"/>
      <c r="E303" s="551"/>
      <c r="F303" s="551"/>
      <c r="G303" s="551"/>
      <c r="H303" s="551"/>
      <c r="I303" s="551"/>
      <c r="J303" s="551"/>
      <c r="K303" s="551"/>
      <c r="L303" s="551"/>
      <c r="M303" s="551"/>
      <c r="N303" s="551"/>
      <c r="O303" s="551"/>
      <c r="P303" s="551"/>
      <c r="Q303" s="551"/>
      <c r="R303" s="551"/>
      <c r="S303" s="551"/>
      <c r="T303" s="551"/>
      <c r="U303" s="551"/>
      <c r="V303" s="551"/>
      <c r="W303" s="551"/>
      <c r="X303" s="551"/>
      <c r="Y303" s="551"/>
      <c r="Z303" s="551"/>
      <c r="AA303" s="551"/>
      <c r="AB303" s="551"/>
      <c r="AC303" s="551"/>
      <c r="AD303" s="551"/>
      <c r="AE303" s="551"/>
      <c r="AF303" s="551"/>
      <c r="AG303" s="551"/>
      <c r="AH303" s="551"/>
      <c r="AI303" s="551"/>
      <c r="AJ303" s="551"/>
      <c r="AK303" s="551"/>
      <c r="AL303" s="551"/>
      <c r="AM303" s="551"/>
      <c r="AN303" s="551"/>
      <c r="AO303" s="551"/>
      <c r="AP303" s="551"/>
      <c r="AQ303" s="551"/>
      <c r="AR303" s="551"/>
      <c r="AS303" s="551"/>
      <c r="AT303" s="551"/>
      <c r="AU303" s="551"/>
      <c r="AV303" s="551"/>
      <c r="AW303" s="551"/>
      <c r="AX303" s="551"/>
      <c r="AY303" s="551"/>
      <c r="AZ303" s="551"/>
      <c r="BA303" s="551"/>
      <c r="BB303" s="551"/>
      <c r="BC303" s="551"/>
      <c r="BD303" s="551"/>
      <c r="BE303" s="551"/>
      <c r="BF303" s="551"/>
      <c r="BG303" s="551"/>
      <c r="BH303" s="551"/>
      <c r="BI303" s="551"/>
      <c r="BJ303" s="551"/>
    </row>
    <row r="304" spans="1:62" ht="12.75" customHeight="1">
      <c r="A304" s="551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1"/>
      <c r="P304" s="551"/>
      <c r="Q304" s="551"/>
      <c r="R304" s="551"/>
      <c r="S304" s="551"/>
      <c r="T304" s="551"/>
      <c r="U304" s="551"/>
      <c r="V304" s="551"/>
      <c r="W304" s="551"/>
      <c r="X304" s="551"/>
      <c r="Y304" s="551"/>
      <c r="Z304" s="551"/>
      <c r="AA304" s="551"/>
      <c r="AB304" s="551"/>
      <c r="AC304" s="551"/>
      <c r="AD304" s="551"/>
      <c r="AE304" s="551"/>
      <c r="AF304" s="551"/>
      <c r="AG304" s="551"/>
      <c r="AH304" s="551"/>
      <c r="AI304" s="551"/>
      <c r="AJ304" s="551"/>
      <c r="AK304" s="551"/>
      <c r="AL304" s="551"/>
      <c r="AM304" s="551"/>
      <c r="AN304" s="551"/>
      <c r="AO304" s="551"/>
      <c r="AP304" s="551"/>
      <c r="AQ304" s="551"/>
      <c r="AR304" s="551"/>
      <c r="AS304" s="551"/>
      <c r="AT304" s="551"/>
      <c r="AU304" s="551"/>
      <c r="AV304" s="551"/>
      <c r="AW304" s="551"/>
      <c r="AX304" s="551"/>
      <c r="AY304" s="551"/>
      <c r="AZ304" s="551"/>
      <c r="BA304" s="551"/>
      <c r="BB304" s="551"/>
      <c r="BC304" s="551"/>
      <c r="BD304" s="551"/>
      <c r="BE304" s="551"/>
      <c r="BF304" s="551"/>
      <c r="BG304" s="551"/>
      <c r="BH304" s="551"/>
      <c r="BI304" s="551"/>
      <c r="BJ304" s="551"/>
    </row>
    <row r="305" spans="1:62" ht="12.75" customHeight="1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1"/>
      <c r="P305" s="551"/>
      <c r="Q305" s="551"/>
      <c r="R305" s="551"/>
      <c r="S305" s="551"/>
      <c r="T305" s="551"/>
      <c r="U305" s="551"/>
      <c r="V305" s="551"/>
      <c r="W305" s="551"/>
      <c r="X305" s="551"/>
      <c r="Y305" s="551"/>
      <c r="Z305" s="551"/>
      <c r="AA305" s="551"/>
      <c r="AB305" s="551"/>
      <c r="AC305" s="551"/>
      <c r="AD305" s="551"/>
      <c r="AE305" s="551"/>
      <c r="AF305" s="551"/>
      <c r="AG305" s="551"/>
      <c r="AH305" s="551"/>
      <c r="AI305" s="551"/>
      <c r="AJ305" s="551"/>
      <c r="AK305" s="551"/>
      <c r="AL305" s="551"/>
      <c r="AM305" s="551"/>
      <c r="AN305" s="551"/>
      <c r="AO305" s="551"/>
      <c r="AP305" s="551"/>
      <c r="AQ305" s="551"/>
      <c r="AR305" s="551"/>
      <c r="AS305" s="551"/>
      <c r="AT305" s="551"/>
      <c r="AU305" s="551"/>
      <c r="AV305" s="551"/>
      <c r="AW305" s="551"/>
      <c r="AX305" s="551"/>
      <c r="AY305" s="551"/>
      <c r="AZ305" s="551"/>
      <c r="BA305" s="551"/>
      <c r="BB305" s="551"/>
      <c r="BC305" s="551"/>
      <c r="BD305" s="551"/>
      <c r="BE305" s="551"/>
      <c r="BF305" s="551"/>
      <c r="BG305" s="551"/>
      <c r="BH305" s="551"/>
      <c r="BI305" s="551"/>
      <c r="BJ305" s="551"/>
    </row>
    <row r="306" spans="1:62" ht="12.75" customHeight="1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51"/>
      <c r="AB306" s="551"/>
      <c r="AC306" s="551"/>
      <c r="AD306" s="551"/>
      <c r="AE306" s="551"/>
      <c r="AF306" s="551"/>
      <c r="AG306" s="551"/>
      <c r="AH306" s="551"/>
      <c r="AI306" s="551"/>
      <c r="AJ306" s="551"/>
      <c r="AK306" s="551"/>
      <c r="AL306" s="551"/>
      <c r="AM306" s="551"/>
      <c r="AN306" s="551"/>
      <c r="AO306" s="551"/>
      <c r="AP306" s="551"/>
      <c r="AQ306" s="551"/>
      <c r="AR306" s="551"/>
      <c r="AS306" s="551"/>
      <c r="AT306" s="551"/>
      <c r="AU306" s="551"/>
      <c r="AV306" s="551"/>
      <c r="AW306" s="551"/>
      <c r="AX306" s="551"/>
      <c r="AY306" s="551"/>
      <c r="AZ306" s="551"/>
      <c r="BA306" s="551"/>
      <c r="BB306" s="551"/>
      <c r="BC306" s="551"/>
      <c r="BD306" s="551"/>
      <c r="BE306" s="551"/>
      <c r="BF306" s="551"/>
      <c r="BG306" s="551"/>
      <c r="BH306" s="551"/>
      <c r="BI306" s="551"/>
      <c r="BJ306" s="551"/>
    </row>
    <row r="307" spans="1:62" ht="12.75" customHeight="1">
      <c r="A307" s="551"/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51"/>
      <c r="AB307" s="551"/>
      <c r="AC307" s="551"/>
      <c r="AD307" s="551"/>
      <c r="AE307" s="551"/>
      <c r="AF307" s="551"/>
      <c r="AG307" s="551"/>
      <c r="AH307" s="551"/>
      <c r="AI307" s="551"/>
      <c r="AJ307" s="551"/>
      <c r="AK307" s="551"/>
      <c r="AL307" s="551"/>
      <c r="AM307" s="551"/>
      <c r="AN307" s="551"/>
      <c r="AO307" s="551"/>
      <c r="AP307" s="551"/>
      <c r="AQ307" s="551"/>
      <c r="AR307" s="551"/>
      <c r="AS307" s="551"/>
      <c r="AT307" s="551"/>
      <c r="AU307" s="551"/>
      <c r="AV307" s="551"/>
      <c r="AW307" s="551"/>
      <c r="AX307" s="551"/>
      <c r="AY307" s="551"/>
      <c r="AZ307" s="551"/>
      <c r="BA307" s="551"/>
      <c r="BB307" s="551"/>
      <c r="BC307" s="551"/>
      <c r="BD307" s="551"/>
      <c r="BE307" s="551"/>
      <c r="BF307" s="551"/>
      <c r="BG307" s="551"/>
      <c r="BH307" s="551"/>
      <c r="BI307" s="551"/>
      <c r="BJ307" s="551"/>
    </row>
    <row r="308" spans="1:62" ht="12.75" customHeight="1">
      <c r="A308" s="551"/>
      <c r="B308" s="551"/>
      <c r="C308" s="551"/>
      <c r="D308" s="551"/>
      <c r="E308" s="551"/>
      <c r="F308" s="551"/>
      <c r="G308" s="551"/>
      <c r="H308" s="551"/>
      <c r="I308" s="551"/>
      <c r="J308" s="551"/>
      <c r="K308" s="551"/>
      <c r="L308" s="551"/>
      <c r="M308" s="551"/>
      <c r="N308" s="551"/>
      <c r="O308" s="551"/>
      <c r="P308" s="551"/>
      <c r="Q308" s="551"/>
      <c r="R308" s="551"/>
      <c r="S308" s="551"/>
      <c r="T308" s="551"/>
      <c r="U308" s="551"/>
      <c r="V308" s="551"/>
      <c r="W308" s="551"/>
      <c r="X308" s="551"/>
      <c r="Y308" s="551"/>
      <c r="Z308" s="551"/>
      <c r="AA308" s="551"/>
      <c r="AB308" s="551"/>
      <c r="AC308" s="551"/>
      <c r="AD308" s="551"/>
      <c r="AE308" s="551"/>
      <c r="AF308" s="551"/>
      <c r="AG308" s="551"/>
      <c r="AH308" s="551"/>
      <c r="AI308" s="551"/>
      <c r="AJ308" s="551"/>
      <c r="AK308" s="551"/>
      <c r="AL308" s="551"/>
      <c r="AM308" s="551"/>
      <c r="AN308" s="551"/>
      <c r="AO308" s="551"/>
      <c r="AP308" s="551"/>
      <c r="AQ308" s="551"/>
      <c r="AR308" s="551"/>
      <c r="AS308" s="551"/>
      <c r="AT308" s="551"/>
      <c r="AU308" s="551"/>
      <c r="AV308" s="551"/>
      <c r="AW308" s="551"/>
      <c r="AX308" s="551"/>
      <c r="AY308" s="551"/>
      <c r="AZ308" s="551"/>
      <c r="BA308" s="551"/>
      <c r="BB308" s="551"/>
      <c r="BC308" s="551"/>
      <c r="BD308" s="551"/>
      <c r="BE308" s="551"/>
      <c r="BF308" s="551"/>
      <c r="BG308" s="551"/>
      <c r="BH308" s="551"/>
      <c r="BI308" s="551"/>
      <c r="BJ308" s="551"/>
    </row>
    <row r="309" spans="1:62" ht="12.75" customHeight="1">
      <c r="A309" s="551"/>
      <c r="B309" s="551"/>
      <c r="C309" s="551"/>
      <c r="D309" s="551"/>
      <c r="E309" s="551"/>
      <c r="F309" s="551"/>
      <c r="G309" s="551"/>
      <c r="H309" s="551"/>
      <c r="I309" s="551"/>
      <c r="J309" s="551"/>
      <c r="K309" s="551"/>
      <c r="L309" s="551"/>
      <c r="M309" s="551"/>
      <c r="N309" s="551"/>
      <c r="O309" s="551"/>
      <c r="P309" s="551"/>
      <c r="Q309" s="551"/>
      <c r="R309" s="551"/>
      <c r="S309" s="551"/>
      <c r="T309" s="551"/>
      <c r="U309" s="551"/>
      <c r="V309" s="551"/>
      <c r="W309" s="551"/>
      <c r="X309" s="551"/>
      <c r="Y309" s="551"/>
      <c r="Z309" s="551"/>
      <c r="AA309" s="551"/>
      <c r="AB309" s="551"/>
      <c r="AC309" s="551"/>
      <c r="AD309" s="551"/>
      <c r="AE309" s="551"/>
      <c r="AF309" s="551"/>
      <c r="AG309" s="551"/>
      <c r="AH309" s="551"/>
      <c r="AI309" s="551"/>
      <c r="AJ309" s="551"/>
      <c r="AK309" s="551"/>
      <c r="AL309" s="551"/>
      <c r="AM309" s="551"/>
      <c r="AN309" s="551"/>
      <c r="AO309" s="551"/>
      <c r="AP309" s="551"/>
      <c r="AQ309" s="551"/>
      <c r="AR309" s="551"/>
      <c r="AS309" s="551"/>
      <c r="AT309" s="551"/>
      <c r="AU309" s="551"/>
      <c r="AV309" s="551"/>
      <c r="AW309" s="551"/>
      <c r="AX309" s="551"/>
      <c r="AY309" s="551"/>
      <c r="AZ309" s="551"/>
      <c r="BA309" s="551"/>
      <c r="BB309" s="551"/>
      <c r="BC309" s="551"/>
      <c r="BD309" s="551"/>
      <c r="BE309" s="551"/>
      <c r="BF309" s="551"/>
      <c r="BG309" s="551"/>
      <c r="BH309" s="551"/>
      <c r="BI309" s="551"/>
      <c r="BJ309" s="551"/>
    </row>
    <row r="310" spans="1:62" ht="12.75" customHeight="1">
      <c r="A310" s="551"/>
      <c r="B310" s="551"/>
      <c r="C310" s="551"/>
      <c r="D310" s="551"/>
      <c r="E310" s="551"/>
      <c r="F310" s="551"/>
      <c r="G310" s="551"/>
      <c r="H310" s="551"/>
      <c r="I310" s="551"/>
      <c r="J310" s="551"/>
      <c r="K310" s="551"/>
      <c r="L310" s="551"/>
      <c r="M310" s="551"/>
      <c r="N310" s="551"/>
      <c r="O310" s="551"/>
      <c r="P310" s="551"/>
      <c r="Q310" s="551"/>
      <c r="R310" s="551"/>
      <c r="S310" s="551"/>
      <c r="T310" s="551"/>
      <c r="U310" s="551"/>
      <c r="V310" s="551"/>
      <c r="W310" s="551"/>
      <c r="X310" s="551"/>
      <c r="Y310" s="551"/>
      <c r="Z310" s="551"/>
      <c r="AA310" s="551"/>
      <c r="AB310" s="551"/>
      <c r="AC310" s="551"/>
      <c r="AD310" s="551"/>
      <c r="AE310" s="551"/>
      <c r="AF310" s="551"/>
      <c r="AG310" s="551"/>
      <c r="AH310" s="551"/>
      <c r="AI310" s="551"/>
      <c r="AJ310" s="551"/>
      <c r="AK310" s="551"/>
      <c r="AL310" s="551"/>
      <c r="AM310" s="551"/>
      <c r="AN310" s="551"/>
      <c r="AO310" s="551"/>
      <c r="AP310" s="551"/>
      <c r="AQ310" s="551"/>
      <c r="AR310" s="551"/>
      <c r="AS310" s="551"/>
      <c r="AT310" s="551"/>
      <c r="AU310" s="551"/>
      <c r="AV310" s="551"/>
      <c r="AW310" s="551"/>
      <c r="AX310" s="551"/>
      <c r="AY310" s="551"/>
      <c r="AZ310" s="551"/>
      <c r="BA310" s="551"/>
      <c r="BB310" s="551"/>
      <c r="BC310" s="551"/>
      <c r="BD310" s="551"/>
      <c r="BE310" s="551"/>
      <c r="BF310" s="551"/>
      <c r="BG310" s="551"/>
      <c r="BH310" s="551"/>
      <c r="BI310" s="551"/>
      <c r="BJ310" s="551"/>
    </row>
    <row r="311" spans="1:62" ht="12.75" customHeight="1">
      <c r="A311" s="551"/>
      <c r="B311" s="551"/>
      <c r="C311" s="551"/>
      <c r="D311" s="551"/>
      <c r="E311" s="551"/>
      <c r="F311" s="551"/>
      <c r="G311" s="551"/>
      <c r="H311" s="551"/>
      <c r="I311" s="551"/>
      <c r="J311" s="551"/>
      <c r="K311" s="551"/>
      <c r="L311" s="551"/>
      <c r="M311" s="551"/>
      <c r="N311" s="551"/>
      <c r="O311" s="551"/>
      <c r="P311" s="551"/>
      <c r="Q311" s="551"/>
      <c r="R311" s="551"/>
      <c r="S311" s="551"/>
      <c r="T311" s="551"/>
      <c r="U311" s="551"/>
      <c r="V311" s="551"/>
      <c r="W311" s="551"/>
      <c r="X311" s="551"/>
      <c r="Y311" s="551"/>
      <c r="Z311" s="551"/>
      <c r="AA311" s="551"/>
      <c r="AB311" s="551"/>
      <c r="AC311" s="551"/>
      <c r="AD311" s="551"/>
      <c r="AE311" s="551"/>
      <c r="AF311" s="551"/>
      <c r="AG311" s="551"/>
      <c r="AH311" s="551"/>
      <c r="AI311" s="551"/>
      <c r="AJ311" s="551"/>
      <c r="AK311" s="551"/>
      <c r="AL311" s="551"/>
      <c r="AM311" s="551"/>
      <c r="AN311" s="551"/>
      <c r="AO311" s="551"/>
      <c r="AP311" s="551"/>
      <c r="AQ311" s="551"/>
      <c r="AR311" s="551"/>
      <c r="AS311" s="551"/>
      <c r="AT311" s="551"/>
      <c r="AU311" s="551"/>
      <c r="AV311" s="551"/>
      <c r="AW311" s="551"/>
      <c r="AX311" s="551"/>
      <c r="AY311" s="551"/>
      <c r="AZ311" s="551"/>
      <c r="BA311" s="551"/>
      <c r="BB311" s="551"/>
      <c r="BC311" s="551"/>
      <c r="BD311" s="551"/>
      <c r="BE311" s="551"/>
      <c r="BF311" s="551"/>
      <c r="BG311" s="551"/>
      <c r="BH311" s="551"/>
      <c r="BI311" s="551"/>
      <c r="BJ311" s="551"/>
    </row>
    <row r="312" spans="1:62" ht="12.75" customHeight="1">
      <c r="A312" s="551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1"/>
      <c r="P312" s="551"/>
      <c r="Q312" s="551"/>
      <c r="R312" s="551"/>
      <c r="S312" s="551"/>
      <c r="T312" s="551"/>
      <c r="U312" s="551"/>
      <c r="V312" s="551"/>
      <c r="W312" s="551"/>
      <c r="X312" s="551"/>
      <c r="Y312" s="551"/>
      <c r="Z312" s="551"/>
      <c r="AA312" s="551"/>
      <c r="AB312" s="551"/>
      <c r="AC312" s="551"/>
      <c r="AD312" s="551"/>
      <c r="AE312" s="551"/>
      <c r="AF312" s="551"/>
      <c r="AG312" s="551"/>
      <c r="AH312" s="551"/>
      <c r="AI312" s="551"/>
      <c r="AJ312" s="551"/>
      <c r="AK312" s="551"/>
      <c r="AL312" s="551"/>
      <c r="AM312" s="551"/>
      <c r="AN312" s="551"/>
      <c r="AO312" s="551"/>
      <c r="AP312" s="551"/>
      <c r="AQ312" s="551"/>
      <c r="AR312" s="551"/>
      <c r="AS312" s="551"/>
      <c r="AT312" s="551"/>
      <c r="AU312" s="551"/>
      <c r="AV312" s="551"/>
      <c r="AW312" s="551"/>
      <c r="AX312" s="551"/>
      <c r="AY312" s="551"/>
      <c r="AZ312" s="551"/>
      <c r="BA312" s="551"/>
      <c r="BB312" s="551"/>
      <c r="BC312" s="551"/>
      <c r="BD312" s="551"/>
      <c r="BE312" s="551"/>
      <c r="BF312" s="551"/>
      <c r="BG312" s="551"/>
      <c r="BH312" s="551"/>
      <c r="BI312" s="551"/>
      <c r="BJ312" s="551"/>
    </row>
    <row r="313" spans="1:62" ht="12.75" customHeight="1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1"/>
      <c r="P313" s="551"/>
      <c r="Q313" s="551"/>
      <c r="R313" s="551"/>
      <c r="S313" s="551"/>
      <c r="T313" s="551"/>
      <c r="U313" s="551"/>
      <c r="V313" s="551"/>
      <c r="W313" s="551"/>
      <c r="X313" s="551"/>
      <c r="Y313" s="551"/>
      <c r="Z313" s="551"/>
      <c r="AA313" s="551"/>
      <c r="AB313" s="551"/>
      <c r="AC313" s="551"/>
      <c r="AD313" s="551"/>
      <c r="AE313" s="551"/>
      <c r="AF313" s="551"/>
      <c r="AG313" s="551"/>
      <c r="AH313" s="551"/>
      <c r="AI313" s="551"/>
      <c r="AJ313" s="551"/>
      <c r="AK313" s="551"/>
      <c r="AL313" s="551"/>
      <c r="AM313" s="551"/>
      <c r="AN313" s="551"/>
      <c r="AO313" s="551"/>
      <c r="AP313" s="551"/>
      <c r="AQ313" s="551"/>
      <c r="AR313" s="551"/>
      <c r="AS313" s="551"/>
      <c r="AT313" s="551"/>
      <c r="AU313" s="551"/>
      <c r="AV313" s="551"/>
      <c r="AW313" s="551"/>
      <c r="AX313" s="551"/>
      <c r="AY313" s="551"/>
      <c r="AZ313" s="551"/>
      <c r="BA313" s="551"/>
      <c r="BB313" s="551"/>
      <c r="BC313" s="551"/>
      <c r="BD313" s="551"/>
      <c r="BE313" s="551"/>
      <c r="BF313" s="551"/>
      <c r="BG313" s="551"/>
      <c r="BH313" s="551"/>
      <c r="BI313" s="551"/>
      <c r="BJ313" s="551"/>
    </row>
    <row r="314" spans="1:62" ht="12.75" customHeight="1">
      <c r="A314" s="551"/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51"/>
      <c r="AB314" s="551"/>
      <c r="AC314" s="551"/>
      <c r="AD314" s="551"/>
      <c r="AE314" s="551"/>
      <c r="AF314" s="551"/>
      <c r="AG314" s="551"/>
      <c r="AH314" s="551"/>
      <c r="AI314" s="551"/>
      <c r="AJ314" s="551"/>
      <c r="AK314" s="551"/>
      <c r="AL314" s="551"/>
      <c r="AM314" s="551"/>
      <c r="AN314" s="551"/>
      <c r="AO314" s="551"/>
      <c r="AP314" s="551"/>
      <c r="AQ314" s="551"/>
      <c r="AR314" s="551"/>
      <c r="AS314" s="551"/>
      <c r="AT314" s="551"/>
      <c r="AU314" s="551"/>
      <c r="AV314" s="551"/>
      <c r="AW314" s="551"/>
      <c r="AX314" s="551"/>
      <c r="AY314" s="551"/>
      <c r="AZ314" s="551"/>
      <c r="BA314" s="551"/>
      <c r="BB314" s="551"/>
      <c r="BC314" s="551"/>
      <c r="BD314" s="551"/>
      <c r="BE314" s="551"/>
      <c r="BF314" s="551"/>
      <c r="BG314" s="551"/>
      <c r="BH314" s="551"/>
      <c r="BI314" s="551"/>
      <c r="BJ314" s="551"/>
    </row>
    <row r="315" spans="1:62" ht="12.75" customHeight="1">
      <c r="A315" s="551"/>
      <c r="B315" s="551"/>
      <c r="C315" s="551"/>
      <c r="D315" s="551"/>
      <c r="E315" s="551"/>
      <c r="F315" s="551"/>
      <c r="G315" s="551"/>
      <c r="H315" s="551"/>
      <c r="I315" s="551"/>
      <c r="J315" s="551"/>
      <c r="K315" s="551"/>
      <c r="L315" s="551"/>
      <c r="M315" s="551"/>
      <c r="N315" s="551"/>
      <c r="O315" s="551"/>
      <c r="P315" s="551"/>
      <c r="Q315" s="551"/>
      <c r="R315" s="551"/>
      <c r="S315" s="551"/>
      <c r="T315" s="551"/>
      <c r="U315" s="551"/>
      <c r="V315" s="551"/>
      <c r="W315" s="551"/>
      <c r="X315" s="551"/>
      <c r="Y315" s="551"/>
      <c r="Z315" s="551"/>
      <c r="AA315" s="551"/>
      <c r="AB315" s="551"/>
      <c r="AC315" s="551"/>
      <c r="AD315" s="551"/>
      <c r="AE315" s="551"/>
      <c r="AF315" s="551"/>
      <c r="AG315" s="551"/>
      <c r="AH315" s="551"/>
      <c r="AI315" s="551"/>
      <c r="AJ315" s="551"/>
      <c r="AK315" s="551"/>
      <c r="AL315" s="551"/>
      <c r="AM315" s="551"/>
      <c r="AN315" s="551"/>
      <c r="AO315" s="551"/>
      <c r="AP315" s="551"/>
      <c r="AQ315" s="551"/>
      <c r="AR315" s="551"/>
      <c r="AS315" s="551"/>
      <c r="AT315" s="551"/>
      <c r="AU315" s="551"/>
      <c r="AV315" s="551"/>
      <c r="AW315" s="551"/>
      <c r="AX315" s="551"/>
      <c r="AY315" s="551"/>
      <c r="AZ315" s="551"/>
      <c r="BA315" s="551"/>
      <c r="BB315" s="551"/>
      <c r="BC315" s="551"/>
      <c r="BD315" s="551"/>
      <c r="BE315" s="551"/>
      <c r="BF315" s="551"/>
      <c r="BG315" s="551"/>
      <c r="BH315" s="551"/>
      <c r="BI315" s="551"/>
      <c r="BJ315" s="551"/>
    </row>
    <row r="316" spans="1:62" ht="12.75" customHeight="1">
      <c r="A316" s="551"/>
      <c r="B316" s="551"/>
      <c r="C316" s="551"/>
      <c r="D316" s="551"/>
      <c r="E316" s="551"/>
      <c r="F316" s="551"/>
      <c r="G316" s="551"/>
      <c r="H316" s="551"/>
      <c r="I316" s="551"/>
      <c r="J316" s="551"/>
      <c r="K316" s="551"/>
      <c r="L316" s="551"/>
      <c r="M316" s="551"/>
      <c r="N316" s="551"/>
      <c r="O316" s="551"/>
      <c r="P316" s="551"/>
      <c r="Q316" s="551"/>
      <c r="R316" s="551"/>
      <c r="S316" s="551"/>
      <c r="T316" s="551"/>
      <c r="U316" s="551"/>
      <c r="V316" s="551"/>
      <c r="W316" s="551"/>
      <c r="X316" s="551"/>
      <c r="Y316" s="551"/>
      <c r="Z316" s="551"/>
      <c r="AA316" s="551"/>
      <c r="AB316" s="551"/>
      <c r="AC316" s="551"/>
      <c r="AD316" s="551"/>
      <c r="AE316" s="551"/>
      <c r="AF316" s="551"/>
      <c r="AG316" s="551"/>
      <c r="AH316" s="551"/>
      <c r="AI316" s="551"/>
      <c r="AJ316" s="551"/>
      <c r="AK316" s="551"/>
      <c r="AL316" s="551"/>
      <c r="AM316" s="551"/>
      <c r="AN316" s="551"/>
      <c r="AO316" s="551"/>
      <c r="AP316" s="551"/>
      <c r="AQ316" s="551"/>
      <c r="AR316" s="551"/>
      <c r="AS316" s="551"/>
      <c r="AT316" s="551"/>
      <c r="AU316" s="551"/>
      <c r="AV316" s="551"/>
      <c r="AW316" s="551"/>
      <c r="AX316" s="551"/>
      <c r="AY316" s="551"/>
      <c r="AZ316" s="551"/>
      <c r="BA316" s="551"/>
      <c r="BB316" s="551"/>
      <c r="BC316" s="551"/>
      <c r="BD316" s="551"/>
      <c r="BE316" s="551"/>
      <c r="BF316" s="551"/>
      <c r="BG316" s="551"/>
      <c r="BH316" s="551"/>
      <c r="BI316" s="551"/>
      <c r="BJ316" s="551"/>
    </row>
    <row r="317" spans="1:62" ht="12.75" customHeight="1">
      <c r="A317" s="551"/>
      <c r="B317" s="551"/>
      <c r="C317" s="551"/>
      <c r="D317" s="551"/>
      <c r="E317" s="551"/>
      <c r="F317" s="551"/>
      <c r="G317" s="551"/>
      <c r="H317" s="551"/>
      <c r="I317" s="551"/>
      <c r="J317" s="551"/>
      <c r="K317" s="551"/>
      <c r="L317" s="551"/>
      <c r="M317" s="551"/>
      <c r="N317" s="551"/>
      <c r="O317" s="551"/>
      <c r="P317" s="551"/>
      <c r="Q317" s="551"/>
      <c r="R317" s="551"/>
      <c r="S317" s="551"/>
      <c r="T317" s="551"/>
      <c r="U317" s="551"/>
      <c r="V317" s="551"/>
      <c r="W317" s="551"/>
      <c r="X317" s="551"/>
      <c r="Y317" s="551"/>
      <c r="Z317" s="551"/>
      <c r="AA317" s="551"/>
      <c r="AB317" s="551"/>
      <c r="AC317" s="551"/>
      <c r="AD317" s="551"/>
      <c r="AE317" s="551"/>
      <c r="AF317" s="551"/>
      <c r="AG317" s="551"/>
      <c r="AH317" s="551"/>
      <c r="AI317" s="551"/>
      <c r="AJ317" s="551"/>
      <c r="AK317" s="551"/>
      <c r="AL317" s="551"/>
      <c r="AM317" s="551"/>
      <c r="AN317" s="551"/>
      <c r="AO317" s="551"/>
      <c r="AP317" s="551"/>
      <c r="AQ317" s="551"/>
      <c r="AR317" s="551"/>
      <c r="AS317" s="551"/>
      <c r="AT317" s="551"/>
      <c r="AU317" s="551"/>
      <c r="AV317" s="551"/>
      <c r="AW317" s="551"/>
      <c r="AX317" s="551"/>
      <c r="AY317" s="551"/>
      <c r="AZ317" s="551"/>
      <c r="BA317" s="551"/>
      <c r="BB317" s="551"/>
      <c r="BC317" s="551"/>
      <c r="BD317" s="551"/>
      <c r="BE317" s="551"/>
      <c r="BF317" s="551"/>
      <c r="BG317" s="551"/>
      <c r="BH317" s="551"/>
      <c r="BI317" s="551"/>
      <c r="BJ317" s="551"/>
    </row>
    <row r="318" spans="1:62" ht="12.75" customHeight="1">
      <c r="A318" s="551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1"/>
      <c r="P318" s="551"/>
      <c r="Q318" s="551"/>
      <c r="R318" s="551"/>
      <c r="S318" s="551"/>
      <c r="T318" s="551"/>
      <c r="U318" s="551"/>
      <c r="V318" s="551"/>
      <c r="W318" s="551"/>
      <c r="X318" s="551"/>
      <c r="Y318" s="551"/>
      <c r="Z318" s="551"/>
      <c r="AA318" s="551"/>
      <c r="AB318" s="551"/>
      <c r="AC318" s="551"/>
      <c r="AD318" s="551"/>
      <c r="AE318" s="551"/>
      <c r="AF318" s="551"/>
      <c r="AG318" s="551"/>
      <c r="AH318" s="551"/>
      <c r="AI318" s="551"/>
      <c r="AJ318" s="551"/>
      <c r="AK318" s="551"/>
      <c r="AL318" s="551"/>
      <c r="AM318" s="551"/>
      <c r="AN318" s="551"/>
      <c r="AO318" s="551"/>
      <c r="AP318" s="551"/>
      <c r="AQ318" s="551"/>
      <c r="AR318" s="551"/>
      <c r="AS318" s="551"/>
      <c r="AT318" s="551"/>
      <c r="AU318" s="551"/>
      <c r="AV318" s="551"/>
      <c r="AW318" s="551"/>
      <c r="AX318" s="551"/>
      <c r="AY318" s="551"/>
      <c r="AZ318" s="551"/>
      <c r="BA318" s="551"/>
      <c r="BB318" s="551"/>
      <c r="BC318" s="551"/>
      <c r="BD318" s="551"/>
      <c r="BE318" s="551"/>
      <c r="BF318" s="551"/>
      <c r="BG318" s="551"/>
      <c r="BH318" s="551"/>
      <c r="BI318" s="551"/>
      <c r="BJ318" s="551"/>
    </row>
    <row r="319" spans="1:62" ht="12.75" customHeight="1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1"/>
      <c r="P319" s="551"/>
      <c r="Q319" s="551"/>
      <c r="R319" s="551"/>
      <c r="S319" s="551"/>
      <c r="T319" s="551"/>
      <c r="U319" s="551"/>
      <c r="V319" s="551"/>
      <c r="W319" s="551"/>
      <c r="X319" s="551"/>
      <c r="Y319" s="551"/>
      <c r="Z319" s="551"/>
      <c r="AA319" s="551"/>
      <c r="AB319" s="551"/>
      <c r="AC319" s="551"/>
      <c r="AD319" s="551"/>
      <c r="AE319" s="551"/>
      <c r="AF319" s="551"/>
      <c r="AG319" s="551"/>
      <c r="AH319" s="551"/>
      <c r="AI319" s="551"/>
      <c r="AJ319" s="551"/>
      <c r="AK319" s="551"/>
      <c r="AL319" s="551"/>
      <c r="AM319" s="551"/>
      <c r="AN319" s="551"/>
      <c r="AO319" s="551"/>
      <c r="AP319" s="551"/>
      <c r="AQ319" s="551"/>
      <c r="AR319" s="551"/>
      <c r="AS319" s="551"/>
      <c r="AT319" s="551"/>
      <c r="AU319" s="551"/>
      <c r="AV319" s="551"/>
      <c r="AW319" s="551"/>
      <c r="AX319" s="551"/>
      <c r="AY319" s="551"/>
      <c r="AZ319" s="551"/>
      <c r="BA319" s="551"/>
      <c r="BB319" s="551"/>
      <c r="BC319" s="551"/>
      <c r="BD319" s="551"/>
      <c r="BE319" s="551"/>
      <c r="BF319" s="551"/>
      <c r="BG319" s="551"/>
      <c r="BH319" s="551"/>
      <c r="BI319" s="551"/>
      <c r="BJ319" s="551"/>
    </row>
    <row r="320" spans="1:62" ht="12.75" customHeight="1">
      <c r="A320" s="551"/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51"/>
      <c r="AB320" s="551"/>
      <c r="AC320" s="551"/>
      <c r="AD320" s="551"/>
      <c r="AE320" s="551"/>
      <c r="AF320" s="551"/>
      <c r="AG320" s="551"/>
      <c r="AH320" s="551"/>
      <c r="AI320" s="551"/>
      <c r="AJ320" s="551"/>
      <c r="AK320" s="551"/>
      <c r="AL320" s="551"/>
      <c r="AM320" s="551"/>
      <c r="AN320" s="551"/>
      <c r="AO320" s="551"/>
      <c r="AP320" s="551"/>
      <c r="AQ320" s="551"/>
      <c r="AR320" s="551"/>
      <c r="AS320" s="551"/>
      <c r="AT320" s="551"/>
      <c r="AU320" s="551"/>
      <c r="AV320" s="551"/>
      <c r="AW320" s="551"/>
      <c r="AX320" s="551"/>
      <c r="AY320" s="551"/>
      <c r="AZ320" s="551"/>
      <c r="BA320" s="551"/>
      <c r="BB320" s="551"/>
      <c r="BC320" s="551"/>
      <c r="BD320" s="551"/>
      <c r="BE320" s="551"/>
      <c r="BF320" s="551"/>
      <c r="BG320" s="551"/>
      <c r="BH320" s="551"/>
      <c r="BI320" s="551"/>
      <c r="BJ320" s="551"/>
    </row>
    <row r="321" spans="1:62" ht="12.75" customHeight="1">
      <c r="A321" s="551"/>
      <c r="B321" s="551"/>
      <c r="C321" s="551"/>
      <c r="D321" s="551"/>
      <c r="E321" s="551"/>
      <c r="F321" s="551"/>
      <c r="G321" s="551"/>
      <c r="H321" s="551"/>
      <c r="I321" s="551"/>
      <c r="J321" s="551"/>
      <c r="K321" s="551"/>
      <c r="L321" s="551"/>
      <c r="M321" s="551"/>
      <c r="N321" s="551"/>
      <c r="O321" s="551"/>
      <c r="P321" s="551"/>
      <c r="Q321" s="551"/>
      <c r="R321" s="551"/>
      <c r="S321" s="551"/>
      <c r="T321" s="551"/>
      <c r="U321" s="551"/>
      <c r="V321" s="551"/>
      <c r="W321" s="551"/>
      <c r="X321" s="551"/>
      <c r="Y321" s="551"/>
      <c r="Z321" s="551"/>
      <c r="AA321" s="551"/>
      <c r="AB321" s="551"/>
      <c r="AC321" s="551"/>
      <c r="AD321" s="551"/>
      <c r="AE321" s="551"/>
      <c r="AF321" s="551"/>
      <c r="AG321" s="551"/>
      <c r="AH321" s="551"/>
      <c r="AI321" s="551"/>
      <c r="AJ321" s="551"/>
      <c r="AK321" s="551"/>
      <c r="AL321" s="551"/>
      <c r="AM321" s="551"/>
      <c r="AN321" s="551"/>
      <c r="AO321" s="551"/>
      <c r="AP321" s="551"/>
      <c r="AQ321" s="551"/>
      <c r="AR321" s="551"/>
      <c r="AS321" s="551"/>
      <c r="AT321" s="551"/>
      <c r="AU321" s="551"/>
      <c r="AV321" s="551"/>
      <c r="AW321" s="551"/>
      <c r="AX321" s="551"/>
      <c r="AY321" s="551"/>
      <c r="AZ321" s="551"/>
      <c r="BA321" s="551"/>
      <c r="BB321" s="551"/>
      <c r="BC321" s="551"/>
      <c r="BD321" s="551"/>
      <c r="BE321" s="551"/>
      <c r="BF321" s="551"/>
      <c r="BG321" s="551"/>
      <c r="BH321" s="551"/>
      <c r="BI321" s="551"/>
      <c r="BJ321" s="551"/>
    </row>
    <row r="322" spans="1:62" ht="12.75" customHeight="1">
      <c r="A322" s="551"/>
      <c r="B322" s="551"/>
      <c r="C322" s="551"/>
      <c r="D322" s="551"/>
      <c r="E322" s="551"/>
      <c r="F322" s="551"/>
      <c r="G322" s="551"/>
      <c r="H322" s="551"/>
      <c r="I322" s="551"/>
      <c r="J322" s="551"/>
      <c r="K322" s="551"/>
      <c r="L322" s="551"/>
      <c r="M322" s="551"/>
      <c r="N322" s="551"/>
      <c r="O322" s="551"/>
      <c r="P322" s="551"/>
      <c r="Q322" s="551"/>
      <c r="R322" s="551"/>
      <c r="S322" s="551"/>
      <c r="T322" s="551"/>
      <c r="U322" s="551"/>
      <c r="V322" s="551"/>
      <c r="W322" s="551"/>
      <c r="X322" s="551"/>
      <c r="Y322" s="551"/>
      <c r="Z322" s="551"/>
      <c r="AA322" s="551"/>
      <c r="AB322" s="551"/>
      <c r="AC322" s="551"/>
      <c r="AD322" s="551"/>
      <c r="AE322" s="551"/>
      <c r="AF322" s="551"/>
      <c r="AG322" s="551"/>
      <c r="AH322" s="551"/>
      <c r="AI322" s="551"/>
      <c r="AJ322" s="551"/>
      <c r="AK322" s="551"/>
      <c r="AL322" s="551"/>
      <c r="AM322" s="551"/>
      <c r="AN322" s="551"/>
      <c r="AO322" s="551"/>
      <c r="AP322" s="551"/>
      <c r="AQ322" s="551"/>
      <c r="AR322" s="551"/>
      <c r="AS322" s="551"/>
      <c r="AT322" s="551"/>
      <c r="AU322" s="551"/>
      <c r="AV322" s="551"/>
      <c r="AW322" s="551"/>
      <c r="AX322" s="551"/>
      <c r="AY322" s="551"/>
      <c r="AZ322" s="551"/>
      <c r="BA322" s="551"/>
      <c r="BB322" s="551"/>
      <c r="BC322" s="551"/>
      <c r="BD322" s="551"/>
      <c r="BE322" s="551"/>
      <c r="BF322" s="551"/>
      <c r="BG322" s="551"/>
      <c r="BH322" s="551"/>
      <c r="BI322" s="551"/>
      <c r="BJ322" s="551"/>
    </row>
    <row r="323" spans="1:62" ht="12.75" customHeight="1">
      <c r="A323" s="551"/>
      <c r="B323" s="551"/>
      <c r="C323" s="551"/>
      <c r="D323" s="551"/>
      <c r="E323" s="551"/>
      <c r="F323" s="551"/>
      <c r="G323" s="551"/>
      <c r="H323" s="551"/>
      <c r="I323" s="551"/>
      <c r="J323" s="551"/>
      <c r="K323" s="551"/>
      <c r="L323" s="551"/>
      <c r="M323" s="551"/>
      <c r="N323" s="551"/>
      <c r="O323" s="551"/>
      <c r="P323" s="551"/>
      <c r="Q323" s="551"/>
      <c r="R323" s="551"/>
      <c r="S323" s="551"/>
      <c r="T323" s="551"/>
      <c r="U323" s="551"/>
      <c r="V323" s="551"/>
      <c r="W323" s="551"/>
      <c r="X323" s="551"/>
      <c r="Y323" s="551"/>
      <c r="Z323" s="551"/>
      <c r="AA323" s="551"/>
      <c r="AB323" s="551"/>
      <c r="AC323" s="551"/>
      <c r="AD323" s="551"/>
      <c r="AE323" s="551"/>
      <c r="AF323" s="551"/>
      <c r="AG323" s="551"/>
      <c r="AH323" s="551"/>
      <c r="AI323" s="551"/>
      <c r="AJ323" s="551"/>
      <c r="AK323" s="551"/>
      <c r="AL323" s="551"/>
      <c r="AM323" s="551"/>
      <c r="AN323" s="551"/>
      <c r="AO323" s="551"/>
      <c r="AP323" s="551"/>
      <c r="AQ323" s="551"/>
      <c r="AR323" s="551"/>
      <c r="AS323" s="551"/>
      <c r="AT323" s="551"/>
      <c r="AU323" s="551"/>
      <c r="AV323" s="551"/>
      <c r="AW323" s="551"/>
      <c r="AX323" s="551"/>
      <c r="AY323" s="551"/>
      <c r="AZ323" s="551"/>
      <c r="BA323" s="551"/>
      <c r="BB323" s="551"/>
      <c r="BC323" s="551"/>
      <c r="BD323" s="551"/>
      <c r="BE323" s="551"/>
      <c r="BF323" s="551"/>
      <c r="BG323" s="551"/>
      <c r="BH323" s="551"/>
      <c r="BI323" s="551"/>
      <c r="BJ323" s="551"/>
    </row>
    <row r="324" spans="1:62" ht="12.75" customHeight="1">
      <c r="A324" s="551"/>
      <c r="B324" s="551"/>
      <c r="C324" s="551"/>
      <c r="D324" s="551"/>
      <c r="E324" s="551"/>
      <c r="F324" s="551"/>
      <c r="G324" s="551"/>
      <c r="H324" s="551"/>
      <c r="I324" s="551"/>
      <c r="J324" s="551"/>
      <c r="K324" s="551"/>
      <c r="L324" s="551"/>
      <c r="M324" s="551"/>
      <c r="N324" s="551"/>
      <c r="O324" s="551"/>
      <c r="P324" s="551"/>
      <c r="Q324" s="551"/>
      <c r="R324" s="551"/>
      <c r="S324" s="551"/>
      <c r="T324" s="551"/>
      <c r="U324" s="551"/>
      <c r="V324" s="551"/>
      <c r="W324" s="551"/>
      <c r="X324" s="551"/>
      <c r="Y324" s="551"/>
      <c r="Z324" s="551"/>
      <c r="AA324" s="551"/>
      <c r="AB324" s="551"/>
      <c r="AC324" s="551"/>
      <c r="AD324" s="551"/>
      <c r="AE324" s="551"/>
      <c r="AF324" s="551"/>
      <c r="AG324" s="551"/>
      <c r="AH324" s="551"/>
      <c r="AI324" s="551"/>
      <c r="AJ324" s="551"/>
      <c r="AK324" s="551"/>
      <c r="AL324" s="551"/>
      <c r="AM324" s="551"/>
      <c r="AN324" s="551"/>
      <c r="AO324" s="551"/>
      <c r="AP324" s="551"/>
      <c r="AQ324" s="551"/>
      <c r="AR324" s="551"/>
      <c r="AS324" s="551"/>
      <c r="AT324" s="551"/>
      <c r="AU324" s="551"/>
      <c r="AV324" s="551"/>
      <c r="AW324" s="551"/>
      <c r="AX324" s="551"/>
      <c r="AY324" s="551"/>
      <c r="AZ324" s="551"/>
      <c r="BA324" s="551"/>
      <c r="BB324" s="551"/>
      <c r="BC324" s="551"/>
      <c r="BD324" s="551"/>
      <c r="BE324" s="551"/>
      <c r="BF324" s="551"/>
      <c r="BG324" s="551"/>
      <c r="BH324" s="551"/>
      <c r="BI324" s="551"/>
      <c r="BJ324" s="551"/>
    </row>
    <row r="325" spans="1:62" ht="12.75" customHeight="1">
      <c r="A325" s="551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1"/>
      <c r="P325" s="551"/>
      <c r="Q325" s="551"/>
      <c r="R325" s="551"/>
      <c r="S325" s="551"/>
      <c r="T325" s="551"/>
      <c r="U325" s="551"/>
      <c r="V325" s="551"/>
      <c r="W325" s="551"/>
      <c r="X325" s="551"/>
      <c r="Y325" s="551"/>
      <c r="Z325" s="551"/>
      <c r="AA325" s="551"/>
      <c r="AB325" s="551"/>
      <c r="AC325" s="551"/>
      <c r="AD325" s="551"/>
      <c r="AE325" s="551"/>
      <c r="AF325" s="551"/>
      <c r="AG325" s="551"/>
      <c r="AH325" s="551"/>
      <c r="AI325" s="551"/>
      <c r="AJ325" s="551"/>
      <c r="AK325" s="551"/>
      <c r="AL325" s="551"/>
      <c r="AM325" s="551"/>
      <c r="AN325" s="551"/>
      <c r="AO325" s="551"/>
      <c r="AP325" s="551"/>
      <c r="AQ325" s="551"/>
      <c r="AR325" s="551"/>
      <c r="AS325" s="551"/>
      <c r="AT325" s="551"/>
      <c r="AU325" s="551"/>
      <c r="AV325" s="551"/>
      <c r="AW325" s="551"/>
      <c r="AX325" s="551"/>
      <c r="AY325" s="551"/>
      <c r="AZ325" s="551"/>
      <c r="BA325" s="551"/>
      <c r="BB325" s="551"/>
      <c r="BC325" s="551"/>
      <c r="BD325" s="551"/>
      <c r="BE325" s="551"/>
      <c r="BF325" s="551"/>
      <c r="BG325" s="551"/>
      <c r="BH325" s="551"/>
      <c r="BI325" s="551"/>
      <c r="BJ325" s="551"/>
    </row>
    <row r="326" spans="1:62" ht="12.75" customHeight="1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1"/>
      <c r="P326" s="551"/>
      <c r="Q326" s="551"/>
      <c r="R326" s="551"/>
      <c r="S326" s="551"/>
      <c r="T326" s="551"/>
      <c r="U326" s="551"/>
      <c r="V326" s="551"/>
      <c r="W326" s="551"/>
      <c r="X326" s="551"/>
      <c r="Y326" s="551"/>
      <c r="Z326" s="551"/>
      <c r="AA326" s="551"/>
      <c r="AB326" s="551"/>
      <c r="AC326" s="551"/>
      <c r="AD326" s="551"/>
      <c r="AE326" s="551"/>
      <c r="AF326" s="551"/>
      <c r="AG326" s="551"/>
      <c r="AH326" s="551"/>
      <c r="AI326" s="551"/>
      <c r="AJ326" s="551"/>
      <c r="AK326" s="551"/>
      <c r="AL326" s="551"/>
      <c r="AM326" s="551"/>
      <c r="AN326" s="551"/>
      <c r="AO326" s="551"/>
      <c r="AP326" s="551"/>
      <c r="AQ326" s="551"/>
      <c r="AR326" s="551"/>
      <c r="AS326" s="551"/>
      <c r="AT326" s="551"/>
      <c r="AU326" s="551"/>
      <c r="AV326" s="551"/>
      <c r="AW326" s="551"/>
      <c r="AX326" s="551"/>
      <c r="AY326" s="551"/>
      <c r="AZ326" s="551"/>
      <c r="BA326" s="551"/>
      <c r="BB326" s="551"/>
      <c r="BC326" s="551"/>
      <c r="BD326" s="551"/>
      <c r="BE326" s="551"/>
      <c r="BF326" s="551"/>
      <c r="BG326" s="551"/>
      <c r="BH326" s="551"/>
      <c r="BI326" s="551"/>
      <c r="BJ326" s="551"/>
    </row>
    <row r="327" spans="1:62" ht="12.75" customHeight="1">
      <c r="A327" s="551"/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51"/>
      <c r="AB327" s="551"/>
      <c r="AC327" s="551"/>
      <c r="AD327" s="551"/>
      <c r="AE327" s="551"/>
      <c r="AF327" s="551"/>
      <c r="AG327" s="551"/>
      <c r="AH327" s="551"/>
      <c r="AI327" s="551"/>
      <c r="AJ327" s="551"/>
      <c r="AK327" s="551"/>
      <c r="AL327" s="551"/>
      <c r="AM327" s="551"/>
      <c r="AN327" s="551"/>
      <c r="AO327" s="551"/>
      <c r="AP327" s="551"/>
      <c r="AQ327" s="551"/>
      <c r="AR327" s="551"/>
      <c r="AS327" s="551"/>
      <c r="AT327" s="551"/>
      <c r="AU327" s="551"/>
      <c r="AV327" s="551"/>
      <c r="AW327" s="551"/>
      <c r="AX327" s="551"/>
      <c r="AY327" s="551"/>
      <c r="AZ327" s="551"/>
      <c r="BA327" s="551"/>
      <c r="BB327" s="551"/>
      <c r="BC327" s="551"/>
      <c r="BD327" s="551"/>
      <c r="BE327" s="551"/>
      <c r="BF327" s="551"/>
      <c r="BG327" s="551"/>
      <c r="BH327" s="551"/>
      <c r="BI327" s="551"/>
      <c r="BJ327" s="551"/>
    </row>
    <row r="328" spans="1:62" ht="12.75" customHeight="1">
      <c r="A328" s="551"/>
      <c r="B328" s="551"/>
      <c r="C328" s="551"/>
      <c r="D328" s="551"/>
      <c r="E328" s="551"/>
      <c r="F328" s="551"/>
      <c r="G328" s="551"/>
      <c r="H328" s="551"/>
      <c r="I328" s="551"/>
      <c r="J328" s="551"/>
      <c r="K328" s="551"/>
      <c r="L328" s="551"/>
      <c r="M328" s="551"/>
      <c r="N328" s="551"/>
      <c r="O328" s="551"/>
      <c r="P328" s="551"/>
      <c r="Q328" s="551"/>
      <c r="R328" s="551"/>
      <c r="S328" s="551"/>
      <c r="T328" s="551"/>
      <c r="U328" s="551"/>
      <c r="V328" s="551"/>
      <c r="W328" s="551"/>
      <c r="X328" s="551"/>
      <c r="Y328" s="551"/>
      <c r="Z328" s="551"/>
      <c r="AA328" s="551"/>
      <c r="AB328" s="551"/>
      <c r="AC328" s="551"/>
      <c r="AD328" s="551"/>
      <c r="AE328" s="551"/>
      <c r="AF328" s="551"/>
      <c r="AG328" s="551"/>
      <c r="AH328" s="551"/>
      <c r="AI328" s="551"/>
      <c r="AJ328" s="551"/>
      <c r="AK328" s="551"/>
      <c r="AL328" s="551"/>
      <c r="AM328" s="551"/>
      <c r="AN328" s="551"/>
      <c r="AO328" s="551"/>
      <c r="AP328" s="551"/>
      <c r="AQ328" s="551"/>
      <c r="AR328" s="551"/>
      <c r="AS328" s="551"/>
      <c r="AT328" s="551"/>
      <c r="AU328" s="551"/>
      <c r="AV328" s="551"/>
      <c r="AW328" s="551"/>
      <c r="AX328" s="551"/>
      <c r="AY328" s="551"/>
      <c r="AZ328" s="551"/>
      <c r="BA328" s="551"/>
      <c r="BB328" s="551"/>
      <c r="BC328" s="551"/>
      <c r="BD328" s="551"/>
      <c r="BE328" s="551"/>
      <c r="BF328" s="551"/>
      <c r="BG328" s="551"/>
      <c r="BH328" s="551"/>
      <c r="BI328" s="551"/>
      <c r="BJ328" s="551"/>
    </row>
    <row r="329" spans="1:62" ht="12.75" customHeight="1">
      <c r="A329" s="551"/>
      <c r="B329" s="551"/>
      <c r="C329" s="551"/>
      <c r="D329" s="551"/>
      <c r="E329" s="551"/>
      <c r="F329" s="551"/>
      <c r="G329" s="551"/>
      <c r="H329" s="551"/>
      <c r="I329" s="551"/>
      <c r="J329" s="551"/>
      <c r="K329" s="551"/>
      <c r="L329" s="551"/>
      <c r="M329" s="551"/>
      <c r="N329" s="551"/>
      <c r="O329" s="551"/>
      <c r="P329" s="551"/>
      <c r="Q329" s="551"/>
      <c r="R329" s="551"/>
      <c r="S329" s="551"/>
      <c r="T329" s="551"/>
      <c r="U329" s="551"/>
      <c r="V329" s="551"/>
      <c r="W329" s="551"/>
      <c r="X329" s="551"/>
      <c r="Y329" s="551"/>
      <c r="Z329" s="551"/>
      <c r="AA329" s="551"/>
      <c r="AB329" s="551"/>
      <c r="AC329" s="551"/>
      <c r="AD329" s="551"/>
      <c r="AE329" s="551"/>
      <c r="AF329" s="551"/>
      <c r="AG329" s="551"/>
      <c r="AH329" s="551"/>
      <c r="AI329" s="551"/>
      <c r="AJ329" s="551"/>
      <c r="AK329" s="551"/>
      <c r="AL329" s="551"/>
      <c r="AM329" s="551"/>
      <c r="AN329" s="551"/>
      <c r="AO329" s="551"/>
      <c r="AP329" s="551"/>
      <c r="AQ329" s="551"/>
      <c r="AR329" s="551"/>
      <c r="AS329" s="551"/>
      <c r="AT329" s="551"/>
      <c r="AU329" s="551"/>
      <c r="AV329" s="551"/>
      <c r="AW329" s="551"/>
      <c r="AX329" s="551"/>
      <c r="AY329" s="551"/>
      <c r="AZ329" s="551"/>
      <c r="BA329" s="551"/>
      <c r="BB329" s="551"/>
      <c r="BC329" s="551"/>
      <c r="BD329" s="551"/>
      <c r="BE329" s="551"/>
      <c r="BF329" s="551"/>
      <c r="BG329" s="551"/>
      <c r="BH329" s="551"/>
      <c r="BI329" s="551"/>
      <c r="BJ329" s="551"/>
    </row>
    <row r="330" spans="1:62" ht="12.75" customHeight="1">
      <c r="A330" s="551"/>
      <c r="B330" s="551"/>
      <c r="C330" s="551"/>
      <c r="D330" s="551"/>
      <c r="E330" s="551"/>
      <c r="F330" s="551"/>
      <c r="G330" s="551"/>
      <c r="H330" s="551"/>
      <c r="I330" s="551"/>
      <c r="J330" s="551"/>
      <c r="K330" s="551"/>
      <c r="L330" s="551"/>
      <c r="M330" s="551"/>
      <c r="N330" s="551"/>
      <c r="O330" s="551"/>
      <c r="P330" s="551"/>
      <c r="Q330" s="551"/>
      <c r="R330" s="551"/>
      <c r="S330" s="551"/>
      <c r="T330" s="551"/>
      <c r="U330" s="551"/>
      <c r="V330" s="551"/>
      <c r="W330" s="551"/>
      <c r="X330" s="551"/>
      <c r="Y330" s="551"/>
      <c r="Z330" s="551"/>
      <c r="AA330" s="551"/>
      <c r="AB330" s="551"/>
      <c r="AC330" s="551"/>
      <c r="AD330" s="551"/>
      <c r="AE330" s="551"/>
      <c r="AF330" s="551"/>
      <c r="AG330" s="551"/>
      <c r="AH330" s="551"/>
      <c r="AI330" s="551"/>
      <c r="AJ330" s="551"/>
      <c r="AK330" s="551"/>
      <c r="AL330" s="551"/>
      <c r="AM330" s="551"/>
      <c r="AN330" s="551"/>
      <c r="AO330" s="551"/>
      <c r="AP330" s="551"/>
      <c r="AQ330" s="551"/>
      <c r="AR330" s="551"/>
      <c r="AS330" s="551"/>
      <c r="AT330" s="551"/>
      <c r="AU330" s="551"/>
      <c r="AV330" s="551"/>
      <c r="AW330" s="551"/>
      <c r="AX330" s="551"/>
      <c r="AY330" s="551"/>
      <c r="AZ330" s="551"/>
      <c r="BA330" s="551"/>
      <c r="BB330" s="551"/>
      <c r="BC330" s="551"/>
      <c r="BD330" s="551"/>
      <c r="BE330" s="551"/>
      <c r="BF330" s="551"/>
      <c r="BG330" s="551"/>
      <c r="BH330" s="551"/>
      <c r="BI330" s="551"/>
      <c r="BJ330" s="551"/>
    </row>
    <row r="331" spans="1:62" ht="12.75" customHeight="1">
      <c r="A331" s="551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1"/>
      <c r="P331" s="551"/>
      <c r="Q331" s="551"/>
      <c r="R331" s="551"/>
      <c r="S331" s="551"/>
      <c r="T331" s="551"/>
      <c r="U331" s="551"/>
      <c r="V331" s="551"/>
      <c r="W331" s="551"/>
      <c r="X331" s="551"/>
      <c r="Y331" s="551"/>
      <c r="Z331" s="551"/>
      <c r="AA331" s="551"/>
      <c r="AB331" s="551"/>
      <c r="AC331" s="551"/>
      <c r="AD331" s="551"/>
      <c r="AE331" s="551"/>
      <c r="AF331" s="551"/>
      <c r="AG331" s="551"/>
      <c r="AH331" s="551"/>
      <c r="AI331" s="551"/>
      <c r="AJ331" s="551"/>
      <c r="AK331" s="551"/>
      <c r="AL331" s="551"/>
      <c r="AM331" s="551"/>
      <c r="AN331" s="551"/>
      <c r="AO331" s="551"/>
      <c r="AP331" s="551"/>
      <c r="AQ331" s="551"/>
      <c r="AR331" s="551"/>
      <c r="AS331" s="551"/>
      <c r="AT331" s="551"/>
      <c r="AU331" s="551"/>
      <c r="AV331" s="551"/>
      <c r="AW331" s="551"/>
      <c r="AX331" s="551"/>
      <c r="AY331" s="551"/>
      <c r="AZ331" s="551"/>
      <c r="BA331" s="551"/>
      <c r="BB331" s="551"/>
      <c r="BC331" s="551"/>
      <c r="BD331" s="551"/>
      <c r="BE331" s="551"/>
      <c r="BF331" s="551"/>
      <c r="BG331" s="551"/>
      <c r="BH331" s="551"/>
      <c r="BI331" s="551"/>
      <c r="BJ331" s="551"/>
    </row>
    <row r="332" spans="1:62" ht="12.75" customHeight="1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1"/>
      <c r="P332" s="551"/>
      <c r="Q332" s="551"/>
      <c r="R332" s="551"/>
      <c r="S332" s="551"/>
      <c r="T332" s="551"/>
      <c r="U332" s="551"/>
      <c r="V332" s="551"/>
      <c r="W332" s="551"/>
      <c r="X332" s="551"/>
      <c r="Y332" s="551"/>
      <c r="Z332" s="551"/>
      <c r="AA332" s="551"/>
      <c r="AB332" s="551"/>
      <c r="AC332" s="551"/>
      <c r="AD332" s="551"/>
      <c r="AE332" s="551"/>
      <c r="AF332" s="551"/>
      <c r="AG332" s="551"/>
      <c r="AH332" s="551"/>
      <c r="AI332" s="551"/>
      <c r="AJ332" s="551"/>
      <c r="AK332" s="551"/>
      <c r="AL332" s="551"/>
      <c r="AM332" s="551"/>
      <c r="AN332" s="551"/>
      <c r="AO332" s="551"/>
      <c r="AP332" s="551"/>
      <c r="AQ332" s="551"/>
      <c r="AR332" s="551"/>
      <c r="AS332" s="551"/>
      <c r="AT332" s="551"/>
      <c r="AU332" s="551"/>
      <c r="AV332" s="551"/>
      <c r="AW332" s="551"/>
      <c r="AX332" s="551"/>
      <c r="AY332" s="551"/>
      <c r="AZ332" s="551"/>
      <c r="BA332" s="551"/>
      <c r="BB332" s="551"/>
      <c r="BC332" s="551"/>
      <c r="BD332" s="551"/>
      <c r="BE332" s="551"/>
      <c r="BF332" s="551"/>
      <c r="BG332" s="551"/>
      <c r="BH332" s="551"/>
      <c r="BI332" s="551"/>
      <c r="BJ332" s="551"/>
    </row>
    <row r="333" spans="1:62" ht="12.75" customHeight="1">
      <c r="A333" s="551"/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51"/>
      <c r="AB333" s="551"/>
      <c r="AC333" s="551"/>
      <c r="AD333" s="551"/>
      <c r="AE333" s="551"/>
      <c r="AF333" s="551"/>
      <c r="AG333" s="551"/>
      <c r="AH333" s="551"/>
      <c r="AI333" s="551"/>
      <c r="AJ333" s="551"/>
      <c r="AK333" s="551"/>
      <c r="AL333" s="551"/>
      <c r="AM333" s="551"/>
      <c r="AN333" s="551"/>
      <c r="AO333" s="551"/>
      <c r="AP333" s="551"/>
      <c r="AQ333" s="551"/>
      <c r="AR333" s="551"/>
      <c r="AS333" s="551"/>
      <c r="AT333" s="551"/>
      <c r="AU333" s="551"/>
      <c r="AV333" s="551"/>
      <c r="AW333" s="551"/>
      <c r="AX333" s="551"/>
      <c r="AY333" s="551"/>
      <c r="AZ333" s="551"/>
      <c r="BA333" s="551"/>
      <c r="BB333" s="551"/>
      <c r="BC333" s="551"/>
      <c r="BD333" s="551"/>
      <c r="BE333" s="551"/>
      <c r="BF333" s="551"/>
      <c r="BG333" s="551"/>
      <c r="BH333" s="551"/>
      <c r="BI333" s="551"/>
      <c r="BJ333" s="551"/>
    </row>
    <row r="334" spans="1:62" ht="12.75" customHeight="1">
      <c r="A334" s="551"/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51"/>
      <c r="AB334" s="551"/>
      <c r="AC334" s="551"/>
      <c r="AD334" s="551"/>
      <c r="AE334" s="551"/>
      <c r="AF334" s="551"/>
      <c r="AG334" s="551"/>
      <c r="AH334" s="551"/>
      <c r="AI334" s="551"/>
      <c r="AJ334" s="551"/>
      <c r="AK334" s="551"/>
      <c r="AL334" s="551"/>
      <c r="AM334" s="551"/>
      <c r="AN334" s="551"/>
      <c r="AO334" s="551"/>
      <c r="AP334" s="551"/>
      <c r="AQ334" s="551"/>
      <c r="AR334" s="551"/>
      <c r="AS334" s="551"/>
      <c r="AT334" s="551"/>
      <c r="AU334" s="551"/>
      <c r="AV334" s="551"/>
      <c r="AW334" s="551"/>
      <c r="AX334" s="551"/>
      <c r="AY334" s="551"/>
      <c r="AZ334" s="551"/>
      <c r="BA334" s="551"/>
      <c r="BB334" s="551"/>
      <c r="BC334" s="551"/>
      <c r="BD334" s="551"/>
      <c r="BE334" s="551"/>
      <c r="BF334" s="551"/>
      <c r="BG334" s="551"/>
      <c r="BH334" s="551"/>
      <c r="BI334" s="551"/>
      <c r="BJ334" s="551"/>
    </row>
    <row r="335" spans="1:62" ht="12.75" customHeight="1">
      <c r="A335" s="551"/>
      <c r="B335" s="551"/>
      <c r="C335" s="551"/>
      <c r="D335" s="551"/>
      <c r="E335" s="551"/>
      <c r="F335" s="551"/>
      <c r="G335" s="551"/>
      <c r="H335" s="551"/>
      <c r="I335" s="551"/>
      <c r="J335" s="551"/>
      <c r="K335" s="551"/>
      <c r="L335" s="551"/>
      <c r="M335" s="551"/>
      <c r="N335" s="551"/>
      <c r="O335" s="551"/>
      <c r="P335" s="551"/>
      <c r="Q335" s="551"/>
      <c r="R335" s="551"/>
      <c r="S335" s="551"/>
      <c r="T335" s="551"/>
      <c r="U335" s="551"/>
      <c r="V335" s="551"/>
      <c r="W335" s="551"/>
      <c r="X335" s="551"/>
      <c r="Y335" s="551"/>
      <c r="Z335" s="551"/>
      <c r="AA335" s="551"/>
      <c r="AB335" s="551"/>
      <c r="AC335" s="551"/>
      <c r="AD335" s="551"/>
      <c r="AE335" s="551"/>
      <c r="AF335" s="551"/>
      <c r="AG335" s="551"/>
      <c r="AH335" s="551"/>
      <c r="AI335" s="551"/>
      <c r="AJ335" s="551"/>
      <c r="AK335" s="551"/>
      <c r="AL335" s="551"/>
      <c r="AM335" s="551"/>
      <c r="AN335" s="551"/>
      <c r="AO335" s="551"/>
      <c r="AP335" s="551"/>
      <c r="AQ335" s="551"/>
      <c r="AR335" s="551"/>
      <c r="AS335" s="551"/>
      <c r="AT335" s="551"/>
      <c r="AU335" s="551"/>
      <c r="AV335" s="551"/>
      <c r="AW335" s="551"/>
      <c r="AX335" s="551"/>
      <c r="AY335" s="551"/>
      <c r="AZ335" s="551"/>
      <c r="BA335" s="551"/>
      <c r="BB335" s="551"/>
      <c r="BC335" s="551"/>
      <c r="BD335" s="551"/>
      <c r="BE335" s="551"/>
      <c r="BF335" s="551"/>
      <c r="BG335" s="551"/>
      <c r="BH335" s="551"/>
      <c r="BI335" s="551"/>
      <c r="BJ335" s="551"/>
    </row>
    <row r="336" spans="1:62" ht="12.75" customHeight="1">
      <c r="A336" s="551"/>
      <c r="B336" s="551"/>
      <c r="C336" s="551"/>
      <c r="D336" s="551"/>
      <c r="E336" s="551"/>
      <c r="F336" s="551"/>
      <c r="G336" s="551"/>
      <c r="H336" s="551"/>
      <c r="I336" s="551"/>
      <c r="J336" s="551"/>
      <c r="K336" s="551"/>
      <c r="L336" s="551"/>
      <c r="M336" s="551"/>
      <c r="N336" s="551"/>
      <c r="O336" s="551"/>
      <c r="P336" s="551"/>
      <c r="Q336" s="551"/>
      <c r="R336" s="551"/>
      <c r="S336" s="551"/>
      <c r="T336" s="551"/>
      <c r="U336" s="551"/>
      <c r="V336" s="551"/>
      <c r="W336" s="551"/>
      <c r="X336" s="551"/>
      <c r="Y336" s="551"/>
      <c r="Z336" s="551"/>
      <c r="AA336" s="551"/>
      <c r="AB336" s="551"/>
      <c r="AC336" s="551"/>
      <c r="AD336" s="551"/>
      <c r="AE336" s="551"/>
      <c r="AF336" s="551"/>
      <c r="AG336" s="551"/>
      <c r="AH336" s="551"/>
      <c r="AI336" s="551"/>
      <c r="AJ336" s="551"/>
      <c r="AK336" s="551"/>
      <c r="AL336" s="551"/>
      <c r="AM336" s="551"/>
      <c r="AN336" s="551"/>
      <c r="AO336" s="551"/>
      <c r="AP336" s="551"/>
      <c r="AQ336" s="551"/>
      <c r="AR336" s="551"/>
      <c r="AS336" s="551"/>
      <c r="AT336" s="551"/>
      <c r="AU336" s="551"/>
      <c r="AV336" s="551"/>
      <c r="AW336" s="551"/>
      <c r="AX336" s="551"/>
      <c r="AY336" s="551"/>
      <c r="AZ336" s="551"/>
      <c r="BA336" s="551"/>
      <c r="BB336" s="551"/>
      <c r="BC336" s="551"/>
      <c r="BD336" s="551"/>
      <c r="BE336" s="551"/>
      <c r="BF336" s="551"/>
      <c r="BG336" s="551"/>
      <c r="BH336" s="551"/>
      <c r="BI336" s="551"/>
      <c r="BJ336" s="551"/>
    </row>
    <row r="337" spans="1:62" ht="12.75" customHeight="1">
      <c r="A337" s="551"/>
      <c r="B337" s="551"/>
      <c r="C337" s="551"/>
      <c r="D337" s="551"/>
      <c r="E337" s="551"/>
      <c r="F337" s="551"/>
      <c r="G337" s="551"/>
      <c r="H337" s="551"/>
      <c r="I337" s="551"/>
      <c r="J337" s="551"/>
      <c r="K337" s="551"/>
      <c r="L337" s="551"/>
      <c r="M337" s="551"/>
      <c r="N337" s="551"/>
      <c r="O337" s="551"/>
      <c r="P337" s="551"/>
      <c r="Q337" s="551"/>
      <c r="R337" s="551"/>
      <c r="S337" s="551"/>
      <c r="T337" s="551"/>
      <c r="U337" s="551"/>
      <c r="V337" s="551"/>
      <c r="W337" s="551"/>
      <c r="X337" s="551"/>
      <c r="Y337" s="551"/>
      <c r="Z337" s="551"/>
      <c r="AA337" s="551"/>
      <c r="AB337" s="551"/>
      <c r="AC337" s="551"/>
      <c r="AD337" s="551"/>
      <c r="AE337" s="551"/>
      <c r="AF337" s="551"/>
      <c r="AG337" s="551"/>
      <c r="AH337" s="551"/>
      <c r="AI337" s="551"/>
      <c r="AJ337" s="551"/>
      <c r="AK337" s="551"/>
      <c r="AL337" s="551"/>
      <c r="AM337" s="551"/>
      <c r="AN337" s="551"/>
      <c r="AO337" s="551"/>
      <c r="AP337" s="551"/>
      <c r="AQ337" s="551"/>
      <c r="AR337" s="551"/>
      <c r="AS337" s="551"/>
      <c r="AT337" s="551"/>
      <c r="AU337" s="551"/>
      <c r="AV337" s="551"/>
      <c r="AW337" s="551"/>
      <c r="AX337" s="551"/>
      <c r="AY337" s="551"/>
      <c r="AZ337" s="551"/>
      <c r="BA337" s="551"/>
      <c r="BB337" s="551"/>
      <c r="BC337" s="551"/>
      <c r="BD337" s="551"/>
      <c r="BE337" s="551"/>
      <c r="BF337" s="551"/>
      <c r="BG337" s="551"/>
      <c r="BH337" s="551"/>
      <c r="BI337" s="551"/>
      <c r="BJ337" s="551"/>
    </row>
    <row r="338" spans="1:62" ht="12.75" customHeight="1">
      <c r="A338" s="551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1"/>
      <c r="P338" s="551"/>
      <c r="Q338" s="551"/>
      <c r="R338" s="551"/>
      <c r="S338" s="551"/>
      <c r="T338" s="551"/>
      <c r="U338" s="551"/>
      <c r="V338" s="551"/>
      <c r="W338" s="551"/>
      <c r="X338" s="551"/>
      <c r="Y338" s="551"/>
      <c r="Z338" s="551"/>
      <c r="AA338" s="551"/>
      <c r="AB338" s="551"/>
      <c r="AC338" s="551"/>
      <c r="AD338" s="551"/>
      <c r="AE338" s="551"/>
      <c r="AF338" s="551"/>
      <c r="AG338" s="551"/>
      <c r="AH338" s="551"/>
      <c r="AI338" s="551"/>
      <c r="AJ338" s="551"/>
      <c r="AK338" s="551"/>
      <c r="AL338" s="551"/>
      <c r="AM338" s="551"/>
      <c r="AN338" s="551"/>
      <c r="AO338" s="551"/>
      <c r="AP338" s="551"/>
      <c r="AQ338" s="551"/>
      <c r="AR338" s="551"/>
      <c r="AS338" s="551"/>
      <c r="AT338" s="551"/>
      <c r="AU338" s="551"/>
      <c r="AV338" s="551"/>
      <c r="AW338" s="551"/>
      <c r="AX338" s="551"/>
      <c r="AY338" s="551"/>
      <c r="AZ338" s="551"/>
      <c r="BA338" s="551"/>
      <c r="BB338" s="551"/>
      <c r="BC338" s="551"/>
      <c r="BD338" s="551"/>
      <c r="BE338" s="551"/>
      <c r="BF338" s="551"/>
      <c r="BG338" s="551"/>
      <c r="BH338" s="551"/>
      <c r="BI338" s="551"/>
      <c r="BJ338" s="551"/>
    </row>
    <row r="339" spans="1:62" ht="12.75" customHeight="1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1"/>
      <c r="P339" s="551"/>
      <c r="Q339" s="551"/>
      <c r="R339" s="551"/>
      <c r="S339" s="551"/>
      <c r="T339" s="551"/>
      <c r="U339" s="551"/>
      <c r="V339" s="551"/>
      <c r="W339" s="551"/>
      <c r="X339" s="551"/>
      <c r="Y339" s="551"/>
      <c r="Z339" s="551"/>
      <c r="AA339" s="551"/>
      <c r="AB339" s="551"/>
      <c r="AC339" s="551"/>
      <c r="AD339" s="551"/>
      <c r="AE339" s="551"/>
      <c r="AF339" s="551"/>
      <c r="AG339" s="551"/>
      <c r="AH339" s="551"/>
      <c r="AI339" s="551"/>
      <c r="AJ339" s="551"/>
      <c r="AK339" s="551"/>
      <c r="AL339" s="551"/>
      <c r="AM339" s="551"/>
      <c r="AN339" s="551"/>
      <c r="AO339" s="551"/>
      <c r="AP339" s="551"/>
      <c r="AQ339" s="551"/>
      <c r="AR339" s="551"/>
      <c r="AS339" s="551"/>
      <c r="AT339" s="551"/>
      <c r="AU339" s="551"/>
      <c r="AV339" s="551"/>
      <c r="AW339" s="551"/>
      <c r="AX339" s="551"/>
      <c r="AY339" s="551"/>
      <c r="AZ339" s="551"/>
      <c r="BA339" s="551"/>
      <c r="BB339" s="551"/>
      <c r="BC339" s="551"/>
      <c r="BD339" s="551"/>
      <c r="BE339" s="551"/>
      <c r="BF339" s="551"/>
      <c r="BG339" s="551"/>
      <c r="BH339" s="551"/>
      <c r="BI339" s="551"/>
      <c r="BJ339" s="551"/>
    </row>
    <row r="340" spans="1:62" ht="12.75" customHeight="1">
      <c r="A340" s="551"/>
      <c r="B340" s="551"/>
      <c r="C340" s="551"/>
      <c r="D340" s="551"/>
      <c r="E340" s="551"/>
      <c r="F340" s="551"/>
      <c r="G340" s="551"/>
      <c r="H340" s="551"/>
      <c r="I340" s="551"/>
      <c r="J340" s="551"/>
      <c r="K340" s="551"/>
      <c r="L340" s="551"/>
      <c r="M340" s="551"/>
      <c r="N340" s="551"/>
      <c r="O340" s="551"/>
      <c r="P340" s="551"/>
      <c r="Q340" s="551"/>
      <c r="R340" s="551"/>
      <c r="S340" s="551"/>
      <c r="T340" s="551"/>
      <c r="U340" s="551"/>
      <c r="V340" s="551"/>
      <c r="W340" s="551"/>
      <c r="X340" s="551"/>
      <c r="Y340" s="551"/>
      <c r="Z340" s="551"/>
      <c r="AA340" s="551"/>
      <c r="AB340" s="551"/>
      <c r="AC340" s="551"/>
      <c r="AD340" s="551"/>
      <c r="AE340" s="551"/>
      <c r="AF340" s="551"/>
      <c r="AG340" s="551"/>
      <c r="AH340" s="551"/>
      <c r="AI340" s="551"/>
      <c r="AJ340" s="551"/>
      <c r="AK340" s="551"/>
      <c r="AL340" s="551"/>
      <c r="AM340" s="551"/>
      <c r="AN340" s="551"/>
      <c r="AO340" s="551"/>
      <c r="AP340" s="551"/>
      <c r="AQ340" s="551"/>
      <c r="AR340" s="551"/>
      <c r="AS340" s="551"/>
      <c r="AT340" s="551"/>
      <c r="AU340" s="551"/>
      <c r="AV340" s="551"/>
      <c r="AW340" s="551"/>
      <c r="AX340" s="551"/>
      <c r="AY340" s="551"/>
      <c r="AZ340" s="551"/>
      <c r="BA340" s="551"/>
      <c r="BB340" s="551"/>
      <c r="BC340" s="551"/>
      <c r="BD340" s="551"/>
      <c r="BE340" s="551"/>
      <c r="BF340" s="551"/>
      <c r="BG340" s="551"/>
      <c r="BH340" s="551"/>
      <c r="BI340" s="551"/>
      <c r="BJ340" s="551"/>
    </row>
    <row r="341" spans="1:62" ht="12.75" customHeight="1">
      <c r="A341" s="551"/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51"/>
      <c r="AB341" s="551"/>
      <c r="AC341" s="551"/>
      <c r="AD341" s="551"/>
      <c r="AE341" s="551"/>
      <c r="AF341" s="551"/>
      <c r="AG341" s="551"/>
      <c r="AH341" s="551"/>
      <c r="AI341" s="551"/>
      <c r="AJ341" s="551"/>
      <c r="AK341" s="551"/>
      <c r="AL341" s="551"/>
      <c r="AM341" s="551"/>
      <c r="AN341" s="551"/>
      <c r="AO341" s="551"/>
      <c r="AP341" s="551"/>
      <c r="AQ341" s="551"/>
      <c r="AR341" s="551"/>
      <c r="AS341" s="551"/>
      <c r="AT341" s="551"/>
      <c r="AU341" s="551"/>
      <c r="AV341" s="551"/>
      <c r="AW341" s="551"/>
      <c r="AX341" s="551"/>
      <c r="AY341" s="551"/>
      <c r="AZ341" s="551"/>
      <c r="BA341" s="551"/>
      <c r="BB341" s="551"/>
      <c r="BC341" s="551"/>
      <c r="BD341" s="551"/>
      <c r="BE341" s="551"/>
      <c r="BF341" s="551"/>
      <c r="BG341" s="551"/>
      <c r="BH341" s="551"/>
      <c r="BI341" s="551"/>
      <c r="BJ341" s="551"/>
    </row>
    <row r="342" spans="1:62" ht="12.75" customHeight="1">
      <c r="A342" s="551"/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51"/>
      <c r="AB342" s="551"/>
      <c r="AC342" s="551"/>
      <c r="AD342" s="551"/>
      <c r="AE342" s="551"/>
      <c r="AF342" s="551"/>
      <c r="AG342" s="551"/>
      <c r="AH342" s="551"/>
      <c r="AI342" s="551"/>
      <c r="AJ342" s="551"/>
      <c r="AK342" s="551"/>
      <c r="AL342" s="551"/>
      <c r="AM342" s="551"/>
      <c r="AN342" s="551"/>
      <c r="AO342" s="551"/>
      <c r="AP342" s="551"/>
      <c r="AQ342" s="551"/>
      <c r="AR342" s="551"/>
      <c r="AS342" s="551"/>
      <c r="AT342" s="551"/>
      <c r="AU342" s="551"/>
      <c r="AV342" s="551"/>
      <c r="AW342" s="551"/>
      <c r="AX342" s="551"/>
      <c r="AY342" s="551"/>
      <c r="AZ342" s="551"/>
      <c r="BA342" s="551"/>
      <c r="BB342" s="551"/>
      <c r="BC342" s="551"/>
      <c r="BD342" s="551"/>
      <c r="BE342" s="551"/>
      <c r="BF342" s="551"/>
      <c r="BG342" s="551"/>
      <c r="BH342" s="551"/>
      <c r="BI342" s="551"/>
      <c r="BJ342" s="551"/>
    </row>
    <row r="343" spans="1:62" ht="12.75" customHeight="1">
      <c r="A343" s="551"/>
      <c r="B343" s="551"/>
      <c r="C343" s="551"/>
      <c r="D343" s="551"/>
      <c r="E343" s="551"/>
      <c r="F343" s="551"/>
      <c r="G343" s="551"/>
      <c r="H343" s="551"/>
      <c r="I343" s="551"/>
      <c r="J343" s="551"/>
      <c r="K343" s="551"/>
      <c r="L343" s="551"/>
      <c r="M343" s="551"/>
      <c r="N343" s="551"/>
      <c r="O343" s="551"/>
      <c r="P343" s="551"/>
      <c r="Q343" s="551"/>
      <c r="R343" s="551"/>
      <c r="S343" s="551"/>
      <c r="T343" s="551"/>
      <c r="U343" s="551"/>
      <c r="V343" s="551"/>
      <c r="W343" s="551"/>
      <c r="X343" s="551"/>
      <c r="Y343" s="551"/>
      <c r="Z343" s="551"/>
      <c r="AA343" s="551"/>
      <c r="AB343" s="551"/>
      <c r="AC343" s="551"/>
      <c r="AD343" s="551"/>
      <c r="AE343" s="551"/>
      <c r="AF343" s="551"/>
      <c r="AG343" s="551"/>
      <c r="AH343" s="551"/>
      <c r="AI343" s="551"/>
      <c r="AJ343" s="551"/>
      <c r="AK343" s="551"/>
      <c r="AL343" s="551"/>
      <c r="AM343" s="551"/>
      <c r="AN343" s="551"/>
      <c r="AO343" s="551"/>
      <c r="AP343" s="551"/>
      <c r="AQ343" s="551"/>
      <c r="AR343" s="551"/>
      <c r="AS343" s="551"/>
      <c r="AT343" s="551"/>
      <c r="AU343" s="551"/>
      <c r="AV343" s="551"/>
      <c r="AW343" s="551"/>
      <c r="AX343" s="551"/>
      <c r="AY343" s="551"/>
      <c r="AZ343" s="551"/>
      <c r="BA343" s="551"/>
      <c r="BB343" s="551"/>
      <c r="BC343" s="551"/>
      <c r="BD343" s="551"/>
      <c r="BE343" s="551"/>
      <c r="BF343" s="551"/>
      <c r="BG343" s="551"/>
      <c r="BH343" s="551"/>
      <c r="BI343" s="551"/>
      <c r="BJ343" s="551"/>
    </row>
    <row r="344" spans="1:62" ht="12.75" customHeight="1">
      <c r="A344" s="551"/>
      <c r="B344" s="551"/>
      <c r="C344" s="551"/>
      <c r="D344" s="551"/>
      <c r="E344" s="551"/>
      <c r="F344" s="551"/>
      <c r="G344" s="551"/>
      <c r="H344" s="551"/>
      <c r="I344" s="551"/>
      <c r="J344" s="551"/>
      <c r="K344" s="551"/>
      <c r="L344" s="551"/>
      <c r="M344" s="551"/>
      <c r="N344" s="551"/>
      <c r="O344" s="551"/>
      <c r="P344" s="551"/>
      <c r="Q344" s="551"/>
      <c r="R344" s="551"/>
      <c r="S344" s="551"/>
      <c r="T344" s="551"/>
      <c r="U344" s="551"/>
      <c r="V344" s="551"/>
      <c r="W344" s="551"/>
      <c r="X344" s="551"/>
      <c r="Y344" s="551"/>
      <c r="Z344" s="551"/>
      <c r="AA344" s="551"/>
      <c r="AB344" s="551"/>
      <c r="AC344" s="551"/>
      <c r="AD344" s="551"/>
      <c r="AE344" s="551"/>
      <c r="AF344" s="551"/>
      <c r="AG344" s="551"/>
      <c r="AH344" s="551"/>
      <c r="AI344" s="551"/>
      <c r="AJ344" s="551"/>
      <c r="AK344" s="551"/>
      <c r="AL344" s="551"/>
      <c r="AM344" s="551"/>
      <c r="AN344" s="551"/>
      <c r="AO344" s="551"/>
      <c r="AP344" s="551"/>
      <c r="AQ344" s="551"/>
      <c r="AR344" s="551"/>
      <c r="AS344" s="551"/>
      <c r="AT344" s="551"/>
      <c r="AU344" s="551"/>
      <c r="AV344" s="551"/>
      <c r="AW344" s="551"/>
      <c r="AX344" s="551"/>
      <c r="AY344" s="551"/>
      <c r="AZ344" s="551"/>
      <c r="BA344" s="551"/>
      <c r="BB344" s="551"/>
      <c r="BC344" s="551"/>
      <c r="BD344" s="551"/>
      <c r="BE344" s="551"/>
      <c r="BF344" s="551"/>
      <c r="BG344" s="551"/>
      <c r="BH344" s="551"/>
      <c r="BI344" s="551"/>
      <c r="BJ344" s="551"/>
    </row>
    <row r="345" spans="1:62" ht="12.75" customHeight="1">
      <c r="A345" s="551"/>
      <c r="B345" s="551"/>
      <c r="C345" s="551"/>
      <c r="D345" s="551"/>
      <c r="E345" s="551"/>
      <c r="F345" s="551"/>
      <c r="G345" s="551"/>
      <c r="H345" s="551"/>
      <c r="I345" s="551"/>
      <c r="J345" s="551"/>
      <c r="K345" s="551"/>
      <c r="L345" s="551"/>
      <c r="M345" s="551"/>
      <c r="N345" s="551"/>
      <c r="O345" s="551"/>
      <c r="P345" s="551"/>
      <c r="Q345" s="551"/>
      <c r="R345" s="551"/>
      <c r="S345" s="551"/>
      <c r="T345" s="551"/>
      <c r="U345" s="551"/>
      <c r="V345" s="551"/>
      <c r="W345" s="551"/>
      <c r="X345" s="551"/>
      <c r="Y345" s="551"/>
      <c r="Z345" s="551"/>
      <c r="AA345" s="551"/>
      <c r="AB345" s="551"/>
      <c r="AC345" s="551"/>
      <c r="AD345" s="551"/>
      <c r="AE345" s="551"/>
      <c r="AF345" s="551"/>
      <c r="AG345" s="551"/>
      <c r="AH345" s="551"/>
      <c r="AI345" s="551"/>
      <c r="AJ345" s="551"/>
      <c r="AK345" s="551"/>
      <c r="AL345" s="551"/>
      <c r="AM345" s="551"/>
      <c r="AN345" s="551"/>
      <c r="AO345" s="551"/>
      <c r="AP345" s="551"/>
      <c r="AQ345" s="551"/>
      <c r="AR345" s="551"/>
      <c r="AS345" s="551"/>
      <c r="AT345" s="551"/>
      <c r="AU345" s="551"/>
      <c r="AV345" s="551"/>
      <c r="AW345" s="551"/>
      <c r="AX345" s="551"/>
      <c r="AY345" s="551"/>
      <c r="AZ345" s="551"/>
      <c r="BA345" s="551"/>
      <c r="BB345" s="551"/>
      <c r="BC345" s="551"/>
      <c r="BD345" s="551"/>
      <c r="BE345" s="551"/>
      <c r="BF345" s="551"/>
      <c r="BG345" s="551"/>
      <c r="BH345" s="551"/>
      <c r="BI345" s="551"/>
      <c r="BJ345" s="551"/>
    </row>
    <row r="346" spans="1:62" ht="12.75" customHeight="1">
      <c r="A346" s="551"/>
      <c r="B346" s="551"/>
      <c r="C346" s="551"/>
      <c r="D346" s="551"/>
      <c r="E346" s="551"/>
      <c r="F346" s="551"/>
      <c r="G346" s="551"/>
      <c r="H346" s="551"/>
      <c r="I346" s="551"/>
      <c r="J346" s="551"/>
      <c r="K346" s="551"/>
      <c r="L346" s="551"/>
      <c r="M346" s="551"/>
      <c r="N346" s="551"/>
      <c r="O346" s="551"/>
      <c r="P346" s="551"/>
      <c r="Q346" s="551"/>
      <c r="R346" s="551"/>
      <c r="S346" s="551"/>
      <c r="T346" s="551"/>
      <c r="U346" s="551"/>
      <c r="V346" s="551"/>
      <c r="W346" s="551"/>
      <c r="X346" s="551"/>
      <c r="Y346" s="551"/>
      <c r="Z346" s="551"/>
      <c r="AA346" s="551"/>
      <c r="AB346" s="551"/>
      <c r="AC346" s="551"/>
      <c r="AD346" s="551"/>
      <c r="AE346" s="551"/>
      <c r="AF346" s="551"/>
      <c r="AG346" s="551"/>
      <c r="AH346" s="551"/>
      <c r="AI346" s="551"/>
      <c r="AJ346" s="551"/>
      <c r="AK346" s="551"/>
      <c r="AL346" s="551"/>
      <c r="AM346" s="551"/>
      <c r="AN346" s="551"/>
      <c r="AO346" s="551"/>
      <c r="AP346" s="551"/>
      <c r="AQ346" s="551"/>
      <c r="AR346" s="551"/>
      <c r="AS346" s="551"/>
      <c r="AT346" s="551"/>
      <c r="AU346" s="551"/>
      <c r="AV346" s="551"/>
      <c r="AW346" s="551"/>
      <c r="AX346" s="551"/>
      <c r="AY346" s="551"/>
      <c r="AZ346" s="551"/>
      <c r="BA346" s="551"/>
      <c r="BB346" s="551"/>
      <c r="BC346" s="551"/>
      <c r="BD346" s="551"/>
      <c r="BE346" s="551"/>
      <c r="BF346" s="551"/>
      <c r="BG346" s="551"/>
      <c r="BH346" s="551"/>
      <c r="BI346" s="551"/>
      <c r="BJ346" s="551"/>
    </row>
    <row r="347" spans="1:62" ht="12.75" customHeight="1">
      <c r="A347" s="551"/>
      <c r="B347" s="551"/>
      <c r="C347" s="551"/>
      <c r="D347" s="551"/>
      <c r="E347" s="551"/>
      <c r="F347" s="551"/>
      <c r="G347" s="551"/>
      <c r="H347" s="551"/>
      <c r="I347" s="551"/>
      <c r="J347" s="551"/>
      <c r="K347" s="551"/>
      <c r="L347" s="551"/>
      <c r="M347" s="551"/>
      <c r="N347" s="551"/>
      <c r="O347" s="551"/>
      <c r="P347" s="551"/>
      <c r="Q347" s="551"/>
      <c r="R347" s="551"/>
      <c r="S347" s="551"/>
      <c r="T347" s="551"/>
      <c r="U347" s="551"/>
      <c r="V347" s="551"/>
      <c r="W347" s="551"/>
      <c r="X347" s="551"/>
      <c r="Y347" s="551"/>
      <c r="Z347" s="551"/>
      <c r="AA347" s="551"/>
      <c r="AB347" s="551"/>
      <c r="AC347" s="551"/>
      <c r="AD347" s="551"/>
      <c r="AE347" s="551"/>
      <c r="AF347" s="551"/>
      <c r="AG347" s="551"/>
      <c r="AH347" s="551"/>
      <c r="AI347" s="551"/>
      <c r="AJ347" s="551"/>
      <c r="AK347" s="551"/>
      <c r="AL347" s="551"/>
      <c r="AM347" s="551"/>
      <c r="AN347" s="551"/>
      <c r="AO347" s="551"/>
      <c r="AP347" s="551"/>
      <c r="AQ347" s="551"/>
      <c r="AR347" s="551"/>
      <c r="AS347" s="551"/>
      <c r="AT347" s="551"/>
      <c r="AU347" s="551"/>
      <c r="AV347" s="551"/>
      <c r="AW347" s="551"/>
      <c r="AX347" s="551"/>
      <c r="AY347" s="551"/>
      <c r="AZ347" s="551"/>
      <c r="BA347" s="551"/>
      <c r="BB347" s="551"/>
      <c r="BC347" s="551"/>
      <c r="BD347" s="551"/>
      <c r="BE347" s="551"/>
      <c r="BF347" s="551"/>
      <c r="BG347" s="551"/>
      <c r="BH347" s="551"/>
      <c r="BI347" s="551"/>
      <c r="BJ347" s="551"/>
    </row>
    <row r="348" spans="1:62" ht="12.75" customHeight="1">
      <c r="A348" s="551"/>
      <c r="B348" s="551"/>
      <c r="C348" s="551"/>
      <c r="D348" s="551"/>
      <c r="E348" s="551"/>
      <c r="F348" s="551"/>
      <c r="G348" s="551"/>
      <c r="H348" s="551"/>
      <c r="I348" s="551"/>
      <c r="J348" s="551"/>
      <c r="K348" s="551"/>
      <c r="L348" s="551"/>
      <c r="M348" s="551"/>
      <c r="N348" s="551"/>
      <c r="O348" s="551"/>
      <c r="P348" s="551"/>
      <c r="Q348" s="551"/>
      <c r="R348" s="551"/>
      <c r="S348" s="551"/>
      <c r="T348" s="551"/>
      <c r="U348" s="551"/>
      <c r="V348" s="551"/>
      <c r="W348" s="551"/>
      <c r="X348" s="551"/>
      <c r="Y348" s="551"/>
      <c r="Z348" s="551"/>
      <c r="AA348" s="551"/>
      <c r="AB348" s="551"/>
      <c r="AC348" s="551"/>
      <c r="AD348" s="551"/>
      <c r="AE348" s="551"/>
      <c r="AF348" s="551"/>
      <c r="AG348" s="551"/>
      <c r="AH348" s="551"/>
      <c r="AI348" s="551"/>
      <c r="AJ348" s="551"/>
      <c r="AK348" s="551"/>
      <c r="AL348" s="551"/>
      <c r="AM348" s="551"/>
      <c r="AN348" s="551"/>
      <c r="AO348" s="551"/>
      <c r="AP348" s="551"/>
      <c r="AQ348" s="551"/>
      <c r="AR348" s="551"/>
      <c r="AS348" s="551"/>
      <c r="AT348" s="551"/>
      <c r="AU348" s="551"/>
      <c r="AV348" s="551"/>
      <c r="AW348" s="551"/>
      <c r="AX348" s="551"/>
      <c r="AY348" s="551"/>
      <c r="AZ348" s="551"/>
      <c r="BA348" s="551"/>
      <c r="BB348" s="551"/>
      <c r="BC348" s="551"/>
      <c r="BD348" s="551"/>
      <c r="BE348" s="551"/>
      <c r="BF348" s="551"/>
      <c r="BG348" s="551"/>
      <c r="BH348" s="551"/>
      <c r="BI348" s="551"/>
      <c r="BJ348" s="551"/>
    </row>
    <row r="349" spans="1:62" ht="12.75" customHeight="1">
      <c r="A349" s="551"/>
      <c r="B349" s="551"/>
      <c r="C349" s="551"/>
      <c r="D349" s="551"/>
      <c r="E349" s="551"/>
      <c r="F349" s="551"/>
      <c r="G349" s="551"/>
      <c r="H349" s="551"/>
      <c r="I349" s="551"/>
      <c r="J349" s="551"/>
      <c r="K349" s="551"/>
      <c r="L349" s="551"/>
      <c r="M349" s="551"/>
      <c r="N349" s="551"/>
      <c r="O349" s="551"/>
      <c r="P349" s="551"/>
      <c r="Q349" s="551"/>
      <c r="R349" s="551"/>
      <c r="S349" s="551"/>
      <c r="T349" s="551"/>
      <c r="U349" s="551"/>
      <c r="V349" s="551"/>
      <c r="W349" s="551"/>
      <c r="X349" s="551"/>
      <c r="Y349" s="551"/>
      <c r="Z349" s="551"/>
      <c r="AA349" s="551"/>
      <c r="AB349" s="551"/>
      <c r="AC349" s="551"/>
      <c r="AD349" s="551"/>
      <c r="AE349" s="551"/>
      <c r="AF349" s="551"/>
      <c r="AG349" s="551"/>
      <c r="AH349" s="551"/>
      <c r="AI349" s="551"/>
      <c r="AJ349" s="551"/>
      <c r="AK349" s="551"/>
      <c r="AL349" s="551"/>
      <c r="AM349" s="551"/>
      <c r="AN349" s="551"/>
      <c r="AO349" s="551"/>
      <c r="AP349" s="551"/>
      <c r="AQ349" s="551"/>
      <c r="AR349" s="551"/>
      <c r="AS349" s="551"/>
      <c r="AT349" s="551"/>
      <c r="AU349" s="551"/>
      <c r="AV349" s="551"/>
      <c r="AW349" s="551"/>
      <c r="AX349" s="551"/>
      <c r="AY349" s="551"/>
      <c r="AZ349" s="551"/>
      <c r="BA349" s="551"/>
      <c r="BB349" s="551"/>
      <c r="BC349" s="551"/>
      <c r="BD349" s="551"/>
      <c r="BE349" s="551"/>
      <c r="BF349" s="551"/>
      <c r="BG349" s="551"/>
      <c r="BH349" s="551"/>
      <c r="BI349" s="551"/>
      <c r="BJ349" s="551"/>
    </row>
    <row r="350" spans="1:62" ht="12.75" customHeight="1">
      <c r="A350" s="551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1"/>
      <c r="P350" s="551"/>
      <c r="Q350" s="551"/>
      <c r="R350" s="551"/>
      <c r="S350" s="551"/>
      <c r="T350" s="551"/>
      <c r="U350" s="551"/>
      <c r="V350" s="551"/>
      <c r="W350" s="551"/>
      <c r="X350" s="551"/>
      <c r="Y350" s="551"/>
      <c r="Z350" s="551"/>
      <c r="AA350" s="551"/>
      <c r="AB350" s="551"/>
      <c r="AC350" s="551"/>
      <c r="AD350" s="551"/>
      <c r="AE350" s="551"/>
      <c r="AF350" s="551"/>
      <c r="AG350" s="551"/>
      <c r="AH350" s="551"/>
      <c r="AI350" s="551"/>
      <c r="AJ350" s="551"/>
      <c r="AK350" s="551"/>
      <c r="AL350" s="551"/>
      <c r="AM350" s="551"/>
      <c r="AN350" s="551"/>
      <c r="AO350" s="551"/>
      <c r="AP350" s="551"/>
      <c r="AQ350" s="551"/>
      <c r="AR350" s="551"/>
      <c r="AS350" s="551"/>
      <c r="AT350" s="551"/>
      <c r="AU350" s="551"/>
      <c r="AV350" s="551"/>
      <c r="AW350" s="551"/>
      <c r="AX350" s="551"/>
      <c r="AY350" s="551"/>
      <c r="AZ350" s="551"/>
      <c r="BA350" s="551"/>
      <c r="BB350" s="551"/>
      <c r="BC350" s="551"/>
      <c r="BD350" s="551"/>
      <c r="BE350" s="551"/>
      <c r="BF350" s="551"/>
      <c r="BG350" s="551"/>
      <c r="BH350" s="551"/>
      <c r="BI350" s="551"/>
      <c r="BJ350" s="551"/>
    </row>
    <row r="351" spans="1:62" ht="12.75" customHeight="1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1"/>
      <c r="P351" s="551"/>
      <c r="Q351" s="551"/>
      <c r="R351" s="551"/>
      <c r="S351" s="551"/>
      <c r="T351" s="551"/>
      <c r="U351" s="551"/>
      <c r="V351" s="551"/>
      <c r="W351" s="551"/>
      <c r="X351" s="551"/>
      <c r="Y351" s="551"/>
      <c r="Z351" s="551"/>
      <c r="AA351" s="551"/>
      <c r="AB351" s="551"/>
      <c r="AC351" s="551"/>
      <c r="AD351" s="551"/>
      <c r="AE351" s="551"/>
      <c r="AF351" s="551"/>
      <c r="AG351" s="551"/>
      <c r="AH351" s="551"/>
      <c r="AI351" s="551"/>
      <c r="AJ351" s="551"/>
      <c r="AK351" s="551"/>
      <c r="AL351" s="551"/>
      <c r="AM351" s="551"/>
      <c r="AN351" s="551"/>
      <c r="AO351" s="551"/>
      <c r="AP351" s="551"/>
      <c r="AQ351" s="551"/>
      <c r="AR351" s="551"/>
      <c r="AS351" s="551"/>
      <c r="AT351" s="551"/>
      <c r="AU351" s="551"/>
      <c r="AV351" s="551"/>
      <c r="AW351" s="551"/>
      <c r="AX351" s="551"/>
      <c r="AY351" s="551"/>
      <c r="AZ351" s="551"/>
      <c r="BA351" s="551"/>
      <c r="BB351" s="551"/>
      <c r="BC351" s="551"/>
      <c r="BD351" s="551"/>
      <c r="BE351" s="551"/>
      <c r="BF351" s="551"/>
      <c r="BG351" s="551"/>
      <c r="BH351" s="551"/>
      <c r="BI351" s="551"/>
      <c r="BJ351" s="551"/>
    </row>
    <row r="352" spans="1:62" ht="12.75" customHeight="1">
      <c r="A352" s="551"/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51"/>
      <c r="AB352" s="551"/>
      <c r="AC352" s="551"/>
      <c r="AD352" s="551"/>
      <c r="AE352" s="551"/>
      <c r="AF352" s="551"/>
      <c r="AG352" s="551"/>
      <c r="AH352" s="551"/>
      <c r="AI352" s="551"/>
      <c r="AJ352" s="551"/>
      <c r="AK352" s="551"/>
      <c r="AL352" s="551"/>
      <c r="AM352" s="551"/>
      <c r="AN352" s="551"/>
      <c r="AO352" s="551"/>
      <c r="AP352" s="551"/>
      <c r="AQ352" s="551"/>
      <c r="AR352" s="551"/>
      <c r="AS352" s="551"/>
      <c r="AT352" s="551"/>
      <c r="AU352" s="551"/>
      <c r="AV352" s="551"/>
      <c r="AW352" s="551"/>
      <c r="AX352" s="551"/>
      <c r="AY352" s="551"/>
      <c r="AZ352" s="551"/>
      <c r="BA352" s="551"/>
      <c r="BB352" s="551"/>
      <c r="BC352" s="551"/>
      <c r="BD352" s="551"/>
      <c r="BE352" s="551"/>
      <c r="BF352" s="551"/>
      <c r="BG352" s="551"/>
      <c r="BH352" s="551"/>
      <c r="BI352" s="551"/>
      <c r="BJ352" s="551"/>
    </row>
    <row r="353" spans="1:62" ht="12.75" customHeight="1">
      <c r="A353" s="551"/>
      <c r="B353" s="551"/>
      <c r="C353" s="551"/>
      <c r="D353" s="551"/>
      <c r="E353" s="551"/>
      <c r="F353" s="551"/>
      <c r="G353" s="551"/>
      <c r="H353" s="551"/>
      <c r="I353" s="551"/>
      <c r="J353" s="551"/>
      <c r="K353" s="551"/>
      <c r="L353" s="551"/>
      <c r="M353" s="551"/>
      <c r="N353" s="551"/>
      <c r="O353" s="551"/>
      <c r="P353" s="551"/>
      <c r="Q353" s="551"/>
      <c r="R353" s="551"/>
      <c r="S353" s="551"/>
      <c r="T353" s="551"/>
      <c r="U353" s="551"/>
      <c r="V353" s="551"/>
      <c r="W353" s="551"/>
      <c r="X353" s="551"/>
      <c r="Y353" s="551"/>
      <c r="Z353" s="551"/>
      <c r="AA353" s="551"/>
      <c r="AB353" s="551"/>
      <c r="AC353" s="551"/>
      <c r="AD353" s="551"/>
      <c r="AE353" s="551"/>
      <c r="AF353" s="551"/>
      <c r="AG353" s="551"/>
      <c r="AH353" s="551"/>
      <c r="AI353" s="551"/>
      <c r="AJ353" s="551"/>
      <c r="AK353" s="551"/>
      <c r="AL353" s="551"/>
      <c r="AM353" s="551"/>
      <c r="AN353" s="551"/>
      <c r="AO353" s="551"/>
      <c r="AP353" s="551"/>
      <c r="AQ353" s="551"/>
      <c r="AR353" s="551"/>
      <c r="AS353" s="551"/>
      <c r="AT353" s="551"/>
      <c r="AU353" s="551"/>
      <c r="AV353" s="551"/>
      <c r="AW353" s="551"/>
      <c r="AX353" s="551"/>
      <c r="AY353" s="551"/>
      <c r="AZ353" s="551"/>
      <c r="BA353" s="551"/>
      <c r="BB353" s="551"/>
      <c r="BC353" s="551"/>
      <c r="BD353" s="551"/>
      <c r="BE353" s="551"/>
      <c r="BF353" s="551"/>
      <c r="BG353" s="551"/>
      <c r="BH353" s="551"/>
      <c r="BI353" s="551"/>
      <c r="BJ353" s="551"/>
    </row>
    <row r="354" spans="1:62" ht="12.75" customHeight="1">
      <c r="A354" s="551"/>
      <c r="B354" s="551"/>
      <c r="C354" s="551"/>
      <c r="D354" s="551"/>
      <c r="E354" s="551"/>
      <c r="F354" s="551"/>
      <c r="G354" s="551"/>
      <c r="H354" s="551"/>
      <c r="I354" s="551"/>
      <c r="J354" s="551"/>
      <c r="K354" s="551"/>
      <c r="L354" s="551"/>
      <c r="M354" s="551"/>
      <c r="N354" s="551"/>
      <c r="O354" s="551"/>
      <c r="P354" s="551"/>
      <c r="Q354" s="551"/>
      <c r="R354" s="551"/>
      <c r="S354" s="551"/>
      <c r="T354" s="551"/>
      <c r="U354" s="551"/>
      <c r="V354" s="551"/>
      <c r="W354" s="551"/>
      <c r="X354" s="551"/>
      <c r="Y354" s="551"/>
      <c r="Z354" s="551"/>
      <c r="AA354" s="551"/>
      <c r="AB354" s="551"/>
      <c r="AC354" s="551"/>
      <c r="AD354" s="551"/>
      <c r="AE354" s="551"/>
      <c r="AF354" s="551"/>
      <c r="AG354" s="551"/>
      <c r="AH354" s="551"/>
      <c r="AI354" s="551"/>
      <c r="AJ354" s="551"/>
      <c r="AK354" s="551"/>
      <c r="AL354" s="551"/>
      <c r="AM354" s="551"/>
      <c r="AN354" s="551"/>
      <c r="AO354" s="551"/>
      <c r="AP354" s="551"/>
      <c r="AQ354" s="551"/>
      <c r="AR354" s="551"/>
      <c r="AS354" s="551"/>
      <c r="AT354" s="551"/>
      <c r="AU354" s="551"/>
      <c r="AV354" s="551"/>
      <c r="AW354" s="551"/>
      <c r="AX354" s="551"/>
      <c r="AY354" s="551"/>
      <c r="AZ354" s="551"/>
      <c r="BA354" s="551"/>
      <c r="BB354" s="551"/>
      <c r="BC354" s="551"/>
      <c r="BD354" s="551"/>
      <c r="BE354" s="551"/>
      <c r="BF354" s="551"/>
      <c r="BG354" s="551"/>
      <c r="BH354" s="551"/>
      <c r="BI354" s="551"/>
      <c r="BJ354" s="551"/>
    </row>
    <row r="355" spans="1:62" ht="12.75" customHeight="1">
      <c r="A355" s="551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1"/>
      <c r="P355" s="551"/>
      <c r="Q355" s="551"/>
      <c r="R355" s="551"/>
      <c r="S355" s="551"/>
      <c r="T355" s="551"/>
      <c r="U355" s="551"/>
      <c r="V355" s="551"/>
      <c r="W355" s="551"/>
      <c r="X355" s="551"/>
      <c r="Y355" s="551"/>
      <c r="Z355" s="551"/>
      <c r="AA355" s="551"/>
      <c r="AB355" s="551"/>
      <c r="AC355" s="551"/>
      <c r="AD355" s="551"/>
      <c r="AE355" s="551"/>
      <c r="AF355" s="551"/>
      <c r="AG355" s="551"/>
      <c r="AH355" s="551"/>
      <c r="AI355" s="551"/>
      <c r="AJ355" s="551"/>
      <c r="AK355" s="551"/>
      <c r="AL355" s="551"/>
      <c r="AM355" s="551"/>
      <c r="AN355" s="551"/>
      <c r="AO355" s="551"/>
      <c r="AP355" s="551"/>
      <c r="AQ355" s="551"/>
      <c r="AR355" s="551"/>
      <c r="AS355" s="551"/>
      <c r="AT355" s="551"/>
      <c r="AU355" s="551"/>
      <c r="AV355" s="551"/>
      <c r="AW355" s="551"/>
      <c r="AX355" s="551"/>
      <c r="AY355" s="551"/>
      <c r="AZ355" s="551"/>
      <c r="BA355" s="551"/>
      <c r="BB355" s="551"/>
      <c r="BC355" s="551"/>
      <c r="BD355" s="551"/>
      <c r="BE355" s="551"/>
      <c r="BF355" s="551"/>
      <c r="BG355" s="551"/>
      <c r="BH355" s="551"/>
      <c r="BI355" s="551"/>
      <c r="BJ355" s="551"/>
    </row>
    <row r="356" spans="1:62" ht="12.75" customHeight="1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1"/>
      <c r="P356" s="551"/>
      <c r="Q356" s="551"/>
      <c r="R356" s="551"/>
      <c r="S356" s="551"/>
      <c r="T356" s="551"/>
      <c r="U356" s="551"/>
      <c r="V356" s="551"/>
      <c r="W356" s="551"/>
      <c r="X356" s="551"/>
      <c r="Y356" s="551"/>
      <c r="Z356" s="551"/>
      <c r="AA356" s="551"/>
      <c r="AB356" s="551"/>
      <c r="AC356" s="551"/>
      <c r="AD356" s="551"/>
      <c r="AE356" s="551"/>
      <c r="AF356" s="551"/>
      <c r="AG356" s="551"/>
      <c r="AH356" s="551"/>
      <c r="AI356" s="551"/>
      <c r="AJ356" s="551"/>
      <c r="AK356" s="551"/>
      <c r="AL356" s="551"/>
      <c r="AM356" s="551"/>
      <c r="AN356" s="551"/>
      <c r="AO356" s="551"/>
      <c r="AP356" s="551"/>
      <c r="AQ356" s="551"/>
      <c r="AR356" s="551"/>
      <c r="AS356" s="551"/>
      <c r="AT356" s="551"/>
      <c r="AU356" s="551"/>
      <c r="AV356" s="551"/>
      <c r="AW356" s="551"/>
      <c r="AX356" s="551"/>
      <c r="AY356" s="551"/>
      <c r="AZ356" s="551"/>
      <c r="BA356" s="551"/>
      <c r="BB356" s="551"/>
      <c r="BC356" s="551"/>
      <c r="BD356" s="551"/>
      <c r="BE356" s="551"/>
      <c r="BF356" s="551"/>
      <c r="BG356" s="551"/>
      <c r="BH356" s="551"/>
      <c r="BI356" s="551"/>
      <c r="BJ356" s="551"/>
    </row>
    <row r="357" spans="1:62" ht="12.75" customHeight="1">
      <c r="A357" s="551"/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51"/>
      <c r="AB357" s="551"/>
      <c r="AC357" s="551"/>
      <c r="AD357" s="551"/>
      <c r="AE357" s="551"/>
      <c r="AF357" s="551"/>
      <c r="AG357" s="551"/>
      <c r="AH357" s="551"/>
      <c r="AI357" s="551"/>
      <c r="AJ357" s="551"/>
      <c r="AK357" s="551"/>
      <c r="AL357" s="551"/>
      <c r="AM357" s="551"/>
      <c r="AN357" s="551"/>
      <c r="AO357" s="551"/>
      <c r="AP357" s="551"/>
      <c r="AQ357" s="551"/>
      <c r="AR357" s="551"/>
      <c r="AS357" s="551"/>
      <c r="AT357" s="551"/>
      <c r="AU357" s="551"/>
      <c r="AV357" s="551"/>
      <c r="AW357" s="551"/>
      <c r="AX357" s="551"/>
      <c r="AY357" s="551"/>
      <c r="AZ357" s="551"/>
      <c r="BA357" s="551"/>
      <c r="BB357" s="551"/>
      <c r="BC357" s="551"/>
      <c r="BD357" s="551"/>
      <c r="BE357" s="551"/>
      <c r="BF357" s="551"/>
      <c r="BG357" s="551"/>
      <c r="BH357" s="551"/>
      <c r="BI357" s="551"/>
      <c r="BJ357" s="551"/>
    </row>
    <row r="358" spans="1:62" ht="12.75" customHeight="1">
      <c r="A358" s="551"/>
      <c r="B358" s="551"/>
      <c r="C358" s="551"/>
      <c r="D358" s="551"/>
      <c r="E358" s="551"/>
      <c r="F358" s="551"/>
      <c r="G358" s="551"/>
      <c r="H358" s="551"/>
      <c r="I358" s="551"/>
      <c r="J358" s="551"/>
      <c r="K358" s="551"/>
      <c r="L358" s="551"/>
      <c r="M358" s="551"/>
      <c r="N358" s="551"/>
      <c r="O358" s="551"/>
      <c r="P358" s="551"/>
      <c r="Q358" s="551"/>
      <c r="R358" s="551"/>
      <c r="S358" s="551"/>
      <c r="T358" s="551"/>
      <c r="U358" s="551"/>
      <c r="V358" s="551"/>
      <c r="W358" s="551"/>
      <c r="X358" s="551"/>
      <c r="Y358" s="551"/>
      <c r="Z358" s="551"/>
      <c r="AA358" s="551"/>
      <c r="AB358" s="551"/>
      <c r="AC358" s="551"/>
      <c r="AD358" s="551"/>
      <c r="AE358" s="551"/>
      <c r="AF358" s="551"/>
      <c r="AG358" s="551"/>
      <c r="AH358" s="551"/>
      <c r="AI358" s="551"/>
      <c r="AJ358" s="551"/>
      <c r="AK358" s="551"/>
      <c r="AL358" s="551"/>
      <c r="AM358" s="551"/>
      <c r="AN358" s="551"/>
      <c r="AO358" s="551"/>
      <c r="AP358" s="551"/>
      <c r="AQ358" s="551"/>
      <c r="AR358" s="551"/>
      <c r="AS358" s="551"/>
      <c r="AT358" s="551"/>
      <c r="AU358" s="551"/>
      <c r="AV358" s="551"/>
      <c r="AW358" s="551"/>
      <c r="AX358" s="551"/>
      <c r="AY358" s="551"/>
      <c r="AZ358" s="551"/>
      <c r="BA358" s="551"/>
      <c r="BB358" s="551"/>
      <c r="BC358" s="551"/>
      <c r="BD358" s="551"/>
      <c r="BE358" s="551"/>
      <c r="BF358" s="551"/>
      <c r="BG358" s="551"/>
      <c r="BH358" s="551"/>
      <c r="BI358" s="551"/>
      <c r="BJ358" s="551"/>
    </row>
    <row r="359" spans="1:62" ht="12.75" customHeight="1">
      <c r="A359" s="551"/>
      <c r="B359" s="551"/>
      <c r="C359" s="551"/>
      <c r="D359" s="551"/>
      <c r="E359" s="551"/>
      <c r="F359" s="551"/>
      <c r="G359" s="551"/>
      <c r="H359" s="551"/>
      <c r="I359" s="551"/>
      <c r="J359" s="551"/>
      <c r="K359" s="551"/>
      <c r="L359" s="551"/>
      <c r="M359" s="551"/>
      <c r="N359" s="551"/>
      <c r="O359" s="551"/>
      <c r="P359" s="551"/>
      <c r="Q359" s="551"/>
      <c r="R359" s="551"/>
      <c r="S359" s="551"/>
      <c r="T359" s="551"/>
      <c r="U359" s="551"/>
      <c r="V359" s="551"/>
      <c r="W359" s="551"/>
      <c r="X359" s="551"/>
      <c r="Y359" s="551"/>
      <c r="Z359" s="551"/>
      <c r="AA359" s="551"/>
      <c r="AB359" s="551"/>
      <c r="AC359" s="551"/>
      <c r="AD359" s="551"/>
      <c r="AE359" s="551"/>
      <c r="AF359" s="551"/>
      <c r="AG359" s="551"/>
      <c r="AH359" s="551"/>
      <c r="AI359" s="551"/>
      <c r="AJ359" s="551"/>
      <c r="AK359" s="551"/>
      <c r="AL359" s="551"/>
      <c r="AM359" s="551"/>
      <c r="AN359" s="551"/>
      <c r="AO359" s="551"/>
      <c r="AP359" s="551"/>
      <c r="AQ359" s="551"/>
      <c r="AR359" s="551"/>
      <c r="AS359" s="551"/>
      <c r="AT359" s="551"/>
      <c r="AU359" s="551"/>
      <c r="AV359" s="551"/>
      <c r="AW359" s="551"/>
      <c r="AX359" s="551"/>
      <c r="AY359" s="551"/>
      <c r="AZ359" s="551"/>
      <c r="BA359" s="551"/>
      <c r="BB359" s="551"/>
      <c r="BC359" s="551"/>
      <c r="BD359" s="551"/>
      <c r="BE359" s="551"/>
      <c r="BF359" s="551"/>
      <c r="BG359" s="551"/>
      <c r="BH359" s="551"/>
      <c r="BI359" s="551"/>
      <c r="BJ359" s="551"/>
    </row>
    <row r="360" spans="1:62" ht="12.75" customHeight="1">
      <c r="A360" s="551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1"/>
      <c r="P360" s="551"/>
      <c r="Q360" s="551"/>
      <c r="R360" s="551"/>
      <c r="S360" s="551"/>
      <c r="T360" s="551"/>
      <c r="U360" s="551"/>
      <c r="V360" s="551"/>
      <c r="W360" s="551"/>
      <c r="X360" s="551"/>
      <c r="Y360" s="551"/>
      <c r="Z360" s="551"/>
      <c r="AA360" s="551"/>
      <c r="AB360" s="551"/>
      <c r="AC360" s="551"/>
      <c r="AD360" s="551"/>
      <c r="AE360" s="551"/>
      <c r="AF360" s="551"/>
      <c r="AG360" s="551"/>
      <c r="AH360" s="551"/>
      <c r="AI360" s="551"/>
      <c r="AJ360" s="551"/>
      <c r="AK360" s="551"/>
      <c r="AL360" s="551"/>
      <c r="AM360" s="551"/>
      <c r="AN360" s="551"/>
      <c r="AO360" s="551"/>
      <c r="AP360" s="551"/>
      <c r="AQ360" s="551"/>
      <c r="AR360" s="551"/>
      <c r="AS360" s="551"/>
      <c r="AT360" s="551"/>
      <c r="AU360" s="551"/>
      <c r="AV360" s="551"/>
      <c r="AW360" s="551"/>
      <c r="AX360" s="551"/>
      <c r="AY360" s="551"/>
      <c r="AZ360" s="551"/>
      <c r="BA360" s="551"/>
      <c r="BB360" s="551"/>
      <c r="BC360" s="551"/>
      <c r="BD360" s="551"/>
      <c r="BE360" s="551"/>
      <c r="BF360" s="551"/>
      <c r="BG360" s="551"/>
      <c r="BH360" s="551"/>
      <c r="BI360" s="551"/>
      <c r="BJ360" s="551"/>
    </row>
    <row r="361" spans="1:62" ht="12.75" customHeight="1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1"/>
      <c r="P361" s="551"/>
      <c r="Q361" s="551"/>
      <c r="R361" s="551"/>
      <c r="S361" s="551"/>
      <c r="T361" s="551"/>
      <c r="U361" s="551"/>
      <c r="V361" s="551"/>
      <c r="W361" s="551"/>
      <c r="X361" s="551"/>
      <c r="Y361" s="551"/>
      <c r="Z361" s="551"/>
      <c r="AA361" s="551"/>
      <c r="AB361" s="551"/>
      <c r="AC361" s="551"/>
      <c r="AD361" s="551"/>
      <c r="AE361" s="551"/>
      <c r="AF361" s="551"/>
      <c r="AG361" s="551"/>
      <c r="AH361" s="551"/>
      <c r="AI361" s="551"/>
      <c r="AJ361" s="551"/>
      <c r="AK361" s="551"/>
      <c r="AL361" s="551"/>
      <c r="AM361" s="551"/>
      <c r="AN361" s="551"/>
      <c r="AO361" s="551"/>
      <c r="AP361" s="551"/>
      <c r="AQ361" s="551"/>
      <c r="AR361" s="551"/>
      <c r="AS361" s="551"/>
      <c r="AT361" s="551"/>
      <c r="AU361" s="551"/>
      <c r="AV361" s="551"/>
      <c r="AW361" s="551"/>
      <c r="AX361" s="551"/>
      <c r="AY361" s="551"/>
      <c r="AZ361" s="551"/>
      <c r="BA361" s="551"/>
      <c r="BB361" s="551"/>
      <c r="BC361" s="551"/>
      <c r="BD361" s="551"/>
      <c r="BE361" s="551"/>
      <c r="BF361" s="551"/>
      <c r="BG361" s="551"/>
      <c r="BH361" s="551"/>
      <c r="BI361" s="551"/>
      <c r="BJ361" s="551"/>
    </row>
    <row r="362" spans="1:62" ht="12.75" customHeight="1">
      <c r="A362" s="551"/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51"/>
      <c r="AB362" s="551"/>
      <c r="AC362" s="551"/>
      <c r="AD362" s="551"/>
      <c r="AE362" s="551"/>
      <c r="AF362" s="551"/>
      <c r="AG362" s="551"/>
      <c r="AH362" s="551"/>
      <c r="AI362" s="551"/>
      <c r="AJ362" s="551"/>
      <c r="AK362" s="551"/>
      <c r="AL362" s="551"/>
      <c r="AM362" s="551"/>
      <c r="AN362" s="551"/>
      <c r="AO362" s="551"/>
      <c r="AP362" s="551"/>
      <c r="AQ362" s="551"/>
      <c r="AR362" s="551"/>
      <c r="AS362" s="551"/>
      <c r="AT362" s="551"/>
      <c r="AU362" s="551"/>
      <c r="AV362" s="551"/>
      <c r="AW362" s="551"/>
      <c r="AX362" s="551"/>
      <c r="AY362" s="551"/>
      <c r="AZ362" s="551"/>
      <c r="BA362" s="551"/>
      <c r="BB362" s="551"/>
      <c r="BC362" s="551"/>
      <c r="BD362" s="551"/>
      <c r="BE362" s="551"/>
      <c r="BF362" s="551"/>
      <c r="BG362" s="551"/>
      <c r="BH362" s="551"/>
      <c r="BI362" s="551"/>
      <c r="BJ362" s="551"/>
    </row>
    <row r="363" spans="1:62" ht="12.75" customHeight="1">
      <c r="A363" s="551"/>
      <c r="B363" s="551"/>
      <c r="C363" s="551"/>
      <c r="D363" s="551"/>
      <c r="E363" s="551"/>
      <c r="F363" s="551"/>
      <c r="G363" s="551"/>
      <c r="H363" s="551"/>
      <c r="I363" s="551"/>
      <c r="J363" s="551"/>
      <c r="K363" s="551"/>
      <c r="L363" s="551"/>
      <c r="M363" s="551"/>
      <c r="N363" s="551"/>
      <c r="O363" s="551"/>
      <c r="P363" s="551"/>
      <c r="Q363" s="551"/>
      <c r="R363" s="551"/>
      <c r="S363" s="551"/>
      <c r="T363" s="551"/>
      <c r="U363" s="551"/>
      <c r="V363" s="551"/>
      <c r="W363" s="551"/>
      <c r="X363" s="551"/>
      <c r="Y363" s="551"/>
      <c r="Z363" s="551"/>
      <c r="AA363" s="551"/>
      <c r="AB363" s="551"/>
      <c r="AC363" s="551"/>
      <c r="AD363" s="551"/>
      <c r="AE363" s="551"/>
      <c r="AF363" s="551"/>
      <c r="AG363" s="551"/>
      <c r="AH363" s="551"/>
      <c r="AI363" s="551"/>
      <c r="AJ363" s="551"/>
      <c r="AK363" s="551"/>
      <c r="AL363" s="551"/>
      <c r="AM363" s="551"/>
      <c r="AN363" s="551"/>
      <c r="AO363" s="551"/>
      <c r="AP363" s="551"/>
      <c r="AQ363" s="551"/>
      <c r="AR363" s="551"/>
      <c r="AS363" s="551"/>
      <c r="AT363" s="551"/>
      <c r="AU363" s="551"/>
      <c r="AV363" s="551"/>
      <c r="AW363" s="551"/>
      <c r="AX363" s="551"/>
      <c r="AY363" s="551"/>
      <c r="AZ363" s="551"/>
      <c r="BA363" s="551"/>
      <c r="BB363" s="551"/>
      <c r="BC363" s="551"/>
      <c r="BD363" s="551"/>
      <c r="BE363" s="551"/>
      <c r="BF363" s="551"/>
      <c r="BG363" s="551"/>
      <c r="BH363" s="551"/>
      <c r="BI363" s="551"/>
      <c r="BJ363" s="551"/>
    </row>
    <row r="364" spans="1:62" ht="12.75" customHeight="1">
      <c r="A364" s="551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1"/>
      <c r="P364" s="551"/>
      <c r="Q364" s="551"/>
      <c r="R364" s="551"/>
      <c r="S364" s="551"/>
      <c r="T364" s="551"/>
      <c r="U364" s="551"/>
      <c r="V364" s="551"/>
      <c r="W364" s="551"/>
      <c r="X364" s="551"/>
      <c r="Y364" s="551"/>
      <c r="Z364" s="551"/>
      <c r="AA364" s="551"/>
      <c r="AB364" s="551"/>
      <c r="AC364" s="551"/>
      <c r="AD364" s="551"/>
      <c r="AE364" s="551"/>
      <c r="AF364" s="551"/>
      <c r="AG364" s="551"/>
      <c r="AH364" s="551"/>
      <c r="AI364" s="551"/>
      <c r="AJ364" s="551"/>
      <c r="AK364" s="551"/>
      <c r="AL364" s="551"/>
      <c r="AM364" s="551"/>
      <c r="AN364" s="551"/>
      <c r="AO364" s="551"/>
      <c r="AP364" s="551"/>
      <c r="AQ364" s="551"/>
      <c r="AR364" s="551"/>
      <c r="AS364" s="551"/>
      <c r="AT364" s="551"/>
      <c r="AU364" s="551"/>
      <c r="AV364" s="551"/>
      <c r="AW364" s="551"/>
      <c r="AX364" s="551"/>
      <c r="AY364" s="551"/>
      <c r="AZ364" s="551"/>
      <c r="BA364" s="551"/>
      <c r="BB364" s="551"/>
      <c r="BC364" s="551"/>
      <c r="BD364" s="551"/>
      <c r="BE364" s="551"/>
      <c r="BF364" s="551"/>
      <c r="BG364" s="551"/>
      <c r="BH364" s="551"/>
      <c r="BI364" s="551"/>
      <c r="BJ364" s="551"/>
    </row>
    <row r="365" spans="1:62" ht="12.75" customHeight="1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1"/>
      <c r="P365" s="551"/>
      <c r="Q365" s="551"/>
      <c r="R365" s="551"/>
      <c r="S365" s="551"/>
      <c r="T365" s="551"/>
      <c r="U365" s="551"/>
      <c r="V365" s="551"/>
      <c r="W365" s="551"/>
      <c r="X365" s="551"/>
      <c r="Y365" s="551"/>
      <c r="Z365" s="551"/>
      <c r="AA365" s="551"/>
      <c r="AB365" s="551"/>
      <c r="AC365" s="551"/>
      <c r="AD365" s="551"/>
      <c r="AE365" s="551"/>
      <c r="AF365" s="551"/>
      <c r="AG365" s="551"/>
      <c r="AH365" s="551"/>
      <c r="AI365" s="551"/>
      <c r="AJ365" s="551"/>
      <c r="AK365" s="551"/>
      <c r="AL365" s="551"/>
      <c r="AM365" s="551"/>
      <c r="AN365" s="551"/>
      <c r="AO365" s="551"/>
      <c r="AP365" s="551"/>
      <c r="AQ365" s="551"/>
      <c r="AR365" s="551"/>
      <c r="AS365" s="551"/>
      <c r="AT365" s="551"/>
      <c r="AU365" s="551"/>
      <c r="AV365" s="551"/>
      <c r="AW365" s="551"/>
      <c r="AX365" s="551"/>
      <c r="AY365" s="551"/>
      <c r="AZ365" s="551"/>
      <c r="BA365" s="551"/>
      <c r="BB365" s="551"/>
      <c r="BC365" s="551"/>
      <c r="BD365" s="551"/>
      <c r="BE365" s="551"/>
      <c r="BF365" s="551"/>
      <c r="BG365" s="551"/>
      <c r="BH365" s="551"/>
      <c r="BI365" s="551"/>
      <c r="BJ365" s="551"/>
    </row>
    <row r="366" spans="1:62" ht="12.75" customHeight="1">
      <c r="A366" s="551"/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51"/>
      <c r="AB366" s="551"/>
      <c r="AC366" s="551"/>
      <c r="AD366" s="551"/>
      <c r="AE366" s="551"/>
      <c r="AF366" s="551"/>
      <c r="AG366" s="551"/>
      <c r="AH366" s="551"/>
      <c r="AI366" s="551"/>
      <c r="AJ366" s="551"/>
      <c r="AK366" s="551"/>
      <c r="AL366" s="551"/>
      <c r="AM366" s="551"/>
      <c r="AN366" s="551"/>
      <c r="AO366" s="551"/>
      <c r="AP366" s="551"/>
      <c r="AQ366" s="551"/>
      <c r="AR366" s="551"/>
      <c r="AS366" s="551"/>
      <c r="AT366" s="551"/>
      <c r="AU366" s="551"/>
      <c r="AV366" s="551"/>
      <c r="AW366" s="551"/>
      <c r="AX366" s="551"/>
      <c r="AY366" s="551"/>
      <c r="AZ366" s="551"/>
      <c r="BA366" s="551"/>
      <c r="BB366" s="551"/>
      <c r="BC366" s="551"/>
      <c r="BD366" s="551"/>
      <c r="BE366" s="551"/>
      <c r="BF366" s="551"/>
      <c r="BG366" s="551"/>
      <c r="BH366" s="551"/>
      <c r="BI366" s="551"/>
      <c r="BJ366" s="551"/>
    </row>
    <row r="367" spans="1:62" ht="12.75" customHeight="1">
      <c r="A367" s="551"/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51"/>
      <c r="AB367" s="551"/>
      <c r="AC367" s="551"/>
      <c r="AD367" s="551"/>
      <c r="AE367" s="551"/>
      <c r="AF367" s="551"/>
      <c r="AG367" s="551"/>
      <c r="AH367" s="551"/>
      <c r="AI367" s="551"/>
      <c r="AJ367" s="551"/>
      <c r="AK367" s="551"/>
      <c r="AL367" s="551"/>
      <c r="AM367" s="551"/>
      <c r="AN367" s="551"/>
      <c r="AO367" s="551"/>
      <c r="AP367" s="551"/>
      <c r="AQ367" s="551"/>
      <c r="AR367" s="551"/>
      <c r="AS367" s="551"/>
      <c r="AT367" s="551"/>
      <c r="AU367" s="551"/>
      <c r="AV367" s="551"/>
      <c r="AW367" s="551"/>
      <c r="AX367" s="551"/>
      <c r="AY367" s="551"/>
      <c r="AZ367" s="551"/>
      <c r="BA367" s="551"/>
      <c r="BB367" s="551"/>
      <c r="BC367" s="551"/>
      <c r="BD367" s="551"/>
      <c r="BE367" s="551"/>
      <c r="BF367" s="551"/>
      <c r="BG367" s="551"/>
      <c r="BH367" s="551"/>
      <c r="BI367" s="551"/>
      <c r="BJ367" s="551"/>
    </row>
    <row r="368" spans="1:62" ht="12.75" customHeight="1">
      <c r="A368" s="551"/>
      <c r="B368" s="551"/>
      <c r="C368" s="551"/>
      <c r="D368" s="551"/>
      <c r="E368" s="551"/>
      <c r="F368" s="551"/>
      <c r="G368" s="551"/>
      <c r="H368" s="551"/>
      <c r="I368" s="551"/>
      <c r="J368" s="551"/>
      <c r="K368" s="551"/>
      <c r="L368" s="551"/>
      <c r="M368" s="551"/>
      <c r="N368" s="551"/>
      <c r="O368" s="551"/>
      <c r="P368" s="551"/>
      <c r="Q368" s="551"/>
      <c r="R368" s="551"/>
      <c r="S368" s="551"/>
      <c r="T368" s="551"/>
      <c r="U368" s="551"/>
      <c r="V368" s="551"/>
      <c r="W368" s="551"/>
      <c r="X368" s="551"/>
      <c r="Y368" s="551"/>
      <c r="Z368" s="551"/>
      <c r="AA368" s="551"/>
      <c r="AB368" s="551"/>
      <c r="AC368" s="551"/>
      <c r="AD368" s="551"/>
      <c r="AE368" s="551"/>
      <c r="AF368" s="551"/>
      <c r="AG368" s="551"/>
      <c r="AH368" s="551"/>
      <c r="AI368" s="551"/>
      <c r="AJ368" s="551"/>
      <c r="AK368" s="551"/>
      <c r="AL368" s="551"/>
      <c r="AM368" s="551"/>
      <c r="AN368" s="551"/>
      <c r="AO368" s="551"/>
      <c r="AP368" s="551"/>
      <c r="AQ368" s="551"/>
      <c r="AR368" s="551"/>
      <c r="AS368" s="551"/>
      <c r="AT368" s="551"/>
      <c r="AU368" s="551"/>
      <c r="AV368" s="551"/>
      <c r="AW368" s="551"/>
      <c r="AX368" s="551"/>
      <c r="AY368" s="551"/>
      <c r="AZ368" s="551"/>
      <c r="BA368" s="551"/>
      <c r="BB368" s="551"/>
      <c r="BC368" s="551"/>
      <c r="BD368" s="551"/>
      <c r="BE368" s="551"/>
      <c r="BF368" s="551"/>
      <c r="BG368" s="551"/>
      <c r="BH368" s="551"/>
      <c r="BI368" s="551"/>
      <c r="BJ368" s="551"/>
    </row>
    <row r="369" spans="1:62" ht="12.75" customHeight="1">
      <c r="A369" s="551"/>
      <c r="B369" s="551"/>
      <c r="C369" s="551"/>
      <c r="D369" s="551"/>
      <c r="E369" s="551"/>
      <c r="F369" s="551"/>
      <c r="G369" s="551"/>
      <c r="H369" s="551"/>
      <c r="I369" s="551"/>
      <c r="J369" s="551"/>
      <c r="K369" s="551"/>
      <c r="L369" s="551"/>
      <c r="M369" s="551"/>
      <c r="N369" s="551"/>
      <c r="O369" s="551"/>
      <c r="P369" s="551"/>
      <c r="Q369" s="551"/>
      <c r="R369" s="551"/>
      <c r="S369" s="551"/>
      <c r="T369" s="551"/>
      <c r="U369" s="551"/>
      <c r="V369" s="551"/>
      <c r="W369" s="551"/>
      <c r="X369" s="551"/>
      <c r="Y369" s="551"/>
      <c r="Z369" s="551"/>
      <c r="AA369" s="551"/>
      <c r="AB369" s="551"/>
      <c r="AC369" s="551"/>
      <c r="AD369" s="551"/>
      <c r="AE369" s="551"/>
      <c r="AF369" s="551"/>
      <c r="AG369" s="551"/>
      <c r="AH369" s="551"/>
      <c r="AI369" s="551"/>
      <c r="AJ369" s="551"/>
      <c r="AK369" s="551"/>
      <c r="AL369" s="551"/>
      <c r="AM369" s="551"/>
      <c r="AN369" s="551"/>
      <c r="AO369" s="551"/>
      <c r="AP369" s="551"/>
      <c r="AQ369" s="551"/>
      <c r="AR369" s="551"/>
      <c r="AS369" s="551"/>
      <c r="AT369" s="551"/>
      <c r="AU369" s="551"/>
      <c r="AV369" s="551"/>
      <c r="AW369" s="551"/>
      <c r="AX369" s="551"/>
      <c r="AY369" s="551"/>
      <c r="AZ369" s="551"/>
      <c r="BA369" s="551"/>
      <c r="BB369" s="551"/>
      <c r="BC369" s="551"/>
      <c r="BD369" s="551"/>
      <c r="BE369" s="551"/>
      <c r="BF369" s="551"/>
      <c r="BG369" s="551"/>
      <c r="BH369" s="551"/>
      <c r="BI369" s="551"/>
      <c r="BJ369" s="551"/>
    </row>
    <row r="370" spans="1:62" ht="12.75" customHeight="1">
      <c r="A370" s="551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1"/>
      <c r="P370" s="551"/>
      <c r="Q370" s="551"/>
      <c r="R370" s="551"/>
      <c r="S370" s="551"/>
      <c r="T370" s="551"/>
      <c r="U370" s="551"/>
      <c r="V370" s="551"/>
      <c r="W370" s="551"/>
      <c r="X370" s="551"/>
      <c r="Y370" s="551"/>
      <c r="Z370" s="551"/>
      <c r="AA370" s="551"/>
      <c r="AB370" s="551"/>
      <c r="AC370" s="551"/>
      <c r="AD370" s="551"/>
      <c r="AE370" s="551"/>
      <c r="AF370" s="551"/>
      <c r="AG370" s="551"/>
      <c r="AH370" s="551"/>
      <c r="AI370" s="551"/>
      <c r="AJ370" s="551"/>
      <c r="AK370" s="551"/>
      <c r="AL370" s="551"/>
      <c r="AM370" s="551"/>
      <c r="AN370" s="551"/>
      <c r="AO370" s="551"/>
      <c r="AP370" s="551"/>
      <c r="AQ370" s="551"/>
      <c r="AR370" s="551"/>
      <c r="AS370" s="551"/>
      <c r="AT370" s="551"/>
      <c r="AU370" s="551"/>
      <c r="AV370" s="551"/>
      <c r="AW370" s="551"/>
      <c r="AX370" s="551"/>
      <c r="AY370" s="551"/>
      <c r="AZ370" s="551"/>
      <c r="BA370" s="551"/>
      <c r="BB370" s="551"/>
      <c r="BC370" s="551"/>
      <c r="BD370" s="551"/>
      <c r="BE370" s="551"/>
      <c r="BF370" s="551"/>
      <c r="BG370" s="551"/>
      <c r="BH370" s="551"/>
      <c r="BI370" s="551"/>
      <c r="BJ370" s="551"/>
    </row>
    <row r="371" spans="1:62" ht="12.75" customHeight="1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1"/>
      <c r="P371" s="551"/>
      <c r="Q371" s="551"/>
      <c r="R371" s="551"/>
      <c r="S371" s="551"/>
      <c r="T371" s="551"/>
      <c r="U371" s="551"/>
      <c r="V371" s="551"/>
      <c r="W371" s="551"/>
      <c r="X371" s="551"/>
      <c r="Y371" s="551"/>
      <c r="Z371" s="551"/>
      <c r="AA371" s="551"/>
      <c r="AB371" s="551"/>
      <c r="AC371" s="551"/>
      <c r="AD371" s="551"/>
      <c r="AE371" s="551"/>
      <c r="AF371" s="551"/>
      <c r="AG371" s="551"/>
      <c r="AH371" s="551"/>
      <c r="AI371" s="551"/>
      <c r="AJ371" s="551"/>
      <c r="AK371" s="551"/>
      <c r="AL371" s="551"/>
      <c r="AM371" s="551"/>
      <c r="AN371" s="551"/>
      <c r="AO371" s="551"/>
      <c r="AP371" s="551"/>
      <c r="AQ371" s="551"/>
      <c r="AR371" s="551"/>
      <c r="AS371" s="551"/>
      <c r="AT371" s="551"/>
      <c r="AU371" s="551"/>
      <c r="AV371" s="551"/>
      <c r="AW371" s="551"/>
      <c r="AX371" s="551"/>
      <c r="AY371" s="551"/>
      <c r="AZ371" s="551"/>
      <c r="BA371" s="551"/>
      <c r="BB371" s="551"/>
      <c r="BC371" s="551"/>
      <c r="BD371" s="551"/>
      <c r="BE371" s="551"/>
      <c r="BF371" s="551"/>
      <c r="BG371" s="551"/>
      <c r="BH371" s="551"/>
      <c r="BI371" s="551"/>
      <c r="BJ371" s="551"/>
    </row>
    <row r="372" spans="1:62" ht="12.75" customHeight="1">
      <c r="A372" s="551"/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51"/>
      <c r="AB372" s="551"/>
      <c r="AC372" s="551"/>
      <c r="AD372" s="551"/>
      <c r="AE372" s="551"/>
      <c r="AF372" s="551"/>
      <c r="AG372" s="551"/>
      <c r="AH372" s="551"/>
      <c r="AI372" s="551"/>
      <c r="AJ372" s="551"/>
      <c r="AK372" s="551"/>
      <c r="AL372" s="551"/>
      <c r="AM372" s="551"/>
      <c r="AN372" s="551"/>
      <c r="AO372" s="551"/>
      <c r="AP372" s="551"/>
      <c r="AQ372" s="551"/>
      <c r="AR372" s="551"/>
      <c r="AS372" s="551"/>
      <c r="AT372" s="551"/>
      <c r="AU372" s="551"/>
      <c r="AV372" s="551"/>
      <c r="AW372" s="551"/>
      <c r="AX372" s="551"/>
      <c r="AY372" s="551"/>
      <c r="AZ372" s="551"/>
      <c r="BA372" s="551"/>
      <c r="BB372" s="551"/>
      <c r="BC372" s="551"/>
      <c r="BD372" s="551"/>
      <c r="BE372" s="551"/>
      <c r="BF372" s="551"/>
      <c r="BG372" s="551"/>
      <c r="BH372" s="551"/>
      <c r="BI372" s="551"/>
      <c r="BJ372" s="551"/>
    </row>
    <row r="373" spans="1:62" ht="12.75" customHeight="1">
      <c r="A373" s="551"/>
      <c r="B373" s="551"/>
      <c r="C373" s="551"/>
      <c r="D373" s="551"/>
      <c r="E373" s="551"/>
      <c r="F373" s="551"/>
      <c r="G373" s="551"/>
      <c r="H373" s="551"/>
      <c r="I373" s="551"/>
      <c r="J373" s="551"/>
      <c r="K373" s="551"/>
      <c r="L373" s="551"/>
      <c r="M373" s="551"/>
      <c r="N373" s="551"/>
      <c r="O373" s="551"/>
      <c r="P373" s="551"/>
      <c r="Q373" s="551"/>
      <c r="R373" s="551"/>
      <c r="S373" s="551"/>
      <c r="T373" s="551"/>
      <c r="U373" s="551"/>
      <c r="V373" s="551"/>
      <c r="W373" s="551"/>
      <c r="X373" s="551"/>
      <c r="Y373" s="551"/>
      <c r="Z373" s="551"/>
      <c r="AA373" s="551"/>
      <c r="AB373" s="551"/>
      <c r="AC373" s="551"/>
      <c r="AD373" s="551"/>
      <c r="AE373" s="551"/>
      <c r="AF373" s="551"/>
      <c r="AG373" s="551"/>
      <c r="AH373" s="551"/>
      <c r="AI373" s="551"/>
      <c r="AJ373" s="551"/>
      <c r="AK373" s="551"/>
      <c r="AL373" s="551"/>
      <c r="AM373" s="551"/>
      <c r="AN373" s="551"/>
      <c r="AO373" s="551"/>
      <c r="AP373" s="551"/>
      <c r="AQ373" s="551"/>
      <c r="AR373" s="551"/>
      <c r="AS373" s="551"/>
      <c r="AT373" s="551"/>
      <c r="AU373" s="551"/>
      <c r="AV373" s="551"/>
      <c r="AW373" s="551"/>
      <c r="AX373" s="551"/>
      <c r="AY373" s="551"/>
      <c r="AZ373" s="551"/>
      <c r="BA373" s="551"/>
      <c r="BB373" s="551"/>
      <c r="BC373" s="551"/>
      <c r="BD373" s="551"/>
      <c r="BE373" s="551"/>
      <c r="BF373" s="551"/>
      <c r="BG373" s="551"/>
      <c r="BH373" s="551"/>
      <c r="BI373" s="551"/>
      <c r="BJ373" s="551"/>
    </row>
    <row r="374" spans="1:62" ht="12.75" customHeight="1">
      <c r="A374" s="551"/>
      <c r="B374" s="551"/>
      <c r="C374" s="551"/>
      <c r="D374" s="551"/>
      <c r="E374" s="551"/>
      <c r="F374" s="551"/>
      <c r="G374" s="551"/>
      <c r="H374" s="551"/>
      <c r="I374" s="551"/>
      <c r="J374" s="551"/>
      <c r="K374" s="551"/>
      <c r="L374" s="551"/>
      <c r="M374" s="551"/>
      <c r="N374" s="551"/>
      <c r="O374" s="551"/>
      <c r="P374" s="551"/>
      <c r="Q374" s="551"/>
      <c r="R374" s="551"/>
      <c r="S374" s="551"/>
      <c r="T374" s="551"/>
      <c r="U374" s="551"/>
      <c r="V374" s="551"/>
      <c r="W374" s="551"/>
      <c r="X374" s="551"/>
      <c r="Y374" s="551"/>
      <c r="Z374" s="551"/>
      <c r="AA374" s="551"/>
      <c r="AB374" s="551"/>
      <c r="AC374" s="551"/>
      <c r="AD374" s="551"/>
      <c r="AE374" s="551"/>
      <c r="AF374" s="551"/>
      <c r="AG374" s="551"/>
      <c r="AH374" s="551"/>
      <c r="AI374" s="551"/>
      <c r="AJ374" s="551"/>
      <c r="AK374" s="551"/>
      <c r="AL374" s="551"/>
      <c r="AM374" s="551"/>
      <c r="AN374" s="551"/>
      <c r="AO374" s="551"/>
      <c r="AP374" s="551"/>
      <c r="AQ374" s="551"/>
      <c r="AR374" s="551"/>
      <c r="AS374" s="551"/>
      <c r="AT374" s="551"/>
      <c r="AU374" s="551"/>
      <c r="AV374" s="551"/>
      <c r="AW374" s="551"/>
      <c r="AX374" s="551"/>
      <c r="AY374" s="551"/>
      <c r="AZ374" s="551"/>
      <c r="BA374" s="551"/>
      <c r="BB374" s="551"/>
      <c r="BC374" s="551"/>
      <c r="BD374" s="551"/>
      <c r="BE374" s="551"/>
      <c r="BF374" s="551"/>
      <c r="BG374" s="551"/>
      <c r="BH374" s="551"/>
      <c r="BI374" s="551"/>
      <c r="BJ374" s="551"/>
    </row>
    <row r="375" spans="1:62" ht="12.75" customHeight="1">
      <c r="A375" s="551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1"/>
      <c r="P375" s="551"/>
      <c r="Q375" s="551"/>
      <c r="R375" s="551"/>
      <c r="S375" s="551"/>
      <c r="T375" s="551"/>
      <c r="U375" s="551"/>
      <c r="V375" s="551"/>
      <c r="W375" s="551"/>
      <c r="X375" s="551"/>
      <c r="Y375" s="551"/>
      <c r="Z375" s="551"/>
      <c r="AA375" s="551"/>
      <c r="AB375" s="551"/>
      <c r="AC375" s="551"/>
      <c r="AD375" s="551"/>
      <c r="AE375" s="551"/>
      <c r="AF375" s="551"/>
      <c r="AG375" s="551"/>
      <c r="AH375" s="551"/>
      <c r="AI375" s="551"/>
      <c r="AJ375" s="551"/>
      <c r="AK375" s="551"/>
      <c r="AL375" s="551"/>
      <c r="AM375" s="551"/>
      <c r="AN375" s="551"/>
      <c r="AO375" s="551"/>
      <c r="AP375" s="551"/>
      <c r="AQ375" s="551"/>
      <c r="AR375" s="551"/>
      <c r="AS375" s="551"/>
      <c r="AT375" s="551"/>
      <c r="AU375" s="551"/>
      <c r="AV375" s="551"/>
      <c r="AW375" s="551"/>
      <c r="AX375" s="551"/>
      <c r="AY375" s="551"/>
      <c r="AZ375" s="551"/>
      <c r="BA375" s="551"/>
      <c r="BB375" s="551"/>
      <c r="BC375" s="551"/>
      <c r="BD375" s="551"/>
      <c r="BE375" s="551"/>
      <c r="BF375" s="551"/>
      <c r="BG375" s="551"/>
      <c r="BH375" s="551"/>
      <c r="BI375" s="551"/>
      <c r="BJ375" s="551"/>
    </row>
    <row r="376" spans="1:62" ht="12.75" customHeight="1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1"/>
      <c r="P376" s="551"/>
      <c r="Q376" s="551"/>
      <c r="R376" s="551"/>
      <c r="S376" s="551"/>
      <c r="T376" s="551"/>
      <c r="U376" s="551"/>
      <c r="V376" s="551"/>
      <c r="W376" s="551"/>
      <c r="X376" s="551"/>
      <c r="Y376" s="551"/>
      <c r="Z376" s="551"/>
      <c r="AA376" s="551"/>
      <c r="AB376" s="551"/>
      <c r="AC376" s="551"/>
      <c r="AD376" s="551"/>
      <c r="AE376" s="551"/>
      <c r="AF376" s="551"/>
      <c r="AG376" s="551"/>
      <c r="AH376" s="551"/>
      <c r="AI376" s="551"/>
      <c r="AJ376" s="551"/>
      <c r="AK376" s="551"/>
      <c r="AL376" s="551"/>
      <c r="AM376" s="551"/>
      <c r="AN376" s="551"/>
      <c r="AO376" s="551"/>
      <c r="AP376" s="551"/>
      <c r="AQ376" s="551"/>
      <c r="AR376" s="551"/>
      <c r="AS376" s="551"/>
      <c r="AT376" s="551"/>
      <c r="AU376" s="551"/>
      <c r="AV376" s="551"/>
      <c r="AW376" s="551"/>
      <c r="AX376" s="551"/>
      <c r="AY376" s="551"/>
      <c r="AZ376" s="551"/>
      <c r="BA376" s="551"/>
      <c r="BB376" s="551"/>
      <c r="BC376" s="551"/>
      <c r="BD376" s="551"/>
      <c r="BE376" s="551"/>
      <c r="BF376" s="551"/>
      <c r="BG376" s="551"/>
      <c r="BH376" s="551"/>
      <c r="BI376" s="551"/>
      <c r="BJ376" s="551"/>
    </row>
    <row r="377" spans="1:62" ht="12.75" customHeight="1">
      <c r="A377" s="551"/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51"/>
      <c r="AB377" s="551"/>
      <c r="AC377" s="551"/>
      <c r="AD377" s="551"/>
      <c r="AE377" s="551"/>
      <c r="AF377" s="551"/>
      <c r="AG377" s="551"/>
      <c r="AH377" s="551"/>
      <c r="AI377" s="551"/>
      <c r="AJ377" s="551"/>
      <c r="AK377" s="551"/>
      <c r="AL377" s="551"/>
      <c r="AM377" s="551"/>
      <c r="AN377" s="551"/>
      <c r="AO377" s="551"/>
      <c r="AP377" s="551"/>
      <c r="AQ377" s="551"/>
      <c r="AR377" s="551"/>
      <c r="AS377" s="551"/>
      <c r="AT377" s="551"/>
      <c r="AU377" s="551"/>
      <c r="AV377" s="551"/>
      <c r="AW377" s="551"/>
      <c r="AX377" s="551"/>
      <c r="AY377" s="551"/>
      <c r="AZ377" s="551"/>
      <c r="BA377" s="551"/>
      <c r="BB377" s="551"/>
      <c r="BC377" s="551"/>
      <c r="BD377" s="551"/>
      <c r="BE377" s="551"/>
      <c r="BF377" s="551"/>
      <c r="BG377" s="551"/>
      <c r="BH377" s="551"/>
      <c r="BI377" s="551"/>
      <c r="BJ377" s="551"/>
    </row>
    <row r="378" spans="1:62" ht="12.75" customHeight="1">
      <c r="A378" s="551"/>
      <c r="B378" s="551"/>
      <c r="C378" s="551"/>
      <c r="D378" s="551"/>
      <c r="E378" s="551"/>
      <c r="F378" s="551"/>
      <c r="G378" s="551"/>
      <c r="H378" s="551"/>
      <c r="I378" s="551"/>
      <c r="J378" s="551"/>
      <c r="K378" s="551"/>
      <c r="L378" s="551"/>
      <c r="M378" s="551"/>
      <c r="N378" s="551"/>
      <c r="O378" s="551"/>
      <c r="P378" s="551"/>
      <c r="Q378" s="551"/>
      <c r="R378" s="551"/>
      <c r="S378" s="551"/>
      <c r="T378" s="551"/>
      <c r="U378" s="551"/>
      <c r="V378" s="551"/>
      <c r="W378" s="551"/>
      <c r="X378" s="551"/>
      <c r="Y378" s="551"/>
      <c r="Z378" s="551"/>
      <c r="AA378" s="551"/>
      <c r="AB378" s="551"/>
      <c r="AC378" s="551"/>
      <c r="AD378" s="551"/>
      <c r="AE378" s="551"/>
      <c r="AF378" s="551"/>
      <c r="AG378" s="551"/>
      <c r="AH378" s="551"/>
      <c r="AI378" s="551"/>
      <c r="AJ378" s="551"/>
      <c r="AK378" s="551"/>
      <c r="AL378" s="551"/>
      <c r="AM378" s="551"/>
      <c r="AN378" s="551"/>
      <c r="AO378" s="551"/>
      <c r="AP378" s="551"/>
      <c r="AQ378" s="551"/>
      <c r="AR378" s="551"/>
      <c r="AS378" s="551"/>
      <c r="AT378" s="551"/>
      <c r="AU378" s="551"/>
      <c r="AV378" s="551"/>
      <c r="AW378" s="551"/>
      <c r="AX378" s="551"/>
      <c r="AY378" s="551"/>
      <c r="AZ378" s="551"/>
      <c r="BA378" s="551"/>
      <c r="BB378" s="551"/>
      <c r="BC378" s="551"/>
      <c r="BD378" s="551"/>
      <c r="BE378" s="551"/>
      <c r="BF378" s="551"/>
      <c r="BG378" s="551"/>
      <c r="BH378" s="551"/>
      <c r="BI378" s="551"/>
      <c r="BJ378" s="551"/>
    </row>
    <row r="379" spans="1:62" ht="12.75" customHeight="1">
      <c r="A379" s="551"/>
      <c r="B379" s="551"/>
      <c r="C379" s="551"/>
      <c r="D379" s="551"/>
      <c r="E379" s="551"/>
      <c r="F379" s="551"/>
      <c r="G379" s="551"/>
      <c r="H379" s="551"/>
      <c r="I379" s="551"/>
      <c r="J379" s="551"/>
      <c r="K379" s="551"/>
      <c r="L379" s="551"/>
      <c r="M379" s="551"/>
      <c r="N379" s="551"/>
      <c r="O379" s="551"/>
      <c r="P379" s="551"/>
      <c r="Q379" s="551"/>
      <c r="R379" s="551"/>
      <c r="S379" s="551"/>
      <c r="T379" s="551"/>
      <c r="U379" s="551"/>
      <c r="V379" s="551"/>
      <c r="W379" s="551"/>
      <c r="X379" s="551"/>
      <c r="Y379" s="551"/>
      <c r="Z379" s="551"/>
      <c r="AA379" s="551"/>
      <c r="AB379" s="551"/>
      <c r="AC379" s="551"/>
      <c r="AD379" s="551"/>
      <c r="AE379" s="551"/>
      <c r="AF379" s="551"/>
      <c r="AG379" s="551"/>
      <c r="AH379" s="551"/>
      <c r="AI379" s="551"/>
      <c r="AJ379" s="551"/>
      <c r="AK379" s="551"/>
      <c r="AL379" s="551"/>
      <c r="AM379" s="551"/>
      <c r="AN379" s="551"/>
      <c r="AO379" s="551"/>
      <c r="AP379" s="551"/>
      <c r="AQ379" s="551"/>
      <c r="AR379" s="551"/>
      <c r="AS379" s="551"/>
      <c r="AT379" s="551"/>
      <c r="AU379" s="551"/>
      <c r="AV379" s="551"/>
      <c r="AW379" s="551"/>
      <c r="AX379" s="551"/>
      <c r="AY379" s="551"/>
      <c r="AZ379" s="551"/>
      <c r="BA379" s="551"/>
      <c r="BB379" s="551"/>
      <c r="BC379" s="551"/>
      <c r="BD379" s="551"/>
      <c r="BE379" s="551"/>
      <c r="BF379" s="551"/>
      <c r="BG379" s="551"/>
      <c r="BH379" s="551"/>
      <c r="BI379" s="551"/>
      <c r="BJ379" s="551"/>
    </row>
    <row r="380" spans="1:62" ht="12.75" customHeight="1">
      <c r="A380" s="551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1"/>
      <c r="P380" s="551"/>
      <c r="Q380" s="551"/>
      <c r="R380" s="551"/>
      <c r="S380" s="551"/>
      <c r="T380" s="551"/>
      <c r="U380" s="551"/>
      <c r="V380" s="551"/>
      <c r="W380" s="551"/>
      <c r="X380" s="551"/>
      <c r="Y380" s="551"/>
      <c r="Z380" s="551"/>
      <c r="AA380" s="551"/>
      <c r="AB380" s="551"/>
      <c r="AC380" s="551"/>
      <c r="AD380" s="551"/>
      <c r="AE380" s="551"/>
      <c r="AF380" s="551"/>
      <c r="AG380" s="551"/>
      <c r="AH380" s="551"/>
      <c r="AI380" s="551"/>
      <c r="AJ380" s="551"/>
      <c r="AK380" s="551"/>
      <c r="AL380" s="551"/>
      <c r="AM380" s="551"/>
      <c r="AN380" s="551"/>
      <c r="AO380" s="551"/>
      <c r="AP380" s="551"/>
      <c r="AQ380" s="551"/>
      <c r="AR380" s="551"/>
      <c r="AS380" s="551"/>
      <c r="AT380" s="551"/>
      <c r="AU380" s="551"/>
      <c r="AV380" s="551"/>
      <c r="AW380" s="551"/>
      <c r="AX380" s="551"/>
      <c r="AY380" s="551"/>
      <c r="AZ380" s="551"/>
      <c r="BA380" s="551"/>
      <c r="BB380" s="551"/>
      <c r="BC380" s="551"/>
      <c r="BD380" s="551"/>
      <c r="BE380" s="551"/>
      <c r="BF380" s="551"/>
      <c r="BG380" s="551"/>
      <c r="BH380" s="551"/>
      <c r="BI380" s="551"/>
      <c r="BJ380" s="551"/>
    </row>
    <row r="381" spans="1:62" ht="12.75" customHeight="1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1"/>
      <c r="P381" s="551"/>
      <c r="Q381" s="551"/>
      <c r="R381" s="551"/>
      <c r="S381" s="551"/>
      <c r="T381" s="551"/>
      <c r="U381" s="551"/>
      <c r="V381" s="551"/>
      <c r="W381" s="551"/>
      <c r="X381" s="551"/>
      <c r="Y381" s="551"/>
      <c r="Z381" s="551"/>
      <c r="AA381" s="551"/>
      <c r="AB381" s="551"/>
      <c r="AC381" s="551"/>
      <c r="AD381" s="551"/>
      <c r="AE381" s="551"/>
      <c r="AF381" s="551"/>
      <c r="AG381" s="551"/>
      <c r="AH381" s="551"/>
      <c r="AI381" s="551"/>
      <c r="AJ381" s="551"/>
      <c r="AK381" s="551"/>
      <c r="AL381" s="551"/>
      <c r="AM381" s="551"/>
      <c r="AN381" s="551"/>
      <c r="AO381" s="551"/>
      <c r="AP381" s="551"/>
      <c r="AQ381" s="551"/>
      <c r="AR381" s="551"/>
      <c r="AS381" s="551"/>
      <c r="AT381" s="551"/>
      <c r="AU381" s="551"/>
      <c r="AV381" s="551"/>
      <c r="AW381" s="551"/>
      <c r="AX381" s="551"/>
      <c r="AY381" s="551"/>
      <c r="AZ381" s="551"/>
      <c r="BA381" s="551"/>
      <c r="BB381" s="551"/>
      <c r="BC381" s="551"/>
      <c r="BD381" s="551"/>
      <c r="BE381" s="551"/>
      <c r="BF381" s="551"/>
      <c r="BG381" s="551"/>
      <c r="BH381" s="551"/>
      <c r="BI381" s="551"/>
      <c r="BJ381" s="551"/>
    </row>
    <row r="382" spans="1:62" ht="12.75" customHeight="1">
      <c r="A382" s="551"/>
      <c r="B382" s="551"/>
      <c r="C382" s="551"/>
      <c r="D382" s="551"/>
      <c r="E382" s="551"/>
      <c r="F382" s="551"/>
      <c r="G382" s="551"/>
      <c r="H382" s="551"/>
      <c r="I382" s="551"/>
      <c r="J382" s="551"/>
      <c r="K382" s="551"/>
      <c r="L382" s="551"/>
      <c r="M382" s="551"/>
      <c r="N382" s="551"/>
      <c r="O382" s="551"/>
      <c r="P382" s="551"/>
      <c r="Q382" s="551"/>
      <c r="R382" s="551"/>
      <c r="S382" s="551"/>
      <c r="T382" s="551"/>
      <c r="U382" s="551"/>
      <c r="V382" s="551"/>
      <c r="W382" s="551"/>
      <c r="X382" s="551"/>
      <c r="Y382" s="551"/>
      <c r="Z382" s="551"/>
      <c r="AA382" s="551"/>
      <c r="AB382" s="551"/>
      <c r="AC382" s="551"/>
      <c r="AD382" s="551"/>
      <c r="AE382" s="551"/>
      <c r="AF382" s="551"/>
      <c r="AG382" s="551"/>
      <c r="AH382" s="551"/>
      <c r="AI382" s="551"/>
      <c r="AJ382" s="551"/>
      <c r="AK382" s="551"/>
      <c r="AL382" s="551"/>
      <c r="AM382" s="551"/>
      <c r="AN382" s="551"/>
      <c r="AO382" s="551"/>
      <c r="AP382" s="551"/>
      <c r="AQ382" s="551"/>
      <c r="AR382" s="551"/>
      <c r="AS382" s="551"/>
      <c r="AT382" s="551"/>
      <c r="AU382" s="551"/>
      <c r="AV382" s="551"/>
      <c r="AW382" s="551"/>
      <c r="AX382" s="551"/>
      <c r="AY382" s="551"/>
      <c r="AZ382" s="551"/>
      <c r="BA382" s="551"/>
      <c r="BB382" s="551"/>
      <c r="BC382" s="551"/>
      <c r="BD382" s="551"/>
      <c r="BE382" s="551"/>
      <c r="BF382" s="551"/>
      <c r="BG382" s="551"/>
      <c r="BH382" s="551"/>
      <c r="BI382" s="551"/>
      <c r="BJ382" s="551"/>
    </row>
    <row r="383" spans="1:62" ht="12.75" customHeight="1">
      <c r="A383" s="551"/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51"/>
      <c r="AB383" s="551"/>
      <c r="AC383" s="551"/>
      <c r="AD383" s="551"/>
      <c r="AE383" s="551"/>
      <c r="AF383" s="551"/>
      <c r="AG383" s="551"/>
      <c r="AH383" s="551"/>
      <c r="AI383" s="551"/>
      <c r="AJ383" s="551"/>
      <c r="AK383" s="551"/>
      <c r="AL383" s="551"/>
      <c r="AM383" s="551"/>
      <c r="AN383" s="551"/>
      <c r="AO383" s="551"/>
      <c r="AP383" s="551"/>
      <c r="AQ383" s="551"/>
      <c r="AR383" s="551"/>
      <c r="AS383" s="551"/>
      <c r="AT383" s="551"/>
      <c r="AU383" s="551"/>
      <c r="AV383" s="551"/>
      <c r="AW383" s="551"/>
      <c r="AX383" s="551"/>
      <c r="AY383" s="551"/>
      <c r="AZ383" s="551"/>
      <c r="BA383" s="551"/>
      <c r="BB383" s="551"/>
      <c r="BC383" s="551"/>
      <c r="BD383" s="551"/>
      <c r="BE383" s="551"/>
      <c r="BF383" s="551"/>
      <c r="BG383" s="551"/>
      <c r="BH383" s="551"/>
      <c r="BI383" s="551"/>
      <c r="BJ383" s="551"/>
    </row>
    <row r="384" spans="1:62" ht="12.75" customHeight="1">
      <c r="A384" s="551"/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51"/>
      <c r="AB384" s="551"/>
      <c r="AC384" s="551"/>
      <c r="AD384" s="551"/>
      <c r="AE384" s="551"/>
      <c r="AF384" s="551"/>
      <c r="AG384" s="551"/>
      <c r="AH384" s="551"/>
      <c r="AI384" s="551"/>
      <c r="AJ384" s="551"/>
      <c r="AK384" s="551"/>
      <c r="AL384" s="551"/>
      <c r="AM384" s="551"/>
      <c r="AN384" s="551"/>
      <c r="AO384" s="551"/>
      <c r="AP384" s="551"/>
      <c r="AQ384" s="551"/>
      <c r="AR384" s="551"/>
      <c r="AS384" s="551"/>
      <c r="AT384" s="551"/>
      <c r="AU384" s="551"/>
      <c r="AV384" s="551"/>
      <c r="AW384" s="551"/>
      <c r="AX384" s="551"/>
      <c r="AY384" s="551"/>
      <c r="AZ384" s="551"/>
      <c r="BA384" s="551"/>
      <c r="BB384" s="551"/>
      <c r="BC384" s="551"/>
      <c r="BD384" s="551"/>
      <c r="BE384" s="551"/>
      <c r="BF384" s="551"/>
      <c r="BG384" s="551"/>
      <c r="BH384" s="551"/>
      <c r="BI384" s="551"/>
      <c r="BJ384" s="551"/>
    </row>
    <row r="385" spans="1:62" ht="12.75" customHeight="1">
      <c r="A385" s="551"/>
      <c r="B385" s="551"/>
      <c r="C385" s="551"/>
      <c r="D385" s="551"/>
      <c r="E385" s="551"/>
      <c r="F385" s="551"/>
      <c r="G385" s="551"/>
      <c r="H385" s="551"/>
      <c r="I385" s="551"/>
      <c r="J385" s="551"/>
      <c r="K385" s="551"/>
      <c r="L385" s="551"/>
      <c r="M385" s="551"/>
      <c r="N385" s="551"/>
      <c r="O385" s="551"/>
      <c r="P385" s="551"/>
      <c r="Q385" s="551"/>
      <c r="R385" s="551"/>
      <c r="S385" s="551"/>
      <c r="T385" s="551"/>
      <c r="U385" s="551"/>
      <c r="V385" s="551"/>
      <c r="W385" s="551"/>
      <c r="X385" s="551"/>
      <c r="Y385" s="551"/>
      <c r="Z385" s="551"/>
      <c r="AA385" s="551"/>
      <c r="AB385" s="551"/>
      <c r="AC385" s="551"/>
      <c r="AD385" s="551"/>
      <c r="AE385" s="551"/>
      <c r="AF385" s="551"/>
      <c r="AG385" s="551"/>
      <c r="AH385" s="551"/>
      <c r="AI385" s="551"/>
      <c r="AJ385" s="551"/>
      <c r="AK385" s="551"/>
      <c r="AL385" s="551"/>
      <c r="AM385" s="551"/>
      <c r="AN385" s="551"/>
      <c r="AO385" s="551"/>
      <c r="AP385" s="551"/>
      <c r="AQ385" s="551"/>
      <c r="AR385" s="551"/>
      <c r="AS385" s="551"/>
      <c r="AT385" s="551"/>
      <c r="AU385" s="551"/>
      <c r="AV385" s="551"/>
      <c r="AW385" s="551"/>
      <c r="AX385" s="551"/>
      <c r="AY385" s="551"/>
      <c r="AZ385" s="551"/>
      <c r="BA385" s="551"/>
      <c r="BB385" s="551"/>
      <c r="BC385" s="551"/>
      <c r="BD385" s="551"/>
      <c r="BE385" s="551"/>
      <c r="BF385" s="551"/>
      <c r="BG385" s="551"/>
      <c r="BH385" s="551"/>
      <c r="BI385" s="551"/>
      <c r="BJ385" s="551"/>
    </row>
    <row r="386" spans="1:62" ht="12.75" customHeight="1">
      <c r="A386" s="551"/>
      <c r="B386" s="551"/>
      <c r="C386" s="551"/>
      <c r="D386" s="551"/>
      <c r="E386" s="551"/>
      <c r="F386" s="551"/>
      <c r="G386" s="551"/>
      <c r="H386" s="551"/>
      <c r="I386" s="551"/>
      <c r="J386" s="551"/>
      <c r="K386" s="551"/>
      <c r="L386" s="551"/>
      <c r="M386" s="551"/>
      <c r="N386" s="551"/>
      <c r="O386" s="551"/>
      <c r="P386" s="551"/>
      <c r="Q386" s="551"/>
      <c r="R386" s="551"/>
      <c r="S386" s="551"/>
      <c r="T386" s="551"/>
      <c r="U386" s="551"/>
      <c r="V386" s="551"/>
      <c r="W386" s="551"/>
      <c r="X386" s="551"/>
      <c r="Y386" s="551"/>
      <c r="Z386" s="551"/>
      <c r="AA386" s="551"/>
      <c r="AB386" s="551"/>
      <c r="AC386" s="551"/>
      <c r="AD386" s="551"/>
      <c r="AE386" s="551"/>
      <c r="AF386" s="551"/>
      <c r="AG386" s="551"/>
      <c r="AH386" s="551"/>
      <c r="AI386" s="551"/>
      <c r="AJ386" s="551"/>
      <c r="AK386" s="551"/>
      <c r="AL386" s="551"/>
      <c r="AM386" s="551"/>
      <c r="AN386" s="551"/>
      <c r="AO386" s="551"/>
      <c r="AP386" s="551"/>
      <c r="AQ386" s="551"/>
      <c r="AR386" s="551"/>
      <c r="AS386" s="551"/>
      <c r="AT386" s="551"/>
      <c r="AU386" s="551"/>
      <c r="AV386" s="551"/>
      <c r="AW386" s="551"/>
      <c r="AX386" s="551"/>
      <c r="AY386" s="551"/>
      <c r="AZ386" s="551"/>
      <c r="BA386" s="551"/>
      <c r="BB386" s="551"/>
      <c r="BC386" s="551"/>
      <c r="BD386" s="551"/>
      <c r="BE386" s="551"/>
      <c r="BF386" s="551"/>
      <c r="BG386" s="551"/>
      <c r="BH386" s="551"/>
      <c r="BI386" s="551"/>
      <c r="BJ386" s="551"/>
    </row>
    <row r="387" spans="1:62" ht="12.75" customHeight="1">
      <c r="A387" s="551"/>
      <c r="B387" s="551"/>
      <c r="C387" s="551"/>
      <c r="D387" s="551"/>
      <c r="E387" s="551"/>
      <c r="F387" s="551"/>
      <c r="G387" s="551"/>
      <c r="H387" s="551"/>
      <c r="I387" s="551"/>
      <c r="J387" s="551"/>
      <c r="K387" s="551"/>
      <c r="L387" s="551"/>
      <c r="M387" s="551"/>
      <c r="N387" s="551"/>
      <c r="O387" s="551"/>
      <c r="P387" s="551"/>
      <c r="Q387" s="551"/>
      <c r="R387" s="551"/>
      <c r="S387" s="551"/>
      <c r="T387" s="551"/>
      <c r="U387" s="551"/>
      <c r="V387" s="551"/>
      <c r="W387" s="551"/>
      <c r="X387" s="551"/>
      <c r="Y387" s="551"/>
      <c r="Z387" s="551"/>
      <c r="AA387" s="551"/>
      <c r="AB387" s="551"/>
      <c r="AC387" s="551"/>
      <c r="AD387" s="551"/>
      <c r="AE387" s="551"/>
      <c r="AF387" s="551"/>
      <c r="AG387" s="551"/>
      <c r="AH387" s="551"/>
      <c r="AI387" s="551"/>
      <c r="AJ387" s="551"/>
      <c r="AK387" s="551"/>
      <c r="AL387" s="551"/>
      <c r="AM387" s="551"/>
      <c r="AN387" s="551"/>
      <c r="AO387" s="551"/>
      <c r="AP387" s="551"/>
      <c r="AQ387" s="551"/>
      <c r="AR387" s="551"/>
      <c r="AS387" s="551"/>
      <c r="AT387" s="551"/>
      <c r="AU387" s="551"/>
      <c r="AV387" s="551"/>
      <c r="AW387" s="551"/>
      <c r="AX387" s="551"/>
      <c r="AY387" s="551"/>
      <c r="AZ387" s="551"/>
      <c r="BA387" s="551"/>
      <c r="BB387" s="551"/>
      <c r="BC387" s="551"/>
      <c r="BD387" s="551"/>
      <c r="BE387" s="551"/>
      <c r="BF387" s="551"/>
      <c r="BG387" s="551"/>
      <c r="BH387" s="551"/>
      <c r="BI387" s="551"/>
      <c r="BJ387" s="551"/>
    </row>
    <row r="388" spans="1:62" ht="12.75" customHeight="1">
      <c r="A388" s="551"/>
      <c r="B388" s="551"/>
      <c r="C388" s="551"/>
      <c r="D388" s="551"/>
      <c r="E388" s="551"/>
      <c r="F388" s="551"/>
      <c r="G388" s="551"/>
      <c r="H388" s="551"/>
      <c r="I388" s="551"/>
      <c r="J388" s="551"/>
      <c r="K388" s="551"/>
      <c r="L388" s="551"/>
      <c r="M388" s="551"/>
      <c r="N388" s="551"/>
      <c r="O388" s="551"/>
      <c r="P388" s="551"/>
      <c r="Q388" s="551"/>
      <c r="R388" s="551"/>
      <c r="S388" s="551"/>
      <c r="T388" s="551"/>
      <c r="U388" s="551"/>
      <c r="V388" s="551"/>
      <c r="W388" s="551"/>
      <c r="X388" s="551"/>
      <c r="Y388" s="551"/>
      <c r="Z388" s="551"/>
      <c r="AA388" s="551"/>
      <c r="AB388" s="551"/>
      <c r="AC388" s="551"/>
      <c r="AD388" s="551"/>
      <c r="AE388" s="551"/>
      <c r="AF388" s="551"/>
      <c r="AG388" s="551"/>
      <c r="AH388" s="551"/>
      <c r="AI388" s="551"/>
      <c r="AJ388" s="551"/>
      <c r="AK388" s="551"/>
      <c r="AL388" s="551"/>
      <c r="AM388" s="551"/>
      <c r="AN388" s="551"/>
      <c r="AO388" s="551"/>
      <c r="AP388" s="551"/>
      <c r="AQ388" s="551"/>
      <c r="AR388" s="551"/>
      <c r="AS388" s="551"/>
      <c r="AT388" s="551"/>
      <c r="AU388" s="551"/>
      <c r="AV388" s="551"/>
      <c r="AW388" s="551"/>
      <c r="AX388" s="551"/>
      <c r="AY388" s="551"/>
      <c r="AZ388" s="551"/>
      <c r="BA388" s="551"/>
      <c r="BB388" s="551"/>
      <c r="BC388" s="551"/>
      <c r="BD388" s="551"/>
      <c r="BE388" s="551"/>
      <c r="BF388" s="551"/>
      <c r="BG388" s="551"/>
      <c r="BH388" s="551"/>
      <c r="BI388" s="551"/>
      <c r="BJ388" s="551"/>
    </row>
    <row r="389" spans="1:62" ht="12.75" customHeight="1">
      <c r="A389" s="551"/>
      <c r="B389" s="551"/>
      <c r="C389" s="551"/>
      <c r="D389" s="551"/>
      <c r="E389" s="551"/>
      <c r="F389" s="551"/>
      <c r="G389" s="551"/>
      <c r="H389" s="551"/>
      <c r="I389" s="551"/>
      <c r="J389" s="551"/>
      <c r="K389" s="551"/>
      <c r="L389" s="551"/>
      <c r="M389" s="551"/>
      <c r="N389" s="551"/>
      <c r="O389" s="551"/>
      <c r="P389" s="551"/>
      <c r="Q389" s="551"/>
      <c r="R389" s="551"/>
      <c r="S389" s="551"/>
      <c r="T389" s="551"/>
      <c r="U389" s="551"/>
      <c r="V389" s="551"/>
      <c r="W389" s="551"/>
      <c r="X389" s="551"/>
      <c r="Y389" s="551"/>
      <c r="Z389" s="551"/>
      <c r="AA389" s="551"/>
      <c r="AB389" s="551"/>
      <c r="AC389" s="551"/>
      <c r="AD389" s="551"/>
      <c r="AE389" s="551"/>
      <c r="AF389" s="551"/>
      <c r="AG389" s="551"/>
      <c r="AH389" s="551"/>
      <c r="AI389" s="551"/>
      <c r="AJ389" s="551"/>
      <c r="AK389" s="551"/>
      <c r="AL389" s="551"/>
      <c r="AM389" s="551"/>
      <c r="AN389" s="551"/>
      <c r="AO389" s="551"/>
      <c r="AP389" s="551"/>
      <c r="AQ389" s="551"/>
      <c r="AR389" s="551"/>
      <c r="AS389" s="551"/>
      <c r="AT389" s="551"/>
      <c r="AU389" s="551"/>
      <c r="AV389" s="551"/>
      <c r="AW389" s="551"/>
      <c r="AX389" s="551"/>
      <c r="AY389" s="551"/>
      <c r="AZ389" s="551"/>
      <c r="BA389" s="551"/>
      <c r="BB389" s="551"/>
      <c r="BC389" s="551"/>
      <c r="BD389" s="551"/>
      <c r="BE389" s="551"/>
      <c r="BF389" s="551"/>
      <c r="BG389" s="551"/>
      <c r="BH389" s="551"/>
      <c r="BI389" s="551"/>
      <c r="BJ389" s="551"/>
    </row>
    <row r="390" spans="1:62" ht="12.75" customHeight="1">
      <c r="A390" s="551"/>
      <c r="B390" s="551"/>
      <c r="C390" s="551"/>
      <c r="D390" s="551"/>
      <c r="E390" s="551"/>
      <c r="F390" s="551"/>
      <c r="G390" s="551"/>
      <c r="H390" s="551"/>
      <c r="I390" s="551"/>
      <c r="J390" s="551"/>
      <c r="K390" s="551"/>
      <c r="L390" s="551"/>
      <c r="M390" s="551"/>
      <c r="N390" s="551"/>
      <c r="O390" s="551"/>
      <c r="P390" s="551"/>
      <c r="Q390" s="551"/>
      <c r="R390" s="551"/>
      <c r="S390" s="551"/>
      <c r="T390" s="551"/>
      <c r="U390" s="551"/>
      <c r="V390" s="551"/>
      <c r="W390" s="551"/>
      <c r="X390" s="551"/>
      <c r="Y390" s="551"/>
      <c r="Z390" s="551"/>
      <c r="AA390" s="551"/>
      <c r="AB390" s="551"/>
      <c r="AC390" s="551"/>
      <c r="AD390" s="551"/>
      <c r="AE390" s="551"/>
      <c r="AF390" s="551"/>
      <c r="AG390" s="551"/>
      <c r="AH390" s="551"/>
      <c r="AI390" s="551"/>
      <c r="AJ390" s="551"/>
      <c r="AK390" s="551"/>
      <c r="AL390" s="551"/>
      <c r="AM390" s="551"/>
      <c r="AN390" s="551"/>
      <c r="AO390" s="551"/>
      <c r="AP390" s="551"/>
      <c r="AQ390" s="551"/>
      <c r="AR390" s="551"/>
      <c r="AS390" s="551"/>
      <c r="AT390" s="551"/>
      <c r="AU390" s="551"/>
      <c r="AV390" s="551"/>
      <c r="AW390" s="551"/>
      <c r="AX390" s="551"/>
      <c r="AY390" s="551"/>
      <c r="AZ390" s="551"/>
      <c r="BA390" s="551"/>
      <c r="BB390" s="551"/>
      <c r="BC390" s="551"/>
      <c r="BD390" s="551"/>
      <c r="BE390" s="551"/>
      <c r="BF390" s="551"/>
      <c r="BG390" s="551"/>
      <c r="BH390" s="551"/>
      <c r="BI390" s="551"/>
      <c r="BJ390" s="551"/>
    </row>
    <row r="391" spans="1:62" ht="12.75" customHeight="1">
      <c r="A391" s="551"/>
      <c r="B391" s="551"/>
      <c r="C391" s="551"/>
      <c r="D391" s="551"/>
      <c r="E391" s="551"/>
      <c r="F391" s="551"/>
      <c r="G391" s="551"/>
      <c r="H391" s="551"/>
      <c r="I391" s="551"/>
      <c r="J391" s="551"/>
      <c r="K391" s="551"/>
      <c r="L391" s="551"/>
      <c r="M391" s="551"/>
      <c r="N391" s="551"/>
      <c r="O391" s="551"/>
      <c r="P391" s="551"/>
      <c r="Q391" s="551"/>
      <c r="R391" s="551"/>
      <c r="S391" s="551"/>
      <c r="T391" s="551"/>
      <c r="U391" s="551"/>
      <c r="V391" s="551"/>
      <c r="W391" s="551"/>
      <c r="X391" s="551"/>
      <c r="Y391" s="551"/>
      <c r="Z391" s="551"/>
      <c r="AA391" s="551"/>
      <c r="AB391" s="551"/>
      <c r="AC391" s="551"/>
      <c r="AD391" s="551"/>
      <c r="AE391" s="551"/>
      <c r="AF391" s="551"/>
      <c r="AG391" s="551"/>
      <c r="AH391" s="551"/>
      <c r="AI391" s="551"/>
      <c r="AJ391" s="551"/>
      <c r="AK391" s="551"/>
      <c r="AL391" s="551"/>
      <c r="AM391" s="551"/>
      <c r="AN391" s="551"/>
      <c r="AO391" s="551"/>
      <c r="AP391" s="551"/>
      <c r="AQ391" s="551"/>
      <c r="AR391" s="551"/>
      <c r="AS391" s="551"/>
      <c r="AT391" s="551"/>
      <c r="AU391" s="551"/>
      <c r="AV391" s="551"/>
      <c r="AW391" s="551"/>
      <c r="AX391" s="551"/>
      <c r="AY391" s="551"/>
      <c r="AZ391" s="551"/>
      <c r="BA391" s="551"/>
      <c r="BB391" s="551"/>
      <c r="BC391" s="551"/>
      <c r="BD391" s="551"/>
      <c r="BE391" s="551"/>
      <c r="BF391" s="551"/>
      <c r="BG391" s="551"/>
      <c r="BH391" s="551"/>
      <c r="BI391" s="551"/>
      <c r="BJ391" s="551"/>
    </row>
    <row r="392" spans="1:62" ht="12.75" customHeight="1">
      <c r="A392" s="551"/>
      <c r="B392" s="551"/>
      <c r="C392" s="551"/>
      <c r="D392" s="551"/>
      <c r="E392" s="551"/>
      <c r="F392" s="551"/>
      <c r="G392" s="551"/>
      <c r="H392" s="551"/>
      <c r="I392" s="551"/>
      <c r="J392" s="551"/>
      <c r="K392" s="551"/>
      <c r="L392" s="551"/>
      <c r="M392" s="551"/>
      <c r="N392" s="551"/>
      <c r="O392" s="551"/>
      <c r="P392" s="551"/>
      <c r="Q392" s="551"/>
      <c r="R392" s="551"/>
      <c r="S392" s="551"/>
      <c r="T392" s="551"/>
      <c r="U392" s="551"/>
      <c r="V392" s="551"/>
      <c r="W392" s="551"/>
      <c r="X392" s="551"/>
      <c r="Y392" s="551"/>
      <c r="Z392" s="551"/>
      <c r="AA392" s="551"/>
      <c r="AB392" s="551"/>
      <c r="AC392" s="551"/>
      <c r="AD392" s="551"/>
      <c r="AE392" s="551"/>
      <c r="AF392" s="551"/>
      <c r="AG392" s="551"/>
      <c r="AH392" s="551"/>
      <c r="AI392" s="551"/>
      <c r="AJ392" s="551"/>
      <c r="AK392" s="551"/>
      <c r="AL392" s="551"/>
      <c r="AM392" s="551"/>
      <c r="AN392" s="551"/>
      <c r="AO392" s="551"/>
      <c r="AP392" s="551"/>
      <c r="AQ392" s="551"/>
      <c r="AR392" s="551"/>
      <c r="AS392" s="551"/>
      <c r="AT392" s="551"/>
      <c r="AU392" s="551"/>
      <c r="AV392" s="551"/>
      <c r="AW392" s="551"/>
      <c r="AX392" s="551"/>
      <c r="AY392" s="551"/>
      <c r="AZ392" s="551"/>
      <c r="BA392" s="551"/>
      <c r="BB392" s="551"/>
      <c r="BC392" s="551"/>
      <c r="BD392" s="551"/>
      <c r="BE392" s="551"/>
      <c r="BF392" s="551"/>
      <c r="BG392" s="551"/>
      <c r="BH392" s="551"/>
      <c r="BI392" s="551"/>
      <c r="BJ392" s="551"/>
    </row>
    <row r="393" spans="1:62" ht="12.75" customHeight="1">
      <c r="A393" s="551"/>
      <c r="B393" s="551"/>
      <c r="C393" s="551"/>
      <c r="D393" s="551"/>
      <c r="E393" s="551"/>
      <c r="F393" s="551"/>
      <c r="G393" s="551"/>
      <c r="H393" s="551"/>
      <c r="I393" s="551"/>
      <c r="J393" s="551"/>
      <c r="K393" s="551"/>
      <c r="L393" s="551"/>
      <c r="M393" s="551"/>
      <c r="N393" s="551"/>
      <c r="O393" s="551"/>
      <c r="P393" s="551"/>
      <c r="Q393" s="551"/>
      <c r="R393" s="551"/>
      <c r="S393" s="551"/>
      <c r="T393" s="551"/>
      <c r="U393" s="551"/>
      <c r="V393" s="551"/>
      <c r="W393" s="551"/>
      <c r="X393" s="551"/>
      <c r="Y393" s="551"/>
      <c r="Z393" s="551"/>
      <c r="AA393" s="551"/>
      <c r="AB393" s="551"/>
      <c r="AC393" s="551"/>
      <c r="AD393" s="551"/>
      <c r="AE393" s="551"/>
      <c r="AF393" s="551"/>
      <c r="AG393" s="551"/>
      <c r="AH393" s="551"/>
      <c r="AI393" s="551"/>
      <c r="AJ393" s="551"/>
      <c r="AK393" s="551"/>
      <c r="AL393" s="551"/>
      <c r="AM393" s="551"/>
      <c r="AN393" s="551"/>
      <c r="AO393" s="551"/>
      <c r="AP393" s="551"/>
      <c r="AQ393" s="551"/>
      <c r="AR393" s="551"/>
      <c r="AS393" s="551"/>
      <c r="AT393" s="551"/>
      <c r="AU393" s="551"/>
      <c r="AV393" s="551"/>
      <c r="AW393" s="551"/>
      <c r="AX393" s="551"/>
      <c r="AY393" s="551"/>
      <c r="AZ393" s="551"/>
      <c r="BA393" s="551"/>
      <c r="BB393" s="551"/>
      <c r="BC393" s="551"/>
      <c r="BD393" s="551"/>
      <c r="BE393" s="551"/>
      <c r="BF393" s="551"/>
      <c r="BG393" s="551"/>
      <c r="BH393" s="551"/>
      <c r="BI393" s="551"/>
      <c r="BJ393" s="551"/>
    </row>
    <row r="394" spans="1:62" ht="12.75" customHeight="1">
      <c r="A394" s="551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1"/>
      <c r="P394" s="551"/>
      <c r="Q394" s="551"/>
      <c r="R394" s="551"/>
      <c r="S394" s="551"/>
      <c r="T394" s="551"/>
      <c r="U394" s="551"/>
      <c r="V394" s="551"/>
      <c r="W394" s="551"/>
      <c r="X394" s="551"/>
      <c r="Y394" s="551"/>
      <c r="Z394" s="551"/>
      <c r="AA394" s="551"/>
      <c r="AB394" s="551"/>
      <c r="AC394" s="551"/>
      <c r="AD394" s="551"/>
      <c r="AE394" s="551"/>
      <c r="AF394" s="551"/>
      <c r="AG394" s="551"/>
      <c r="AH394" s="551"/>
      <c r="AI394" s="551"/>
      <c r="AJ394" s="551"/>
      <c r="AK394" s="551"/>
      <c r="AL394" s="551"/>
      <c r="AM394" s="551"/>
      <c r="AN394" s="551"/>
      <c r="AO394" s="551"/>
      <c r="AP394" s="551"/>
      <c r="AQ394" s="551"/>
      <c r="AR394" s="551"/>
      <c r="AS394" s="551"/>
      <c r="AT394" s="551"/>
      <c r="AU394" s="551"/>
      <c r="AV394" s="551"/>
      <c r="AW394" s="551"/>
      <c r="AX394" s="551"/>
      <c r="AY394" s="551"/>
      <c r="AZ394" s="551"/>
      <c r="BA394" s="551"/>
      <c r="BB394" s="551"/>
      <c r="BC394" s="551"/>
      <c r="BD394" s="551"/>
      <c r="BE394" s="551"/>
      <c r="BF394" s="551"/>
      <c r="BG394" s="551"/>
      <c r="BH394" s="551"/>
      <c r="BI394" s="551"/>
      <c r="BJ394" s="551"/>
    </row>
    <row r="395" spans="1:62" ht="12.75" customHeight="1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1"/>
      <c r="P395" s="551"/>
      <c r="Q395" s="551"/>
      <c r="R395" s="551"/>
      <c r="S395" s="551"/>
      <c r="T395" s="551"/>
      <c r="U395" s="551"/>
      <c r="V395" s="551"/>
      <c r="W395" s="551"/>
      <c r="X395" s="551"/>
      <c r="Y395" s="551"/>
      <c r="Z395" s="551"/>
      <c r="AA395" s="551"/>
      <c r="AB395" s="551"/>
      <c r="AC395" s="551"/>
      <c r="AD395" s="551"/>
      <c r="AE395" s="551"/>
      <c r="AF395" s="551"/>
      <c r="AG395" s="551"/>
      <c r="AH395" s="551"/>
      <c r="AI395" s="551"/>
      <c r="AJ395" s="551"/>
      <c r="AK395" s="551"/>
      <c r="AL395" s="551"/>
      <c r="AM395" s="551"/>
      <c r="AN395" s="551"/>
      <c r="AO395" s="551"/>
      <c r="AP395" s="551"/>
      <c r="AQ395" s="551"/>
      <c r="AR395" s="551"/>
      <c r="AS395" s="551"/>
      <c r="AT395" s="551"/>
      <c r="AU395" s="551"/>
      <c r="AV395" s="551"/>
      <c r="AW395" s="551"/>
      <c r="AX395" s="551"/>
      <c r="AY395" s="551"/>
      <c r="AZ395" s="551"/>
      <c r="BA395" s="551"/>
      <c r="BB395" s="551"/>
      <c r="BC395" s="551"/>
      <c r="BD395" s="551"/>
      <c r="BE395" s="551"/>
      <c r="BF395" s="551"/>
      <c r="BG395" s="551"/>
      <c r="BH395" s="551"/>
      <c r="BI395" s="551"/>
      <c r="BJ395" s="551"/>
    </row>
    <row r="396" spans="1:62" ht="12.75" customHeight="1">
      <c r="A396" s="551"/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51"/>
      <c r="AB396" s="551"/>
      <c r="AC396" s="551"/>
      <c r="AD396" s="551"/>
      <c r="AE396" s="551"/>
      <c r="AF396" s="551"/>
      <c r="AG396" s="551"/>
      <c r="AH396" s="551"/>
      <c r="AI396" s="551"/>
      <c r="AJ396" s="551"/>
      <c r="AK396" s="551"/>
      <c r="AL396" s="551"/>
      <c r="AM396" s="551"/>
      <c r="AN396" s="551"/>
      <c r="AO396" s="551"/>
      <c r="AP396" s="551"/>
      <c r="AQ396" s="551"/>
      <c r="AR396" s="551"/>
      <c r="AS396" s="551"/>
      <c r="AT396" s="551"/>
      <c r="AU396" s="551"/>
      <c r="AV396" s="551"/>
      <c r="AW396" s="551"/>
      <c r="AX396" s="551"/>
      <c r="AY396" s="551"/>
      <c r="AZ396" s="551"/>
      <c r="BA396" s="551"/>
      <c r="BB396" s="551"/>
      <c r="BC396" s="551"/>
      <c r="BD396" s="551"/>
      <c r="BE396" s="551"/>
      <c r="BF396" s="551"/>
      <c r="BG396" s="551"/>
      <c r="BH396" s="551"/>
      <c r="BI396" s="551"/>
      <c r="BJ396" s="551"/>
    </row>
    <row r="397" spans="1:62" ht="12.75" customHeight="1">
      <c r="A397" s="551"/>
      <c r="B397" s="551"/>
      <c r="C397" s="551"/>
      <c r="D397" s="551"/>
      <c r="E397" s="551"/>
      <c r="F397" s="551"/>
      <c r="G397" s="551"/>
      <c r="H397" s="551"/>
      <c r="I397" s="551"/>
      <c r="J397" s="551"/>
      <c r="K397" s="551"/>
      <c r="L397" s="551"/>
      <c r="M397" s="551"/>
      <c r="N397" s="551"/>
      <c r="O397" s="551"/>
      <c r="P397" s="551"/>
      <c r="Q397" s="551"/>
      <c r="R397" s="551"/>
      <c r="S397" s="551"/>
      <c r="T397" s="551"/>
      <c r="U397" s="551"/>
      <c r="V397" s="551"/>
      <c r="W397" s="551"/>
      <c r="X397" s="551"/>
      <c r="Y397" s="551"/>
      <c r="Z397" s="551"/>
      <c r="AA397" s="551"/>
      <c r="AB397" s="551"/>
      <c r="AC397" s="551"/>
      <c r="AD397" s="551"/>
      <c r="AE397" s="551"/>
      <c r="AF397" s="551"/>
      <c r="AG397" s="551"/>
      <c r="AH397" s="551"/>
      <c r="AI397" s="551"/>
      <c r="AJ397" s="551"/>
      <c r="AK397" s="551"/>
      <c r="AL397" s="551"/>
      <c r="AM397" s="551"/>
      <c r="AN397" s="551"/>
      <c r="AO397" s="551"/>
      <c r="AP397" s="551"/>
      <c r="AQ397" s="551"/>
      <c r="AR397" s="551"/>
      <c r="AS397" s="551"/>
      <c r="AT397" s="551"/>
      <c r="AU397" s="551"/>
      <c r="AV397" s="551"/>
      <c r="AW397" s="551"/>
      <c r="AX397" s="551"/>
      <c r="AY397" s="551"/>
      <c r="AZ397" s="551"/>
      <c r="BA397" s="551"/>
      <c r="BB397" s="551"/>
      <c r="BC397" s="551"/>
      <c r="BD397" s="551"/>
      <c r="BE397" s="551"/>
      <c r="BF397" s="551"/>
      <c r="BG397" s="551"/>
      <c r="BH397" s="551"/>
      <c r="BI397" s="551"/>
      <c r="BJ397" s="551"/>
    </row>
    <row r="398" spans="1:62" ht="12.75" customHeight="1">
      <c r="A398" s="551"/>
      <c r="B398" s="551"/>
      <c r="C398" s="551"/>
      <c r="D398" s="551"/>
      <c r="E398" s="551"/>
      <c r="F398" s="551"/>
      <c r="G398" s="551"/>
      <c r="H398" s="551"/>
      <c r="I398" s="551"/>
      <c r="J398" s="551"/>
      <c r="K398" s="551"/>
      <c r="L398" s="551"/>
      <c r="M398" s="551"/>
      <c r="N398" s="551"/>
      <c r="O398" s="551"/>
      <c r="P398" s="551"/>
      <c r="Q398" s="551"/>
      <c r="R398" s="551"/>
      <c r="S398" s="551"/>
      <c r="T398" s="551"/>
      <c r="U398" s="551"/>
      <c r="V398" s="551"/>
      <c r="W398" s="551"/>
      <c r="X398" s="551"/>
      <c r="Y398" s="551"/>
      <c r="Z398" s="551"/>
      <c r="AA398" s="551"/>
      <c r="AB398" s="551"/>
      <c r="AC398" s="551"/>
      <c r="AD398" s="551"/>
      <c r="AE398" s="551"/>
      <c r="AF398" s="551"/>
      <c r="AG398" s="551"/>
      <c r="AH398" s="551"/>
      <c r="AI398" s="551"/>
      <c r="AJ398" s="551"/>
      <c r="AK398" s="551"/>
      <c r="AL398" s="551"/>
      <c r="AM398" s="551"/>
      <c r="AN398" s="551"/>
      <c r="AO398" s="551"/>
      <c r="AP398" s="551"/>
      <c r="AQ398" s="551"/>
      <c r="AR398" s="551"/>
      <c r="AS398" s="551"/>
      <c r="AT398" s="551"/>
      <c r="AU398" s="551"/>
      <c r="AV398" s="551"/>
      <c r="AW398" s="551"/>
      <c r="AX398" s="551"/>
      <c r="AY398" s="551"/>
      <c r="AZ398" s="551"/>
      <c r="BA398" s="551"/>
      <c r="BB398" s="551"/>
      <c r="BC398" s="551"/>
      <c r="BD398" s="551"/>
      <c r="BE398" s="551"/>
      <c r="BF398" s="551"/>
      <c r="BG398" s="551"/>
      <c r="BH398" s="551"/>
      <c r="BI398" s="551"/>
      <c r="BJ398" s="551"/>
    </row>
    <row r="399" spans="1:62" ht="12.75" customHeight="1">
      <c r="A399" s="551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1"/>
      <c r="P399" s="551"/>
      <c r="Q399" s="551"/>
      <c r="R399" s="551"/>
      <c r="S399" s="551"/>
      <c r="T399" s="551"/>
      <c r="U399" s="551"/>
      <c r="V399" s="551"/>
      <c r="W399" s="551"/>
      <c r="X399" s="551"/>
      <c r="Y399" s="551"/>
      <c r="Z399" s="551"/>
      <c r="AA399" s="551"/>
      <c r="AB399" s="551"/>
      <c r="AC399" s="551"/>
      <c r="AD399" s="551"/>
      <c r="AE399" s="551"/>
      <c r="AF399" s="551"/>
      <c r="AG399" s="551"/>
      <c r="AH399" s="551"/>
      <c r="AI399" s="551"/>
      <c r="AJ399" s="551"/>
      <c r="AK399" s="551"/>
      <c r="AL399" s="551"/>
      <c r="AM399" s="551"/>
      <c r="AN399" s="551"/>
      <c r="AO399" s="551"/>
      <c r="AP399" s="551"/>
      <c r="AQ399" s="551"/>
      <c r="AR399" s="551"/>
      <c r="AS399" s="551"/>
      <c r="AT399" s="551"/>
      <c r="AU399" s="551"/>
      <c r="AV399" s="551"/>
      <c r="AW399" s="551"/>
      <c r="AX399" s="551"/>
      <c r="AY399" s="551"/>
      <c r="AZ399" s="551"/>
      <c r="BA399" s="551"/>
      <c r="BB399" s="551"/>
      <c r="BC399" s="551"/>
      <c r="BD399" s="551"/>
      <c r="BE399" s="551"/>
      <c r="BF399" s="551"/>
      <c r="BG399" s="551"/>
      <c r="BH399" s="551"/>
      <c r="BI399" s="551"/>
      <c r="BJ399" s="551"/>
    </row>
    <row r="400" spans="1:62" ht="12.75" customHeight="1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1"/>
      <c r="P400" s="551"/>
      <c r="Q400" s="551"/>
      <c r="R400" s="551"/>
      <c r="S400" s="551"/>
      <c r="T400" s="551"/>
      <c r="U400" s="551"/>
      <c r="V400" s="551"/>
      <c r="W400" s="551"/>
      <c r="X400" s="551"/>
      <c r="Y400" s="551"/>
      <c r="Z400" s="551"/>
      <c r="AA400" s="551"/>
      <c r="AB400" s="551"/>
      <c r="AC400" s="551"/>
      <c r="AD400" s="551"/>
      <c r="AE400" s="551"/>
      <c r="AF400" s="551"/>
      <c r="AG400" s="551"/>
      <c r="AH400" s="551"/>
      <c r="AI400" s="551"/>
      <c r="AJ400" s="551"/>
      <c r="AK400" s="551"/>
      <c r="AL400" s="551"/>
      <c r="AM400" s="551"/>
      <c r="AN400" s="551"/>
      <c r="AO400" s="551"/>
      <c r="AP400" s="551"/>
      <c r="AQ400" s="551"/>
      <c r="AR400" s="551"/>
      <c r="AS400" s="551"/>
      <c r="AT400" s="551"/>
      <c r="AU400" s="551"/>
      <c r="AV400" s="551"/>
      <c r="AW400" s="551"/>
      <c r="AX400" s="551"/>
      <c r="AY400" s="551"/>
      <c r="AZ400" s="551"/>
      <c r="BA400" s="551"/>
      <c r="BB400" s="551"/>
      <c r="BC400" s="551"/>
      <c r="BD400" s="551"/>
      <c r="BE400" s="551"/>
      <c r="BF400" s="551"/>
      <c r="BG400" s="551"/>
      <c r="BH400" s="551"/>
      <c r="BI400" s="551"/>
      <c r="BJ400" s="551"/>
    </row>
    <row r="401" spans="1:62" ht="12.75" customHeight="1">
      <c r="A401" s="551"/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51"/>
      <c r="AB401" s="551"/>
      <c r="AC401" s="551"/>
      <c r="AD401" s="551"/>
      <c r="AE401" s="551"/>
      <c r="AF401" s="551"/>
      <c r="AG401" s="551"/>
      <c r="AH401" s="551"/>
      <c r="AI401" s="551"/>
      <c r="AJ401" s="551"/>
      <c r="AK401" s="551"/>
      <c r="AL401" s="551"/>
      <c r="AM401" s="551"/>
      <c r="AN401" s="551"/>
      <c r="AO401" s="551"/>
      <c r="AP401" s="551"/>
      <c r="AQ401" s="551"/>
      <c r="AR401" s="551"/>
      <c r="AS401" s="551"/>
      <c r="AT401" s="551"/>
      <c r="AU401" s="551"/>
      <c r="AV401" s="551"/>
      <c r="AW401" s="551"/>
      <c r="AX401" s="551"/>
      <c r="AY401" s="551"/>
      <c r="AZ401" s="551"/>
      <c r="BA401" s="551"/>
      <c r="BB401" s="551"/>
      <c r="BC401" s="551"/>
      <c r="BD401" s="551"/>
      <c r="BE401" s="551"/>
      <c r="BF401" s="551"/>
      <c r="BG401" s="551"/>
      <c r="BH401" s="551"/>
      <c r="BI401" s="551"/>
      <c r="BJ401" s="551"/>
    </row>
    <row r="402" spans="1:62" ht="12.75" customHeight="1">
      <c r="A402" s="551"/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51"/>
      <c r="AB402" s="551"/>
      <c r="AC402" s="551"/>
      <c r="AD402" s="551"/>
      <c r="AE402" s="551"/>
      <c r="AF402" s="551"/>
      <c r="AG402" s="551"/>
      <c r="AH402" s="551"/>
      <c r="AI402" s="551"/>
      <c r="AJ402" s="551"/>
      <c r="AK402" s="551"/>
      <c r="AL402" s="551"/>
      <c r="AM402" s="551"/>
      <c r="AN402" s="551"/>
      <c r="AO402" s="551"/>
      <c r="AP402" s="551"/>
      <c r="AQ402" s="551"/>
      <c r="AR402" s="551"/>
      <c r="AS402" s="551"/>
      <c r="AT402" s="551"/>
      <c r="AU402" s="551"/>
      <c r="AV402" s="551"/>
      <c r="AW402" s="551"/>
      <c r="AX402" s="551"/>
      <c r="AY402" s="551"/>
      <c r="AZ402" s="551"/>
      <c r="BA402" s="551"/>
      <c r="BB402" s="551"/>
      <c r="BC402" s="551"/>
      <c r="BD402" s="551"/>
      <c r="BE402" s="551"/>
      <c r="BF402" s="551"/>
      <c r="BG402" s="551"/>
      <c r="BH402" s="551"/>
      <c r="BI402" s="551"/>
      <c r="BJ402" s="551"/>
    </row>
    <row r="403" spans="1:62" ht="12.75" customHeight="1">
      <c r="A403" s="551"/>
      <c r="B403" s="551"/>
      <c r="C403" s="551"/>
      <c r="D403" s="551"/>
      <c r="E403" s="551"/>
      <c r="F403" s="551"/>
      <c r="G403" s="551"/>
      <c r="H403" s="551"/>
      <c r="I403" s="551"/>
      <c r="J403" s="551"/>
      <c r="K403" s="551"/>
      <c r="L403" s="551"/>
      <c r="M403" s="551"/>
      <c r="N403" s="551"/>
      <c r="O403" s="551"/>
      <c r="P403" s="551"/>
      <c r="Q403" s="551"/>
      <c r="R403" s="551"/>
      <c r="S403" s="551"/>
      <c r="T403" s="551"/>
      <c r="U403" s="551"/>
      <c r="V403" s="551"/>
      <c r="W403" s="551"/>
      <c r="X403" s="551"/>
      <c r="Y403" s="551"/>
      <c r="Z403" s="551"/>
      <c r="AA403" s="551"/>
      <c r="AB403" s="551"/>
      <c r="AC403" s="551"/>
      <c r="AD403" s="551"/>
      <c r="AE403" s="551"/>
      <c r="AF403" s="551"/>
      <c r="AG403" s="551"/>
      <c r="AH403" s="551"/>
      <c r="AI403" s="551"/>
      <c r="AJ403" s="551"/>
      <c r="AK403" s="551"/>
      <c r="AL403" s="551"/>
      <c r="AM403" s="551"/>
      <c r="AN403" s="551"/>
      <c r="AO403" s="551"/>
      <c r="AP403" s="551"/>
      <c r="AQ403" s="551"/>
      <c r="AR403" s="551"/>
      <c r="AS403" s="551"/>
      <c r="AT403" s="551"/>
      <c r="AU403" s="551"/>
      <c r="AV403" s="551"/>
      <c r="AW403" s="551"/>
      <c r="AX403" s="551"/>
      <c r="AY403" s="551"/>
      <c r="AZ403" s="551"/>
      <c r="BA403" s="551"/>
      <c r="BB403" s="551"/>
      <c r="BC403" s="551"/>
      <c r="BD403" s="551"/>
      <c r="BE403" s="551"/>
      <c r="BF403" s="551"/>
      <c r="BG403" s="551"/>
      <c r="BH403" s="551"/>
      <c r="BI403" s="551"/>
      <c r="BJ403" s="551"/>
    </row>
    <row r="404" spans="1:62" ht="12.75" customHeight="1">
      <c r="A404" s="551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1"/>
      <c r="P404" s="551"/>
      <c r="Q404" s="551"/>
      <c r="R404" s="551"/>
      <c r="S404" s="551"/>
      <c r="T404" s="551"/>
      <c r="U404" s="551"/>
      <c r="V404" s="551"/>
      <c r="W404" s="551"/>
      <c r="X404" s="551"/>
      <c r="Y404" s="551"/>
      <c r="Z404" s="551"/>
      <c r="AA404" s="551"/>
      <c r="AB404" s="551"/>
      <c r="AC404" s="551"/>
      <c r="AD404" s="551"/>
      <c r="AE404" s="551"/>
      <c r="AF404" s="551"/>
      <c r="AG404" s="551"/>
      <c r="AH404" s="551"/>
      <c r="AI404" s="551"/>
      <c r="AJ404" s="551"/>
      <c r="AK404" s="551"/>
      <c r="AL404" s="551"/>
      <c r="AM404" s="551"/>
      <c r="AN404" s="551"/>
      <c r="AO404" s="551"/>
      <c r="AP404" s="551"/>
      <c r="AQ404" s="551"/>
      <c r="AR404" s="551"/>
      <c r="AS404" s="551"/>
      <c r="AT404" s="551"/>
      <c r="AU404" s="551"/>
      <c r="AV404" s="551"/>
      <c r="AW404" s="551"/>
      <c r="AX404" s="551"/>
      <c r="AY404" s="551"/>
      <c r="AZ404" s="551"/>
      <c r="BA404" s="551"/>
      <c r="BB404" s="551"/>
      <c r="BC404" s="551"/>
      <c r="BD404" s="551"/>
      <c r="BE404" s="551"/>
      <c r="BF404" s="551"/>
      <c r="BG404" s="551"/>
      <c r="BH404" s="551"/>
      <c r="BI404" s="551"/>
      <c r="BJ404" s="551"/>
    </row>
    <row r="405" spans="1:62" ht="12.75" customHeight="1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1"/>
      <c r="P405" s="551"/>
      <c r="Q405" s="551"/>
      <c r="R405" s="551"/>
      <c r="S405" s="551"/>
      <c r="T405" s="551"/>
      <c r="U405" s="551"/>
      <c r="V405" s="551"/>
      <c r="W405" s="551"/>
      <c r="X405" s="551"/>
      <c r="Y405" s="551"/>
      <c r="Z405" s="551"/>
      <c r="AA405" s="551"/>
      <c r="AB405" s="551"/>
      <c r="AC405" s="551"/>
      <c r="AD405" s="551"/>
      <c r="AE405" s="551"/>
      <c r="AF405" s="551"/>
      <c r="AG405" s="551"/>
      <c r="AH405" s="551"/>
      <c r="AI405" s="551"/>
      <c r="AJ405" s="551"/>
      <c r="AK405" s="551"/>
      <c r="AL405" s="551"/>
      <c r="AM405" s="551"/>
      <c r="AN405" s="551"/>
      <c r="AO405" s="551"/>
      <c r="AP405" s="551"/>
      <c r="AQ405" s="551"/>
      <c r="AR405" s="551"/>
      <c r="AS405" s="551"/>
      <c r="AT405" s="551"/>
      <c r="AU405" s="551"/>
      <c r="AV405" s="551"/>
      <c r="AW405" s="551"/>
      <c r="AX405" s="551"/>
      <c r="AY405" s="551"/>
      <c r="AZ405" s="551"/>
      <c r="BA405" s="551"/>
      <c r="BB405" s="551"/>
      <c r="BC405" s="551"/>
      <c r="BD405" s="551"/>
      <c r="BE405" s="551"/>
      <c r="BF405" s="551"/>
      <c r="BG405" s="551"/>
      <c r="BH405" s="551"/>
      <c r="BI405" s="551"/>
      <c r="BJ405" s="551"/>
    </row>
    <row r="406" spans="1:62" ht="12.75" customHeight="1">
      <c r="A406" s="551"/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51"/>
      <c r="AB406" s="551"/>
      <c r="AC406" s="551"/>
      <c r="AD406" s="551"/>
      <c r="AE406" s="551"/>
      <c r="AF406" s="551"/>
      <c r="AG406" s="551"/>
      <c r="AH406" s="551"/>
      <c r="AI406" s="551"/>
      <c r="AJ406" s="551"/>
      <c r="AK406" s="551"/>
      <c r="AL406" s="551"/>
      <c r="AM406" s="551"/>
      <c r="AN406" s="551"/>
      <c r="AO406" s="551"/>
      <c r="AP406" s="551"/>
      <c r="AQ406" s="551"/>
      <c r="AR406" s="551"/>
      <c r="AS406" s="551"/>
      <c r="AT406" s="551"/>
      <c r="AU406" s="551"/>
      <c r="AV406" s="551"/>
      <c r="AW406" s="551"/>
      <c r="AX406" s="551"/>
      <c r="AY406" s="551"/>
      <c r="AZ406" s="551"/>
      <c r="BA406" s="551"/>
      <c r="BB406" s="551"/>
      <c r="BC406" s="551"/>
      <c r="BD406" s="551"/>
      <c r="BE406" s="551"/>
      <c r="BF406" s="551"/>
      <c r="BG406" s="551"/>
      <c r="BH406" s="551"/>
      <c r="BI406" s="551"/>
      <c r="BJ406" s="551"/>
    </row>
    <row r="407" spans="1:62" ht="12.75" customHeight="1">
      <c r="A407" s="551"/>
      <c r="B407" s="551"/>
      <c r="C407" s="551"/>
      <c r="D407" s="551"/>
      <c r="E407" s="551"/>
      <c r="F407" s="551"/>
      <c r="G407" s="551"/>
      <c r="H407" s="551"/>
      <c r="I407" s="551"/>
      <c r="J407" s="551"/>
      <c r="K407" s="551"/>
      <c r="L407" s="551"/>
      <c r="M407" s="551"/>
      <c r="N407" s="551"/>
      <c r="O407" s="551"/>
      <c r="P407" s="551"/>
      <c r="Q407" s="551"/>
      <c r="R407" s="551"/>
      <c r="S407" s="551"/>
      <c r="T407" s="551"/>
      <c r="U407" s="551"/>
      <c r="V407" s="551"/>
      <c r="W407" s="551"/>
      <c r="X407" s="551"/>
      <c r="Y407" s="551"/>
      <c r="Z407" s="551"/>
      <c r="AA407" s="551"/>
      <c r="AB407" s="551"/>
      <c r="AC407" s="551"/>
      <c r="AD407" s="551"/>
      <c r="AE407" s="551"/>
      <c r="AF407" s="551"/>
      <c r="AG407" s="551"/>
      <c r="AH407" s="551"/>
      <c r="AI407" s="551"/>
      <c r="AJ407" s="551"/>
      <c r="AK407" s="551"/>
      <c r="AL407" s="551"/>
      <c r="AM407" s="551"/>
      <c r="AN407" s="551"/>
      <c r="AO407" s="551"/>
      <c r="AP407" s="551"/>
      <c r="AQ407" s="551"/>
      <c r="AR407" s="551"/>
      <c r="AS407" s="551"/>
      <c r="AT407" s="551"/>
      <c r="AU407" s="551"/>
      <c r="AV407" s="551"/>
      <c r="AW407" s="551"/>
      <c r="AX407" s="551"/>
      <c r="AY407" s="551"/>
      <c r="AZ407" s="551"/>
      <c r="BA407" s="551"/>
      <c r="BB407" s="551"/>
      <c r="BC407" s="551"/>
      <c r="BD407" s="551"/>
      <c r="BE407" s="551"/>
      <c r="BF407" s="551"/>
      <c r="BG407" s="551"/>
      <c r="BH407" s="551"/>
      <c r="BI407" s="551"/>
      <c r="BJ407" s="551"/>
    </row>
    <row r="408" spans="1:62" ht="12.75" customHeight="1">
      <c r="A408" s="551"/>
      <c r="B408" s="551"/>
      <c r="C408" s="551"/>
      <c r="D408" s="551"/>
      <c r="E408" s="551"/>
      <c r="F408" s="551"/>
      <c r="G408" s="551"/>
      <c r="H408" s="551"/>
      <c r="I408" s="551"/>
      <c r="J408" s="551"/>
      <c r="K408" s="551"/>
      <c r="L408" s="551"/>
      <c r="M408" s="551"/>
      <c r="N408" s="551"/>
      <c r="O408" s="551"/>
      <c r="P408" s="551"/>
      <c r="Q408" s="551"/>
      <c r="R408" s="551"/>
      <c r="S408" s="551"/>
      <c r="T408" s="551"/>
      <c r="U408" s="551"/>
      <c r="V408" s="551"/>
      <c r="W408" s="551"/>
      <c r="X408" s="551"/>
      <c r="Y408" s="551"/>
      <c r="Z408" s="551"/>
      <c r="AA408" s="551"/>
      <c r="AB408" s="551"/>
      <c r="AC408" s="551"/>
      <c r="AD408" s="551"/>
      <c r="AE408" s="551"/>
      <c r="AF408" s="551"/>
      <c r="AG408" s="551"/>
      <c r="AH408" s="551"/>
      <c r="AI408" s="551"/>
      <c r="AJ408" s="551"/>
      <c r="AK408" s="551"/>
      <c r="AL408" s="551"/>
      <c r="AM408" s="551"/>
      <c r="AN408" s="551"/>
      <c r="AO408" s="551"/>
      <c r="AP408" s="551"/>
      <c r="AQ408" s="551"/>
      <c r="AR408" s="551"/>
      <c r="AS408" s="551"/>
      <c r="AT408" s="551"/>
      <c r="AU408" s="551"/>
      <c r="AV408" s="551"/>
      <c r="AW408" s="551"/>
      <c r="AX408" s="551"/>
      <c r="AY408" s="551"/>
      <c r="AZ408" s="551"/>
      <c r="BA408" s="551"/>
      <c r="BB408" s="551"/>
      <c r="BC408" s="551"/>
      <c r="BD408" s="551"/>
      <c r="BE408" s="551"/>
      <c r="BF408" s="551"/>
      <c r="BG408" s="551"/>
      <c r="BH408" s="551"/>
      <c r="BI408" s="551"/>
      <c r="BJ408" s="551"/>
    </row>
    <row r="409" spans="1:62" ht="12.75" customHeight="1">
      <c r="A409" s="551"/>
      <c r="B409" s="551"/>
      <c r="C409" s="551"/>
      <c r="D409" s="551"/>
      <c r="E409" s="551"/>
      <c r="F409" s="551"/>
      <c r="G409" s="551"/>
      <c r="H409" s="551"/>
      <c r="I409" s="551"/>
      <c r="J409" s="551"/>
      <c r="K409" s="551"/>
      <c r="L409" s="551"/>
      <c r="M409" s="551"/>
      <c r="N409" s="551"/>
      <c r="O409" s="551"/>
      <c r="P409" s="551"/>
      <c r="Q409" s="551"/>
      <c r="R409" s="551"/>
      <c r="S409" s="551"/>
      <c r="T409" s="551"/>
      <c r="U409" s="551"/>
      <c r="V409" s="551"/>
      <c r="W409" s="551"/>
      <c r="X409" s="551"/>
      <c r="Y409" s="551"/>
      <c r="Z409" s="551"/>
      <c r="AA409" s="551"/>
      <c r="AB409" s="551"/>
      <c r="AC409" s="551"/>
      <c r="AD409" s="551"/>
      <c r="AE409" s="551"/>
      <c r="AF409" s="551"/>
      <c r="AG409" s="551"/>
      <c r="AH409" s="551"/>
      <c r="AI409" s="551"/>
      <c r="AJ409" s="551"/>
      <c r="AK409" s="551"/>
      <c r="AL409" s="551"/>
      <c r="AM409" s="551"/>
      <c r="AN409" s="551"/>
      <c r="AO409" s="551"/>
      <c r="AP409" s="551"/>
      <c r="AQ409" s="551"/>
      <c r="AR409" s="551"/>
      <c r="AS409" s="551"/>
      <c r="AT409" s="551"/>
      <c r="AU409" s="551"/>
      <c r="AV409" s="551"/>
      <c r="AW409" s="551"/>
      <c r="AX409" s="551"/>
      <c r="AY409" s="551"/>
      <c r="AZ409" s="551"/>
      <c r="BA409" s="551"/>
      <c r="BB409" s="551"/>
      <c r="BC409" s="551"/>
      <c r="BD409" s="551"/>
      <c r="BE409" s="551"/>
      <c r="BF409" s="551"/>
      <c r="BG409" s="551"/>
      <c r="BH409" s="551"/>
      <c r="BI409" s="551"/>
      <c r="BJ409" s="551"/>
    </row>
    <row r="410" spans="1:62" ht="12.75" customHeight="1">
      <c r="A410" s="551"/>
      <c r="B410" s="551"/>
      <c r="C410" s="551"/>
      <c r="D410" s="551"/>
      <c r="E410" s="551"/>
      <c r="F410" s="551"/>
      <c r="G410" s="551"/>
      <c r="H410" s="551"/>
      <c r="I410" s="551"/>
      <c r="J410" s="551"/>
      <c r="K410" s="551"/>
      <c r="L410" s="551"/>
      <c r="M410" s="551"/>
      <c r="N410" s="551"/>
      <c r="O410" s="551"/>
      <c r="P410" s="551"/>
      <c r="Q410" s="551"/>
      <c r="R410" s="551"/>
      <c r="S410" s="551"/>
      <c r="T410" s="551"/>
      <c r="U410" s="551"/>
      <c r="V410" s="551"/>
      <c r="W410" s="551"/>
      <c r="X410" s="551"/>
      <c r="Y410" s="551"/>
      <c r="Z410" s="551"/>
      <c r="AA410" s="551"/>
      <c r="AB410" s="551"/>
      <c r="AC410" s="551"/>
      <c r="AD410" s="551"/>
      <c r="AE410" s="551"/>
      <c r="AF410" s="551"/>
      <c r="AG410" s="551"/>
      <c r="AH410" s="551"/>
      <c r="AI410" s="551"/>
      <c r="AJ410" s="551"/>
      <c r="AK410" s="551"/>
      <c r="AL410" s="551"/>
      <c r="AM410" s="551"/>
      <c r="AN410" s="551"/>
      <c r="AO410" s="551"/>
      <c r="AP410" s="551"/>
      <c r="AQ410" s="551"/>
      <c r="AR410" s="551"/>
      <c r="AS410" s="551"/>
      <c r="AT410" s="551"/>
      <c r="AU410" s="551"/>
      <c r="AV410" s="551"/>
      <c r="AW410" s="551"/>
      <c r="AX410" s="551"/>
      <c r="AY410" s="551"/>
      <c r="AZ410" s="551"/>
      <c r="BA410" s="551"/>
      <c r="BB410" s="551"/>
      <c r="BC410" s="551"/>
      <c r="BD410" s="551"/>
      <c r="BE410" s="551"/>
      <c r="BF410" s="551"/>
      <c r="BG410" s="551"/>
      <c r="BH410" s="551"/>
      <c r="BI410" s="551"/>
      <c r="BJ410" s="551"/>
    </row>
    <row r="411" spans="1:62" ht="12.75" customHeight="1">
      <c r="A411" s="551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1"/>
      <c r="P411" s="551"/>
      <c r="Q411" s="551"/>
      <c r="R411" s="551"/>
      <c r="S411" s="551"/>
      <c r="T411" s="551"/>
      <c r="U411" s="551"/>
      <c r="V411" s="551"/>
      <c r="W411" s="551"/>
      <c r="X411" s="551"/>
      <c r="Y411" s="551"/>
      <c r="Z411" s="551"/>
      <c r="AA411" s="551"/>
      <c r="AB411" s="551"/>
      <c r="AC411" s="551"/>
      <c r="AD411" s="551"/>
      <c r="AE411" s="551"/>
      <c r="AF411" s="551"/>
      <c r="AG411" s="551"/>
      <c r="AH411" s="551"/>
      <c r="AI411" s="551"/>
      <c r="AJ411" s="551"/>
      <c r="AK411" s="551"/>
      <c r="AL411" s="551"/>
      <c r="AM411" s="551"/>
      <c r="AN411" s="551"/>
      <c r="AO411" s="551"/>
      <c r="AP411" s="551"/>
      <c r="AQ411" s="551"/>
      <c r="AR411" s="551"/>
      <c r="AS411" s="551"/>
      <c r="AT411" s="551"/>
      <c r="AU411" s="551"/>
      <c r="AV411" s="551"/>
      <c r="AW411" s="551"/>
      <c r="AX411" s="551"/>
      <c r="AY411" s="551"/>
      <c r="AZ411" s="551"/>
      <c r="BA411" s="551"/>
      <c r="BB411" s="551"/>
      <c r="BC411" s="551"/>
      <c r="BD411" s="551"/>
      <c r="BE411" s="551"/>
      <c r="BF411" s="551"/>
      <c r="BG411" s="551"/>
      <c r="BH411" s="551"/>
      <c r="BI411" s="551"/>
      <c r="BJ411" s="551"/>
    </row>
    <row r="412" spans="1:62" ht="12.75" customHeight="1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1"/>
      <c r="P412" s="551"/>
      <c r="Q412" s="551"/>
      <c r="R412" s="551"/>
      <c r="S412" s="551"/>
      <c r="T412" s="551"/>
      <c r="U412" s="551"/>
      <c r="V412" s="551"/>
      <c r="W412" s="551"/>
      <c r="X412" s="551"/>
      <c r="Y412" s="551"/>
      <c r="Z412" s="551"/>
      <c r="AA412" s="551"/>
      <c r="AB412" s="551"/>
      <c r="AC412" s="551"/>
      <c r="AD412" s="551"/>
      <c r="AE412" s="551"/>
      <c r="AF412" s="551"/>
      <c r="AG412" s="551"/>
      <c r="AH412" s="551"/>
      <c r="AI412" s="551"/>
      <c r="AJ412" s="551"/>
      <c r="AK412" s="551"/>
      <c r="AL412" s="551"/>
      <c r="AM412" s="551"/>
      <c r="AN412" s="551"/>
      <c r="AO412" s="551"/>
      <c r="AP412" s="551"/>
      <c r="AQ412" s="551"/>
      <c r="AR412" s="551"/>
      <c r="AS412" s="551"/>
      <c r="AT412" s="551"/>
      <c r="AU412" s="551"/>
      <c r="AV412" s="551"/>
      <c r="AW412" s="551"/>
      <c r="AX412" s="551"/>
      <c r="AY412" s="551"/>
      <c r="AZ412" s="551"/>
      <c r="BA412" s="551"/>
      <c r="BB412" s="551"/>
      <c r="BC412" s="551"/>
      <c r="BD412" s="551"/>
      <c r="BE412" s="551"/>
      <c r="BF412" s="551"/>
      <c r="BG412" s="551"/>
      <c r="BH412" s="551"/>
      <c r="BI412" s="551"/>
      <c r="BJ412" s="551"/>
    </row>
    <row r="413" spans="1:62" ht="12.75" customHeight="1">
      <c r="A413" s="551"/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51"/>
      <c r="AB413" s="551"/>
      <c r="AC413" s="551"/>
      <c r="AD413" s="551"/>
      <c r="AE413" s="551"/>
      <c r="AF413" s="551"/>
      <c r="AG413" s="551"/>
      <c r="AH413" s="551"/>
      <c r="AI413" s="551"/>
      <c r="AJ413" s="551"/>
      <c r="AK413" s="551"/>
      <c r="AL413" s="551"/>
      <c r="AM413" s="551"/>
      <c r="AN413" s="551"/>
      <c r="AO413" s="551"/>
      <c r="AP413" s="551"/>
      <c r="AQ413" s="551"/>
      <c r="AR413" s="551"/>
      <c r="AS413" s="551"/>
      <c r="AT413" s="551"/>
      <c r="AU413" s="551"/>
      <c r="AV413" s="551"/>
      <c r="AW413" s="551"/>
      <c r="AX413" s="551"/>
      <c r="AY413" s="551"/>
      <c r="AZ413" s="551"/>
      <c r="BA413" s="551"/>
      <c r="BB413" s="551"/>
      <c r="BC413" s="551"/>
      <c r="BD413" s="551"/>
      <c r="BE413" s="551"/>
      <c r="BF413" s="551"/>
      <c r="BG413" s="551"/>
      <c r="BH413" s="551"/>
      <c r="BI413" s="551"/>
      <c r="BJ413" s="551"/>
    </row>
    <row r="414" spans="1:62" ht="12.75" customHeight="1">
      <c r="A414" s="551"/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51"/>
      <c r="AB414" s="551"/>
      <c r="AC414" s="551"/>
      <c r="AD414" s="551"/>
      <c r="AE414" s="551"/>
      <c r="AF414" s="551"/>
      <c r="AG414" s="551"/>
      <c r="AH414" s="551"/>
      <c r="AI414" s="551"/>
      <c r="AJ414" s="551"/>
      <c r="AK414" s="551"/>
      <c r="AL414" s="551"/>
      <c r="AM414" s="551"/>
      <c r="AN414" s="551"/>
      <c r="AO414" s="551"/>
      <c r="AP414" s="551"/>
      <c r="AQ414" s="551"/>
      <c r="AR414" s="551"/>
      <c r="AS414" s="551"/>
      <c r="AT414" s="551"/>
      <c r="AU414" s="551"/>
      <c r="AV414" s="551"/>
      <c r="AW414" s="551"/>
      <c r="AX414" s="551"/>
      <c r="AY414" s="551"/>
      <c r="AZ414" s="551"/>
      <c r="BA414" s="551"/>
      <c r="BB414" s="551"/>
      <c r="BC414" s="551"/>
      <c r="BD414" s="551"/>
      <c r="BE414" s="551"/>
      <c r="BF414" s="551"/>
      <c r="BG414" s="551"/>
      <c r="BH414" s="551"/>
      <c r="BI414" s="551"/>
      <c r="BJ414" s="551"/>
    </row>
    <row r="415" spans="1:62" ht="12.75" customHeight="1">
      <c r="A415" s="551"/>
      <c r="B415" s="551"/>
      <c r="C415" s="551"/>
      <c r="D415" s="551"/>
      <c r="E415" s="551"/>
      <c r="F415" s="551"/>
      <c r="G415" s="551"/>
      <c r="H415" s="551"/>
      <c r="I415" s="551"/>
      <c r="J415" s="551"/>
      <c r="K415" s="551"/>
      <c r="L415" s="551"/>
      <c r="M415" s="551"/>
      <c r="N415" s="551"/>
      <c r="O415" s="551"/>
      <c r="P415" s="551"/>
      <c r="Q415" s="551"/>
      <c r="R415" s="551"/>
      <c r="S415" s="551"/>
      <c r="T415" s="551"/>
      <c r="U415" s="551"/>
      <c r="V415" s="551"/>
      <c r="W415" s="551"/>
      <c r="X415" s="551"/>
      <c r="Y415" s="551"/>
      <c r="Z415" s="551"/>
      <c r="AA415" s="551"/>
      <c r="AB415" s="551"/>
      <c r="AC415" s="551"/>
      <c r="AD415" s="551"/>
      <c r="AE415" s="551"/>
      <c r="AF415" s="551"/>
      <c r="AG415" s="551"/>
      <c r="AH415" s="551"/>
      <c r="AI415" s="551"/>
      <c r="AJ415" s="551"/>
      <c r="AK415" s="551"/>
      <c r="AL415" s="551"/>
      <c r="AM415" s="551"/>
      <c r="AN415" s="551"/>
      <c r="AO415" s="551"/>
      <c r="AP415" s="551"/>
      <c r="AQ415" s="551"/>
      <c r="AR415" s="551"/>
      <c r="AS415" s="551"/>
      <c r="AT415" s="551"/>
      <c r="AU415" s="551"/>
      <c r="AV415" s="551"/>
      <c r="AW415" s="551"/>
      <c r="AX415" s="551"/>
      <c r="AY415" s="551"/>
      <c r="AZ415" s="551"/>
      <c r="BA415" s="551"/>
      <c r="BB415" s="551"/>
      <c r="BC415" s="551"/>
      <c r="BD415" s="551"/>
      <c r="BE415" s="551"/>
      <c r="BF415" s="551"/>
      <c r="BG415" s="551"/>
      <c r="BH415" s="551"/>
      <c r="BI415" s="551"/>
      <c r="BJ415" s="551"/>
    </row>
    <row r="416" spans="1:62" ht="12.75" customHeight="1">
      <c r="A416" s="551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1"/>
      <c r="P416" s="551"/>
      <c r="Q416" s="551"/>
      <c r="R416" s="551"/>
      <c r="S416" s="551"/>
      <c r="T416" s="551"/>
      <c r="U416" s="551"/>
      <c r="V416" s="551"/>
      <c r="W416" s="551"/>
      <c r="X416" s="551"/>
      <c r="Y416" s="551"/>
      <c r="Z416" s="551"/>
      <c r="AA416" s="551"/>
      <c r="AB416" s="551"/>
      <c r="AC416" s="551"/>
      <c r="AD416" s="551"/>
      <c r="AE416" s="551"/>
      <c r="AF416" s="551"/>
      <c r="AG416" s="551"/>
      <c r="AH416" s="551"/>
      <c r="AI416" s="551"/>
      <c r="AJ416" s="551"/>
      <c r="AK416" s="551"/>
      <c r="AL416" s="551"/>
      <c r="AM416" s="551"/>
      <c r="AN416" s="551"/>
      <c r="AO416" s="551"/>
      <c r="AP416" s="551"/>
      <c r="AQ416" s="551"/>
      <c r="AR416" s="551"/>
      <c r="AS416" s="551"/>
      <c r="AT416" s="551"/>
      <c r="AU416" s="551"/>
      <c r="AV416" s="551"/>
      <c r="AW416" s="551"/>
      <c r="AX416" s="551"/>
      <c r="AY416" s="551"/>
      <c r="AZ416" s="551"/>
      <c r="BA416" s="551"/>
      <c r="BB416" s="551"/>
      <c r="BC416" s="551"/>
      <c r="BD416" s="551"/>
      <c r="BE416" s="551"/>
      <c r="BF416" s="551"/>
      <c r="BG416" s="551"/>
      <c r="BH416" s="551"/>
      <c r="BI416" s="551"/>
      <c r="BJ416" s="551"/>
    </row>
    <row r="417" spans="1:62" ht="12.75" customHeight="1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1"/>
      <c r="P417" s="551"/>
      <c r="Q417" s="551"/>
      <c r="R417" s="551"/>
      <c r="S417" s="551"/>
      <c r="T417" s="551"/>
      <c r="U417" s="551"/>
      <c r="V417" s="551"/>
      <c r="W417" s="551"/>
      <c r="X417" s="551"/>
      <c r="Y417" s="551"/>
      <c r="Z417" s="551"/>
      <c r="AA417" s="551"/>
      <c r="AB417" s="551"/>
      <c r="AC417" s="551"/>
      <c r="AD417" s="551"/>
      <c r="AE417" s="551"/>
      <c r="AF417" s="551"/>
      <c r="AG417" s="551"/>
      <c r="AH417" s="551"/>
      <c r="AI417" s="551"/>
      <c r="AJ417" s="551"/>
      <c r="AK417" s="551"/>
      <c r="AL417" s="551"/>
      <c r="AM417" s="551"/>
      <c r="AN417" s="551"/>
      <c r="AO417" s="551"/>
      <c r="AP417" s="551"/>
      <c r="AQ417" s="551"/>
      <c r="AR417" s="551"/>
      <c r="AS417" s="551"/>
      <c r="AT417" s="551"/>
      <c r="AU417" s="551"/>
      <c r="AV417" s="551"/>
      <c r="AW417" s="551"/>
      <c r="AX417" s="551"/>
      <c r="AY417" s="551"/>
      <c r="AZ417" s="551"/>
      <c r="BA417" s="551"/>
      <c r="BB417" s="551"/>
      <c r="BC417" s="551"/>
      <c r="BD417" s="551"/>
      <c r="BE417" s="551"/>
      <c r="BF417" s="551"/>
      <c r="BG417" s="551"/>
      <c r="BH417" s="551"/>
      <c r="BI417" s="551"/>
      <c r="BJ417" s="551"/>
    </row>
    <row r="418" spans="1:62" ht="12.75" customHeight="1">
      <c r="A418" s="551"/>
      <c r="B418" s="551"/>
      <c r="C418" s="551"/>
      <c r="D418" s="551"/>
      <c r="E418" s="551"/>
      <c r="F418" s="551"/>
      <c r="G418" s="551"/>
      <c r="H418" s="551"/>
      <c r="I418" s="551"/>
      <c r="J418" s="551"/>
      <c r="K418" s="551"/>
      <c r="L418" s="551"/>
      <c r="M418" s="551"/>
      <c r="N418" s="551"/>
      <c r="O418" s="551"/>
      <c r="P418" s="551"/>
      <c r="Q418" s="551"/>
      <c r="R418" s="551"/>
      <c r="S418" s="551"/>
      <c r="T418" s="551"/>
      <c r="U418" s="551"/>
      <c r="V418" s="551"/>
      <c r="W418" s="551"/>
      <c r="X418" s="551"/>
      <c r="Y418" s="551"/>
      <c r="Z418" s="551"/>
      <c r="AA418" s="551"/>
      <c r="AB418" s="551"/>
      <c r="AC418" s="551"/>
      <c r="AD418" s="551"/>
      <c r="AE418" s="551"/>
      <c r="AF418" s="551"/>
      <c r="AG418" s="551"/>
      <c r="AH418" s="551"/>
      <c r="AI418" s="551"/>
      <c r="AJ418" s="551"/>
      <c r="AK418" s="551"/>
      <c r="AL418" s="551"/>
      <c r="AM418" s="551"/>
      <c r="AN418" s="551"/>
      <c r="AO418" s="551"/>
      <c r="AP418" s="551"/>
      <c r="AQ418" s="551"/>
      <c r="AR418" s="551"/>
      <c r="AS418" s="551"/>
      <c r="AT418" s="551"/>
      <c r="AU418" s="551"/>
      <c r="AV418" s="551"/>
      <c r="AW418" s="551"/>
      <c r="AX418" s="551"/>
      <c r="AY418" s="551"/>
      <c r="AZ418" s="551"/>
      <c r="BA418" s="551"/>
      <c r="BB418" s="551"/>
      <c r="BC418" s="551"/>
      <c r="BD418" s="551"/>
      <c r="BE418" s="551"/>
      <c r="BF418" s="551"/>
      <c r="BG418" s="551"/>
      <c r="BH418" s="551"/>
      <c r="BI418" s="551"/>
      <c r="BJ418" s="551"/>
    </row>
    <row r="419" spans="1:62" ht="12.75" customHeight="1">
      <c r="A419" s="551"/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51"/>
      <c r="AB419" s="551"/>
      <c r="AC419" s="551"/>
      <c r="AD419" s="551"/>
      <c r="AE419" s="551"/>
      <c r="AF419" s="551"/>
      <c r="AG419" s="551"/>
      <c r="AH419" s="551"/>
      <c r="AI419" s="551"/>
      <c r="AJ419" s="551"/>
      <c r="AK419" s="551"/>
      <c r="AL419" s="551"/>
      <c r="AM419" s="551"/>
      <c r="AN419" s="551"/>
      <c r="AO419" s="551"/>
      <c r="AP419" s="551"/>
      <c r="AQ419" s="551"/>
      <c r="AR419" s="551"/>
      <c r="AS419" s="551"/>
      <c r="AT419" s="551"/>
      <c r="AU419" s="551"/>
      <c r="AV419" s="551"/>
      <c r="AW419" s="551"/>
      <c r="AX419" s="551"/>
      <c r="AY419" s="551"/>
      <c r="AZ419" s="551"/>
      <c r="BA419" s="551"/>
      <c r="BB419" s="551"/>
      <c r="BC419" s="551"/>
      <c r="BD419" s="551"/>
      <c r="BE419" s="551"/>
      <c r="BF419" s="551"/>
      <c r="BG419" s="551"/>
      <c r="BH419" s="551"/>
      <c r="BI419" s="551"/>
      <c r="BJ419" s="551"/>
    </row>
    <row r="420" spans="1:62" ht="12.75" customHeight="1">
      <c r="A420" s="551"/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51"/>
      <c r="AB420" s="551"/>
      <c r="AC420" s="551"/>
      <c r="AD420" s="551"/>
      <c r="AE420" s="551"/>
      <c r="AF420" s="551"/>
      <c r="AG420" s="551"/>
      <c r="AH420" s="551"/>
      <c r="AI420" s="551"/>
      <c r="AJ420" s="551"/>
      <c r="AK420" s="551"/>
      <c r="AL420" s="551"/>
      <c r="AM420" s="551"/>
      <c r="AN420" s="551"/>
      <c r="AO420" s="551"/>
      <c r="AP420" s="551"/>
      <c r="AQ420" s="551"/>
      <c r="AR420" s="551"/>
      <c r="AS420" s="551"/>
      <c r="AT420" s="551"/>
      <c r="AU420" s="551"/>
      <c r="AV420" s="551"/>
      <c r="AW420" s="551"/>
      <c r="AX420" s="551"/>
      <c r="AY420" s="551"/>
      <c r="AZ420" s="551"/>
      <c r="BA420" s="551"/>
      <c r="BB420" s="551"/>
      <c r="BC420" s="551"/>
      <c r="BD420" s="551"/>
      <c r="BE420" s="551"/>
      <c r="BF420" s="551"/>
      <c r="BG420" s="551"/>
      <c r="BH420" s="551"/>
      <c r="BI420" s="551"/>
      <c r="BJ420" s="551"/>
    </row>
    <row r="421" spans="1:62" ht="12.75" customHeight="1">
      <c r="A421" s="551"/>
      <c r="B421" s="551"/>
      <c r="C421" s="551"/>
      <c r="D421" s="551"/>
      <c r="E421" s="551"/>
      <c r="F421" s="551"/>
      <c r="G421" s="551"/>
      <c r="H421" s="551"/>
      <c r="I421" s="551"/>
      <c r="J421" s="551"/>
      <c r="K421" s="551"/>
      <c r="L421" s="551"/>
      <c r="M421" s="551"/>
      <c r="N421" s="551"/>
      <c r="O421" s="551"/>
      <c r="P421" s="551"/>
      <c r="Q421" s="551"/>
      <c r="R421" s="551"/>
      <c r="S421" s="551"/>
      <c r="T421" s="551"/>
      <c r="U421" s="551"/>
      <c r="V421" s="551"/>
      <c r="W421" s="551"/>
      <c r="X421" s="551"/>
      <c r="Y421" s="551"/>
      <c r="Z421" s="551"/>
      <c r="AA421" s="551"/>
      <c r="AB421" s="551"/>
      <c r="AC421" s="551"/>
      <c r="AD421" s="551"/>
      <c r="AE421" s="551"/>
      <c r="AF421" s="551"/>
      <c r="AG421" s="551"/>
      <c r="AH421" s="551"/>
      <c r="AI421" s="551"/>
      <c r="AJ421" s="551"/>
      <c r="AK421" s="551"/>
      <c r="AL421" s="551"/>
      <c r="AM421" s="551"/>
      <c r="AN421" s="551"/>
      <c r="AO421" s="551"/>
      <c r="AP421" s="551"/>
      <c r="AQ421" s="551"/>
      <c r="AR421" s="551"/>
      <c r="AS421" s="551"/>
      <c r="AT421" s="551"/>
      <c r="AU421" s="551"/>
      <c r="AV421" s="551"/>
      <c r="AW421" s="551"/>
      <c r="AX421" s="551"/>
      <c r="AY421" s="551"/>
      <c r="AZ421" s="551"/>
      <c r="BA421" s="551"/>
      <c r="BB421" s="551"/>
      <c r="BC421" s="551"/>
      <c r="BD421" s="551"/>
      <c r="BE421" s="551"/>
      <c r="BF421" s="551"/>
      <c r="BG421" s="551"/>
      <c r="BH421" s="551"/>
      <c r="BI421" s="551"/>
      <c r="BJ421" s="551"/>
    </row>
    <row r="422" spans="1:62" ht="12.75" customHeight="1">
      <c r="A422" s="551"/>
      <c r="B422" s="551"/>
      <c r="C422" s="551"/>
      <c r="D422" s="551"/>
      <c r="E422" s="551"/>
      <c r="F422" s="551"/>
      <c r="G422" s="551"/>
      <c r="H422" s="551"/>
      <c r="I422" s="551"/>
      <c r="J422" s="551"/>
      <c r="K422" s="551"/>
      <c r="L422" s="551"/>
      <c r="M422" s="551"/>
      <c r="N422" s="551"/>
      <c r="O422" s="551"/>
      <c r="P422" s="551"/>
      <c r="Q422" s="551"/>
      <c r="R422" s="551"/>
      <c r="S422" s="551"/>
      <c r="T422" s="551"/>
      <c r="U422" s="551"/>
      <c r="V422" s="551"/>
      <c r="W422" s="551"/>
      <c r="X422" s="551"/>
      <c r="Y422" s="551"/>
      <c r="Z422" s="551"/>
      <c r="AA422" s="551"/>
      <c r="AB422" s="551"/>
      <c r="AC422" s="551"/>
      <c r="AD422" s="551"/>
      <c r="AE422" s="551"/>
      <c r="AF422" s="551"/>
      <c r="AG422" s="551"/>
      <c r="AH422" s="551"/>
      <c r="AI422" s="551"/>
      <c r="AJ422" s="551"/>
      <c r="AK422" s="551"/>
      <c r="AL422" s="551"/>
      <c r="AM422" s="551"/>
      <c r="AN422" s="551"/>
      <c r="AO422" s="551"/>
      <c r="AP422" s="551"/>
      <c r="AQ422" s="551"/>
      <c r="AR422" s="551"/>
      <c r="AS422" s="551"/>
      <c r="AT422" s="551"/>
      <c r="AU422" s="551"/>
      <c r="AV422" s="551"/>
      <c r="AW422" s="551"/>
      <c r="AX422" s="551"/>
      <c r="AY422" s="551"/>
      <c r="AZ422" s="551"/>
      <c r="BA422" s="551"/>
      <c r="BB422" s="551"/>
      <c r="BC422" s="551"/>
      <c r="BD422" s="551"/>
      <c r="BE422" s="551"/>
      <c r="BF422" s="551"/>
      <c r="BG422" s="551"/>
      <c r="BH422" s="551"/>
      <c r="BI422" s="551"/>
      <c r="BJ422" s="551"/>
    </row>
    <row r="423" spans="1:62" ht="12.75" customHeight="1">
      <c r="A423" s="551"/>
      <c r="B423" s="551"/>
      <c r="C423" s="551"/>
      <c r="D423" s="551"/>
      <c r="E423" s="551"/>
      <c r="F423" s="551"/>
      <c r="G423" s="551"/>
      <c r="H423" s="551"/>
      <c r="I423" s="551"/>
      <c r="J423" s="551"/>
      <c r="K423" s="551"/>
      <c r="L423" s="551"/>
      <c r="M423" s="551"/>
      <c r="N423" s="551"/>
      <c r="O423" s="551"/>
      <c r="P423" s="551"/>
      <c r="Q423" s="551"/>
      <c r="R423" s="551"/>
      <c r="S423" s="551"/>
      <c r="T423" s="551"/>
      <c r="U423" s="551"/>
      <c r="V423" s="551"/>
      <c r="W423" s="551"/>
      <c r="X423" s="551"/>
      <c r="Y423" s="551"/>
      <c r="Z423" s="551"/>
      <c r="AA423" s="551"/>
      <c r="AB423" s="551"/>
      <c r="AC423" s="551"/>
      <c r="AD423" s="551"/>
      <c r="AE423" s="551"/>
      <c r="AF423" s="551"/>
      <c r="AG423" s="551"/>
      <c r="AH423" s="551"/>
      <c r="AI423" s="551"/>
      <c r="AJ423" s="551"/>
      <c r="AK423" s="551"/>
      <c r="AL423" s="551"/>
      <c r="AM423" s="551"/>
      <c r="AN423" s="551"/>
      <c r="AO423" s="551"/>
      <c r="AP423" s="551"/>
      <c r="AQ423" s="551"/>
      <c r="AR423" s="551"/>
      <c r="AS423" s="551"/>
      <c r="AT423" s="551"/>
      <c r="AU423" s="551"/>
      <c r="AV423" s="551"/>
      <c r="AW423" s="551"/>
      <c r="AX423" s="551"/>
      <c r="AY423" s="551"/>
      <c r="AZ423" s="551"/>
      <c r="BA423" s="551"/>
      <c r="BB423" s="551"/>
      <c r="BC423" s="551"/>
      <c r="BD423" s="551"/>
      <c r="BE423" s="551"/>
      <c r="BF423" s="551"/>
      <c r="BG423" s="551"/>
      <c r="BH423" s="551"/>
      <c r="BI423" s="551"/>
      <c r="BJ423" s="551"/>
    </row>
    <row r="424" spans="1:62" ht="12.75" customHeight="1">
      <c r="A424" s="551"/>
      <c r="B424" s="551"/>
      <c r="C424" s="551"/>
      <c r="D424" s="551"/>
      <c r="E424" s="551"/>
      <c r="F424" s="551"/>
      <c r="G424" s="551"/>
      <c r="H424" s="551"/>
      <c r="I424" s="551"/>
      <c r="J424" s="551"/>
      <c r="K424" s="551"/>
      <c r="L424" s="551"/>
      <c r="M424" s="551"/>
      <c r="N424" s="551"/>
      <c r="O424" s="551"/>
      <c r="P424" s="551"/>
      <c r="Q424" s="551"/>
      <c r="R424" s="551"/>
      <c r="S424" s="551"/>
      <c r="T424" s="551"/>
      <c r="U424" s="551"/>
      <c r="V424" s="551"/>
      <c r="W424" s="551"/>
      <c r="X424" s="551"/>
      <c r="Y424" s="551"/>
      <c r="Z424" s="551"/>
      <c r="AA424" s="551"/>
      <c r="AB424" s="551"/>
      <c r="AC424" s="551"/>
      <c r="AD424" s="551"/>
      <c r="AE424" s="551"/>
      <c r="AF424" s="551"/>
      <c r="AG424" s="551"/>
      <c r="AH424" s="551"/>
      <c r="AI424" s="551"/>
      <c r="AJ424" s="551"/>
      <c r="AK424" s="551"/>
      <c r="AL424" s="551"/>
      <c r="AM424" s="551"/>
      <c r="AN424" s="551"/>
      <c r="AO424" s="551"/>
      <c r="AP424" s="551"/>
      <c r="AQ424" s="551"/>
      <c r="AR424" s="551"/>
      <c r="AS424" s="551"/>
      <c r="AT424" s="551"/>
      <c r="AU424" s="551"/>
      <c r="AV424" s="551"/>
      <c r="AW424" s="551"/>
      <c r="AX424" s="551"/>
      <c r="AY424" s="551"/>
      <c r="AZ424" s="551"/>
      <c r="BA424" s="551"/>
      <c r="BB424" s="551"/>
      <c r="BC424" s="551"/>
      <c r="BD424" s="551"/>
      <c r="BE424" s="551"/>
      <c r="BF424" s="551"/>
      <c r="BG424" s="551"/>
      <c r="BH424" s="551"/>
      <c r="BI424" s="551"/>
      <c r="BJ424" s="551"/>
    </row>
    <row r="425" spans="1:62" ht="12.75" customHeight="1">
      <c r="A425" s="551"/>
      <c r="B425" s="551"/>
      <c r="C425" s="551"/>
      <c r="D425" s="551"/>
      <c r="E425" s="551"/>
      <c r="F425" s="551"/>
      <c r="G425" s="551"/>
      <c r="H425" s="551"/>
      <c r="I425" s="551"/>
      <c r="J425" s="551"/>
      <c r="K425" s="551"/>
      <c r="L425" s="551"/>
      <c r="M425" s="551"/>
      <c r="N425" s="551"/>
      <c r="O425" s="551"/>
      <c r="P425" s="551"/>
      <c r="Q425" s="551"/>
      <c r="R425" s="551"/>
      <c r="S425" s="551"/>
      <c r="T425" s="551"/>
      <c r="U425" s="551"/>
      <c r="V425" s="551"/>
      <c r="W425" s="551"/>
      <c r="X425" s="551"/>
      <c r="Y425" s="551"/>
      <c r="Z425" s="551"/>
      <c r="AA425" s="551"/>
      <c r="AB425" s="551"/>
      <c r="AC425" s="551"/>
      <c r="AD425" s="551"/>
      <c r="AE425" s="551"/>
      <c r="AF425" s="551"/>
      <c r="AG425" s="551"/>
      <c r="AH425" s="551"/>
      <c r="AI425" s="551"/>
      <c r="AJ425" s="551"/>
      <c r="AK425" s="551"/>
      <c r="AL425" s="551"/>
      <c r="AM425" s="551"/>
      <c r="AN425" s="551"/>
      <c r="AO425" s="551"/>
      <c r="AP425" s="551"/>
      <c r="AQ425" s="551"/>
      <c r="AR425" s="551"/>
      <c r="AS425" s="551"/>
      <c r="AT425" s="551"/>
      <c r="AU425" s="551"/>
      <c r="AV425" s="551"/>
      <c r="AW425" s="551"/>
      <c r="AX425" s="551"/>
      <c r="AY425" s="551"/>
      <c r="AZ425" s="551"/>
      <c r="BA425" s="551"/>
      <c r="BB425" s="551"/>
      <c r="BC425" s="551"/>
      <c r="BD425" s="551"/>
      <c r="BE425" s="551"/>
      <c r="BF425" s="551"/>
      <c r="BG425" s="551"/>
      <c r="BH425" s="551"/>
      <c r="BI425" s="551"/>
      <c r="BJ425" s="551"/>
    </row>
    <row r="426" spans="1:62" ht="12.75" customHeight="1">
      <c r="A426" s="551"/>
      <c r="B426" s="551"/>
      <c r="C426" s="551"/>
      <c r="D426" s="551"/>
      <c r="E426" s="551"/>
      <c r="F426" s="551"/>
      <c r="G426" s="551"/>
      <c r="H426" s="551"/>
      <c r="I426" s="551"/>
      <c r="J426" s="551"/>
      <c r="K426" s="551"/>
      <c r="L426" s="551"/>
      <c r="M426" s="551"/>
      <c r="N426" s="551"/>
      <c r="O426" s="551"/>
      <c r="P426" s="551"/>
      <c r="Q426" s="551"/>
      <c r="R426" s="551"/>
      <c r="S426" s="551"/>
      <c r="T426" s="551"/>
      <c r="U426" s="551"/>
      <c r="V426" s="551"/>
      <c r="W426" s="551"/>
      <c r="X426" s="551"/>
      <c r="Y426" s="551"/>
      <c r="Z426" s="551"/>
      <c r="AA426" s="551"/>
      <c r="AB426" s="551"/>
      <c r="AC426" s="551"/>
      <c r="AD426" s="551"/>
      <c r="AE426" s="551"/>
      <c r="AF426" s="551"/>
      <c r="AG426" s="551"/>
      <c r="AH426" s="551"/>
      <c r="AI426" s="551"/>
      <c r="AJ426" s="551"/>
      <c r="AK426" s="551"/>
      <c r="AL426" s="551"/>
      <c r="AM426" s="551"/>
      <c r="AN426" s="551"/>
      <c r="AO426" s="551"/>
      <c r="AP426" s="551"/>
      <c r="AQ426" s="551"/>
      <c r="AR426" s="551"/>
      <c r="AS426" s="551"/>
      <c r="AT426" s="551"/>
      <c r="AU426" s="551"/>
      <c r="AV426" s="551"/>
      <c r="AW426" s="551"/>
      <c r="AX426" s="551"/>
      <c r="AY426" s="551"/>
      <c r="AZ426" s="551"/>
      <c r="BA426" s="551"/>
      <c r="BB426" s="551"/>
      <c r="BC426" s="551"/>
      <c r="BD426" s="551"/>
      <c r="BE426" s="551"/>
      <c r="BF426" s="551"/>
      <c r="BG426" s="551"/>
      <c r="BH426" s="551"/>
      <c r="BI426" s="551"/>
      <c r="BJ426" s="551"/>
    </row>
    <row r="427" spans="1:62" ht="12.75" customHeight="1">
      <c r="A427" s="551"/>
      <c r="B427" s="551"/>
      <c r="C427" s="551"/>
      <c r="D427" s="551"/>
      <c r="E427" s="551"/>
      <c r="F427" s="551"/>
      <c r="G427" s="551"/>
      <c r="H427" s="551"/>
      <c r="I427" s="551"/>
      <c r="J427" s="551"/>
      <c r="K427" s="551"/>
      <c r="L427" s="551"/>
      <c r="M427" s="551"/>
      <c r="N427" s="551"/>
      <c r="O427" s="551"/>
      <c r="P427" s="551"/>
      <c r="Q427" s="551"/>
      <c r="R427" s="551"/>
      <c r="S427" s="551"/>
      <c r="T427" s="551"/>
      <c r="U427" s="551"/>
      <c r="V427" s="551"/>
      <c r="W427" s="551"/>
      <c r="X427" s="551"/>
      <c r="Y427" s="551"/>
      <c r="Z427" s="551"/>
      <c r="AA427" s="551"/>
      <c r="AB427" s="551"/>
      <c r="AC427" s="551"/>
      <c r="AD427" s="551"/>
      <c r="AE427" s="551"/>
      <c r="AF427" s="551"/>
      <c r="AG427" s="551"/>
      <c r="AH427" s="551"/>
      <c r="AI427" s="551"/>
      <c r="AJ427" s="551"/>
      <c r="AK427" s="551"/>
      <c r="AL427" s="551"/>
      <c r="AM427" s="551"/>
      <c r="AN427" s="551"/>
      <c r="AO427" s="551"/>
      <c r="AP427" s="551"/>
      <c r="AQ427" s="551"/>
      <c r="AR427" s="551"/>
      <c r="AS427" s="551"/>
      <c r="AT427" s="551"/>
      <c r="AU427" s="551"/>
      <c r="AV427" s="551"/>
      <c r="AW427" s="551"/>
      <c r="AX427" s="551"/>
      <c r="AY427" s="551"/>
      <c r="AZ427" s="551"/>
      <c r="BA427" s="551"/>
      <c r="BB427" s="551"/>
      <c r="BC427" s="551"/>
      <c r="BD427" s="551"/>
      <c r="BE427" s="551"/>
      <c r="BF427" s="551"/>
      <c r="BG427" s="551"/>
      <c r="BH427" s="551"/>
      <c r="BI427" s="551"/>
      <c r="BJ427" s="551"/>
    </row>
    <row r="428" spans="1:62" ht="12.75" customHeight="1">
      <c r="A428" s="551"/>
      <c r="B428" s="551"/>
      <c r="C428" s="551"/>
      <c r="D428" s="551"/>
      <c r="E428" s="551"/>
      <c r="F428" s="551"/>
      <c r="G428" s="551"/>
      <c r="H428" s="551"/>
      <c r="I428" s="551"/>
      <c r="J428" s="551"/>
      <c r="K428" s="551"/>
      <c r="L428" s="551"/>
      <c r="M428" s="551"/>
      <c r="N428" s="551"/>
      <c r="O428" s="551"/>
      <c r="P428" s="551"/>
      <c r="Q428" s="551"/>
      <c r="R428" s="551"/>
      <c r="S428" s="551"/>
      <c r="T428" s="551"/>
      <c r="U428" s="551"/>
      <c r="V428" s="551"/>
      <c r="W428" s="551"/>
      <c r="X428" s="551"/>
      <c r="Y428" s="551"/>
      <c r="Z428" s="551"/>
      <c r="AA428" s="551"/>
      <c r="AB428" s="551"/>
      <c r="AC428" s="551"/>
      <c r="AD428" s="551"/>
      <c r="AE428" s="551"/>
      <c r="AF428" s="551"/>
      <c r="AG428" s="551"/>
      <c r="AH428" s="551"/>
      <c r="AI428" s="551"/>
      <c r="AJ428" s="551"/>
      <c r="AK428" s="551"/>
      <c r="AL428" s="551"/>
      <c r="AM428" s="551"/>
      <c r="AN428" s="551"/>
      <c r="AO428" s="551"/>
      <c r="AP428" s="551"/>
      <c r="AQ428" s="551"/>
      <c r="AR428" s="551"/>
      <c r="AS428" s="551"/>
      <c r="AT428" s="551"/>
      <c r="AU428" s="551"/>
      <c r="AV428" s="551"/>
      <c r="AW428" s="551"/>
      <c r="AX428" s="551"/>
      <c r="AY428" s="551"/>
      <c r="AZ428" s="551"/>
      <c r="BA428" s="551"/>
      <c r="BB428" s="551"/>
      <c r="BC428" s="551"/>
      <c r="BD428" s="551"/>
      <c r="BE428" s="551"/>
      <c r="BF428" s="551"/>
      <c r="BG428" s="551"/>
      <c r="BH428" s="551"/>
      <c r="BI428" s="551"/>
      <c r="BJ428" s="551"/>
    </row>
    <row r="429" spans="1:62" ht="12.75" customHeight="1">
      <c r="A429" s="551"/>
      <c r="B429" s="551"/>
      <c r="C429" s="551"/>
      <c r="D429" s="551"/>
      <c r="E429" s="551"/>
      <c r="F429" s="551"/>
      <c r="G429" s="551"/>
      <c r="H429" s="551"/>
      <c r="I429" s="551"/>
      <c r="J429" s="551"/>
      <c r="K429" s="551"/>
      <c r="L429" s="551"/>
      <c r="M429" s="551"/>
      <c r="N429" s="551"/>
      <c r="O429" s="551"/>
      <c r="P429" s="551"/>
      <c r="Q429" s="551"/>
      <c r="R429" s="551"/>
      <c r="S429" s="551"/>
      <c r="T429" s="551"/>
      <c r="U429" s="551"/>
      <c r="V429" s="551"/>
      <c r="W429" s="551"/>
      <c r="X429" s="551"/>
      <c r="Y429" s="551"/>
      <c r="Z429" s="551"/>
      <c r="AA429" s="551"/>
      <c r="AB429" s="551"/>
      <c r="AC429" s="551"/>
      <c r="AD429" s="551"/>
      <c r="AE429" s="551"/>
      <c r="AF429" s="551"/>
      <c r="AG429" s="551"/>
      <c r="AH429" s="551"/>
      <c r="AI429" s="551"/>
      <c r="AJ429" s="551"/>
      <c r="AK429" s="551"/>
      <c r="AL429" s="551"/>
      <c r="AM429" s="551"/>
      <c r="AN429" s="551"/>
      <c r="AO429" s="551"/>
      <c r="AP429" s="551"/>
      <c r="AQ429" s="551"/>
      <c r="AR429" s="551"/>
      <c r="AS429" s="551"/>
      <c r="AT429" s="551"/>
      <c r="AU429" s="551"/>
      <c r="AV429" s="551"/>
      <c r="AW429" s="551"/>
      <c r="AX429" s="551"/>
      <c r="AY429" s="551"/>
      <c r="AZ429" s="551"/>
      <c r="BA429" s="551"/>
      <c r="BB429" s="551"/>
      <c r="BC429" s="551"/>
      <c r="BD429" s="551"/>
      <c r="BE429" s="551"/>
      <c r="BF429" s="551"/>
      <c r="BG429" s="551"/>
      <c r="BH429" s="551"/>
      <c r="BI429" s="551"/>
      <c r="BJ429" s="551"/>
    </row>
    <row r="430" spans="1:62" ht="12.75" customHeight="1">
      <c r="A430" s="551"/>
      <c r="B430" s="551"/>
      <c r="C430" s="551"/>
      <c r="D430" s="551"/>
      <c r="E430" s="551"/>
      <c r="F430" s="551"/>
      <c r="G430" s="551"/>
      <c r="H430" s="551"/>
      <c r="I430" s="551"/>
      <c r="J430" s="551"/>
      <c r="K430" s="551"/>
      <c r="L430" s="551"/>
      <c r="M430" s="551"/>
      <c r="N430" s="551"/>
      <c r="O430" s="551"/>
      <c r="P430" s="551"/>
      <c r="Q430" s="551"/>
      <c r="R430" s="551"/>
      <c r="S430" s="551"/>
      <c r="T430" s="551"/>
      <c r="U430" s="551"/>
      <c r="V430" s="551"/>
      <c r="W430" s="551"/>
      <c r="X430" s="551"/>
      <c r="Y430" s="551"/>
      <c r="Z430" s="551"/>
      <c r="AA430" s="551"/>
      <c r="AB430" s="551"/>
      <c r="AC430" s="551"/>
      <c r="AD430" s="551"/>
      <c r="AE430" s="551"/>
      <c r="AF430" s="551"/>
      <c r="AG430" s="551"/>
      <c r="AH430" s="551"/>
      <c r="AI430" s="551"/>
      <c r="AJ430" s="551"/>
      <c r="AK430" s="551"/>
      <c r="AL430" s="551"/>
      <c r="AM430" s="551"/>
      <c r="AN430" s="551"/>
      <c r="AO430" s="551"/>
      <c r="AP430" s="551"/>
      <c r="AQ430" s="551"/>
      <c r="AR430" s="551"/>
      <c r="AS430" s="551"/>
      <c r="AT430" s="551"/>
      <c r="AU430" s="551"/>
      <c r="AV430" s="551"/>
      <c r="AW430" s="551"/>
      <c r="AX430" s="551"/>
      <c r="AY430" s="551"/>
      <c r="AZ430" s="551"/>
      <c r="BA430" s="551"/>
      <c r="BB430" s="551"/>
      <c r="BC430" s="551"/>
      <c r="BD430" s="551"/>
      <c r="BE430" s="551"/>
      <c r="BF430" s="551"/>
      <c r="BG430" s="551"/>
      <c r="BH430" s="551"/>
      <c r="BI430" s="551"/>
      <c r="BJ430" s="551"/>
    </row>
    <row r="431" spans="1:62" ht="12.75" customHeight="1">
      <c r="A431" s="551"/>
      <c r="B431" s="551"/>
      <c r="C431" s="551"/>
      <c r="D431" s="551"/>
      <c r="E431" s="551"/>
      <c r="F431" s="551"/>
      <c r="G431" s="551"/>
      <c r="H431" s="551"/>
      <c r="I431" s="551"/>
      <c r="J431" s="551"/>
      <c r="K431" s="551"/>
      <c r="L431" s="551"/>
      <c r="M431" s="551"/>
      <c r="N431" s="551"/>
      <c r="O431" s="551"/>
      <c r="P431" s="551"/>
      <c r="Q431" s="551"/>
      <c r="R431" s="551"/>
      <c r="S431" s="551"/>
      <c r="T431" s="551"/>
      <c r="U431" s="551"/>
      <c r="V431" s="551"/>
      <c r="W431" s="551"/>
      <c r="X431" s="551"/>
      <c r="Y431" s="551"/>
      <c r="Z431" s="551"/>
      <c r="AA431" s="551"/>
      <c r="AB431" s="551"/>
      <c r="AC431" s="551"/>
      <c r="AD431" s="551"/>
      <c r="AE431" s="551"/>
      <c r="AF431" s="551"/>
      <c r="AG431" s="551"/>
      <c r="AH431" s="551"/>
      <c r="AI431" s="551"/>
      <c r="AJ431" s="551"/>
      <c r="AK431" s="551"/>
      <c r="AL431" s="551"/>
      <c r="AM431" s="551"/>
      <c r="AN431" s="551"/>
      <c r="AO431" s="551"/>
      <c r="AP431" s="551"/>
      <c r="AQ431" s="551"/>
      <c r="AR431" s="551"/>
      <c r="AS431" s="551"/>
      <c r="AT431" s="551"/>
      <c r="AU431" s="551"/>
      <c r="AV431" s="551"/>
      <c r="AW431" s="551"/>
      <c r="AX431" s="551"/>
      <c r="AY431" s="551"/>
      <c r="AZ431" s="551"/>
      <c r="BA431" s="551"/>
      <c r="BB431" s="551"/>
      <c r="BC431" s="551"/>
      <c r="BD431" s="551"/>
      <c r="BE431" s="551"/>
      <c r="BF431" s="551"/>
      <c r="BG431" s="551"/>
      <c r="BH431" s="551"/>
      <c r="BI431" s="551"/>
      <c r="BJ431" s="551"/>
    </row>
    <row r="432" spans="1:62" ht="12.75" customHeight="1">
      <c r="A432" s="551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1"/>
      <c r="P432" s="551"/>
      <c r="Q432" s="551"/>
      <c r="R432" s="551"/>
      <c r="S432" s="551"/>
      <c r="T432" s="551"/>
      <c r="U432" s="551"/>
      <c r="V432" s="551"/>
      <c r="W432" s="551"/>
      <c r="X432" s="551"/>
      <c r="Y432" s="551"/>
      <c r="Z432" s="551"/>
      <c r="AA432" s="551"/>
      <c r="AB432" s="551"/>
      <c r="AC432" s="551"/>
      <c r="AD432" s="551"/>
      <c r="AE432" s="551"/>
      <c r="AF432" s="551"/>
      <c r="AG432" s="551"/>
      <c r="AH432" s="551"/>
      <c r="AI432" s="551"/>
      <c r="AJ432" s="551"/>
      <c r="AK432" s="551"/>
      <c r="AL432" s="551"/>
      <c r="AM432" s="551"/>
      <c r="AN432" s="551"/>
      <c r="AO432" s="551"/>
      <c r="AP432" s="551"/>
      <c r="AQ432" s="551"/>
      <c r="AR432" s="551"/>
      <c r="AS432" s="551"/>
      <c r="AT432" s="551"/>
      <c r="AU432" s="551"/>
      <c r="AV432" s="551"/>
      <c r="AW432" s="551"/>
      <c r="AX432" s="551"/>
      <c r="AY432" s="551"/>
      <c r="AZ432" s="551"/>
      <c r="BA432" s="551"/>
      <c r="BB432" s="551"/>
      <c r="BC432" s="551"/>
      <c r="BD432" s="551"/>
      <c r="BE432" s="551"/>
      <c r="BF432" s="551"/>
      <c r="BG432" s="551"/>
      <c r="BH432" s="551"/>
      <c r="BI432" s="551"/>
      <c r="BJ432" s="551"/>
    </row>
    <row r="433" spans="1:62" ht="12.75" customHeight="1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1"/>
      <c r="P433" s="551"/>
      <c r="Q433" s="551"/>
      <c r="R433" s="551"/>
      <c r="S433" s="551"/>
      <c r="T433" s="551"/>
      <c r="U433" s="551"/>
      <c r="V433" s="551"/>
      <c r="W433" s="551"/>
      <c r="X433" s="551"/>
      <c r="Y433" s="551"/>
      <c r="Z433" s="551"/>
      <c r="AA433" s="551"/>
      <c r="AB433" s="551"/>
      <c r="AC433" s="551"/>
      <c r="AD433" s="551"/>
      <c r="AE433" s="551"/>
      <c r="AF433" s="551"/>
      <c r="AG433" s="551"/>
      <c r="AH433" s="551"/>
      <c r="AI433" s="551"/>
      <c r="AJ433" s="551"/>
      <c r="AK433" s="551"/>
      <c r="AL433" s="551"/>
      <c r="AM433" s="551"/>
      <c r="AN433" s="551"/>
      <c r="AO433" s="551"/>
      <c r="AP433" s="551"/>
      <c r="AQ433" s="551"/>
      <c r="AR433" s="551"/>
      <c r="AS433" s="551"/>
      <c r="AT433" s="551"/>
      <c r="AU433" s="551"/>
      <c r="AV433" s="551"/>
      <c r="AW433" s="551"/>
      <c r="AX433" s="551"/>
      <c r="AY433" s="551"/>
      <c r="AZ433" s="551"/>
      <c r="BA433" s="551"/>
      <c r="BB433" s="551"/>
      <c r="BC433" s="551"/>
      <c r="BD433" s="551"/>
      <c r="BE433" s="551"/>
      <c r="BF433" s="551"/>
      <c r="BG433" s="551"/>
      <c r="BH433" s="551"/>
      <c r="BI433" s="551"/>
      <c r="BJ433" s="551"/>
    </row>
    <row r="434" spans="1:62" ht="12.75" customHeight="1">
      <c r="A434" s="551"/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51"/>
      <c r="AB434" s="551"/>
      <c r="AC434" s="551"/>
      <c r="AD434" s="551"/>
      <c r="AE434" s="551"/>
      <c r="AF434" s="551"/>
      <c r="AG434" s="551"/>
      <c r="AH434" s="551"/>
      <c r="AI434" s="551"/>
      <c r="AJ434" s="551"/>
      <c r="AK434" s="551"/>
      <c r="AL434" s="551"/>
      <c r="AM434" s="551"/>
      <c r="AN434" s="551"/>
      <c r="AO434" s="551"/>
      <c r="AP434" s="551"/>
      <c r="AQ434" s="551"/>
      <c r="AR434" s="551"/>
      <c r="AS434" s="551"/>
      <c r="AT434" s="551"/>
      <c r="AU434" s="551"/>
      <c r="AV434" s="551"/>
      <c r="AW434" s="551"/>
      <c r="AX434" s="551"/>
      <c r="AY434" s="551"/>
      <c r="AZ434" s="551"/>
      <c r="BA434" s="551"/>
      <c r="BB434" s="551"/>
      <c r="BC434" s="551"/>
      <c r="BD434" s="551"/>
      <c r="BE434" s="551"/>
      <c r="BF434" s="551"/>
      <c r="BG434" s="551"/>
      <c r="BH434" s="551"/>
      <c r="BI434" s="551"/>
      <c r="BJ434" s="551"/>
    </row>
    <row r="435" spans="1:62" ht="12.75" customHeight="1">
      <c r="A435" s="551"/>
      <c r="B435" s="551"/>
      <c r="C435" s="551"/>
      <c r="D435" s="551"/>
      <c r="E435" s="551"/>
      <c r="F435" s="551"/>
      <c r="G435" s="551"/>
      <c r="H435" s="551"/>
      <c r="I435" s="551"/>
      <c r="J435" s="551"/>
      <c r="K435" s="551"/>
      <c r="L435" s="551"/>
      <c r="M435" s="551"/>
      <c r="N435" s="551"/>
      <c r="O435" s="551"/>
      <c r="P435" s="551"/>
      <c r="Q435" s="551"/>
      <c r="R435" s="551"/>
      <c r="S435" s="551"/>
      <c r="T435" s="551"/>
      <c r="U435" s="551"/>
      <c r="V435" s="551"/>
      <c r="W435" s="551"/>
      <c r="X435" s="551"/>
      <c r="Y435" s="551"/>
      <c r="Z435" s="551"/>
      <c r="AA435" s="551"/>
      <c r="AB435" s="551"/>
      <c r="AC435" s="551"/>
      <c r="AD435" s="551"/>
      <c r="AE435" s="551"/>
      <c r="AF435" s="551"/>
      <c r="AG435" s="551"/>
      <c r="AH435" s="551"/>
      <c r="AI435" s="551"/>
      <c r="AJ435" s="551"/>
      <c r="AK435" s="551"/>
      <c r="AL435" s="551"/>
      <c r="AM435" s="551"/>
      <c r="AN435" s="551"/>
      <c r="AO435" s="551"/>
      <c r="AP435" s="551"/>
      <c r="AQ435" s="551"/>
      <c r="AR435" s="551"/>
      <c r="AS435" s="551"/>
      <c r="AT435" s="551"/>
      <c r="AU435" s="551"/>
      <c r="AV435" s="551"/>
      <c r="AW435" s="551"/>
      <c r="AX435" s="551"/>
      <c r="AY435" s="551"/>
      <c r="AZ435" s="551"/>
      <c r="BA435" s="551"/>
      <c r="BB435" s="551"/>
      <c r="BC435" s="551"/>
      <c r="BD435" s="551"/>
      <c r="BE435" s="551"/>
      <c r="BF435" s="551"/>
      <c r="BG435" s="551"/>
      <c r="BH435" s="551"/>
      <c r="BI435" s="551"/>
      <c r="BJ435" s="551"/>
    </row>
    <row r="436" spans="1:62" ht="12.75" customHeight="1">
      <c r="A436" s="551"/>
      <c r="B436" s="551"/>
      <c r="C436" s="551"/>
      <c r="D436" s="551"/>
      <c r="E436" s="551"/>
      <c r="F436" s="551"/>
      <c r="G436" s="551"/>
      <c r="H436" s="551"/>
      <c r="I436" s="551"/>
      <c r="J436" s="551"/>
      <c r="K436" s="551"/>
      <c r="L436" s="551"/>
      <c r="M436" s="551"/>
      <c r="N436" s="551"/>
      <c r="O436" s="551"/>
      <c r="P436" s="551"/>
      <c r="Q436" s="551"/>
      <c r="R436" s="551"/>
      <c r="S436" s="551"/>
      <c r="T436" s="551"/>
      <c r="U436" s="551"/>
      <c r="V436" s="551"/>
      <c r="W436" s="551"/>
      <c r="X436" s="551"/>
      <c r="Y436" s="551"/>
      <c r="Z436" s="551"/>
      <c r="AA436" s="551"/>
      <c r="AB436" s="551"/>
      <c r="AC436" s="551"/>
      <c r="AD436" s="551"/>
      <c r="AE436" s="551"/>
      <c r="AF436" s="551"/>
      <c r="AG436" s="551"/>
      <c r="AH436" s="551"/>
      <c r="AI436" s="551"/>
      <c r="AJ436" s="551"/>
      <c r="AK436" s="551"/>
      <c r="AL436" s="551"/>
      <c r="AM436" s="551"/>
      <c r="AN436" s="551"/>
      <c r="AO436" s="551"/>
      <c r="AP436" s="551"/>
      <c r="AQ436" s="551"/>
      <c r="AR436" s="551"/>
      <c r="AS436" s="551"/>
      <c r="AT436" s="551"/>
      <c r="AU436" s="551"/>
      <c r="AV436" s="551"/>
      <c r="AW436" s="551"/>
      <c r="AX436" s="551"/>
      <c r="AY436" s="551"/>
      <c r="AZ436" s="551"/>
      <c r="BA436" s="551"/>
      <c r="BB436" s="551"/>
      <c r="BC436" s="551"/>
      <c r="BD436" s="551"/>
      <c r="BE436" s="551"/>
      <c r="BF436" s="551"/>
      <c r="BG436" s="551"/>
      <c r="BH436" s="551"/>
      <c r="BI436" s="551"/>
      <c r="BJ436" s="551"/>
    </row>
    <row r="437" spans="1:62" ht="12.75" customHeight="1">
      <c r="A437" s="551"/>
      <c r="B437" s="551"/>
      <c r="C437" s="551"/>
      <c r="D437" s="551"/>
      <c r="E437" s="551"/>
      <c r="F437" s="551"/>
      <c r="G437" s="551"/>
      <c r="H437" s="551"/>
      <c r="I437" s="551"/>
      <c r="J437" s="551"/>
      <c r="K437" s="551"/>
      <c r="L437" s="551"/>
      <c r="M437" s="551"/>
      <c r="N437" s="551"/>
      <c r="O437" s="551"/>
      <c r="P437" s="551"/>
      <c r="Q437" s="551"/>
      <c r="R437" s="551"/>
      <c r="S437" s="551"/>
      <c r="T437" s="551"/>
      <c r="U437" s="551"/>
      <c r="V437" s="551"/>
      <c r="W437" s="551"/>
      <c r="X437" s="551"/>
      <c r="Y437" s="551"/>
      <c r="Z437" s="551"/>
      <c r="AA437" s="551"/>
      <c r="AB437" s="551"/>
      <c r="AC437" s="551"/>
      <c r="AD437" s="551"/>
      <c r="AE437" s="551"/>
      <c r="AF437" s="551"/>
      <c r="AG437" s="551"/>
      <c r="AH437" s="551"/>
      <c r="AI437" s="551"/>
      <c r="AJ437" s="551"/>
      <c r="AK437" s="551"/>
      <c r="AL437" s="551"/>
      <c r="AM437" s="551"/>
      <c r="AN437" s="551"/>
      <c r="AO437" s="551"/>
      <c r="AP437" s="551"/>
      <c r="AQ437" s="551"/>
      <c r="AR437" s="551"/>
      <c r="AS437" s="551"/>
      <c r="AT437" s="551"/>
      <c r="AU437" s="551"/>
      <c r="AV437" s="551"/>
      <c r="AW437" s="551"/>
      <c r="AX437" s="551"/>
      <c r="AY437" s="551"/>
      <c r="AZ437" s="551"/>
      <c r="BA437" s="551"/>
      <c r="BB437" s="551"/>
      <c r="BC437" s="551"/>
      <c r="BD437" s="551"/>
      <c r="BE437" s="551"/>
      <c r="BF437" s="551"/>
      <c r="BG437" s="551"/>
      <c r="BH437" s="551"/>
      <c r="BI437" s="551"/>
      <c r="BJ437" s="551"/>
    </row>
    <row r="438" spans="1:62" ht="12.75" customHeight="1">
      <c r="A438" s="551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1"/>
      <c r="P438" s="551"/>
      <c r="Q438" s="551"/>
      <c r="R438" s="551"/>
      <c r="S438" s="551"/>
      <c r="T438" s="551"/>
      <c r="U438" s="551"/>
      <c r="V438" s="551"/>
      <c r="W438" s="551"/>
      <c r="X438" s="551"/>
      <c r="Y438" s="551"/>
      <c r="Z438" s="551"/>
      <c r="AA438" s="551"/>
      <c r="AB438" s="551"/>
      <c r="AC438" s="551"/>
      <c r="AD438" s="551"/>
      <c r="AE438" s="551"/>
      <c r="AF438" s="551"/>
      <c r="AG438" s="551"/>
      <c r="AH438" s="551"/>
      <c r="AI438" s="551"/>
      <c r="AJ438" s="551"/>
      <c r="AK438" s="551"/>
      <c r="AL438" s="551"/>
      <c r="AM438" s="551"/>
      <c r="AN438" s="551"/>
      <c r="AO438" s="551"/>
      <c r="AP438" s="551"/>
      <c r="AQ438" s="551"/>
      <c r="AR438" s="551"/>
      <c r="AS438" s="551"/>
      <c r="AT438" s="551"/>
      <c r="AU438" s="551"/>
      <c r="AV438" s="551"/>
      <c r="AW438" s="551"/>
      <c r="AX438" s="551"/>
      <c r="AY438" s="551"/>
      <c r="AZ438" s="551"/>
      <c r="BA438" s="551"/>
      <c r="BB438" s="551"/>
      <c r="BC438" s="551"/>
      <c r="BD438" s="551"/>
      <c r="BE438" s="551"/>
      <c r="BF438" s="551"/>
      <c r="BG438" s="551"/>
      <c r="BH438" s="551"/>
      <c r="BI438" s="551"/>
      <c r="BJ438" s="551"/>
    </row>
    <row r="439" spans="1:62" ht="12.75" customHeight="1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1"/>
      <c r="P439" s="551"/>
      <c r="Q439" s="551"/>
      <c r="R439" s="551"/>
      <c r="S439" s="551"/>
      <c r="T439" s="551"/>
      <c r="U439" s="551"/>
      <c r="V439" s="551"/>
      <c r="W439" s="551"/>
      <c r="X439" s="551"/>
      <c r="Y439" s="551"/>
      <c r="Z439" s="551"/>
      <c r="AA439" s="551"/>
      <c r="AB439" s="551"/>
      <c r="AC439" s="551"/>
      <c r="AD439" s="551"/>
      <c r="AE439" s="551"/>
      <c r="AF439" s="551"/>
      <c r="AG439" s="551"/>
      <c r="AH439" s="551"/>
      <c r="AI439" s="551"/>
      <c r="AJ439" s="551"/>
      <c r="AK439" s="551"/>
      <c r="AL439" s="551"/>
      <c r="AM439" s="551"/>
      <c r="AN439" s="551"/>
      <c r="AO439" s="551"/>
      <c r="AP439" s="551"/>
      <c r="AQ439" s="551"/>
      <c r="AR439" s="551"/>
      <c r="AS439" s="551"/>
      <c r="AT439" s="551"/>
      <c r="AU439" s="551"/>
      <c r="AV439" s="551"/>
      <c r="AW439" s="551"/>
      <c r="AX439" s="551"/>
      <c r="AY439" s="551"/>
      <c r="AZ439" s="551"/>
      <c r="BA439" s="551"/>
      <c r="BB439" s="551"/>
      <c r="BC439" s="551"/>
      <c r="BD439" s="551"/>
      <c r="BE439" s="551"/>
      <c r="BF439" s="551"/>
      <c r="BG439" s="551"/>
      <c r="BH439" s="551"/>
      <c r="BI439" s="551"/>
      <c r="BJ439" s="551"/>
    </row>
    <row r="440" spans="1:62" ht="12.75" customHeight="1">
      <c r="A440" s="551"/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51"/>
      <c r="AB440" s="551"/>
      <c r="AC440" s="551"/>
      <c r="AD440" s="551"/>
      <c r="AE440" s="551"/>
      <c r="AF440" s="551"/>
      <c r="AG440" s="551"/>
      <c r="AH440" s="551"/>
      <c r="AI440" s="551"/>
      <c r="AJ440" s="551"/>
      <c r="AK440" s="551"/>
      <c r="AL440" s="551"/>
      <c r="AM440" s="551"/>
      <c r="AN440" s="551"/>
      <c r="AO440" s="551"/>
      <c r="AP440" s="551"/>
      <c r="AQ440" s="551"/>
      <c r="AR440" s="551"/>
      <c r="AS440" s="551"/>
      <c r="AT440" s="551"/>
      <c r="AU440" s="551"/>
      <c r="AV440" s="551"/>
      <c r="AW440" s="551"/>
      <c r="AX440" s="551"/>
      <c r="AY440" s="551"/>
      <c r="AZ440" s="551"/>
      <c r="BA440" s="551"/>
      <c r="BB440" s="551"/>
      <c r="BC440" s="551"/>
      <c r="BD440" s="551"/>
      <c r="BE440" s="551"/>
      <c r="BF440" s="551"/>
      <c r="BG440" s="551"/>
      <c r="BH440" s="551"/>
      <c r="BI440" s="551"/>
      <c r="BJ440" s="551"/>
    </row>
    <row r="441" spans="1:62" ht="12.75" customHeight="1">
      <c r="A441" s="551"/>
      <c r="B441" s="551"/>
      <c r="C441" s="551"/>
      <c r="D441" s="551"/>
      <c r="E441" s="551"/>
      <c r="F441" s="551"/>
      <c r="G441" s="551"/>
      <c r="H441" s="551"/>
      <c r="I441" s="551"/>
      <c r="J441" s="551"/>
      <c r="K441" s="551"/>
      <c r="L441" s="551"/>
      <c r="M441" s="551"/>
      <c r="N441" s="551"/>
      <c r="O441" s="551"/>
      <c r="P441" s="551"/>
      <c r="Q441" s="551"/>
      <c r="R441" s="551"/>
      <c r="S441" s="551"/>
      <c r="T441" s="551"/>
      <c r="U441" s="551"/>
      <c r="V441" s="551"/>
      <c r="W441" s="551"/>
      <c r="X441" s="551"/>
      <c r="Y441" s="551"/>
      <c r="Z441" s="551"/>
      <c r="AA441" s="551"/>
      <c r="AB441" s="551"/>
      <c r="AC441" s="551"/>
      <c r="AD441" s="551"/>
      <c r="AE441" s="551"/>
      <c r="AF441" s="551"/>
      <c r="AG441" s="551"/>
      <c r="AH441" s="551"/>
      <c r="AI441" s="551"/>
      <c r="AJ441" s="551"/>
      <c r="AK441" s="551"/>
      <c r="AL441" s="551"/>
      <c r="AM441" s="551"/>
      <c r="AN441" s="551"/>
      <c r="AO441" s="551"/>
      <c r="AP441" s="551"/>
      <c r="AQ441" s="551"/>
      <c r="AR441" s="551"/>
      <c r="AS441" s="551"/>
      <c r="AT441" s="551"/>
      <c r="AU441" s="551"/>
      <c r="AV441" s="551"/>
      <c r="AW441" s="551"/>
      <c r="AX441" s="551"/>
      <c r="AY441" s="551"/>
      <c r="AZ441" s="551"/>
      <c r="BA441" s="551"/>
      <c r="BB441" s="551"/>
      <c r="BC441" s="551"/>
      <c r="BD441" s="551"/>
      <c r="BE441" s="551"/>
      <c r="BF441" s="551"/>
      <c r="BG441" s="551"/>
      <c r="BH441" s="551"/>
      <c r="BI441" s="551"/>
      <c r="BJ441" s="551"/>
    </row>
    <row r="442" spans="1:62" ht="12.75" customHeight="1">
      <c r="A442" s="551"/>
      <c r="B442" s="551"/>
      <c r="C442" s="551"/>
      <c r="D442" s="551"/>
      <c r="E442" s="551"/>
      <c r="F442" s="551"/>
      <c r="G442" s="551"/>
      <c r="H442" s="551"/>
      <c r="I442" s="551"/>
      <c r="J442" s="551"/>
      <c r="K442" s="551"/>
      <c r="L442" s="551"/>
      <c r="M442" s="551"/>
      <c r="N442" s="551"/>
      <c r="O442" s="551"/>
      <c r="P442" s="551"/>
      <c r="Q442" s="551"/>
      <c r="R442" s="551"/>
      <c r="S442" s="551"/>
      <c r="T442" s="551"/>
      <c r="U442" s="551"/>
      <c r="V442" s="551"/>
      <c r="W442" s="551"/>
      <c r="X442" s="551"/>
      <c r="Y442" s="551"/>
      <c r="Z442" s="551"/>
      <c r="AA442" s="551"/>
      <c r="AB442" s="551"/>
      <c r="AC442" s="551"/>
      <c r="AD442" s="551"/>
      <c r="AE442" s="551"/>
      <c r="AF442" s="551"/>
      <c r="AG442" s="551"/>
      <c r="AH442" s="551"/>
      <c r="AI442" s="551"/>
      <c r="AJ442" s="551"/>
      <c r="AK442" s="551"/>
      <c r="AL442" s="551"/>
      <c r="AM442" s="551"/>
      <c r="AN442" s="551"/>
      <c r="AO442" s="551"/>
      <c r="AP442" s="551"/>
      <c r="AQ442" s="551"/>
      <c r="AR442" s="551"/>
      <c r="AS442" s="551"/>
      <c r="AT442" s="551"/>
      <c r="AU442" s="551"/>
      <c r="AV442" s="551"/>
      <c r="AW442" s="551"/>
      <c r="AX442" s="551"/>
      <c r="AY442" s="551"/>
      <c r="AZ442" s="551"/>
      <c r="BA442" s="551"/>
      <c r="BB442" s="551"/>
      <c r="BC442" s="551"/>
      <c r="BD442" s="551"/>
      <c r="BE442" s="551"/>
      <c r="BF442" s="551"/>
      <c r="BG442" s="551"/>
      <c r="BH442" s="551"/>
      <c r="BI442" s="551"/>
      <c r="BJ442" s="551"/>
    </row>
    <row r="443" spans="1:62" ht="12.75" customHeight="1">
      <c r="A443" s="551"/>
      <c r="B443" s="551"/>
      <c r="C443" s="551"/>
      <c r="D443" s="551"/>
      <c r="E443" s="551"/>
      <c r="F443" s="551"/>
      <c r="G443" s="551"/>
      <c r="H443" s="551"/>
      <c r="I443" s="551"/>
      <c r="J443" s="551"/>
      <c r="K443" s="551"/>
      <c r="L443" s="551"/>
      <c r="M443" s="551"/>
      <c r="N443" s="551"/>
      <c r="O443" s="551"/>
      <c r="P443" s="551"/>
      <c r="Q443" s="551"/>
      <c r="R443" s="551"/>
      <c r="S443" s="551"/>
      <c r="T443" s="551"/>
      <c r="U443" s="551"/>
      <c r="V443" s="551"/>
      <c r="W443" s="551"/>
      <c r="X443" s="551"/>
      <c r="Y443" s="551"/>
      <c r="Z443" s="551"/>
      <c r="AA443" s="551"/>
      <c r="AB443" s="551"/>
      <c r="AC443" s="551"/>
      <c r="AD443" s="551"/>
      <c r="AE443" s="551"/>
      <c r="AF443" s="551"/>
      <c r="AG443" s="551"/>
      <c r="AH443" s="551"/>
      <c r="AI443" s="551"/>
      <c r="AJ443" s="551"/>
      <c r="AK443" s="551"/>
      <c r="AL443" s="551"/>
      <c r="AM443" s="551"/>
      <c r="AN443" s="551"/>
      <c r="AO443" s="551"/>
      <c r="AP443" s="551"/>
      <c r="AQ443" s="551"/>
      <c r="AR443" s="551"/>
      <c r="AS443" s="551"/>
      <c r="AT443" s="551"/>
      <c r="AU443" s="551"/>
      <c r="AV443" s="551"/>
      <c r="AW443" s="551"/>
      <c r="AX443" s="551"/>
      <c r="AY443" s="551"/>
      <c r="AZ443" s="551"/>
      <c r="BA443" s="551"/>
      <c r="BB443" s="551"/>
      <c r="BC443" s="551"/>
      <c r="BD443" s="551"/>
      <c r="BE443" s="551"/>
      <c r="BF443" s="551"/>
      <c r="BG443" s="551"/>
      <c r="BH443" s="551"/>
      <c r="BI443" s="551"/>
      <c r="BJ443" s="551"/>
    </row>
    <row r="444" spans="1:62" ht="12.75" customHeight="1">
      <c r="A444" s="551"/>
      <c r="B444" s="551"/>
      <c r="C444" s="551"/>
      <c r="D444" s="551"/>
      <c r="E444" s="551"/>
      <c r="F444" s="551"/>
      <c r="G444" s="551"/>
      <c r="H444" s="551"/>
      <c r="I444" s="551"/>
      <c r="J444" s="551"/>
      <c r="K444" s="551"/>
      <c r="L444" s="551"/>
      <c r="M444" s="551"/>
      <c r="N444" s="551"/>
      <c r="O444" s="551"/>
      <c r="P444" s="551"/>
      <c r="Q444" s="551"/>
      <c r="R444" s="551"/>
      <c r="S444" s="551"/>
      <c r="T444" s="551"/>
      <c r="U444" s="551"/>
      <c r="V444" s="551"/>
      <c r="W444" s="551"/>
      <c r="X444" s="551"/>
      <c r="Y444" s="551"/>
      <c r="Z444" s="551"/>
      <c r="AA444" s="551"/>
      <c r="AB444" s="551"/>
      <c r="AC444" s="551"/>
      <c r="AD444" s="551"/>
      <c r="AE444" s="551"/>
      <c r="AF444" s="551"/>
      <c r="AG444" s="551"/>
      <c r="AH444" s="551"/>
      <c r="AI444" s="551"/>
      <c r="AJ444" s="551"/>
      <c r="AK444" s="551"/>
      <c r="AL444" s="551"/>
      <c r="AM444" s="551"/>
      <c r="AN444" s="551"/>
      <c r="AO444" s="551"/>
      <c r="AP444" s="551"/>
      <c r="AQ444" s="551"/>
      <c r="AR444" s="551"/>
      <c r="AS444" s="551"/>
      <c r="AT444" s="551"/>
      <c r="AU444" s="551"/>
      <c r="AV444" s="551"/>
      <c r="AW444" s="551"/>
      <c r="AX444" s="551"/>
      <c r="AY444" s="551"/>
      <c r="AZ444" s="551"/>
      <c r="BA444" s="551"/>
      <c r="BB444" s="551"/>
      <c r="BC444" s="551"/>
      <c r="BD444" s="551"/>
      <c r="BE444" s="551"/>
      <c r="BF444" s="551"/>
      <c r="BG444" s="551"/>
      <c r="BH444" s="551"/>
      <c r="BI444" s="551"/>
      <c r="BJ444" s="551"/>
    </row>
    <row r="445" spans="1:62" ht="12.75" customHeight="1">
      <c r="A445" s="551"/>
      <c r="B445" s="551"/>
      <c r="C445" s="551"/>
      <c r="D445" s="551"/>
      <c r="E445" s="551"/>
      <c r="F445" s="551"/>
      <c r="G445" s="551"/>
      <c r="H445" s="551"/>
      <c r="I445" s="551"/>
      <c r="J445" s="551"/>
      <c r="K445" s="551"/>
      <c r="L445" s="551"/>
      <c r="M445" s="551"/>
      <c r="N445" s="551"/>
      <c r="O445" s="551"/>
      <c r="P445" s="551"/>
      <c r="Q445" s="551"/>
      <c r="R445" s="551"/>
      <c r="S445" s="551"/>
      <c r="T445" s="551"/>
      <c r="U445" s="551"/>
      <c r="V445" s="551"/>
      <c r="W445" s="551"/>
      <c r="X445" s="551"/>
      <c r="Y445" s="551"/>
      <c r="Z445" s="551"/>
      <c r="AA445" s="551"/>
      <c r="AB445" s="551"/>
      <c r="AC445" s="551"/>
      <c r="AD445" s="551"/>
      <c r="AE445" s="551"/>
      <c r="AF445" s="551"/>
      <c r="AG445" s="551"/>
      <c r="AH445" s="551"/>
      <c r="AI445" s="551"/>
      <c r="AJ445" s="551"/>
      <c r="AK445" s="551"/>
      <c r="AL445" s="551"/>
      <c r="AM445" s="551"/>
      <c r="AN445" s="551"/>
      <c r="AO445" s="551"/>
      <c r="AP445" s="551"/>
      <c r="AQ445" s="551"/>
      <c r="AR445" s="551"/>
      <c r="AS445" s="551"/>
      <c r="AT445" s="551"/>
      <c r="AU445" s="551"/>
      <c r="AV445" s="551"/>
      <c r="AW445" s="551"/>
      <c r="AX445" s="551"/>
      <c r="AY445" s="551"/>
      <c r="AZ445" s="551"/>
      <c r="BA445" s="551"/>
      <c r="BB445" s="551"/>
      <c r="BC445" s="551"/>
      <c r="BD445" s="551"/>
      <c r="BE445" s="551"/>
      <c r="BF445" s="551"/>
      <c r="BG445" s="551"/>
      <c r="BH445" s="551"/>
      <c r="BI445" s="551"/>
      <c r="BJ445" s="551"/>
    </row>
    <row r="446" spans="1:62" ht="12.75" customHeight="1">
      <c r="A446" s="551"/>
      <c r="B446" s="551"/>
      <c r="C446" s="551"/>
      <c r="D446" s="551"/>
      <c r="E446" s="551"/>
      <c r="F446" s="551"/>
      <c r="G446" s="551"/>
      <c r="H446" s="551"/>
      <c r="I446" s="551"/>
      <c r="J446" s="551"/>
      <c r="K446" s="551"/>
      <c r="L446" s="551"/>
      <c r="M446" s="551"/>
      <c r="N446" s="551"/>
      <c r="O446" s="551"/>
      <c r="P446" s="551"/>
      <c r="Q446" s="551"/>
      <c r="R446" s="551"/>
      <c r="S446" s="551"/>
      <c r="T446" s="551"/>
      <c r="U446" s="551"/>
      <c r="V446" s="551"/>
      <c r="W446" s="551"/>
      <c r="X446" s="551"/>
      <c r="Y446" s="551"/>
      <c r="Z446" s="551"/>
      <c r="AA446" s="551"/>
      <c r="AB446" s="551"/>
      <c r="AC446" s="551"/>
      <c r="AD446" s="551"/>
      <c r="AE446" s="551"/>
      <c r="AF446" s="551"/>
      <c r="AG446" s="551"/>
      <c r="AH446" s="551"/>
      <c r="AI446" s="551"/>
      <c r="AJ446" s="551"/>
      <c r="AK446" s="551"/>
      <c r="AL446" s="551"/>
      <c r="AM446" s="551"/>
      <c r="AN446" s="551"/>
      <c r="AO446" s="551"/>
      <c r="AP446" s="551"/>
      <c r="AQ446" s="551"/>
      <c r="AR446" s="551"/>
      <c r="AS446" s="551"/>
      <c r="AT446" s="551"/>
      <c r="AU446" s="551"/>
      <c r="AV446" s="551"/>
      <c r="AW446" s="551"/>
      <c r="AX446" s="551"/>
      <c r="AY446" s="551"/>
      <c r="AZ446" s="551"/>
      <c r="BA446" s="551"/>
      <c r="BB446" s="551"/>
      <c r="BC446" s="551"/>
      <c r="BD446" s="551"/>
      <c r="BE446" s="551"/>
      <c r="BF446" s="551"/>
      <c r="BG446" s="551"/>
      <c r="BH446" s="551"/>
      <c r="BI446" s="551"/>
      <c r="BJ446" s="551"/>
    </row>
    <row r="447" spans="1:62" ht="12.75" customHeight="1">
      <c r="A447" s="551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1"/>
      <c r="P447" s="551"/>
      <c r="Q447" s="551"/>
      <c r="R447" s="551"/>
      <c r="S447" s="551"/>
      <c r="T447" s="551"/>
      <c r="U447" s="551"/>
      <c r="V447" s="551"/>
      <c r="W447" s="551"/>
      <c r="X447" s="551"/>
      <c r="Y447" s="551"/>
      <c r="Z447" s="551"/>
      <c r="AA447" s="551"/>
      <c r="AB447" s="551"/>
      <c r="AC447" s="551"/>
      <c r="AD447" s="551"/>
      <c r="AE447" s="551"/>
      <c r="AF447" s="551"/>
      <c r="AG447" s="551"/>
      <c r="AH447" s="551"/>
      <c r="AI447" s="551"/>
      <c r="AJ447" s="551"/>
      <c r="AK447" s="551"/>
      <c r="AL447" s="551"/>
      <c r="AM447" s="551"/>
      <c r="AN447" s="551"/>
      <c r="AO447" s="551"/>
      <c r="AP447" s="551"/>
      <c r="AQ447" s="551"/>
      <c r="AR447" s="551"/>
      <c r="AS447" s="551"/>
      <c r="AT447" s="551"/>
      <c r="AU447" s="551"/>
      <c r="AV447" s="551"/>
      <c r="AW447" s="551"/>
      <c r="AX447" s="551"/>
      <c r="AY447" s="551"/>
      <c r="AZ447" s="551"/>
      <c r="BA447" s="551"/>
      <c r="BB447" s="551"/>
      <c r="BC447" s="551"/>
      <c r="BD447" s="551"/>
      <c r="BE447" s="551"/>
      <c r="BF447" s="551"/>
      <c r="BG447" s="551"/>
      <c r="BH447" s="551"/>
      <c r="BI447" s="551"/>
      <c r="BJ447" s="551"/>
    </row>
    <row r="448" spans="1:62" ht="12.75" customHeight="1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1"/>
      <c r="P448" s="551"/>
      <c r="Q448" s="551"/>
      <c r="R448" s="551"/>
      <c r="S448" s="551"/>
      <c r="T448" s="551"/>
      <c r="U448" s="551"/>
      <c r="V448" s="551"/>
      <c r="W448" s="551"/>
      <c r="X448" s="551"/>
      <c r="Y448" s="551"/>
      <c r="Z448" s="551"/>
      <c r="AA448" s="551"/>
      <c r="AB448" s="551"/>
      <c r="AC448" s="551"/>
      <c r="AD448" s="551"/>
      <c r="AE448" s="551"/>
      <c r="AF448" s="551"/>
      <c r="AG448" s="551"/>
      <c r="AH448" s="551"/>
      <c r="AI448" s="551"/>
      <c r="AJ448" s="551"/>
      <c r="AK448" s="551"/>
      <c r="AL448" s="551"/>
      <c r="AM448" s="551"/>
      <c r="AN448" s="551"/>
      <c r="AO448" s="551"/>
      <c r="AP448" s="551"/>
      <c r="AQ448" s="551"/>
      <c r="AR448" s="551"/>
      <c r="AS448" s="551"/>
      <c r="AT448" s="551"/>
      <c r="AU448" s="551"/>
      <c r="AV448" s="551"/>
      <c r="AW448" s="551"/>
      <c r="AX448" s="551"/>
      <c r="AY448" s="551"/>
      <c r="AZ448" s="551"/>
      <c r="BA448" s="551"/>
      <c r="BB448" s="551"/>
      <c r="BC448" s="551"/>
      <c r="BD448" s="551"/>
      <c r="BE448" s="551"/>
      <c r="BF448" s="551"/>
      <c r="BG448" s="551"/>
      <c r="BH448" s="551"/>
      <c r="BI448" s="551"/>
      <c r="BJ448" s="551"/>
    </row>
    <row r="449" spans="1:62" ht="12.75" customHeight="1">
      <c r="A449" s="551"/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51"/>
      <c r="AB449" s="551"/>
      <c r="AC449" s="551"/>
      <c r="AD449" s="551"/>
      <c r="AE449" s="551"/>
      <c r="AF449" s="551"/>
      <c r="AG449" s="551"/>
      <c r="AH449" s="551"/>
      <c r="AI449" s="551"/>
      <c r="AJ449" s="551"/>
      <c r="AK449" s="551"/>
      <c r="AL449" s="551"/>
      <c r="AM449" s="551"/>
      <c r="AN449" s="551"/>
      <c r="AO449" s="551"/>
      <c r="AP449" s="551"/>
      <c r="AQ449" s="551"/>
      <c r="AR449" s="551"/>
      <c r="AS449" s="551"/>
      <c r="AT449" s="551"/>
      <c r="AU449" s="551"/>
      <c r="AV449" s="551"/>
      <c r="AW449" s="551"/>
      <c r="AX449" s="551"/>
      <c r="AY449" s="551"/>
      <c r="AZ449" s="551"/>
      <c r="BA449" s="551"/>
      <c r="BB449" s="551"/>
      <c r="BC449" s="551"/>
      <c r="BD449" s="551"/>
      <c r="BE449" s="551"/>
      <c r="BF449" s="551"/>
      <c r="BG449" s="551"/>
      <c r="BH449" s="551"/>
      <c r="BI449" s="551"/>
      <c r="BJ449" s="551"/>
    </row>
    <row r="450" spans="1:62" ht="12.75" customHeight="1">
      <c r="A450" s="551"/>
      <c r="B450" s="551"/>
      <c r="C450" s="551"/>
      <c r="D450" s="551"/>
      <c r="E450" s="551"/>
      <c r="F450" s="551"/>
      <c r="G450" s="551"/>
      <c r="H450" s="551"/>
      <c r="I450" s="551"/>
      <c r="J450" s="551"/>
      <c r="K450" s="551"/>
      <c r="L450" s="551"/>
      <c r="M450" s="551"/>
      <c r="N450" s="551"/>
      <c r="O450" s="551"/>
      <c r="P450" s="551"/>
      <c r="Q450" s="551"/>
      <c r="R450" s="551"/>
      <c r="S450" s="551"/>
      <c r="T450" s="551"/>
      <c r="U450" s="551"/>
      <c r="V450" s="551"/>
      <c r="W450" s="551"/>
      <c r="X450" s="551"/>
      <c r="Y450" s="551"/>
      <c r="Z450" s="551"/>
      <c r="AA450" s="551"/>
      <c r="AB450" s="551"/>
      <c r="AC450" s="551"/>
      <c r="AD450" s="551"/>
      <c r="AE450" s="551"/>
      <c r="AF450" s="551"/>
      <c r="AG450" s="551"/>
      <c r="AH450" s="551"/>
      <c r="AI450" s="551"/>
      <c r="AJ450" s="551"/>
      <c r="AK450" s="551"/>
      <c r="AL450" s="551"/>
      <c r="AM450" s="551"/>
      <c r="AN450" s="551"/>
      <c r="AO450" s="551"/>
      <c r="AP450" s="551"/>
      <c r="AQ450" s="551"/>
      <c r="AR450" s="551"/>
      <c r="AS450" s="551"/>
      <c r="AT450" s="551"/>
      <c r="AU450" s="551"/>
      <c r="AV450" s="551"/>
      <c r="AW450" s="551"/>
      <c r="AX450" s="551"/>
      <c r="AY450" s="551"/>
      <c r="AZ450" s="551"/>
      <c r="BA450" s="551"/>
      <c r="BB450" s="551"/>
      <c r="BC450" s="551"/>
      <c r="BD450" s="551"/>
      <c r="BE450" s="551"/>
      <c r="BF450" s="551"/>
      <c r="BG450" s="551"/>
      <c r="BH450" s="551"/>
      <c r="BI450" s="551"/>
      <c r="BJ450" s="551"/>
    </row>
    <row r="451" spans="1:62" ht="12.75" customHeight="1">
      <c r="A451" s="551"/>
      <c r="B451" s="551"/>
      <c r="C451" s="551"/>
      <c r="D451" s="551"/>
      <c r="E451" s="551"/>
      <c r="F451" s="551"/>
      <c r="G451" s="551"/>
      <c r="H451" s="551"/>
      <c r="I451" s="551"/>
      <c r="J451" s="551"/>
      <c r="K451" s="551"/>
      <c r="L451" s="551"/>
      <c r="M451" s="551"/>
      <c r="N451" s="551"/>
      <c r="O451" s="551"/>
      <c r="P451" s="551"/>
      <c r="Q451" s="551"/>
      <c r="R451" s="551"/>
      <c r="S451" s="551"/>
      <c r="T451" s="551"/>
      <c r="U451" s="551"/>
      <c r="V451" s="551"/>
      <c r="W451" s="551"/>
      <c r="X451" s="551"/>
      <c r="Y451" s="551"/>
      <c r="Z451" s="551"/>
      <c r="AA451" s="551"/>
      <c r="AB451" s="551"/>
      <c r="AC451" s="551"/>
      <c r="AD451" s="551"/>
      <c r="AE451" s="551"/>
      <c r="AF451" s="551"/>
      <c r="AG451" s="551"/>
      <c r="AH451" s="551"/>
      <c r="AI451" s="551"/>
      <c r="AJ451" s="551"/>
      <c r="AK451" s="551"/>
      <c r="AL451" s="551"/>
      <c r="AM451" s="551"/>
      <c r="AN451" s="551"/>
      <c r="AO451" s="551"/>
      <c r="AP451" s="551"/>
      <c r="AQ451" s="551"/>
      <c r="AR451" s="551"/>
      <c r="AS451" s="551"/>
      <c r="AT451" s="551"/>
      <c r="AU451" s="551"/>
      <c r="AV451" s="551"/>
      <c r="AW451" s="551"/>
      <c r="AX451" s="551"/>
      <c r="AY451" s="551"/>
      <c r="AZ451" s="551"/>
      <c r="BA451" s="551"/>
      <c r="BB451" s="551"/>
      <c r="BC451" s="551"/>
      <c r="BD451" s="551"/>
      <c r="BE451" s="551"/>
      <c r="BF451" s="551"/>
      <c r="BG451" s="551"/>
      <c r="BH451" s="551"/>
      <c r="BI451" s="551"/>
      <c r="BJ451" s="551"/>
    </row>
    <row r="452" spans="1:62" ht="12.75" customHeight="1">
      <c r="A452" s="551"/>
      <c r="B452" s="551"/>
      <c r="C452" s="551"/>
      <c r="D452" s="551"/>
      <c r="E452" s="551"/>
      <c r="F452" s="551"/>
      <c r="G452" s="551"/>
      <c r="H452" s="551"/>
      <c r="I452" s="551"/>
      <c r="J452" s="551"/>
      <c r="K452" s="551"/>
      <c r="L452" s="551"/>
      <c r="M452" s="551"/>
      <c r="N452" s="551"/>
      <c r="O452" s="551"/>
      <c r="P452" s="551"/>
      <c r="Q452" s="551"/>
      <c r="R452" s="551"/>
      <c r="S452" s="551"/>
      <c r="T452" s="551"/>
      <c r="U452" s="551"/>
      <c r="V452" s="551"/>
      <c r="W452" s="551"/>
      <c r="X452" s="551"/>
      <c r="Y452" s="551"/>
      <c r="Z452" s="551"/>
      <c r="AA452" s="551"/>
      <c r="AB452" s="551"/>
      <c r="AC452" s="551"/>
      <c r="AD452" s="551"/>
      <c r="AE452" s="551"/>
      <c r="AF452" s="551"/>
      <c r="AG452" s="551"/>
      <c r="AH452" s="551"/>
      <c r="AI452" s="551"/>
      <c r="AJ452" s="551"/>
      <c r="AK452" s="551"/>
      <c r="AL452" s="551"/>
      <c r="AM452" s="551"/>
      <c r="AN452" s="551"/>
      <c r="AO452" s="551"/>
      <c r="AP452" s="551"/>
      <c r="AQ452" s="551"/>
      <c r="AR452" s="551"/>
      <c r="AS452" s="551"/>
      <c r="AT452" s="551"/>
      <c r="AU452" s="551"/>
      <c r="AV452" s="551"/>
      <c r="AW452" s="551"/>
      <c r="AX452" s="551"/>
      <c r="AY452" s="551"/>
      <c r="AZ452" s="551"/>
      <c r="BA452" s="551"/>
      <c r="BB452" s="551"/>
      <c r="BC452" s="551"/>
      <c r="BD452" s="551"/>
      <c r="BE452" s="551"/>
      <c r="BF452" s="551"/>
      <c r="BG452" s="551"/>
      <c r="BH452" s="551"/>
      <c r="BI452" s="551"/>
      <c r="BJ452" s="551"/>
    </row>
    <row r="453" spans="1:62" ht="12.75" customHeight="1">
      <c r="A453" s="551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1"/>
      <c r="P453" s="551"/>
      <c r="Q453" s="551"/>
      <c r="R453" s="551"/>
      <c r="S453" s="551"/>
      <c r="T453" s="551"/>
      <c r="U453" s="551"/>
      <c r="V453" s="551"/>
      <c r="W453" s="551"/>
      <c r="X453" s="551"/>
      <c r="Y453" s="551"/>
      <c r="Z453" s="551"/>
      <c r="AA453" s="551"/>
      <c r="AB453" s="551"/>
      <c r="AC453" s="551"/>
      <c r="AD453" s="551"/>
      <c r="AE453" s="551"/>
      <c r="AF453" s="551"/>
      <c r="AG453" s="551"/>
      <c r="AH453" s="551"/>
      <c r="AI453" s="551"/>
      <c r="AJ453" s="551"/>
      <c r="AK453" s="551"/>
      <c r="AL453" s="551"/>
      <c r="AM453" s="551"/>
      <c r="AN453" s="551"/>
      <c r="AO453" s="551"/>
      <c r="AP453" s="551"/>
      <c r="AQ453" s="551"/>
      <c r="AR453" s="551"/>
      <c r="AS453" s="551"/>
      <c r="AT453" s="551"/>
      <c r="AU453" s="551"/>
      <c r="AV453" s="551"/>
      <c r="AW453" s="551"/>
      <c r="AX453" s="551"/>
      <c r="AY453" s="551"/>
      <c r="AZ453" s="551"/>
      <c r="BA453" s="551"/>
      <c r="BB453" s="551"/>
      <c r="BC453" s="551"/>
      <c r="BD453" s="551"/>
      <c r="BE453" s="551"/>
      <c r="BF453" s="551"/>
      <c r="BG453" s="551"/>
      <c r="BH453" s="551"/>
      <c r="BI453" s="551"/>
      <c r="BJ453" s="551"/>
    </row>
    <row r="454" spans="1:62" ht="12.75" customHeight="1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1"/>
      <c r="P454" s="551"/>
      <c r="Q454" s="551"/>
      <c r="R454" s="551"/>
      <c r="S454" s="551"/>
      <c r="T454" s="551"/>
      <c r="U454" s="551"/>
      <c r="V454" s="551"/>
      <c r="W454" s="551"/>
      <c r="X454" s="551"/>
      <c r="Y454" s="551"/>
      <c r="Z454" s="551"/>
      <c r="AA454" s="551"/>
      <c r="AB454" s="551"/>
      <c r="AC454" s="551"/>
      <c r="AD454" s="551"/>
      <c r="AE454" s="551"/>
      <c r="AF454" s="551"/>
      <c r="AG454" s="551"/>
      <c r="AH454" s="551"/>
      <c r="AI454" s="551"/>
      <c r="AJ454" s="551"/>
      <c r="AK454" s="551"/>
      <c r="AL454" s="551"/>
      <c r="AM454" s="551"/>
      <c r="AN454" s="551"/>
      <c r="AO454" s="551"/>
      <c r="AP454" s="551"/>
      <c r="AQ454" s="551"/>
      <c r="AR454" s="551"/>
      <c r="AS454" s="551"/>
      <c r="AT454" s="551"/>
      <c r="AU454" s="551"/>
      <c r="AV454" s="551"/>
      <c r="AW454" s="551"/>
      <c r="AX454" s="551"/>
      <c r="AY454" s="551"/>
      <c r="AZ454" s="551"/>
      <c r="BA454" s="551"/>
      <c r="BB454" s="551"/>
      <c r="BC454" s="551"/>
      <c r="BD454" s="551"/>
      <c r="BE454" s="551"/>
      <c r="BF454" s="551"/>
      <c r="BG454" s="551"/>
      <c r="BH454" s="551"/>
      <c r="BI454" s="551"/>
      <c r="BJ454" s="551"/>
    </row>
    <row r="455" spans="1:62" ht="12.75" customHeight="1">
      <c r="A455" s="551"/>
      <c r="B455" s="551"/>
      <c r="C455" s="551"/>
      <c r="D455" s="551"/>
      <c r="E455" s="551"/>
      <c r="F455" s="551"/>
      <c r="G455" s="551"/>
      <c r="H455" s="551"/>
      <c r="I455" s="551"/>
      <c r="J455" s="551"/>
      <c r="K455" s="551"/>
      <c r="L455" s="551"/>
      <c r="M455" s="551"/>
      <c r="N455" s="551"/>
      <c r="O455" s="551"/>
      <c r="P455" s="551"/>
      <c r="Q455" s="551"/>
      <c r="R455" s="551"/>
      <c r="S455" s="551"/>
      <c r="T455" s="551"/>
      <c r="U455" s="551"/>
      <c r="V455" s="551"/>
      <c r="W455" s="551"/>
      <c r="X455" s="551"/>
      <c r="Y455" s="551"/>
      <c r="Z455" s="551"/>
      <c r="AA455" s="551"/>
      <c r="AB455" s="551"/>
      <c r="AC455" s="551"/>
      <c r="AD455" s="551"/>
      <c r="AE455" s="551"/>
      <c r="AF455" s="551"/>
      <c r="AG455" s="551"/>
      <c r="AH455" s="551"/>
      <c r="AI455" s="551"/>
      <c r="AJ455" s="551"/>
      <c r="AK455" s="551"/>
      <c r="AL455" s="551"/>
      <c r="AM455" s="551"/>
      <c r="AN455" s="551"/>
      <c r="AO455" s="551"/>
      <c r="AP455" s="551"/>
      <c r="AQ455" s="551"/>
      <c r="AR455" s="551"/>
      <c r="AS455" s="551"/>
      <c r="AT455" s="551"/>
      <c r="AU455" s="551"/>
      <c r="AV455" s="551"/>
      <c r="AW455" s="551"/>
      <c r="AX455" s="551"/>
      <c r="AY455" s="551"/>
      <c r="AZ455" s="551"/>
      <c r="BA455" s="551"/>
      <c r="BB455" s="551"/>
      <c r="BC455" s="551"/>
      <c r="BD455" s="551"/>
      <c r="BE455" s="551"/>
      <c r="BF455" s="551"/>
      <c r="BG455" s="551"/>
      <c r="BH455" s="551"/>
      <c r="BI455" s="551"/>
      <c r="BJ455" s="551"/>
    </row>
    <row r="456" spans="1:62" ht="12.75" customHeight="1">
      <c r="A456" s="551"/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51"/>
      <c r="AB456" s="551"/>
      <c r="AC456" s="551"/>
      <c r="AD456" s="551"/>
      <c r="AE456" s="551"/>
      <c r="AF456" s="551"/>
      <c r="AG456" s="551"/>
      <c r="AH456" s="551"/>
      <c r="AI456" s="551"/>
      <c r="AJ456" s="551"/>
      <c r="AK456" s="551"/>
      <c r="AL456" s="551"/>
      <c r="AM456" s="551"/>
      <c r="AN456" s="551"/>
      <c r="AO456" s="551"/>
      <c r="AP456" s="551"/>
      <c r="AQ456" s="551"/>
      <c r="AR456" s="551"/>
      <c r="AS456" s="551"/>
      <c r="AT456" s="551"/>
      <c r="AU456" s="551"/>
      <c r="AV456" s="551"/>
      <c r="AW456" s="551"/>
      <c r="AX456" s="551"/>
      <c r="AY456" s="551"/>
      <c r="AZ456" s="551"/>
      <c r="BA456" s="551"/>
      <c r="BB456" s="551"/>
      <c r="BC456" s="551"/>
      <c r="BD456" s="551"/>
      <c r="BE456" s="551"/>
      <c r="BF456" s="551"/>
      <c r="BG456" s="551"/>
      <c r="BH456" s="551"/>
      <c r="BI456" s="551"/>
      <c r="BJ456" s="551"/>
    </row>
    <row r="457" spans="1:62" ht="12.75" customHeight="1">
      <c r="A457" s="551"/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51"/>
      <c r="AB457" s="551"/>
      <c r="AC457" s="551"/>
      <c r="AD457" s="551"/>
      <c r="AE457" s="551"/>
      <c r="AF457" s="551"/>
      <c r="AG457" s="551"/>
      <c r="AH457" s="551"/>
      <c r="AI457" s="551"/>
      <c r="AJ457" s="551"/>
      <c r="AK457" s="551"/>
      <c r="AL457" s="551"/>
      <c r="AM457" s="551"/>
      <c r="AN457" s="551"/>
      <c r="AO457" s="551"/>
      <c r="AP457" s="551"/>
      <c r="AQ457" s="551"/>
      <c r="AR457" s="551"/>
      <c r="AS457" s="551"/>
      <c r="AT457" s="551"/>
      <c r="AU457" s="551"/>
      <c r="AV457" s="551"/>
      <c r="AW457" s="551"/>
      <c r="AX457" s="551"/>
      <c r="AY457" s="551"/>
      <c r="AZ457" s="551"/>
      <c r="BA457" s="551"/>
      <c r="BB457" s="551"/>
      <c r="BC457" s="551"/>
      <c r="BD457" s="551"/>
      <c r="BE457" s="551"/>
      <c r="BF457" s="551"/>
      <c r="BG457" s="551"/>
      <c r="BH457" s="551"/>
      <c r="BI457" s="551"/>
      <c r="BJ457" s="551"/>
    </row>
    <row r="458" spans="1:62" ht="12.75" customHeight="1">
      <c r="A458" s="551"/>
      <c r="B458" s="551"/>
      <c r="C458" s="551"/>
      <c r="D458" s="551"/>
      <c r="E458" s="551"/>
      <c r="F458" s="551"/>
      <c r="G458" s="551"/>
      <c r="H458" s="551"/>
      <c r="I458" s="551"/>
      <c r="J458" s="551"/>
      <c r="K458" s="551"/>
      <c r="L458" s="551"/>
      <c r="M458" s="551"/>
      <c r="N458" s="551"/>
      <c r="O458" s="551"/>
      <c r="P458" s="551"/>
      <c r="Q458" s="551"/>
      <c r="R458" s="551"/>
      <c r="S458" s="551"/>
      <c r="T458" s="551"/>
      <c r="U458" s="551"/>
      <c r="V458" s="551"/>
      <c r="W458" s="551"/>
      <c r="X458" s="551"/>
      <c r="Y458" s="551"/>
      <c r="Z458" s="551"/>
      <c r="AA458" s="551"/>
      <c r="AB458" s="551"/>
      <c r="AC458" s="551"/>
      <c r="AD458" s="551"/>
      <c r="AE458" s="551"/>
      <c r="AF458" s="551"/>
      <c r="AG458" s="551"/>
      <c r="AH458" s="551"/>
      <c r="AI458" s="551"/>
      <c r="AJ458" s="551"/>
      <c r="AK458" s="551"/>
      <c r="AL458" s="551"/>
      <c r="AM458" s="551"/>
      <c r="AN458" s="551"/>
      <c r="AO458" s="551"/>
      <c r="AP458" s="551"/>
      <c r="AQ458" s="551"/>
      <c r="AR458" s="551"/>
      <c r="AS458" s="551"/>
      <c r="AT458" s="551"/>
      <c r="AU458" s="551"/>
      <c r="AV458" s="551"/>
      <c r="AW458" s="551"/>
      <c r="AX458" s="551"/>
      <c r="AY458" s="551"/>
      <c r="AZ458" s="551"/>
      <c r="BA458" s="551"/>
      <c r="BB458" s="551"/>
      <c r="BC458" s="551"/>
      <c r="BD458" s="551"/>
      <c r="BE458" s="551"/>
      <c r="BF458" s="551"/>
      <c r="BG458" s="551"/>
      <c r="BH458" s="551"/>
      <c r="BI458" s="551"/>
      <c r="BJ458" s="551"/>
    </row>
    <row r="459" spans="1:62" ht="12.75" customHeight="1">
      <c r="A459" s="551"/>
      <c r="B459" s="551"/>
      <c r="C459" s="551"/>
      <c r="D459" s="551"/>
      <c r="E459" s="551"/>
      <c r="F459" s="551"/>
      <c r="G459" s="551"/>
      <c r="H459" s="551"/>
      <c r="I459" s="551"/>
      <c r="J459" s="551"/>
      <c r="K459" s="551"/>
      <c r="L459" s="551"/>
      <c r="M459" s="551"/>
      <c r="N459" s="551"/>
      <c r="O459" s="551"/>
      <c r="P459" s="551"/>
      <c r="Q459" s="551"/>
      <c r="R459" s="551"/>
      <c r="S459" s="551"/>
      <c r="T459" s="551"/>
      <c r="U459" s="551"/>
      <c r="V459" s="551"/>
      <c r="W459" s="551"/>
      <c r="X459" s="551"/>
      <c r="Y459" s="551"/>
      <c r="Z459" s="551"/>
      <c r="AA459" s="551"/>
      <c r="AB459" s="551"/>
      <c r="AC459" s="551"/>
      <c r="AD459" s="551"/>
      <c r="AE459" s="551"/>
      <c r="AF459" s="551"/>
      <c r="AG459" s="551"/>
      <c r="AH459" s="551"/>
      <c r="AI459" s="551"/>
      <c r="AJ459" s="551"/>
      <c r="AK459" s="551"/>
      <c r="AL459" s="551"/>
      <c r="AM459" s="551"/>
      <c r="AN459" s="551"/>
      <c r="AO459" s="551"/>
      <c r="AP459" s="551"/>
      <c r="AQ459" s="551"/>
      <c r="AR459" s="551"/>
      <c r="AS459" s="551"/>
      <c r="AT459" s="551"/>
      <c r="AU459" s="551"/>
      <c r="AV459" s="551"/>
      <c r="AW459" s="551"/>
      <c r="AX459" s="551"/>
      <c r="AY459" s="551"/>
      <c r="AZ459" s="551"/>
      <c r="BA459" s="551"/>
      <c r="BB459" s="551"/>
      <c r="BC459" s="551"/>
      <c r="BD459" s="551"/>
      <c r="BE459" s="551"/>
      <c r="BF459" s="551"/>
      <c r="BG459" s="551"/>
      <c r="BH459" s="551"/>
      <c r="BI459" s="551"/>
      <c r="BJ459" s="551"/>
    </row>
    <row r="460" spans="1:62" ht="12.75" customHeight="1">
      <c r="A460" s="551"/>
      <c r="B460" s="551"/>
      <c r="C460" s="551"/>
      <c r="D460" s="551"/>
      <c r="E460" s="551"/>
      <c r="F460" s="551"/>
      <c r="G460" s="551"/>
      <c r="H460" s="551"/>
      <c r="I460" s="551"/>
      <c r="J460" s="551"/>
      <c r="K460" s="551"/>
      <c r="L460" s="551"/>
      <c r="M460" s="551"/>
      <c r="N460" s="551"/>
      <c r="O460" s="551"/>
      <c r="P460" s="551"/>
      <c r="Q460" s="551"/>
      <c r="R460" s="551"/>
      <c r="S460" s="551"/>
      <c r="T460" s="551"/>
      <c r="U460" s="551"/>
      <c r="V460" s="551"/>
      <c r="W460" s="551"/>
      <c r="X460" s="551"/>
      <c r="Y460" s="551"/>
      <c r="Z460" s="551"/>
      <c r="AA460" s="551"/>
      <c r="AB460" s="551"/>
      <c r="AC460" s="551"/>
      <c r="AD460" s="551"/>
      <c r="AE460" s="551"/>
      <c r="AF460" s="551"/>
      <c r="AG460" s="551"/>
      <c r="AH460" s="551"/>
      <c r="AI460" s="551"/>
      <c r="AJ460" s="551"/>
      <c r="AK460" s="551"/>
      <c r="AL460" s="551"/>
      <c r="AM460" s="551"/>
      <c r="AN460" s="551"/>
      <c r="AO460" s="551"/>
      <c r="AP460" s="551"/>
      <c r="AQ460" s="551"/>
      <c r="AR460" s="551"/>
      <c r="AS460" s="551"/>
      <c r="AT460" s="551"/>
      <c r="AU460" s="551"/>
      <c r="AV460" s="551"/>
      <c r="AW460" s="551"/>
      <c r="AX460" s="551"/>
      <c r="AY460" s="551"/>
      <c r="AZ460" s="551"/>
      <c r="BA460" s="551"/>
      <c r="BB460" s="551"/>
      <c r="BC460" s="551"/>
      <c r="BD460" s="551"/>
      <c r="BE460" s="551"/>
      <c r="BF460" s="551"/>
      <c r="BG460" s="551"/>
      <c r="BH460" s="551"/>
      <c r="BI460" s="551"/>
      <c r="BJ460" s="551"/>
    </row>
    <row r="461" spans="1:62" ht="12.75" customHeight="1">
      <c r="A461" s="551"/>
      <c r="B461" s="551"/>
      <c r="C461" s="551"/>
      <c r="D461" s="551"/>
      <c r="E461" s="551"/>
      <c r="F461" s="551"/>
      <c r="G461" s="551"/>
      <c r="H461" s="551"/>
      <c r="I461" s="551"/>
      <c r="J461" s="551"/>
      <c r="K461" s="551"/>
      <c r="L461" s="551"/>
      <c r="M461" s="551"/>
      <c r="N461" s="551"/>
      <c r="O461" s="551"/>
      <c r="P461" s="551"/>
      <c r="Q461" s="551"/>
      <c r="R461" s="551"/>
      <c r="S461" s="551"/>
      <c r="T461" s="551"/>
      <c r="U461" s="551"/>
      <c r="V461" s="551"/>
      <c r="W461" s="551"/>
      <c r="X461" s="551"/>
      <c r="Y461" s="551"/>
      <c r="Z461" s="551"/>
      <c r="AA461" s="551"/>
      <c r="AB461" s="551"/>
      <c r="AC461" s="551"/>
      <c r="AD461" s="551"/>
      <c r="AE461" s="551"/>
      <c r="AF461" s="551"/>
      <c r="AG461" s="551"/>
      <c r="AH461" s="551"/>
      <c r="AI461" s="551"/>
      <c r="AJ461" s="551"/>
      <c r="AK461" s="551"/>
      <c r="AL461" s="551"/>
      <c r="AM461" s="551"/>
      <c r="AN461" s="551"/>
      <c r="AO461" s="551"/>
      <c r="AP461" s="551"/>
      <c r="AQ461" s="551"/>
      <c r="AR461" s="551"/>
      <c r="AS461" s="551"/>
      <c r="AT461" s="551"/>
      <c r="AU461" s="551"/>
      <c r="AV461" s="551"/>
      <c r="AW461" s="551"/>
      <c r="AX461" s="551"/>
      <c r="AY461" s="551"/>
      <c r="AZ461" s="551"/>
      <c r="BA461" s="551"/>
      <c r="BB461" s="551"/>
      <c r="BC461" s="551"/>
      <c r="BD461" s="551"/>
      <c r="BE461" s="551"/>
      <c r="BF461" s="551"/>
      <c r="BG461" s="551"/>
      <c r="BH461" s="551"/>
      <c r="BI461" s="551"/>
      <c r="BJ461" s="551"/>
    </row>
    <row r="462" spans="1:62" ht="12.75" customHeight="1">
      <c r="A462" s="551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1"/>
      <c r="P462" s="551"/>
      <c r="Q462" s="551"/>
      <c r="R462" s="551"/>
      <c r="S462" s="551"/>
      <c r="T462" s="551"/>
      <c r="U462" s="551"/>
      <c r="V462" s="551"/>
      <c r="W462" s="551"/>
      <c r="X462" s="551"/>
      <c r="Y462" s="551"/>
      <c r="Z462" s="551"/>
      <c r="AA462" s="551"/>
      <c r="AB462" s="551"/>
      <c r="AC462" s="551"/>
      <c r="AD462" s="551"/>
      <c r="AE462" s="551"/>
      <c r="AF462" s="551"/>
      <c r="AG462" s="551"/>
      <c r="AH462" s="551"/>
      <c r="AI462" s="551"/>
      <c r="AJ462" s="551"/>
      <c r="AK462" s="551"/>
      <c r="AL462" s="551"/>
      <c r="AM462" s="551"/>
      <c r="AN462" s="551"/>
      <c r="AO462" s="551"/>
      <c r="AP462" s="551"/>
      <c r="AQ462" s="551"/>
      <c r="AR462" s="551"/>
      <c r="AS462" s="551"/>
      <c r="AT462" s="551"/>
      <c r="AU462" s="551"/>
      <c r="AV462" s="551"/>
      <c r="AW462" s="551"/>
      <c r="AX462" s="551"/>
      <c r="AY462" s="551"/>
      <c r="AZ462" s="551"/>
      <c r="BA462" s="551"/>
      <c r="BB462" s="551"/>
      <c r="BC462" s="551"/>
      <c r="BD462" s="551"/>
      <c r="BE462" s="551"/>
      <c r="BF462" s="551"/>
      <c r="BG462" s="551"/>
      <c r="BH462" s="551"/>
      <c r="BI462" s="551"/>
      <c r="BJ462" s="551"/>
    </row>
    <row r="463" spans="1:62" ht="12.75" customHeight="1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1"/>
      <c r="P463" s="551"/>
      <c r="Q463" s="551"/>
      <c r="R463" s="551"/>
      <c r="S463" s="551"/>
      <c r="T463" s="551"/>
      <c r="U463" s="551"/>
      <c r="V463" s="551"/>
      <c r="W463" s="551"/>
      <c r="X463" s="551"/>
      <c r="Y463" s="551"/>
      <c r="Z463" s="551"/>
      <c r="AA463" s="551"/>
      <c r="AB463" s="551"/>
      <c r="AC463" s="551"/>
      <c r="AD463" s="551"/>
      <c r="AE463" s="551"/>
      <c r="AF463" s="551"/>
      <c r="AG463" s="551"/>
      <c r="AH463" s="551"/>
      <c r="AI463" s="551"/>
      <c r="AJ463" s="551"/>
      <c r="AK463" s="551"/>
      <c r="AL463" s="551"/>
      <c r="AM463" s="551"/>
      <c r="AN463" s="551"/>
      <c r="AO463" s="551"/>
      <c r="AP463" s="551"/>
      <c r="AQ463" s="551"/>
      <c r="AR463" s="551"/>
      <c r="AS463" s="551"/>
      <c r="AT463" s="551"/>
      <c r="AU463" s="551"/>
      <c r="AV463" s="551"/>
      <c r="AW463" s="551"/>
      <c r="AX463" s="551"/>
      <c r="AY463" s="551"/>
      <c r="AZ463" s="551"/>
      <c r="BA463" s="551"/>
      <c r="BB463" s="551"/>
      <c r="BC463" s="551"/>
      <c r="BD463" s="551"/>
      <c r="BE463" s="551"/>
      <c r="BF463" s="551"/>
      <c r="BG463" s="551"/>
      <c r="BH463" s="551"/>
      <c r="BI463" s="551"/>
      <c r="BJ463" s="551"/>
    </row>
    <row r="464" spans="1:62" ht="12.75" customHeight="1">
      <c r="A464" s="551"/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51"/>
      <c r="AB464" s="551"/>
      <c r="AC464" s="551"/>
      <c r="AD464" s="551"/>
      <c r="AE464" s="551"/>
      <c r="AF464" s="551"/>
      <c r="AG464" s="551"/>
      <c r="AH464" s="551"/>
      <c r="AI464" s="551"/>
      <c r="AJ464" s="551"/>
      <c r="AK464" s="551"/>
      <c r="AL464" s="551"/>
      <c r="AM464" s="551"/>
      <c r="AN464" s="551"/>
      <c r="AO464" s="551"/>
      <c r="AP464" s="551"/>
      <c r="AQ464" s="551"/>
      <c r="AR464" s="551"/>
      <c r="AS464" s="551"/>
      <c r="AT464" s="551"/>
      <c r="AU464" s="551"/>
      <c r="AV464" s="551"/>
      <c r="AW464" s="551"/>
      <c r="AX464" s="551"/>
      <c r="AY464" s="551"/>
      <c r="AZ464" s="551"/>
      <c r="BA464" s="551"/>
      <c r="BB464" s="551"/>
      <c r="BC464" s="551"/>
      <c r="BD464" s="551"/>
      <c r="BE464" s="551"/>
      <c r="BF464" s="551"/>
      <c r="BG464" s="551"/>
      <c r="BH464" s="551"/>
      <c r="BI464" s="551"/>
      <c r="BJ464" s="551"/>
    </row>
    <row r="465" spans="1:62" ht="12.75" customHeight="1">
      <c r="A465" s="551"/>
      <c r="B465" s="551"/>
      <c r="C465" s="551"/>
      <c r="D465" s="551"/>
      <c r="E465" s="551"/>
      <c r="F465" s="551"/>
      <c r="G465" s="551"/>
      <c r="H465" s="551"/>
      <c r="I465" s="551"/>
      <c r="J465" s="551"/>
      <c r="K465" s="551"/>
      <c r="L465" s="551"/>
      <c r="M465" s="551"/>
      <c r="N465" s="551"/>
      <c r="O465" s="551"/>
      <c r="P465" s="551"/>
      <c r="Q465" s="551"/>
      <c r="R465" s="551"/>
      <c r="S465" s="551"/>
      <c r="T465" s="551"/>
      <c r="U465" s="551"/>
      <c r="V465" s="551"/>
      <c r="W465" s="551"/>
      <c r="X465" s="551"/>
      <c r="Y465" s="551"/>
      <c r="Z465" s="551"/>
      <c r="AA465" s="551"/>
      <c r="AB465" s="551"/>
      <c r="AC465" s="551"/>
      <c r="AD465" s="551"/>
      <c r="AE465" s="551"/>
      <c r="AF465" s="551"/>
      <c r="AG465" s="551"/>
      <c r="AH465" s="551"/>
      <c r="AI465" s="551"/>
      <c r="AJ465" s="551"/>
      <c r="AK465" s="551"/>
      <c r="AL465" s="551"/>
      <c r="AM465" s="551"/>
      <c r="AN465" s="551"/>
      <c r="AO465" s="551"/>
      <c r="AP465" s="551"/>
      <c r="AQ465" s="551"/>
      <c r="AR465" s="551"/>
      <c r="AS465" s="551"/>
      <c r="AT465" s="551"/>
      <c r="AU465" s="551"/>
      <c r="AV465" s="551"/>
      <c r="AW465" s="551"/>
      <c r="AX465" s="551"/>
      <c r="AY465" s="551"/>
      <c r="AZ465" s="551"/>
      <c r="BA465" s="551"/>
      <c r="BB465" s="551"/>
      <c r="BC465" s="551"/>
      <c r="BD465" s="551"/>
      <c r="BE465" s="551"/>
      <c r="BF465" s="551"/>
      <c r="BG465" s="551"/>
      <c r="BH465" s="551"/>
      <c r="BI465" s="551"/>
      <c r="BJ465" s="551"/>
    </row>
    <row r="466" spans="1:62" ht="12.75" customHeight="1">
      <c r="A466" s="551"/>
      <c r="B466" s="551"/>
      <c r="C466" s="551"/>
      <c r="D466" s="551"/>
      <c r="E466" s="551"/>
      <c r="F466" s="551"/>
      <c r="G466" s="551"/>
      <c r="H466" s="551"/>
      <c r="I466" s="551"/>
      <c r="J466" s="551"/>
      <c r="K466" s="551"/>
      <c r="L466" s="551"/>
      <c r="M466" s="551"/>
      <c r="N466" s="551"/>
      <c r="O466" s="551"/>
      <c r="P466" s="551"/>
      <c r="Q466" s="551"/>
      <c r="R466" s="551"/>
      <c r="S466" s="551"/>
      <c r="T466" s="551"/>
      <c r="U466" s="551"/>
      <c r="V466" s="551"/>
      <c r="W466" s="551"/>
      <c r="X466" s="551"/>
      <c r="Y466" s="551"/>
      <c r="Z466" s="551"/>
      <c r="AA466" s="551"/>
      <c r="AB466" s="551"/>
      <c r="AC466" s="551"/>
      <c r="AD466" s="551"/>
      <c r="AE466" s="551"/>
      <c r="AF466" s="551"/>
      <c r="AG466" s="551"/>
      <c r="AH466" s="551"/>
      <c r="AI466" s="551"/>
      <c r="AJ466" s="551"/>
      <c r="AK466" s="551"/>
      <c r="AL466" s="551"/>
      <c r="AM466" s="551"/>
      <c r="AN466" s="551"/>
      <c r="AO466" s="551"/>
      <c r="AP466" s="551"/>
      <c r="AQ466" s="551"/>
      <c r="AR466" s="551"/>
      <c r="AS466" s="551"/>
      <c r="AT466" s="551"/>
      <c r="AU466" s="551"/>
      <c r="AV466" s="551"/>
      <c r="AW466" s="551"/>
      <c r="AX466" s="551"/>
      <c r="AY466" s="551"/>
      <c r="AZ466" s="551"/>
      <c r="BA466" s="551"/>
      <c r="BB466" s="551"/>
      <c r="BC466" s="551"/>
      <c r="BD466" s="551"/>
      <c r="BE466" s="551"/>
      <c r="BF466" s="551"/>
      <c r="BG466" s="551"/>
      <c r="BH466" s="551"/>
      <c r="BI466" s="551"/>
      <c r="BJ466" s="551"/>
    </row>
    <row r="467" spans="1:62" ht="12.75" customHeight="1">
      <c r="A467" s="551"/>
      <c r="B467" s="551"/>
      <c r="C467" s="551"/>
      <c r="D467" s="551"/>
      <c r="E467" s="551"/>
      <c r="F467" s="551"/>
      <c r="G467" s="551"/>
      <c r="H467" s="551"/>
      <c r="I467" s="551"/>
      <c r="J467" s="551"/>
      <c r="K467" s="551"/>
      <c r="L467" s="551"/>
      <c r="M467" s="551"/>
      <c r="N467" s="551"/>
      <c r="O467" s="551"/>
      <c r="P467" s="551"/>
      <c r="Q467" s="551"/>
      <c r="R467" s="551"/>
      <c r="S467" s="551"/>
      <c r="T467" s="551"/>
      <c r="U467" s="551"/>
      <c r="V467" s="551"/>
      <c r="W467" s="551"/>
      <c r="X467" s="551"/>
      <c r="Y467" s="551"/>
      <c r="Z467" s="551"/>
      <c r="AA467" s="551"/>
      <c r="AB467" s="551"/>
      <c r="AC467" s="551"/>
      <c r="AD467" s="551"/>
      <c r="AE467" s="551"/>
      <c r="AF467" s="551"/>
      <c r="AG467" s="551"/>
      <c r="AH467" s="551"/>
      <c r="AI467" s="551"/>
      <c r="AJ467" s="551"/>
      <c r="AK467" s="551"/>
      <c r="AL467" s="551"/>
      <c r="AM467" s="551"/>
      <c r="AN467" s="551"/>
      <c r="AO467" s="551"/>
      <c r="AP467" s="551"/>
      <c r="AQ467" s="551"/>
      <c r="AR467" s="551"/>
      <c r="AS467" s="551"/>
      <c r="AT467" s="551"/>
      <c r="AU467" s="551"/>
      <c r="AV467" s="551"/>
      <c r="AW467" s="551"/>
      <c r="AX467" s="551"/>
      <c r="AY467" s="551"/>
      <c r="AZ467" s="551"/>
      <c r="BA467" s="551"/>
      <c r="BB467" s="551"/>
      <c r="BC467" s="551"/>
      <c r="BD467" s="551"/>
      <c r="BE467" s="551"/>
      <c r="BF467" s="551"/>
      <c r="BG467" s="551"/>
      <c r="BH467" s="551"/>
      <c r="BI467" s="551"/>
      <c r="BJ467" s="551"/>
    </row>
    <row r="468" spans="1:62" ht="12.75" customHeight="1">
      <c r="A468" s="551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1"/>
      <c r="P468" s="551"/>
      <c r="Q468" s="551"/>
      <c r="R468" s="551"/>
      <c r="S468" s="551"/>
      <c r="T468" s="551"/>
      <c r="U468" s="551"/>
      <c r="V468" s="551"/>
      <c r="W468" s="551"/>
      <c r="X468" s="551"/>
      <c r="Y468" s="551"/>
      <c r="Z468" s="551"/>
      <c r="AA468" s="551"/>
      <c r="AB468" s="551"/>
      <c r="AC468" s="551"/>
      <c r="AD468" s="551"/>
      <c r="AE468" s="551"/>
      <c r="AF468" s="551"/>
      <c r="AG468" s="551"/>
      <c r="AH468" s="551"/>
      <c r="AI468" s="551"/>
      <c r="AJ468" s="551"/>
      <c r="AK468" s="551"/>
      <c r="AL468" s="551"/>
      <c r="AM468" s="551"/>
      <c r="AN468" s="551"/>
      <c r="AO468" s="551"/>
      <c r="AP468" s="551"/>
      <c r="AQ468" s="551"/>
      <c r="AR468" s="551"/>
      <c r="AS468" s="551"/>
      <c r="AT468" s="551"/>
      <c r="AU468" s="551"/>
      <c r="AV468" s="551"/>
      <c r="AW468" s="551"/>
      <c r="AX468" s="551"/>
      <c r="AY468" s="551"/>
      <c r="AZ468" s="551"/>
      <c r="BA468" s="551"/>
      <c r="BB468" s="551"/>
      <c r="BC468" s="551"/>
      <c r="BD468" s="551"/>
      <c r="BE468" s="551"/>
      <c r="BF468" s="551"/>
      <c r="BG468" s="551"/>
      <c r="BH468" s="551"/>
      <c r="BI468" s="551"/>
      <c r="BJ468" s="551"/>
    </row>
    <row r="469" spans="1:62" ht="12.75" customHeight="1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1"/>
      <c r="P469" s="551"/>
      <c r="Q469" s="551"/>
      <c r="R469" s="551"/>
      <c r="S469" s="551"/>
      <c r="T469" s="551"/>
      <c r="U469" s="551"/>
      <c r="V469" s="551"/>
      <c r="W469" s="551"/>
      <c r="X469" s="551"/>
      <c r="Y469" s="551"/>
      <c r="Z469" s="551"/>
      <c r="AA469" s="551"/>
      <c r="AB469" s="551"/>
      <c r="AC469" s="551"/>
      <c r="AD469" s="551"/>
      <c r="AE469" s="551"/>
      <c r="AF469" s="551"/>
      <c r="AG469" s="551"/>
      <c r="AH469" s="551"/>
      <c r="AI469" s="551"/>
      <c r="AJ469" s="551"/>
      <c r="AK469" s="551"/>
      <c r="AL469" s="551"/>
      <c r="AM469" s="551"/>
      <c r="AN469" s="551"/>
      <c r="AO469" s="551"/>
      <c r="AP469" s="551"/>
      <c r="AQ469" s="551"/>
      <c r="AR469" s="551"/>
      <c r="AS469" s="551"/>
      <c r="AT469" s="551"/>
      <c r="AU469" s="551"/>
      <c r="AV469" s="551"/>
      <c r="AW469" s="551"/>
      <c r="AX469" s="551"/>
      <c r="AY469" s="551"/>
      <c r="AZ469" s="551"/>
      <c r="BA469" s="551"/>
      <c r="BB469" s="551"/>
      <c r="BC469" s="551"/>
      <c r="BD469" s="551"/>
      <c r="BE469" s="551"/>
      <c r="BF469" s="551"/>
      <c r="BG469" s="551"/>
      <c r="BH469" s="551"/>
      <c r="BI469" s="551"/>
      <c r="BJ469" s="551"/>
    </row>
    <row r="470" spans="1:62" ht="12.75" customHeight="1">
      <c r="A470" s="551"/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51"/>
      <c r="AB470" s="551"/>
      <c r="AC470" s="551"/>
      <c r="AD470" s="551"/>
      <c r="AE470" s="551"/>
      <c r="AF470" s="551"/>
      <c r="AG470" s="551"/>
      <c r="AH470" s="551"/>
      <c r="AI470" s="551"/>
      <c r="AJ470" s="551"/>
      <c r="AK470" s="551"/>
      <c r="AL470" s="551"/>
      <c r="AM470" s="551"/>
      <c r="AN470" s="551"/>
      <c r="AO470" s="551"/>
      <c r="AP470" s="551"/>
      <c r="AQ470" s="551"/>
      <c r="AR470" s="551"/>
      <c r="AS470" s="551"/>
      <c r="AT470" s="551"/>
      <c r="AU470" s="551"/>
      <c r="AV470" s="551"/>
      <c r="AW470" s="551"/>
      <c r="AX470" s="551"/>
      <c r="AY470" s="551"/>
      <c r="AZ470" s="551"/>
      <c r="BA470" s="551"/>
      <c r="BB470" s="551"/>
      <c r="BC470" s="551"/>
      <c r="BD470" s="551"/>
      <c r="BE470" s="551"/>
      <c r="BF470" s="551"/>
      <c r="BG470" s="551"/>
      <c r="BH470" s="551"/>
      <c r="BI470" s="551"/>
      <c r="BJ470" s="551"/>
    </row>
    <row r="471" spans="1:62" ht="12.75" customHeight="1">
      <c r="A471" s="551"/>
      <c r="B471" s="551"/>
      <c r="C471" s="551"/>
      <c r="D471" s="551"/>
      <c r="E471" s="551"/>
      <c r="F471" s="551"/>
      <c r="G471" s="551"/>
      <c r="H471" s="551"/>
      <c r="I471" s="551"/>
      <c r="J471" s="551"/>
      <c r="K471" s="551"/>
      <c r="L471" s="551"/>
      <c r="M471" s="551"/>
      <c r="N471" s="551"/>
      <c r="O471" s="551"/>
      <c r="P471" s="551"/>
      <c r="Q471" s="551"/>
      <c r="R471" s="551"/>
      <c r="S471" s="551"/>
      <c r="T471" s="551"/>
      <c r="U471" s="551"/>
      <c r="V471" s="551"/>
      <c r="W471" s="551"/>
      <c r="X471" s="551"/>
      <c r="Y471" s="551"/>
      <c r="Z471" s="551"/>
      <c r="AA471" s="551"/>
      <c r="AB471" s="551"/>
      <c r="AC471" s="551"/>
      <c r="AD471" s="551"/>
      <c r="AE471" s="551"/>
      <c r="AF471" s="551"/>
      <c r="AG471" s="551"/>
      <c r="AH471" s="551"/>
      <c r="AI471" s="551"/>
      <c r="AJ471" s="551"/>
      <c r="AK471" s="551"/>
      <c r="AL471" s="551"/>
      <c r="AM471" s="551"/>
      <c r="AN471" s="551"/>
      <c r="AO471" s="551"/>
      <c r="AP471" s="551"/>
      <c r="AQ471" s="551"/>
      <c r="AR471" s="551"/>
      <c r="AS471" s="551"/>
      <c r="AT471" s="551"/>
      <c r="AU471" s="551"/>
      <c r="AV471" s="551"/>
      <c r="AW471" s="551"/>
      <c r="AX471" s="551"/>
      <c r="AY471" s="551"/>
      <c r="AZ471" s="551"/>
      <c r="BA471" s="551"/>
      <c r="BB471" s="551"/>
      <c r="BC471" s="551"/>
      <c r="BD471" s="551"/>
      <c r="BE471" s="551"/>
      <c r="BF471" s="551"/>
      <c r="BG471" s="551"/>
      <c r="BH471" s="551"/>
      <c r="BI471" s="551"/>
      <c r="BJ471" s="551"/>
    </row>
    <row r="472" spans="1:62" ht="12.75" customHeight="1">
      <c r="A472" s="551"/>
      <c r="B472" s="551"/>
      <c r="C472" s="551"/>
      <c r="D472" s="551"/>
      <c r="E472" s="551"/>
      <c r="F472" s="551"/>
      <c r="G472" s="551"/>
      <c r="H472" s="551"/>
      <c r="I472" s="551"/>
      <c r="J472" s="551"/>
      <c r="K472" s="551"/>
      <c r="L472" s="551"/>
      <c r="M472" s="551"/>
      <c r="N472" s="551"/>
      <c r="O472" s="551"/>
      <c r="P472" s="551"/>
      <c r="Q472" s="551"/>
      <c r="R472" s="551"/>
      <c r="S472" s="551"/>
      <c r="T472" s="551"/>
      <c r="U472" s="551"/>
      <c r="V472" s="551"/>
      <c r="W472" s="551"/>
      <c r="X472" s="551"/>
      <c r="Y472" s="551"/>
      <c r="Z472" s="551"/>
      <c r="AA472" s="551"/>
      <c r="AB472" s="551"/>
      <c r="AC472" s="551"/>
      <c r="AD472" s="551"/>
      <c r="AE472" s="551"/>
      <c r="AF472" s="551"/>
      <c r="AG472" s="551"/>
      <c r="AH472" s="551"/>
      <c r="AI472" s="551"/>
      <c r="AJ472" s="551"/>
      <c r="AK472" s="551"/>
      <c r="AL472" s="551"/>
      <c r="AM472" s="551"/>
      <c r="AN472" s="551"/>
      <c r="AO472" s="551"/>
      <c r="AP472" s="551"/>
      <c r="AQ472" s="551"/>
      <c r="AR472" s="551"/>
      <c r="AS472" s="551"/>
      <c r="AT472" s="551"/>
      <c r="AU472" s="551"/>
      <c r="AV472" s="551"/>
      <c r="AW472" s="551"/>
      <c r="AX472" s="551"/>
      <c r="AY472" s="551"/>
      <c r="AZ472" s="551"/>
      <c r="BA472" s="551"/>
      <c r="BB472" s="551"/>
      <c r="BC472" s="551"/>
      <c r="BD472" s="551"/>
      <c r="BE472" s="551"/>
      <c r="BF472" s="551"/>
      <c r="BG472" s="551"/>
      <c r="BH472" s="551"/>
      <c r="BI472" s="551"/>
      <c r="BJ472" s="551"/>
    </row>
    <row r="473" spans="1:62" ht="12.75" customHeight="1">
      <c r="A473" s="551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1"/>
      <c r="P473" s="551"/>
      <c r="Q473" s="551"/>
      <c r="R473" s="551"/>
      <c r="S473" s="551"/>
      <c r="T473" s="551"/>
      <c r="U473" s="551"/>
      <c r="V473" s="551"/>
      <c r="W473" s="551"/>
      <c r="X473" s="551"/>
      <c r="Y473" s="551"/>
      <c r="Z473" s="551"/>
      <c r="AA473" s="551"/>
      <c r="AB473" s="551"/>
      <c r="AC473" s="551"/>
      <c r="AD473" s="551"/>
      <c r="AE473" s="551"/>
      <c r="AF473" s="551"/>
      <c r="AG473" s="551"/>
      <c r="AH473" s="551"/>
      <c r="AI473" s="551"/>
      <c r="AJ473" s="551"/>
      <c r="AK473" s="551"/>
      <c r="AL473" s="551"/>
      <c r="AM473" s="551"/>
      <c r="AN473" s="551"/>
      <c r="AO473" s="551"/>
      <c r="AP473" s="551"/>
      <c r="AQ473" s="551"/>
      <c r="AR473" s="551"/>
      <c r="AS473" s="551"/>
      <c r="AT473" s="551"/>
      <c r="AU473" s="551"/>
      <c r="AV473" s="551"/>
      <c r="AW473" s="551"/>
      <c r="AX473" s="551"/>
      <c r="AY473" s="551"/>
      <c r="AZ473" s="551"/>
      <c r="BA473" s="551"/>
      <c r="BB473" s="551"/>
      <c r="BC473" s="551"/>
      <c r="BD473" s="551"/>
      <c r="BE473" s="551"/>
      <c r="BF473" s="551"/>
      <c r="BG473" s="551"/>
      <c r="BH473" s="551"/>
      <c r="BI473" s="551"/>
      <c r="BJ473" s="551"/>
    </row>
    <row r="474" spans="1:62" ht="12.75" customHeight="1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1"/>
      <c r="P474" s="551"/>
      <c r="Q474" s="551"/>
      <c r="R474" s="551"/>
      <c r="S474" s="551"/>
      <c r="T474" s="551"/>
      <c r="U474" s="551"/>
      <c r="V474" s="551"/>
      <c r="W474" s="551"/>
      <c r="X474" s="551"/>
      <c r="Y474" s="551"/>
      <c r="Z474" s="551"/>
      <c r="AA474" s="551"/>
      <c r="AB474" s="551"/>
      <c r="AC474" s="551"/>
      <c r="AD474" s="551"/>
      <c r="AE474" s="551"/>
      <c r="AF474" s="551"/>
      <c r="AG474" s="551"/>
      <c r="AH474" s="551"/>
      <c r="AI474" s="551"/>
      <c r="AJ474" s="551"/>
      <c r="AK474" s="551"/>
      <c r="AL474" s="551"/>
      <c r="AM474" s="551"/>
      <c r="AN474" s="551"/>
      <c r="AO474" s="551"/>
      <c r="AP474" s="551"/>
      <c r="AQ474" s="551"/>
      <c r="AR474" s="551"/>
      <c r="AS474" s="551"/>
      <c r="AT474" s="551"/>
      <c r="AU474" s="551"/>
      <c r="AV474" s="551"/>
      <c r="AW474" s="551"/>
      <c r="AX474" s="551"/>
      <c r="AY474" s="551"/>
      <c r="AZ474" s="551"/>
      <c r="BA474" s="551"/>
      <c r="BB474" s="551"/>
      <c r="BC474" s="551"/>
      <c r="BD474" s="551"/>
      <c r="BE474" s="551"/>
      <c r="BF474" s="551"/>
      <c r="BG474" s="551"/>
      <c r="BH474" s="551"/>
      <c r="BI474" s="551"/>
      <c r="BJ474" s="551"/>
    </row>
    <row r="475" spans="1:62" ht="12.75" customHeight="1">
      <c r="A475" s="551"/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51"/>
      <c r="AB475" s="551"/>
      <c r="AC475" s="551"/>
      <c r="AD475" s="551"/>
      <c r="AE475" s="551"/>
      <c r="AF475" s="551"/>
      <c r="AG475" s="551"/>
      <c r="AH475" s="551"/>
      <c r="AI475" s="551"/>
      <c r="AJ475" s="551"/>
      <c r="AK475" s="551"/>
      <c r="AL475" s="551"/>
      <c r="AM475" s="551"/>
      <c r="AN475" s="551"/>
      <c r="AO475" s="551"/>
      <c r="AP475" s="551"/>
      <c r="AQ475" s="551"/>
      <c r="AR475" s="551"/>
      <c r="AS475" s="551"/>
      <c r="AT475" s="551"/>
      <c r="AU475" s="551"/>
      <c r="AV475" s="551"/>
      <c r="AW475" s="551"/>
      <c r="AX475" s="551"/>
      <c r="AY475" s="551"/>
      <c r="AZ475" s="551"/>
      <c r="BA475" s="551"/>
      <c r="BB475" s="551"/>
      <c r="BC475" s="551"/>
      <c r="BD475" s="551"/>
      <c r="BE475" s="551"/>
      <c r="BF475" s="551"/>
      <c r="BG475" s="551"/>
      <c r="BH475" s="551"/>
      <c r="BI475" s="551"/>
      <c r="BJ475" s="551"/>
    </row>
    <row r="476" spans="1:62" ht="12.75" customHeight="1">
      <c r="A476" s="551"/>
      <c r="B476" s="551"/>
      <c r="C476" s="551"/>
      <c r="D476" s="551"/>
      <c r="E476" s="551"/>
      <c r="F476" s="551"/>
      <c r="G476" s="551"/>
      <c r="H476" s="551"/>
      <c r="I476" s="551"/>
      <c r="J476" s="551"/>
      <c r="K476" s="551"/>
      <c r="L476" s="551"/>
      <c r="M476" s="551"/>
      <c r="N476" s="551"/>
      <c r="O476" s="551"/>
      <c r="P476" s="551"/>
      <c r="Q476" s="551"/>
      <c r="R476" s="551"/>
      <c r="S476" s="551"/>
      <c r="T476" s="551"/>
      <c r="U476" s="551"/>
      <c r="V476" s="551"/>
      <c r="W476" s="551"/>
      <c r="X476" s="551"/>
      <c r="Y476" s="551"/>
      <c r="Z476" s="551"/>
      <c r="AA476" s="551"/>
      <c r="AB476" s="551"/>
      <c r="AC476" s="551"/>
      <c r="AD476" s="551"/>
      <c r="AE476" s="551"/>
      <c r="AF476" s="551"/>
      <c r="AG476" s="551"/>
      <c r="AH476" s="551"/>
      <c r="AI476" s="551"/>
      <c r="AJ476" s="551"/>
      <c r="AK476" s="551"/>
      <c r="AL476" s="551"/>
      <c r="AM476" s="551"/>
      <c r="AN476" s="551"/>
      <c r="AO476" s="551"/>
      <c r="AP476" s="551"/>
      <c r="AQ476" s="551"/>
      <c r="AR476" s="551"/>
      <c r="AS476" s="551"/>
      <c r="AT476" s="551"/>
      <c r="AU476" s="551"/>
      <c r="AV476" s="551"/>
      <c r="AW476" s="551"/>
      <c r="AX476" s="551"/>
      <c r="AY476" s="551"/>
      <c r="AZ476" s="551"/>
      <c r="BA476" s="551"/>
      <c r="BB476" s="551"/>
      <c r="BC476" s="551"/>
      <c r="BD476" s="551"/>
      <c r="BE476" s="551"/>
      <c r="BF476" s="551"/>
      <c r="BG476" s="551"/>
      <c r="BH476" s="551"/>
      <c r="BI476" s="551"/>
      <c r="BJ476" s="551"/>
    </row>
    <row r="477" spans="1:62" ht="12.75" customHeight="1">
      <c r="A477" s="551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1"/>
      <c r="P477" s="551"/>
      <c r="Q477" s="551"/>
      <c r="R477" s="551"/>
      <c r="S477" s="551"/>
      <c r="T477" s="551"/>
      <c r="U477" s="551"/>
      <c r="V477" s="551"/>
      <c r="W477" s="551"/>
      <c r="X477" s="551"/>
      <c r="Y477" s="551"/>
      <c r="Z477" s="551"/>
      <c r="AA477" s="551"/>
      <c r="AB477" s="551"/>
      <c r="AC477" s="551"/>
      <c r="AD477" s="551"/>
      <c r="AE477" s="551"/>
      <c r="AF477" s="551"/>
      <c r="AG477" s="551"/>
      <c r="AH477" s="551"/>
      <c r="AI477" s="551"/>
      <c r="AJ477" s="551"/>
      <c r="AK477" s="551"/>
      <c r="AL477" s="551"/>
      <c r="AM477" s="551"/>
      <c r="AN477" s="551"/>
      <c r="AO477" s="551"/>
      <c r="AP477" s="551"/>
      <c r="AQ477" s="551"/>
      <c r="AR477" s="551"/>
      <c r="AS477" s="551"/>
      <c r="AT477" s="551"/>
      <c r="AU477" s="551"/>
      <c r="AV477" s="551"/>
      <c r="AW477" s="551"/>
      <c r="AX477" s="551"/>
      <c r="AY477" s="551"/>
      <c r="AZ477" s="551"/>
      <c r="BA477" s="551"/>
      <c r="BB477" s="551"/>
      <c r="BC477" s="551"/>
      <c r="BD477" s="551"/>
      <c r="BE477" s="551"/>
      <c r="BF477" s="551"/>
      <c r="BG477" s="551"/>
      <c r="BH477" s="551"/>
      <c r="BI477" s="551"/>
      <c r="BJ477" s="551"/>
    </row>
    <row r="478" spans="1:62" ht="12.75" customHeight="1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1"/>
      <c r="P478" s="551"/>
      <c r="Q478" s="551"/>
      <c r="R478" s="551"/>
      <c r="S478" s="551"/>
      <c r="T478" s="551"/>
      <c r="U478" s="551"/>
      <c r="V478" s="551"/>
      <c r="W478" s="551"/>
      <c r="X478" s="551"/>
      <c r="Y478" s="551"/>
      <c r="Z478" s="551"/>
      <c r="AA478" s="551"/>
      <c r="AB478" s="551"/>
      <c r="AC478" s="551"/>
      <c r="AD478" s="551"/>
      <c r="AE478" s="551"/>
      <c r="AF478" s="551"/>
      <c r="AG478" s="551"/>
      <c r="AH478" s="551"/>
      <c r="AI478" s="551"/>
      <c r="AJ478" s="551"/>
      <c r="AK478" s="551"/>
      <c r="AL478" s="551"/>
      <c r="AM478" s="551"/>
      <c r="AN478" s="551"/>
      <c r="AO478" s="551"/>
      <c r="AP478" s="551"/>
      <c r="AQ478" s="551"/>
      <c r="AR478" s="551"/>
      <c r="AS478" s="551"/>
      <c r="AT478" s="551"/>
      <c r="AU478" s="551"/>
      <c r="AV478" s="551"/>
      <c r="AW478" s="551"/>
      <c r="AX478" s="551"/>
      <c r="AY478" s="551"/>
      <c r="AZ478" s="551"/>
      <c r="BA478" s="551"/>
      <c r="BB478" s="551"/>
      <c r="BC478" s="551"/>
      <c r="BD478" s="551"/>
      <c r="BE478" s="551"/>
      <c r="BF478" s="551"/>
      <c r="BG478" s="551"/>
      <c r="BH478" s="551"/>
      <c r="BI478" s="551"/>
      <c r="BJ478" s="551"/>
    </row>
    <row r="479" spans="1:62" ht="12.75" customHeight="1">
      <c r="A479" s="551"/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51"/>
      <c r="AB479" s="551"/>
      <c r="AC479" s="551"/>
      <c r="AD479" s="551"/>
      <c r="AE479" s="551"/>
      <c r="AF479" s="551"/>
      <c r="AG479" s="551"/>
      <c r="AH479" s="551"/>
      <c r="AI479" s="551"/>
      <c r="AJ479" s="551"/>
      <c r="AK479" s="551"/>
      <c r="AL479" s="551"/>
      <c r="AM479" s="551"/>
      <c r="AN479" s="551"/>
      <c r="AO479" s="551"/>
      <c r="AP479" s="551"/>
      <c r="AQ479" s="551"/>
      <c r="AR479" s="551"/>
      <c r="AS479" s="551"/>
      <c r="AT479" s="551"/>
      <c r="AU479" s="551"/>
      <c r="AV479" s="551"/>
      <c r="AW479" s="551"/>
      <c r="AX479" s="551"/>
      <c r="AY479" s="551"/>
      <c r="AZ479" s="551"/>
      <c r="BA479" s="551"/>
      <c r="BB479" s="551"/>
      <c r="BC479" s="551"/>
      <c r="BD479" s="551"/>
      <c r="BE479" s="551"/>
      <c r="BF479" s="551"/>
      <c r="BG479" s="551"/>
      <c r="BH479" s="551"/>
      <c r="BI479" s="551"/>
      <c r="BJ479" s="551"/>
    </row>
    <row r="480" spans="1:62" ht="12.75" customHeight="1">
      <c r="A480" s="551"/>
      <c r="B480" s="551"/>
      <c r="C480" s="551"/>
      <c r="D480" s="551"/>
      <c r="E480" s="551"/>
      <c r="F480" s="551"/>
      <c r="G480" s="551"/>
      <c r="H480" s="551"/>
      <c r="I480" s="551"/>
      <c r="J480" s="551"/>
      <c r="K480" s="551"/>
      <c r="L480" s="551"/>
      <c r="M480" s="551"/>
      <c r="N480" s="551"/>
      <c r="O480" s="551"/>
      <c r="P480" s="551"/>
      <c r="Q480" s="551"/>
      <c r="R480" s="551"/>
      <c r="S480" s="551"/>
      <c r="T480" s="551"/>
      <c r="U480" s="551"/>
      <c r="V480" s="551"/>
      <c r="W480" s="551"/>
      <c r="X480" s="551"/>
      <c r="Y480" s="551"/>
      <c r="Z480" s="551"/>
      <c r="AA480" s="551"/>
      <c r="AB480" s="551"/>
      <c r="AC480" s="551"/>
      <c r="AD480" s="551"/>
      <c r="AE480" s="551"/>
      <c r="AF480" s="551"/>
      <c r="AG480" s="551"/>
      <c r="AH480" s="551"/>
      <c r="AI480" s="551"/>
      <c r="AJ480" s="551"/>
      <c r="AK480" s="551"/>
      <c r="AL480" s="551"/>
      <c r="AM480" s="551"/>
      <c r="AN480" s="551"/>
      <c r="AO480" s="551"/>
      <c r="AP480" s="551"/>
      <c r="AQ480" s="551"/>
      <c r="AR480" s="551"/>
      <c r="AS480" s="551"/>
      <c r="AT480" s="551"/>
      <c r="AU480" s="551"/>
      <c r="AV480" s="551"/>
      <c r="AW480" s="551"/>
      <c r="AX480" s="551"/>
      <c r="AY480" s="551"/>
      <c r="AZ480" s="551"/>
      <c r="BA480" s="551"/>
      <c r="BB480" s="551"/>
      <c r="BC480" s="551"/>
      <c r="BD480" s="551"/>
      <c r="BE480" s="551"/>
      <c r="BF480" s="551"/>
      <c r="BG480" s="551"/>
      <c r="BH480" s="551"/>
      <c r="BI480" s="551"/>
      <c r="BJ480" s="551"/>
    </row>
    <row r="481" spans="1:62" ht="12.75" customHeight="1">
      <c r="A481" s="551"/>
      <c r="B481" s="551"/>
      <c r="C481" s="551"/>
      <c r="D481" s="551"/>
      <c r="E481" s="551"/>
      <c r="F481" s="551"/>
      <c r="G481" s="551"/>
      <c r="H481" s="551"/>
      <c r="I481" s="551"/>
      <c r="J481" s="551"/>
      <c r="K481" s="551"/>
      <c r="L481" s="551"/>
      <c r="M481" s="551"/>
      <c r="N481" s="551"/>
      <c r="O481" s="551"/>
      <c r="P481" s="551"/>
      <c r="Q481" s="551"/>
      <c r="R481" s="551"/>
      <c r="S481" s="551"/>
      <c r="T481" s="551"/>
      <c r="U481" s="551"/>
      <c r="V481" s="551"/>
      <c r="W481" s="551"/>
      <c r="X481" s="551"/>
      <c r="Y481" s="551"/>
      <c r="Z481" s="551"/>
      <c r="AA481" s="551"/>
      <c r="AB481" s="551"/>
      <c r="AC481" s="551"/>
      <c r="AD481" s="551"/>
      <c r="AE481" s="551"/>
      <c r="AF481" s="551"/>
      <c r="AG481" s="551"/>
      <c r="AH481" s="551"/>
      <c r="AI481" s="551"/>
      <c r="AJ481" s="551"/>
      <c r="AK481" s="551"/>
      <c r="AL481" s="551"/>
      <c r="AM481" s="551"/>
      <c r="AN481" s="551"/>
      <c r="AO481" s="551"/>
      <c r="AP481" s="551"/>
      <c r="AQ481" s="551"/>
      <c r="AR481" s="551"/>
      <c r="AS481" s="551"/>
      <c r="AT481" s="551"/>
      <c r="AU481" s="551"/>
      <c r="AV481" s="551"/>
      <c r="AW481" s="551"/>
      <c r="AX481" s="551"/>
      <c r="AY481" s="551"/>
      <c r="AZ481" s="551"/>
      <c r="BA481" s="551"/>
      <c r="BB481" s="551"/>
      <c r="BC481" s="551"/>
      <c r="BD481" s="551"/>
      <c r="BE481" s="551"/>
      <c r="BF481" s="551"/>
      <c r="BG481" s="551"/>
      <c r="BH481" s="551"/>
      <c r="BI481" s="551"/>
      <c r="BJ481" s="551"/>
    </row>
    <row r="482" spans="1:62" ht="12.75" customHeight="1">
      <c r="A482" s="551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1"/>
      <c r="P482" s="551"/>
      <c r="Q482" s="551"/>
      <c r="R482" s="551"/>
      <c r="S482" s="551"/>
      <c r="T482" s="551"/>
      <c r="U482" s="551"/>
      <c r="V482" s="551"/>
      <c r="W482" s="551"/>
      <c r="X482" s="551"/>
      <c r="Y482" s="551"/>
      <c r="Z482" s="551"/>
      <c r="AA482" s="551"/>
      <c r="AB482" s="551"/>
      <c r="AC482" s="551"/>
      <c r="AD482" s="551"/>
      <c r="AE482" s="551"/>
      <c r="AF482" s="551"/>
      <c r="AG482" s="551"/>
      <c r="AH482" s="551"/>
      <c r="AI482" s="551"/>
      <c r="AJ482" s="551"/>
      <c r="AK482" s="551"/>
      <c r="AL482" s="551"/>
      <c r="AM482" s="551"/>
      <c r="AN482" s="551"/>
      <c r="AO482" s="551"/>
      <c r="AP482" s="551"/>
      <c r="AQ482" s="551"/>
      <c r="AR482" s="551"/>
      <c r="AS482" s="551"/>
      <c r="AT482" s="551"/>
      <c r="AU482" s="551"/>
      <c r="AV482" s="551"/>
      <c r="AW482" s="551"/>
      <c r="AX482" s="551"/>
      <c r="AY482" s="551"/>
      <c r="AZ482" s="551"/>
      <c r="BA482" s="551"/>
      <c r="BB482" s="551"/>
      <c r="BC482" s="551"/>
      <c r="BD482" s="551"/>
      <c r="BE482" s="551"/>
      <c r="BF482" s="551"/>
      <c r="BG482" s="551"/>
      <c r="BH482" s="551"/>
      <c r="BI482" s="551"/>
      <c r="BJ482" s="551"/>
    </row>
    <row r="483" spans="1:62" ht="12.75" customHeight="1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1"/>
      <c r="P483" s="551"/>
      <c r="Q483" s="551"/>
      <c r="R483" s="551"/>
      <c r="S483" s="551"/>
      <c r="T483" s="551"/>
      <c r="U483" s="551"/>
      <c r="V483" s="551"/>
      <c r="W483" s="551"/>
      <c r="X483" s="551"/>
      <c r="Y483" s="551"/>
      <c r="Z483" s="551"/>
      <c r="AA483" s="551"/>
      <c r="AB483" s="551"/>
      <c r="AC483" s="551"/>
      <c r="AD483" s="551"/>
      <c r="AE483" s="551"/>
      <c r="AF483" s="551"/>
      <c r="AG483" s="551"/>
      <c r="AH483" s="551"/>
      <c r="AI483" s="551"/>
      <c r="AJ483" s="551"/>
      <c r="AK483" s="551"/>
      <c r="AL483" s="551"/>
      <c r="AM483" s="551"/>
      <c r="AN483" s="551"/>
      <c r="AO483" s="551"/>
      <c r="AP483" s="551"/>
      <c r="AQ483" s="551"/>
      <c r="AR483" s="551"/>
      <c r="AS483" s="551"/>
      <c r="AT483" s="551"/>
      <c r="AU483" s="551"/>
      <c r="AV483" s="551"/>
      <c r="AW483" s="551"/>
      <c r="AX483" s="551"/>
      <c r="AY483" s="551"/>
      <c r="AZ483" s="551"/>
      <c r="BA483" s="551"/>
      <c r="BB483" s="551"/>
      <c r="BC483" s="551"/>
      <c r="BD483" s="551"/>
      <c r="BE483" s="551"/>
      <c r="BF483" s="551"/>
      <c r="BG483" s="551"/>
      <c r="BH483" s="551"/>
      <c r="BI483" s="551"/>
      <c r="BJ483" s="551"/>
    </row>
    <row r="484" spans="1:62" ht="12.75" customHeight="1">
      <c r="A484" s="551"/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51"/>
      <c r="AB484" s="551"/>
      <c r="AC484" s="551"/>
      <c r="AD484" s="551"/>
      <c r="AE484" s="551"/>
      <c r="AF484" s="551"/>
      <c r="AG484" s="551"/>
      <c r="AH484" s="551"/>
      <c r="AI484" s="551"/>
      <c r="AJ484" s="551"/>
      <c r="AK484" s="551"/>
      <c r="AL484" s="551"/>
      <c r="AM484" s="551"/>
      <c r="AN484" s="551"/>
      <c r="AO484" s="551"/>
      <c r="AP484" s="551"/>
      <c r="AQ484" s="551"/>
      <c r="AR484" s="551"/>
      <c r="AS484" s="551"/>
      <c r="AT484" s="551"/>
      <c r="AU484" s="551"/>
      <c r="AV484" s="551"/>
      <c r="AW484" s="551"/>
      <c r="AX484" s="551"/>
      <c r="AY484" s="551"/>
      <c r="AZ484" s="551"/>
      <c r="BA484" s="551"/>
      <c r="BB484" s="551"/>
      <c r="BC484" s="551"/>
      <c r="BD484" s="551"/>
      <c r="BE484" s="551"/>
      <c r="BF484" s="551"/>
      <c r="BG484" s="551"/>
      <c r="BH484" s="551"/>
      <c r="BI484" s="551"/>
      <c r="BJ484" s="551"/>
    </row>
    <row r="485" spans="1:62" ht="12.75" customHeight="1">
      <c r="A485" s="551"/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51"/>
      <c r="AB485" s="551"/>
      <c r="AC485" s="551"/>
      <c r="AD485" s="551"/>
      <c r="AE485" s="551"/>
      <c r="AF485" s="551"/>
      <c r="AG485" s="551"/>
      <c r="AH485" s="551"/>
      <c r="AI485" s="551"/>
      <c r="AJ485" s="551"/>
      <c r="AK485" s="551"/>
      <c r="AL485" s="551"/>
      <c r="AM485" s="551"/>
      <c r="AN485" s="551"/>
      <c r="AO485" s="551"/>
      <c r="AP485" s="551"/>
      <c r="AQ485" s="551"/>
      <c r="AR485" s="551"/>
      <c r="AS485" s="551"/>
      <c r="AT485" s="551"/>
      <c r="AU485" s="551"/>
      <c r="AV485" s="551"/>
      <c r="AW485" s="551"/>
      <c r="AX485" s="551"/>
      <c r="AY485" s="551"/>
      <c r="AZ485" s="551"/>
      <c r="BA485" s="551"/>
      <c r="BB485" s="551"/>
      <c r="BC485" s="551"/>
      <c r="BD485" s="551"/>
      <c r="BE485" s="551"/>
      <c r="BF485" s="551"/>
      <c r="BG485" s="551"/>
      <c r="BH485" s="551"/>
      <c r="BI485" s="551"/>
      <c r="BJ485" s="551"/>
    </row>
    <row r="486" spans="1:62" ht="12.75" customHeight="1">
      <c r="A486" s="551"/>
      <c r="B486" s="551"/>
      <c r="C486" s="551"/>
      <c r="D486" s="551"/>
      <c r="E486" s="551"/>
      <c r="F486" s="551"/>
      <c r="G486" s="551"/>
      <c r="H486" s="551"/>
      <c r="I486" s="551"/>
      <c r="J486" s="551"/>
      <c r="K486" s="551"/>
      <c r="L486" s="551"/>
      <c r="M486" s="551"/>
      <c r="N486" s="551"/>
      <c r="O486" s="551"/>
      <c r="P486" s="551"/>
      <c r="Q486" s="551"/>
      <c r="R486" s="551"/>
      <c r="S486" s="551"/>
      <c r="T486" s="551"/>
      <c r="U486" s="551"/>
      <c r="V486" s="551"/>
      <c r="W486" s="551"/>
      <c r="X486" s="551"/>
      <c r="Y486" s="551"/>
      <c r="Z486" s="551"/>
      <c r="AA486" s="551"/>
      <c r="AB486" s="551"/>
      <c r="AC486" s="551"/>
      <c r="AD486" s="551"/>
      <c r="AE486" s="551"/>
      <c r="AF486" s="551"/>
      <c r="AG486" s="551"/>
      <c r="AH486" s="551"/>
      <c r="AI486" s="551"/>
      <c r="AJ486" s="551"/>
      <c r="AK486" s="551"/>
      <c r="AL486" s="551"/>
      <c r="AM486" s="551"/>
      <c r="AN486" s="551"/>
      <c r="AO486" s="551"/>
      <c r="AP486" s="551"/>
      <c r="AQ486" s="551"/>
      <c r="AR486" s="551"/>
      <c r="AS486" s="551"/>
      <c r="AT486" s="551"/>
      <c r="AU486" s="551"/>
      <c r="AV486" s="551"/>
      <c r="AW486" s="551"/>
      <c r="AX486" s="551"/>
      <c r="AY486" s="551"/>
      <c r="AZ486" s="551"/>
      <c r="BA486" s="551"/>
      <c r="BB486" s="551"/>
      <c r="BC486" s="551"/>
      <c r="BD486" s="551"/>
      <c r="BE486" s="551"/>
      <c r="BF486" s="551"/>
      <c r="BG486" s="551"/>
      <c r="BH486" s="551"/>
      <c r="BI486" s="551"/>
      <c r="BJ486" s="551"/>
    </row>
    <row r="487" spans="1:62" ht="12.75" customHeight="1">
      <c r="A487" s="551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1"/>
      <c r="P487" s="551"/>
      <c r="Q487" s="551"/>
      <c r="R487" s="551"/>
      <c r="S487" s="551"/>
      <c r="T487" s="551"/>
      <c r="U487" s="551"/>
      <c r="V487" s="551"/>
      <c r="W487" s="551"/>
      <c r="X487" s="551"/>
      <c r="Y487" s="551"/>
      <c r="Z487" s="551"/>
      <c r="AA487" s="551"/>
      <c r="AB487" s="551"/>
      <c r="AC487" s="551"/>
      <c r="AD487" s="551"/>
      <c r="AE487" s="551"/>
      <c r="AF487" s="551"/>
      <c r="AG487" s="551"/>
      <c r="AH487" s="551"/>
      <c r="AI487" s="551"/>
      <c r="AJ487" s="551"/>
      <c r="AK487" s="551"/>
      <c r="AL487" s="551"/>
      <c r="AM487" s="551"/>
      <c r="AN487" s="551"/>
      <c r="AO487" s="551"/>
      <c r="AP487" s="551"/>
      <c r="AQ487" s="551"/>
      <c r="AR487" s="551"/>
      <c r="AS487" s="551"/>
      <c r="AT487" s="551"/>
      <c r="AU487" s="551"/>
      <c r="AV487" s="551"/>
      <c r="AW487" s="551"/>
      <c r="AX487" s="551"/>
      <c r="AY487" s="551"/>
      <c r="AZ487" s="551"/>
      <c r="BA487" s="551"/>
      <c r="BB487" s="551"/>
      <c r="BC487" s="551"/>
      <c r="BD487" s="551"/>
      <c r="BE487" s="551"/>
      <c r="BF487" s="551"/>
      <c r="BG487" s="551"/>
      <c r="BH487" s="551"/>
      <c r="BI487" s="551"/>
      <c r="BJ487" s="551"/>
    </row>
    <row r="488" spans="1:62" ht="12.75" customHeight="1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1"/>
      <c r="P488" s="551"/>
      <c r="Q488" s="551"/>
      <c r="R488" s="551"/>
      <c r="S488" s="551"/>
      <c r="T488" s="551"/>
      <c r="U488" s="551"/>
      <c r="V488" s="551"/>
      <c r="W488" s="551"/>
      <c r="X488" s="551"/>
      <c r="Y488" s="551"/>
      <c r="Z488" s="551"/>
      <c r="AA488" s="551"/>
      <c r="AB488" s="551"/>
      <c r="AC488" s="551"/>
      <c r="AD488" s="551"/>
      <c r="AE488" s="551"/>
      <c r="AF488" s="551"/>
      <c r="AG488" s="551"/>
      <c r="AH488" s="551"/>
      <c r="AI488" s="551"/>
      <c r="AJ488" s="551"/>
      <c r="AK488" s="551"/>
      <c r="AL488" s="551"/>
      <c r="AM488" s="551"/>
      <c r="AN488" s="551"/>
      <c r="AO488" s="551"/>
      <c r="AP488" s="551"/>
      <c r="AQ488" s="551"/>
      <c r="AR488" s="551"/>
      <c r="AS488" s="551"/>
      <c r="AT488" s="551"/>
      <c r="AU488" s="551"/>
      <c r="AV488" s="551"/>
      <c r="AW488" s="551"/>
      <c r="AX488" s="551"/>
      <c r="AY488" s="551"/>
      <c r="AZ488" s="551"/>
      <c r="BA488" s="551"/>
      <c r="BB488" s="551"/>
      <c r="BC488" s="551"/>
      <c r="BD488" s="551"/>
      <c r="BE488" s="551"/>
      <c r="BF488" s="551"/>
      <c r="BG488" s="551"/>
      <c r="BH488" s="551"/>
      <c r="BI488" s="551"/>
      <c r="BJ488" s="551"/>
    </row>
    <row r="489" spans="1:62" ht="12.75" customHeight="1">
      <c r="A489" s="551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551"/>
      <c r="P489" s="551"/>
      <c r="Q489" s="551"/>
      <c r="R489" s="551"/>
      <c r="S489" s="551"/>
      <c r="T489" s="551"/>
      <c r="U489" s="551"/>
      <c r="V489" s="551"/>
      <c r="W489" s="551"/>
      <c r="X489" s="551"/>
      <c r="Y489" s="551"/>
      <c r="Z489" s="551"/>
      <c r="AA489" s="551"/>
      <c r="AB489" s="551"/>
      <c r="AC489" s="551"/>
      <c r="AD489" s="551"/>
      <c r="AE489" s="551"/>
      <c r="AF489" s="551"/>
      <c r="AG489" s="551"/>
      <c r="AH489" s="551"/>
      <c r="AI489" s="551"/>
      <c r="AJ489" s="551"/>
      <c r="AK489" s="551"/>
      <c r="AL489" s="551"/>
      <c r="AM489" s="551"/>
      <c r="AN489" s="551"/>
      <c r="AO489" s="551"/>
      <c r="AP489" s="551"/>
      <c r="AQ489" s="551"/>
      <c r="AR489" s="551"/>
      <c r="AS489" s="551"/>
      <c r="AT489" s="551"/>
      <c r="AU489" s="551"/>
      <c r="AV489" s="551"/>
      <c r="AW489" s="551"/>
      <c r="AX489" s="551"/>
      <c r="AY489" s="551"/>
      <c r="AZ489" s="551"/>
      <c r="BA489" s="551"/>
      <c r="BB489" s="551"/>
      <c r="BC489" s="551"/>
      <c r="BD489" s="551"/>
      <c r="BE489" s="551"/>
      <c r="BF489" s="551"/>
      <c r="BG489" s="551"/>
      <c r="BH489" s="551"/>
      <c r="BI489" s="551"/>
      <c r="BJ489" s="551"/>
    </row>
    <row r="490" spans="1:62" ht="12.75" customHeight="1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551"/>
      <c r="P490" s="551"/>
      <c r="Q490" s="551"/>
      <c r="R490" s="551"/>
      <c r="S490" s="551"/>
      <c r="T490" s="551"/>
      <c r="U490" s="551"/>
      <c r="V490" s="551"/>
      <c r="W490" s="551"/>
      <c r="X490" s="551"/>
      <c r="Y490" s="551"/>
      <c r="Z490" s="551"/>
      <c r="AA490" s="551"/>
      <c r="AB490" s="551"/>
      <c r="AC490" s="551"/>
      <c r="AD490" s="551"/>
      <c r="AE490" s="551"/>
      <c r="AF490" s="551"/>
      <c r="AG490" s="551"/>
      <c r="AH490" s="551"/>
      <c r="AI490" s="551"/>
      <c r="AJ490" s="551"/>
      <c r="AK490" s="551"/>
      <c r="AL490" s="551"/>
      <c r="AM490" s="551"/>
      <c r="AN490" s="551"/>
      <c r="AO490" s="551"/>
      <c r="AP490" s="551"/>
      <c r="AQ490" s="551"/>
      <c r="AR490" s="551"/>
      <c r="AS490" s="551"/>
      <c r="AT490" s="551"/>
      <c r="AU490" s="551"/>
      <c r="AV490" s="551"/>
      <c r="AW490" s="551"/>
      <c r="AX490" s="551"/>
      <c r="AY490" s="551"/>
      <c r="AZ490" s="551"/>
      <c r="BA490" s="551"/>
      <c r="BB490" s="551"/>
      <c r="BC490" s="551"/>
      <c r="BD490" s="551"/>
      <c r="BE490" s="551"/>
      <c r="BF490" s="551"/>
      <c r="BG490" s="551"/>
      <c r="BH490" s="551"/>
      <c r="BI490" s="551"/>
      <c r="BJ490" s="551"/>
    </row>
    <row r="491" spans="1:62" ht="12.75" customHeight="1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551"/>
      <c r="P491" s="551"/>
      <c r="Q491" s="551"/>
      <c r="R491" s="551"/>
      <c r="S491" s="551"/>
      <c r="T491" s="551"/>
      <c r="U491" s="551"/>
      <c r="V491" s="551"/>
      <c r="W491" s="551"/>
      <c r="X491" s="551"/>
      <c r="Y491" s="551"/>
      <c r="Z491" s="551"/>
      <c r="AA491" s="551"/>
      <c r="AB491" s="551"/>
      <c r="AC491" s="551"/>
      <c r="AD491" s="551"/>
      <c r="AE491" s="551"/>
      <c r="AF491" s="551"/>
      <c r="AG491" s="551"/>
      <c r="AH491" s="551"/>
      <c r="AI491" s="551"/>
      <c r="AJ491" s="551"/>
      <c r="AK491" s="551"/>
      <c r="AL491" s="551"/>
      <c r="AM491" s="551"/>
      <c r="AN491" s="551"/>
      <c r="AO491" s="551"/>
      <c r="AP491" s="551"/>
      <c r="AQ491" s="551"/>
      <c r="AR491" s="551"/>
      <c r="AS491" s="551"/>
      <c r="AT491" s="551"/>
      <c r="AU491" s="551"/>
      <c r="AV491" s="551"/>
      <c r="AW491" s="551"/>
      <c r="AX491" s="551"/>
      <c r="AY491" s="551"/>
      <c r="AZ491" s="551"/>
      <c r="BA491" s="551"/>
      <c r="BB491" s="551"/>
      <c r="BC491" s="551"/>
      <c r="BD491" s="551"/>
      <c r="BE491" s="551"/>
      <c r="BF491" s="551"/>
      <c r="BG491" s="551"/>
      <c r="BH491" s="551"/>
      <c r="BI491" s="551"/>
      <c r="BJ491" s="551"/>
    </row>
    <row r="492" spans="1:62" ht="12.75" customHeight="1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551"/>
      <c r="P492" s="551"/>
      <c r="Q492" s="551"/>
      <c r="R492" s="551"/>
      <c r="S492" s="551"/>
      <c r="T492" s="551"/>
      <c r="U492" s="551"/>
      <c r="V492" s="551"/>
      <c r="W492" s="551"/>
      <c r="X492" s="551"/>
      <c r="Y492" s="551"/>
      <c r="Z492" s="551"/>
      <c r="AA492" s="551"/>
      <c r="AB492" s="551"/>
      <c r="AC492" s="551"/>
      <c r="AD492" s="551"/>
      <c r="AE492" s="551"/>
      <c r="AF492" s="551"/>
      <c r="AG492" s="551"/>
      <c r="AH492" s="551"/>
      <c r="AI492" s="551"/>
      <c r="AJ492" s="551"/>
      <c r="AK492" s="551"/>
      <c r="AL492" s="551"/>
      <c r="AM492" s="551"/>
      <c r="AN492" s="551"/>
      <c r="AO492" s="551"/>
      <c r="AP492" s="551"/>
      <c r="AQ492" s="551"/>
      <c r="AR492" s="551"/>
      <c r="AS492" s="551"/>
      <c r="AT492" s="551"/>
      <c r="AU492" s="551"/>
      <c r="AV492" s="551"/>
      <c r="AW492" s="551"/>
      <c r="AX492" s="551"/>
      <c r="AY492" s="551"/>
      <c r="AZ492" s="551"/>
      <c r="BA492" s="551"/>
      <c r="BB492" s="551"/>
      <c r="BC492" s="551"/>
      <c r="BD492" s="551"/>
      <c r="BE492" s="551"/>
      <c r="BF492" s="551"/>
      <c r="BG492" s="551"/>
      <c r="BH492" s="551"/>
      <c r="BI492" s="551"/>
      <c r="BJ492" s="551"/>
    </row>
    <row r="493" spans="1:62" ht="12.75" customHeight="1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551"/>
      <c r="P493" s="551"/>
      <c r="Q493" s="551"/>
      <c r="R493" s="551"/>
      <c r="S493" s="551"/>
      <c r="T493" s="551"/>
      <c r="U493" s="551"/>
      <c r="V493" s="551"/>
      <c r="W493" s="551"/>
      <c r="X493" s="551"/>
      <c r="Y493" s="551"/>
      <c r="Z493" s="551"/>
      <c r="AA493" s="551"/>
      <c r="AB493" s="551"/>
      <c r="AC493" s="551"/>
      <c r="AD493" s="551"/>
      <c r="AE493" s="551"/>
      <c r="AF493" s="551"/>
      <c r="AG493" s="551"/>
      <c r="AH493" s="551"/>
      <c r="AI493" s="551"/>
      <c r="AJ493" s="551"/>
      <c r="AK493" s="551"/>
      <c r="AL493" s="551"/>
      <c r="AM493" s="551"/>
      <c r="AN493" s="551"/>
      <c r="AO493" s="551"/>
      <c r="AP493" s="551"/>
      <c r="AQ493" s="551"/>
      <c r="AR493" s="551"/>
      <c r="AS493" s="551"/>
      <c r="AT493" s="551"/>
      <c r="AU493" s="551"/>
      <c r="AV493" s="551"/>
      <c r="AW493" s="551"/>
      <c r="AX493" s="551"/>
      <c r="AY493" s="551"/>
      <c r="AZ493" s="551"/>
      <c r="BA493" s="551"/>
      <c r="BB493" s="551"/>
      <c r="BC493" s="551"/>
      <c r="BD493" s="551"/>
      <c r="BE493" s="551"/>
      <c r="BF493" s="551"/>
      <c r="BG493" s="551"/>
      <c r="BH493" s="551"/>
      <c r="BI493" s="551"/>
      <c r="BJ493" s="551"/>
    </row>
    <row r="494" spans="1:62" ht="12.75" customHeight="1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551"/>
      <c r="P494" s="551"/>
      <c r="Q494" s="551"/>
      <c r="R494" s="551"/>
      <c r="S494" s="551"/>
      <c r="T494" s="551"/>
      <c r="U494" s="551"/>
      <c r="V494" s="551"/>
      <c r="W494" s="551"/>
      <c r="X494" s="551"/>
      <c r="Y494" s="551"/>
      <c r="Z494" s="551"/>
      <c r="AA494" s="551"/>
      <c r="AB494" s="551"/>
      <c r="AC494" s="551"/>
      <c r="AD494" s="551"/>
      <c r="AE494" s="551"/>
      <c r="AF494" s="551"/>
      <c r="AG494" s="551"/>
      <c r="AH494" s="551"/>
      <c r="AI494" s="551"/>
      <c r="AJ494" s="551"/>
      <c r="AK494" s="551"/>
      <c r="AL494" s="551"/>
      <c r="AM494" s="551"/>
      <c r="AN494" s="551"/>
      <c r="AO494" s="551"/>
      <c r="AP494" s="551"/>
      <c r="AQ494" s="551"/>
      <c r="AR494" s="551"/>
      <c r="AS494" s="551"/>
      <c r="AT494" s="551"/>
      <c r="AU494" s="551"/>
      <c r="AV494" s="551"/>
      <c r="AW494" s="551"/>
      <c r="AX494" s="551"/>
      <c r="AY494" s="551"/>
      <c r="AZ494" s="551"/>
      <c r="BA494" s="551"/>
      <c r="BB494" s="551"/>
      <c r="BC494" s="551"/>
      <c r="BD494" s="551"/>
      <c r="BE494" s="551"/>
      <c r="BF494" s="551"/>
      <c r="BG494" s="551"/>
      <c r="BH494" s="551"/>
      <c r="BI494" s="551"/>
      <c r="BJ494" s="551"/>
    </row>
    <row r="495" spans="1:62" ht="12.75" customHeight="1">
      <c r="A495" s="551"/>
      <c r="B495" s="551"/>
      <c r="C495" s="551"/>
      <c r="D495" s="551"/>
      <c r="E495" s="551"/>
      <c r="F495" s="551"/>
      <c r="G495" s="551"/>
      <c r="H495" s="551"/>
      <c r="I495" s="551"/>
      <c r="J495" s="551"/>
      <c r="K495" s="551"/>
      <c r="L495" s="551"/>
      <c r="M495" s="551"/>
      <c r="N495" s="551"/>
      <c r="O495" s="551"/>
      <c r="P495" s="551"/>
      <c r="Q495" s="551"/>
      <c r="R495" s="551"/>
      <c r="S495" s="551"/>
      <c r="T495" s="551"/>
      <c r="U495" s="551"/>
      <c r="V495" s="551"/>
      <c r="W495" s="551"/>
      <c r="X495" s="551"/>
      <c r="Y495" s="551"/>
      <c r="Z495" s="551"/>
      <c r="AA495" s="551"/>
      <c r="AB495" s="551"/>
      <c r="AC495" s="551"/>
      <c r="AD495" s="551"/>
      <c r="AE495" s="551"/>
      <c r="AF495" s="551"/>
      <c r="AG495" s="551"/>
      <c r="AH495" s="551"/>
      <c r="AI495" s="551"/>
      <c r="AJ495" s="551"/>
      <c r="AK495" s="551"/>
      <c r="AL495" s="551"/>
      <c r="AM495" s="551"/>
      <c r="AN495" s="551"/>
      <c r="AO495" s="551"/>
      <c r="AP495" s="551"/>
      <c r="AQ495" s="551"/>
      <c r="AR495" s="551"/>
      <c r="AS495" s="551"/>
      <c r="AT495" s="551"/>
      <c r="AU495" s="551"/>
      <c r="AV495" s="551"/>
      <c r="AW495" s="551"/>
      <c r="AX495" s="551"/>
      <c r="AY495" s="551"/>
      <c r="AZ495" s="551"/>
      <c r="BA495" s="551"/>
      <c r="BB495" s="551"/>
      <c r="BC495" s="551"/>
      <c r="BD495" s="551"/>
      <c r="BE495" s="551"/>
      <c r="BF495" s="551"/>
      <c r="BG495" s="551"/>
      <c r="BH495" s="551"/>
      <c r="BI495" s="551"/>
      <c r="BJ495" s="551"/>
    </row>
    <row r="496" spans="1:62" ht="12.75" customHeight="1">
      <c r="A496" s="551"/>
      <c r="B496" s="551"/>
      <c r="C496" s="551"/>
      <c r="D496" s="551"/>
      <c r="E496" s="551"/>
      <c r="F496" s="551"/>
      <c r="G496" s="551"/>
      <c r="H496" s="551"/>
      <c r="I496" s="551"/>
      <c r="J496" s="551"/>
      <c r="K496" s="551"/>
      <c r="L496" s="551"/>
      <c r="M496" s="551"/>
      <c r="N496" s="551"/>
      <c r="O496" s="551"/>
      <c r="P496" s="551"/>
      <c r="Q496" s="551"/>
      <c r="R496" s="551"/>
      <c r="S496" s="551"/>
      <c r="T496" s="551"/>
      <c r="U496" s="551"/>
      <c r="V496" s="551"/>
      <c r="W496" s="551"/>
      <c r="X496" s="551"/>
      <c r="Y496" s="551"/>
      <c r="Z496" s="551"/>
      <c r="AA496" s="551"/>
      <c r="AB496" s="551"/>
      <c r="AC496" s="551"/>
      <c r="AD496" s="551"/>
      <c r="AE496" s="551"/>
      <c r="AF496" s="551"/>
      <c r="AG496" s="551"/>
      <c r="AH496" s="551"/>
      <c r="AI496" s="551"/>
      <c r="AJ496" s="551"/>
      <c r="AK496" s="551"/>
      <c r="AL496" s="551"/>
      <c r="AM496" s="551"/>
      <c r="AN496" s="551"/>
      <c r="AO496" s="551"/>
      <c r="AP496" s="551"/>
      <c r="AQ496" s="551"/>
      <c r="AR496" s="551"/>
      <c r="AS496" s="551"/>
      <c r="AT496" s="551"/>
      <c r="AU496" s="551"/>
      <c r="AV496" s="551"/>
      <c r="AW496" s="551"/>
      <c r="AX496" s="551"/>
      <c r="AY496" s="551"/>
      <c r="AZ496" s="551"/>
      <c r="BA496" s="551"/>
      <c r="BB496" s="551"/>
      <c r="BC496" s="551"/>
      <c r="BD496" s="551"/>
      <c r="BE496" s="551"/>
      <c r="BF496" s="551"/>
      <c r="BG496" s="551"/>
      <c r="BH496" s="551"/>
      <c r="BI496" s="551"/>
      <c r="BJ496" s="551"/>
    </row>
    <row r="497" spans="1:62" ht="12.75" customHeight="1">
      <c r="A497" s="551"/>
      <c r="B497" s="551"/>
      <c r="C497" s="551"/>
      <c r="D497" s="551"/>
      <c r="E497" s="551"/>
      <c r="F497" s="551"/>
      <c r="G497" s="551"/>
      <c r="H497" s="551"/>
      <c r="I497" s="551"/>
      <c r="J497" s="551"/>
      <c r="K497" s="551"/>
      <c r="L497" s="551"/>
      <c r="M497" s="551"/>
      <c r="N497" s="551"/>
      <c r="O497" s="551"/>
      <c r="P497" s="551"/>
      <c r="Q497" s="551"/>
      <c r="R497" s="551"/>
      <c r="S497" s="551"/>
      <c r="T497" s="551"/>
      <c r="U497" s="551"/>
      <c r="V497" s="551"/>
      <c r="W497" s="551"/>
      <c r="X497" s="551"/>
      <c r="Y497" s="551"/>
      <c r="Z497" s="551"/>
      <c r="AA497" s="551"/>
      <c r="AB497" s="551"/>
      <c r="AC497" s="551"/>
      <c r="AD497" s="551"/>
      <c r="AE497" s="551"/>
      <c r="AF497" s="551"/>
      <c r="AG497" s="551"/>
      <c r="AH497" s="551"/>
      <c r="AI497" s="551"/>
      <c r="AJ497" s="551"/>
      <c r="AK497" s="551"/>
      <c r="AL497" s="551"/>
      <c r="AM497" s="551"/>
      <c r="AN497" s="551"/>
      <c r="AO497" s="551"/>
      <c r="AP497" s="551"/>
      <c r="AQ497" s="551"/>
      <c r="AR497" s="551"/>
      <c r="AS497" s="551"/>
      <c r="AT497" s="551"/>
      <c r="AU497" s="551"/>
      <c r="AV497" s="551"/>
      <c r="AW497" s="551"/>
      <c r="AX497" s="551"/>
      <c r="AY497" s="551"/>
      <c r="AZ497" s="551"/>
      <c r="BA497" s="551"/>
      <c r="BB497" s="551"/>
      <c r="BC497" s="551"/>
      <c r="BD497" s="551"/>
      <c r="BE497" s="551"/>
      <c r="BF497" s="551"/>
      <c r="BG497" s="551"/>
      <c r="BH497" s="551"/>
      <c r="BI497" s="551"/>
      <c r="BJ497" s="551"/>
    </row>
    <row r="498" spans="1:62" ht="12.75" customHeight="1">
      <c r="A498" s="551"/>
      <c r="B498" s="551"/>
      <c r="C498" s="551"/>
      <c r="D498" s="551"/>
      <c r="E498" s="551"/>
      <c r="F498" s="551"/>
      <c r="G498" s="551"/>
      <c r="H498" s="551"/>
      <c r="I498" s="551"/>
      <c r="J498" s="551"/>
      <c r="K498" s="551"/>
      <c r="L498" s="551"/>
      <c r="M498" s="551"/>
      <c r="N498" s="551"/>
      <c r="O498" s="551"/>
      <c r="P498" s="551"/>
      <c r="Q498" s="551"/>
      <c r="R498" s="551"/>
      <c r="S498" s="551"/>
      <c r="T498" s="551"/>
      <c r="U498" s="551"/>
      <c r="V498" s="551"/>
      <c r="W498" s="551"/>
      <c r="X498" s="551"/>
      <c r="Y498" s="551"/>
      <c r="Z498" s="551"/>
      <c r="AA498" s="551"/>
      <c r="AB498" s="551"/>
      <c r="AC498" s="551"/>
      <c r="AD498" s="551"/>
      <c r="AE498" s="551"/>
      <c r="AF498" s="551"/>
      <c r="AG498" s="551"/>
      <c r="AH498" s="551"/>
      <c r="AI498" s="551"/>
      <c r="AJ498" s="551"/>
      <c r="AK498" s="551"/>
      <c r="AL498" s="551"/>
      <c r="AM498" s="551"/>
      <c r="AN498" s="551"/>
      <c r="AO498" s="551"/>
      <c r="AP498" s="551"/>
      <c r="AQ498" s="551"/>
      <c r="AR498" s="551"/>
      <c r="AS498" s="551"/>
      <c r="AT498" s="551"/>
      <c r="AU498" s="551"/>
      <c r="AV498" s="551"/>
      <c r="AW498" s="551"/>
      <c r="AX498" s="551"/>
      <c r="AY498" s="551"/>
      <c r="AZ498" s="551"/>
      <c r="BA498" s="551"/>
      <c r="BB498" s="551"/>
      <c r="BC498" s="551"/>
      <c r="BD498" s="551"/>
      <c r="BE498" s="551"/>
      <c r="BF498" s="551"/>
      <c r="BG498" s="551"/>
      <c r="BH498" s="551"/>
      <c r="BI498" s="551"/>
      <c r="BJ498" s="551"/>
    </row>
    <row r="499" spans="1:62" ht="12.75" customHeight="1">
      <c r="A499" s="551"/>
      <c r="B499" s="551"/>
      <c r="C499" s="551"/>
      <c r="D499" s="551"/>
      <c r="E499" s="551"/>
      <c r="F499" s="551"/>
      <c r="G499" s="551"/>
      <c r="H499" s="551"/>
      <c r="I499" s="551"/>
      <c r="J499" s="551"/>
      <c r="K499" s="551"/>
      <c r="L499" s="551"/>
      <c r="M499" s="551"/>
      <c r="N499" s="551"/>
      <c r="O499" s="551"/>
      <c r="P499" s="551"/>
      <c r="Q499" s="551"/>
      <c r="R499" s="551"/>
      <c r="S499" s="551"/>
      <c r="T499" s="551"/>
      <c r="U499" s="551"/>
      <c r="V499" s="551"/>
      <c r="W499" s="551"/>
      <c r="X499" s="551"/>
      <c r="Y499" s="551"/>
      <c r="Z499" s="551"/>
      <c r="AA499" s="551"/>
      <c r="AB499" s="551"/>
      <c r="AC499" s="551"/>
      <c r="AD499" s="551"/>
      <c r="AE499" s="551"/>
      <c r="AF499" s="551"/>
      <c r="AG499" s="551"/>
      <c r="AH499" s="551"/>
      <c r="AI499" s="551"/>
      <c r="AJ499" s="551"/>
      <c r="AK499" s="551"/>
      <c r="AL499" s="551"/>
      <c r="AM499" s="551"/>
      <c r="AN499" s="551"/>
      <c r="AO499" s="551"/>
      <c r="AP499" s="551"/>
      <c r="AQ499" s="551"/>
      <c r="AR499" s="551"/>
      <c r="AS499" s="551"/>
      <c r="AT499" s="551"/>
      <c r="AU499" s="551"/>
      <c r="AV499" s="551"/>
      <c r="AW499" s="551"/>
      <c r="AX499" s="551"/>
      <c r="AY499" s="551"/>
      <c r="AZ499" s="551"/>
      <c r="BA499" s="551"/>
      <c r="BB499" s="551"/>
      <c r="BC499" s="551"/>
      <c r="BD499" s="551"/>
      <c r="BE499" s="551"/>
      <c r="BF499" s="551"/>
      <c r="BG499" s="551"/>
      <c r="BH499" s="551"/>
      <c r="BI499" s="551"/>
      <c r="BJ499" s="551"/>
    </row>
    <row r="500" spans="1:62" ht="12.75" customHeight="1">
      <c r="A500" s="551"/>
      <c r="B500" s="551"/>
      <c r="C500" s="551"/>
      <c r="D500" s="551"/>
      <c r="E500" s="551"/>
      <c r="F500" s="551"/>
      <c r="G500" s="551"/>
      <c r="H500" s="551"/>
      <c r="I500" s="551"/>
      <c r="J500" s="551"/>
      <c r="K500" s="551"/>
      <c r="L500" s="551"/>
      <c r="M500" s="551"/>
      <c r="N500" s="551"/>
      <c r="O500" s="551"/>
      <c r="P500" s="551"/>
      <c r="Q500" s="551"/>
      <c r="R500" s="551"/>
      <c r="S500" s="551"/>
      <c r="T500" s="551"/>
      <c r="U500" s="551"/>
      <c r="V500" s="551"/>
      <c r="W500" s="551"/>
      <c r="X500" s="551"/>
      <c r="Y500" s="551"/>
      <c r="Z500" s="551"/>
      <c r="AA500" s="551"/>
      <c r="AB500" s="551"/>
      <c r="AC500" s="551"/>
      <c r="AD500" s="551"/>
      <c r="AE500" s="551"/>
      <c r="AF500" s="551"/>
      <c r="AG500" s="551"/>
      <c r="AH500" s="551"/>
      <c r="AI500" s="551"/>
      <c r="AJ500" s="551"/>
      <c r="AK500" s="551"/>
      <c r="AL500" s="551"/>
      <c r="AM500" s="551"/>
      <c r="AN500" s="551"/>
      <c r="AO500" s="551"/>
      <c r="AP500" s="551"/>
      <c r="AQ500" s="551"/>
      <c r="AR500" s="551"/>
      <c r="AS500" s="551"/>
      <c r="AT500" s="551"/>
      <c r="AU500" s="551"/>
      <c r="AV500" s="551"/>
      <c r="AW500" s="551"/>
      <c r="AX500" s="551"/>
      <c r="AY500" s="551"/>
      <c r="AZ500" s="551"/>
      <c r="BA500" s="551"/>
      <c r="BB500" s="551"/>
      <c r="BC500" s="551"/>
      <c r="BD500" s="551"/>
      <c r="BE500" s="551"/>
      <c r="BF500" s="551"/>
      <c r="BG500" s="551"/>
      <c r="BH500" s="551"/>
      <c r="BI500" s="551"/>
      <c r="BJ500" s="551"/>
    </row>
    <row r="501" spans="1:62" ht="12.75" customHeight="1">
      <c r="A501" s="551"/>
      <c r="B501" s="551"/>
      <c r="C501" s="551"/>
      <c r="D501" s="551"/>
      <c r="E501" s="551"/>
      <c r="F501" s="551"/>
      <c r="G501" s="551"/>
      <c r="H501" s="551"/>
      <c r="I501" s="551"/>
      <c r="J501" s="551"/>
      <c r="K501" s="551"/>
      <c r="L501" s="551"/>
      <c r="M501" s="551"/>
      <c r="N501" s="551"/>
      <c r="O501" s="551"/>
      <c r="P501" s="551"/>
      <c r="Q501" s="551"/>
      <c r="R501" s="551"/>
      <c r="S501" s="551"/>
      <c r="T501" s="551"/>
      <c r="U501" s="551"/>
      <c r="V501" s="551"/>
      <c r="W501" s="551"/>
      <c r="X501" s="551"/>
      <c r="Y501" s="551"/>
      <c r="Z501" s="551"/>
      <c r="AA501" s="551"/>
      <c r="AB501" s="551"/>
      <c r="AC501" s="551"/>
      <c r="AD501" s="551"/>
      <c r="AE501" s="551"/>
      <c r="AF501" s="551"/>
      <c r="AG501" s="551"/>
      <c r="AH501" s="551"/>
      <c r="AI501" s="551"/>
      <c r="AJ501" s="551"/>
      <c r="AK501" s="551"/>
      <c r="AL501" s="551"/>
      <c r="AM501" s="551"/>
      <c r="AN501" s="551"/>
      <c r="AO501" s="551"/>
      <c r="AP501" s="551"/>
      <c r="AQ501" s="551"/>
      <c r="AR501" s="551"/>
      <c r="AS501" s="551"/>
      <c r="AT501" s="551"/>
      <c r="AU501" s="551"/>
      <c r="AV501" s="551"/>
      <c r="AW501" s="551"/>
      <c r="AX501" s="551"/>
      <c r="AY501" s="551"/>
      <c r="AZ501" s="551"/>
      <c r="BA501" s="551"/>
      <c r="BB501" s="551"/>
      <c r="BC501" s="551"/>
      <c r="BD501" s="551"/>
      <c r="BE501" s="551"/>
      <c r="BF501" s="551"/>
      <c r="BG501" s="551"/>
      <c r="BH501" s="551"/>
      <c r="BI501" s="551"/>
      <c r="BJ501" s="551"/>
    </row>
    <row r="502" spans="1:62" ht="12.75" customHeight="1">
      <c r="A502" s="551"/>
      <c r="B502" s="551"/>
      <c r="C502" s="551"/>
      <c r="D502" s="551"/>
      <c r="E502" s="551"/>
      <c r="F502" s="551"/>
      <c r="G502" s="551"/>
      <c r="H502" s="551"/>
      <c r="I502" s="551"/>
      <c r="J502" s="551"/>
      <c r="K502" s="551"/>
      <c r="L502" s="551"/>
      <c r="M502" s="551"/>
      <c r="N502" s="551"/>
      <c r="O502" s="551"/>
      <c r="P502" s="551"/>
      <c r="Q502" s="551"/>
      <c r="R502" s="551"/>
      <c r="S502" s="551"/>
      <c r="T502" s="551"/>
      <c r="U502" s="551"/>
      <c r="V502" s="551"/>
      <c r="W502" s="551"/>
      <c r="X502" s="551"/>
      <c r="Y502" s="551"/>
      <c r="Z502" s="551"/>
      <c r="AA502" s="551"/>
      <c r="AB502" s="551"/>
      <c r="AC502" s="551"/>
      <c r="AD502" s="551"/>
      <c r="AE502" s="551"/>
      <c r="AF502" s="551"/>
      <c r="AG502" s="551"/>
      <c r="AH502" s="551"/>
      <c r="AI502" s="551"/>
      <c r="AJ502" s="551"/>
      <c r="AK502" s="551"/>
      <c r="AL502" s="551"/>
      <c r="AM502" s="551"/>
      <c r="AN502" s="551"/>
      <c r="AO502" s="551"/>
      <c r="AP502" s="551"/>
      <c r="AQ502" s="551"/>
      <c r="AR502" s="551"/>
      <c r="AS502" s="551"/>
      <c r="AT502" s="551"/>
      <c r="AU502" s="551"/>
      <c r="AV502" s="551"/>
      <c r="AW502" s="551"/>
      <c r="AX502" s="551"/>
      <c r="AY502" s="551"/>
      <c r="AZ502" s="551"/>
      <c r="BA502" s="551"/>
      <c r="BB502" s="551"/>
      <c r="BC502" s="551"/>
      <c r="BD502" s="551"/>
      <c r="BE502" s="551"/>
      <c r="BF502" s="551"/>
      <c r="BG502" s="551"/>
      <c r="BH502" s="551"/>
      <c r="BI502" s="551"/>
      <c r="BJ502" s="551"/>
    </row>
    <row r="503" spans="1:62" ht="12.75" customHeight="1">
      <c r="A503" s="551"/>
      <c r="B503" s="551"/>
      <c r="C503" s="551"/>
      <c r="D503" s="551"/>
      <c r="E503" s="551"/>
      <c r="F503" s="551"/>
      <c r="G503" s="551"/>
      <c r="H503" s="551"/>
      <c r="I503" s="551"/>
      <c r="J503" s="551"/>
      <c r="K503" s="551"/>
      <c r="L503" s="551"/>
      <c r="M503" s="551"/>
      <c r="N503" s="551"/>
      <c r="O503" s="551"/>
      <c r="P503" s="551"/>
      <c r="Q503" s="551"/>
      <c r="R503" s="551"/>
      <c r="S503" s="551"/>
      <c r="T503" s="551"/>
      <c r="U503" s="551"/>
      <c r="V503" s="551"/>
      <c r="W503" s="551"/>
      <c r="X503" s="551"/>
      <c r="Y503" s="551"/>
      <c r="Z503" s="551"/>
      <c r="AA503" s="551"/>
      <c r="AB503" s="551"/>
      <c r="AC503" s="551"/>
      <c r="AD503" s="551"/>
      <c r="AE503" s="551"/>
      <c r="AF503" s="551"/>
      <c r="AG503" s="551"/>
      <c r="AH503" s="551"/>
      <c r="AI503" s="551"/>
      <c r="AJ503" s="551"/>
      <c r="AK503" s="551"/>
      <c r="AL503" s="551"/>
      <c r="AM503" s="551"/>
      <c r="AN503" s="551"/>
      <c r="AO503" s="551"/>
      <c r="AP503" s="551"/>
      <c r="AQ503" s="551"/>
      <c r="AR503" s="551"/>
      <c r="AS503" s="551"/>
      <c r="AT503" s="551"/>
      <c r="AU503" s="551"/>
      <c r="AV503" s="551"/>
      <c r="AW503" s="551"/>
      <c r="AX503" s="551"/>
      <c r="AY503" s="551"/>
      <c r="AZ503" s="551"/>
      <c r="BA503" s="551"/>
      <c r="BB503" s="551"/>
      <c r="BC503" s="551"/>
      <c r="BD503" s="551"/>
      <c r="BE503" s="551"/>
      <c r="BF503" s="551"/>
      <c r="BG503" s="551"/>
      <c r="BH503" s="551"/>
      <c r="BI503" s="551"/>
      <c r="BJ503" s="551"/>
    </row>
    <row r="504" spans="1:62" ht="12.75" customHeight="1">
      <c r="A504" s="551"/>
      <c r="B504" s="551"/>
      <c r="C504" s="551"/>
      <c r="D504" s="551"/>
      <c r="E504" s="551"/>
      <c r="F504" s="551"/>
      <c r="G504" s="551"/>
      <c r="H504" s="551"/>
      <c r="I504" s="551"/>
      <c r="J504" s="551"/>
      <c r="K504" s="551"/>
      <c r="L504" s="551"/>
      <c r="M504" s="551"/>
      <c r="N504" s="551"/>
      <c r="O504" s="551"/>
      <c r="P504" s="551"/>
      <c r="Q504" s="551"/>
      <c r="R504" s="551"/>
      <c r="S504" s="551"/>
      <c r="T504" s="551"/>
      <c r="U504" s="551"/>
      <c r="V504" s="551"/>
      <c r="W504" s="551"/>
      <c r="X504" s="551"/>
      <c r="Y504" s="551"/>
      <c r="Z504" s="551"/>
      <c r="AA504" s="551"/>
      <c r="AB504" s="551"/>
      <c r="AC504" s="551"/>
      <c r="AD504" s="551"/>
      <c r="AE504" s="551"/>
      <c r="AF504" s="551"/>
      <c r="AG504" s="551"/>
      <c r="AH504" s="551"/>
      <c r="AI504" s="551"/>
      <c r="AJ504" s="551"/>
      <c r="AK504" s="551"/>
      <c r="AL504" s="551"/>
      <c r="AM504" s="551"/>
      <c r="AN504" s="551"/>
      <c r="AO504" s="551"/>
      <c r="AP504" s="551"/>
      <c r="AQ504" s="551"/>
      <c r="AR504" s="551"/>
      <c r="AS504" s="551"/>
      <c r="AT504" s="551"/>
      <c r="AU504" s="551"/>
      <c r="AV504" s="551"/>
      <c r="AW504" s="551"/>
      <c r="AX504" s="551"/>
      <c r="AY504" s="551"/>
      <c r="AZ504" s="551"/>
      <c r="BA504" s="551"/>
      <c r="BB504" s="551"/>
      <c r="BC504" s="551"/>
      <c r="BD504" s="551"/>
      <c r="BE504" s="551"/>
      <c r="BF504" s="551"/>
      <c r="BG504" s="551"/>
      <c r="BH504" s="551"/>
      <c r="BI504" s="551"/>
      <c r="BJ504" s="551"/>
    </row>
    <row r="505" spans="1:62" ht="12.75" customHeight="1">
      <c r="A505" s="551"/>
      <c r="B505" s="551"/>
      <c r="C505" s="551"/>
      <c r="D505" s="551"/>
      <c r="E505" s="551"/>
      <c r="F505" s="551"/>
      <c r="G505" s="551"/>
      <c r="H505" s="551"/>
      <c r="I505" s="551"/>
      <c r="J505" s="551"/>
      <c r="K505" s="551"/>
      <c r="L505" s="551"/>
      <c r="M505" s="551"/>
      <c r="N505" s="551"/>
      <c r="O505" s="551"/>
      <c r="P505" s="551"/>
      <c r="Q505" s="551"/>
      <c r="R505" s="551"/>
      <c r="S505" s="551"/>
      <c r="T505" s="551"/>
      <c r="U505" s="551"/>
      <c r="V505" s="551"/>
      <c r="W505" s="551"/>
      <c r="X505" s="551"/>
      <c r="Y505" s="551"/>
      <c r="Z505" s="551"/>
      <c r="AA505" s="551"/>
      <c r="AB505" s="551"/>
      <c r="AC505" s="551"/>
      <c r="AD505" s="551"/>
      <c r="AE505" s="551"/>
      <c r="AF505" s="551"/>
      <c r="AG505" s="551"/>
      <c r="AH505" s="551"/>
      <c r="AI505" s="551"/>
      <c r="AJ505" s="551"/>
      <c r="AK505" s="551"/>
      <c r="AL505" s="551"/>
      <c r="AM505" s="551"/>
      <c r="AN505" s="551"/>
      <c r="AO505" s="551"/>
      <c r="AP505" s="551"/>
      <c r="AQ505" s="551"/>
      <c r="AR505" s="551"/>
      <c r="AS505" s="551"/>
      <c r="AT505" s="551"/>
      <c r="AU505" s="551"/>
      <c r="AV505" s="551"/>
      <c r="AW505" s="551"/>
      <c r="AX505" s="551"/>
      <c r="AY505" s="551"/>
      <c r="AZ505" s="551"/>
      <c r="BA505" s="551"/>
      <c r="BB505" s="551"/>
      <c r="BC505" s="551"/>
      <c r="BD505" s="551"/>
      <c r="BE505" s="551"/>
      <c r="BF505" s="551"/>
      <c r="BG505" s="551"/>
      <c r="BH505" s="551"/>
      <c r="BI505" s="551"/>
      <c r="BJ505" s="551"/>
    </row>
    <row r="506" spans="1:62" ht="12.75" customHeight="1">
      <c r="A506" s="551"/>
      <c r="B506" s="551"/>
      <c r="C506" s="551"/>
      <c r="D506" s="551"/>
      <c r="E506" s="551"/>
      <c r="F506" s="551"/>
      <c r="G506" s="551"/>
      <c r="H506" s="551"/>
      <c r="I506" s="551"/>
      <c r="J506" s="551"/>
      <c r="K506" s="551"/>
      <c r="L506" s="551"/>
      <c r="M506" s="551"/>
      <c r="N506" s="551"/>
      <c r="O506" s="551"/>
      <c r="P506" s="551"/>
      <c r="Q506" s="551"/>
      <c r="R506" s="551"/>
      <c r="S506" s="551"/>
      <c r="T506" s="551"/>
      <c r="U506" s="551"/>
      <c r="V506" s="551"/>
      <c r="W506" s="551"/>
      <c r="X506" s="551"/>
      <c r="Y506" s="551"/>
      <c r="Z506" s="551"/>
      <c r="AA506" s="551"/>
      <c r="AB506" s="551"/>
      <c r="AC506" s="551"/>
      <c r="AD506" s="551"/>
      <c r="AE506" s="551"/>
      <c r="AF506" s="551"/>
      <c r="AG506" s="551"/>
      <c r="AH506" s="551"/>
      <c r="AI506" s="551"/>
      <c r="AJ506" s="551"/>
      <c r="AK506" s="551"/>
      <c r="AL506" s="551"/>
      <c r="AM506" s="551"/>
      <c r="AN506" s="551"/>
      <c r="AO506" s="551"/>
      <c r="AP506" s="551"/>
      <c r="AQ506" s="551"/>
      <c r="AR506" s="551"/>
      <c r="AS506" s="551"/>
      <c r="AT506" s="551"/>
      <c r="AU506" s="551"/>
      <c r="AV506" s="551"/>
      <c r="AW506" s="551"/>
      <c r="AX506" s="551"/>
      <c r="AY506" s="551"/>
      <c r="AZ506" s="551"/>
      <c r="BA506" s="551"/>
      <c r="BB506" s="551"/>
      <c r="BC506" s="551"/>
      <c r="BD506" s="551"/>
      <c r="BE506" s="551"/>
      <c r="BF506" s="551"/>
      <c r="BG506" s="551"/>
      <c r="BH506" s="551"/>
      <c r="BI506" s="551"/>
      <c r="BJ506" s="551"/>
    </row>
    <row r="507" spans="1:62" ht="12.75" customHeight="1">
      <c r="A507" s="551"/>
      <c r="B507" s="551"/>
      <c r="C507" s="551"/>
      <c r="D507" s="551"/>
      <c r="E507" s="551"/>
      <c r="F507" s="551"/>
      <c r="G507" s="551"/>
      <c r="H507" s="551"/>
      <c r="I507" s="551"/>
      <c r="J507" s="551"/>
      <c r="K507" s="551"/>
      <c r="L507" s="551"/>
      <c r="M507" s="551"/>
      <c r="N507" s="551"/>
      <c r="O507" s="551"/>
      <c r="P507" s="551"/>
      <c r="Q507" s="551"/>
      <c r="R507" s="551"/>
      <c r="S507" s="551"/>
      <c r="T507" s="551"/>
      <c r="U507" s="551"/>
      <c r="V507" s="551"/>
      <c r="W507" s="551"/>
      <c r="X507" s="551"/>
      <c r="Y507" s="551"/>
      <c r="Z507" s="551"/>
      <c r="AA507" s="551"/>
      <c r="AB507" s="551"/>
      <c r="AC507" s="551"/>
      <c r="AD507" s="551"/>
      <c r="AE507" s="551"/>
      <c r="AF507" s="551"/>
      <c r="AG507" s="551"/>
      <c r="AH507" s="551"/>
      <c r="AI507" s="551"/>
      <c r="AJ507" s="551"/>
      <c r="AK507" s="551"/>
      <c r="AL507" s="551"/>
      <c r="AM507" s="551"/>
      <c r="AN507" s="551"/>
      <c r="AO507" s="551"/>
      <c r="AP507" s="551"/>
      <c r="AQ507" s="551"/>
      <c r="AR507" s="551"/>
      <c r="AS507" s="551"/>
      <c r="AT507" s="551"/>
      <c r="AU507" s="551"/>
      <c r="AV507" s="551"/>
      <c r="AW507" s="551"/>
      <c r="AX507" s="551"/>
      <c r="AY507" s="551"/>
      <c r="AZ507" s="551"/>
      <c r="BA507" s="551"/>
      <c r="BB507" s="551"/>
      <c r="BC507" s="551"/>
      <c r="BD507" s="551"/>
      <c r="BE507" s="551"/>
      <c r="BF507" s="551"/>
      <c r="BG507" s="551"/>
      <c r="BH507" s="551"/>
      <c r="BI507" s="551"/>
      <c r="BJ507" s="551"/>
    </row>
    <row r="508" spans="1:62" ht="12.75" customHeight="1">
      <c r="A508" s="551"/>
      <c r="B508" s="551"/>
      <c r="C508" s="551"/>
      <c r="D508" s="551"/>
      <c r="E508" s="551"/>
      <c r="F508" s="551"/>
      <c r="G508" s="551"/>
      <c r="H508" s="551"/>
      <c r="I508" s="551"/>
      <c r="J508" s="551"/>
      <c r="K508" s="551"/>
      <c r="L508" s="551"/>
      <c r="M508" s="551"/>
      <c r="N508" s="551"/>
      <c r="O508" s="551"/>
      <c r="P508" s="551"/>
      <c r="Q508" s="551"/>
      <c r="R508" s="551"/>
      <c r="S508" s="551"/>
      <c r="T508" s="551"/>
      <c r="U508" s="551"/>
      <c r="V508" s="551"/>
      <c r="W508" s="551"/>
      <c r="X508" s="551"/>
      <c r="Y508" s="551"/>
      <c r="Z508" s="551"/>
      <c r="AA508" s="551"/>
      <c r="AB508" s="551"/>
      <c r="AC508" s="551"/>
      <c r="AD508" s="551"/>
      <c r="AE508" s="551"/>
      <c r="AF508" s="551"/>
      <c r="AG508" s="551"/>
      <c r="AH508" s="551"/>
      <c r="AI508" s="551"/>
      <c r="AJ508" s="551"/>
      <c r="AK508" s="551"/>
      <c r="AL508" s="551"/>
      <c r="AM508" s="551"/>
      <c r="AN508" s="551"/>
      <c r="AO508" s="551"/>
      <c r="AP508" s="551"/>
      <c r="AQ508" s="551"/>
      <c r="AR508" s="551"/>
      <c r="AS508" s="551"/>
      <c r="AT508" s="551"/>
      <c r="AU508" s="551"/>
      <c r="AV508" s="551"/>
      <c r="AW508" s="551"/>
      <c r="AX508" s="551"/>
      <c r="AY508" s="551"/>
      <c r="AZ508" s="551"/>
      <c r="BA508" s="551"/>
      <c r="BB508" s="551"/>
      <c r="BC508" s="551"/>
      <c r="BD508" s="551"/>
      <c r="BE508" s="551"/>
      <c r="BF508" s="551"/>
      <c r="BG508" s="551"/>
      <c r="BH508" s="551"/>
      <c r="BI508" s="551"/>
      <c r="BJ508" s="551"/>
    </row>
    <row r="509" spans="1:62" ht="12.75" customHeight="1">
      <c r="A509" s="551"/>
      <c r="B509" s="551"/>
      <c r="C509" s="551"/>
      <c r="D509" s="551"/>
      <c r="E509" s="551"/>
      <c r="F509" s="551"/>
      <c r="G509" s="551"/>
      <c r="H509" s="551"/>
      <c r="I509" s="551"/>
      <c r="J509" s="551"/>
      <c r="K509" s="551"/>
      <c r="L509" s="551"/>
      <c r="M509" s="551"/>
      <c r="N509" s="551"/>
      <c r="O509" s="551"/>
      <c r="P509" s="551"/>
      <c r="Q509" s="551"/>
      <c r="R509" s="551"/>
      <c r="S509" s="551"/>
      <c r="T509" s="551"/>
      <c r="U509" s="551"/>
      <c r="V509" s="551"/>
      <c r="W509" s="551"/>
      <c r="X509" s="551"/>
      <c r="Y509" s="551"/>
      <c r="Z509" s="551"/>
      <c r="AA509" s="551"/>
      <c r="AB509" s="551"/>
      <c r="AC509" s="551"/>
      <c r="AD509" s="551"/>
      <c r="AE509" s="551"/>
      <c r="AF509" s="551"/>
      <c r="AG509" s="551"/>
      <c r="AH509" s="551"/>
      <c r="AI509" s="551"/>
      <c r="AJ509" s="551"/>
      <c r="AK509" s="551"/>
      <c r="AL509" s="551"/>
      <c r="AM509" s="551"/>
      <c r="AN509" s="551"/>
      <c r="AO509" s="551"/>
      <c r="AP509" s="551"/>
      <c r="AQ509" s="551"/>
      <c r="AR509" s="551"/>
      <c r="AS509" s="551"/>
      <c r="AT509" s="551"/>
      <c r="AU509" s="551"/>
      <c r="AV509" s="551"/>
      <c r="AW509" s="551"/>
      <c r="AX509" s="551"/>
      <c r="AY509" s="551"/>
      <c r="AZ509" s="551"/>
      <c r="BA509" s="551"/>
      <c r="BB509" s="551"/>
      <c r="BC509" s="551"/>
      <c r="BD509" s="551"/>
      <c r="BE509" s="551"/>
      <c r="BF509" s="551"/>
      <c r="BG509" s="551"/>
      <c r="BH509" s="551"/>
      <c r="BI509" s="551"/>
      <c r="BJ509" s="551"/>
    </row>
    <row r="510" spans="1:62" ht="12.75" customHeight="1">
      <c r="A510" s="551"/>
      <c r="B510" s="551"/>
      <c r="C510" s="551"/>
      <c r="D510" s="551"/>
      <c r="E510" s="551"/>
      <c r="F510" s="551"/>
      <c r="G510" s="551"/>
      <c r="H510" s="551"/>
      <c r="I510" s="551"/>
      <c r="J510" s="551"/>
      <c r="K510" s="551"/>
      <c r="L510" s="551"/>
      <c r="M510" s="551"/>
      <c r="N510" s="551"/>
      <c r="O510" s="551"/>
      <c r="P510" s="551"/>
      <c r="Q510" s="551"/>
      <c r="R510" s="551"/>
      <c r="S510" s="551"/>
      <c r="T510" s="551"/>
      <c r="U510" s="551"/>
      <c r="V510" s="551"/>
      <c r="W510" s="551"/>
      <c r="X510" s="551"/>
      <c r="Y510" s="551"/>
      <c r="Z510" s="551"/>
      <c r="AA510" s="551"/>
      <c r="AB510" s="551"/>
      <c r="AC510" s="551"/>
      <c r="AD510" s="551"/>
      <c r="AE510" s="551"/>
      <c r="AF510" s="551"/>
      <c r="AG510" s="551"/>
      <c r="AH510" s="551"/>
      <c r="AI510" s="551"/>
      <c r="AJ510" s="551"/>
      <c r="AK510" s="551"/>
      <c r="AL510" s="551"/>
      <c r="AM510" s="551"/>
      <c r="AN510" s="551"/>
      <c r="AO510" s="551"/>
      <c r="AP510" s="551"/>
      <c r="AQ510" s="551"/>
      <c r="AR510" s="551"/>
      <c r="AS510" s="551"/>
      <c r="AT510" s="551"/>
      <c r="AU510" s="551"/>
      <c r="AV510" s="551"/>
      <c r="AW510" s="551"/>
      <c r="AX510" s="551"/>
      <c r="AY510" s="551"/>
      <c r="AZ510" s="551"/>
      <c r="BA510" s="551"/>
      <c r="BB510" s="551"/>
      <c r="BC510" s="551"/>
      <c r="BD510" s="551"/>
      <c r="BE510" s="551"/>
      <c r="BF510" s="551"/>
      <c r="BG510" s="551"/>
      <c r="BH510" s="551"/>
      <c r="BI510" s="551"/>
      <c r="BJ510" s="551"/>
    </row>
    <row r="511" spans="1:62" ht="12.75" customHeight="1">
      <c r="A511" s="551"/>
      <c r="B511" s="551"/>
      <c r="C511" s="551"/>
      <c r="D511" s="551"/>
      <c r="E511" s="551"/>
      <c r="F511" s="551"/>
      <c r="G511" s="551"/>
      <c r="H511" s="551"/>
      <c r="I511" s="551"/>
      <c r="J511" s="551"/>
      <c r="K511" s="551"/>
      <c r="L511" s="551"/>
      <c r="M511" s="551"/>
      <c r="N511" s="551"/>
      <c r="O511" s="551"/>
      <c r="P511" s="551"/>
      <c r="Q511" s="551"/>
      <c r="R511" s="551"/>
      <c r="S511" s="551"/>
      <c r="T511" s="551"/>
      <c r="U511" s="551"/>
      <c r="V511" s="551"/>
      <c r="W511" s="551"/>
      <c r="X511" s="551"/>
      <c r="Y511" s="551"/>
      <c r="Z511" s="551"/>
      <c r="AA511" s="551"/>
      <c r="AB511" s="551"/>
      <c r="AC511" s="551"/>
      <c r="AD511" s="551"/>
      <c r="AE511" s="551"/>
      <c r="AF511" s="551"/>
      <c r="AG511" s="551"/>
      <c r="AH511" s="551"/>
      <c r="AI511" s="551"/>
      <c r="AJ511" s="551"/>
      <c r="AK511" s="551"/>
      <c r="AL511" s="551"/>
      <c r="AM511" s="551"/>
      <c r="AN511" s="551"/>
      <c r="AO511" s="551"/>
      <c r="AP511" s="551"/>
      <c r="AQ511" s="551"/>
      <c r="AR511" s="551"/>
      <c r="AS511" s="551"/>
      <c r="AT511" s="551"/>
      <c r="AU511" s="551"/>
      <c r="AV511" s="551"/>
      <c r="AW511" s="551"/>
      <c r="AX511" s="551"/>
      <c r="AY511" s="551"/>
      <c r="AZ511" s="551"/>
      <c r="BA511" s="551"/>
      <c r="BB511" s="551"/>
      <c r="BC511" s="551"/>
      <c r="BD511" s="551"/>
      <c r="BE511" s="551"/>
      <c r="BF511" s="551"/>
      <c r="BG511" s="551"/>
      <c r="BH511" s="551"/>
      <c r="BI511" s="551"/>
      <c r="BJ511" s="551"/>
    </row>
    <row r="512" spans="1:62" ht="12.75" customHeight="1">
      <c r="A512" s="551"/>
      <c r="B512" s="551"/>
      <c r="C512" s="551"/>
      <c r="D512" s="551"/>
      <c r="E512" s="551"/>
      <c r="F512" s="551"/>
      <c r="G512" s="551"/>
      <c r="H512" s="551"/>
      <c r="I512" s="551"/>
      <c r="J512" s="551"/>
      <c r="K512" s="551"/>
      <c r="L512" s="551"/>
      <c r="M512" s="551"/>
      <c r="N512" s="551"/>
      <c r="O512" s="551"/>
      <c r="P512" s="551"/>
      <c r="Q512" s="551"/>
      <c r="R512" s="551"/>
      <c r="S512" s="551"/>
      <c r="T512" s="551"/>
      <c r="U512" s="551"/>
      <c r="V512" s="551"/>
      <c r="W512" s="551"/>
      <c r="X512" s="551"/>
      <c r="Y512" s="551"/>
      <c r="Z512" s="551"/>
      <c r="AA512" s="551"/>
      <c r="AB512" s="551"/>
      <c r="AC512" s="551"/>
      <c r="AD512" s="551"/>
      <c r="AE512" s="551"/>
      <c r="AF512" s="551"/>
      <c r="AG512" s="551"/>
      <c r="AH512" s="551"/>
      <c r="AI512" s="551"/>
      <c r="AJ512" s="551"/>
      <c r="AK512" s="551"/>
      <c r="AL512" s="551"/>
      <c r="AM512" s="551"/>
      <c r="AN512" s="551"/>
      <c r="AO512" s="551"/>
      <c r="AP512" s="551"/>
      <c r="AQ512" s="551"/>
      <c r="AR512" s="551"/>
      <c r="AS512" s="551"/>
      <c r="AT512" s="551"/>
      <c r="AU512" s="551"/>
      <c r="AV512" s="551"/>
      <c r="AW512" s="551"/>
      <c r="AX512" s="551"/>
      <c r="AY512" s="551"/>
      <c r="AZ512" s="551"/>
      <c r="BA512" s="551"/>
      <c r="BB512" s="551"/>
      <c r="BC512" s="551"/>
      <c r="BD512" s="551"/>
      <c r="BE512" s="551"/>
      <c r="BF512" s="551"/>
      <c r="BG512" s="551"/>
      <c r="BH512" s="551"/>
      <c r="BI512" s="551"/>
      <c r="BJ512" s="551"/>
    </row>
    <row r="513" spans="1:62" ht="12.75" customHeight="1">
      <c r="A513" s="551"/>
      <c r="B513" s="551"/>
      <c r="C513" s="551"/>
      <c r="D513" s="551"/>
      <c r="E513" s="551"/>
      <c r="F513" s="551"/>
      <c r="G513" s="551"/>
      <c r="H513" s="551"/>
      <c r="I513" s="551"/>
      <c r="J513" s="551"/>
      <c r="K513" s="551"/>
      <c r="L513" s="551"/>
      <c r="M513" s="551"/>
      <c r="N513" s="551"/>
      <c r="O513" s="551"/>
      <c r="P513" s="551"/>
      <c r="Q513" s="551"/>
      <c r="R513" s="551"/>
      <c r="S513" s="551"/>
      <c r="T513" s="551"/>
      <c r="U513" s="551"/>
      <c r="V513" s="551"/>
      <c r="W513" s="551"/>
      <c r="X513" s="551"/>
      <c r="Y513" s="551"/>
      <c r="Z513" s="551"/>
      <c r="AA513" s="551"/>
      <c r="AB513" s="551"/>
      <c r="AC513" s="551"/>
      <c r="AD513" s="551"/>
      <c r="AE513" s="551"/>
      <c r="AF513" s="551"/>
      <c r="AG513" s="551"/>
      <c r="AH513" s="551"/>
      <c r="AI513" s="551"/>
      <c r="AJ513" s="551"/>
      <c r="AK513" s="551"/>
      <c r="AL513" s="551"/>
      <c r="AM513" s="551"/>
      <c r="AN513" s="551"/>
      <c r="AO513" s="551"/>
      <c r="AP513" s="551"/>
      <c r="AQ513" s="551"/>
      <c r="AR513" s="551"/>
      <c r="AS513" s="551"/>
      <c r="AT513" s="551"/>
      <c r="AU513" s="551"/>
      <c r="AV513" s="551"/>
      <c r="AW513" s="551"/>
      <c r="AX513" s="551"/>
      <c r="AY513" s="551"/>
      <c r="AZ513" s="551"/>
      <c r="BA513" s="551"/>
      <c r="BB513" s="551"/>
      <c r="BC513" s="551"/>
      <c r="BD513" s="551"/>
      <c r="BE513" s="551"/>
      <c r="BF513" s="551"/>
      <c r="BG513" s="551"/>
      <c r="BH513" s="551"/>
      <c r="BI513" s="551"/>
      <c r="BJ513" s="551"/>
    </row>
    <row r="514" spans="1:62" ht="12.75" customHeight="1">
      <c r="A514" s="551"/>
      <c r="B514" s="551"/>
      <c r="C514" s="551"/>
      <c r="D514" s="551"/>
      <c r="E514" s="551"/>
      <c r="F514" s="551"/>
      <c r="G514" s="551"/>
      <c r="H514" s="551"/>
      <c r="I514" s="551"/>
      <c r="J514" s="551"/>
      <c r="K514" s="551"/>
      <c r="L514" s="551"/>
      <c r="M514" s="551"/>
      <c r="N514" s="551"/>
      <c r="O514" s="551"/>
      <c r="P514" s="551"/>
      <c r="Q514" s="551"/>
      <c r="R514" s="551"/>
      <c r="S514" s="551"/>
      <c r="T514" s="551"/>
      <c r="U514" s="551"/>
      <c r="V514" s="551"/>
      <c r="W514" s="551"/>
      <c r="X514" s="551"/>
      <c r="Y514" s="551"/>
      <c r="Z514" s="551"/>
      <c r="AA514" s="551"/>
      <c r="AB514" s="551"/>
      <c r="AC514" s="551"/>
      <c r="AD514" s="551"/>
      <c r="AE514" s="551"/>
      <c r="AF514" s="551"/>
      <c r="AG514" s="551"/>
      <c r="AH514" s="551"/>
      <c r="AI514" s="551"/>
      <c r="AJ514" s="551"/>
      <c r="AK514" s="551"/>
      <c r="AL514" s="551"/>
      <c r="AM514" s="551"/>
      <c r="AN514" s="551"/>
      <c r="AO514" s="551"/>
      <c r="AP514" s="551"/>
      <c r="AQ514" s="551"/>
      <c r="AR514" s="551"/>
      <c r="AS514" s="551"/>
      <c r="AT514" s="551"/>
      <c r="AU514" s="551"/>
      <c r="AV514" s="551"/>
      <c r="AW514" s="551"/>
      <c r="AX514" s="551"/>
      <c r="AY514" s="551"/>
      <c r="AZ514" s="551"/>
      <c r="BA514" s="551"/>
      <c r="BB514" s="551"/>
      <c r="BC514" s="551"/>
      <c r="BD514" s="551"/>
      <c r="BE514" s="551"/>
      <c r="BF514" s="551"/>
      <c r="BG514" s="551"/>
      <c r="BH514" s="551"/>
      <c r="BI514" s="551"/>
      <c r="BJ514" s="551"/>
    </row>
    <row r="515" spans="1:62" ht="12.75" customHeight="1">
      <c r="A515" s="551"/>
      <c r="B515" s="551"/>
      <c r="C515" s="551"/>
      <c r="D515" s="551"/>
      <c r="E515" s="551"/>
      <c r="F515" s="551"/>
      <c r="G515" s="551"/>
      <c r="H515" s="551"/>
      <c r="I515" s="551"/>
      <c r="J515" s="551"/>
      <c r="K515" s="551"/>
      <c r="L515" s="551"/>
      <c r="M515" s="551"/>
      <c r="N515" s="551"/>
      <c r="O515" s="551"/>
      <c r="P515" s="551"/>
      <c r="Q515" s="551"/>
      <c r="R515" s="551"/>
      <c r="S515" s="551"/>
      <c r="T515" s="551"/>
      <c r="U515" s="551"/>
      <c r="V515" s="551"/>
      <c r="W515" s="551"/>
      <c r="X515" s="551"/>
      <c r="Y515" s="551"/>
      <c r="Z515" s="551"/>
      <c r="AA515" s="551"/>
      <c r="AB515" s="551"/>
      <c r="AC515" s="551"/>
      <c r="AD515" s="551"/>
      <c r="AE515" s="551"/>
      <c r="AF515" s="551"/>
      <c r="AG515" s="551"/>
      <c r="AH515" s="551"/>
      <c r="AI515" s="551"/>
      <c r="AJ515" s="551"/>
      <c r="AK515" s="551"/>
      <c r="AL515" s="551"/>
      <c r="AM515" s="551"/>
      <c r="AN515" s="551"/>
      <c r="AO515" s="551"/>
      <c r="AP515" s="551"/>
      <c r="AQ515" s="551"/>
      <c r="AR515" s="551"/>
      <c r="AS515" s="551"/>
      <c r="AT515" s="551"/>
      <c r="AU515" s="551"/>
      <c r="AV515" s="551"/>
      <c r="AW515" s="551"/>
      <c r="AX515" s="551"/>
      <c r="AY515" s="551"/>
      <c r="AZ515" s="551"/>
      <c r="BA515" s="551"/>
      <c r="BB515" s="551"/>
      <c r="BC515" s="551"/>
      <c r="BD515" s="551"/>
      <c r="BE515" s="551"/>
      <c r="BF515" s="551"/>
      <c r="BG515" s="551"/>
      <c r="BH515" s="551"/>
      <c r="BI515" s="551"/>
      <c r="BJ515" s="551"/>
    </row>
    <row r="516" spans="1:62" ht="12.75" customHeight="1">
      <c r="A516" s="551"/>
      <c r="B516" s="551"/>
      <c r="C516" s="551"/>
      <c r="D516" s="551"/>
      <c r="E516" s="551"/>
      <c r="F516" s="551"/>
      <c r="G516" s="551"/>
      <c r="H516" s="551"/>
      <c r="I516" s="551"/>
      <c r="J516" s="551"/>
      <c r="K516" s="551"/>
      <c r="L516" s="551"/>
      <c r="M516" s="551"/>
      <c r="N516" s="551"/>
      <c r="O516" s="551"/>
      <c r="P516" s="551"/>
      <c r="Q516" s="551"/>
      <c r="R516" s="551"/>
      <c r="S516" s="551"/>
      <c r="T516" s="551"/>
      <c r="U516" s="551"/>
      <c r="V516" s="551"/>
      <c r="W516" s="551"/>
      <c r="X516" s="551"/>
      <c r="Y516" s="551"/>
      <c r="Z516" s="551"/>
      <c r="AA516" s="551"/>
      <c r="AB516" s="551"/>
      <c r="AC516" s="551"/>
      <c r="AD516" s="551"/>
      <c r="AE516" s="551"/>
      <c r="AF516" s="551"/>
      <c r="AG516" s="551"/>
      <c r="AH516" s="551"/>
      <c r="AI516" s="551"/>
      <c r="AJ516" s="551"/>
      <c r="AK516" s="551"/>
      <c r="AL516" s="551"/>
      <c r="AM516" s="551"/>
      <c r="AN516" s="551"/>
      <c r="AO516" s="551"/>
      <c r="AP516" s="551"/>
      <c r="AQ516" s="551"/>
      <c r="AR516" s="551"/>
      <c r="AS516" s="551"/>
      <c r="AT516" s="551"/>
      <c r="AU516" s="551"/>
      <c r="AV516" s="551"/>
      <c r="AW516" s="551"/>
      <c r="AX516" s="551"/>
      <c r="AY516" s="551"/>
      <c r="AZ516" s="551"/>
      <c r="BA516" s="551"/>
      <c r="BB516" s="551"/>
      <c r="BC516" s="551"/>
      <c r="BD516" s="551"/>
      <c r="BE516" s="551"/>
      <c r="BF516" s="551"/>
      <c r="BG516" s="551"/>
      <c r="BH516" s="551"/>
      <c r="BI516" s="551"/>
      <c r="BJ516" s="551"/>
    </row>
    <row r="517" spans="1:62" ht="12.75" customHeight="1">
      <c r="A517" s="551"/>
      <c r="B517" s="551"/>
      <c r="C517" s="551"/>
      <c r="D517" s="551"/>
      <c r="E517" s="551"/>
      <c r="F517" s="551"/>
      <c r="G517" s="551"/>
      <c r="H517" s="551"/>
      <c r="I517" s="551"/>
      <c r="J517" s="551"/>
      <c r="K517" s="551"/>
      <c r="L517" s="551"/>
      <c r="M517" s="551"/>
      <c r="N517" s="551"/>
      <c r="O517" s="551"/>
      <c r="P517" s="551"/>
      <c r="Q517" s="551"/>
      <c r="R517" s="551"/>
      <c r="S517" s="551"/>
      <c r="T517" s="551"/>
      <c r="U517" s="551"/>
      <c r="V517" s="551"/>
      <c r="W517" s="551"/>
      <c r="X517" s="551"/>
      <c r="Y517" s="551"/>
      <c r="Z517" s="551"/>
      <c r="AA517" s="551"/>
      <c r="AB517" s="551"/>
      <c r="AC517" s="551"/>
      <c r="AD517" s="551"/>
      <c r="AE517" s="551"/>
      <c r="AF517" s="551"/>
      <c r="AG517" s="551"/>
      <c r="AH517" s="551"/>
      <c r="AI517" s="551"/>
      <c r="AJ517" s="551"/>
      <c r="AK517" s="551"/>
      <c r="AL517" s="551"/>
      <c r="AM517" s="551"/>
      <c r="AN517" s="551"/>
      <c r="AO517" s="551"/>
      <c r="AP517" s="551"/>
      <c r="AQ517" s="551"/>
      <c r="AR517" s="551"/>
      <c r="AS517" s="551"/>
      <c r="AT517" s="551"/>
      <c r="AU517" s="551"/>
      <c r="AV517" s="551"/>
      <c r="AW517" s="551"/>
      <c r="AX517" s="551"/>
      <c r="AY517" s="551"/>
      <c r="AZ517" s="551"/>
      <c r="BA517" s="551"/>
      <c r="BB517" s="551"/>
      <c r="BC517" s="551"/>
      <c r="BD517" s="551"/>
      <c r="BE517" s="551"/>
      <c r="BF517" s="551"/>
      <c r="BG517" s="551"/>
      <c r="BH517" s="551"/>
      <c r="BI517" s="551"/>
      <c r="BJ517" s="551"/>
    </row>
    <row r="518" spans="1:62" ht="12.75" customHeight="1">
      <c r="A518" s="551"/>
      <c r="B518" s="551"/>
      <c r="C518" s="551"/>
      <c r="D518" s="551"/>
      <c r="E518" s="551"/>
      <c r="F518" s="551"/>
      <c r="G518" s="551"/>
      <c r="H518" s="551"/>
      <c r="I518" s="551"/>
      <c r="J518" s="551"/>
      <c r="K518" s="551"/>
      <c r="L518" s="551"/>
      <c r="M518" s="551"/>
      <c r="N518" s="551"/>
      <c r="O518" s="551"/>
      <c r="P518" s="551"/>
      <c r="Q518" s="551"/>
      <c r="R518" s="551"/>
      <c r="S518" s="551"/>
      <c r="T518" s="551"/>
      <c r="U518" s="551"/>
      <c r="V518" s="551"/>
      <c r="W518" s="551"/>
      <c r="X518" s="551"/>
      <c r="Y518" s="551"/>
      <c r="Z518" s="551"/>
      <c r="AA518" s="551"/>
      <c r="AB518" s="551"/>
      <c r="AC518" s="551"/>
      <c r="AD518" s="551"/>
      <c r="AE518" s="551"/>
      <c r="AF518" s="551"/>
      <c r="AG518" s="551"/>
      <c r="AH518" s="551"/>
      <c r="AI518" s="551"/>
      <c r="AJ518" s="551"/>
      <c r="AK518" s="551"/>
      <c r="AL518" s="551"/>
      <c r="AM518" s="551"/>
      <c r="AN518" s="551"/>
      <c r="AO518" s="551"/>
      <c r="AP518" s="551"/>
      <c r="AQ518" s="551"/>
      <c r="AR518" s="551"/>
      <c r="AS518" s="551"/>
      <c r="AT518" s="551"/>
      <c r="AU518" s="551"/>
      <c r="AV518" s="551"/>
      <c r="AW518" s="551"/>
      <c r="AX518" s="551"/>
      <c r="AY518" s="551"/>
      <c r="AZ518" s="551"/>
      <c r="BA518" s="551"/>
      <c r="BB518" s="551"/>
      <c r="BC518" s="551"/>
      <c r="BD518" s="551"/>
      <c r="BE518" s="551"/>
      <c r="BF518" s="551"/>
      <c r="BG518" s="551"/>
      <c r="BH518" s="551"/>
      <c r="BI518" s="551"/>
      <c r="BJ518" s="551"/>
    </row>
    <row r="519" spans="1:62" ht="12.75" customHeight="1">
      <c r="A519" s="551"/>
      <c r="B519" s="551"/>
      <c r="C519" s="551"/>
      <c r="D519" s="551"/>
      <c r="E519" s="551"/>
      <c r="F519" s="551"/>
      <c r="G519" s="551"/>
      <c r="H519" s="551"/>
      <c r="I519" s="551"/>
      <c r="J519" s="551"/>
      <c r="K519" s="551"/>
      <c r="L519" s="551"/>
      <c r="M519" s="551"/>
      <c r="N519" s="551"/>
      <c r="O519" s="551"/>
      <c r="P519" s="551"/>
      <c r="Q519" s="551"/>
      <c r="R519" s="551"/>
      <c r="S519" s="551"/>
      <c r="T519" s="551"/>
      <c r="U519" s="551"/>
      <c r="V519" s="551"/>
      <c r="W519" s="551"/>
      <c r="X519" s="551"/>
      <c r="Y519" s="551"/>
      <c r="Z519" s="551"/>
      <c r="AA519" s="551"/>
      <c r="AB519" s="551"/>
      <c r="AC519" s="551"/>
      <c r="AD519" s="551"/>
      <c r="AE519" s="551"/>
      <c r="AF519" s="551"/>
      <c r="AG519" s="551"/>
      <c r="AH519" s="551"/>
      <c r="AI519" s="551"/>
      <c r="AJ519" s="551"/>
      <c r="AK519" s="551"/>
      <c r="AL519" s="551"/>
      <c r="AM519" s="551"/>
      <c r="AN519" s="551"/>
      <c r="AO519" s="551"/>
      <c r="AP519" s="551"/>
      <c r="AQ519" s="551"/>
      <c r="AR519" s="551"/>
      <c r="AS519" s="551"/>
      <c r="AT519" s="551"/>
      <c r="AU519" s="551"/>
      <c r="AV519" s="551"/>
      <c r="AW519" s="551"/>
      <c r="AX519" s="551"/>
      <c r="AY519" s="551"/>
      <c r="AZ519" s="551"/>
      <c r="BA519" s="551"/>
      <c r="BB519" s="551"/>
      <c r="BC519" s="551"/>
      <c r="BD519" s="551"/>
      <c r="BE519" s="551"/>
      <c r="BF519" s="551"/>
      <c r="BG519" s="551"/>
      <c r="BH519" s="551"/>
      <c r="BI519" s="551"/>
      <c r="BJ519" s="551"/>
    </row>
    <row r="520" spans="1:62" ht="12.75" customHeight="1">
      <c r="A520" s="551"/>
      <c r="B520" s="551"/>
      <c r="C520" s="551"/>
      <c r="D520" s="551"/>
      <c r="E520" s="551"/>
      <c r="F520" s="551"/>
      <c r="G520" s="551"/>
      <c r="H520" s="551"/>
      <c r="I520" s="551"/>
      <c r="J520" s="551"/>
      <c r="K520" s="551"/>
      <c r="L520" s="551"/>
      <c r="M520" s="551"/>
      <c r="N520" s="551"/>
      <c r="O520" s="551"/>
      <c r="P520" s="551"/>
      <c r="Q520" s="551"/>
      <c r="R520" s="551"/>
      <c r="S520" s="551"/>
      <c r="T520" s="551"/>
      <c r="U520" s="551"/>
      <c r="V520" s="551"/>
      <c r="W520" s="551"/>
      <c r="X520" s="551"/>
      <c r="Y520" s="551"/>
      <c r="Z520" s="551"/>
      <c r="AA520" s="551"/>
      <c r="AB520" s="551"/>
      <c r="AC520" s="551"/>
      <c r="AD520" s="551"/>
      <c r="AE520" s="551"/>
      <c r="AF520" s="551"/>
      <c r="AG520" s="551"/>
      <c r="AH520" s="551"/>
      <c r="AI520" s="551"/>
      <c r="AJ520" s="551"/>
      <c r="AK520" s="551"/>
      <c r="AL520" s="551"/>
      <c r="AM520" s="551"/>
      <c r="AN520" s="551"/>
      <c r="AO520" s="551"/>
      <c r="AP520" s="551"/>
      <c r="AQ520" s="551"/>
      <c r="AR520" s="551"/>
      <c r="AS520" s="551"/>
      <c r="AT520" s="551"/>
      <c r="AU520" s="551"/>
      <c r="AV520" s="551"/>
      <c r="AW520" s="551"/>
      <c r="AX520" s="551"/>
      <c r="AY520" s="551"/>
      <c r="AZ520" s="551"/>
      <c r="BA520" s="551"/>
      <c r="BB520" s="551"/>
      <c r="BC520" s="551"/>
      <c r="BD520" s="551"/>
      <c r="BE520" s="551"/>
      <c r="BF520" s="551"/>
      <c r="BG520" s="551"/>
      <c r="BH520" s="551"/>
      <c r="BI520" s="551"/>
      <c r="BJ520" s="551"/>
    </row>
    <row r="521" spans="1:62" ht="12.75" customHeight="1">
      <c r="A521" s="551"/>
      <c r="B521" s="551"/>
      <c r="C521" s="551"/>
      <c r="D521" s="551"/>
      <c r="E521" s="551"/>
      <c r="F521" s="551"/>
      <c r="G521" s="551"/>
      <c r="H521" s="551"/>
      <c r="I521" s="551"/>
      <c r="J521" s="551"/>
      <c r="K521" s="551"/>
      <c r="L521" s="551"/>
      <c r="M521" s="551"/>
      <c r="N521" s="551"/>
      <c r="O521" s="551"/>
      <c r="P521" s="551"/>
      <c r="Q521" s="551"/>
      <c r="R521" s="551"/>
      <c r="S521" s="551"/>
      <c r="T521" s="551"/>
      <c r="U521" s="551"/>
      <c r="V521" s="551"/>
      <c r="W521" s="551"/>
      <c r="X521" s="551"/>
      <c r="Y521" s="551"/>
      <c r="Z521" s="551"/>
      <c r="AA521" s="551"/>
      <c r="AB521" s="551"/>
      <c r="AC521" s="551"/>
      <c r="AD521" s="551"/>
      <c r="AE521" s="551"/>
      <c r="AF521" s="551"/>
      <c r="AG521" s="551"/>
      <c r="AH521" s="551"/>
      <c r="AI521" s="551"/>
      <c r="AJ521" s="551"/>
      <c r="AK521" s="551"/>
      <c r="AL521" s="551"/>
      <c r="AM521" s="551"/>
      <c r="AN521" s="551"/>
      <c r="AO521" s="551"/>
      <c r="AP521" s="551"/>
      <c r="AQ521" s="551"/>
      <c r="AR521" s="551"/>
      <c r="AS521" s="551"/>
      <c r="AT521" s="551"/>
      <c r="AU521" s="551"/>
      <c r="AV521" s="551"/>
      <c r="AW521" s="551"/>
      <c r="AX521" s="551"/>
      <c r="AY521" s="551"/>
      <c r="AZ521" s="551"/>
      <c r="BA521" s="551"/>
      <c r="BB521" s="551"/>
      <c r="BC521" s="551"/>
      <c r="BD521" s="551"/>
      <c r="BE521" s="551"/>
      <c r="BF521" s="551"/>
      <c r="BG521" s="551"/>
      <c r="BH521" s="551"/>
      <c r="BI521" s="551"/>
      <c r="BJ521" s="551"/>
    </row>
    <row r="522" spans="1:62" ht="12.75" customHeight="1">
      <c r="A522" s="551"/>
      <c r="B522" s="551"/>
      <c r="C522" s="551"/>
      <c r="D522" s="551"/>
      <c r="E522" s="551"/>
      <c r="F522" s="551"/>
      <c r="G522" s="551"/>
      <c r="H522" s="551"/>
      <c r="I522" s="551"/>
      <c r="J522" s="551"/>
      <c r="K522" s="551"/>
      <c r="L522" s="551"/>
      <c r="M522" s="551"/>
      <c r="N522" s="551"/>
      <c r="O522" s="551"/>
      <c r="P522" s="551"/>
      <c r="Q522" s="551"/>
      <c r="R522" s="551"/>
      <c r="S522" s="551"/>
      <c r="T522" s="551"/>
      <c r="U522" s="551"/>
      <c r="V522" s="551"/>
      <c r="W522" s="551"/>
      <c r="X522" s="551"/>
      <c r="Y522" s="551"/>
      <c r="Z522" s="551"/>
      <c r="AA522" s="551"/>
      <c r="AB522" s="551"/>
      <c r="AC522" s="551"/>
      <c r="AD522" s="551"/>
      <c r="AE522" s="551"/>
      <c r="AF522" s="551"/>
      <c r="AG522" s="551"/>
      <c r="AH522" s="551"/>
      <c r="AI522" s="551"/>
      <c r="AJ522" s="551"/>
      <c r="AK522" s="551"/>
      <c r="AL522" s="551"/>
      <c r="AM522" s="551"/>
      <c r="AN522" s="551"/>
      <c r="AO522" s="551"/>
      <c r="AP522" s="551"/>
      <c r="AQ522" s="551"/>
      <c r="AR522" s="551"/>
      <c r="AS522" s="551"/>
      <c r="AT522" s="551"/>
      <c r="AU522" s="551"/>
      <c r="AV522" s="551"/>
      <c r="AW522" s="551"/>
      <c r="AX522" s="551"/>
      <c r="AY522" s="551"/>
      <c r="AZ522" s="551"/>
      <c r="BA522" s="551"/>
      <c r="BB522" s="551"/>
      <c r="BC522" s="551"/>
      <c r="BD522" s="551"/>
      <c r="BE522" s="551"/>
      <c r="BF522" s="551"/>
      <c r="BG522" s="551"/>
      <c r="BH522" s="551"/>
      <c r="BI522" s="551"/>
      <c r="BJ522" s="551"/>
    </row>
    <row r="523" spans="1:62" ht="12.75" customHeight="1">
      <c r="A523" s="551"/>
      <c r="B523" s="551"/>
      <c r="C523" s="551"/>
      <c r="D523" s="551"/>
      <c r="E523" s="551"/>
      <c r="F523" s="551"/>
      <c r="G523" s="551"/>
      <c r="H523" s="551"/>
      <c r="I523" s="551"/>
      <c r="J523" s="551"/>
      <c r="K523" s="551"/>
      <c r="L523" s="551"/>
      <c r="M523" s="551"/>
      <c r="N523" s="551"/>
      <c r="O523" s="551"/>
      <c r="P523" s="551"/>
      <c r="Q523" s="551"/>
      <c r="R523" s="551"/>
      <c r="S523" s="551"/>
      <c r="T523" s="551"/>
      <c r="U523" s="551"/>
      <c r="V523" s="551"/>
      <c r="W523" s="551"/>
      <c r="X523" s="551"/>
      <c r="Y523" s="551"/>
      <c r="Z523" s="551"/>
      <c r="AA523" s="551"/>
      <c r="AB523" s="551"/>
      <c r="AC523" s="551"/>
      <c r="AD523" s="551"/>
      <c r="AE523" s="551"/>
      <c r="AF523" s="551"/>
      <c r="AG523" s="551"/>
      <c r="AH523" s="551"/>
      <c r="AI523" s="551"/>
      <c r="AJ523" s="551"/>
      <c r="AK523" s="551"/>
      <c r="AL523" s="551"/>
      <c r="AM523" s="551"/>
      <c r="AN523" s="551"/>
      <c r="AO523" s="551"/>
      <c r="AP523" s="551"/>
      <c r="AQ523" s="551"/>
      <c r="AR523" s="551"/>
      <c r="AS523" s="551"/>
      <c r="AT523" s="551"/>
      <c r="AU523" s="551"/>
      <c r="AV523" s="551"/>
      <c r="AW523" s="551"/>
      <c r="AX523" s="551"/>
      <c r="AY523" s="551"/>
      <c r="AZ523" s="551"/>
      <c r="BA523" s="551"/>
      <c r="BB523" s="551"/>
      <c r="BC523" s="551"/>
      <c r="BD523" s="551"/>
      <c r="BE523" s="551"/>
      <c r="BF523" s="551"/>
      <c r="BG523" s="551"/>
      <c r="BH523" s="551"/>
      <c r="BI523" s="551"/>
      <c r="BJ523" s="551"/>
    </row>
    <row r="524" spans="1:62" ht="12.75" customHeight="1">
      <c r="A524" s="551"/>
      <c r="B524" s="551"/>
      <c r="C524" s="551"/>
      <c r="D524" s="551"/>
      <c r="E524" s="551"/>
      <c r="F524" s="551"/>
      <c r="G524" s="551"/>
      <c r="H524" s="551"/>
      <c r="I524" s="551"/>
      <c r="J524" s="551"/>
      <c r="K524" s="551"/>
      <c r="L524" s="551"/>
      <c r="M524" s="551"/>
      <c r="N524" s="551"/>
      <c r="O524" s="551"/>
      <c r="P524" s="551"/>
      <c r="Q524" s="551"/>
      <c r="R524" s="551"/>
      <c r="S524" s="551"/>
      <c r="T524" s="551"/>
      <c r="U524" s="551"/>
      <c r="V524" s="551"/>
      <c r="W524" s="551"/>
      <c r="X524" s="551"/>
      <c r="Y524" s="551"/>
      <c r="Z524" s="551"/>
      <c r="AA524" s="551"/>
      <c r="AB524" s="551"/>
      <c r="AC524" s="551"/>
      <c r="AD524" s="551"/>
      <c r="AE524" s="551"/>
      <c r="AF524" s="551"/>
      <c r="AG524" s="551"/>
      <c r="AH524" s="551"/>
      <c r="AI524" s="551"/>
      <c r="AJ524" s="551"/>
      <c r="AK524" s="551"/>
      <c r="AL524" s="551"/>
      <c r="AM524" s="551"/>
      <c r="AN524" s="551"/>
      <c r="AO524" s="551"/>
      <c r="AP524" s="551"/>
      <c r="AQ524" s="551"/>
      <c r="AR524" s="551"/>
      <c r="AS524" s="551"/>
      <c r="AT524" s="551"/>
      <c r="AU524" s="551"/>
      <c r="AV524" s="551"/>
      <c r="AW524" s="551"/>
      <c r="AX524" s="551"/>
      <c r="AY524" s="551"/>
      <c r="AZ524" s="551"/>
      <c r="BA524" s="551"/>
      <c r="BB524" s="551"/>
      <c r="BC524" s="551"/>
      <c r="BD524" s="551"/>
      <c r="BE524" s="551"/>
      <c r="BF524" s="551"/>
      <c r="BG524" s="551"/>
      <c r="BH524" s="551"/>
      <c r="BI524" s="551"/>
      <c r="BJ524" s="551"/>
    </row>
    <row r="525" spans="1:62" ht="12.75" customHeight="1">
      <c r="A525" s="551"/>
      <c r="B525" s="551"/>
      <c r="C525" s="551"/>
      <c r="D525" s="551"/>
      <c r="E525" s="551"/>
      <c r="F525" s="551"/>
      <c r="G525" s="551"/>
      <c r="H525" s="551"/>
      <c r="I525" s="551"/>
      <c r="J525" s="551"/>
      <c r="K525" s="551"/>
      <c r="L525" s="551"/>
      <c r="M525" s="551"/>
      <c r="N525" s="551"/>
      <c r="O525" s="551"/>
      <c r="P525" s="551"/>
      <c r="Q525" s="551"/>
      <c r="R525" s="551"/>
      <c r="S525" s="551"/>
      <c r="T525" s="551"/>
      <c r="U525" s="551"/>
      <c r="V525" s="551"/>
      <c r="W525" s="551"/>
      <c r="X525" s="551"/>
      <c r="Y525" s="551"/>
      <c r="Z525" s="551"/>
      <c r="AA525" s="551"/>
      <c r="AB525" s="551"/>
      <c r="AC525" s="551"/>
      <c r="AD525" s="551"/>
      <c r="AE525" s="551"/>
      <c r="AF525" s="551"/>
      <c r="AG525" s="551"/>
      <c r="AH525" s="551"/>
      <c r="AI525" s="551"/>
      <c r="AJ525" s="551"/>
      <c r="AK525" s="551"/>
      <c r="AL525" s="551"/>
      <c r="AM525" s="551"/>
      <c r="AN525" s="551"/>
      <c r="AO525" s="551"/>
      <c r="AP525" s="551"/>
      <c r="AQ525" s="551"/>
      <c r="AR525" s="551"/>
      <c r="AS525" s="551"/>
      <c r="AT525" s="551"/>
      <c r="AU525" s="551"/>
      <c r="AV525" s="551"/>
      <c r="AW525" s="551"/>
      <c r="AX525" s="551"/>
      <c r="AY525" s="551"/>
      <c r="AZ525" s="551"/>
      <c r="BA525" s="551"/>
      <c r="BB525" s="551"/>
      <c r="BC525" s="551"/>
      <c r="BD525" s="551"/>
      <c r="BE525" s="551"/>
      <c r="BF525" s="551"/>
      <c r="BG525" s="551"/>
      <c r="BH525" s="551"/>
      <c r="BI525" s="551"/>
      <c r="BJ525" s="551"/>
    </row>
    <row r="526" spans="1:62" ht="12.75" customHeight="1">
      <c r="A526" s="551"/>
      <c r="B526" s="551"/>
      <c r="C526" s="551"/>
      <c r="D526" s="551"/>
      <c r="E526" s="551"/>
      <c r="F526" s="551"/>
      <c r="G526" s="551"/>
      <c r="H526" s="551"/>
      <c r="I526" s="551"/>
      <c r="J526" s="551"/>
      <c r="K526" s="551"/>
      <c r="L526" s="551"/>
      <c r="M526" s="551"/>
      <c r="N526" s="551"/>
      <c r="O526" s="551"/>
      <c r="P526" s="551"/>
      <c r="Q526" s="551"/>
      <c r="R526" s="551"/>
      <c r="S526" s="551"/>
      <c r="T526" s="551"/>
      <c r="U526" s="551"/>
      <c r="V526" s="551"/>
      <c r="W526" s="551"/>
      <c r="X526" s="551"/>
      <c r="Y526" s="551"/>
      <c r="Z526" s="551"/>
      <c r="AA526" s="551"/>
      <c r="AB526" s="551"/>
      <c r="AC526" s="551"/>
      <c r="AD526" s="551"/>
      <c r="AE526" s="551"/>
      <c r="AF526" s="551"/>
      <c r="AG526" s="551"/>
      <c r="AH526" s="551"/>
      <c r="AI526" s="551"/>
      <c r="AJ526" s="551"/>
      <c r="AK526" s="551"/>
      <c r="AL526" s="551"/>
      <c r="AM526" s="551"/>
      <c r="AN526" s="551"/>
      <c r="AO526" s="551"/>
      <c r="AP526" s="551"/>
      <c r="AQ526" s="551"/>
      <c r="AR526" s="551"/>
      <c r="AS526" s="551"/>
      <c r="AT526" s="551"/>
      <c r="AU526" s="551"/>
      <c r="AV526" s="551"/>
      <c r="AW526" s="551"/>
      <c r="AX526" s="551"/>
      <c r="AY526" s="551"/>
      <c r="AZ526" s="551"/>
      <c r="BA526" s="551"/>
      <c r="BB526" s="551"/>
      <c r="BC526" s="551"/>
      <c r="BD526" s="551"/>
      <c r="BE526" s="551"/>
      <c r="BF526" s="551"/>
      <c r="BG526" s="551"/>
      <c r="BH526" s="551"/>
      <c r="BI526" s="551"/>
      <c r="BJ526" s="551"/>
    </row>
    <row r="527" spans="1:62" ht="12.75" customHeight="1">
      <c r="A527" s="551"/>
      <c r="B527" s="551"/>
      <c r="C527" s="551"/>
      <c r="D527" s="551"/>
      <c r="E527" s="551"/>
      <c r="F527" s="551"/>
      <c r="G527" s="551"/>
      <c r="H527" s="551"/>
      <c r="I527" s="551"/>
      <c r="J527" s="551"/>
      <c r="K527" s="551"/>
      <c r="L527" s="551"/>
      <c r="M527" s="551"/>
      <c r="N527" s="551"/>
      <c r="O527" s="551"/>
      <c r="P527" s="551"/>
      <c r="Q527" s="551"/>
      <c r="R527" s="551"/>
      <c r="S527" s="551"/>
      <c r="T527" s="551"/>
      <c r="U527" s="551"/>
      <c r="V527" s="551"/>
      <c r="W527" s="551"/>
      <c r="X527" s="551"/>
      <c r="Y527" s="551"/>
      <c r="Z527" s="551"/>
      <c r="AA527" s="551"/>
      <c r="AB527" s="551"/>
      <c r="AC527" s="551"/>
      <c r="AD527" s="551"/>
      <c r="AE527" s="551"/>
      <c r="AF527" s="551"/>
      <c r="AG527" s="551"/>
      <c r="AH527" s="551"/>
      <c r="AI527" s="551"/>
      <c r="AJ527" s="551"/>
      <c r="AK527" s="551"/>
      <c r="AL527" s="551"/>
      <c r="AM527" s="551"/>
      <c r="AN527" s="551"/>
      <c r="AO527" s="551"/>
      <c r="AP527" s="551"/>
      <c r="AQ527" s="551"/>
      <c r="AR527" s="551"/>
      <c r="AS527" s="551"/>
      <c r="AT527" s="551"/>
      <c r="AU527" s="551"/>
      <c r="AV527" s="551"/>
      <c r="AW527" s="551"/>
      <c r="AX527" s="551"/>
      <c r="AY527" s="551"/>
      <c r="AZ527" s="551"/>
      <c r="BA527" s="551"/>
      <c r="BB527" s="551"/>
      <c r="BC527" s="551"/>
      <c r="BD527" s="551"/>
      <c r="BE527" s="551"/>
      <c r="BF527" s="551"/>
      <c r="BG527" s="551"/>
      <c r="BH527" s="551"/>
      <c r="BI527" s="551"/>
      <c r="BJ527" s="551"/>
    </row>
    <row r="528" spans="1:62" ht="12.75" customHeight="1">
      <c r="A528" s="551"/>
      <c r="B528" s="551"/>
      <c r="C528" s="551"/>
      <c r="D528" s="551"/>
      <c r="E528" s="551"/>
      <c r="F528" s="551"/>
      <c r="G528" s="551"/>
      <c r="H528" s="551"/>
      <c r="I528" s="551"/>
      <c r="J528" s="551"/>
      <c r="K528" s="551"/>
      <c r="L528" s="551"/>
      <c r="M528" s="551"/>
      <c r="N528" s="551"/>
      <c r="O528" s="551"/>
      <c r="P528" s="551"/>
      <c r="Q528" s="551"/>
      <c r="R528" s="551"/>
      <c r="S528" s="551"/>
      <c r="T528" s="551"/>
      <c r="U528" s="551"/>
      <c r="V528" s="551"/>
      <c r="W528" s="551"/>
      <c r="X528" s="551"/>
      <c r="Y528" s="551"/>
      <c r="Z528" s="551"/>
      <c r="AA528" s="551"/>
      <c r="AB528" s="551"/>
      <c r="AC528" s="551"/>
      <c r="AD528" s="551"/>
      <c r="AE528" s="551"/>
      <c r="AF528" s="551"/>
      <c r="AG528" s="551"/>
      <c r="AH528" s="551"/>
      <c r="AI528" s="551"/>
      <c r="AJ528" s="551"/>
      <c r="AK528" s="551"/>
      <c r="AL528" s="551"/>
      <c r="AM528" s="551"/>
      <c r="AN528" s="551"/>
      <c r="AO528" s="551"/>
      <c r="AP528" s="551"/>
      <c r="AQ528" s="551"/>
      <c r="AR528" s="551"/>
      <c r="AS528" s="551"/>
      <c r="AT528" s="551"/>
      <c r="AU528" s="551"/>
      <c r="AV528" s="551"/>
      <c r="AW528" s="551"/>
      <c r="AX528" s="551"/>
      <c r="AY528" s="551"/>
      <c r="AZ528" s="551"/>
      <c r="BA528" s="551"/>
      <c r="BB528" s="551"/>
      <c r="BC528" s="551"/>
      <c r="BD528" s="551"/>
      <c r="BE528" s="551"/>
      <c r="BF528" s="551"/>
      <c r="BG528" s="551"/>
      <c r="BH528" s="551"/>
      <c r="BI528" s="551"/>
      <c r="BJ528" s="551"/>
    </row>
    <row r="529" spans="1:62" ht="12.75" customHeight="1">
      <c r="A529" s="551"/>
      <c r="B529" s="551"/>
      <c r="C529" s="551"/>
      <c r="D529" s="551"/>
      <c r="E529" s="551"/>
      <c r="F529" s="551"/>
      <c r="G529" s="551"/>
      <c r="H529" s="551"/>
      <c r="I529" s="551"/>
      <c r="J529" s="551"/>
      <c r="K529" s="551"/>
      <c r="L529" s="551"/>
      <c r="M529" s="551"/>
      <c r="N529" s="551"/>
      <c r="O529" s="551"/>
      <c r="P529" s="551"/>
      <c r="Q529" s="551"/>
      <c r="R529" s="551"/>
      <c r="S529" s="551"/>
      <c r="T529" s="551"/>
      <c r="U529" s="551"/>
      <c r="V529" s="551"/>
      <c r="W529" s="551"/>
      <c r="X529" s="551"/>
      <c r="Y529" s="551"/>
      <c r="Z529" s="551"/>
      <c r="AA529" s="551"/>
      <c r="AB529" s="551"/>
      <c r="AC529" s="551"/>
      <c r="AD529" s="551"/>
      <c r="AE529" s="551"/>
      <c r="AF529" s="551"/>
      <c r="AG529" s="551"/>
      <c r="AH529" s="551"/>
      <c r="AI529" s="551"/>
      <c r="AJ529" s="551"/>
      <c r="AK529" s="551"/>
      <c r="AL529" s="551"/>
      <c r="AM529" s="551"/>
      <c r="AN529" s="551"/>
      <c r="AO529" s="551"/>
      <c r="AP529" s="551"/>
      <c r="AQ529" s="551"/>
      <c r="AR529" s="551"/>
      <c r="AS529" s="551"/>
      <c r="AT529" s="551"/>
      <c r="AU529" s="551"/>
      <c r="AV529" s="551"/>
      <c r="AW529" s="551"/>
      <c r="AX529" s="551"/>
      <c r="AY529" s="551"/>
      <c r="AZ529" s="551"/>
      <c r="BA529" s="551"/>
      <c r="BB529" s="551"/>
      <c r="BC529" s="551"/>
      <c r="BD529" s="551"/>
      <c r="BE529" s="551"/>
      <c r="BF529" s="551"/>
      <c r="BG529" s="551"/>
      <c r="BH529" s="551"/>
      <c r="BI529" s="551"/>
      <c r="BJ529" s="551"/>
    </row>
    <row r="530" spans="1:62" ht="12.75" customHeight="1">
      <c r="A530" s="551"/>
      <c r="B530" s="551"/>
      <c r="C530" s="551"/>
      <c r="D530" s="551"/>
      <c r="E530" s="551"/>
      <c r="F530" s="551"/>
      <c r="G530" s="551"/>
      <c r="H530" s="551"/>
      <c r="I530" s="551"/>
      <c r="J530" s="551"/>
      <c r="K530" s="551"/>
      <c r="L530" s="551"/>
      <c r="M530" s="551"/>
      <c r="N530" s="551"/>
      <c r="O530" s="551"/>
      <c r="P530" s="551"/>
      <c r="Q530" s="551"/>
      <c r="R530" s="551"/>
      <c r="S530" s="551"/>
      <c r="T530" s="551"/>
      <c r="U530" s="551"/>
      <c r="V530" s="551"/>
      <c r="W530" s="551"/>
      <c r="X530" s="551"/>
      <c r="Y530" s="551"/>
      <c r="Z530" s="551"/>
      <c r="AA530" s="551"/>
      <c r="AB530" s="551"/>
      <c r="AC530" s="551"/>
      <c r="AD530" s="551"/>
      <c r="AE530" s="551"/>
      <c r="AF530" s="551"/>
      <c r="AG530" s="551"/>
      <c r="AH530" s="551"/>
      <c r="AI530" s="551"/>
      <c r="AJ530" s="551"/>
      <c r="AK530" s="551"/>
      <c r="AL530" s="551"/>
      <c r="AM530" s="551"/>
      <c r="AN530" s="551"/>
      <c r="AO530" s="551"/>
      <c r="AP530" s="551"/>
      <c r="AQ530" s="551"/>
      <c r="AR530" s="551"/>
      <c r="AS530" s="551"/>
      <c r="AT530" s="551"/>
      <c r="AU530" s="551"/>
      <c r="AV530" s="551"/>
      <c r="AW530" s="551"/>
      <c r="AX530" s="551"/>
      <c r="AY530" s="551"/>
      <c r="AZ530" s="551"/>
      <c r="BA530" s="551"/>
      <c r="BB530" s="551"/>
      <c r="BC530" s="551"/>
      <c r="BD530" s="551"/>
      <c r="BE530" s="551"/>
      <c r="BF530" s="551"/>
      <c r="BG530" s="551"/>
      <c r="BH530" s="551"/>
      <c r="BI530" s="551"/>
      <c r="BJ530" s="551"/>
    </row>
    <row r="531" spans="1:62" ht="12.75" customHeight="1">
      <c r="A531" s="551"/>
      <c r="B531" s="551"/>
      <c r="C531" s="551"/>
      <c r="D531" s="551"/>
      <c r="E531" s="551"/>
      <c r="F531" s="551"/>
      <c r="G531" s="551"/>
      <c r="H531" s="551"/>
      <c r="I531" s="551"/>
      <c r="J531" s="551"/>
      <c r="K531" s="551"/>
      <c r="L531" s="551"/>
      <c r="M531" s="551"/>
      <c r="N531" s="551"/>
      <c r="O531" s="551"/>
      <c r="P531" s="551"/>
      <c r="Q531" s="551"/>
      <c r="R531" s="551"/>
      <c r="S531" s="551"/>
      <c r="T531" s="551"/>
      <c r="U531" s="551"/>
      <c r="V531" s="551"/>
      <c r="W531" s="551"/>
      <c r="X531" s="551"/>
      <c r="Y531" s="551"/>
      <c r="Z531" s="551"/>
      <c r="AA531" s="551"/>
      <c r="AB531" s="551"/>
      <c r="AC531" s="551"/>
      <c r="AD531" s="551"/>
      <c r="AE531" s="551"/>
      <c r="AF531" s="551"/>
      <c r="AG531" s="551"/>
      <c r="AH531" s="551"/>
      <c r="AI531" s="551"/>
      <c r="AJ531" s="551"/>
      <c r="AK531" s="551"/>
      <c r="AL531" s="551"/>
      <c r="AM531" s="551"/>
      <c r="AN531" s="551"/>
      <c r="AO531" s="551"/>
      <c r="AP531" s="551"/>
      <c r="AQ531" s="551"/>
      <c r="AR531" s="551"/>
      <c r="AS531" s="551"/>
      <c r="AT531" s="551"/>
      <c r="AU531" s="551"/>
      <c r="AV531" s="551"/>
      <c r="AW531" s="551"/>
      <c r="AX531" s="551"/>
      <c r="AY531" s="551"/>
      <c r="AZ531" s="551"/>
      <c r="BA531" s="551"/>
      <c r="BB531" s="551"/>
      <c r="BC531" s="551"/>
      <c r="BD531" s="551"/>
      <c r="BE531" s="551"/>
      <c r="BF531" s="551"/>
      <c r="BG531" s="551"/>
      <c r="BH531" s="551"/>
      <c r="BI531" s="551"/>
      <c r="BJ531" s="551"/>
    </row>
    <row r="532" spans="1:62" ht="12.75" customHeight="1">
      <c r="A532" s="551"/>
      <c r="B532" s="551"/>
      <c r="C532" s="551"/>
      <c r="D532" s="551"/>
      <c r="E532" s="551"/>
      <c r="F532" s="551"/>
      <c r="G532" s="551"/>
      <c r="H532" s="551"/>
      <c r="I532" s="551"/>
      <c r="J532" s="551"/>
      <c r="K532" s="551"/>
      <c r="L532" s="551"/>
      <c r="M532" s="551"/>
      <c r="N532" s="551"/>
      <c r="O532" s="551"/>
      <c r="P532" s="551"/>
      <c r="Q532" s="551"/>
      <c r="R532" s="551"/>
      <c r="S532" s="551"/>
      <c r="T532" s="551"/>
      <c r="U532" s="551"/>
      <c r="V532" s="551"/>
      <c r="W532" s="551"/>
      <c r="X532" s="551"/>
      <c r="Y532" s="551"/>
      <c r="Z532" s="551"/>
      <c r="AA532" s="551"/>
      <c r="AB532" s="551"/>
      <c r="AC532" s="551"/>
      <c r="AD532" s="551"/>
      <c r="AE532" s="551"/>
      <c r="AF532" s="551"/>
      <c r="AG532" s="551"/>
      <c r="AH532" s="551"/>
      <c r="AI532" s="551"/>
      <c r="AJ532" s="551"/>
      <c r="AK532" s="551"/>
      <c r="AL532" s="551"/>
      <c r="AM532" s="551"/>
      <c r="AN532" s="551"/>
      <c r="AO532" s="551"/>
      <c r="AP532" s="551"/>
      <c r="AQ532" s="551"/>
      <c r="AR532" s="551"/>
      <c r="AS532" s="551"/>
      <c r="AT532" s="551"/>
      <c r="AU532" s="551"/>
      <c r="AV532" s="551"/>
      <c r="AW532" s="551"/>
      <c r="AX532" s="551"/>
      <c r="AY532" s="551"/>
      <c r="AZ532" s="551"/>
      <c r="BA532" s="551"/>
      <c r="BB532" s="551"/>
      <c r="BC532" s="551"/>
      <c r="BD532" s="551"/>
      <c r="BE532" s="551"/>
      <c r="BF532" s="551"/>
      <c r="BG532" s="551"/>
      <c r="BH532" s="551"/>
      <c r="BI532" s="551"/>
      <c r="BJ532" s="551"/>
    </row>
    <row r="533" spans="1:62" ht="12.75" customHeight="1">
      <c r="A533" s="551"/>
      <c r="B533" s="551"/>
      <c r="C533" s="551"/>
      <c r="D533" s="551"/>
      <c r="E533" s="551"/>
      <c r="F533" s="551"/>
      <c r="G533" s="551"/>
      <c r="H533" s="551"/>
      <c r="I533" s="551"/>
      <c r="J533" s="551"/>
      <c r="K533" s="551"/>
      <c r="L533" s="551"/>
      <c r="M533" s="551"/>
      <c r="N533" s="551"/>
      <c r="O533" s="551"/>
      <c r="P533" s="551"/>
      <c r="Q533" s="551"/>
      <c r="R533" s="551"/>
      <c r="S533" s="551"/>
      <c r="T533" s="551"/>
      <c r="U533" s="551"/>
      <c r="V533" s="551"/>
      <c r="W533" s="551"/>
      <c r="X533" s="551"/>
      <c r="Y533" s="551"/>
      <c r="Z533" s="551"/>
      <c r="AA533" s="551"/>
      <c r="AB533" s="551"/>
      <c r="AC533" s="551"/>
      <c r="AD533" s="551"/>
      <c r="AE533" s="551"/>
      <c r="AF533" s="551"/>
      <c r="AG533" s="551"/>
      <c r="AH533" s="551"/>
      <c r="AI533" s="551"/>
      <c r="AJ533" s="551"/>
      <c r="AK533" s="551"/>
      <c r="AL533" s="551"/>
      <c r="AM533" s="551"/>
      <c r="AN533" s="551"/>
      <c r="AO533" s="551"/>
      <c r="AP533" s="551"/>
      <c r="AQ533" s="551"/>
      <c r="AR533" s="551"/>
      <c r="AS533" s="551"/>
      <c r="AT533" s="551"/>
      <c r="AU533" s="551"/>
      <c r="AV533" s="551"/>
      <c r="AW533" s="551"/>
      <c r="AX533" s="551"/>
      <c r="AY533" s="551"/>
      <c r="AZ533" s="551"/>
      <c r="BA533" s="551"/>
      <c r="BB533" s="551"/>
      <c r="BC533" s="551"/>
      <c r="BD533" s="551"/>
      <c r="BE533" s="551"/>
      <c r="BF533" s="551"/>
      <c r="BG533" s="551"/>
      <c r="BH533" s="551"/>
      <c r="BI533" s="551"/>
      <c r="BJ533" s="551"/>
    </row>
    <row r="534" spans="1:62" ht="12.75" customHeight="1">
      <c r="A534" s="551"/>
      <c r="B534" s="551"/>
      <c r="C534" s="551"/>
      <c r="D534" s="551"/>
      <c r="E534" s="551"/>
      <c r="F534" s="551"/>
      <c r="G534" s="551"/>
      <c r="H534" s="551"/>
      <c r="I534" s="551"/>
      <c r="J534" s="551"/>
      <c r="K534" s="551"/>
      <c r="L534" s="551"/>
      <c r="M534" s="551"/>
      <c r="N534" s="551"/>
      <c r="O534" s="551"/>
      <c r="P534" s="551"/>
      <c r="Q534" s="551"/>
      <c r="R534" s="551"/>
      <c r="S534" s="551"/>
      <c r="T534" s="551"/>
      <c r="U534" s="551"/>
      <c r="V534" s="551"/>
      <c r="W534" s="551"/>
      <c r="X534" s="551"/>
      <c r="Y534" s="551"/>
      <c r="Z534" s="551"/>
      <c r="AA534" s="551"/>
      <c r="AB534" s="551"/>
      <c r="AC534" s="551"/>
      <c r="AD534" s="551"/>
      <c r="AE534" s="551"/>
      <c r="AF534" s="551"/>
      <c r="AG534" s="551"/>
      <c r="AH534" s="551"/>
      <c r="AI534" s="551"/>
      <c r="AJ534" s="551"/>
      <c r="AK534" s="551"/>
      <c r="AL534" s="551"/>
      <c r="AM534" s="551"/>
      <c r="AN534" s="551"/>
      <c r="AO534" s="551"/>
      <c r="AP534" s="551"/>
      <c r="AQ534" s="551"/>
      <c r="AR534" s="551"/>
      <c r="AS534" s="551"/>
      <c r="AT534" s="551"/>
      <c r="AU534" s="551"/>
      <c r="AV534" s="551"/>
      <c r="AW534" s="551"/>
      <c r="AX534" s="551"/>
      <c r="AY534" s="551"/>
      <c r="AZ534" s="551"/>
      <c r="BA534" s="551"/>
      <c r="BB534" s="551"/>
      <c r="BC534" s="551"/>
      <c r="BD534" s="551"/>
      <c r="BE534" s="551"/>
      <c r="BF534" s="551"/>
      <c r="BG534" s="551"/>
      <c r="BH534" s="551"/>
      <c r="BI534" s="551"/>
      <c r="BJ534" s="551"/>
    </row>
    <row r="535" spans="1:62" ht="12.75" customHeight="1">
      <c r="A535" s="551"/>
      <c r="B535" s="551"/>
      <c r="C535" s="551"/>
      <c r="D535" s="551"/>
      <c r="E535" s="551"/>
      <c r="F535" s="551"/>
      <c r="G535" s="551"/>
      <c r="H535" s="551"/>
      <c r="I535" s="551"/>
      <c r="J535" s="551"/>
      <c r="K535" s="551"/>
      <c r="L535" s="551"/>
      <c r="M535" s="551"/>
      <c r="N535" s="551"/>
      <c r="O535" s="551"/>
      <c r="P535" s="551"/>
      <c r="Q535" s="551"/>
      <c r="R535" s="551"/>
      <c r="S535" s="551"/>
      <c r="T535" s="551"/>
      <c r="U535" s="551"/>
      <c r="V535" s="551"/>
      <c r="W535" s="551"/>
      <c r="X535" s="551"/>
      <c r="Y535" s="551"/>
      <c r="Z535" s="551"/>
      <c r="AA535" s="551"/>
      <c r="AB535" s="551"/>
      <c r="AC535" s="551"/>
      <c r="AD535" s="551"/>
      <c r="AE535" s="551"/>
      <c r="AF535" s="551"/>
      <c r="AG535" s="551"/>
      <c r="AH535" s="551"/>
      <c r="AI535" s="551"/>
      <c r="AJ535" s="551"/>
      <c r="AK535" s="551"/>
      <c r="AL535" s="551"/>
      <c r="AM535" s="551"/>
      <c r="AN535" s="551"/>
      <c r="AO535" s="551"/>
      <c r="AP535" s="551"/>
      <c r="AQ535" s="551"/>
      <c r="AR535" s="551"/>
      <c r="AS535" s="551"/>
      <c r="AT535" s="551"/>
      <c r="AU535" s="551"/>
      <c r="AV535" s="551"/>
      <c r="AW535" s="551"/>
      <c r="AX535" s="551"/>
      <c r="AY535" s="551"/>
      <c r="AZ535" s="551"/>
      <c r="BA535" s="551"/>
      <c r="BB535" s="551"/>
      <c r="BC535" s="551"/>
      <c r="BD535" s="551"/>
      <c r="BE535" s="551"/>
      <c r="BF535" s="551"/>
      <c r="BG535" s="551"/>
      <c r="BH535" s="551"/>
      <c r="BI535" s="551"/>
      <c r="BJ535" s="551"/>
    </row>
    <row r="536" spans="1:62" ht="12.75" customHeight="1">
      <c r="A536" s="551"/>
      <c r="B536" s="551"/>
      <c r="C536" s="551"/>
      <c r="D536" s="551"/>
      <c r="E536" s="551"/>
      <c r="F536" s="551"/>
      <c r="G536" s="551"/>
      <c r="H536" s="551"/>
      <c r="I536" s="551"/>
      <c r="J536" s="551"/>
      <c r="K536" s="551"/>
      <c r="L536" s="551"/>
      <c r="M536" s="551"/>
      <c r="N536" s="551"/>
      <c r="O536" s="551"/>
      <c r="P536" s="551"/>
      <c r="Q536" s="551"/>
      <c r="R536" s="551"/>
      <c r="S536" s="551"/>
      <c r="T536" s="551"/>
      <c r="U536" s="551"/>
      <c r="V536" s="551"/>
      <c r="W536" s="551"/>
      <c r="X536" s="551"/>
      <c r="Y536" s="551"/>
      <c r="Z536" s="551"/>
      <c r="AA536" s="551"/>
      <c r="AB536" s="551"/>
      <c r="AC536" s="551"/>
      <c r="AD536" s="551"/>
      <c r="AE536" s="551"/>
      <c r="AF536" s="551"/>
      <c r="AG536" s="551"/>
      <c r="AH536" s="551"/>
      <c r="AI536" s="551"/>
      <c r="AJ536" s="551"/>
      <c r="AK536" s="551"/>
      <c r="AL536" s="551"/>
      <c r="AM536" s="551"/>
      <c r="AN536" s="551"/>
      <c r="AO536" s="551"/>
      <c r="AP536" s="551"/>
      <c r="AQ536" s="551"/>
      <c r="AR536" s="551"/>
      <c r="AS536" s="551"/>
      <c r="AT536" s="551"/>
      <c r="AU536" s="551"/>
      <c r="AV536" s="551"/>
      <c r="AW536" s="551"/>
      <c r="AX536" s="551"/>
      <c r="AY536" s="551"/>
      <c r="AZ536" s="551"/>
      <c r="BA536" s="551"/>
      <c r="BB536" s="551"/>
      <c r="BC536" s="551"/>
      <c r="BD536" s="551"/>
      <c r="BE536" s="551"/>
      <c r="BF536" s="551"/>
      <c r="BG536" s="551"/>
      <c r="BH536" s="551"/>
      <c r="BI536" s="551"/>
      <c r="BJ536" s="551"/>
    </row>
    <row r="537" spans="1:62" ht="12.75" customHeight="1">
      <c r="A537" s="551"/>
      <c r="B537" s="551"/>
      <c r="C537" s="551"/>
      <c r="D537" s="551"/>
      <c r="E537" s="551"/>
      <c r="F537" s="551"/>
      <c r="G537" s="551"/>
      <c r="H537" s="551"/>
      <c r="I537" s="551"/>
      <c r="J537" s="551"/>
      <c r="K537" s="551"/>
      <c r="L537" s="551"/>
      <c r="M537" s="551"/>
      <c r="N537" s="551"/>
      <c r="O537" s="551"/>
      <c r="P537" s="551"/>
      <c r="Q537" s="551"/>
      <c r="R537" s="551"/>
      <c r="S537" s="551"/>
      <c r="T537" s="551"/>
      <c r="U537" s="551"/>
      <c r="V537" s="551"/>
      <c r="W537" s="551"/>
      <c r="X537" s="551"/>
      <c r="Y537" s="551"/>
      <c r="Z537" s="551"/>
      <c r="AA537" s="551"/>
      <c r="AB537" s="551"/>
      <c r="AC537" s="551"/>
      <c r="AD537" s="551"/>
      <c r="AE537" s="551"/>
      <c r="AF537" s="551"/>
      <c r="AG537" s="551"/>
      <c r="AH537" s="551"/>
      <c r="AI537" s="551"/>
      <c r="AJ537" s="551"/>
      <c r="AK537" s="551"/>
      <c r="AL537" s="551"/>
      <c r="AM537" s="551"/>
      <c r="AN537" s="551"/>
      <c r="AO537" s="551"/>
      <c r="AP537" s="551"/>
      <c r="AQ537" s="551"/>
      <c r="AR537" s="551"/>
      <c r="AS537" s="551"/>
      <c r="AT537" s="551"/>
      <c r="AU537" s="551"/>
      <c r="AV537" s="551"/>
      <c r="AW537" s="551"/>
      <c r="AX537" s="551"/>
      <c r="AY537" s="551"/>
      <c r="AZ537" s="551"/>
      <c r="BA537" s="551"/>
      <c r="BB537" s="551"/>
      <c r="BC537" s="551"/>
      <c r="BD537" s="551"/>
      <c r="BE537" s="551"/>
      <c r="BF537" s="551"/>
      <c r="BG537" s="551"/>
      <c r="BH537" s="551"/>
      <c r="BI537" s="551"/>
      <c r="BJ537" s="551"/>
    </row>
    <row r="538" spans="1:62" ht="12.75" customHeight="1">
      <c r="A538" s="551"/>
      <c r="B538" s="551"/>
      <c r="C538" s="551"/>
      <c r="D538" s="551"/>
      <c r="E538" s="551"/>
      <c r="F538" s="551"/>
      <c r="G538" s="551"/>
      <c r="H538" s="551"/>
      <c r="I538" s="551"/>
      <c r="J538" s="551"/>
      <c r="K538" s="551"/>
      <c r="L538" s="551"/>
      <c r="M538" s="551"/>
      <c r="N538" s="551"/>
      <c r="O538" s="551"/>
      <c r="P538" s="551"/>
      <c r="Q538" s="551"/>
      <c r="R538" s="551"/>
      <c r="S538" s="551"/>
      <c r="T538" s="551"/>
      <c r="U538" s="551"/>
      <c r="V538" s="551"/>
      <c r="W538" s="551"/>
      <c r="X538" s="551"/>
      <c r="Y538" s="551"/>
      <c r="Z538" s="551"/>
      <c r="AA538" s="551"/>
      <c r="AB538" s="551"/>
      <c r="AC538" s="551"/>
      <c r="AD538" s="551"/>
      <c r="AE538" s="551"/>
      <c r="AF538" s="551"/>
      <c r="AG538" s="551"/>
      <c r="AH538" s="551"/>
      <c r="AI538" s="551"/>
      <c r="AJ538" s="551"/>
      <c r="AK538" s="551"/>
      <c r="AL538" s="551"/>
      <c r="AM538" s="551"/>
      <c r="AN538" s="551"/>
      <c r="AO538" s="551"/>
      <c r="AP538" s="551"/>
      <c r="AQ538" s="551"/>
      <c r="AR538" s="551"/>
      <c r="AS538" s="551"/>
      <c r="AT538" s="551"/>
      <c r="AU538" s="551"/>
      <c r="AV538" s="551"/>
      <c r="AW538" s="551"/>
      <c r="AX538" s="551"/>
      <c r="AY538" s="551"/>
      <c r="AZ538" s="551"/>
      <c r="BA538" s="551"/>
      <c r="BB538" s="551"/>
      <c r="BC538" s="551"/>
      <c r="BD538" s="551"/>
      <c r="BE538" s="551"/>
      <c r="BF538" s="551"/>
      <c r="BG538" s="551"/>
      <c r="BH538" s="551"/>
      <c r="BI538" s="551"/>
      <c r="BJ538" s="551"/>
    </row>
    <row r="539" spans="1:62" ht="12.75" customHeight="1">
      <c r="A539" s="551"/>
      <c r="B539" s="551"/>
      <c r="C539" s="551"/>
      <c r="D539" s="551"/>
      <c r="E539" s="551"/>
      <c r="F539" s="551"/>
      <c r="G539" s="551"/>
      <c r="H539" s="551"/>
      <c r="I539" s="551"/>
      <c r="J539" s="551"/>
      <c r="K539" s="551"/>
      <c r="L539" s="551"/>
      <c r="M539" s="551"/>
      <c r="N539" s="551"/>
      <c r="O539" s="551"/>
      <c r="P539" s="551"/>
      <c r="Q539" s="551"/>
      <c r="R539" s="551"/>
      <c r="S539" s="551"/>
      <c r="T539" s="551"/>
      <c r="U539" s="551"/>
      <c r="V539" s="551"/>
      <c r="W539" s="551"/>
      <c r="X539" s="551"/>
      <c r="Y539" s="551"/>
      <c r="Z539" s="551"/>
      <c r="AA539" s="551"/>
      <c r="AB539" s="551"/>
      <c r="AC539" s="551"/>
      <c r="AD539" s="551"/>
      <c r="AE539" s="551"/>
      <c r="AF539" s="551"/>
      <c r="AG539" s="551"/>
      <c r="AH539" s="551"/>
      <c r="AI539" s="551"/>
      <c r="AJ539" s="551"/>
      <c r="AK539" s="551"/>
      <c r="AL539" s="551"/>
      <c r="AM539" s="551"/>
      <c r="AN539" s="551"/>
      <c r="AO539" s="551"/>
      <c r="AP539" s="551"/>
      <c r="AQ539" s="551"/>
      <c r="AR539" s="551"/>
      <c r="AS539" s="551"/>
      <c r="AT539" s="551"/>
      <c r="AU539" s="551"/>
      <c r="AV539" s="551"/>
      <c r="AW539" s="551"/>
      <c r="AX539" s="551"/>
      <c r="AY539" s="551"/>
      <c r="AZ539" s="551"/>
      <c r="BA539" s="551"/>
      <c r="BB539" s="551"/>
      <c r="BC539" s="551"/>
      <c r="BD539" s="551"/>
      <c r="BE539" s="551"/>
      <c r="BF539" s="551"/>
      <c r="BG539" s="551"/>
      <c r="BH539" s="551"/>
      <c r="BI539" s="551"/>
      <c r="BJ539" s="551"/>
    </row>
    <row r="540" spans="1:62" ht="12.75" customHeight="1">
      <c r="A540" s="551"/>
      <c r="B540" s="551"/>
      <c r="C540" s="551"/>
      <c r="D540" s="551"/>
      <c r="E540" s="551"/>
      <c r="F540" s="551"/>
      <c r="G540" s="551"/>
      <c r="H540" s="551"/>
      <c r="I540" s="551"/>
      <c r="J540" s="551"/>
      <c r="K540" s="551"/>
      <c r="L540" s="551"/>
      <c r="M540" s="551"/>
      <c r="N540" s="551"/>
      <c r="O540" s="551"/>
      <c r="P540" s="551"/>
      <c r="Q540" s="551"/>
      <c r="R540" s="551"/>
      <c r="S540" s="551"/>
      <c r="T540" s="551"/>
      <c r="U540" s="551"/>
      <c r="V540" s="551"/>
      <c r="W540" s="551"/>
      <c r="X540" s="551"/>
      <c r="Y540" s="551"/>
      <c r="Z540" s="551"/>
      <c r="AA540" s="551"/>
      <c r="AB540" s="551"/>
      <c r="AC540" s="551"/>
      <c r="AD540" s="551"/>
      <c r="AE540" s="551"/>
      <c r="AF540" s="551"/>
      <c r="AG540" s="551"/>
      <c r="AH540" s="551"/>
      <c r="AI540" s="551"/>
      <c r="AJ540" s="551"/>
      <c r="AK540" s="551"/>
      <c r="AL540" s="551"/>
      <c r="AM540" s="551"/>
      <c r="AN540" s="551"/>
      <c r="AO540" s="551"/>
      <c r="AP540" s="551"/>
      <c r="AQ540" s="551"/>
      <c r="AR540" s="551"/>
      <c r="AS540" s="551"/>
      <c r="AT540" s="551"/>
      <c r="AU540" s="551"/>
      <c r="AV540" s="551"/>
      <c r="AW540" s="551"/>
      <c r="AX540" s="551"/>
      <c r="AY540" s="551"/>
      <c r="AZ540" s="551"/>
      <c r="BA540" s="551"/>
      <c r="BB540" s="551"/>
      <c r="BC540" s="551"/>
      <c r="BD540" s="551"/>
      <c r="BE540" s="551"/>
      <c r="BF540" s="551"/>
      <c r="BG540" s="551"/>
      <c r="BH540" s="551"/>
      <c r="BI540" s="551"/>
      <c r="BJ540" s="551"/>
    </row>
    <row r="541" spans="1:62" ht="12.75" customHeight="1">
      <c r="A541" s="551"/>
      <c r="B541" s="551"/>
      <c r="C541" s="551"/>
      <c r="D541" s="551"/>
      <c r="E541" s="551"/>
      <c r="F541" s="551"/>
      <c r="G541" s="551"/>
      <c r="H541" s="551"/>
      <c r="I541" s="551"/>
      <c r="J541" s="551"/>
      <c r="K541" s="551"/>
      <c r="L541" s="551"/>
      <c r="M541" s="551"/>
      <c r="N541" s="551"/>
      <c r="O541" s="551"/>
      <c r="P541" s="551"/>
      <c r="Q541" s="551"/>
      <c r="R541" s="551"/>
      <c r="S541" s="551"/>
      <c r="T541" s="551"/>
      <c r="U541" s="551"/>
      <c r="V541" s="551"/>
      <c r="W541" s="551"/>
      <c r="X541" s="551"/>
      <c r="Y541" s="551"/>
      <c r="Z541" s="551"/>
      <c r="AA541" s="551"/>
      <c r="AB541" s="551"/>
      <c r="AC541" s="551"/>
      <c r="AD541" s="551"/>
      <c r="AE541" s="551"/>
      <c r="AF541" s="551"/>
      <c r="AG541" s="551"/>
      <c r="AH541" s="551"/>
      <c r="AI541" s="551"/>
      <c r="AJ541" s="551"/>
      <c r="AK541" s="551"/>
      <c r="AL541" s="551"/>
      <c r="AM541" s="551"/>
      <c r="AN541" s="551"/>
      <c r="AO541" s="551"/>
      <c r="AP541" s="551"/>
      <c r="AQ541" s="551"/>
      <c r="AR541" s="551"/>
      <c r="AS541" s="551"/>
      <c r="AT541" s="551"/>
      <c r="AU541" s="551"/>
      <c r="AV541" s="551"/>
      <c r="AW541" s="551"/>
      <c r="AX541" s="551"/>
      <c r="AY541" s="551"/>
      <c r="AZ541" s="551"/>
      <c r="BA541" s="551"/>
      <c r="BB541" s="551"/>
      <c r="BC541" s="551"/>
      <c r="BD541" s="551"/>
      <c r="BE541" s="551"/>
      <c r="BF541" s="551"/>
      <c r="BG541" s="551"/>
      <c r="BH541" s="551"/>
      <c r="BI541" s="551"/>
      <c r="BJ541" s="551"/>
    </row>
    <row r="542" spans="1:62" ht="12.75" customHeight="1">
      <c r="A542" s="551"/>
      <c r="B542" s="551"/>
      <c r="C542" s="551"/>
      <c r="D542" s="551"/>
      <c r="E542" s="551"/>
      <c r="F542" s="551"/>
      <c r="G542" s="551"/>
      <c r="H542" s="551"/>
      <c r="I542" s="551"/>
      <c r="J542" s="551"/>
      <c r="K542" s="551"/>
      <c r="L542" s="551"/>
      <c r="M542" s="551"/>
      <c r="N542" s="551"/>
      <c r="O542" s="551"/>
      <c r="P542" s="551"/>
      <c r="Q542" s="551"/>
      <c r="R542" s="551"/>
      <c r="S542" s="551"/>
      <c r="T542" s="551"/>
      <c r="U542" s="551"/>
      <c r="V542" s="551"/>
      <c r="W542" s="551"/>
      <c r="X542" s="551"/>
      <c r="Y542" s="551"/>
      <c r="Z542" s="551"/>
      <c r="AA542" s="551"/>
      <c r="AB542" s="551"/>
      <c r="AC542" s="551"/>
      <c r="AD542" s="551"/>
      <c r="AE542" s="551"/>
      <c r="AF542" s="551"/>
      <c r="AG542" s="551"/>
      <c r="AH542" s="551"/>
      <c r="AI542" s="551"/>
      <c r="AJ542" s="551"/>
      <c r="AK542" s="551"/>
      <c r="AL542" s="551"/>
      <c r="AM542" s="551"/>
      <c r="AN542" s="551"/>
      <c r="AO542" s="551"/>
      <c r="AP542" s="551"/>
      <c r="AQ542" s="551"/>
      <c r="AR542" s="551"/>
      <c r="AS542" s="551"/>
      <c r="AT542" s="551"/>
      <c r="AU542" s="551"/>
      <c r="AV542" s="551"/>
      <c r="AW542" s="551"/>
      <c r="AX542" s="551"/>
      <c r="AY542" s="551"/>
      <c r="AZ542" s="551"/>
      <c r="BA542" s="551"/>
      <c r="BB542" s="551"/>
      <c r="BC542" s="551"/>
      <c r="BD542" s="551"/>
      <c r="BE542" s="551"/>
      <c r="BF542" s="551"/>
      <c r="BG542" s="551"/>
      <c r="BH542" s="551"/>
      <c r="BI542" s="551"/>
      <c r="BJ542" s="551"/>
    </row>
    <row r="543" spans="1:62" ht="12.75" customHeight="1">
      <c r="A543" s="551"/>
      <c r="B543" s="551"/>
      <c r="C543" s="551"/>
      <c r="D543" s="551"/>
      <c r="E543" s="551"/>
      <c r="F543" s="551"/>
      <c r="G543" s="551"/>
      <c r="H543" s="551"/>
      <c r="I543" s="551"/>
      <c r="J543" s="551"/>
      <c r="K543" s="551"/>
      <c r="L543" s="551"/>
      <c r="M543" s="551"/>
      <c r="N543" s="551"/>
      <c r="O543" s="551"/>
      <c r="P543" s="551"/>
      <c r="Q543" s="551"/>
      <c r="R543" s="551"/>
      <c r="S543" s="551"/>
      <c r="T543" s="551"/>
      <c r="U543" s="551"/>
      <c r="V543" s="551"/>
      <c r="W543" s="551"/>
      <c r="X543" s="551"/>
      <c r="Y543" s="551"/>
      <c r="Z543" s="551"/>
      <c r="AA543" s="551"/>
      <c r="AB543" s="551"/>
      <c r="AC543" s="551"/>
      <c r="AD543" s="551"/>
      <c r="AE543" s="551"/>
      <c r="AF543" s="551"/>
      <c r="AG543" s="551"/>
      <c r="AH543" s="551"/>
      <c r="AI543" s="551"/>
      <c r="AJ543" s="551"/>
      <c r="AK543" s="551"/>
      <c r="AL543" s="551"/>
      <c r="AM543" s="551"/>
      <c r="AN543" s="551"/>
      <c r="AO543" s="551"/>
      <c r="AP543" s="551"/>
      <c r="AQ543" s="551"/>
      <c r="AR543" s="551"/>
      <c r="AS543" s="551"/>
      <c r="AT543" s="551"/>
      <c r="AU543" s="551"/>
      <c r="AV543" s="551"/>
      <c r="AW543" s="551"/>
      <c r="AX543" s="551"/>
      <c r="AY543" s="551"/>
      <c r="AZ543" s="551"/>
      <c r="BA543" s="551"/>
      <c r="BB543" s="551"/>
      <c r="BC543" s="551"/>
      <c r="BD543" s="551"/>
      <c r="BE543" s="551"/>
      <c r="BF543" s="551"/>
      <c r="BG543" s="551"/>
      <c r="BH543" s="551"/>
      <c r="BI543" s="551"/>
      <c r="BJ543" s="551"/>
    </row>
    <row r="544" spans="1:62" ht="12.75" customHeight="1">
      <c r="A544" s="551"/>
      <c r="B544" s="551"/>
      <c r="C544" s="551"/>
      <c r="D544" s="551"/>
      <c r="E544" s="551"/>
      <c r="F544" s="551"/>
      <c r="G544" s="551"/>
      <c r="H544" s="551"/>
      <c r="I544" s="551"/>
      <c r="J544" s="551"/>
      <c r="K544" s="551"/>
      <c r="L544" s="551"/>
      <c r="M544" s="551"/>
      <c r="N544" s="551"/>
      <c r="O544" s="551"/>
      <c r="P544" s="551"/>
      <c r="Q544" s="551"/>
      <c r="R544" s="551"/>
      <c r="S544" s="551"/>
      <c r="T544" s="551"/>
      <c r="U544" s="551"/>
      <c r="V544" s="551"/>
      <c r="W544" s="551"/>
      <c r="X544" s="551"/>
      <c r="Y544" s="551"/>
      <c r="Z544" s="551"/>
      <c r="AA544" s="551"/>
      <c r="AB544" s="551"/>
      <c r="AC544" s="551"/>
      <c r="AD544" s="551"/>
      <c r="AE544" s="551"/>
      <c r="AF544" s="551"/>
      <c r="AG544" s="551"/>
      <c r="AH544" s="551"/>
      <c r="AI544" s="551"/>
      <c r="AJ544" s="551"/>
      <c r="AK544" s="551"/>
      <c r="AL544" s="551"/>
      <c r="AM544" s="551"/>
      <c r="AN544" s="551"/>
      <c r="AO544" s="551"/>
      <c r="AP544" s="551"/>
      <c r="AQ544" s="551"/>
      <c r="AR544" s="551"/>
      <c r="AS544" s="551"/>
      <c r="AT544" s="551"/>
      <c r="AU544" s="551"/>
      <c r="AV544" s="551"/>
      <c r="AW544" s="551"/>
      <c r="AX544" s="551"/>
      <c r="AY544" s="551"/>
      <c r="AZ544" s="551"/>
      <c r="BA544" s="551"/>
      <c r="BB544" s="551"/>
      <c r="BC544" s="551"/>
      <c r="BD544" s="551"/>
      <c r="BE544" s="551"/>
      <c r="BF544" s="551"/>
      <c r="BG544" s="551"/>
      <c r="BH544" s="551"/>
      <c r="BI544" s="551"/>
      <c r="BJ544" s="551"/>
    </row>
    <row r="545" spans="1:62" ht="12.75" customHeight="1">
      <c r="A545" s="551"/>
      <c r="B545" s="551"/>
      <c r="C545" s="551"/>
      <c r="D545" s="551"/>
      <c r="E545" s="551"/>
      <c r="F545" s="551"/>
      <c r="G545" s="551"/>
      <c r="H545" s="551"/>
      <c r="I545" s="551"/>
      <c r="J545" s="551"/>
      <c r="K545" s="551"/>
      <c r="L545" s="551"/>
      <c r="M545" s="551"/>
      <c r="N545" s="551"/>
      <c r="O545" s="551"/>
      <c r="P545" s="551"/>
      <c r="Q545" s="551"/>
      <c r="R545" s="551"/>
      <c r="S545" s="551"/>
      <c r="T545" s="551"/>
      <c r="U545" s="551"/>
      <c r="V545" s="551"/>
      <c r="W545" s="551"/>
      <c r="X545" s="551"/>
      <c r="Y545" s="551"/>
      <c r="Z545" s="551"/>
      <c r="AA545" s="551"/>
      <c r="AB545" s="551"/>
      <c r="AC545" s="551"/>
      <c r="AD545" s="551"/>
      <c r="AE545" s="551"/>
      <c r="AF545" s="551"/>
      <c r="AG545" s="551"/>
      <c r="AH545" s="551"/>
      <c r="AI545" s="551"/>
      <c r="AJ545" s="551"/>
      <c r="AK545" s="551"/>
      <c r="AL545" s="551"/>
      <c r="AM545" s="551"/>
      <c r="AN545" s="551"/>
      <c r="AO545" s="551"/>
      <c r="AP545" s="551"/>
      <c r="AQ545" s="551"/>
      <c r="AR545" s="551"/>
      <c r="AS545" s="551"/>
      <c r="AT545" s="551"/>
      <c r="AU545" s="551"/>
      <c r="AV545" s="551"/>
      <c r="AW545" s="551"/>
      <c r="AX545" s="551"/>
      <c r="AY545" s="551"/>
      <c r="AZ545" s="551"/>
      <c r="BA545" s="551"/>
      <c r="BB545" s="551"/>
      <c r="BC545" s="551"/>
      <c r="BD545" s="551"/>
      <c r="BE545" s="551"/>
      <c r="BF545" s="551"/>
      <c r="BG545" s="551"/>
      <c r="BH545" s="551"/>
      <c r="BI545" s="551"/>
      <c r="BJ545" s="551"/>
    </row>
    <row r="546" spans="1:62" ht="12.75" customHeight="1">
      <c r="A546" s="551"/>
      <c r="B546" s="551"/>
      <c r="C546" s="551"/>
      <c r="D546" s="551"/>
      <c r="E546" s="551"/>
      <c r="F546" s="551"/>
      <c r="G546" s="551"/>
      <c r="H546" s="551"/>
      <c r="I546" s="551"/>
      <c r="J546" s="551"/>
      <c r="K546" s="551"/>
      <c r="L546" s="551"/>
      <c r="M546" s="551"/>
      <c r="N546" s="551"/>
      <c r="O546" s="551"/>
      <c r="P546" s="551"/>
      <c r="Q546" s="551"/>
      <c r="R546" s="551"/>
      <c r="S546" s="551"/>
      <c r="T546" s="551"/>
      <c r="U546" s="551"/>
      <c r="V546" s="551"/>
      <c r="W546" s="551"/>
      <c r="X546" s="551"/>
      <c r="Y546" s="551"/>
      <c r="Z546" s="551"/>
      <c r="AA546" s="551"/>
      <c r="AB546" s="551"/>
      <c r="AC546" s="551"/>
      <c r="AD546" s="551"/>
      <c r="AE546" s="551"/>
      <c r="AF546" s="551"/>
      <c r="AG546" s="551"/>
      <c r="AH546" s="551"/>
      <c r="AI546" s="551"/>
      <c r="AJ546" s="551"/>
      <c r="AK546" s="551"/>
      <c r="AL546" s="551"/>
      <c r="AM546" s="551"/>
      <c r="AN546" s="551"/>
      <c r="AO546" s="551"/>
      <c r="AP546" s="551"/>
      <c r="AQ546" s="551"/>
      <c r="AR546" s="551"/>
      <c r="AS546" s="551"/>
      <c r="AT546" s="551"/>
      <c r="AU546" s="551"/>
      <c r="AV546" s="551"/>
      <c r="AW546" s="551"/>
      <c r="AX546" s="551"/>
      <c r="AY546" s="551"/>
      <c r="AZ546" s="551"/>
      <c r="BA546" s="551"/>
      <c r="BB546" s="551"/>
      <c r="BC546" s="551"/>
      <c r="BD546" s="551"/>
      <c r="BE546" s="551"/>
      <c r="BF546" s="551"/>
      <c r="BG546" s="551"/>
      <c r="BH546" s="551"/>
      <c r="BI546" s="551"/>
      <c r="BJ546" s="551"/>
    </row>
    <row r="547" spans="1:62" ht="12.75" customHeight="1">
      <c r="A547" s="551"/>
      <c r="B547" s="551"/>
      <c r="C547" s="551"/>
      <c r="D547" s="551"/>
      <c r="E547" s="551"/>
      <c r="F547" s="551"/>
      <c r="G547" s="551"/>
      <c r="H547" s="551"/>
      <c r="I547" s="551"/>
      <c r="J547" s="551"/>
      <c r="K547" s="551"/>
      <c r="L547" s="551"/>
      <c r="M547" s="551"/>
      <c r="N547" s="551"/>
      <c r="O547" s="551"/>
      <c r="P547" s="551"/>
      <c r="Q547" s="551"/>
      <c r="R547" s="551"/>
      <c r="S547" s="551"/>
      <c r="T547" s="551"/>
      <c r="U547" s="551"/>
      <c r="V547" s="551"/>
      <c r="W547" s="551"/>
      <c r="X547" s="551"/>
      <c r="Y547" s="551"/>
      <c r="Z547" s="551"/>
      <c r="AA547" s="551"/>
      <c r="AB547" s="551"/>
      <c r="AC547" s="551"/>
      <c r="AD547" s="551"/>
      <c r="AE547" s="551"/>
      <c r="AF547" s="551"/>
      <c r="AG547" s="551"/>
      <c r="AH547" s="551"/>
      <c r="AI547" s="551"/>
      <c r="AJ547" s="551"/>
      <c r="AK547" s="551"/>
      <c r="AL547" s="551"/>
      <c r="AM547" s="551"/>
      <c r="AN547" s="551"/>
      <c r="AO547" s="551"/>
      <c r="AP547" s="551"/>
      <c r="AQ547" s="551"/>
      <c r="AR547" s="551"/>
      <c r="AS547" s="551"/>
      <c r="AT547" s="551"/>
      <c r="AU547" s="551"/>
      <c r="AV547" s="551"/>
      <c r="AW547" s="551"/>
      <c r="AX547" s="551"/>
      <c r="AY547" s="551"/>
      <c r="AZ547" s="551"/>
      <c r="BA547" s="551"/>
      <c r="BB547" s="551"/>
      <c r="BC547" s="551"/>
      <c r="BD547" s="551"/>
      <c r="BE547" s="551"/>
      <c r="BF547" s="551"/>
      <c r="BG547" s="551"/>
      <c r="BH547" s="551"/>
      <c r="BI547" s="551"/>
      <c r="BJ547" s="551"/>
    </row>
    <row r="548" spans="1:62" ht="12.75" customHeight="1">
      <c r="A548" s="551"/>
      <c r="B548" s="551"/>
      <c r="C548" s="551"/>
      <c r="D548" s="551"/>
      <c r="E548" s="551"/>
      <c r="F548" s="551"/>
      <c r="G548" s="551"/>
      <c r="H548" s="551"/>
      <c r="I548" s="551"/>
      <c r="J548" s="551"/>
      <c r="K548" s="551"/>
      <c r="L548" s="551"/>
      <c r="M548" s="551"/>
      <c r="N548" s="551"/>
      <c r="O548" s="551"/>
      <c r="P548" s="551"/>
      <c r="Q548" s="551"/>
      <c r="R548" s="551"/>
      <c r="S548" s="551"/>
      <c r="T548" s="551"/>
      <c r="U548" s="551"/>
      <c r="V548" s="551"/>
      <c r="W548" s="551"/>
      <c r="X548" s="551"/>
      <c r="Y548" s="551"/>
      <c r="Z548" s="551"/>
      <c r="AA548" s="551"/>
      <c r="AB548" s="551"/>
      <c r="AC548" s="551"/>
      <c r="AD548" s="551"/>
      <c r="AE548" s="551"/>
      <c r="AF548" s="551"/>
      <c r="AG548" s="551"/>
      <c r="AH548" s="551"/>
      <c r="AI548" s="551"/>
      <c r="AJ548" s="551"/>
      <c r="AK548" s="551"/>
      <c r="AL548" s="551"/>
      <c r="AM548" s="551"/>
      <c r="AN548" s="551"/>
      <c r="AO548" s="551"/>
      <c r="AP548" s="551"/>
      <c r="AQ548" s="551"/>
      <c r="AR548" s="551"/>
      <c r="AS548" s="551"/>
      <c r="AT548" s="551"/>
      <c r="AU548" s="551"/>
      <c r="AV548" s="551"/>
      <c r="AW548" s="551"/>
      <c r="AX548" s="551"/>
      <c r="AY548" s="551"/>
      <c r="AZ548" s="551"/>
      <c r="BA548" s="551"/>
      <c r="BB548" s="551"/>
      <c r="BC548" s="551"/>
      <c r="BD548" s="551"/>
      <c r="BE548" s="551"/>
      <c r="BF548" s="551"/>
      <c r="BG548" s="551"/>
      <c r="BH548" s="551"/>
      <c r="BI548" s="551"/>
      <c r="BJ548" s="551"/>
    </row>
    <row r="549" spans="1:62" ht="12.75" customHeight="1">
      <c r="A549" s="551"/>
      <c r="B549" s="551"/>
      <c r="C549" s="551"/>
      <c r="D549" s="551"/>
      <c r="E549" s="551"/>
      <c r="F549" s="551"/>
      <c r="G549" s="551"/>
      <c r="H549" s="551"/>
      <c r="I549" s="551"/>
      <c r="J549" s="551"/>
      <c r="K549" s="551"/>
      <c r="L549" s="551"/>
      <c r="M549" s="551"/>
      <c r="N549" s="551"/>
      <c r="O549" s="551"/>
      <c r="P549" s="551"/>
      <c r="Q549" s="551"/>
      <c r="R549" s="551"/>
      <c r="S549" s="551"/>
      <c r="T549" s="551"/>
      <c r="U549" s="551"/>
      <c r="V549" s="551"/>
      <c r="W549" s="551"/>
      <c r="X549" s="551"/>
      <c r="Y549" s="551"/>
      <c r="Z549" s="551"/>
      <c r="AA549" s="551"/>
      <c r="AB549" s="551"/>
      <c r="AC549" s="551"/>
      <c r="AD549" s="551"/>
      <c r="AE549" s="551"/>
      <c r="AF549" s="551"/>
      <c r="AG549" s="551"/>
      <c r="AH549" s="551"/>
      <c r="AI549" s="551"/>
      <c r="AJ549" s="551"/>
      <c r="AK549" s="551"/>
      <c r="AL549" s="551"/>
      <c r="AM549" s="551"/>
      <c r="AN549" s="551"/>
      <c r="AO549" s="551"/>
      <c r="AP549" s="551"/>
      <c r="AQ549" s="551"/>
      <c r="AR549" s="551"/>
      <c r="AS549" s="551"/>
      <c r="AT549" s="551"/>
      <c r="AU549" s="551"/>
      <c r="AV549" s="551"/>
      <c r="AW549" s="551"/>
      <c r="AX549" s="551"/>
      <c r="AY549" s="551"/>
      <c r="AZ549" s="551"/>
      <c r="BA549" s="551"/>
      <c r="BB549" s="551"/>
      <c r="BC549" s="551"/>
      <c r="BD549" s="551"/>
      <c r="BE549" s="551"/>
      <c r="BF549" s="551"/>
      <c r="BG549" s="551"/>
      <c r="BH549" s="551"/>
      <c r="BI549" s="551"/>
      <c r="BJ549" s="551"/>
    </row>
    <row r="550" spans="1:62" ht="12.75" customHeight="1">
      <c r="A550" s="551"/>
      <c r="B550" s="551"/>
      <c r="C550" s="551"/>
      <c r="D550" s="551"/>
      <c r="E550" s="551"/>
      <c r="F550" s="551"/>
      <c r="G550" s="551"/>
      <c r="H550" s="551"/>
      <c r="I550" s="551"/>
      <c r="J550" s="551"/>
      <c r="K550" s="551"/>
      <c r="L550" s="551"/>
      <c r="M550" s="551"/>
      <c r="N550" s="551"/>
      <c r="O550" s="551"/>
      <c r="P550" s="551"/>
      <c r="Q550" s="551"/>
      <c r="R550" s="551"/>
      <c r="S550" s="551"/>
      <c r="T550" s="551"/>
      <c r="U550" s="551"/>
      <c r="V550" s="551"/>
      <c r="W550" s="551"/>
      <c r="X550" s="551"/>
      <c r="Y550" s="551"/>
      <c r="Z550" s="551"/>
      <c r="AA550" s="551"/>
      <c r="AB550" s="551"/>
      <c r="AC550" s="551"/>
      <c r="AD550" s="551"/>
      <c r="AE550" s="551"/>
      <c r="AF550" s="551"/>
      <c r="AG550" s="551"/>
      <c r="AH550" s="551"/>
      <c r="AI550" s="551"/>
      <c r="AJ550" s="551"/>
      <c r="AK550" s="551"/>
      <c r="AL550" s="551"/>
      <c r="AM550" s="551"/>
      <c r="AN550" s="551"/>
      <c r="AO550" s="551"/>
      <c r="AP550" s="551"/>
      <c r="AQ550" s="551"/>
      <c r="AR550" s="551"/>
      <c r="AS550" s="551"/>
      <c r="AT550" s="551"/>
      <c r="AU550" s="551"/>
      <c r="AV550" s="551"/>
      <c r="AW550" s="551"/>
      <c r="AX550" s="551"/>
      <c r="AY550" s="551"/>
      <c r="AZ550" s="551"/>
      <c r="BA550" s="551"/>
      <c r="BB550" s="551"/>
      <c r="BC550" s="551"/>
      <c r="BD550" s="551"/>
      <c r="BE550" s="551"/>
      <c r="BF550" s="551"/>
      <c r="BG550" s="551"/>
      <c r="BH550" s="551"/>
      <c r="BI550" s="551"/>
      <c r="BJ550" s="551"/>
    </row>
    <row r="551" spans="1:62" ht="12.75" customHeight="1">
      <c r="A551" s="551"/>
      <c r="B551" s="551"/>
      <c r="C551" s="551"/>
      <c r="D551" s="551"/>
      <c r="E551" s="551"/>
      <c r="F551" s="551"/>
      <c r="G551" s="551"/>
      <c r="H551" s="551"/>
      <c r="I551" s="551"/>
      <c r="J551" s="551"/>
      <c r="K551" s="551"/>
      <c r="L551" s="551"/>
      <c r="M551" s="551"/>
      <c r="N551" s="551"/>
      <c r="O551" s="551"/>
      <c r="P551" s="551"/>
      <c r="Q551" s="551"/>
      <c r="R551" s="551"/>
      <c r="S551" s="551"/>
      <c r="T551" s="551"/>
      <c r="U551" s="551"/>
      <c r="V551" s="551"/>
      <c r="W551" s="551"/>
      <c r="X551" s="551"/>
      <c r="Y551" s="551"/>
      <c r="Z551" s="551"/>
      <c r="AA551" s="551"/>
      <c r="AB551" s="551"/>
      <c r="AC551" s="551"/>
      <c r="AD551" s="551"/>
      <c r="AE551" s="551"/>
      <c r="AF551" s="551"/>
      <c r="AG551" s="551"/>
      <c r="AH551" s="551"/>
      <c r="AI551" s="551"/>
      <c r="AJ551" s="551"/>
      <c r="AK551" s="551"/>
      <c r="AL551" s="551"/>
      <c r="AM551" s="551"/>
      <c r="AN551" s="551"/>
      <c r="AO551" s="551"/>
      <c r="AP551" s="551"/>
      <c r="AQ551" s="551"/>
      <c r="AR551" s="551"/>
      <c r="AS551" s="551"/>
      <c r="AT551" s="551"/>
      <c r="AU551" s="551"/>
      <c r="AV551" s="551"/>
      <c r="AW551" s="551"/>
      <c r="AX551" s="551"/>
      <c r="AY551" s="551"/>
      <c r="AZ551" s="551"/>
      <c r="BA551" s="551"/>
      <c r="BB551" s="551"/>
      <c r="BC551" s="551"/>
      <c r="BD551" s="551"/>
      <c r="BE551" s="551"/>
      <c r="BF551" s="551"/>
      <c r="BG551" s="551"/>
      <c r="BH551" s="551"/>
      <c r="BI551" s="551"/>
      <c r="BJ551" s="551"/>
    </row>
    <row r="552" spans="1:62" ht="12.75" customHeight="1">
      <c r="A552" s="551"/>
      <c r="B552" s="551"/>
      <c r="C552" s="551"/>
      <c r="D552" s="551"/>
      <c r="E552" s="551"/>
      <c r="F552" s="551"/>
      <c r="G552" s="551"/>
      <c r="H552" s="551"/>
      <c r="I552" s="551"/>
      <c r="J552" s="551"/>
      <c r="K552" s="551"/>
      <c r="L552" s="551"/>
      <c r="M552" s="551"/>
      <c r="N552" s="551"/>
      <c r="O552" s="551"/>
      <c r="P552" s="551"/>
      <c r="Q552" s="551"/>
      <c r="R552" s="551"/>
      <c r="S552" s="551"/>
      <c r="T552" s="551"/>
      <c r="U552" s="551"/>
      <c r="V552" s="551"/>
      <c r="W552" s="551"/>
      <c r="X552" s="551"/>
      <c r="Y552" s="551"/>
      <c r="Z552" s="551"/>
      <c r="AA552" s="551"/>
      <c r="AB552" s="551"/>
      <c r="AC552" s="551"/>
      <c r="AD552" s="551"/>
      <c r="AE552" s="551"/>
      <c r="AF552" s="551"/>
      <c r="AG552" s="551"/>
      <c r="AH552" s="551"/>
      <c r="AI552" s="551"/>
      <c r="AJ552" s="551"/>
      <c r="AK552" s="551"/>
      <c r="AL552" s="551"/>
      <c r="AM552" s="551"/>
      <c r="AN552" s="551"/>
      <c r="AO552" s="551"/>
      <c r="AP552" s="551"/>
      <c r="AQ552" s="551"/>
      <c r="AR552" s="551"/>
      <c r="AS552" s="551"/>
      <c r="AT552" s="551"/>
      <c r="AU552" s="551"/>
      <c r="AV552" s="551"/>
      <c r="AW552" s="551"/>
      <c r="AX552" s="551"/>
      <c r="AY552" s="551"/>
      <c r="AZ552" s="551"/>
      <c r="BA552" s="551"/>
      <c r="BB552" s="551"/>
      <c r="BC552" s="551"/>
      <c r="BD552" s="551"/>
      <c r="BE552" s="551"/>
      <c r="BF552" s="551"/>
      <c r="BG552" s="551"/>
      <c r="BH552" s="551"/>
      <c r="BI552" s="551"/>
      <c r="BJ552" s="551"/>
    </row>
    <row r="553" spans="1:62" ht="12.75" customHeight="1">
      <c r="A553" s="551"/>
      <c r="B553" s="551"/>
      <c r="C553" s="551"/>
      <c r="D553" s="551"/>
      <c r="E553" s="551"/>
      <c r="F553" s="551"/>
      <c r="G553" s="551"/>
      <c r="H553" s="551"/>
      <c r="I553" s="551"/>
      <c r="J553" s="551"/>
      <c r="K553" s="551"/>
      <c r="L553" s="551"/>
      <c r="M553" s="551"/>
      <c r="N553" s="551"/>
      <c r="O553" s="551"/>
      <c r="P553" s="551"/>
      <c r="Q553" s="551"/>
      <c r="R553" s="551"/>
      <c r="S553" s="551"/>
      <c r="T553" s="551"/>
      <c r="U553" s="551"/>
      <c r="V553" s="551"/>
      <c r="W553" s="551"/>
      <c r="X553" s="551"/>
      <c r="Y553" s="551"/>
      <c r="Z553" s="551"/>
      <c r="AA553" s="551"/>
      <c r="AB553" s="551"/>
      <c r="AC553" s="551"/>
      <c r="AD553" s="551"/>
      <c r="AE553" s="551"/>
      <c r="AF553" s="551"/>
      <c r="AG553" s="551"/>
      <c r="AH553" s="551"/>
      <c r="AI553" s="551"/>
      <c r="AJ553" s="551"/>
      <c r="AK553" s="551"/>
      <c r="AL553" s="551"/>
      <c r="AM553" s="551"/>
      <c r="AN553" s="551"/>
      <c r="AO553" s="551"/>
      <c r="AP553" s="551"/>
      <c r="AQ553" s="551"/>
      <c r="AR553" s="551"/>
      <c r="AS553" s="551"/>
      <c r="AT553" s="551"/>
      <c r="AU553" s="551"/>
      <c r="AV553" s="551"/>
      <c r="AW553" s="551"/>
      <c r="AX553" s="551"/>
      <c r="AY553" s="551"/>
      <c r="AZ553" s="551"/>
      <c r="BA553" s="551"/>
      <c r="BB553" s="551"/>
      <c r="BC553" s="551"/>
      <c r="BD553" s="551"/>
      <c r="BE553" s="551"/>
      <c r="BF553" s="551"/>
      <c r="BG553" s="551"/>
      <c r="BH553" s="551"/>
      <c r="BI553" s="551"/>
      <c r="BJ553" s="551"/>
    </row>
    <row r="554" spans="1:62" ht="12.75" customHeight="1">
      <c r="A554" s="551"/>
      <c r="B554" s="551"/>
      <c r="C554" s="551"/>
      <c r="D554" s="551"/>
      <c r="E554" s="551"/>
      <c r="F554" s="551"/>
      <c r="G554" s="551"/>
      <c r="H554" s="551"/>
      <c r="I554" s="551"/>
      <c r="J554" s="551"/>
      <c r="K554" s="551"/>
      <c r="L554" s="551"/>
      <c r="M554" s="551"/>
      <c r="N554" s="551"/>
      <c r="O554" s="551"/>
      <c r="P554" s="551"/>
      <c r="Q554" s="551"/>
      <c r="R554" s="551"/>
      <c r="S554" s="551"/>
      <c r="T554" s="551"/>
      <c r="U554" s="551"/>
      <c r="V554" s="551"/>
      <c r="W554" s="551"/>
      <c r="X554" s="551"/>
      <c r="Y554" s="551"/>
      <c r="Z554" s="551"/>
      <c r="AA554" s="551"/>
      <c r="AB554" s="551"/>
      <c r="AC554" s="551"/>
      <c r="AD554" s="551"/>
      <c r="AE554" s="551"/>
      <c r="AF554" s="551"/>
      <c r="AG554" s="551"/>
      <c r="AH554" s="551"/>
      <c r="AI554" s="551"/>
      <c r="AJ554" s="551"/>
      <c r="AK554" s="551"/>
      <c r="AL554" s="551"/>
      <c r="AM554" s="551"/>
      <c r="AN554" s="551"/>
      <c r="AO554" s="551"/>
      <c r="AP554" s="551"/>
      <c r="AQ554" s="551"/>
      <c r="AR554" s="551"/>
      <c r="AS554" s="551"/>
      <c r="AT554" s="551"/>
      <c r="AU554" s="551"/>
      <c r="AV554" s="551"/>
      <c r="AW554" s="551"/>
      <c r="AX554" s="551"/>
      <c r="AY554" s="551"/>
      <c r="AZ554" s="551"/>
      <c r="BA554" s="551"/>
      <c r="BB554" s="551"/>
      <c r="BC554" s="551"/>
      <c r="BD554" s="551"/>
      <c r="BE554" s="551"/>
      <c r="BF554" s="551"/>
      <c r="BG554" s="551"/>
      <c r="BH554" s="551"/>
      <c r="BI554" s="551"/>
      <c r="BJ554" s="551"/>
    </row>
    <row r="555" spans="1:62" ht="12.75" customHeight="1">
      <c r="A555" s="551"/>
      <c r="B555" s="551"/>
      <c r="C555" s="551"/>
      <c r="D555" s="551"/>
      <c r="E555" s="551"/>
      <c r="F555" s="551"/>
      <c r="G555" s="551"/>
      <c r="H555" s="551"/>
      <c r="I555" s="551"/>
      <c r="J555" s="551"/>
      <c r="K555" s="551"/>
      <c r="L555" s="551"/>
      <c r="M555" s="551"/>
      <c r="N555" s="551"/>
      <c r="O555" s="551"/>
      <c r="P555" s="551"/>
      <c r="Q555" s="551"/>
      <c r="R555" s="551"/>
      <c r="S555" s="551"/>
      <c r="T555" s="551"/>
      <c r="U555" s="551"/>
      <c r="V555" s="551"/>
      <c r="W555" s="551"/>
      <c r="X555" s="551"/>
      <c r="Y555" s="551"/>
      <c r="Z555" s="551"/>
      <c r="AA555" s="551"/>
      <c r="AB555" s="551"/>
      <c r="AC555" s="551"/>
      <c r="AD555" s="551"/>
      <c r="AE555" s="551"/>
      <c r="AF555" s="551"/>
      <c r="AG555" s="551"/>
      <c r="AH555" s="551"/>
      <c r="AI555" s="551"/>
      <c r="AJ555" s="551"/>
      <c r="AK555" s="551"/>
      <c r="AL555" s="551"/>
      <c r="AM555" s="551"/>
      <c r="AN555" s="551"/>
      <c r="AO555" s="551"/>
      <c r="AP555" s="551"/>
      <c r="AQ555" s="551"/>
      <c r="AR555" s="551"/>
      <c r="AS555" s="551"/>
      <c r="AT555" s="551"/>
      <c r="AU555" s="551"/>
      <c r="AV555" s="551"/>
      <c r="AW555" s="551"/>
      <c r="AX555" s="551"/>
      <c r="AY555" s="551"/>
      <c r="AZ555" s="551"/>
      <c r="BA555" s="551"/>
      <c r="BB555" s="551"/>
      <c r="BC555" s="551"/>
      <c r="BD555" s="551"/>
      <c r="BE555" s="551"/>
      <c r="BF555" s="551"/>
      <c r="BG555" s="551"/>
      <c r="BH555" s="551"/>
      <c r="BI555" s="551"/>
      <c r="BJ555" s="551"/>
    </row>
    <row r="556" spans="1:62" ht="12.75" customHeight="1">
      <c r="A556" s="551"/>
      <c r="B556" s="551"/>
      <c r="C556" s="551"/>
      <c r="D556" s="551"/>
      <c r="E556" s="551"/>
      <c r="F556" s="551"/>
      <c r="G556" s="551"/>
      <c r="H556" s="551"/>
      <c r="I556" s="551"/>
      <c r="J556" s="551"/>
      <c r="K556" s="551"/>
      <c r="L556" s="551"/>
      <c r="M556" s="551"/>
      <c r="N556" s="551"/>
      <c r="O556" s="551"/>
      <c r="P556" s="551"/>
      <c r="Q556" s="551"/>
      <c r="R556" s="551"/>
      <c r="S556" s="551"/>
      <c r="T556" s="551"/>
      <c r="U556" s="551"/>
      <c r="V556" s="551"/>
      <c r="W556" s="551"/>
      <c r="X556" s="551"/>
      <c r="Y556" s="551"/>
      <c r="Z556" s="551"/>
      <c r="AA556" s="551"/>
      <c r="AB556" s="551"/>
      <c r="AC556" s="551"/>
      <c r="AD556" s="551"/>
      <c r="AE556" s="551"/>
      <c r="AF556" s="551"/>
      <c r="AG556" s="551"/>
      <c r="AH556" s="551"/>
      <c r="AI556" s="551"/>
      <c r="AJ556" s="551"/>
      <c r="AK556" s="551"/>
      <c r="AL556" s="551"/>
      <c r="AM556" s="551"/>
      <c r="AN556" s="551"/>
      <c r="AO556" s="551"/>
      <c r="AP556" s="551"/>
      <c r="AQ556" s="551"/>
      <c r="AR556" s="551"/>
      <c r="AS556" s="551"/>
      <c r="AT556" s="551"/>
      <c r="AU556" s="551"/>
      <c r="AV556" s="551"/>
      <c r="AW556" s="551"/>
      <c r="AX556" s="551"/>
      <c r="AY556" s="551"/>
      <c r="AZ556" s="551"/>
      <c r="BA556" s="551"/>
      <c r="BB556" s="551"/>
      <c r="BC556" s="551"/>
      <c r="BD556" s="551"/>
      <c r="BE556" s="551"/>
      <c r="BF556" s="551"/>
      <c r="BG556" s="551"/>
      <c r="BH556" s="551"/>
      <c r="BI556" s="551"/>
      <c r="BJ556" s="551"/>
    </row>
    <row r="557" spans="1:62" ht="12.75" customHeight="1">
      <c r="A557" s="551"/>
      <c r="B557" s="551"/>
      <c r="C557" s="551"/>
      <c r="D557" s="551"/>
      <c r="E557" s="551"/>
      <c r="F557" s="551"/>
      <c r="G557" s="551"/>
      <c r="H557" s="551"/>
      <c r="I557" s="551"/>
      <c r="J557" s="551"/>
      <c r="K557" s="551"/>
      <c r="L557" s="551"/>
      <c r="M557" s="551"/>
      <c r="N557" s="551"/>
      <c r="O557" s="551"/>
      <c r="P557" s="551"/>
      <c r="Q557" s="551"/>
      <c r="R557" s="551"/>
      <c r="S557" s="551"/>
      <c r="T557" s="551"/>
      <c r="U557" s="551"/>
      <c r="V557" s="551"/>
      <c r="W557" s="551"/>
      <c r="X557" s="551"/>
      <c r="Y557" s="551"/>
      <c r="Z557" s="551"/>
      <c r="AA557" s="551"/>
      <c r="AB557" s="551"/>
      <c r="AC557" s="551"/>
      <c r="AD557" s="551"/>
      <c r="AE557" s="551"/>
      <c r="AF557" s="551"/>
      <c r="AG557" s="551"/>
      <c r="AH557" s="551"/>
      <c r="AI557" s="551"/>
      <c r="AJ557" s="551"/>
      <c r="AK557" s="551"/>
      <c r="AL557" s="551"/>
      <c r="AM557" s="551"/>
      <c r="AN557" s="551"/>
      <c r="AO557" s="551"/>
      <c r="AP557" s="551"/>
      <c r="AQ557" s="551"/>
      <c r="AR557" s="551"/>
      <c r="AS557" s="551"/>
      <c r="AT557" s="551"/>
      <c r="AU557" s="551"/>
      <c r="AV557" s="551"/>
      <c r="AW557" s="551"/>
      <c r="AX557" s="551"/>
      <c r="AY557" s="551"/>
      <c r="AZ557" s="551"/>
      <c r="BA557" s="551"/>
      <c r="BB557" s="551"/>
      <c r="BC557" s="551"/>
      <c r="BD557" s="551"/>
      <c r="BE557" s="551"/>
      <c r="BF557" s="551"/>
      <c r="BG557" s="551"/>
      <c r="BH557" s="551"/>
      <c r="BI557" s="551"/>
      <c r="BJ557" s="551"/>
    </row>
    <row r="558" spans="1:62" ht="12.75" customHeight="1">
      <c r="A558" s="551"/>
      <c r="B558" s="551"/>
      <c r="C558" s="551"/>
      <c r="D558" s="551"/>
      <c r="E558" s="551"/>
      <c r="F558" s="551"/>
      <c r="G558" s="551"/>
      <c r="H558" s="551"/>
      <c r="I558" s="551"/>
      <c r="J558" s="551"/>
      <c r="K558" s="551"/>
      <c r="L558" s="551"/>
      <c r="M558" s="551"/>
      <c r="N558" s="551"/>
      <c r="O558" s="551"/>
      <c r="P558" s="551"/>
      <c r="Q558" s="551"/>
      <c r="R558" s="551"/>
      <c r="S558" s="551"/>
      <c r="T558" s="551"/>
      <c r="U558" s="551"/>
      <c r="V558" s="551"/>
      <c r="W558" s="551"/>
      <c r="X558" s="551"/>
      <c r="Y558" s="551"/>
      <c r="Z558" s="551"/>
      <c r="AA558" s="551"/>
      <c r="AB558" s="551"/>
      <c r="AC558" s="551"/>
      <c r="AD558" s="551"/>
      <c r="AE558" s="551"/>
      <c r="AF558" s="551"/>
      <c r="AG558" s="551"/>
      <c r="AH558" s="551"/>
      <c r="AI558" s="551"/>
      <c r="AJ558" s="551"/>
      <c r="AK558" s="551"/>
      <c r="AL558" s="551"/>
      <c r="AM558" s="551"/>
      <c r="AN558" s="551"/>
      <c r="AO558" s="551"/>
      <c r="AP558" s="551"/>
      <c r="AQ558" s="551"/>
      <c r="AR558" s="551"/>
      <c r="AS558" s="551"/>
      <c r="AT558" s="551"/>
      <c r="AU558" s="551"/>
      <c r="AV558" s="551"/>
      <c r="AW558" s="551"/>
      <c r="AX558" s="551"/>
      <c r="AY558" s="551"/>
      <c r="AZ558" s="551"/>
      <c r="BA558" s="551"/>
      <c r="BB558" s="551"/>
      <c r="BC558" s="551"/>
      <c r="BD558" s="551"/>
      <c r="BE558" s="551"/>
      <c r="BF558" s="551"/>
      <c r="BG558" s="551"/>
      <c r="BH558" s="551"/>
      <c r="BI558" s="551"/>
      <c r="BJ558" s="551"/>
    </row>
    <row r="559" spans="1:62" ht="12.75" customHeight="1">
      <c r="A559" s="551"/>
      <c r="B559" s="551"/>
      <c r="C559" s="551"/>
      <c r="D559" s="551"/>
      <c r="E559" s="551"/>
      <c r="F559" s="551"/>
      <c r="G559" s="551"/>
      <c r="H559" s="551"/>
      <c r="I559" s="551"/>
      <c r="J559" s="551"/>
      <c r="K559" s="551"/>
      <c r="L559" s="551"/>
      <c r="M559" s="551"/>
      <c r="N559" s="551"/>
      <c r="O559" s="551"/>
      <c r="P559" s="551"/>
      <c r="Q559" s="551"/>
      <c r="R559" s="551"/>
      <c r="S559" s="551"/>
      <c r="T559" s="551"/>
      <c r="U559" s="551"/>
      <c r="V559" s="551"/>
      <c r="W559" s="551"/>
      <c r="X559" s="551"/>
      <c r="Y559" s="551"/>
      <c r="Z559" s="551"/>
      <c r="AA559" s="551"/>
      <c r="AB559" s="551"/>
      <c r="AC559" s="551"/>
      <c r="AD559" s="551"/>
      <c r="AE559" s="551"/>
      <c r="AF559" s="551"/>
      <c r="AG559" s="551"/>
      <c r="AH559" s="551"/>
      <c r="AI559" s="551"/>
      <c r="AJ559" s="551"/>
      <c r="AK559" s="551"/>
      <c r="AL559" s="551"/>
      <c r="AM559" s="551"/>
      <c r="AN559" s="551"/>
      <c r="AO559" s="551"/>
      <c r="AP559" s="551"/>
      <c r="AQ559" s="551"/>
      <c r="AR559" s="551"/>
      <c r="AS559" s="551"/>
      <c r="AT559" s="551"/>
      <c r="AU559" s="551"/>
      <c r="AV559" s="551"/>
      <c r="AW559" s="551"/>
      <c r="AX559" s="551"/>
      <c r="AY559" s="551"/>
      <c r="AZ559" s="551"/>
      <c r="BA559" s="551"/>
      <c r="BB559" s="551"/>
      <c r="BC559" s="551"/>
      <c r="BD559" s="551"/>
      <c r="BE559" s="551"/>
      <c r="BF559" s="551"/>
      <c r="BG559" s="551"/>
      <c r="BH559" s="551"/>
      <c r="BI559" s="551"/>
      <c r="BJ559" s="551"/>
    </row>
    <row r="560" spans="1:62" ht="12.75" customHeight="1">
      <c r="A560" s="551"/>
      <c r="B560" s="551"/>
      <c r="C560" s="551"/>
      <c r="D560" s="551"/>
      <c r="E560" s="551"/>
      <c r="F560" s="551"/>
      <c r="G560" s="551"/>
      <c r="H560" s="551"/>
      <c r="I560" s="551"/>
      <c r="J560" s="551"/>
      <c r="K560" s="551"/>
      <c r="L560" s="551"/>
      <c r="M560" s="551"/>
      <c r="N560" s="551"/>
      <c r="O560" s="551"/>
      <c r="P560" s="551"/>
      <c r="Q560" s="551"/>
      <c r="R560" s="551"/>
      <c r="S560" s="551"/>
      <c r="T560" s="551"/>
      <c r="U560" s="551"/>
      <c r="V560" s="551"/>
      <c r="W560" s="551"/>
      <c r="X560" s="551"/>
      <c r="Y560" s="551"/>
      <c r="Z560" s="551"/>
      <c r="AA560" s="551"/>
      <c r="AB560" s="551"/>
      <c r="AC560" s="551"/>
      <c r="AD560" s="551"/>
      <c r="AE560" s="551"/>
      <c r="AF560" s="551"/>
      <c r="AG560" s="551"/>
      <c r="AH560" s="551"/>
      <c r="AI560" s="551"/>
      <c r="AJ560" s="551"/>
      <c r="AK560" s="551"/>
      <c r="AL560" s="551"/>
      <c r="AM560" s="551"/>
      <c r="AN560" s="551"/>
      <c r="AO560" s="551"/>
      <c r="AP560" s="551"/>
      <c r="AQ560" s="551"/>
      <c r="AR560" s="551"/>
      <c r="AS560" s="551"/>
      <c r="AT560" s="551"/>
      <c r="AU560" s="551"/>
      <c r="AV560" s="551"/>
      <c r="AW560" s="551"/>
      <c r="AX560" s="551"/>
      <c r="AY560" s="551"/>
      <c r="AZ560" s="551"/>
      <c r="BA560" s="551"/>
      <c r="BB560" s="551"/>
      <c r="BC560" s="551"/>
      <c r="BD560" s="551"/>
      <c r="BE560" s="551"/>
      <c r="BF560" s="551"/>
      <c r="BG560" s="551"/>
      <c r="BH560" s="551"/>
      <c r="BI560" s="551"/>
      <c r="BJ560" s="551"/>
    </row>
    <row r="561" spans="1:62" ht="12.75" customHeight="1">
      <c r="A561" s="551"/>
      <c r="B561" s="551"/>
      <c r="C561" s="551"/>
      <c r="D561" s="551"/>
      <c r="E561" s="551"/>
      <c r="F561" s="551"/>
      <c r="G561" s="551"/>
      <c r="H561" s="551"/>
      <c r="I561" s="551"/>
      <c r="J561" s="551"/>
      <c r="K561" s="551"/>
      <c r="L561" s="551"/>
      <c r="M561" s="551"/>
      <c r="N561" s="551"/>
      <c r="O561" s="551"/>
      <c r="P561" s="551"/>
      <c r="Q561" s="551"/>
      <c r="R561" s="551"/>
      <c r="S561" s="551"/>
      <c r="T561" s="551"/>
      <c r="U561" s="551"/>
      <c r="V561" s="551"/>
      <c r="W561" s="551"/>
      <c r="X561" s="551"/>
      <c r="Y561" s="551"/>
      <c r="Z561" s="551"/>
      <c r="AA561" s="551"/>
      <c r="AB561" s="551"/>
      <c r="AC561" s="551"/>
      <c r="AD561" s="551"/>
      <c r="AE561" s="551"/>
      <c r="AF561" s="551"/>
      <c r="AG561" s="551"/>
      <c r="AH561" s="551"/>
      <c r="AI561" s="551"/>
      <c r="AJ561" s="551"/>
      <c r="AK561" s="551"/>
      <c r="AL561" s="551"/>
      <c r="AM561" s="551"/>
      <c r="AN561" s="551"/>
      <c r="AO561" s="551"/>
      <c r="AP561" s="551"/>
      <c r="AQ561" s="551"/>
      <c r="AR561" s="551"/>
      <c r="AS561" s="551"/>
      <c r="AT561" s="551"/>
      <c r="AU561" s="551"/>
      <c r="AV561" s="551"/>
      <c r="AW561" s="551"/>
      <c r="AX561" s="551"/>
      <c r="AY561" s="551"/>
      <c r="AZ561" s="551"/>
      <c r="BA561" s="551"/>
      <c r="BB561" s="551"/>
      <c r="BC561" s="551"/>
      <c r="BD561" s="551"/>
      <c r="BE561" s="551"/>
      <c r="BF561" s="551"/>
      <c r="BG561" s="551"/>
      <c r="BH561" s="551"/>
      <c r="BI561" s="551"/>
      <c r="BJ561" s="551"/>
    </row>
    <row r="562" spans="1:62" ht="12.75" customHeight="1">
      <c r="A562" s="551"/>
      <c r="B562" s="551"/>
      <c r="C562" s="551"/>
      <c r="D562" s="551"/>
      <c r="E562" s="551"/>
      <c r="F562" s="551"/>
      <c r="G562" s="551"/>
      <c r="H562" s="551"/>
      <c r="I562" s="551"/>
      <c r="J562" s="551"/>
      <c r="K562" s="551"/>
      <c r="L562" s="551"/>
      <c r="M562" s="551"/>
      <c r="N562" s="551"/>
      <c r="O562" s="551"/>
      <c r="P562" s="551"/>
      <c r="Q562" s="551"/>
      <c r="R562" s="551"/>
      <c r="S562" s="551"/>
      <c r="T562" s="551"/>
      <c r="U562" s="551"/>
      <c r="V562" s="551"/>
      <c r="W562" s="551"/>
      <c r="X562" s="551"/>
      <c r="Y562" s="551"/>
      <c r="Z562" s="551"/>
      <c r="AA562" s="551"/>
      <c r="AB562" s="551"/>
      <c r="AC562" s="551"/>
      <c r="AD562" s="551"/>
      <c r="AE562" s="551"/>
      <c r="AF562" s="551"/>
      <c r="AG562" s="551"/>
      <c r="AH562" s="551"/>
      <c r="AI562" s="551"/>
      <c r="AJ562" s="551"/>
      <c r="AK562" s="551"/>
      <c r="AL562" s="551"/>
      <c r="AM562" s="551"/>
      <c r="AN562" s="551"/>
      <c r="AO562" s="551"/>
      <c r="AP562" s="551"/>
      <c r="AQ562" s="551"/>
      <c r="AR562" s="551"/>
      <c r="AS562" s="551"/>
      <c r="AT562" s="551"/>
      <c r="AU562" s="551"/>
      <c r="AV562" s="551"/>
      <c r="AW562" s="551"/>
      <c r="AX562" s="551"/>
      <c r="AY562" s="551"/>
      <c r="AZ562" s="551"/>
      <c r="BA562" s="551"/>
      <c r="BB562" s="551"/>
      <c r="BC562" s="551"/>
      <c r="BD562" s="551"/>
      <c r="BE562" s="551"/>
      <c r="BF562" s="551"/>
      <c r="BG562" s="551"/>
      <c r="BH562" s="551"/>
      <c r="BI562" s="551"/>
      <c r="BJ562" s="551"/>
    </row>
    <row r="563" spans="1:62" ht="12.75" customHeight="1">
      <c r="A563" s="551"/>
      <c r="B563" s="551"/>
      <c r="C563" s="551"/>
      <c r="D563" s="551"/>
      <c r="E563" s="551"/>
      <c r="F563" s="551"/>
      <c r="G563" s="551"/>
      <c r="H563" s="551"/>
      <c r="I563" s="551"/>
      <c r="J563" s="551"/>
      <c r="K563" s="551"/>
      <c r="L563" s="551"/>
      <c r="M563" s="551"/>
      <c r="N563" s="551"/>
      <c r="O563" s="551"/>
      <c r="P563" s="551"/>
      <c r="Q563" s="551"/>
      <c r="R563" s="551"/>
      <c r="S563" s="551"/>
      <c r="T563" s="551"/>
      <c r="U563" s="551"/>
      <c r="V563" s="551"/>
      <c r="W563" s="551"/>
      <c r="X563" s="551"/>
      <c r="Y563" s="551"/>
      <c r="Z563" s="551"/>
      <c r="AA563" s="551"/>
      <c r="AB563" s="551"/>
      <c r="AC563" s="551"/>
      <c r="AD563" s="551"/>
      <c r="AE563" s="551"/>
      <c r="AF563" s="551"/>
      <c r="AG563" s="551"/>
      <c r="AH563" s="551"/>
      <c r="AI563" s="551"/>
      <c r="AJ563" s="551"/>
      <c r="AK563" s="551"/>
      <c r="AL563" s="551"/>
      <c r="AM563" s="551"/>
      <c r="AN563" s="551"/>
      <c r="AO563" s="551"/>
      <c r="AP563" s="551"/>
      <c r="AQ563" s="551"/>
      <c r="AR563" s="551"/>
      <c r="AS563" s="551"/>
      <c r="AT563" s="551"/>
      <c r="AU563" s="551"/>
      <c r="AV563" s="551"/>
      <c r="AW563" s="551"/>
      <c r="AX563" s="551"/>
      <c r="AY563" s="551"/>
      <c r="AZ563" s="551"/>
      <c r="BA563" s="551"/>
      <c r="BB563" s="551"/>
      <c r="BC563" s="551"/>
      <c r="BD563" s="551"/>
      <c r="BE563" s="551"/>
      <c r="BF563" s="551"/>
      <c r="BG563" s="551"/>
      <c r="BH563" s="551"/>
      <c r="BI563" s="551"/>
      <c r="BJ563" s="551"/>
    </row>
    <row r="564" spans="1:62" ht="12.75" customHeight="1">
      <c r="A564" s="551"/>
      <c r="B564" s="551"/>
      <c r="C564" s="551"/>
      <c r="D564" s="551"/>
      <c r="E564" s="551"/>
      <c r="F564" s="551"/>
      <c r="G564" s="551"/>
      <c r="H564" s="551"/>
      <c r="I564" s="551"/>
      <c r="J564" s="551"/>
      <c r="K564" s="551"/>
      <c r="L564" s="551"/>
      <c r="M564" s="551"/>
      <c r="N564" s="551"/>
      <c r="O564" s="551"/>
      <c r="P564" s="551"/>
      <c r="Q564" s="551"/>
      <c r="R564" s="551"/>
      <c r="S564" s="551"/>
      <c r="T564" s="551"/>
      <c r="U564" s="551"/>
      <c r="V564" s="551"/>
      <c r="W564" s="551"/>
      <c r="X564" s="551"/>
      <c r="Y564" s="551"/>
      <c r="Z564" s="551"/>
      <c r="AA564" s="551"/>
      <c r="AB564" s="551"/>
      <c r="AC564" s="551"/>
      <c r="AD564" s="551"/>
      <c r="AE564" s="551"/>
      <c r="AF564" s="551"/>
      <c r="AG564" s="551"/>
      <c r="AH564" s="551"/>
      <c r="AI564" s="551"/>
      <c r="AJ564" s="551"/>
      <c r="AK564" s="551"/>
      <c r="AL564" s="551"/>
      <c r="AM564" s="551"/>
      <c r="AN564" s="551"/>
      <c r="AO564" s="551"/>
      <c r="AP564" s="551"/>
      <c r="AQ564" s="551"/>
      <c r="AR564" s="551"/>
      <c r="AS564" s="551"/>
      <c r="AT564" s="551"/>
      <c r="AU564" s="551"/>
      <c r="AV564" s="551"/>
      <c r="AW564" s="551"/>
      <c r="AX564" s="551"/>
      <c r="AY564" s="551"/>
      <c r="AZ564" s="551"/>
      <c r="BA564" s="551"/>
      <c r="BB564" s="551"/>
      <c r="BC564" s="551"/>
      <c r="BD564" s="551"/>
      <c r="BE564" s="551"/>
      <c r="BF564" s="551"/>
      <c r="BG564" s="551"/>
      <c r="BH564" s="551"/>
      <c r="BI564" s="551"/>
      <c r="BJ564" s="551"/>
    </row>
    <row r="565" spans="1:62" ht="12.75" customHeight="1">
      <c r="A565" s="551"/>
      <c r="B565" s="551"/>
      <c r="C565" s="551"/>
      <c r="D565" s="551"/>
      <c r="E565" s="551"/>
      <c r="F565" s="551"/>
      <c r="G565" s="551"/>
      <c r="H565" s="551"/>
      <c r="I565" s="551"/>
      <c r="J565" s="551"/>
      <c r="K565" s="551"/>
      <c r="L565" s="551"/>
      <c r="M565" s="551"/>
      <c r="N565" s="551"/>
      <c r="O565" s="551"/>
      <c r="P565" s="551"/>
      <c r="Q565" s="551"/>
      <c r="R565" s="551"/>
      <c r="S565" s="551"/>
      <c r="T565" s="551"/>
      <c r="U565" s="551"/>
      <c r="V565" s="551"/>
      <c r="W565" s="551"/>
      <c r="X565" s="551"/>
      <c r="Y565" s="551"/>
      <c r="Z565" s="551"/>
      <c r="AA565" s="551"/>
      <c r="AB565" s="551"/>
      <c r="AC565" s="551"/>
      <c r="AD565" s="551"/>
      <c r="AE565" s="551"/>
      <c r="AF565" s="551"/>
      <c r="AG565" s="551"/>
      <c r="AH565" s="551"/>
      <c r="AI565" s="551"/>
      <c r="AJ565" s="551"/>
      <c r="AK565" s="551"/>
      <c r="AL565" s="551"/>
      <c r="AM565" s="551"/>
      <c r="AN565" s="551"/>
      <c r="AO565" s="551"/>
      <c r="AP565" s="551"/>
      <c r="AQ565" s="551"/>
      <c r="AR565" s="551"/>
      <c r="AS565" s="551"/>
      <c r="AT565" s="551"/>
      <c r="AU565" s="551"/>
      <c r="AV565" s="551"/>
      <c r="AW565" s="551"/>
      <c r="AX565" s="551"/>
      <c r="AY565" s="551"/>
      <c r="AZ565" s="551"/>
      <c r="BA565" s="551"/>
      <c r="BB565" s="551"/>
      <c r="BC565" s="551"/>
      <c r="BD565" s="551"/>
      <c r="BE565" s="551"/>
      <c r="BF565" s="551"/>
      <c r="BG565" s="551"/>
      <c r="BH565" s="551"/>
      <c r="BI565" s="551"/>
      <c r="BJ565" s="551"/>
    </row>
    <row r="566" spans="1:62" ht="12.75" customHeight="1">
      <c r="A566" s="551"/>
      <c r="B566" s="551"/>
      <c r="C566" s="551"/>
      <c r="D566" s="551"/>
      <c r="E566" s="551"/>
      <c r="F566" s="551"/>
      <c r="G566" s="551"/>
      <c r="H566" s="551"/>
      <c r="I566" s="551"/>
      <c r="J566" s="551"/>
      <c r="K566" s="551"/>
      <c r="L566" s="551"/>
      <c r="M566" s="551"/>
      <c r="N566" s="551"/>
      <c r="O566" s="551"/>
      <c r="P566" s="551"/>
      <c r="Q566" s="551"/>
      <c r="R566" s="551"/>
      <c r="S566" s="551"/>
      <c r="T566" s="551"/>
      <c r="U566" s="551"/>
      <c r="V566" s="551"/>
      <c r="W566" s="551"/>
      <c r="X566" s="551"/>
      <c r="Y566" s="551"/>
      <c r="Z566" s="551"/>
      <c r="AA566" s="551"/>
      <c r="AB566" s="551"/>
      <c r="AC566" s="551"/>
      <c r="AD566" s="551"/>
      <c r="AE566" s="551"/>
      <c r="AF566" s="551"/>
      <c r="AG566" s="551"/>
      <c r="AH566" s="551"/>
      <c r="AI566" s="551"/>
      <c r="AJ566" s="551"/>
      <c r="AK566" s="551"/>
      <c r="AL566" s="551"/>
      <c r="AM566" s="551"/>
      <c r="AN566" s="551"/>
      <c r="AO566" s="551"/>
      <c r="AP566" s="551"/>
      <c r="AQ566" s="551"/>
      <c r="AR566" s="551"/>
      <c r="AS566" s="551"/>
      <c r="AT566" s="551"/>
      <c r="AU566" s="551"/>
      <c r="AV566" s="551"/>
      <c r="AW566" s="551"/>
      <c r="AX566" s="551"/>
      <c r="AY566" s="551"/>
      <c r="AZ566" s="551"/>
      <c r="BA566" s="551"/>
      <c r="BB566" s="551"/>
      <c r="BC566" s="551"/>
      <c r="BD566" s="551"/>
      <c r="BE566" s="551"/>
      <c r="BF566" s="551"/>
      <c r="BG566" s="551"/>
      <c r="BH566" s="551"/>
      <c r="BI566" s="551"/>
      <c r="BJ566" s="551"/>
    </row>
    <row r="567" spans="1:62" ht="12.75" customHeight="1">
      <c r="A567" s="551"/>
      <c r="B567" s="551"/>
      <c r="C567" s="551"/>
      <c r="D567" s="551"/>
      <c r="E567" s="551"/>
      <c r="F567" s="551"/>
      <c r="G567" s="551"/>
      <c r="H567" s="551"/>
      <c r="I567" s="551"/>
      <c r="J567" s="551"/>
      <c r="K567" s="551"/>
      <c r="L567" s="551"/>
      <c r="M567" s="551"/>
      <c r="N567" s="551"/>
      <c r="O567" s="551"/>
      <c r="P567" s="551"/>
      <c r="Q567" s="551"/>
      <c r="R567" s="551"/>
      <c r="S567" s="551"/>
      <c r="T567" s="551"/>
      <c r="U567" s="551"/>
      <c r="V567" s="551"/>
      <c r="W567" s="551"/>
      <c r="X567" s="551"/>
      <c r="Y567" s="551"/>
      <c r="Z567" s="551"/>
      <c r="AA567" s="551"/>
      <c r="AB567" s="551"/>
      <c r="AC567" s="551"/>
      <c r="AD567" s="551"/>
      <c r="AE567" s="551"/>
      <c r="AF567" s="551"/>
      <c r="AG567" s="551"/>
      <c r="AH567" s="551"/>
      <c r="AI567" s="551"/>
      <c r="AJ567" s="551"/>
      <c r="AK567" s="551"/>
      <c r="AL567" s="551"/>
      <c r="AM567" s="551"/>
      <c r="AN567" s="551"/>
      <c r="AO567" s="551"/>
      <c r="AP567" s="551"/>
      <c r="AQ567" s="551"/>
      <c r="AR567" s="551"/>
      <c r="AS567" s="551"/>
      <c r="AT567" s="551"/>
      <c r="AU567" s="551"/>
      <c r="AV567" s="551"/>
      <c r="AW567" s="551"/>
      <c r="AX567" s="551"/>
      <c r="AY567" s="551"/>
      <c r="AZ567" s="551"/>
      <c r="BA567" s="551"/>
      <c r="BB567" s="551"/>
      <c r="BC567" s="551"/>
      <c r="BD567" s="551"/>
      <c r="BE567" s="551"/>
      <c r="BF567" s="551"/>
      <c r="BG567" s="551"/>
      <c r="BH567" s="551"/>
      <c r="BI567" s="551"/>
      <c r="BJ567" s="551"/>
    </row>
    <row r="568" spans="1:62" ht="12.75" customHeight="1">
      <c r="A568" s="551"/>
      <c r="B568" s="551"/>
      <c r="C568" s="551"/>
      <c r="D568" s="551"/>
      <c r="E568" s="551"/>
      <c r="F568" s="551"/>
      <c r="G568" s="551"/>
      <c r="H568" s="551"/>
      <c r="I568" s="551"/>
      <c r="J568" s="551"/>
      <c r="K568" s="551"/>
      <c r="L568" s="551"/>
      <c r="M568" s="551"/>
      <c r="N568" s="551"/>
      <c r="O568" s="551"/>
      <c r="P568" s="551"/>
      <c r="Q568" s="551"/>
      <c r="R568" s="551"/>
      <c r="S568" s="551"/>
      <c r="T568" s="551"/>
      <c r="U568" s="551"/>
      <c r="V568" s="551"/>
      <c r="W568" s="551"/>
      <c r="X568" s="551"/>
      <c r="Y568" s="551"/>
      <c r="Z568" s="551"/>
      <c r="AA568" s="551"/>
      <c r="AB568" s="551"/>
      <c r="AC568" s="551"/>
      <c r="AD568" s="551"/>
      <c r="AE568" s="551"/>
      <c r="AF568" s="551"/>
      <c r="AG568" s="551"/>
      <c r="AH568" s="551"/>
      <c r="AI568" s="551"/>
      <c r="AJ568" s="551"/>
      <c r="AK568" s="551"/>
      <c r="AL568" s="551"/>
      <c r="AM568" s="551"/>
      <c r="AN568" s="551"/>
      <c r="AO568" s="551"/>
      <c r="AP568" s="551"/>
      <c r="AQ568" s="551"/>
      <c r="AR568" s="551"/>
      <c r="AS568" s="551"/>
      <c r="AT568" s="551"/>
      <c r="AU568" s="551"/>
      <c r="AV568" s="551"/>
      <c r="AW568" s="551"/>
      <c r="AX568" s="551"/>
      <c r="AY568" s="551"/>
      <c r="AZ568" s="551"/>
      <c r="BA568" s="551"/>
      <c r="BB568" s="551"/>
      <c r="BC568" s="551"/>
      <c r="BD568" s="551"/>
      <c r="BE568" s="551"/>
      <c r="BF568" s="551"/>
      <c r="BG568" s="551"/>
      <c r="BH568" s="551"/>
      <c r="BI568" s="551"/>
      <c r="BJ568" s="551"/>
    </row>
    <row r="569" spans="1:62" ht="12.75" customHeight="1">
      <c r="A569" s="551"/>
      <c r="B569" s="551"/>
      <c r="C569" s="551"/>
      <c r="D569" s="551"/>
      <c r="E569" s="551"/>
      <c r="F569" s="551"/>
      <c r="G569" s="551"/>
      <c r="H569" s="551"/>
      <c r="I569" s="551"/>
      <c r="J569" s="551"/>
      <c r="K569" s="551"/>
      <c r="L569" s="551"/>
      <c r="M569" s="551"/>
      <c r="N569" s="551"/>
      <c r="O569" s="551"/>
      <c r="P569" s="551"/>
      <c r="Q569" s="551"/>
      <c r="R569" s="551"/>
      <c r="S569" s="551"/>
      <c r="T569" s="551"/>
      <c r="U569" s="551"/>
      <c r="V569" s="551"/>
      <c r="W569" s="551"/>
      <c r="X569" s="551"/>
      <c r="Y569" s="551"/>
      <c r="Z569" s="551"/>
      <c r="AA569" s="551"/>
      <c r="AB569" s="551"/>
      <c r="AC569" s="551"/>
      <c r="AD569" s="551"/>
      <c r="AE569" s="551"/>
      <c r="AF569" s="551"/>
      <c r="AG569" s="551"/>
      <c r="AH569" s="551"/>
      <c r="AI569" s="551"/>
      <c r="AJ569" s="551"/>
      <c r="AK569" s="551"/>
      <c r="AL569" s="551"/>
      <c r="AM569" s="551"/>
      <c r="AN569" s="551"/>
      <c r="AO569" s="551"/>
      <c r="AP569" s="551"/>
      <c r="AQ569" s="551"/>
      <c r="AR569" s="551"/>
      <c r="AS569" s="551"/>
      <c r="AT569" s="551"/>
      <c r="AU569" s="551"/>
      <c r="AV569" s="551"/>
      <c r="AW569" s="551"/>
      <c r="AX569" s="551"/>
      <c r="AY569" s="551"/>
      <c r="AZ569" s="551"/>
      <c r="BA569" s="551"/>
      <c r="BB569" s="551"/>
      <c r="BC569" s="551"/>
      <c r="BD569" s="551"/>
      <c r="BE569" s="551"/>
      <c r="BF569" s="551"/>
      <c r="BG569" s="551"/>
      <c r="BH569" s="551"/>
      <c r="BI569" s="551"/>
      <c r="BJ569" s="551"/>
    </row>
    <row r="570" spans="1:62" ht="12.75" customHeight="1">
      <c r="A570" s="551"/>
      <c r="B570" s="551"/>
      <c r="C570" s="551"/>
      <c r="D570" s="551"/>
      <c r="E570" s="551"/>
      <c r="F570" s="551"/>
      <c r="G570" s="551"/>
      <c r="H570" s="551"/>
      <c r="I570" s="551"/>
      <c r="J570" s="551"/>
      <c r="K570" s="551"/>
      <c r="L570" s="551"/>
      <c r="M570" s="551"/>
      <c r="N570" s="551"/>
      <c r="O570" s="551"/>
      <c r="P570" s="551"/>
      <c r="Q570" s="551"/>
      <c r="R570" s="551"/>
      <c r="S570" s="551"/>
      <c r="T570" s="551"/>
      <c r="U570" s="551"/>
      <c r="V570" s="551"/>
      <c r="W570" s="551"/>
      <c r="X570" s="551"/>
      <c r="Y570" s="551"/>
      <c r="Z570" s="551"/>
      <c r="AA570" s="551"/>
      <c r="AB570" s="551"/>
      <c r="AC570" s="551"/>
      <c r="AD570" s="551"/>
      <c r="AE570" s="551"/>
      <c r="AF570" s="551"/>
      <c r="AG570" s="551"/>
      <c r="AH570" s="551"/>
      <c r="AI570" s="551"/>
      <c r="AJ570" s="551"/>
      <c r="AK570" s="551"/>
      <c r="AL570" s="551"/>
      <c r="AM570" s="551"/>
      <c r="AN570" s="551"/>
      <c r="AO570" s="551"/>
      <c r="AP570" s="551"/>
      <c r="AQ570" s="551"/>
      <c r="AR570" s="551"/>
      <c r="AS570" s="551"/>
      <c r="AT570" s="551"/>
      <c r="AU570" s="551"/>
      <c r="AV570" s="551"/>
      <c r="AW570" s="551"/>
      <c r="AX570" s="551"/>
      <c r="AY570" s="551"/>
      <c r="AZ570" s="551"/>
      <c r="BA570" s="551"/>
      <c r="BB570" s="551"/>
      <c r="BC570" s="551"/>
      <c r="BD570" s="551"/>
      <c r="BE570" s="551"/>
      <c r="BF570" s="551"/>
      <c r="BG570" s="551"/>
      <c r="BH570" s="551"/>
      <c r="BI570" s="551"/>
      <c r="BJ570" s="551"/>
    </row>
    <row r="571" spans="1:62" ht="12.75" customHeight="1">
      <c r="A571" s="551"/>
      <c r="B571" s="551"/>
      <c r="C571" s="551"/>
      <c r="D571" s="551"/>
      <c r="E571" s="551"/>
      <c r="F571" s="551"/>
      <c r="G571" s="551"/>
      <c r="H571" s="551"/>
      <c r="I571" s="551"/>
      <c r="J571" s="551"/>
      <c r="K571" s="551"/>
      <c r="L571" s="551"/>
      <c r="M571" s="551"/>
      <c r="N571" s="551"/>
      <c r="O571" s="551"/>
      <c r="P571" s="551"/>
      <c r="Q571" s="551"/>
      <c r="R571" s="551"/>
      <c r="S571" s="551"/>
      <c r="T571" s="551"/>
      <c r="U571" s="551"/>
      <c r="V571" s="551"/>
      <c r="W571" s="551"/>
      <c r="X571" s="551"/>
      <c r="Y571" s="551"/>
      <c r="Z571" s="551"/>
      <c r="AA571" s="551"/>
      <c r="AB571" s="551"/>
      <c r="AC571" s="551"/>
      <c r="AD571" s="551"/>
      <c r="AE571" s="551"/>
      <c r="AF571" s="551"/>
      <c r="AG571" s="551"/>
      <c r="AH571" s="551"/>
      <c r="AI571" s="551"/>
      <c r="AJ571" s="551"/>
      <c r="AK571" s="551"/>
      <c r="AL571" s="551"/>
      <c r="AM571" s="551"/>
      <c r="AN571" s="551"/>
      <c r="AO571" s="551"/>
      <c r="AP571" s="551"/>
      <c r="AQ571" s="551"/>
      <c r="AR571" s="551"/>
      <c r="AS571" s="551"/>
      <c r="AT571" s="551"/>
      <c r="AU571" s="551"/>
      <c r="AV571" s="551"/>
      <c r="AW571" s="551"/>
      <c r="AX571" s="551"/>
      <c r="AY571" s="551"/>
      <c r="AZ571" s="551"/>
      <c r="BA571" s="551"/>
      <c r="BB571" s="551"/>
      <c r="BC571" s="551"/>
      <c r="BD571" s="551"/>
      <c r="BE571" s="551"/>
      <c r="BF571" s="551"/>
      <c r="BG571" s="551"/>
      <c r="BH571" s="551"/>
      <c r="BI571" s="551"/>
      <c r="BJ571" s="551"/>
    </row>
    <row r="572" spans="1:62" ht="12.75" customHeight="1">
      <c r="A572" s="551"/>
      <c r="B572" s="551"/>
      <c r="C572" s="551"/>
      <c r="D572" s="551"/>
      <c r="E572" s="551"/>
      <c r="F572" s="551"/>
      <c r="G572" s="551"/>
      <c r="H572" s="551"/>
      <c r="I572" s="551"/>
      <c r="J572" s="551"/>
      <c r="K572" s="551"/>
      <c r="L572" s="551"/>
      <c r="M572" s="551"/>
      <c r="N572" s="551"/>
      <c r="O572" s="551"/>
      <c r="P572" s="551"/>
      <c r="Q572" s="551"/>
      <c r="R572" s="551"/>
      <c r="S572" s="551"/>
      <c r="T572" s="551"/>
      <c r="U572" s="551"/>
      <c r="V572" s="551"/>
      <c r="W572" s="551"/>
      <c r="X572" s="551"/>
      <c r="Y572" s="551"/>
      <c r="Z572" s="551"/>
      <c r="AA572" s="551"/>
      <c r="AB572" s="551"/>
      <c r="AC572" s="551"/>
      <c r="AD572" s="551"/>
      <c r="AE572" s="551"/>
      <c r="AF572" s="551"/>
      <c r="AG572" s="551"/>
      <c r="AH572" s="551"/>
      <c r="AI572" s="551"/>
      <c r="AJ572" s="551"/>
      <c r="AK572" s="551"/>
      <c r="AL572" s="551"/>
      <c r="AM572" s="551"/>
      <c r="AN572" s="551"/>
      <c r="AO572" s="551"/>
      <c r="AP572" s="551"/>
      <c r="AQ572" s="551"/>
      <c r="AR572" s="551"/>
      <c r="AS572" s="551"/>
      <c r="AT572" s="551"/>
      <c r="AU572" s="551"/>
      <c r="AV572" s="551"/>
      <c r="AW572" s="551"/>
      <c r="AX572" s="551"/>
      <c r="AY572" s="551"/>
      <c r="AZ572" s="551"/>
      <c r="BA572" s="551"/>
      <c r="BB572" s="551"/>
      <c r="BC572" s="551"/>
      <c r="BD572" s="551"/>
      <c r="BE572" s="551"/>
      <c r="BF572" s="551"/>
      <c r="BG572" s="551"/>
      <c r="BH572" s="551"/>
      <c r="BI572" s="551"/>
      <c r="BJ572" s="551"/>
    </row>
    <row r="573" spans="1:62" ht="12.75" customHeight="1">
      <c r="A573" s="551"/>
      <c r="B573" s="551"/>
      <c r="C573" s="551"/>
      <c r="D573" s="551"/>
      <c r="E573" s="551"/>
      <c r="F573" s="551"/>
      <c r="G573" s="551"/>
      <c r="H573" s="551"/>
      <c r="I573" s="551"/>
      <c r="J573" s="551"/>
      <c r="K573" s="551"/>
      <c r="L573" s="551"/>
      <c r="M573" s="551"/>
      <c r="N573" s="551"/>
      <c r="O573" s="551"/>
      <c r="P573" s="551"/>
      <c r="Q573" s="551"/>
      <c r="R573" s="551"/>
      <c r="S573" s="551"/>
      <c r="T573" s="551"/>
      <c r="U573" s="551"/>
      <c r="V573" s="551"/>
      <c r="W573" s="551"/>
      <c r="X573" s="551"/>
      <c r="Y573" s="551"/>
      <c r="Z573" s="551"/>
      <c r="AA573" s="551"/>
      <c r="AB573" s="551"/>
      <c r="AC573" s="551"/>
      <c r="AD573" s="551"/>
      <c r="AE573" s="551"/>
      <c r="AF573" s="551"/>
      <c r="AG573" s="551"/>
      <c r="AH573" s="551"/>
      <c r="AI573" s="551"/>
      <c r="AJ573" s="551"/>
      <c r="AK573" s="551"/>
      <c r="AL573" s="551"/>
      <c r="AM573" s="551"/>
      <c r="AN573" s="551"/>
      <c r="AO573" s="551"/>
      <c r="AP573" s="551"/>
      <c r="AQ573" s="551"/>
      <c r="AR573" s="551"/>
      <c r="AS573" s="551"/>
      <c r="AT573" s="551"/>
      <c r="AU573" s="551"/>
      <c r="AV573" s="551"/>
      <c r="AW573" s="551"/>
      <c r="AX573" s="551"/>
      <c r="AY573" s="551"/>
      <c r="AZ573" s="551"/>
      <c r="BA573" s="551"/>
      <c r="BB573" s="551"/>
      <c r="BC573" s="551"/>
      <c r="BD573" s="551"/>
      <c r="BE573" s="551"/>
      <c r="BF573" s="551"/>
      <c r="BG573" s="551"/>
      <c r="BH573" s="551"/>
      <c r="BI573" s="551"/>
      <c r="BJ573" s="551"/>
    </row>
    <row r="574" spans="1:62" ht="12.75" customHeight="1">
      <c r="A574" s="551"/>
      <c r="B574" s="551"/>
      <c r="C574" s="551"/>
      <c r="D574" s="551"/>
      <c r="E574" s="551"/>
      <c r="F574" s="551"/>
      <c r="G574" s="551"/>
      <c r="H574" s="551"/>
      <c r="I574" s="551"/>
      <c r="J574" s="551"/>
      <c r="K574" s="551"/>
      <c r="L574" s="551"/>
      <c r="M574" s="551"/>
      <c r="N574" s="551"/>
      <c r="O574" s="551"/>
      <c r="P574" s="551"/>
      <c r="Q574" s="551"/>
      <c r="R574" s="551"/>
      <c r="S574" s="551"/>
      <c r="T574" s="551"/>
      <c r="U574" s="551"/>
      <c r="V574" s="551"/>
      <c r="W574" s="551"/>
      <c r="X574" s="551"/>
      <c r="Y574" s="551"/>
      <c r="Z574" s="551"/>
      <c r="AA574" s="551"/>
      <c r="AB574" s="551"/>
      <c r="AC574" s="551"/>
      <c r="AD574" s="551"/>
      <c r="AE574" s="551"/>
      <c r="AF574" s="551"/>
      <c r="AG574" s="551"/>
      <c r="AH574" s="551"/>
      <c r="AI574" s="551"/>
      <c r="AJ574" s="551"/>
      <c r="AK574" s="551"/>
      <c r="AL574" s="551"/>
      <c r="AM574" s="551"/>
      <c r="AN574" s="551"/>
      <c r="AO574" s="551"/>
      <c r="AP574" s="551"/>
      <c r="AQ574" s="551"/>
      <c r="AR574" s="551"/>
      <c r="AS574" s="551"/>
      <c r="AT574" s="551"/>
      <c r="AU574" s="551"/>
      <c r="AV574" s="551"/>
      <c r="AW574" s="551"/>
      <c r="AX574" s="551"/>
      <c r="AY574" s="551"/>
      <c r="AZ574" s="551"/>
      <c r="BA574" s="551"/>
      <c r="BB574" s="551"/>
      <c r="BC574" s="551"/>
      <c r="BD574" s="551"/>
      <c r="BE574" s="551"/>
      <c r="BF574" s="551"/>
      <c r="BG574" s="551"/>
      <c r="BH574" s="551"/>
      <c r="BI574" s="551"/>
      <c r="BJ574" s="551"/>
    </row>
    <row r="575" spans="1:62" ht="12.75" customHeight="1">
      <c r="A575" s="551"/>
      <c r="B575" s="551"/>
      <c r="C575" s="551"/>
      <c r="D575" s="551"/>
      <c r="E575" s="551"/>
      <c r="F575" s="551"/>
      <c r="G575" s="551"/>
      <c r="H575" s="551"/>
      <c r="I575" s="551"/>
      <c r="J575" s="551"/>
      <c r="K575" s="551"/>
      <c r="L575" s="551"/>
      <c r="M575" s="551"/>
      <c r="N575" s="551"/>
      <c r="O575" s="551"/>
      <c r="P575" s="551"/>
      <c r="Q575" s="551"/>
      <c r="R575" s="551"/>
      <c r="S575" s="551"/>
      <c r="T575" s="551"/>
      <c r="U575" s="551"/>
      <c r="V575" s="551"/>
      <c r="W575" s="551"/>
      <c r="X575" s="551"/>
      <c r="Y575" s="551"/>
      <c r="Z575" s="551"/>
      <c r="AA575" s="551"/>
      <c r="AB575" s="551"/>
      <c r="AC575" s="551"/>
      <c r="AD575" s="551"/>
      <c r="AE575" s="551"/>
      <c r="AF575" s="551"/>
      <c r="AG575" s="551"/>
      <c r="AH575" s="551"/>
      <c r="AI575" s="551"/>
      <c r="AJ575" s="551"/>
      <c r="AK575" s="551"/>
      <c r="AL575" s="551"/>
      <c r="AM575" s="551"/>
      <c r="AN575" s="551"/>
      <c r="AO575" s="551"/>
      <c r="AP575" s="551"/>
      <c r="AQ575" s="551"/>
      <c r="AR575" s="551"/>
      <c r="AS575" s="551"/>
      <c r="AT575" s="551"/>
      <c r="AU575" s="551"/>
      <c r="AV575" s="551"/>
      <c r="AW575" s="551"/>
      <c r="AX575" s="551"/>
      <c r="AY575" s="551"/>
      <c r="AZ575" s="551"/>
      <c r="BA575" s="551"/>
      <c r="BB575" s="551"/>
      <c r="BC575" s="551"/>
      <c r="BD575" s="551"/>
      <c r="BE575" s="551"/>
      <c r="BF575" s="551"/>
      <c r="BG575" s="551"/>
      <c r="BH575" s="551"/>
      <c r="BI575" s="551"/>
      <c r="BJ575" s="551"/>
    </row>
    <row r="576" spans="1:62" ht="12.75" customHeight="1">
      <c r="A576" s="551"/>
      <c r="B576" s="551"/>
      <c r="C576" s="551"/>
      <c r="D576" s="551"/>
      <c r="E576" s="551"/>
      <c r="F576" s="551"/>
      <c r="G576" s="551"/>
      <c r="H576" s="551"/>
      <c r="I576" s="551"/>
      <c r="J576" s="551"/>
      <c r="K576" s="551"/>
      <c r="L576" s="551"/>
      <c r="M576" s="551"/>
      <c r="N576" s="551"/>
      <c r="O576" s="551"/>
      <c r="P576" s="551"/>
      <c r="Q576" s="551"/>
      <c r="R576" s="551"/>
      <c r="S576" s="551"/>
      <c r="T576" s="551"/>
      <c r="U576" s="551"/>
      <c r="V576" s="551"/>
      <c r="W576" s="551"/>
      <c r="X576" s="551"/>
      <c r="Y576" s="551"/>
      <c r="Z576" s="551"/>
      <c r="AA576" s="551"/>
      <c r="AB576" s="551"/>
      <c r="AC576" s="551"/>
      <c r="AD576" s="551"/>
      <c r="AE576" s="551"/>
      <c r="AF576" s="551"/>
      <c r="AG576" s="551"/>
      <c r="AH576" s="551"/>
      <c r="AI576" s="551"/>
      <c r="AJ576" s="551"/>
      <c r="AK576" s="551"/>
      <c r="AL576" s="551"/>
      <c r="AM576" s="551"/>
      <c r="AN576" s="551"/>
      <c r="AO576" s="551"/>
      <c r="AP576" s="551"/>
      <c r="AQ576" s="551"/>
      <c r="AR576" s="551"/>
      <c r="AS576" s="551"/>
      <c r="AT576" s="551"/>
      <c r="AU576" s="551"/>
      <c r="AV576" s="551"/>
      <c r="AW576" s="551"/>
      <c r="AX576" s="551"/>
      <c r="AY576" s="551"/>
      <c r="AZ576" s="551"/>
      <c r="BA576" s="551"/>
      <c r="BB576" s="551"/>
      <c r="BC576" s="551"/>
      <c r="BD576" s="551"/>
      <c r="BE576" s="551"/>
      <c r="BF576" s="551"/>
      <c r="BG576" s="551"/>
      <c r="BH576" s="551"/>
      <c r="BI576" s="551"/>
      <c r="BJ576" s="551"/>
    </row>
    <row r="577" spans="1:62" ht="12.75" customHeight="1">
      <c r="A577" s="551"/>
      <c r="B577" s="551"/>
      <c r="C577" s="551"/>
      <c r="D577" s="551"/>
      <c r="E577" s="551"/>
      <c r="F577" s="551"/>
      <c r="G577" s="551"/>
      <c r="H577" s="551"/>
      <c r="I577" s="551"/>
      <c r="J577" s="551"/>
      <c r="K577" s="551"/>
      <c r="L577" s="551"/>
      <c r="M577" s="551"/>
      <c r="N577" s="551"/>
      <c r="O577" s="551"/>
      <c r="P577" s="551"/>
      <c r="Q577" s="551"/>
      <c r="R577" s="551"/>
      <c r="S577" s="551"/>
      <c r="T577" s="551"/>
      <c r="U577" s="551"/>
      <c r="V577" s="551"/>
      <c r="W577" s="551"/>
      <c r="X577" s="551"/>
      <c r="Y577" s="551"/>
      <c r="Z577" s="551"/>
      <c r="AA577" s="551"/>
      <c r="AB577" s="551"/>
      <c r="AC577" s="551"/>
      <c r="AD577" s="551"/>
      <c r="AE577" s="551"/>
      <c r="AF577" s="551"/>
      <c r="AG577" s="551"/>
      <c r="AH577" s="551"/>
      <c r="AI577" s="551"/>
      <c r="AJ577" s="551"/>
      <c r="AK577" s="551"/>
      <c r="AL577" s="551"/>
      <c r="AM577" s="551"/>
      <c r="AN577" s="551"/>
      <c r="AO577" s="551"/>
      <c r="AP577" s="551"/>
      <c r="AQ577" s="551"/>
      <c r="AR577" s="551"/>
      <c r="AS577" s="551"/>
      <c r="AT577" s="551"/>
      <c r="AU577" s="551"/>
      <c r="AV577" s="551"/>
      <c r="AW577" s="551"/>
      <c r="AX577" s="551"/>
      <c r="AY577" s="551"/>
      <c r="AZ577" s="551"/>
      <c r="BA577" s="551"/>
      <c r="BB577" s="551"/>
      <c r="BC577" s="551"/>
      <c r="BD577" s="551"/>
      <c r="BE577" s="551"/>
      <c r="BF577" s="551"/>
      <c r="BG577" s="551"/>
      <c r="BH577" s="551"/>
      <c r="BI577" s="551"/>
      <c r="BJ577" s="551"/>
    </row>
    <row r="578" spans="1:62" ht="12.75" customHeight="1">
      <c r="A578" s="551"/>
      <c r="B578" s="551"/>
      <c r="C578" s="551"/>
      <c r="D578" s="551"/>
      <c r="E578" s="551"/>
      <c r="F578" s="551"/>
      <c r="G578" s="551"/>
      <c r="H578" s="551"/>
      <c r="I578" s="551"/>
      <c r="J578" s="551"/>
      <c r="K578" s="551"/>
      <c r="L578" s="551"/>
      <c r="M578" s="551"/>
      <c r="N578" s="551"/>
      <c r="O578" s="551"/>
      <c r="P578" s="551"/>
      <c r="Q578" s="551"/>
      <c r="R578" s="551"/>
      <c r="S578" s="551"/>
      <c r="T578" s="551"/>
      <c r="U578" s="551"/>
      <c r="V578" s="551"/>
      <c r="W578" s="551"/>
      <c r="X578" s="551"/>
      <c r="Y578" s="551"/>
      <c r="Z578" s="551"/>
      <c r="AA578" s="551"/>
      <c r="AB578" s="551"/>
      <c r="AC578" s="551"/>
      <c r="AD578" s="551"/>
      <c r="AE578" s="551"/>
      <c r="AF578" s="551"/>
      <c r="AG578" s="551"/>
      <c r="AH578" s="551"/>
      <c r="AI578" s="551"/>
      <c r="AJ578" s="551"/>
      <c r="AK578" s="551"/>
      <c r="AL578" s="551"/>
      <c r="AM578" s="551"/>
      <c r="AN578" s="551"/>
      <c r="AO578" s="551"/>
      <c r="AP578" s="551"/>
      <c r="AQ578" s="551"/>
      <c r="AR578" s="551"/>
      <c r="AS578" s="551"/>
      <c r="AT578" s="551"/>
      <c r="AU578" s="551"/>
      <c r="AV578" s="551"/>
      <c r="AW578" s="551"/>
      <c r="AX578" s="551"/>
      <c r="AY578" s="551"/>
      <c r="AZ578" s="551"/>
      <c r="BA578" s="551"/>
      <c r="BB578" s="551"/>
      <c r="BC578" s="551"/>
      <c r="BD578" s="551"/>
      <c r="BE578" s="551"/>
      <c r="BF578" s="551"/>
      <c r="BG578" s="551"/>
      <c r="BH578" s="551"/>
      <c r="BI578" s="551"/>
      <c r="BJ578" s="551"/>
    </row>
    <row r="579" spans="1:62" ht="12.75" customHeight="1">
      <c r="A579" s="551"/>
      <c r="B579" s="551"/>
      <c r="C579" s="551"/>
      <c r="D579" s="551"/>
      <c r="E579" s="551"/>
      <c r="F579" s="551"/>
      <c r="G579" s="551"/>
      <c r="H579" s="551"/>
      <c r="I579" s="551"/>
      <c r="J579" s="551"/>
      <c r="K579" s="551"/>
      <c r="L579" s="551"/>
      <c r="M579" s="551"/>
      <c r="N579" s="551"/>
      <c r="O579" s="551"/>
      <c r="P579" s="551"/>
      <c r="Q579" s="551"/>
      <c r="R579" s="551"/>
      <c r="S579" s="551"/>
      <c r="T579" s="551"/>
      <c r="U579" s="551"/>
      <c r="V579" s="551"/>
      <c r="W579" s="551"/>
      <c r="X579" s="551"/>
      <c r="Y579" s="551"/>
      <c r="Z579" s="551"/>
      <c r="AA579" s="551"/>
      <c r="AB579" s="551"/>
      <c r="AC579" s="551"/>
      <c r="AD579" s="551"/>
      <c r="AE579" s="551"/>
      <c r="AF579" s="551"/>
      <c r="AG579" s="551"/>
      <c r="AH579" s="551"/>
      <c r="AI579" s="551"/>
      <c r="AJ579" s="551"/>
      <c r="AK579" s="551"/>
      <c r="AL579" s="551"/>
      <c r="AM579" s="551"/>
      <c r="AN579" s="551"/>
      <c r="AO579" s="551"/>
      <c r="AP579" s="551"/>
      <c r="AQ579" s="551"/>
      <c r="AR579" s="551"/>
      <c r="AS579" s="551"/>
      <c r="AT579" s="551"/>
      <c r="AU579" s="551"/>
      <c r="AV579" s="551"/>
      <c r="AW579" s="551"/>
      <c r="AX579" s="551"/>
      <c r="AY579" s="551"/>
      <c r="AZ579" s="551"/>
      <c r="BA579" s="551"/>
      <c r="BB579" s="551"/>
      <c r="BC579" s="551"/>
      <c r="BD579" s="551"/>
      <c r="BE579" s="551"/>
      <c r="BF579" s="551"/>
      <c r="BG579" s="551"/>
      <c r="BH579" s="551"/>
      <c r="BI579" s="551"/>
      <c r="BJ579" s="551"/>
    </row>
    <row r="580" spans="1:62" ht="12.75" customHeight="1">
      <c r="A580" s="551"/>
      <c r="B580" s="551"/>
      <c r="C580" s="551"/>
      <c r="D580" s="551"/>
      <c r="E580" s="551"/>
      <c r="F580" s="551"/>
      <c r="G580" s="551"/>
      <c r="H580" s="551"/>
      <c r="I580" s="551"/>
      <c r="J580" s="551"/>
      <c r="K580" s="551"/>
      <c r="L580" s="551"/>
      <c r="M580" s="551"/>
      <c r="N580" s="551"/>
      <c r="O580" s="551"/>
      <c r="P580" s="551"/>
      <c r="Q580" s="551"/>
      <c r="R580" s="551"/>
      <c r="S580" s="551"/>
      <c r="T580" s="551"/>
      <c r="U580" s="551"/>
      <c r="V580" s="551"/>
      <c r="W580" s="551"/>
      <c r="X580" s="551"/>
      <c r="Y580" s="551"/>
      <c r="Z580" s="551"/>
      <c r="AA580" s="551"/>
      <c r="AB580" s="551"/>
      <c r="AC580" s="551"/>
      <c r="AD580" s="551"/>
      <c r="AE580" s="551"/>
      <c r="AF580" s="551"/>
      <c r="AG580" s="551"/>
      <c r="AH580" s="551"/>
      <c r="AI580" s="551"/>
      <c r="AJ580" s="551"/>
      <c r="AK580" s="551"/>
      <c r="AL580" s="551"/>
      <c r="AM580" s="551"/>
      <c r="AN580" s="551"/>
      <c r="AO580" s="551"/>
      <c r="AP580" s="551"/>
      <c r="AQ580" s="551"/>
      <c r="AR580" s="551"/>
      <c r="AS580" s="551"/>
      <c r="AT580" s="551"/>
      <c r="AU580" s="551"/>
      <c r="AV580" s="551"/>
      <c r="AW580" s="551"/>
      <c r="AX580" s="551"/>
      <c r="AY580" s="551"/>
      <c r="AZ580" s="551"/>
      <c r="BA580" s="551"/>
      <c r="BB580" s="551"/>
      <c r="BC580" s="551"/>
      <c r="BD580" s="551"/>
      <c r="BE580" s="551"/>
      <c r="BF580" s="551"/>
      <c r="BG580" s="551"/>
      <c r="BH580" s="551"/>
      <c r="BI580" s="551"/>
      <c r="BJ580" s="551"/>
    </row>
    <row r="581" spans="1:62" ht="12.75" customHeight="1">
      <c r="A581" s="551"/>
      <c r="B581" s="551"/>
      <c r="C581" s="551"/>
      <c r="D581" s="551"/>
      <c r="E581" s="551"/>
      <c r="F581" s="551"/>
      <c r="G581" s="551"/>
      <c r="H581" s="551"/>
      <c r="I581" s="551"/>
      <c r="J581" s="551"/>
      <c r="K581" s="551"/>
      <c r="L581" s="551"/>
      <c r="M581" s="551"/>
      <c r="N581" s="551"/>
      <c r="O581" s="551"/>
      <c r="P581" s="551"/>
      <c r="Q581" s="551"/>
      <c r="R581" s="551"/>
      <c r="S581" s="551"/>
      <c r="T581" s="551"/>
      <c r="U581" s="551"/>
      <c r="V581" s="551"/>
      <c r="W581" s="551"/>
      <c r="X581" s="551"/>
      <c r="Y581" s="551"/>
      <c r="Z581" s="551"/>
      <c r="AA581" s="551"/>
      <c r="AB581" s="551"/>
      <c r="AC581" s="551"/>
      <c r="AD581" s="551"/>
      <c r="AE581" s="551"/>
      <c r="AF581" s="551"/>
      <c r="AG581" s="551"/>
      <c r="AH581" s="551"/>
      <c r="AI581" s="551"/>
      <c r="AJ581" s="551"/>
      <c r="AK581" s="551"/>
      <c r="AL581" s="551"/>
      <c r="AM581" s="551"/>
      <c r="AN581" s="551"/>
      <c r="AO581" s="551"/>
      <c r="AP581" s="551"/>
      <c r="AQ581" s="551"/>
      <c r="AR581" s="551"/>
      <c r="AS581" s="551"/>
      <c r="AT581" s="551"/>
      <c r="AU581" s="551"/>
      <c r="AV581" s="551"/>
      <c r="AW581" s="551"/>
      <c r="AX581" s="551"/>
      <c r="AY581" s="551"/>
      <c r="AZ581" s="551"/>
      <c r="BA581" s="551"/>
      <c r="BB581" s="551"/>
      <c r="BC581" s="551"/>
      <c r="BD581" s="551"/>
      <c r="BE581" s="551"/>
      <c r="BF581" s="551"/>
      <c r="BG581" s="551"/>
      <c r="BH581" s="551"/>
      <c r="BI581" s="551"/>
      <c r="BJ581" s="551"/>
    </row>
    <row r="582" spans="1:62" ht="12.75" customHeight="1">
      <c r="A582" s="551"/>
      <c r="B582" s="551"/>
      <c r="C582" s="551"/>
      <c r="D582" s="551"/>
      <c r="E582" s="551"/>
      <c r="F582" s="551"/>
      <c r="G582" s="551"/>
      <c r="H582" s="551"/>
      <c r="I582" s="551"/>
      <c r="J582" s="551"/>
      <c r="K582" s="551"/>
      <c r="L582" s="551"/>
      <c r="M582" s="551"/>
      <c r="N582" s="551"/>
      <c r="O582" s="551"/>
      <c r="P582" s="551"/>
      <c r="Q582" s="551"/>
      <c r="R582" s="551"/>
      <c r="S582" s="551"/>
      <c r="T582" s="551"/>
      <c r="U582" s="551"/>
      <c r="V582" s="551"/>
      <c r="W582" s="551"/>
      <c r="X582" s="551"/>
      <c r="Y582" s="551"/>
      <c r="Z582" s="551"/>
      <c r="AA582" s="551"/>
      <c r="AB582" s="551"/>
      <c r="AC582" s="551"/>
      <c r="AD582" s="551"/>
      <c r="AE582" s="551"/>
      <c r="AF582" s="551"/>
      <c r="AG582" s="551"/>
      <c r="AH582" s="551"/>
      <c r="AI582" s="551"/>
      <c r="AJ582" s="551"/>
      <c r="AK582" s="551"/>
      <c r="AL582" s="551"/>
      <c r="AM582" s="551"/>
      <c r="AN582" s="551"/>
      <c r="AO582" s="551"/>
      <c r="AP582" s="551"/>
      <c r="AQ582" s="551"/>
      <c r="AR582" s="551"/>
      <c r="AS582" s="551"/>
      <c r="AT582" s="551"/>
      <c r="AU582" s="551"/>
      <c r="AV582" s="551"/>
      <c r="AW582" s="551"/>
      <c r="AX582" s="551"/>
      <c r="AY582" s="551"/>
      <c r="AZ582" s="551"/>
      <c r="BA582" s="551"/>
      <c r="BB582" s="551"/>
      <c r="BC582" s="551"/>
      <c r="BD582" s="551"/>
      <c r="BE582" s="551"/>
      <c r="BF582" s="551"/>
      <c r="BG582" s="551"/>
      <c r="BH582" s="551"/>
      <c r="BI582" s="551"/>
      <c r="BJ582" s="551"/>
    </row>
    <row r="583" spans="1:62" ht="12.75" customHeight="1">
      <c r="A583" s="551"/>
      <c r="B583" s="551"/>
      <c r="C583" s="551"/>
      <c r="D583" s="551"/>
      <c r="E583" s="551"/>
      <c r="F583" s="551"/>
      <c r="G583" s="551"/>
      <c r="H583" s="551"/>
      <c r="I583" s="551"/>
      <c r="J583" s="551"/>
      <c r="K583" s="551"/>
      <c r="L583" s="551"/>
      <c r="M583" s="551"/>
      <c r="N583" s="551"/>
      <c r="O583" s="551"/>
      <c r="P583" s="551"/>
      <c r="Q583" s="551"/>
      <c r="R583" s="551"/>
      <c r="S583" s="551"/>
      <c r="T583" s="551"/>
      <c r="U583" s="551"/>
      <c r="V583" s="551"/>
      <c r="W583" s="551"/>
      <c r="X583" s="551"/>
      <c r="Y583" s="551"/>
      <c r="Z583" s="551"/>
      <c r="AA583" s="551"/>
      <c r="AB583" s="551"/>
      <c r="AC583" s="551"/>
      <c r="AD583" s="551"/>
      <c r="AE583" s="551"/>
      <c r="AF583" s="551"/>
      <c r="AG583" s="551"/>
      <c r="AH583" s="551"/>
      <c r="AI583" s="551"/>
      <c r="AJ583" s="551"/>
      <c r="AK583" s="551"/>
      <c r="AL583" s="551"/>
      <c r="AM583" s="551"/>
      <c r="AN583" s="551"/>
      <c r="AO583" s="551"/>
      <c r="AP583" s="551"/>
      <c r="AQ583" s="551"/>
      <c r="AR583" s="551"/>
      <c r="AS583" s="551"/>
      <c r="AT583" s="551"/>
      <c r="AU583" s="551"/>
      <c r="AV583" s="551"/>
      <c r="AW583" s="551"/>
      <c r="AX583" s="551"/>
      <c r="AY583" s="551"/>
      <c r="AZ583" s="551"/>
      <c r="BA583" s="551"/>
      <c r="BB583" s="551"/>
      <c r="BC583" s="551"/>
      <c r="BD583" s="551"/>
      <c r="BE583" s="551"/>
      <c r="BF583" s="551"/>
      <c r="BG583" s="551"/>
      <c r="BH583" s="551"/>
      <c r="BI583" s="551"/>
      <c r="BJ583" s="551"/>
    </row>
    <row r="584" spans="1:62" ht="12.75" customHeight="1">
      <c r="A584" s="551"/>
      <c r="B584" s="551"/>
      <c r="C584" s="551"/>
      <c r="D584" s="551"/>
      <c r="E584" s="551"/>
      <c r="F584" s="551"/>
      <c r="G584" s="551"/>
      <c r="H584" s="551"/>
      <c r="I584" s="551"/>
      <c r="J584" s="551"/>
      <c r="K584" s="551"/>
      <c r="L584" s="551"/>
      <c r="M584" s="551"/>
      <c r="N584" s="551"/>
      <c r="O584" s="551"/>
      <c r="P584" s="551"/>
      <c r="Q584" s="551"/>
      <c r="R584" s="551"/>
      <c r="S584" s="551"/>
      <c r="T584" s="551"/>
      <c r="U584" s="551"/>
      <c r="V584" s="551"/>
      <c r="W584" s="551"/>
      <c r="X584" s="551"/>
      <c r="Y584" s="551"/>
      <c r="Z584" s="551"/>
      <c r="AA584" s="551"/>
      <c r="AB584" s="551"/>
      <c r="AC584" s="551"/>
      <c r="AD584" s="551"/>
      <c r="AE584" s="551"/>
      <c r="AF584" s="551"/>
      <c r="AG584" s="551"/>
      <c r="AH584" s="551"/>
      <c r="AI584" s="551"/>
      <c r="AJ584" s="551"/>
      <c r="AK584" s="551"/>
      <c r="AL584" s="551"/>
      <c r="AM584" s="551"/>
      <c r="AN584" s="551"/>
      <c r="AO584" s="551"/>
      <c r="AP584" s="551"/>
      <c r="AQ584" s="551"/>
      <c r="AR584" s="551"/>
      <c r="AS584" s="551"/>
      <c r="AT584" s="551"/>
      <c r="AU584" s="551"/>
      <c r="AV584" s="551"/>
      <c r="AW584" s="551"/>
      <c r="AX584" s="551"/>
      <c r="AY584" s="551"/>
      <c r="AZ584" s="551"/>
      <c r="BA584" s="551"/>
      <c r="BB584" s="551"/>
      <c r="BC584" s="551"/>
      <c r="BD584" s="551"/>
      <c r="BE584" s="551"/>
      <c r="BF584" s="551"/>
      <c r="BG584" s="551"/>
      <c r="BH584" s="551"/>
      <c r="BI584" s="551"/>
      <c r="BJ584" s="551"/>
    </row>
    <row r="585" spans="1:62" ht="12.75" customHeight="1">
      <c r="A585" s="551"/>
      <c r="B585" s="551"/>
      <c r="C585" s="551"/>
      <c r="D585" s="551"/>
      <c r="E585" s="551"/>
      <c r="F585" s="551"/>
      <c r="G585" s="551"/>
      <c r="H585" s="551"/>
      <c r="I585" s="551"/>
      <c r="J585" s="551"/>
      <c r="K585" s="551"/>
      <c r="L585" s="551"/>
      <c r="M585" s="551"/>
      <c r="N585" s="551"/>
      <c r="O585" s="551"/>
      <c r="P585" s="551"/>
      <c r="Q585" s="551"/>
      <c r="R585" s="551"/>
      <c r="S585" s="551"/>
      <c r="T585" s="551"/>
      <c r="U585" s="551"/>
      <c r="V585" s="551"/>
      <c r="W585" s="551"/>
      <c r="X585" s="551"/>
      <c r="Y585" s="551"/>
      <c r="Z585" s="551"/>
      <c r="AA585" s="551"/>
      <c r="AB585" s="551"/>
      <c r="AC585" s="551"/>
      <c r="AD585" s="551"/>
      <c r="AE585" s="551"/>
      <c r="AF585" s="551"/>
      <c r="AG585" s="551"/>
      <c r="AH585" s="551"/>
      <c r="AI585" s="551"/>
      <c r="AJ585" s="551"/>
      <c r="AK585" s="551"/>
      <c r="AL585" s="551"/>
      <c r="AM585" s="551"/>
      <c r="AN585" s="551"/>
      <c r="AO585" s="551"/>
      <c r="AP585" s="551"/>
      <c r="AQ585" s="551"/>
      <c r="AR585" s="551"/>
      <c r="AS585" s="551"/>
      <c r="AT585" s="551"/>
      <c r="AU585" s="551"/>
      <c r="AV585" s="551"/>
      <c r="AW585" s="551"/>
      <c r="AX585" s="551"/>
      <c r="AY585" s="551"/>
      <c r="AZ585" s="551"/>
      <c r="BA585" s="551"/>
      <c r="BB585" s="551"/>
      <c r="BC585" s="551"/>
      <c r="BD585" s="551"/>
      <c r="BE585" s="551"/>
      <c r="BF585" s="551"/>
      <c r="BG585" s="551"/>
      <c r="BH585" s="551"/>
      <c r="BI585" s="551"/>
      <c r="BJ585" s="551"/>
    </row>
    <row r="586" spans="1:62" ht="12.75" customHeight="1">
      <c r="A586" s="551"/>
      <c r="B586" s="551"/>
      <c r="C586" s="551"/>
      <c r="D586" s="551"/>
      <c r="E586" s="551"/>
      <c r="F586" s="551"/>
      <c r="G586" s="551"/>
      <c r="H586" s="551"/>
      <c r="I586" s="551"/>
      <c r="J586" s="551"/>
      <c r="K586" s="551"/>
      <c r="L586" s="551"/>
      <c r="M586" s="551"/>
      <c r="N586" s="551"/>
      <c r="O586" s="551"/>
      <c r="P586" s="551"/>
      <c r="Q586" s="551"/>
      <c r="R586" s="551"/>
      <c r="S586" s="551"/>
      <c r="T586" s="551"/>
      <c r="U586" s="551"/>
      <c r="V586" s="551"/>
      <c r="W586" s="551"/>
      <c r="X586" s="551"/>
      <c r="Y586" s="551"/>
      <c r="Z586" s="551"/>
      <c r="AA586" s="551"/>
      <c r="AB586" s="551"/>
      <c r="AC586" s="551"/>
      <c r="AD586" s="551"/>
      <c r="AE586" s="551"/>
      <c r="AF586" s="551"/>
      <c r="AG586" s="551"/>
      <c r="AH586" s="551"/>
      <c r="AI586" s="551"/>
      <c r="AJ586" s="551"/>
      <c r="AK586" s="551"/>
      <c r="AL586" s="551"/>
      <c r="AM586" s="551"/>
      <c r="AN586" s="551"/>
      <c r="AO586" s="551"/>
      <c r="AP586" s="551"/>
      <c r="AQ586" s="551"/>
      <c r="AR586" s="551"/>
      <c r="AS586" s="551"/>
      <c r="AT586" s="551"/>
      <c r="AU586" s="551"/>
      <c r="AV586" s="551"/>
      <c r="AW586" s="551"/>
      <c r="AX586" s="551"/>
      <c r="AY586" s="551"/>
      <c r="AZ586" s="551"/>
      <c r="BA586" s="551"/>
      <c r="BB586" s="551"/>
      <c r="BC586" s="551"/>
      <c r="BD586" s="551"/>
      <c r="BE586" s="551"/>
      <c r="BF586" s="551"/>
      <c r="BG586" s="551"/>
      <c r="BH586" s="551"/>
      <c r="BI586" s="551"/>
      <c r="BJ586" s="551"/>
    </row>
    <row r="587" spans="1:62" ht="12.75" customHeight="1">
      <c r="A587" s="551"/>
      <c r="B587" s="551"/>
      <c r="C587" s="551"/>
      <c r="D587" s="551"/>
      <c r="E587" s="551"/>
      <c r="F587" s="551"/>
      <c r="G587" s="551"/>
      <c r="H587" s="551"/>
      <c r="I587" s="551"/>
      <c r="J587" s="551"/>
      <c r="K587" s="551"/>
      <c r="L587" s="551"/>
      <c r="M587" s="551"/>
      <c r="N587" s="551"/>
      <c r="O587" s="551"/>
      <c r="P587" s="551"/>
      <c r="Q587" s="551"/>
      <c r="R587" s="551"/>
      <c r="S587" s="551"/>
      <c r="T587" s="551"/>
      <c r="U587" s="551"/>
      <c r="V587" s="551"/>
      <c r="W587" s="551"/>
      <c r="X587" s="551"/>
      <c r="Y587" s="551"/>
      <c r="Z587" s="551"/>
      <c r="AA587" s="551"/>
      <c r="AB587" s="551"/>
      <c r="AC587" s="551"/>
      <c r="AD587" s="551"/>
      <c r="AE587" s="551"/>
      <c r="AF587" s="551"/>
      <c r="AG587" s="551"/>
      <c r="AH587" s="551"/>
      <c r="AI587" s="551"/>
      <c r="AJ587" s="551"/>
      <c r="AK587" s="551"/>
      <c r="AL587" s="551"/>
      <c r="AM587" s="551"/>
      <c r="AN587" s="551"/>
      <c r="AO587" s="551"/>
      <c r="AP587" s="551"/>
      <c r="AQ587" s="551"/>
      <c r="AR587" s="551"/>
      <c r="AS587" s="551"/>
      <c r="AT587" s="551"/>
      <c r="AU587" s="551"/>
      <c r="AV587" s="551"/>
      <c r="AW587" s="551"/>
      <c r="AX587" s="551"/>
      <c r="AY587" s="551"/>
      <c r="AZ587" s="551"/>
      <c r="BA587" s="551"/>
      <c r="BB587" s="551"/>
      <c r="BC587" s="551"/>
      <c r="BD587" s="551"/>
      <c r="BE587" s="551"/>
      <c r="BF587" s="551"/>
      <c r="BG587" s="551"/>
      <c r="BH587" s="551"/>
      <c r="BI587" s="551"/>
      <c r="BJ587" s="551"/>
    </row>
    <row r="588" spans="1:62" ht="12.75" customHeight="1">
      <c r="A588" s="551"/>
      <c r="B588" s="551"/>
      <c r="C588" s="551"/>
      <c r="D588" s="551"/>
      <c r="E588" s="551"/>
      <c r="F588" s="551"/>
      <c r="G588" s="551"/>
      <c r="H588" s="551"/>
      <c r="I588" s="551"/>
      <c r="J588" s="551"/>
      <c r="K588" s="551"/>
      <c r="L588" s="551"/>
      <c r="M588" s="551"/>
      <c r="N588" s="551"/>
      <c r="O588" s="551"/>
      <c r="P588" s="551"/>
      <c r="Q588" s="551"/>
      <c r="R588" s="551"/>
      <c r="S588" s="551"/>
      <c r="T588" s="551"/>
      <c r="U588" s="551"/>
      <c r="V588" s="551"/>
      <c r="W588" s="551"/>
      <c r="X588" s="551"/>
      <c r="Y588" s="551"/>
      <c r="Z588" s="551"/>
      <c r="AA588" s="551"/>
      <c r="AB588" s="551"/>
      <c r="AC588" s="551"/>
      <c r="AD588" s="551"/>
      <c r="AE588" s="551"/>
      <c r="AF588" s="551"/>
      <c r="AG588" s="551"/>
      <c r="AH588" s="551"/>
      <c r="AI588" s="551"/>
      <c r="AJ588" s="551"/>
      <c r="AK588" s="551"/>
      <c r="AL588" s="551"/>
      <c r="AM588" s="551"/>
      <c r="AN588" s="551"/>
      <c r="AO588" s="551"/>
      <c r="AP588" s="551"/>
      <c r="AQ588" s="551"/>
      <c r="AR588" s="551"/>
      <c r="AS588" s="551"/>
      <c r="AT588" s="551"/>
      <c r="AU588" s="551"/>
      <c r="AV588" s="551"/>
      <c r="AW588" s="551"/>
      <c r="AX588" s="551"/>
      <c r="AY588" s="551"/>
      <c r="AZ588" s="551"/>
      <c r="BA588" s="551"/>
      <c r="BB588" s="551"/>
      <c r="BC588" s="551"/>
      <c r="BD588" s="551"/>
      <c r="BE588" s="551"/>
      <c r="BF588" s="551"/>
      <c r="BG588" s="551"/>
      <c r="BH588" s="551"/>
      <c r="BI588" s="551"/>
      <c r="BJ588" s="551"/>
    </row>
    <row r="589" spans="1:62" ht="12.75" customHeight="1">
      <c r="A589" s="551"/>
      <c r="B589" s="551"/>
      <c r="C589" s="551"/>
      <c r="D589" s="551"/>
      <c r="E589" s="551"/>
      <c r="F589" s="551"/>
      <c r="G589" s="551"/>
      <c r="H589" s="551"/>
      <c r="I589" s="551"/>
      <c r="J589" s="551"/>
      <c r="K589" s="551"/>
      <c r="L589" s="551"/>
      <c r="M589" s="551"/>
      <c r="N589" s="551"/>
      <c r="O589" s="551"/>
      <c r="P589" s="551"/>
      <c r="Q589" s="551"/>
      <c r="R589" s="551"/>
      <c r="S589" s="551"/>
      <c r="T589" s="551"/>
      <c r="U589" s="551"/>
      <c r="V589" s="551"/>
      <c r="W589" s="551"/>
      <c r="X589" s="551"/>
      <c r="Y589" s="551"/>
      <c r="Z589" s="551"/>
      <c r="AA589" s="551"/>
      <c r="AB589" s="551"/>
      <c r="AC589" s="551"/>
      <c r="AD589" s="551"/>
      <c r="AE589" s="551"/>
      <c r="AF589" s="551"/>
      <c r="AG589" s="551"/>
      <c r="AH589" s="551"/>
      <c r="AI589" s="551"/>
      <c r="AJ589" s="551"/>
      <c r="AK589" s="551"/>
      <c r="AL589" s="551"/>
      <c r="AM589" s="551"/>
      <c r="AN589" s="551"/>
      <c r="AO589" s="551"/>
      <c r="AP589" s="551"/>
      <c r="AQ589" s="551"/>
      <c r="AR589" s="551"/>
      <c r="AS589" s="551"/>
      <c r="AT589" s="551"/>
      <c r="AU589" s="551"/>
      <c r="AV589" s="551"/>
      <c r="AW589" s="551"/>
      <c r="AX589" s="551"/>
      <c r="AY589" s="551"/>
      <c r="AZ589" s="551"/>
      <c r="BA589" s="551"/>
      <c r="BB589" s="551"/>
      <c r="BC589" s="551"/>
      <c r="BD589" s="551"/>
      <c r="BE589" s="551"/>
      <c r="BF589" s="551"/>
      <c r="BG589" s="551"/>
      <c r="BH589" s="551"/>
      <c r="BI589" s="551"/>
      <c r="BJ589" s="551"/>
    </row>
    <row r="590" spans="1:62" ht="12.75" customHeight="1">
      <c r="A590" s="551"/>
      <c r="B590" s="551"/>
      <c r="C590" s="551"/>
      <c r="D590" s="551"/>
      <c r="E590" s="551"/>
      <c r="F590" s="551"/>
      <c r="G590" s="551"/>
      <c r="H590" s="551"/>
      <c r="I590" s="551"/>
      <c r="J590" s="551"/>
      <c r="K590" s="551"/>
      <c r="L590" s="551"/>
      <c r="M590" s="551"/>
      <c r="N590" s="551"/>
      <c r="O590" s="551"/>
      <c r="P590" s="551"/>
      <c r="Q590" s="551"/>
      <c r="R590" s="551"/>
      <c r="S590" s="551"/>
      <c r="T590" s="551"/>
      <c r="U590" s="551"/>
      <c r="V590" s="551"/>
      <c r="W590" s="551"/>
      <c r="X590" s="551"/>
      <c r="Y590" s="551"/>
      <c r="Z590" s="551"/>
      <c r="AA590" s="551"/>
      <c r="AB590" s="551"/>
      <c r="AC590" s="551"/>
      <c r="AD590" s="551"/>
      <c r="AE590" s="551"/>
      <c r="AF590" s="551"/>
      <c r="AG590" s="551"/>
      <c r="AH590" s="551"/>
      <c r="AI590" s="551"/>
      <c r="AJ590" s="551"/>
      <c r="AK590" s="551"/>
      <c r="AL590" s="551"/>
      <c r="AM590" s="551"/>
      <c r="AN590" s="551"/>
      <c r="AO590" s="551"/>
      <c r="AP590" s="551"/>
      <c r="AQ590" s="551"/>
      <c r="AR590" s="551"/>
      <c r="AS590" s="551"/>
      <c r="AT590" s="551"/>
      <c r="AU590" s="551"/>
      <c r="AV590" s="551"/>
      <c r="AW590" s="551"/>
      <c r="AX590" s="551"/>
      <c r="AY590" s="551"/>
      <c r="AZ590" s="551"/>
      <c r="BA590" s="551"/>
      <c r="BB590" s="551"/>
      <c r="BC590" s="551"/>
      <c r="BD590" s="551"/>
      <c r="BE590" s="551"/>
      <c r="BF590" s="551"/>
      <c r="BG590" s="551"/>
      <c r="BH590" s="551"/>
      <c r="BI590" s="551"/>
      <c r="BJ590" s="551"/>
    </row>
    <row r="591" spans="1:62" ht="12.75" customHeight="1">
      <c r="A591" s="551"/>
      <c r="B591" s="551"/>
      <c r="C591" s="551"/>
      <c r="D591" s="551"/>
      <c r="E591" s="551"/>
      <c r="F591" s="551"/>
      <c r="G591" s="551"/>
      <c r="H591" s="551"/>
      <c r="I591" s="551"/>
      <c r="J591" s="551"/>
      <c r="K591" s="551"/>
      <c r="L591" s="551"/>
      <c r="M591" s="551"/>
      <c r="N591" s="551"/>
      <c r="O591" s="551"/>
      <c r="P591" s="551"/>
      <c r="Q591" s="551"/>
      <c r="R591" s="551"/>
      <c r="S591" s="551"/>
      <c r="T591" s="551"/>
      <c r="U591" s="551"/>
      <c r="V591" s="551"/>
      <c r="W591" s="551"/>
      <c r="X591" s="551"/>
      <c r="Y591" s="551"/>
      <c r="Z591" s="551"/>
      <c r="AA591" s="551"/>
      <c r="AB591" s="551"/>
      <c r="AC591" s="551"/>
      <c r="AD591" s="551"/>
      <c r="AE591" s="551"/>
      <c r="AF591" s="551"/>
      <c r="AG591" s="551"/>
      <c r="AH591" s="551"/>
      <c r="AI591" s="551"/>
      <c r="AJ591" s="551"/>
      <c r="AK591" s="551"/>
      <c r="AL591" s="551"/>
      <c r="AM591" s="551"/>
      <c r="AN591" s="551"/>
      <c r="AO591" s="551"/>
      <c r="AP591" s="551"/>
      <c r="AQ591" s="551"/>
      <c r="AR591" s="551"/>
      <c r="AS591" s="551"/>
      <c r="AT591" s="551"/>
      <c r="AU591" s="551"/>
      <c r="AV591" s="551"/>
      <c r="AW591" s="551"/>
      <c r="AX591" s="551"/>
      <c r="AY591" s="551"/>
      <c r="AZ591" s="551"/>
      <c r="BA591" s="551"/>
      <c r="BB591" s="551"/>
      <c r="BC591" s="551"/>
      <c r="BD591" s="551"/>
      <c r="BE591" s="551"/>
      <c r="BF591" s="551"/>
      <c r="BG591" s="551"/>
      <c r="BH591" s="551"/>
      <c r="BI591" s="551"/>
      <c r="BJ591" s="551"/>
    </row>
    <row r="592" spans="1:62" ht="12.75" customHeight="1">
      <c r="A592" s="551"/>
      <c r="B592" s="551"/>
      <c r="C592" s="551"/>
      <c r="D592" s="551"/>
      <c r="E592" s="551"/>
      <c r="F592" s="551"/>
      <c r="G592" s="551"/>
      <c r="H592" s="551"/>
      <c r="I592" s="551"/>
      <c r="J592" s="551"/>
      <c r="K592" s="551"/>
      <c r="L592" s="551"/>
      <c r="M592" s="551"/>
      <c r="N592" s="551"/>
      <c r="O592" s="551"/>
      <c r="P592" s="551"/>
      <c r="Q592" s="551"/>
      <c r="R592" s="551"/>
      <c r="S592" s="551"/>
      <c r="T592" s="551"/>
      <c r="U592" s="551"/>
      <c r="V592" s="551"/>
      <c r="W592" s="551"/>
      <c r="X592" s="551"/>
      <c r="Y592" s="551"/>
      <c r="Z592" s="551"/>
      <c r="AA592" s="551"/>
      <c r="AB592" s="551"/>
      <c r="AC592" s="551"/>
      <c r="AD592" s="551"/>
      <c r="AE592" s="551"/>
      <c r="AF592" s="551"/>
      <c r="AG592" s="551"/>
      <c r="AH592" s="551"/>
      <c r="AI592" s="551"/>
      <c r="AJ592" s="551"/>
      <c r="AK592" s="551"/>
      <c r="AL592" s="551"/>
      <c r="AM592" s="551"/>
      <c r="AN592" s="551"/>
      <c r="AO592" s="551"/>
      <c r="AP592" s="551"/>
      <c r="AQ592" s="551"/>
      <c r="AR592" s="551"/>
      <c r="AS592" s="551"/>
      <c r="AT592" s="551"/>
      <c r="AU592" s="551"/>
      <c r="AV592" s="551"/>
      <c r="AW592" s="551"/>
      <c r="AX592" s="551"/>
      <c r="AY592" s="551"/>
      <c r="AZ592" s="551"/>
      <c r="BA592" s="551"/>
      <c r="BB592" s="551"/>
      <c r="BC592" s="551"/>
      <c r="BD592" s="551"/>
      <c r="BE592" s="551"/>
      <c r="BF592" s="551"/>
      <c r="BG592" s="551"/>
      <c r="BH592" s="551"/>
      <c r="BI592" s="551"/>
      <c r="BJ592" s="551"/>
    </row>
    <row r="593" spans="1:62" ht="12.75" customHeight="1">
      <c r="A593" s="551"/>
      <c r="B593" s="551"/>
      <c r="C593" s="551"/>
      <c r="D593" s="551"/>
      <c r="E593" s="551"/>
      <c r="F593" s="551"/>
      <c r="G593" s="551"/>
      <c r="H593" s="551"/>
      <c r="I593" s="551"/>
      <c r="J593" s="551"/>
      <c r="K593" s="551"/>
      <c r="L593" s="551"/>
      <c r="M593" s="551"/>
      <c r="N593" s="551"/>
      <c r="O593" s="551"/>
      <c r="P593" s="551"/>
      <c r="Q593" s="551"/>
      <c r="R593" s="551"/>
      <c r="S593" s="551"/>
      <c r="T593" s="551"/>
      <c r="U593" s="551"/>
      <c r="V593" s="551"/>
      <c r="W593" s="551"/>
      <c r="X593" s="551"/>
      <c r="Y593" s="551"/>
      <c r="Z593" s="551"/>
      <c r="AA593" s="551"/>
      <c r="AB593" s="551"/>
      <c r="AC593" s="551"/>
      <c r="AD593" s="551"/>
      <c r="AE593" s="551"/>
      <c r="AF593" s="551"/>
      <c r="AG593" s="551"/>
      <c r="AH593" s="551"/>
      <c r="AI593" s="551"/>
      <c r="AJ593" s="551"/>
      <c r="AK593" s="551"/>
      <c r="AL593" s="551"/>
      <c r="AM593" s="551"/>
      <c r="AN593" s="551"/>
      <c r="AO593" s="551"/>
      <c r="AP593" s="551"/>
      <c r="AQ593" s="551"/>
      <c r="AR593" s="551"/>
      <c r="AS593" s="551"/>
      <c r="AT593" s="551"/>
      <c r="AU593" s="551"/>
      <c r="AV593" s="551"/>
      <c r="AW593" s="551"/>
      <c r="AX593" s="551"/>
      <c r="AY593" s="551"/>
      <c r="AZ593" s="551"/>
      <c r="BA593" s="551"/>
      <c r="BB593" s="551"/>
      <c r="BC593" s="551"/>
      <c r="BD593" s="551"/>
      <c r="BE593" s="551"/>
      <c r="BF593" s="551"/>
      <c r="BG593" s="551"/>
      <c r="BH593" s="551"/>
      <c r="BI593" s="551"/>
      <c r="BJ593" s="551"/>
    </row>
    <row r="594" spans="1:62" ht="12.75" customHeight="1">
      <c r="A594" s="551"/>
      <c r="B594" s="551"/>
      <c r="C594" s="551"/>
      <c r="D594" s="551"/>
      <c r="E594" s="551"/>
      <c r="F594" s="551"/>
      <c r="G594" s="551"/>
      <c r="H594" s="551"/>
      <c r="I594" s="551"/>
      <c r="J594" s="551"/>
      <c r="K594" s="551"/>
      <c r="L594" s="551"/>
      <c r="M594" s="551"/>
      <c r="N594" s="551"/>
      <c r="O594" s="551"/>
      <c r="P594" s="551"/>
      <c r="Q594" s="551"/>
      <c r="R594" s="551"/>
      <c r="S594" s="551"/>
      <c r="T594" s="551"/>
      <c r="U594" s="551"/>
      <c r="V594" s="551"/>
      <c r="W594" s="551"/>
      <c r="X594" s="551"/>
      <c r="Y594" s="551"/>
      <c r="Z594" s="551"/>
      <c r="AA594" s="551"/>
      <c r="AB594" s="551"/>
      <c r="AC594" s="551"/>
      <c r="AD594" s="551"/>
      <c r="AE594" s="551"/>
      <c r="AF594" s="551"/>
      <c r="AG594" s="551"/>
      <c r="AH594" s="551"/>
      <c r="AI594" s="551"/>
      <c r="AJ594" s="551"/>
      <c r="AK594" s="551"/>
      <c r="AL594" s="551"/>
      <c r="AM594" s="551"/>
      <c r="AN594" s="551"/>
      <c r="AO594" s="551"/>
      <c r="AP594" s="551"/>
      <c r="AQ594" s="551"/>
      <c r="AR594" s="551"/>
      <c r="AS594" s="551"/>
      <c r="AT594" s="551"/>
      <c r="AU594" s="551"/>
      <c r="AV594" s="551"/>
      <c r="AW594" s="551"/>
      <c r="AX594" s="551"/>
      <c r="AY594" s="551"/>
      <c r="AZ594" s="551"/>
      <c r="BA594" s="551"/>
      <c r="BB594" s="551"/>
      <c r="BC594" s="551"/>
      <c r="BD594" s="551"/>
      <c r="BE594" s="551"/>
      <c r="BF594" s="551"/>
      <c r="BG594" s="551"/>
      <c r="BH594" s="551"/>
      <c r="BI594" s="551"/>
      <c r="BJ594" s="551"/>
    </row>
    <row r="595" spans="1:62" ht="12.75" customHeight="1">
      <c r="A595" s="551"/>
      <c r="B595" s="551"/>
      <c r="C595" s="551"/>
      <c r="D595" s="551"/>
      <c r="E595" s="551"/>
      <c r="F595" s="551"/>
      <c r="G595" s="551"/>
      <c r="H595" s="551"/>
      <c r="I595" s="551"/>
      <c r="J595" s="551"/>
      <c r="K595" s="551"/>
      <c r="L595" s="551"/>
      <c r="M595" s="551"/>
      <c r="N595" s="551"/>
      <c r="O595" s="551"/>
      <c r="P595" s="551"/>
      <c r="Q595" s="551"/>
      <c r="R595" s="551"/>
      <c r="S595" s="551"/>
      <c r="T595" s="551"/>
      <c r="U595" s="551"/>
      <c r="V595" s="551"/>
      <c r="W595" s="551"/>
      <c r="X595" s="551"/>
      <c r="Y595" s="551"/>
      <c r="Z595" s="551"/>
      <c r="AA595" s="551"/>
      <c r="AB595" s="551"/>
      <c r="AC595" s="551"/>
      <c r="AD595" s="551"/>
      <c r="AE595" s="551"/>
      <c r="AF595" s="551"/>
      <c r="AG595" s="551"/>
      <c r="AH595" s="551"/>
      <c r="AI595" s="551"/>
      <c r="AJ595" s="551"/>
      <c r="AK595" s="551"/>
      <c r="AL595" s="551"/>
      <c r="AM595" s="551"/>
      <c r="AN595" s="551"/>
      <c r="AO595" s="551"/>
      <c r="AP595" s="551"/>
      <c r="AQ595" s="551"/>
      <c r="AR595" s="551"/>
      <c r="AS595" s="551"/>
      <c r="AT595" s="551"/>
      <c r="AU595" s="551"/>
      <c r="AV595" s="551"/>
      <c r="AW595" s="551"/>
      <c r="AX595" s="551"/>
      <c r="AY595" s="551"/>
      <c r="AZ595" s="551"/>
      <c r="BA595" s="551"/>
      <c r="BB595" s="551"/>
      <c r="BC595" s="551"/>
      <c r="BD595" s="551"/>
      <c r="BE595" s="551"/>
      <c r="BF595" s="551"/>
      <c r="BG595" s="551"/>
      <c r="BH595" s="551"/>
      <c r="BI595" s="551"/>
      <c r="BJ595" s="551"/>
    </row>
    <row r="596" spans="1:62" ht="12.75" customHeight="1">
      <c r="A596" s="551"/>
      <c r="B596" s="551"/>
      <c r="C596" s="551"/>
      <c r="D596" s="551"/>
      <c r="E596" s="551"/>
      <c r="F596" s="551"/>
      <c r="G596" s="551"/>
      <c r="H596" s="551"/>
      <c r="I596" s="551"/>
      <c r="J596" s="551"/>
      <c r="K596" s="551"/>
      <c r="L596" s="551"/>
      <c r="M596" s="551"/>
      <c r="N596" s="551"/>
      <c r="O596" s="551"/>
      <c r="P596" s="551"/>
      <c r="Q596" s="551"/>
      <c r="R596" s="551"/>
      <c r="S596" s="551"/>
      <c r="T596" s="551"/>
      <c r="U596" s="551"/>
      <c r="V596" s="551"/>
      <c r="W596" s="551"/>
      <c r="X596" s="551"/>
      <c r="Y596" s="551"/>
      <c r="Z596" s="551"/>
      <c r="AA596" s="551"/>
      <c r="AB596" s="551"/>
      <c r="AC596" s="551"/>
      <c r="AD596" s="551"/>
      <c r="AE596" s="551"/>
      <c r="AF596" s="551"/>
      <c r="AG596" s="551"/>
      <c r="AH596" s="551"/>
      <c r="AI596" s="551"/>
      <c r="AJ596" s="551"/>
      <c r="AK596" s="551"/>
      <c r="AL596" s="551"/>
      <c r="AM596" s="551"/>
      <c r="AN596" s="551"/>
      <c r="AO596" s="551"/>
      <c r="AP596" s="551"/>
      <c r="AQ596" s="551"/>
      <c r="AR596" s="551"/>
      <c r="AS596" s="551"/>
      <c r="AT596" s="551"/>
      <c r="AU596" s="551"/>
      <c r="AV596" s="551"/>
      <c r="AW596" s="551"/>
      <c r="AX596" s="551"/>
      <c r="AY596" s="551"/>
      <c r="AZ596" s="551"/>
      <c r="BA596" s="551"/>
      <c r="BB596" s="551"/>
      <c r="BC596" s="551"/>
      <c r="BD596" s="551"/>
      <c r="BE596" s="551"/>
      <c r="BF596" s="551"/>
      <c r="BG596" s="551"/>
      <c r="BH596" s="551"/>
      <c r="BI596" s="551"/>
      <c r="BJ596" s="551"/>
    </row>
    <row r="597" spans="1:62" ht="12.75" customHeight="1">
      <c r="A597" s="551"/>
      <c r="B597" s="551"/>
      <c r="C597" s="551"/>
      <c r="D597" s="551"/>
      <c r="E597" s="551"/>
      <c r="F597" s="551"/>
      <c r="G597" s="551"/>
      <c r="H597" s="551"/>
      <c r="I597" s="551"/>
      <c r="J597" s="551"/>
      <c r="K597" s="551"/>
      <c r="L597" s="551"/>
      <c r="M597" s="551"/>
      <c r="N597" s="551"/>
      <c r="O597" s="551"/>
      <c r="P597" s="551"/>
      <c r="Q597" s="551"/>
      <c r="R597" s="551"/>
      <c r="S597" s="551"/>
      <c r="T597" s="551"/>
      <c r="U597" s="551"/>
      <c r="V597" s="551"/>
      <c r="W597" s="551"/>
      <c r="X597" s="551"/>
      <c r="Y597" s="551"/>
      <c r="Z597" s="551"/>
      <c r="AA597" s="551"/>
      <c r="AB597" s="551"/>
      <c r="AC597" s="551"/>
      <c r="AD597" s="551"/>
      <c r="AE597" s="551"/>
      <c r="AF597" s="551"/>
      <c r="AG597" s="551"/>
      <c r="AH597" s="551"/>
      <c r="AI597" s="551"/>
      <c r="AJ597" s="551"/>
      <c r="AK597" s="551"/>
      <c r="AL597" s="551"/>
      <c r="AM597" s="551"/>
      <c r="AN597" s="551"/>
      <c r="AO597" s="551"/>
      <c r="AP597" s="551"/>
      <c r="AQ597" s="551"/>
      <c r="AR597" s="551"/>
      <c r="AS597" s="551"/>
      <c r="AT597" s="551"/>
      <c r="AU597" s="551"/>
      <c r="AV597" s="551"/>
      <c r="AW597" s="551"/>
      <c r="AX597" s="551"/>
      <c r="AY597" s="551"/>
      <c r="AZ597" s="551"/>
      <c r="BA597" s="551"/>
      <c r="BB597" s="551"/>
      <c r="BC597" s="551"/>
      <c r="BD597" s="551"/>
      <c r="BE597" s="551"/>
      <c r="BF597" s="551"/>
      <c r="BG597" s="551"/>
      <c r="BH597" s="551"/>
      <c r="BI597" s="551"/>
      <c r="BJ597" s="551"/>
    </row>
    <row r="598" spans="1:62" ht="12.75" customHeight="1">
      <c r="A598" s="551"/>
      <c r="B598" s="551"/>
      <c r="C598" s="551"/>
      <c r="D598" s="551"/>
      <c r="E598" s="551"/>
      <c r="F598" s="551"/>
      <c r="G598" s="551"/>
      <c r="H598" s="551"/>
      <c r="I598" s="551"/>
      <c r="J598" s="551"/>
      <c r="K598" s="551"/>
      <c r="L598" s="551"/>
      <c r="M598" s="551"/>
      <c r="N598" s="551"/>
      <c r="O598" s="551"/>
      <c r="P598" s="551"/>
      <c r="Q598" s="551"/>
      <c r="R598" s="551"/>
      <c r="S598" s="551"/>
      <c r="T598" s="551"/>
      <c r="U598" s="551"/>
      <c r="V598" s="551"/>
      <c r="W598" s="551"/>
      <c r="X598" s="551"/>
      <c r="Y598" s="551"/>
      <c r="Z598" s="551"/>
      <c r="AA598" s="551"/>
      <c r="AB598" s="551"/>
      <c r="AC598" s="551"/>
      <c r="AD598" s="551"/>
      <c r="AE598" s="551"/>
      <c r="AF598" s="551"/>
      <c r="AG598" s="551"/>
      <c r="AH598" s="551"/>
      <c r="AI598" s="551"/>
      <c r="AJ598" s="551"/>
      <c r="AK598" s="551"/>
      <c r="AL598" s="551"/>
      <c r="AM598" s="551"/>
      <c r="AN598" s="551"/>
      <c r="AO598" s="551"/>
      <c r="AP598" s="551"/>
      <c r="AQ598" s="551"/>
      <c r="AR598" s="551"/>
      <c r="AS598" s="551"/>
      <c r="AT598" s="551"/>
      <c r="AU598" s="551"/>
      <c r="AV598" s="551"/>
      <c r="AW598" s="551"/>
      <c r="AX598" s="551"/>
      <c r="AY598" s="551"/>
      <c r="AZ598" s="551"/>
      <c r="BA598" s="551"/>
      <c r="BB598" s="551"/>
      <c r="BC598" s="551"/>
      <c r="BD598" s="551"/>
      <c r="BE598" s="551"/>
      <c r="BF598" s="551"/>
      <c r="BG598" s="551"/>
      <c r="BH598" s="551"/>
      <c r="BI598" s="551"/>
      <c r="BJ598" s="551"/>
    </row>
    <row r="599" spans="1:62" ht="12.75" customHeight="1">
      <c r="A599" s="551"/>
      <c r="B599" s="551"/>
      <c r="C599" s="551"/>
      <c r="D599" s="551"/>
      <c r="E599" s="551"/>
      <c r="F599" s="551"/>
      <c r="G599" s="551"/>
      <c r="H599" s="551"/>
      <c r="I599" s="551"/>
      <c r="J599" s="551"/>
      <c r="K599" s="551"/>
      <c r="L599" s="551"/>
      <c r="M599" s="551"/>
      <c r="N599" s="551"/>
      <c r="O599" s="551"/>
      <c r="P599" s="551"/>
      <c r="Q599" s="551"/>
      <c r="R599" s="551"/>
      <c r="S599" s="551"/>
      <c r="T599" s="551"/>
      <c r="U599" s="551"/>
      <c r="V599" s="551"/>
      <c r="W599" s="551"/>
      <c r="X599" s="551"/>
      <c r="Y599" s="551"/>
      <c r="Z599" s="551"/>
      <c r="AA599" s="551"/>
      <c r="AB599" s="551"/>
      <c r="AC599" s="551"/>
      <c r="AD599" s="551"/>
      <c r="AE599" s="551"/>
      <c r="AF599" s="551"/>
      <c r="AG599" s="551"/>
      <c r="AH599" s="551"/>
      <c r="AI599" s="551"/>
      <c r="AJ599" s="551"/>
      <c r="AK599" s="551"/>
      <c r="AL599" s="551"/>
      <c r="AM599" s="551"/>
      <c r="AN599" s="551"/>
      <c r="AO599" s="551"/>
      <c r="AP599" s="551"/>
      <c r="AQ599" s="551"/>
      <c r="AR599" s="551"/>
      <c r="AS599" s="551"/>
      <c r="AT599" s="551"/>
      <c r="AU599" s="551"/>
      <c r="AV599" s="551"/>
      <c r="AW599" s="551"/>
      <c r="AX599" s="551"/>
      <c r="AY599" s="551"/>
      <c r="AZ599" s="551"/>
      <c r="BA599" s="551"/>
      <c r="BB599" s="551"/>
      <c r="BC599" s="551"/>
      <c r="BD599" s="551"/>
      <c r="BE599" s="551"/>
      <c r="BF599" s="551"/>
      <c r="BG599" s="551"/>
      <c r="BH599" s="551"/>
      <c r="BI599" s="551"/>
      <c r="BJ599" s="551"/>
    </row>
    <row r="600" spans="1:62" ht="12.75" customHeight="1">
      <c r="A600" s="551"/>
      <c r="B600" s="551"/>
      <c r="C600" s="551"/>
      <c r="D600" s="551"/>
      <c r="E600" s="551"/>
      <c r="F600" s="551"/>
      <c r="G600" s="551"/>
      <c r="H600" s="551"/>
      <c r="I600" s="551"/>
      <c r="J600" s="551"/>
      <c r="K600" s="551"/>
      <c r="L600" s="551"/>
      <c r="M600" s="551"/>
      <c r="N600" s="551"/>
      <c r="O600" s="551"/>
      <c r="P600" s="551"/>
      <c r="Q600" s="551"/>
      <c r="R600" s="551"/>
      <c r="S600" s="551"/>
      <c r="T600" s="551"/>
      <c r="U600" s="551"/>
      <c r="V600" s="551"/>
      <c r="W600" s="551"/>
      <c r="X600" s="551"/>
      <c r="Y600" s="551"/>
      <c r="Z600" s="551"/>
      <c r="AA600" s="551"/>
      <c r="AB600" s="551"/>
      <c r="AC600" s="551"/>
      <c r="AD600" s="551"/>
      <c r="AE600" s="551"/>
      <c r="AF600" s="551"/>
      <c r="AG600" s="551"/>
      <c r="AH600" s="551"/>
      <c r="AI600" s="551"/>
      <c r="AJ600" s="551"/>
      <c r="AK600" s="551"/>
      <c r="AL600" s="551"/>
      <c r="AM600" s="551"/>
      <c r="AN600" s="551"/>
      <c r="AO600" s="551"/>
      <c r="AP600" s="551"/>
      <c r="AQ600" s="551"/>
      <c r="AR600" s="551"/>
      <c r="AS600" s="551"/>
      <c r="AT600" s="551"/>
      <c r="AU600" s="551"/>
      <c r="AV600" s="551"/>
      <c r="AW600" s="551"/>
      <c r="AX600" s="551"/>
      <c r="AY600" s="551"/>
      <c r="AZ600" s="551"/>
      <c r="BA600" s="551"/>
      <c r="BB600" s="551"/>
      <c r="BC600" s="551"/>
      <c r="BD600" s="551"/>
      <c r="BE600" s="551"/>
      <c r="BF600" s="551"/>
      <c r="BG600" s="551"/>
      <c r="BH600" s="551"/>
      <c r="BI600" s="551"/>
      <c r="BJ600" s="551"/>
    </row>
    <row r="601" spans="1:62" ht="12.75" customHeight="1">
      <c r="A601" s="551"/>
      <c r="B601" s="551"/>
      <c r="C601" s="551"/>
      <c r="D601" s="551"/>
      <c r="E601" s="551"/>
      <c r="F601" s="551"/>
      <c r="G601" s="551"/>
      <c r="H601" s="551"/>
      <c r="I601" s="551"/>
      <c r="J601" s="551"/>
      <c r="K601" s="551"/>
      <c r="L601" s="551"/>
      <c r="M601" s="551"/>
      <c r="N601" s="551"/>
      <c r="O601" s="551"/>
      <c r="P601" s="551"/>
      <c r="Q601" s="551"/>
      <c r="R601" s="551"/>
      <c r="S601" s="551"/>
      <c r="T601" s="551"/>
      <c r="U601" s="551"/>
      <c r="V601" s="551"/>
      <c r="W601" s="551"/>
      <c r="X601" s="551"/>
      <c r="Y601" s="551"/>
      <c r="Z601" s="551"/>
      <c r="AA601" s="551"/>
      <c r="AB601" s="551"/>
      <c r="AC601" s="551"/>
      <c r="AD601" s="551"/>
      <c r="AE601" s="551"/>
      <c r="AF601" s="551"/>
      <c r="AG601" s="551"/>
      <c r="AH601" s="551"/>
      <c r="AI601" s="551"/>
      <c r="AJ601" s="551"/>
      <c r="AK601" s="551"/>
      <c r="AL601" s="551"/>
      <c r="AM601" s="551"/>
      <c r="AN601" s="551"/>
      <c r="AO601" s="551"/>
      <c r="AP601" s="551"/>
      <c r="AQ601" s="551"/>
      <c r="AR601" s="551"/>
      <c r="AS601" s="551"/>
      <c r="AT601" s="551"/>
      <c r="AU601" s="551"/>
      <c r="AV601" s="551"/>
      <c r="AW601" s="551"/>
      <c r="AX601" s="551"/>
      <c r="AY601" s="551"/>
      <c r="AZ601" s="551"/>
      <c r="BA601" s="551"/>
      <c r="BB601" s="551"/>
      <c r="BC601" s="551"/>
      <c r="BD601" s="551"/>
      <c r="BE601" s="551"/>
      <c r="BF601" s="551"/>
      <c r="BG601" s="551"/>
      <c r="BH601" s="551"/>
      <c r="BI601" s="551"/>
      <c r="BJ601" s="551"/>
    </row>
    <row r="602" spans="1:62" ht="12.75" customHeight="1">
      <c r="A602" s="551"/>
      <c r="B602" s="551"/>
      <c r="C602" s="551"/>
      <c r="D602" s="551"/>
      <c r="E602" s="551"/>
      <c r="F602" s="551"/>
      <c r="G602" s="551"/>
      <c r="H602" s="551"/>
      <c r="I602" s="551"/>
      <c r="J602" s="551"/>
      <c r="K602" s="551"/>
      <c r="L602" s="551"/>
      <c r="M602" s="551"/>
      <c r="N602" s="551"/>
      <c r="O602" s="551"/>
      <c r="P602" s="551"/>
      <c r="Q602" s="551"/>
      <c r="R602" s="551"/>
      <c r="S602" s="551"/>
      <c r="T602" s="551"/>
      <c r="U602" s="551"/>
      <c r="V602" s="551"/>
      <c r="W602" s="551"/>
      <c r="X602" s="551"/>
      <c r="Y602" s="551"/>
      <c r="Z602" s="551"/>
      <c r="AA602" s="551"/>
      <c r="AB602" s="551"/>
      <c r="AC602" s="551"/>
      <c r="AD602" s="551"/>
      <c r="AE602" s="551"/>
      <c r="AF602" s="551"/>
      <c r="AG602" s="551"/>
      <c r="AH602" s="551"/>
      <c r="AI602" s="551"/>
      <c r="AJ602" s="551"/>
      <c r="AK602" s="551"/>
      <c r="AL602" s="551"/>
      <c r="AM602" s="551"/>
      <c r="AN602" s="551"/>
      <c r="AO602" s="551"/>
      <c r="AP602" s="551"/>
      <c r="AQ602" s="551"/>
      <c r="AR602" s="551"/>
      <c r="AS602" s="551"/>
      <c r="AT602" s="551"/>
      <c r="AU602" s="551"/>
      <c r="AV602" s="551"/>
      <c r="AW602" s="551"/>
      <c r="AX602" s="551"/>
      <c r="AY602" s="551"/>
      <c r="AZ602" s="551"/>
      <c r="BA602" s="551"/>
      <c r="BB602" s="551"/>
      <c r="BC602" s="551"/>
      <c r="BD602" s="551"/>
      <c r="BE602" s="551"/>
      <c r="BF602" s="551"/>
      <c r="BG602" s="551"/>
      <c r="BH602" s="551"/>
      <c r="BI602" s="551"/>
      <c r="BJ602" s="551"/>
    </row>
    <row r="603" spans="1:62" ht="12.75" customHeight="1">
      <c r="A603" s="551"/>
      <c r="B603" s="551"/>
      <c r="C603" s="551"/>
      <c r="D603" s="551"/>
      <c r="E603" s="551"/>
      <c r="F603" s="551"/>
      <c r="G603" s="551"/>
      <c r="H603" s="551"/>
      <c r="I603" s="551"/>
      <c r="J603" s="551"/>
      <c r="K603" s="551"/>
      <c r="L603" s="551"/>
      <c r="M603" s="551"/>
      <c r="N603" s="551"/>
      <c r="O603" s="551"/>
      <c r="P603" s="551"/>
      <c r="Q603" s="551"/>
      <c r="R603" s="551"/>
      <c r="S603" s="551"/>
      <c r="T603" s="551"/>
      <c r="U603" s="551"/>
      <c r="V603" s="551"/>
      <c r="W603" s="551"/>
      <c r="X603" s="551"/>
      <c r="Y603" s="551"/>
      <c r="Z603" s="551"/>
      <c r="AA603" s="551"/>
      <c r="AB603" s="551"/>
      <c r="AC603" s="551"/>
      <c r="AD603" s="551"/>
      <c r="AE603" s="551"/>
      <c r="AF603" s="551"/>
      <c r="AG603" s="551"/>
      <c r="AH603" s="551"/>
      <c r="AI603" s="551"/>
      <c r="AJ603" s="551"/>
      <c r="AK603" s="551"/>
      <c r="AL603" s="551"/>
      <c r="AM603" s="551"/>
      <c r="AN603" s="551"/>
      <c r="AO603" s="551"/>
      <c r="AP603" s="551"/>
      <c r="AQ603" s="551"/>
      <c r="AR603" s="551"/>
      <c r="AS603" s="551"/>
      <c r="AT603" s="551"/>
      <c r="AU603" s="551"/>
      <c r="AV603" s="551"/>
      <c r="AW603" s="551"/>
      <c r="AX603" s="551"/>
      <c r="AY603" s="551"/>
      <c r="AZ603" s="551"/>
      <c r="BA603" s="551"/>
      <c r="BB603" s="551"/>
      <c r="BC603" s="551"/>
      <c r="BD603" s="551"/>
      <c r="BE603" s="551"/>
      <c r="BF603" s="551"/>
      <c r="BG603" s="551"/>
      <c r="BH603" s="551"/>
      <c r="BI603" s="551"/>
      <c r="BJ603" s="551"/>
    </row>
    <row r="604" spans="1:62" ht="12.75" customHeight="1">
      <c r="A604" s="551"/>
      <c r="B604" s="551"/>
      <c r="C604" s="551"/>
      <c r="D604" s="551"/>
      <c r="E604" s="551"/>
      <c r="F604" s="551"/>
      <c r="G604" s="551"/>
      <c r="H604" s="551"/>
      <c r="I604" s="551"/>
      <c r="J604" s="551"/>
      <c r="K604" s="551"/>
      <c r="L604" s="551"/>
      <c r="M604" s="551"/>
      <c r="N604" s="551"/>
      <c r="O604" s="551"/>
      <c r="P604" s="551"/>
      <c r="Q604" s="551"/>
      <c r="R604" s="551"/>
      <c r="S604" s="551"/>
      <c r="T604" s="551"/>
      <c r="U604" s="551"/>
      <c r="V604" s="551"/>
      <c r="W604" s="551"/>
      <c r="X604" s="551"/>
      <c r="Y604" s="551"/>
      <c r="Z604" s="551"/>
      <c r="AA604" s="551"/>
      <c r="AB604" s="551"/>
      <c r="AC604" s="551"/>
      <c r="AD604" s="551"/>
      <c r="AE604" s="551"/>
      <c r="AF604" s="551"/>
      <c r="AG604" s="551"/>
      <c r="AH604" s="551"/>
      <c r="AI604" s="551"/>
      <c r="AJ604" s="551"/>
      <c r="AK604" s="551"/>
      <c r="AL604" s="551"/>
      <c r="AM604" s="551"/>
      <c r="AN604" s="551"/>
      <c r="AO604" s="551"/>
      <c r="AP604" s="551"/>
      <c r="AQ604" s="551"/>
      <c r="AR604" s="551"/>
      <c r="AS604" s="551"/>
      <c r="AT604" s="551"/>
      <c r="AU604" s="551"/>
      <c r="AV604" s="551"/>
      <c r="AW604" s="551"/>
      <c r="AX604" s="551"/>
      <c r="AY604" s="551"/>
      <c r="AZ604" s="551"/>
      <c r="BA604" s="551"/>
      <c r="BB604" s="551"/>
      <c r="BC604" s="551"/>
      <c r="BD604" s="551"/>
      <c r="BE604" s="551"/>
      <c r="BF604" s="551"/>
      <c r="BG604" s="551"/>
      <c r="BH604" s="551"/>
      <c r="BI604" s="551"/>
      <c r="BJ604" s="551"/>
    </row>
    <row r="605" spans="1:62" ht="12.75" customHeight="1">
      <c r="A605" s="551"/>
      <c r="B605" s="551"/>
      <c r="C605" s="551"/>
      <c r="D605" s="551"/>
      <c r="E605" s="551"/>
      <c r="F605" s="551"/>
      <c r="G605" s="551"/>
      <c r="H605" s="551"/>
      <c r="I605" s="551"/>
      <c r="J605" s="551"/>
      <c r="K605" s="551"/>
      <c r="L605" s="551"/>
      <c r="M605" s="551"/>
      <c r="N605" s="551"/>
      <c r="O605" s="551"/>
      <c r="P605" s="551"/>
      <c r="Q605" s="551"/>
      <c r="R605" s="551"/>
      <c r="S605" s="551"/>
      <c r="T605" s="551"/>
      <c r="U605" s="551"/>
      <c r="V605" s="551"/>
      <c r="W605" s="551"/>
      <c r="X605" s="551"/>
      <c r="Y605" s="551"/>
      <c r="Z605" s="551"/>
      <c r="AA605" s="551"/>
      <c r="AB605" s="551"/>
      <c r="AC605" s="551"/>
      <c r="AD605" s="551"/>
      <c r="AE605" s="551"/>
      <c r="AF605" s="551"/>
      <c r="AG605" s="551"/>
      <c r="AH605" s="551"/>
      <c r="AI605" s="551"/>
      <c r="AJ605" s="551"/>
      <c r="AK605" s="551"/>
      <c r="AL605" s="551"/>
      <c r="AM605" s="551"/>
      <c r="AN605" s="551"/>
      <c r="AO605" s="551"/>
      <c r="AP605" s="551"/>
      <c r="AQ605" s="551"/>
      <c r="AR605" s="551"/>
      <c r="AS605" s="551"/>
      <c r="AT605" s="551"/>
      <c r="AU605" s="551"/>
      <c r="AV605" s="551"/>
      <c r="AW605" s="551"/>
      <c r="AX605" s="551"/>
      <c r="AY605" s="551"/>
      <c r="AZ605" s="551"/>
      <c r="BA605" s="551"/>
      <c r="BB605" s="551"/>
      <c r="BC605" s="551"/>
      <c r="BD605" s="551"/>
      <c r="BE605" s="551"/>
      <c r="BF605" s="551"/>
      <c r="BG605" s="551"/>
      <c r="BH605" s="551"/>
      <c r="BI605" s="551"/>
      <c r="BJ605" s="551"/>
    </row>
    <row r="606" spans="1:62" ht="12.75" customHeight="1">
      <c r="A606" s="551"/>
      <c r="B606" s="551"/>
      <c r="C606" s="551"/>
      <c r="D606" s="551"/>
      <c r="E606" s="551"/>
      <c r="F606" s="551"/>
      <c r="G606" s="551"/>
      <c r="H606" s="551"/>
      <c r="I606" s="551"/>
      <c r="J606" s="551"/>
      <c r="K606" s="551"/>
      <c r="L606" s="551"/>
      <c r="M606" s="551"/>
      <c r="N606" s="551"/>
      <c r="O606" s="551"/>
      <c r="P606" s="551"/>
      <c r="Q606" s="551"/>
      <c r="R606" s="551"/>
      <c r="S606" s="551"/>
      <c r="T606" s="551"/>
      <c r="U606" s="551"/>
      <c r="V606" s="551"/>
      <c r="W606" s="551"/>
      <c r="X606" s="551"/>
      <c r="Y606" s="551"/>
      <c r="Z606" s="551"/>
      <c r="AA606" s="551"/>
      <c r="AB606" s="551"/>
      <c r="AC606" s="551"/>
      <c r="AD606" s="551"/>
      <c r="AE606" s="551"/>
      <c r="AF606" s="551"/>
      <c r="AG606" s="551"/>
      <c r="AH606" s="551"/>
      <c r="AI606" s="551"/>
      <c r="AJ606" s="551"/>
      <c r="AK606" s="551"/>
      <c r="AL606" s="551"/>
      <c r="AM606" s="551"/>
      <c r="AN606" s="551"/>
      <c r="AO606" s="551"/>
      <c r="AP606" s="551"/>
      <c r="AQ606" s="551"/>
      <c r="AR606" s="551"/>
      <c r="AS606" s="551"/>
      <c r="AT606" s="551"/>
      <c r="AU606" s="551"/>
      <c r="AV606" s="551"/>
      <c r="AW606" s="551"/>
      <c r="AX606" s="551"/>
      <c r="AY606" s="551"/>
      <c r="AZ606" s="551"/>
      <c r="BA606" s="551"/>
      <c r="BB606" s="551"/>
      <c r="BC606" s="551"/>
      <c r="BD606" s="551"/>
      <c r="BE606" s="551"/>
      <c r="BF606" s="551"/>
      <c r="BG606" s="551"/>
      <c r="BH606" s="551"/>
      <c r="BI606" s="551"/>
      <c r="BJ606" s="551"/>
    </row>
    <row r="607" spans="1:62" ht="12.75" customHeight="1">
      <c r="A607" s="551"/>
      <c r="B607" s="551"/>
      <c r="C607" s="551"/>
      <c r="D607" s="551"/>
      <c r="E607" s="551"/>
      <c r="F607" s="551"/>
      <c r="G607" s="551"/>
      <c r="H607" s="551"/>
      <c r="I607" s="551"/>
      <c r="J607" s="551"/>
      <c r="K607" s="551"/>
      <c r="L607" s="551"/>
      <c r="M607" s="551"/>
      <c r="N607" s="551"/>
      <c r="O607" s="551"/>
      <c r="P607" s="551"/>
      <c r="Q607" s="551"/>
      <c r="R607" s="551"/>
      <c r="S607" s="551"/>
      <c r="T607" s="551"/>
      <c r="U607" s="551"/>
      <c r="V607" s="551"/>
      <c r="W607" s="551"/>
      <c r="X607" s="551"/>
      <c r="Y607" s="551"/>
      <c r="Z607" s="551"/>
      <c r="AA607" s="551"/>
      <c r="AB607" s="551"/>
      <c r="AC607" s="551"/>
      <c r="AD607" s="551"/>
      <c r="AE607" s="551"/>
      <c r="AF607" s="551"/>
      <c r="AG607" s="551"/>
      <c r="AH607" s="551"/>
      <c r="AI607" s="551"/>
      <c r="AJ607" s="551"/>
      <c r="AK607" s="551"/>
      <c r="AL607" s="551"/>
      <c r="AM607" s="551"/>
      <c r="AN607" s="551"/>
      <c r="AO607" s="551"/>
      <c r="AP607" s="551"/>
      <c r="AQ607" s="551"/>
      <c r="AR607" s="551"/>
      <c r="AS607" s="551"/>
      <c r="AT607" s="551"/>
      <c r="AU607" s="551"/>
      <c r="AV607" s="551"/>
      <c r="AW607" s="551"/>
      <c r="AX607" s="551"/>
      <c r="AY607" s="551"/>
      <c r="AZ607" s="551"/>
      <c r="BA607" s="551"/>
      <c r="BB607" s="551"/>
      <c r="BC607" s="551"/>
      <c r="BD607" s="551"/>
      <c r="BE607" s="551"/>
      <c r="BF607" s="551"/>
      <c r="BG607" s="551"/>
      <c r="BH607" s="551"/>
      <c r="BI607" s="551"/>
      <c r="BJ607" s="551"/>
    </row>
    <row r="608" spans="1:62" ht="12.75" customHeight="1">
      <c r="A608" s="551"/>
      <c r="B608" s="551"/>
      <c r="C608" s="551"/>
      <c r="D608" s="551"/>
      <c r="E608" s="551"/>
      <c r="F608" s="551"/>
      <c r="G608" s="551"/>
      <c r="H608" s="551"/>
      <c r="I608" s="551"/>
      <c r="J608" s="551"/>
      <c r="K608" s="551"/>
      <c r="L608" s="551"/>
      <c r="M608" s="551"/>
      <c r="N608" s="551"/>
      <c r="O608" s="551"/>
      <c r="P608" s="551"/>
      <c r="Q608" s="551"/>
      <c r="R608" s="551"/>
      <c r="S608" s="551"/>
      <c r="T608" s="551"/>
      <c r="U608" s="551"/>
      <c r="V608" s="551"/>
      <c r="W608" s="551"/>
      <c r="X608" s="551"/>
      <c r="Y608" s="551"/>
      <c r="Z608" s="551"/>
      <c r="AA608" s="551"/>
      <c r="AB608" s="551"/>
      <c r="AC608" s="551"/>
      <c r="AD608" s="551"/>
      <c r="AE608" s="551"/>
      <c r="AF608" s="551"/>
      <c r="AG608" s="551"/>
      <c r="AH608" s="551"/>
      <c r="AI608" s="551"/>
      <c r="AJ608" s="551"/>
      <c r="AK608" s="551"/>
      <c r="AL608" s="551"/>
      <c r="AM608" s="551"/>
      <c r="AN608" s="551"/>
      <c r="AO608" s="551"/>
      <c r="AP608" s="551"/>
      <c r="AQ608" s="551"/>
      <c r="AR608" s="551"/>
      <c r="AS608" s="551"/>
      <c r="AT608" s="551"/>
      <c r="AU608" s="551"/>
      <c r="AV608" s="551"/>
      <c r="AW608" s="551"/>
      <c r="AX608" s="551"/>
      <c r="AY608" s="551"/>
      <c r="AZ608" s="551"/>
      <c r="BA608" s="551"/>
      <c r="BB608" s="551"/>
      <c r="BC608" s="551"/>
      <c r="BD608" s="551"/>
      <c r="BE608" s="551"/>
      <c r="BF608" s="551"/>
      <c r="BG608" s="551"/>
      <c r="BH608" s="551"/>
      <c r="BI608" s="551"/>
      <c r="BJ608" s="551"/>
    </row>
    <row r="609" spans="1:62" ht="12.75" customHeight="1">
      <c r="A609" s="551"/>
      <c r="B609" s="551"/>
      <c r="C609" s="551"/>
      <c r="D609" s="551"/>
      <c r="E609" s="551"/>
      <c r="F609" s="551"/>
      <c r="G609" s="551"/>
      <c r="H609" s="551"/>
      <c r="I609" s="551"/>
      <c r="J609" s="551"/>
      <c r="K609" s="551"/>
      <c r="L609" s="551"/>
      <c r="M609" s="551"/>
      <c r="N609" s="551"/>
      <c r="O609" s="551"/>
      <c r="P609" s="551"/>
      <c r="Q609" s="551"/>
      <c r="R609" s="551"/>
      <c r="S609" s="551"/>
      <c r="T609" s="551"/>
      <c r="U609" s="551"/>
      <c r="V609" s="551"/>
      <c r="W609" s="551"/>
      <c r="X609" s="551"/>
      <c r="Y609" s="551"/>
      <c r="Z609" s="551"/>
      <c r="AA609" s="551"/>
      <c r="AB609" s="551"/>
      <c r="AC609" s="551"/>
      <c r="AD609" s="551"/>
      <c r="AE609" s="551"/>
      <c r="AF609" s="551"/>
      <c r="AG609" s="551"/>
      <c r="AH609" s="551"/>
      <c r="AI609" s="551"/>
      <c r="AJ609" s="551"/>
      <c r="AK609" s="551"/>
      <c r="AL609" s="551"/>
      <c r="AM609" s="551"/>
      <c r="AN609" s="551"/>
      <c r="AO609" s="551"/>
      <c r="AP609" s="551"/>
      <c r="AQ609" s="551"/>
      <c r="AR609" s="551"/>
      <c r="AS609" s="551"/>
      <c r="AT609" s="551"/>
      <c r="AU609" s="551"/>
      <c r="AV609" s="551"/>
      <c r="AW609" s="551"/>
      <c r="AX609" s="551"/>
      <c r="AY609" s="551"/>
      <c r="AZ609" s="551"/>
      <c r="BA609" s="551"/>
      <c r="BB609" s="551"/>
      <c r="BC609" s="551"/>
      <c r="BD609" s="551"/>
      <c r="BE609" s="551"/>
      <c r="BF609" s="551"/>
      <c r="BG609" s="551"/>
      <c r="BH609" s="551"/>
      <c r="BI609" s="551"/>
      <c r="BJ609" s="551"/>
    </row>
    <row r="610" spans="1:62" ht="12.75" customHeight="1">
      <c r="A610" s="551"/>
      <c r="B610" s="551"/>
      <c r="C610" s="551"/>
      <c r="D610" s="551"/>
      <c r="E610" s="551"/>
      <c r="F610" s="551"/>
      <c r="G610" s="551"/>
      <c r="H610" s="551"/>
      <c r="I610" s="551"/>
      <c r="J610" s="551"/>
      <c r="K610" s="551"/>
      <c r="L610" s="551"/>
      <c r="M610" s="551"/>
      <c r="N610" s="551"/>
      <c r="O610" s="551"/>
      <c r="P610" s="551"/>
      <c r="Q610" s="551"/>
      <c r="R610" s="551"/>
      <c r="S610" s="551"/>
      <c r="T610" s="551"/>
      <c r="U610" s="551"/>
      <c r="V610" s="551"/>
      <c r="W610" s="551"/>
      <c r="X610" s="551"/>
      <c r="Y610" s="551"/>
      <c r="Z610" s="551"/>
      <c r="AA610" s="551"/>
      <c r="AB610" s="551"/>
      <c r="AC610" s="551"/>
      <c r="AD610" s="551"/>
      <c r="AE610" s="551"/>
      <c r="AF610" s="551"/>
      <c r="AG610" s="551"/>
      <c r="AH610" s="551"/>
      <c r="AI610" s="551"/>
      <c r="AJ610" s="551"/>
      <c r="AK610" s="551"/>
      <c r="AL610" s="551"/>
      <c r="AM610" s="551"/>
      <c r="AN610" s="551"/>
      <c r="AO610" s="551"/>
      <c r="AP610" s="551"/>
      <c r="AQ610" s="551"/>
      <c r="AR610" s="551"/>
      <c r="AS610" s="551"/>
      <c r="AT610" s="551"/>
      <c r="AU610" s="551"/>
      <c r="AV610" s="551"/>
      <c r="AW610" s="551"/>
      <c r="AX610" s="551"/>
      <c r="AY610" s="551"/>
      <c r="AZ610" s="551"/>
      <c r="BA610" s="551"/>
      <c r="BB610" s="551"/>
      <c r="BC610" s="551"/>
      <c r="BD610" s="551"/>
      <c r="BE610" s="551"/>
      <c r="BF610" s="551"/>
      <c r="BG610" s="551"/>
      <c r="BH610" s="551"/>
      <c r="BI610" s="551"/>
      <c r="BJ610" s="551"/>
    </row>
    <row r="611" spans="1:62" ht="12.75" customHeight="1">
      <c r="A611" s="551"/>
      <c r="B611" s="551"/>
      <c r="C611" s="551"/>
      <c r="D611" s="551"/>
      <c r="E611" s="551"/>
      <c r="F611" s="551"/>
      <c r="G611" s="551"/>
      <c r="H611" s="551"/>
      <c r="I611" s="551"/>
      <c r="J611" s="551"/>
      <c r="K611" s="551"/>
      <c r="L611" s="551"/>
      <c r="M611" s="551"/>
      <c r="N611" s="551"/>
      <c r="O611" s="551"/>
      <c r="P611" s="551"/>
      <c r="Q611" s="551"/>
      <c r="R611" s="551"/>
      <c r="S611" s="551"/>
      <c r="T611" s="551"/>
      <c r="U611" s="551"/>
      <c r="V611" s="551"/>
      <c r="W611" s="551"/>
      <c r="X611" s="551"/>
      <c r="Y611" s="551"/>
      <c r="Z611" s="551"/>
      <c r="AA611" s="551"/>
      <c r="AB611" s="551"/>
      <c r="AC611" s="551"/>
      <c r="AD611" s="551"/>
      <c r="AE611" s="551"/>
      <c r="AF611" s="551"/>
      <c r="AG611" s="551"/>
      <c r="AH611" s="551"/>
      <c r="AI611" s="551"/>
      <c r="AJ611" s="551"/>
      <c r="AK611" s="551"/>
      <c r="AL611" s="551"/>
      <c r="AM611" s="551"/>
      <c r="AN611" s="551"/>
      <c r="AO611" s="551"/>
      <c r="AP611" s="551"/>
      <c r="AQ611" s="551"/>
      <c r="AR611" s="551"/>
      <c r="AS611" s="551"/>
      <c r="AT611" s="551"/>
      <c r="AU611" s="551"/>
      <c r="AV611" s="551"/>
      <c r="AW611" s="551"/>
      <c r="AX611" s="551"/>
      <c r="AY611" s="551"/>
      <c r="AZ611" s="551"/>
      <c r="BA611" s="551"/>
      <c r="BB611" s="551"/>
      <c r="BC611" s="551"/>
      <c r="BD611" s="551"/>
      <c r="BE611" s="551"/>
      <c r="BF611" s="551"/>
      <c r="BG611" s="551"/>
      <c r="BH611" s="551"/>
      <c r="BI611" s="551"/>
      <c r="BJ611" s="551"/>
    </row>
    <row r="612" spans="1:62" ht="12.75" customHeight="1">
      <c r="A612" s="551"/>
      <c r="B612" s="551"/>
      <c r="C612" s="551"/>
      <c r="D612" s="551"/>
      <c r="E612" s="551"/>
      <c r="F612" s="551"/>
      <c r="G612" s="551"/>
      <c r="H612" s="551"/>
      <c r="I612" s="551"/>
      <c r="J612" s="551"/>
      <c r="K612" s="551"/>
      <c r="L612" s="551"/>
      <c r="M612" s="551"/>
      <c r="N612" s="551"/>
      <c r="O612" s="551"/>
      <c r="P612" s="551"/>
      <c r="Q612" s="551"/>
      <c r="R612" s="551"/>
      <c r="S612" s="551"/>
      <c r="T612" s="551"/>
      <c r="U612" s="551"/>
      <c r="V612" s="551"/>
      <c r="W612" s="551"/>
      <c r="X612" s="551"/>
      <c r="Y612" s="551"/>
      <c r="Z612" s="551"/>
      <c r="AA612" s="551"/>
      <c r="AB612" s="551"/>
      <c r="AC612" s="551"/>
      <c r="AD612" s="551"/>
      <c r="AE612" s="551"/>
      <c r="AF612" s="551"/>
      <c r="AG612" s="551"/>
      <c r="AH612" s="551"/>
      <c r="AI612" s="551"/>
      <c r="AJ612" s="551"/>
      <c r="AK612" s="551"/>
      <c r="AL612" s="551"/>
      <c r="AM612" s="551"/>
      <c r="AN612" s="551"/>
      <c r="AO612" s="551"/>
      <c r="AP612" s="551"/>
      <c r="AQ612" s="551"/>
      <c r="AR612" s="551"/>
      <c r="AS612" s="551"/>
      <c r="AT612" s="551"/>
      <c r="AU612" s="551"/>
      <c r="AV612" s="551"/>
      <c r="AW612" s="551"/>
      <c r="AX612" s="551"/>
      <c r="AY612" s="551"/>
      <c r="AZ612" s="551"/>
      <c r="BA612" s="551"/>
      <c r="BB612" s="551"/>
      <c r="BC612" s="551"/>
      <c r="BD612" s="551"/>
      <c r="BE612" s="551"/>
      <c r="BF612" s="551"/>
      <c r="BG612" s="551"/>
      <c r="BH612" s="551"/>
      <c r="BI612" s="551"/>
      <c r="BJ612" s="551"/>
    </row>
    <row r="613" spans="1:62" ht="12.75" customHeight="1">
      <c r="A613" s="551"/>
      <c r="B613" s="551"/>
      <c r="C613" s="551"/>
      <c r="D613" s="551"/>
      <c r="E613" s="551"/>
      <c r="F613" s="551"/>
      <c r="G613" s="551"/>
      <c r="H613" s="551"/>
      <c r="I613" s="551"/>
      <c r="J613" s="551"/>
      <c r="K613" s="551"/>
      <c r="L613" s="551"/>
      <c r="M613" s="551"/>
      <c r="N613" s="551"/>
      <c r="O613" s="551"/>
      <c r="P613" s="551"/>
      <c r="Q613" s="551"/>
      <c r="R613" s="551"/>
      <c r="S613" s="551"/>
      <c r="T613" s="551"/>
      <c r="U613" s="551"/>
      <c r="V613" s="551"/>
      <c r="W613" s="551"/>
      <c r="X613" s="551"/>
      <c r="Y613" s="551"/>
      <c r="Z613" s="551"/>
      <c r="AA613" s="551"/>
      <c r="AB613" s="551"/>
      <c r="AC613" s="551"/>
      <c r="AD613" s="551"/>
      <c r="AE613" s="551"/>
      <c r="AF613" s="551"/>
      <c r="AG613" s="551"/>
      <c r="AH613" s="551"/>
      <c r="AI613" s="551"/>
      <c r="AJ613" s="551"/>
      <c r="AK613" s="551"/>
      <c r="AL613" s="551"/>
      <c r="AM613" s="551"/>
      <c r="AN613" s="551"/>
      <c r="AO613" s="551"/>
      <c r="AP613" s="551"/>
      <c r="AQ613" s="551"/>
      <c r="AR613" s="551"/>
      <c r="AS613" s="551"/>
      <c r="AT613" s="551"/>
      <c r="AU613" s="551"/>
      <c r="AV613" s="551"/>
      <c r="AW613" s="551"/>
      <c r="AX613" s="551"/>
      <c r="AY613" s="551"/>
      <c r="AZ613" s="551"/>
      <c r="BA613" s="551"/>
      <c r="BB613" s="551"/>
      <c r="BC613" s="551"/>
      <c r="BD613" s="551"/>
      <c r="BE613" s="551"/>
      <c r="BF613" s="551"/>
      <c r="BG613" s="551"/>
      <c r="BH613" s="551"/>
      <c r="BI613" s="551"/>
      <c r="BJ613" s="551"/>
    </row>
    <row r="614" spans="1:62" ht="12.75" customHeight="1">
      <c r="A614" s="551"/>
      <c r="B614" s="551"/>
      <c r="C614" s="551"/>
      <c r="D614" s="551"/>
      <c r="E614" s="551"/>
      <c r="F614" s="551"/>
      <c r="G614" s="551"/>
      <c r="H614" s="551"/>
      <c r="I614" s="551"/>
      <c r="J614" s="551"/>
      <c r="K614" s="551"/>
      <c r="L614" s="551"/>
      <c r="M614" s="551"/>
      <c r="N614" s="551"/>
      <c r="O614" s="551"/>
      <c r="P614" s="551"/>
      <c r="Q614" s="551"/>
      <c r="R614" s="551"/>
      <c r="S614" s="551"/>
      <c r="T614" s="551"/>
      <c r="U614" s="551"/>
      <c r="V614" s="551"/>
      <c r="W614" s="551"/>
      <c r="X614" s="551"/>
      <c r="Y614" s="551"/>
      <c r="Z614" s="551"/>
      <c r="AA614" s="551"/>
      <c r="AB614" s="551"/>
      <c r="AC614" s="551"/>
      <c r="AD614" s="551"/>
      <c r="AE614" s="551"/>
      <c r="AF614" s="551"/>
      <c r="AG614" s="551"/>
      <c r="AH614" s="551"/>
      <c r="AI614" s="551"/>
      <c r="AJ614" s="551"/>
      <c r="AK614" s="551"/>
      <c r="AL614" s="551"/>
      <c r="AM614" s="551"/>
      <c r="AN614" s="551"/>
      <c r="AO614" s="551"/>
      <c r="AP614" s="551"/>
      <c r="AQ614" s="551"/>
      <c r="AR614" s="551"/>
      <c r="AS614" s="551"/>
      <c r="AT614" s="551"/>
      <c r="AU614" s="551"/>
      <c r="AV614" s="551"/>
      <c r="AW614" s="551"/>
      <c r="AX614" s="551"/>
      <c r="AY614" s="551"/>
      <c r="AZ614" s="551"/>
      <c r="BA614" s="551"/>
      <c r="BB614" s="551"/>
      <c r="BC614" s="551"/>
      <c r="BD614" s="551"/>
      <c r="BE614" s="551"/>
      <c r="BF614" s="551"/>
      <c r="BG614" s="551"/>
      <c r="BH614" s="551"/>
      <c r="BI614" s="551"/>
      <c r="BJ614" s="551"/>
    </row>
    <row r="615" spans="1:62" ht="12.75" customHeight="1">
      <c r="A615" s="551"/>
      <c r="B615" s="551"/>
      <c r="C615" s="551"/>
      <c r="D615" s="551"/>
      <c r="E615" s="551"/>
      <c r="F615" s="551"/>
      <c r="G615" s="551"/>
      <c r="H615" s="551"/>
      <c r="I615" s="551"/>
      <c r="J615" s="551"/>
      <c r="K615" s="551"/>
      <c r="L615" s="551"/>
      <c r="M615" s="551"/>
      <c r="N615" s="551"/>
      <c r="O615" s="551"/>
      <c r="P615" s="551"/>
      <c r="Q615" s="551"/>
      <c r="R615" s="551"/>
      <c r="S615" s="551"/>
      <c r="T615" s="551"/>
      <c r="U615" s="551"/>
      <c r="V615" s="551"/>
      <c r="W615" s="551"/>
      <c r="X615" s="551"/>
      <c r="Y615" s="551"/>
      <c r="Z615" s="551"/>
      <c r="AA615" s="551"/>
      <c r="AB615" s="551"/>
      <c r="AC615" s="551"/>
      <c r="AD615" s="551"/>
      <c r="AE615" s="551"/>
      <c r="AF615" s="551"/>
      <c r="AG615" s="551"/>
      <c r="AH615" s="551"/>
      <c r="AI615" s="551"/>
      <c r="AJ615" s="551"/>
      <c r="AK615" s="551"/>
      <c r="AL615" s="551"/>
      <c r="AM615" s="551"/>
      <c r="AN615" s="551"/>
      <c r="AO615" s="551"/>
      <c r="AP615" s="551"/>
      <c r="AQ615" s="551"/>
      <c r="AR615" s="551"/>
      <c r="AS615" s="551"/>
      <c r="AT615" s="551"/>
      <c r="AU615" s="551"/>
      <c r="AV615" s="551"/>
      <c r="AW615" s="551"/>
      <c r="AX615" s="551"/>
      <c r="AY615" s="551"/>
      <c r="AZ615" s="551"/>
      <c r="BA615" s="551"/>
      <c r="BB615" s="551"/>
      <c r="BC615" s="551"/>
      <c r="BD615" s="551"/>
      <c r="BE615" s="551"/>
      <c r="BF615" s="551"/>
      <c r="BG615" s="551"/>
      <c r="BH615" s="551"/>
      <c r="BI615" s="551"/>
      <c r="BJ615" s="551"/>
    </row>
    <row r="616" spans="1:62" ht="12.75" customHeight="1">
      <c r="A616" s="551"/>
      <c r="B616" s="551"/>
      <c r="C616" s="551"/>
      <c r="D616" s="551"/>
      <c r="E616" s="551"/>
      <c r="F616" s="551"/>
      <c r="G616" s="551"/>
      <c r="H616" s="551"/>
      <c r="I616" s="551"/>
      <c r="J616" s="551"/>
      <c r="K616" s="551"/>
      <c r="L616" s="551"/>
      <c r="M616" s="551"/>
      <c r="N616" s="551"/>
      <c r="O616" s="551"/>
      <c r="P616" s="551"/>
      <c r="Q616" s="551"/>
      <c r="R616" s="551"/>
      <c r="S616" s="551"/>
      <c r="T616" s="551"/>
      <c r="U616" s="551"/>
      <c r="V616" s="551"/>
      <c r="W616" s="551"/>
      <c r="X616" s="551"/>
      <c r="Y616" s="551"/>
      <c r="Z616" s="551"/>
      <c r="AA616" s="551"/>
      <c r="AB616" s="551"/>
      <c r="AC616" s="551"/>
      <c r="AD616" s="551"/>
      <c r="AE616" s="551"/>
      <c r="AF616" s="551"/>
      <c r="AG616" s="551"/>
      <c r="AH616" s="551"/>
      <c r="AI616" s="551"/>
      <c r="AJ616" s="551"/>
      <c r="AK616" s="551"/>
      <c r="AL616" s="551"/>
      <c r="AM616" s="551"/>
      <c r="AN616" s="551"/>
      <c r="AO616" s="551"/>
      <c r="AP616" s="551"/>
      <c r="AQ616" s="551"/>
      <c r="AR616" s="551"/>
      <c r="AS616" s="551"/>
      <c r="AT616" s="551"/>
      <c r="AU616" s="551"/>
      <c r="AV616" s="551"/>
      <c r="AW616" s="551"/>
      <c r="AX616" s="551"/>
      <c r="AY616" s="551"/>
      <c r="AZ616" s="551"/>
      <c r="BA616" s="551"/>
      <c r="BB616" s="551"/>
      <c r="BC616" s="551"/>
      <c r="BD616" s="551"/>
      <c r="BE616" s="551"/>
      <c r="BF616" s="551"/>
      <c r="BG616" s="551"/>
      <c r="BH616" s="551"/>
      <c r="BI616" s="551"/>
      <c r="BJ616" s="551"/>
    </row>
    <row r="617" spans="1:62" ht="12.75" customHeight="1">
      <c r="A617" s="551"/>
      <c r="B617" s="551"/>
      <c r="C617" s="551"/>
      <c r="D617" s="551"/>
      <c r="E617" s="551"/>
      <c r="F617" s="551"/>
      <c r="G617" s="551"/>
      <c r="H617" s="551"/>
      <c r="I617" s="551"/>
      <c r="J617" s="551"/>
      <c r="K617" s="551"/>
      <c r="L617" s="551"/>
      <c r="M617" s="551"/>
      <c r="N617" s="551"/>
      <c r="O617" s="551"/>
      <c r="P617" s="551"/>
      <c r="Q617" s="551"/>
      <c r="R617" s="551"/>
      <c r="S617" s="551"/>
      <c r="T617" s="551"/>
      <c r="U617" s="551"/>
      <c r="V617" s="551"/>
      <c r="W617" s="551"/>
      <c r="X617" s="551"/>
      <c r="Y617" s="551"/>
      <c r="Z617" s="551"/>
      <c r="AA617" s="551"/>
      <c r="AB617" s="551"/>
      <c r="AC617" s="551"/>
      <c r="AD617" s="551"/>
      <c r="AE617" s="551"/>
      <c r="AF617" s="551"/>
      <c r="AG617" s="551"/>
      <c r="AH617" s="551"/>
      <c r="AI617" s="551"/>
      <c r="AJ617" s="551"/>
      <c r="AK617" s="551"/>
      <c r="AL617" s="551"/>
      <c r="AM617" s="551"/>
      <c r="AN617" s="551"/>
      <c r="AO617" s="551"/>
      <c r="AP617" s="551"/>
      <c r="AQ617" s="551"/>
      <c r="AR617" s="551"/>
      <c r="AS617" s="551"/>
      <c r="AT617" s="551"/>
      <c r="AU617" s="551"/>
      <c r="AV617" s="551"/>
      <c r="AW617" s="551"/>
      <c r="AX617" s="551"/>
      <c r="AY617" s="551"/>
      <c r="AZ617" s="551"/>
      <c r="BA617" s="551"/>
      <c r="BB617" s="551"/>
      <c r="BC617" s="551"/>
      <c r="BD617" s="551"/>
      <c r="BE617" s="551"/>
      <c r="BF617" s="551"/>
      <c r="BG617" s="551"/>
      <c r="BH617" s="551"/>
      <c r="BI617" s="551"/>
      <c r="BJ617" s="551"/>
    </row>
    <row r="618" spans="1:62" ht="12.75" customHeight="1">
      <c r="A618" s="551"/>
      <c r="B618" s="551"/>
      <c r="C618" s="551"/>
      <c r="D618" s="551"/>
      <c r="E618" s="551"/>
      <c r="F618" s="551"/>
      <c r="G618" s="551"/>
      <c r="H618" s="551"/>
      <c r="I618" s="551"/>
      <c r="J618" s="551"/>
      <c r="K618" s="551"/>
      <c r="L618" s="551"/>
      <c r="M618" s="551"/>
      <c r="N618" s="551"/>
      <c r="O618" s="551"/>
      <c r="P618" s="551"/>
      <c r="Q618" s="551"/>
      <c r="R618" s="551"/>
      <c r="S618" s="551"/>
      <c r="T618" s="551"/>
      <c r="U618" s="551"/>
      <c r="V618" s="551"/>
      <c r="W618" s="551"/>
      <c r="X618" s="551"/>
      <c r="Y618" s="551"/>
      <c r="Z618" s="551"/>
      <c r="AA618" s="551"/>
      <c r="AB618" s="551"/>
      <c r="AC618" s="551"/>
      <c r="AD618" s="551"/>
      <c r="AE618" s="551"/>
      <c r="AF618" s="551"/>
      <c r="AG618" s="551"/>
      <c r="AH618" s="551"/>
      <c r="AI618" s="551"/>
      <c r="AJ618" s="551"/>
      <c r="AK618" s="551"/>
      <c r="AL618" s="551"/>
      <c r="AM618" s="551"/>
      <c r="AN618" s="551"/>
      <c r="AO618" s="551"/>
      <c r="AP618" s="551"/>
      <c r="AQ618" s="551"/>
      <c r="AR618" s="551"/>
      <c r="AS618" s="551"/>
      <c r="AT618" s="551"/>
      <c r="AU618" s="551"/>
      <c r="AV618" s="551"/>
      <c r="AW618" s="551"/>
      <c r="AX618" s="551"/>
      <c r="AY618" s="551"/>
      <c r="AZ618" s="551"/>
      <c r="BA618" s="551"/>
      <c r="BB618" s="551"/>
      <c r="BC618" s="551"/>
      <c r="BD618" s="551"/>
      <c r="BE618" s="551"/>
      <c r="BF618" s="551"/>
      <c r="BG618" s="551"/>
      <c r="BH618" s="551"/>
      <c r="BI618" s="551"/>
      <c r="BJ618" s="551"/>
    </row>
    <row r="619" spans="1:62" ht="12.75" customHeight="1">
      <c r="A619" s="551"/>
      <c r="B619" s="551"/>
      <c r="C619" s="551"/>
      <c r="D619" s="551"/>
      <c r="E619" s="551"/>
      <c r="F619" s="551"/>
      <c r="G619" s="551"/>
      <c r="H619" s="551"/>
      <c r="I619" s="551"/>
      <c r="J619" s="551"/>
      <c r="K619" s="551"/>
      <c r="L619" s="551"/>
      <c r="M619" s="551"/>
      <c r="N619" s="551"/>
      <c r="O619" s="551"/>
      <c r="P619" s="551"/>
      <c r="Q619" s="551"/>
      <c r="R619" s="551"/>
      <c r="S619" s="551"/>
      <c r="T619" s="551"/>
      <c r="U619" s="551"/>
      <c r="V619" s="551"/>
      <c r="W619" s="551"/>
      <c r="X619" s="551"/>
      <c r="Y619" s="551"/>
      <c r="Z619" s="551"/>
      <c r="AA619" s="551"/>
      <c r="AB619" s="551"/>
      <c r="AC619" s="551"/>
      <c r="AD619" s="551"/>
      <c r="AE619" s="551"/>
      <c r="AF619" s="551"/>
      <c r="AG619" s="551"/>
      <c r="AH619" s="551"/>
      <c r="AI619" s="551"/>
      <c r="AJ619" s="551"/>
      <c r="AK619" s="551"/>
      <c r="AL619" s="551"/>
      <c r="AM619" s="551"/>
      <c r="AN619" s="551"/>
      <c r="AO619" s="551"/>
      <c r="AP619" s="551"/>
      <c r="AQ619" s="551"/>
      <c r="AR619" s="551"/>
      <c r="AS619" s="551"/>
      <c r="AT619" s="551"/>
      <c r="AU619" s="551"/>
      <c r="AV619" s="551"/>
      <c r="AW619" s="551"/>
      <c r="AX619" s="551"/>
      <c r="AY619" s="551"/>
      <c r="AZ619" s="551"/>
      <c r="BA619" s="551"/>
      <c r="BB619" s="551"/>
      <c r="BC619" s="551"/>
      <c r="BD619" s="551"/>
      <c r="BE619" s="551"/>
      <c r="BF619" s="551"/>
      <c r="BG619" s="551"/>
      <c r="BH619" s="551"/>
      <c r="BI619" s="551"/>
      <c r="BJ619" s="551"/>
    </row>
    <row r="620" spans="1:62" ht="12.75" customHeight="1">
      <c r="A620" s="551"/>
      <c r="B620" s="551"/>
      <c r="C620" s="551"/>
      <c r="D620" s="551"/>
      <c r="E620" s="551"/>
      <c r="F620" s="551"/>
      <c r="G620" s="551"/>
      <c r="H620" s="551"/>
      <c r="I620" s="551"/>
      <c r="J620" s="551"/>
      <c r="K620" s="551"/>
      <c r="L620" s="551"/>
      <c r="M620" s="551"/>
      <c r="N620" s="551"/>
      <c r="O620" s="551"/>
      <c r="P620" s="551"/>
      <c r="Q620" s="551"/>
      <c r="R620" s="551"/>
      <c r="S620" s="551"/>
      <c r="T620" s="551"/>
      <c r="U620" s="551"/>
      <c r="V620" s="551"/>
      <c r="W620" s="551"/>
      <c r="X620" s="551"/>
      <c r="Y620" s="551"/>
      <c r="Z620" s="551"/>
      <c r="AA620" s="551"/>
      <c r="AB620" s="551"/>
      <c r="AC620" s="551"/>
      <c r="AD620" s="551"/>
      <c r="AE620" s="551"/>
      <c r="AF620" s="551"/>
      <c r="AG620" s="551"/>
      <c r="AH620" s="551"/>
      <c r="AI620" s="551"/>
      <c r="AJ620" s="551"/>
      <c r="AK620" s="551"/>
      <c r="AL620" s="551"/>
      <c r="AM620" s="551"/>
      <c r="AN620" s="551"/>
      <c r="AO620" s="551"/>
      <c r="AP620" s="551"/>
      <c r="AQ620" s="551"/>
      <c r="AR620" s="551"/>
      <c r="AS620" s="551"/>
      <c r="AT620" s="551"/>
      <c r="AU620" s="551"/>
      <c r="AV620" s="551"/>
      <c r="AW620" s="551"/>
      <c r="AX620" s="551"/>
      <c r="AY620" s="551"/>
      <c r="AZ620" s="551"/>
      <c r="BA620" s="551"/>
      <c r="BB620" s="551"/>
      <c r="BC620" s="551"/>
      <c r="BD620" s="551"/>
      <c r="BE620" s="551"/>
      <c r="BF620" s="551"/>
      <c r="BG620" s="551"/>
      <c r="BH620" s="551"/>
      <c r="BI620" s="551"/>
      <c r="BJ620" s="551"/>
    </row>
    <row r="621" spans="1:62" ht="12.75" customHeight="1">
      <c r="A621" s="551"/>
      <c r="B621" s="551"/>
      <c r="C621" s="551"/>
      <c r="D621" s="551"/>
      <c r="E621" s="551"/>
      <c r="F621" s="551"/>
      <c r="G621" s="551"/>
      <c r="H621" s="551"/>
      <c r="I621" s="551"/>
      <c r="J621" s="551"/>
      <c r="K621" s="551"/>
      <c r="L621" s="551"/>
      <c r="M621" s="551"/>
      <c r="N621" s="551"/>
      <c r="O621" s="551"/>
      <c r="P621" s="551"/>
      <c r="Q621" s="551"/>
      <c r="R621" s="551"/>
      <c r="S621" s="551"/>
      <c r="T621" s="551"/>
      <c r="U621" s="551"/>
      <c r="V621" s="551"/>
      <c r="W621" s="551"/>
      <c r="X621" s="551"/>
      <c r="Y621" s="551"/>
      <c r="Z621" s="551"/>
      <c r="AA621" s="551"/>
      <c r="AB621" s="551"/>
      <c r="AC621" s="551"/>
      <c r="AD621" s="551"/>
      <c r="AE621" s="551"/>
      <c r="AF621" s="551"/>
      <c r="AG621" s="551"/>
      <c r="AH621" s="551"/>
      <c r="AI621" s="551"/>
      <c r="AJ621" s="551"/>
      <c r="AK621" s="551"/>
      <c r="AL621" s="551"/>
      <c r="AM621" s="551"/>
      <c r="AN621" s="551"/>
      <c r="AO621" s="551"/>
      <c r="AP621" s="551"/>
      <c r="AQ621" s="551"/>
      <c r="AR621" s="551"/>
      <c r="AS621" s="551"/>
      <c r="AT621" s="551"/>
      <c r="AU621" s="551"/>
      <c r="AV621" s="551"/>
      <c r="AW621" s="551"/>
      <c r="AX621" s="551"/>
      <c r="AY621" s="551"/>
      <c r="AZ621" s="551"/>
      <c r="BA621" s="551"/>
      <c r="BB621" s="551"/>
      <c r="BC621" s="551"/>
      <c r="BD621" s="551"/>
      <c r="BE621" s="551"/>
      <c r="BF621" s="551"/>
      <c r="BG621" s="551"/>
      <c r="BH621" s="551"/>
      <c r="BI621" s="551"/>
      <c r="BJ621" s="551"/>
    </row>
    <row r="622" spans="1:62" ht="12.75" customHeight="1">
      <c r="A622" s="551"/>
      <c r="B622" s="551"/>
      <c r="C622" s="551"/>
      <c r="D622" s="551"/>
      <c r="E622" s="551"/>
      <c r="F622" s="551"/>
      <c r="G622" s="551"/>
      <c r="H622" s="551"/>
      <c r="I622" s="551"/>
      <c r="J622" s="551"/>
      <c r="K622" s="551"/>
      <c r="L622" s="551"/>
      <c r="M622" s="551"/>
      <c r="N622" s="551"/>
      <c r="O622" s="551"/>
      <c r="P622" s="551"/>
      <c r="Q622" s="551"/>
      <c r="R622" s="551"/>
      <c r="S622" s="551"/>
      <c r="T622" s="551"/>
      <c r="U622" s="551"/>
      <c r="V622" s="551"/>
      <c r="W622" s="551"/>
      <c r="X622" s="551"/>
      <c r="Y622" s="551"/>
      <c r="Z622" s="551"/>
      <c r="AA622" s="551"/>
      <c r="AB622" s="551"/>
      <c r="AC622" s="551"/>
      <c r="AD622" s="551"/>
      <c r="AE622" s="551"/>
      <c r="AF622" s="551"/>
      <c r="AG622" s="551"/>
      <c r="AH622" s="551"/>
      <c r="AI622" s="551"/>
      <c r="AJ622" s="551"/>
      <c r="AK622" s="551"/>
      <c r="AL622" s="551"/>
      <c r="AM622" s="551"/>
      <c r="AN622" s="551"/>
      <c r="AO622" s="551"/>
      <c r="AP622" s="551"/>
      <c r="AQ622" s="551"/>
      <c r="AR622" s="551"/>
      <c r="AS622" s="551"/>
      <c r="AT622" s="551"/>
      <c r="AU622" s="551"/>
      <c r="AV622" s="551"/>
      <c r="AW622" s="551"/>
      <c r="AX622" s="551"/>
      <c r="AY622" s="551"/>
      <c r="AZ622" s="551"/>
      <c r="BA622" s="551"/>
      <c r="BB622" s="551"/>
      <c r="BC622" s="551"/>
      <c r="BD622" s="551"/>
      <c r="BE622" s="551"/>
      <c r="BF622" s="551"/>
      <c r="BG622" s="551"/>
      <c r="BH622" s="551"/>
      <c r="BI622" s="551"/>
      <c r="BJ622" s="551"/>
    </row>
    <row r="623" spans="1:62" ht="12.75" customHeight="1">
      <c r="A623" s="551"/>
      <c r="B623" s="551"/>
      <c r="C623" s="551"/>
      <c r="D623" s="551"/>
      <c r="E623" s="551"/>
      <c r="F623" s="551"/>
      <c r="G623" s="551"/>
      <c r="H623" s="551"/>
      <c r="I623" s="551"/>
      <c r="J623" s="551"/>
      <c r="K623" s="551"/>
      <c r="L623" s="551"/>
      <c r="M623" s="551"/>
      <c r="N623" s="551"/>
      <c r="O623" s="551"/>
      <c r="P623" s="551"/>
      <c r="Q623" s="551"/>
      <c r="R623" s="551"/>
      <c r="S623" s="551"/>
      <c r="T623" s="551"/>
      <c r="U623" s="551"/>
      <c r="V623" s="551"/>
      <c r="W623" s="551"/>
      <c r="X623" s="551"/>
      <c r="Y623" s="551"/>
      <c r="Z623" s="551"/>
      <c r="AA623" s="551"/>
      <c r="AB623" s="551"/>
      <c r="AC623" s="551"/>
      <c r="AD623" s="551"/>
      <c r="AE623" s="551"/>
      <c r="AF623" s="551"/>
      <c r="AG623" s="551"/>
      <c r="AH623" s="551"/>
      <c r="AI623" s="551"/>
      <c r="AJ623" s="551"/>
      <c r="AK623" s="551"/>
      <c r="AL623" s="551"/>
      <c r="AM623" s="551"/>
      <c r="AN623" s="551"/>
      <c r="AO623" s="551"/>
      <c r="AP623" s="551"/>
      <c r="AQ623" s="551"/>
      <c r="AR623" s="551"/>
      <c r="AS623" s="551"/>
      <c r="AT623" s="551"/>
      <c r="AU623" s="551"/>
      <c r="AV623" s="551"/>
      <c r="AW623" s="551"/>
      <c r="AX623" s="551"/>
      <c r="AY623" s="551"/>
      <c r="AZ623" s="551"/>
      <c r="BA623" s="551"/>
      <c r="BB623" s="551"/>
      <c r="BC623" s="551"/>
      <c r="BD623" s="551"/>
      <c r="BE623" s="551"/>
      <c r="BF623" s="551"/>
      <c r="BG623" s="551"/>
      <c r="BH623" s="551"/>
      <c r="BI623" s="551"/>
      <c r="BJ623" s="551"/>
    </row>
    <row r="624" spans="1:62" ht="12.75" customHeight="1">
      <c r="A624" s="551"/>
      <c r="B624" s="551"/>
      <c r="C624" s="551"/>
      <c r="D624" s="551"/>
      <c r="E624" s="551"/>
      <c r="F624" s="551"/>
      <c r="G624" s="551"/>
      <c r="H624" s="551"/>
      <c r="I624" s="551"/>
      <c r="J624" s="551"/>
      <c r="K624" s="551"/>
      <c r="L624" s="551"/>
      <c r="M624" s="551"/>
      <c r="N624" s="551"/>
      <c r="O624" s="551"/>
      <c r="P624" s="551"/>
      <c r="Q624" s="551"/>
      <c r="R624" s="551"/>
      <c r="S624" s="551"/>
      <c r="T624" s="551"/>
      <c r="U624" s="551"/>
      <c r="V624" s="551"/>
      <c r="W624" s="551"/>
      <c r="X624" s="551"/>
      <c r="Y624" s="551"/>
      <c r="Z624" s="551"/>
      <c r="AA624" s="551"/>
      <c r="AB624" s="551"/>
      <c r="AC624" s="551"/>
      <c r="AD624" s="551"/>
      <c r="AE624" s="551"/>
      <c r="AF624" s="551"/>
      <c r="AG624" s="551"/>
      <c r="AH624" s="551"/>
      <c r="AI624" s="551"/>
      <c r="AJ624" s="551"/>
      <c r="AK624" s="551"/>
      <c r="AL624" s="551"/>
      <c r="AM624" s="551"/>
      <c r="AN624" s="551"/>
      <c r="AO624" s="551"/>
      <c r="AP624" s="551"/>
      <c r="AQ624" s="551"/>
      <c r="AR624" s="551"/>
      <c r="AS624" s="551"/>
      <c r="AT624" s="551"/>
      <c r="AU624" s="551"/>
      <c r="AV624" s="551"/>
      <c r="AW624" s="551"/>
      <c r="AX624" s="551"/>
      <c r="AY624" s="551"/>
      <c r="AZ624" s="551"/>
      <c r="BA624" s="551"/>
      <c r="BB624" s="551"/>
      <c r="BC624" s="551"/>
      <c r="BD624" s="551"/>
      <c r="BE624" s="551"/>
      <c r="BF624" s="551"/>
      <c r="BG624" s="551"/>
      <c r="BH624" s="551"/>
      <c r="BI624" s="551"/>
      <c r="BJ624" s="551"/>
    </row>
    <row r="625" spans="1:62" ht="12.75" customHeight="1">
      <c r="A625" s="551"/>
      <c r="B625" s="551"/>
      <c r="C625" s="551"/>
      <c r="D625" s="551"/>
      <c r="E625" s="551"/>
      <c r="F625" s="551"/>
      <c r="G625" s="551"/>
      <c r="H625" s="551"/>
      <c r="I625" s="551"/>
      <c r="J625" s="551"/>
      <c r="K625" s="551"/>
      <c r="L625" s="551"/>
      <c r="M625" s="551"/>
      <c r="N625" s="551"/>
      <c r="O625" s="551"/>
      <c r="P625" s="551"/>
      <c r="Q625" s="551"/>
      <c r="R625" s="551"/>
      <c r="S625" s="551"/>
      <c r="T625" s="551"/>
      <c r="U625" s="551"/>
      <c r="V625" s="551"/>
      <c r="W625" s="551"/>
      <c r="X625" s="551"/>
      <c r="Y625" s="551"/>
      <c r="Z625" s="551"/>
      <c r="AA625" s="551"/>
      <c r="AB625" s="551"/>
      <c r="AC625" s="551"/>
      <c r="AD625" s="551"/>
      <c r="AE625" s="551"/>
      <c r="AF625" s="551"/>
      <c r="AG625" s="551"/>
      <c r="AH625" s="551"/>
      <c r="AI625" s="551"/>
      <c r="AJ625" s="551"/>
      <c r="AK625" s="551"/>
      <c r="AL625" s="551"/>
      <c r="AM625" s="551"/>
      <c r="AN625" s="551"/>
      <c r="AO625" s="551"/>
      <c r="AP625" s="551"/>
      <c r="AQ625" s="551"/>
      <c r="AR625" s="551"/>
      <c r="AS625" s="551"/>
      <c r="AT625" s="551"/>
      <c r="AU625" s="551"/>
      <c r="AV625" s="551"/>
      <c r="AW625" s="551"/>
      <c r="AX625" s="551"/>
      <c r="AY625" s="551"/>
      <c r="AZ625" s="551"/>
      <c r="BA625" s="551"/>
      <c r="BB625" s="551"/>
      <c r="BC625" s="551"/>
      <c r="BD625" s="551"/>
      <c r="BE625" s="551"/>
      <c r="BF625" s="551"/>
      <c r="BG625" s="551"/>
      <c r="BH625" s="551"/>
      <c r="BI625" s="551"/>
      <c r="BJ625" s="551"/>
    </row>
    <row r="626" spans="1:62" ht="12.75" customHeight="1">
      <c r="A626" s="551"/>
      <c r="B626" s="551"/>
      <c r="C626" s="551"/>
      <c r="D626" s="551"/>
      <c r="E626" s="551"/>
      <c r="F626" s="551"/>
      <c r="G626" s="551"/>
      <c r="H626" s="551"/>
      <c r="I626" s="551"/>
      <c r="J626" s="551"/>
      <c r="K626" s="551"/>
      <c r="L626" s="551"/>
      <c r="M626" s="551"/>
      <c r="N626" s="551"/>
      <c r="O626" s="551"/>
      <c r="P626" s="551"/>
      <c r="Q626" s="551"/>
      <c r="R626" s="551"/>
      <c r="S626" s="551"/>
      <c r="T626" s="551"/>
      <c r="U626" s="551"/>
      <c r="V626" s="551"/>
      <c r="W626" s="551"/>
      <c r="X626" s="551"/>
      <c r="Y626" s="551"/>
      <c r="Z626" s="551"/>
      <c r="AA626" s="551"/>
      <c r="AB626" s="551"/>
      <c r="AC626" s="551"/>
      <c r="AD626" s="551"/>
      <c r="AE626" s="551"/>
      <c r="AF626" s="551"/>
      <c r="AG626" s="551"/>
      <c r="AH626" s="551"/>
      <c r="AI626" s="551"/>
      <c r="AJ626" s="551"/>
      <c r="AK626" s="551"/>
      <c r="AL626" s="551"/>
      <c r="AM626" s="551"/>
      <c r="AN626" s="551"/>
      <c r="AO626" s="551"/>
      <c r="AP626" s="551"/>
      <c r="AQ626" s="551"/>
      <c r="AR626" s="551"/>
      <c r="AS626" s="551"/>
      <c r="AT626" s="551"/>
      <c r="AU626" s="551"/>
      <c r="AV626" s="551"/>
      <c r="AW626" s="551"/>
      <c r="AX626" s="551"/>
      <c r="AY626" s="551"/>
      <c r="AZ626" s="551"/>
      <c r="BA626" s="551"/>
      <c r="BB626" s="551"/>
      <c r="BC626" s="551"/>
      <c r="BD626" s="551"/>
      <c r="BE626" s="551"/>
      <c r="BF626" s="551"/>
      <c r="BG626" s="551"/>
      <c r="BH626" s="551"/>
      <c r="BI626" s="551"/>
      <c r="BJ626" s="551"/>
    </row>
    <row r="627" spans="1:62" ht="12.75" customHeight="1">
      <c r="A627" s="551"/>
      <c r="B627" s="551"/>
      <c r="C627" s="551"/>
      <c r="D627" s="551"/>
      <c r="E627" s="551"/>
      <c r="F627" s="551"/>
      <c r="G627" s="551"/>
      <c r="H627" s="551"/>
      <c r="I627" s="551"/>
      <c r="J627" s="551"/>
      <c r="K627" s="551"/>
      <c r="L627" s="551"/>
      <c r="M627" s="551"/>
      <c r="N627" s="551"/>
      <c r="O627" s="551"/>
      <c r="P627" s="551"/>
      <c r="Q627" s="551"/>
      <c r="R627" s="551"/>
      <c r="S627" s="551"/>
      <c r="T627" s="551"/>
      <c r="U627" s="551"/>
      <c r="V627" s="551"/>
      <c r="W627" s="551"/>
      <c r="X627" s="551"/>
      <c r="Y627" s="551"/>
      <c r="Z627" s="551"/>
      <c r="AA627" s="551"/>
      <c r="AB627" s="551"/>
      <c r="AC627" s="551"/>
      <c r="AD627" s="551"/>
      <c r="AE627" s="551"/>
      <c r="AF627" s="551"/>
      <c r="AG627" s="551"/>
      <c r="AH627" s="551"/>
      <c r="AI627" s="551"/>
      <c r="AJ627" s="551"/>
      <c r="AK627" s="551"/>
      <c r="AL627" s="551"/>
      <c r="AM627" s="551"/>
      <c r="AN627" s="551"/>
      <c r="AO627" s="551"/>
      <c r="AP627" s="551"/>
      <c r="AQ627" s="551"/>
      <c r="AR627" s="551"/>
      <c r="AS627" s="551"/>
      <c r="AT627" s="551"/>
      <c r="AU627" s="551"/>
      <c r="AV627" s="551"/>
      <c r="AW627" s="551"/>
      <c r="AX627" s="551"/>
      <c r="AY627" s="551"/>
      <c r="AZ627" s="551"/>
      <c r="BA627" s="551"/>
      <c r="BB627" s="551"/>
      <c r="BC627" s="551"/>
      <c r="BD627" s="551"/>
      <c r="BE627" s="551"/>
      <c r="BF627" s="551"/>
      <c r="BG627" s="551"/>
      <c r="BH627" s="551"/>
      <c r="BI627" s="551"/>
      <c r="BJ627" s="551"/>
    </row>
    <row r="628" spans="1:62" ht="12.75" customHeight="1">
      <c r="A628" s="551"/>
      <c r="B628" s="551"/>
      <c r="C628" s="551"/>
      <c r="D628" s="551"/>
      <c r="E628" s="551"/>
      <c r="F628" s="551"/>
      <c r="G628" s="551"/>
      <c r="H628" s="551"/>
      <c r="I628" s="551"/>
      <c r="J628" s="551"/>
      <c r="K628" s="551"/>
      <c r="L628" s="551"/>
      <c r="M628" s="551"/>
      <c r="N628" s="551"/>
      <c r="O628" s="551"/>
      <c r="P628" s="551"/>
      <c r="Q628" s="551"/>
      <c r="R628" s="551"/>
      <c r="S628" s="551"/>
      <c r="T628" s="551"/>
      <c r="U628" s="551"/>
      <c r="V628" s="551"/>
      <c r="W628" s="551"/>
      <c r="X628" s="551"/>
      <c r="Y628" s="551"/>
      <c r="Z628" s="551"/>
      <c r="AA628" s="551"/>
      <c r="AB628" s="551"/>
      <c r="AC628" s="551"/>
      <c r="AD628" s="551"/>
      <c r="AE628" s="551"/>
      <c r="AF628" s="551"/>
      <c r="AG628" s="551"/>
      <c r="AH628" s="551"/>
      <c r="AI628" s="551"/>
      <c r="AJ628" s="551"/>
      <c r="AK628" s="551"/>
      <c r="AL628" s="551"/>
      <c r="AM628" s="551"/>
      <c r="AN628" s="551"/>
      <c r="AO628" s="551"/>
      <c r="AP628" s="551"/>
      <c r="AQ628" s="551"/>
      <c r="AR628" s="551"/>
      <c r="AS628" s="551"/>
      <c r="AT628" s="551"/>
      <c r="AU628" s="551"/>
      <c r="AV628" s="551"/>
      <c r="AW628" s="551"/>
      <c r="AX628" s="551"/>
      <c r="AY628" s="551"/>
      <c r="AZ628" s="551"/>
      <c r="BA628" s="551"/>
      <c r="BB628" s="551"/>
      <c r="BC628" s="551"/>
      <c r="BD628" s="551"/>
      <c r="BE628" s="551"/>
      <c r="BF628" s="551"/>
      <c r="BG628" s="551"/>
      <c r="BH628" s="551"/>
      <c r="BI628" s="551"/>
      <c r="BJ628" s="551"/>
    </row>
    <row r="629" spans="1:62" ht="12.75" customHeight="1">
      <c r="A629" s="551"/>
      <c r="B629" s="551"/>
      <c r="C629" s="551"/>
      <c r="D629" s="551"/>
      <c r="E629" s="551"/>
      <c r="F629" s="551"/>
      <c r="G629" s="551"/>
      <c r="H629" s="551"/>
      <c r="I629" s="551"/>
      <c r="J629" s="551"/>
      <c r="K629" s="551"/>
      <c r="L629" s="551"/>
      <c r="M629" s="551"/>
      <c r="N629" s="551"/>
      <c r="O629" s="551"/>
      <c r="P629" s="551"/>
      <c r="Q629" s="551"/>
      <c r="R629" s="551"/>
      <c r="S629" s="551"/>
      <c r="T629" s="551"/>
      <c r="U629" s="551"/>
      <c r="V629" s="551"/>
      <c r="W629" s="551"/>
      <c r="X629" s="551"/>
      <c r="Y629" s="551"/>
      <c r="Z629" s="551"/>
      <c r="AA629" s="551"/>
      <c r="AB629" s="551"/>
      <c r="AC629" s="551"/>
      <c r="AD629" s="551"/>
      <c r="AE629" s="551"/>
      <c r="AF629" s="551"/>
      <c r="AG629" s="551"/>
      <c r="AH629" s="551"/>
      <c r="AI629" s="551"/>
      <c r="AJ629" s="551"/>
      <c r="AK629" s="551"/>
      <c r="AL629" s="551"/>
      <c r="AM629" s="551"/>
      <c r="AN629" s="551"/>
      <c r="AO629" s="551"/>
      <c r="AP629" s="551"/>
      <c r="AQ629" s="551"/>
      <c r="AR629" s="551"/>
      <c r="AS629" s="551"/>
      <c r="AT629" s="551"/>
      <c r="AU629" s="551"/>
      <c r="AV629" s="551"/>
      <c r="AW629" s="551"/>
      <c r="AX629" s="551"/>
      <c r="AY629" s="551"/>
      <c r="AZ629" s="551"/>
      <c r="BA629" s="551"/>
      <c r="BB629" s="551"/>
      <c r="BC629" s="551"/>
      <c r="BD629" s="551"/>
      <c r="BE629" s="551"/>
      <c r="BF629" s="551"/>
      <c r="BG629" s="551"/>
      <c r="BH629" s="551"/>
      <c r="BI629" s="551"/>
      <c r="BJ629" s="551"/>
    </row>
    <row r="630" spans="1:62" ht="12.75" customHeight="1">
      <c r="A630" s="551"/>
      <c r="B630" s="551"/>
      <c r="C630" s="551"/>
      <c r="D630" s="551"/>
      <c r="E630" s="551"/>
      <c r="F630" s="551"/>
      <c r="G630" s="551"/>
      <c r="H630" s="551"/>
      <c r="I630" s="551"/>
      <c r="J630" s="551"/>
      <c r="K630" s="551"/>
      <c r="L630" s="551"/>
      <c r="M630" s="551"/>
      <c r="N630" s="551"/>
      <c r="O630" s="551"/>
      <c r="P630" s="551"/>
      <c r="Q630" s="551"/>
      <c r="R630" s="551"/>
      <c r="S630" s="551"/>
      <c r="T630" s="551"/>
      <c r="U630" s="551"/>
      <c r="V630" s="551"/>
      <c r="W630" s="551"/>
      <c r="X630" s="551"/>
      <c r="Y630" s="551"/>
      <c r="Z630" s="551"/>
      <c r="AA630" s="551"/>
      <c r="AB630" s="551"/>
      <c r="AC630" s="551"/>
      <c r="AD630" s="551"/>
      <c r="AE630" s="551"/>
      <c r="AF630" s="551"/>
      <c r="AG630" s="551"/>
      <c r="AH630" s="551"/>
      <c r="AI630" s="551"/>
      <c r="AJ630" s="551"/>
      <c r="AK630" s="551"/>
      <c r="AL630" s="551"/>
      <c r="AM630" s="551"/>
      <c r="AN630" s="551"/>
      <c r="AO630" s="551"/>
      <c r="AP630" s="551"/>
      <c r="AQ630" s="551"/>
      <c r="AR630" s="551"/>
      <c r="AS630" s="551"/>
      <c r="AT630" s="551"/>
      <c r="AU630" s="551"/>
      <c r="AV630" s="551"/>
      <c r="AW630" s="551"/>
      <c r="AX630" s="551"/>
      <c r="AY630" s="551"/>
      <c r="AZ630" s="551"/>
      <c r="BA630" s="551"/>
      <c r="BB630" s="551"/>
      <c r="BC630" s="551"/>
      <c r="BD630" s="551"/>
      <c r="BE630" s="551"/>
      <c r="BF630" s="551"/>
      <c r="BG630" s="551"/>
      <c r="BH630" s="551"/>
      <c r="BI630" s="551"/>
      <c r="BJ630" s="551"/>
    </row>
    <row r="631" spans="1:62" ht="12.75" customHeight="1">
      <c r="A631" s="551"/>
      <c r="B631" s="551"/>
      <c r="C631" s="551"/>
      <c r="D631" s="551"/>
      <c r="E631" s="551"/>
      <c r="F631" s="551"/>
      <c r="G631" s="551"/>
      <c r="H631" s="551"/>
      <c r="I631" s="551"/>
      <c r="J631" s="551"/>
      <c r="K631" s="551"/>
      <c r="L631" s="551"/>
      <c r="M631" s="551"/>
      <c r="N631" s="551"/>
      <c r="O631" s="551"/>
      <c r="P631" s="551"/>
      <c r="Q631" s="551"/>
      <c r="R631" s="551"/>
      <c r="S631" s="551"/>
      <c r="T631" s="551"/>
      <c r="U631" s="551"/>
      <c r="V631" s="551"/>
      <c r="W631" s="551"/>
      <c r="X631" s="551"/>
      <c r="Y631" s="551"/>
      <c r="Z631" s="551"/>
      <c r="AA631" s="551"/>
      <c r="AB631" s="551"/>
      <c r="AC631" s="551"/>
      <c r="AD631" s="551"/>
      <c r="AE631" s="551"/>
      <c r="AF631" s="551"/>
      <c r="AG631" s="551"/>
      <c r="AH631" s="551"/>
      <c r="AI631" s="551"/>
      <c r="AJ631" s="551"/>
      <c r="AK631" s="551"/>
      <c r="AL631" s="551"/>
      <c r="AM631" s="551"/>
      <c r="AN631" s="551"/>
      <c r="AO631" s="551"/>
      <c r="AP631" s="551"/>
      <c r="AQ631" s="551"/>
      <c r="AR631" s="551"/>
      <c r="AS631" s="551"/>
      <c r="AT631" s="551"/>
      <c r="AU631" s="551"/>
      <c r="AV631" s="551"/>
      <c r="AW631" s="551"/>
      <c r="AX631" s="551"/>
      <c r="AY631" s="551"/>
      <c r="AZ631" s="551"/>
      <c r="BA631" s="551"/>
      <c r="BB631" s="551"/>
      <c r="BC631" s="551"/>
      <c r="BD631" s="551"/>
      <c r="BE631" s="551"/>
      <c r="BF631" s="551"/>
      <c r="BG631" s="551"/>
      <c r="BH631" s="551"/>
      <c r="BI631" s="551"/>
      <c r="BJ631" s="551"/>
    </row>
    <row r="632" spans="1:62" ht="12.75" customHeight="1">
      <c r="A632" s="551"/>
      <c r="B632" s="551"/>
      <c r="C632" s="551"/>
      <c r="D632" s="551"/>
      <c r="E632" s="551"/>
      <c r="F632" s="551"/>
      <c r="G632" s="551"/>
      <c r="H632" s="551"/>
      <c r="I632" s="551"/>
      <c r="J632" s="551"/>
      <c r="K632" s="551"/>
      <c r="L632" s="551"/>
      <c r="M632" s="551"/>
      <c r="N632" s="551"/>
      <c r="O632" s="551"/>
      <c r="P632" s="551"/>
      <c r="Q632" s="551"/>
      <c r="R632" s="551"/>
      <c r="S632" s="551"/>
      <c r="T632" s="551"/>
      <c r="U632" s="551"/>
      <c r="V632" s="551"/>
      <c r="W632" s="551"/>
      <c r="X632" s="551"/>
      <c r="Y632" s="551"/>
      <c r="Z632" s="551"/>
      <c r="AA632" s="551"/>
      <c r="AB632" s="551"/>
      <c r="AC632" s="551"/>
      <c r="AD632" s="551"/>
      <c r="AE632" s="551"/>
      <c r="AF632" s="551"/>
      <c r="AG632" s="551"/>
      <c r="AH632" s="551"/>
      <c r="AI632" s="551"/>
      <c r="AJ632" s="551"/>
      <c r="AK632" s="551"/>
      <c r="AL632" s="551"/>
      <c r="AM632" s="551"/>
      <c r="AN632" s="551"/>
      <c r="AO632" s="551"/>
      <c r="AP632" s="551"/>
      <c r="AQ632" s="551"/>
      <c r="AR632" s="551"/>
      <c r="AS632" s="551"/>
      <c r="AT632" s="551"/>
      <c r="AU632" s="551"/>
      <c r="AV632" s="551"/>
      <c r="AW632" s="551"/>
      <c r="AX632" s="551"/>
      <c r="AY632" s="551"/>
      <c r="AZ632" s="551"/>
      <c r="BA632" s="551"/>
      <c r="BB632" s="551"/>
      <c r="BC632" s="551"/>
      <c r="BD632" s="551"/>
      <c r="BE632" s="551"/>
      <c r="BF632" s="551"/>
      <c r="BG632" s="551"/>
      <c r="BH632" s="551"/>
      <c r="BI632" s="551"/>
      <c r="BJ632" s="551"/>
    </row>
    <row r="633" spans="1:62" ht="12.75" customHeight="1">
      <c r="A633" s="551"/>
      <c r="B633" s="551"/>
      <c r="C633" s="551"/>
      <c r="D633" s="551"/>
      <c r="E633" s="551"/>
      <c r="F633" s="551"/>
      <c r="G633" s="551"/>
      <c r="H633" s="551"/>
      <c r="I633" s="551"/>
      <c r="J633" s="551"/>
      <c r="K633" s="551"/>
      <c r="L633" s="551"/>
      <c r="M633" s="551"/>
      <c r="N633" s="551"/>
      <c r="O633" s="551"/>
      <c r="P633" s="551"/>
      <c r="Q633" s="551"/>
      <c r="R633" s="551"/>
      <c r="S633" s="551"/>
      <c r="T633" s="551"/>
      <c r="U633" s="551"/>
      <c r="V633" s="551"/>
      <c r="W633" s="551"/>
      <c r="X633" s="551"/>
      <c r="Y633" s="551"/>
      <c r="Z633" s="551"/>
      <c r="AA633" s="551"/>
      <c r="AB633" s="551"/>
      <c r="AC633" s="551"/>
      <c r="AD633" s="551"/>
      <c r="AE633" s="551"/>
      <c r="AF633" s="551"/>
      <c r="AG633" s="551"/>
      <c r="AH633" s="551"/>
      <c r="AI633" s="551"/>
      <c r="AJ633" s="551"/>
      <c r="AK633" s="551"/>
      <c r="AL633" s="551"/>
      <c r="AM633" s="551"/>
      <c r="AN633" s="551"/>
      <c r="AO633" s="551"/>
      <c r="AP633" s="551"/>
      <c r="AQ633" s="551"/>
      <c r="AR633" s="551"/>
      <c r="AS633" s="551"/>
      <c r="AT633" s="551"/>
      <c r="AU633" s="551"/>
      <c r="AV633" s="551"/>
      <c r="AW633" s="551"/>
      <c r="AX633" s="551"/>
      <c r="AY633" s="551"/>
      <c r="AZ633" s="551"/>
      <c r="BA633" s="551"/>
      <c r="BB633" s="551"/>
      <c r="BC633" s="551"/>
      <c r="BD633" s="551"/>
      <c r="BE633" s="551"/>
      <c r="BF633" s="551"/>
      <c r="BG633" s="551"/>
      <c r="BH633" s="551"/>
      <c r="BI633" s="551"/>
      <c r="BJ633" s="551"/>
    </row>
    <row r="634" spans="1:62" ht="12.75" customHeight="1">
      <c r="A634" s="551"/>
      <c r="B634" s="551"/>
      <c r="C634" s="551"/>
      <c r="D634" s="551"/>
      <c r="E634" s="551"/>
      <c r="F634" s="551"/>
      <c r="G634" s="551"/>
      <c r="H634" s="551"/>
      <c r="I634" s="551"/>
      <c r="J634" s="551"/>
      <c r="K634" s="551"/>
      <c r="L634" s="551"/>
      <c r="M634" s="551"/>
      <c r="N634" s="551"/>
      <c r="O634" s="551"/>
      <c r="P634" s="551"/>
      <c r="Q634" s="551"/>
      <c r="R634" s="551"/>
      <c r="S634" s="551"/>
      <c r="T634" s="551"/>
      <c r="U634" s="551"/>
      <c r="V634" s="551"/>
      <c r="W634" s="551"/>
      <c r="X634" s="551"/>
      <c r="Y634" s="551"/>
      <c r="Z634" s="551"/>
      <c r="AA634" s="551"/>
      <c r="AB634" s="551"/>
      <c r="AC634" s="551"/>
      <c r="AD634" s="551"/>
      <c r="AE634" s="551"/>
      <c r="AF634" s="551"/>
      <c r="AG634" s="551"/>
      <c r="AH634" s="551"/>
      <c r="AI634" s="551"/>
      <c r="AJ634" s="551"/>
      <c r="AK634" s="551"/>
      <c r="AL634" s="551"/>
      <c r="AM634" s="551"/>
      <c r="AN634" s="551"/>
      <c r="AO634" s="551"/>
      <c r="AP634" s="551"/>
      <c r="AQ634" s="551"/>
      <c r="AR634" s="551"/>
      <c r="AS634" s="551"/>
      <c r="AT634" s="551"/>
      <c r="AU634" s="551"/>
      <c r="AV634" s="551"/>
      <c r="AW634" s="551"/>
      <c r="AX634" s="551"/>
      <c r="AY634" s="551"/>
      <c r="AZ634" s="551"/>
      <c r="BA634" s="551"/>
      <c r="BB634" s="551"/>
      <c r="BC634" s="551"/>
      <c r="BD634" s="551"/>
      <c r="BE634" s="551"/>
      <c r="BF634" s="551"/>
      <c r="BG634" s="551"/>
      <c r="BH634" s="551"/>
      <c r="BI634" s="551"/>
      <c r="BJ634" s="551"/>
    </row>
    <row r="635" spans="1:62" ht="12.75" customHeight="1">
      <c r="A635" s="551"/>
      <c r="B635" s="551"/>
      <c r="C635" s="551"/>
      <c r="D635" s="551"/>
      <c r="E635" s="551"/>
      <c r="F635" s="551"/>
      <c r="G635" s="551"/>
      <c r="H635" s="551"/>
      <c r="I635" s="551"/>
      <c r="J635" s="551"/>
      <c r="K635" s="551"/>
      <c r="L635" s="551"/>
      <c r="M635" s="551"/>
      <c r="N635" s="551"/>
      <c r="O635" s="551"/>
      <c r="P635" s="551"/>
      <c r="Q635" s="551"/>
      <c r="R635" s="551"/>
      <c r="S635" s="551"/>
      <c r="T635" s="551"/>
      <c r="U635" s="551"/>
      <c r="V635" s="551"/>
      <c r="W635" s="551"/>
      <c r="X635" s="551"/>
      <c r="Y635" s="551"/>
      <c r="Z635" s="551"/>
      <c r="AA635" s="551"/>
      <c r="AB635" s="551"/>
      <c r="AC635" s="551"/>
      <c r="AD635" s="551"/>
      <c r="AE635" s="551"/>
      <c r="AF635" s="551"/>
      <c r="AG635" s="551"/>
      <c r="AH635" s="551"/>
      <c r="AI635" s="551"/>
      <c r="AJ635" s="551"/>
      <c r="AK635" s="551"/>
      <c r="AL635" s="551"/>
      <c r="AM635" s="551"/>
      <c r="AN635" s="551"/>
      <c r="AO635" s="551"/>
      <c r="AP635" s="551"/>
      <c r="AQ635" s="551"/>
      <c r="AR635" s="551"/>
      <c r="AS635" s="551"/>
      <c r="AT635" s="551"/>
      <c r="AU635" s="551"/>
      <c r="AV635" s="551"/>
      <c r="AW635" s="551"/>
      <c r="AX635" s="551"/>
      <c r="AY635" s="551"/>
      <c r="AZ635" s="551"/>
      <c r="BA635" s="551"/>
      <c r="BB635" s="551"/>
      <c r="BC635" s="551"/>
      <c r="BD635" s="551"/>
      <c r="BE635" s="551"/>
      <c r="BF635" s="551"/>
      <c r="BG635" s="551"/>
      <c r="BH635" s="551"/>
      <c r="BI635" s="551"/>
      <c r="BJ635" s="551"/>
    </row>
    <row r="636" spans="1:62" ht="12.75" customHeight="1">
      <c r="A636" s="551"/>
      <c r="B636" s="551"/>
      <c r="C636" s="551"/>
      <c r="D636" s="551"/>
      <c r="E636" s="551"/>
      <c r="F636" s="551"/>
      <c r="G636" s="551"/>
      <c r="H636" s="551"/>
      <c r="I636" s="551"/>
      <c r="J636" s="551"/>
      <c r="K636" s="551"/>
      <c r="L636" s="551"/>
      <c r="M636" s="551"/>
      <c r="N636" s="551"/>
      <c r="O636" s="551"/>
      <c r="P636" s="551"/>
      <c r="Q636" s="551"/>
      <c r="R636" s="551"/>
      <c r="S636" s="551"/>
      <c r="T636" s="551"/>
      <c r="U636" s="551"/>
      <c r="V636" s="551"/>
      <c r="W636" s="551"/>
      <c r="X636" s="551"/>
      <c r="Y636" s="551"/>
      <c r="Z636" s="551"/>
      <c r="AA636" s="551"/>
      <c r="AB636" s="551"/>
      <c r="AC636" s="551"/>
      <c r="AD636" s="551"/>
      <c r="AE636" s="551"/>
      <c r="AF636" s="551"/>
      <c r="AG636" s="551"/>
      <c r="AH636" s="551"/>
      <c r="AI636" s="551"/>
      <c r="AJ636" s="551"/>
      <c r="AK636" s="551"/>
      <c r="AL636" s="551"/>
      <c r="AM636" s="551"/>
      <c r="AN636" s="551"/>
      <c r="AO636" s="551"/>
      <c r="AP636" s="551"/>
      <c r="AQ636" s="551"/>
      <c r="AR636" s="551"/>
      <c r="AS636" s="551"/>
      <c r="AT636" s="551"/>
      <c r="AU636" s="551"/>
      <c r="AV636" s="551"/>
      <c r="AW636" s="551"/>
      <c r="AX636" s="551"/>
      <c r="AY636" s="551"/>
      <c r="AZ636" s="551"/>
      <c r="BA636" s="551"/>
      <c r="BB636" s="551"/>
      <c r="BC636" s="551"/>
      <c r="BD636" s="551"/>
      <c r="BE636" s="551"/>
      <c r="BF636" s="551"/>
      <c r="BG636" s="551"/>
      <c r="BH636" s="551"/>
      <c r="BI636" s="551"/>
      <c r="BJ636" s="551"/>
    </row>
    <row r="637" spans="1:62" ht="12.75" customHeight="1">
      <c r="A637" s="551"/>
      <c r="B637" s="551"/>
      <c r="C637" s="551"/>
      <c r="D637" s="551"/>
      <c r="E637" s="551"/>
      <c r="F637" s="551"/>
      <c r="G637" s="551"/>
      <c r="H637" s="551"/>
      <c r="I637" s="551"/>
      <c r="J637" s="551"/>
      <c r="K637" s="551"/>
      <c r="L637" s="551"/>
      <c r="M637" s="551"/>
      <c r="N637" s="551"/>
      <c r="O637" s="551"/>
      <c r="P637" s="551"/>
      <c r="Q637" s="551"/>
      <c r="R637" s="551"/>
      <c r="S637" s="551"/>
      <c r="T637" s="551"/>
      <c r="U637" s="551"/>
      <c r="V637" s="551"/>
      <c r="W637" s="551"/>
      <c r="X637" s="551"/>
      <c r="Y637" s="551"/>
      <c r="Z637" s="551"/>
      <c r="AA637" s="551"/>
      <c r="AB637" s="551"/>
      <c r="AC637" s="551"/>
      <c r="AD637" s="551"/>
      <c r="AE637" s="551"/>
      <c r="AF637" s="551"/>
      <c r="AG637" s="551"/>
      <c r="AH637" s="551"/>
      <c r="AI637" s="551"/>
      <c r="AJ637" s="551"/>
      <c r="AK637" s="551"/>
      <c r="AL637" s="551"/>
      <c r="AM637" s="551"/>
      <c r="AN637" s="551"/>
      <c r="AO637" s="551"/>
      <c r="AP637" s="551"/>
      <c r="AQ637" s="551"/>
      <c r="AR637" s="551"/>
      <c r="AS637" s="551"/>
      <c r="AT637" s="551"/>
      <c r="AU637" s="551"/>
      <c r="AV637" s="551"/>
      <c r="AW637" s="551"/>
      <c r="AX637" s="551"/>
      <c r="AY637" s="551"/>
      <c r="AZ637" s="551"/>
      <c r="BA637" s="551"/>
      <c r="BB637" s="551"/>
      <c r="BC637" s="551"/>
      <c r="BD637" s="551"/>
      <c r="BE637" s="551"/>
      <c r="BF637" s="551"/>
      <c r="BG637" s="551"/>
      <c r="BH637" s="551"/>
      <c r="BI637" s="551"/>
      <c r="BJ637" s="551"/>
    </row>
    <row r="638" spans="1:62" ht="12.75" customHeight="1">
      <c r="A638" s="551"/>
      <c r="B638" s="551"/>
      <c r="C638" s="551"/>
      <c r="D638" s="551"/>
      <c r="E638" s="551"/>
      <c r="F638" s="551"/>
      <c r="G638" s="551"/>
      <c r="H638" s="551"/>
      <c r="I638" s="551"/>
      <c r="J638" s="551"/>
      <c r="K638" s="551"/>
      <c r="L638" s="551"/>
      <c r="M638" s="551"/>
      <c r="N638" s="551"/>
      <c r="O638" s="551"/>
      <c r="P638" s="551"/>
      <c r="Q638" s="551"/>
      <c r="R638" s="551"/>
      <c r="S638" s="551"/>
      <c r="T638" s="551"/>
      <c r="U638" s="551"/>
      <c r="V638" s="551"/>
      <c r="W638" s="551"/>
      <c r="X638" s="551"/>
      <c r="Y638" s="551"/>
      <c r="Z638" s="551"/>
      <c r="AA638" s="551"/>
      <c r="AB638" s="551"/>
      <c r="AC638" s="551"/>
      <c r="AD638" s="551"/>
      <c r="AE638" s="551"/>
      <c r="AF638" s="551"/>
      <c r="AG638" s="551"/>
      <c r="AH638" s="551"/>
      <c r="AI638" s="551"/>
      <c r="AJ638" s="551"/>
      <c r="AK638" s="551"/>
      <c r="AL638" s="551"/>
      <c r="AM638" s="551"/>
      <c r="AN638" s="551"/>
      <c r="AO638" s="551"/>
      <c r="AP638" s="551"/>
      <c r="AQ638" s="551"/>
      <c r="AR638" s="551"/>
      <c r="AS638" s="551"/>
      <c r="AT638" s="551"/>
      <c r="AU638" s="551"/>
      <c r="AV638" s="551"/>
      <c r="AW638" s="551"/>
      <c r="AX638" s="551"/>
      <c r="AY638" s="551"/>
      <c r="AZ638" s="551"/>
      <c r="BA638" s="551"/>
      <c r="BB638" s="551"/>
      <c r="BC638" s="551"/>
      <c r="BD638" s="551"/>
      <c r="BE638" s="551"/>
      <c r="BF638" s="551"/>
      <c r="BG638" s="551"/>
      <c r="BH638" s="551"/>
      <c r="BI638" s="551"/>
      <c r="BJ638" s="551"/>
    </row>
    <row r="639" spans="1:62" ht="12.75" customHeight="1">
      <c r="A639" s="551"/>
      <c r="B639" s="551"/>
      <c r="C639" s="551"/>
      <c r="D639" s="551"/>
      <c r="E639" s="551"/>
      <c r="F639" s="551"/>
      <c r="G639" s="551"/>
      <c r="H639" s="551"/>
      <c r="I639" s="551"/>
      <c r="J639" s="551"/>
      <c r="K639" s="551"/>
      <c r="L639" s="551"/>
      <c r="M639" s="551"/>
      <c r="N639" s="551"/>
      <c r="O639" s="551"/>
      <c r="P639" s="551"/>
      <c r="Q639" s="551"/>
      <c r="R639" s="551"/>
      <c r="S639" s="551"/>
      <c r="T639" s="551"/>
      <c r="U639" s="551"/>
      <c r="V639" s="551"/>
      <c r="W639" s="551"/>
      <c r="X639" s="551"/>
      <c r="Y639" s="551"/>
      <c r="Z639" s="551"/>
      <c r="AA639" s="551"/>
      <c r="AB639" s="551"/>
      <c r="AC639" s="551"/>
      <c r="AD639" s="551"/>
      <c r="AE639" s="551"/>
      <c r="AF639" s="551"/>
      <c r="AG639" s="551"/>
      <c r="AH639" s="551"/>
      <c r="AI639" s="551"/>
      <c r="AJ639" s="551"/>
      <c r="AK639" s="551"/>
      <c r="AL639" s="551"/>
      <c r="AM639" s="551"/>
      <c r="AN639" s="551"/>
      <c r="AO639" s="551"/>
      <c r="AP639" s="551"/>
      <c r="AQ639" s="551"/>
      <c r="AR639" s="551"/>
      <c r="AS639" s="551"/>
      <c r="AT639" s="551"/>
      <c r="AU639" s="551"/>
      <c r="AV639" s="551"/>
      <c r="AW639" s="551"/>
      <c r="AX639" s="551"/>
      <c r="AY639" s="551"/>
      <c r="AZ639" s="551"/>
      <c r="BA639" s="551"/>
      <c r="BB639" s="551"/>
      <c r="BC639" s="551"/>
      <c r="BD639" s="551"/>
      <c r="BE639" s="551"/>
      <c r="BF639" s="551"/>
      <c r="BG639" s="551"/>
      <c r="BH639" s="551"/>
      <c r="BI639" s="551"/>
      <c r="BJ639" s="551"/>
    </row>
    <row r="640" spans="1:62" ht="12.75" customHeight="1">
      <c r="A640" s="551"/>
      <c r="B640" s="551"/>
      <c r="C640" s="551"/>
      <c r="D640" s="551"/>
      <c r="E640" s="551"/>
      <c r="F640" s="551"/>
      <c r="G640" s="551"/>
      <c r="H640" s="551"/>
      <c r="I640" s="551"/>
      <c r="J640" s="551"/>
      <c r="K640" s="551"/>
      <c r="L640" s="551"/>
      <c r="M640" s="551"/>
      <c r="N640" s="551"/>
      <c r="O640" s="551"/>
      <c r="P640" s="551"/>
      <c r="Q640" s="551"/>
      <c r="R640" s="551"/>
      <c r="S640" s="551"/>
      <c r="T640" s="551"/>
      <c r="U640" s="551"/>
      <c r="V640" s="551"/>
      <c r="W640" s="551"/>
      <c r="X640" s="551"/>
      <c r="Y640" s="551"/>
      <c r="Z640" s="551"/>
      <c r="AA640" s="551"/>
      <c r="AB640" s="551"/>
      <c r="AC640" s="551"/>
      <c r="AD640" s="551"/>
      <c r="AE640" s="551"/>
      <c r="AF640" s="551"/>
      <c r="AG640" s="551"/>
      <c r="AH640" s="551"/>
      <c r="AI640" s="551"/>
      <c r="AJ640" s="551"/>
      <c r="AK640" s="551"/>
      <c r="AL640" s="551"/>
      <c r="AM640" s="551"/>
      <c r="AN640" s="551"/>
      <c r="AO640" s="551"/>
      <c r="AP640" s="551"/>
      <c r="AQ640" s="551"/>
      <c r="AR640" s="551"/>
      <c r="AS640" s="551"/>
      <c r="AT640" s="551"/>
      <c r="AU640" s="551"/>
      <c r="AV640" s="551"/>
      <c r="AW640" s="551"/>
      <c r="AX640" s="551"/>
      <c r="AY640" s="551"/>
      <c r="AZ640" s="551"/>
      <c r="BA640" s="551"/>
      <c r="BB640" s="551"/>
      <c r="BC640" s="551"/>
      <c r="BD640" s="551"/>
      <c r="BE640" s="551"/>
      <c r="BF640" s="551"/>
      <c r="BG640" s="551"/>
      <c r="BH640" s="551"/>
      <c r="BI640" s="551"/>
      <c r="BJ640" s="551"/>
    </row>
    <row r="641" spans="1:62" ht="12.75" customHeight="1">
      <c r="A641" s="551"/>
      <c r="B641" s="551"/>
      <c r="C641" s="551"/>
      <c r="D641" s="551"/>
      <c r="E641" s="551"/>
      <c r="F641" s="551"/>
      <c r="G641" s="551"/>
      <c r="H641" s="551"/>
      <c r="I641" s="551"/>
      <c r="J641" s="551"/>
      <c r="K641" s="551"/>
      <c r="L641" s="551"/>
      <c r="M641" s="551"/>
      <c r="N641" s="551"/>
      <c r="O641" s="551"/>
      <c r="P641" s="551"/>
      <c r="Q641" s="551"/>
      <c r="R641" s="551"/>
      <c r="S641" s="551"/>
      <c r="T641" s="551"/>
      <c r="U641" s="551"/>
      <c r="V641" s="551"/>
      <c r="W641" s="551"/>
      <c r="X641" s="551"/>
      <c r="Y641" s="551"/>
      <c r="Z641" s="551"/>
      <c r="AA641" s="551"/>
      <c r="AB641" s="551"/>
      <c r="AC641" s="551"/>
      <c r="AD641" s="551"/>
      <c r="AE641" s="551"/>
      <c r="AF641" s="551"/>
      <c r="AG641" s="551"/>
      <c r="AH641" s="551"/>
      <c r="AI641" s="551"/>
      <c r="AJ641" s="551"/>
      <c r="AK641" s="551"/>
      <c r="AL641" s="551"/>
      <c r="AM641" s="551"/>
      <c r="AN641" s="551"/>
      <c r="AO641" s="551"/>
      <c r="AP641" s="551"/>
      <c r="AQ641" s="551"/>
      <c r="AR641" s="551"/>
      <c r="AS641" s="551"/>
      <c r="AT641" s="551"/>
      <c r="AU641" s="551"/>
      <c r="AV641" s="551"/>
      <c r="AW641" s="551"/>
      <c r="AX641" s="551"/>
      <c r="AY641" s="551"/>
      <c r="AZ641" s="551"/>
      <c r="BA641" s="551"/>
      <c r="BB641" s="551"/>
      <c r="BC641" s="551"/>
      <c r="BD641" s="551"/>
      <c r="BE641" s="551"/>
      <c r="BF641" s="551"/>
      <c r="BG641" s="551"/>
      <c r="BH641" s="551"/>
      <c r="BI641" s="551"/>
      <c r="BJ641" s="551"/>
    </row>
    <row r="642" spans="1:62" ht="12.75" customHeight="1">
      <c r="A642" s="551"/>
      <c r="B642" s="551"/>
      <c r="C642" s="551"/>
      <c r="D642" s="551"/>
      <c r="E642" s="551"/>
      <c r="F642" s="551"/>
      <c r="G642" s="551"/>
      <c r="H642" s="551"/>
      <c r="I642" s="551"/>
      <c r="J642" s="551"/>
      <c r="K642" s="551"/>
      <c r="L642" s="551"/>
      <c r="M642" s="551"/>
      <c r="N642" s="551"/>
      <c r="O642" s="551"/>
      <c r="P642" s="551"/>
      <c r="Q642" s="551"/>
      <c r="R642" s="551"/>
      <c r="S642" s="551"/>
      <c r="T642" s="551"/>
      <c r="U642" s="551"/>
      <c r="V642" s="551"/>
      <c r="W642" s="551"/>
      <c r="X642" s="551"/>
      <c r="Y642" s="551"/>
      <c r="Z642" s="551"/>
      <c r="AA642" s="551"/>
      <c r="AB642" s="551"/>
      <c r="AC642" s="551"/>
      <c r="AD642" s="551"/>
      <c r="AE642" s="551"/>
      <c r="AF642" s="551"/>
      <c r="AG642" s="551"/>
      <c r="AH642" s="551"/>
      <c r="AI642" s="551"/>
      <c r="AJ642" s="551"/>
      <c r="AK642" s="551"/>
      <c r="AL642" s="551"/>
      <c r="AM642" s="551"/>
      <c r="AN642" s="551"/>
      <c r="AO642" s="551"/>
      <c r="AP642" s="551"/>
      <c r="AQ642" s="551"/>
      <c r="AR642" s="551"/>
      <c r="AS642" s="551"/>
      <c r="AT642" s="551"/>
      <c r="AU642" s="551"/>
      <c r="AV642" s="551"/>
      <c r="AW642" s="551"/>
      <c r="AX642" s="551"/>
      <c r="AY642" s="551"/>
      <c r="AZ642" s="551"/>
      <c r="BA642" s="551"/>
      <c r="BB642" s="551"/>
      <c r="BC642" s="551"/>
      <c r="BD642" s="551"/>
      <c r="BE642" s="551"/>
      <c r="BF642" s="551"/>
      <c r="BG642" s="551"/>
      <c r="BH642" s="551"/>
      <c r="BI642" s="551"/>
      <c r="BJ642" s="551"/>
    </row>
    <row r="643" spans="1:62" ht="12.75" customHeight="1">
      <c r="A643" s="551"/>
      <c r="B643" s="551"/>
      <c r="C643" s="551"/>
      <c r="D643" s="551"/>
      <c r="E643" s="551"/>
      <c r="F643" s="551"/>
      <c r="G643" s="551"/>
      <c r="H643" s="551"/>
      <c r="I643" s="551"/>
      <c r="J643" s="551"/>
      <c r="K643" s="551"/>
      <c r="L643" s="551"/>
      <c r="M643" s="551"/>
      <c r="N643" s="551"/>
      <c r="O643" s="551"/>
      <c r="P643" s="551"/>
      <c r="Q643" s="551"/>
      <c r="R643" s="551"/>
      <c r="S643" s="551"/>
      <c r="T643" s="551"/>
      <c r="U643" s="551"/>
      <c r="V643" s="551"/>
      <c r="W643" s="551"/>
      <c r="X643" s="551"/>
      <c r="Y643" s="551"/>
      <c r="Z643" s="551"/>
      <c r="AA643" s="551"/>
      <c r="AB643" s="551"/>
      <c r="AC643" s="551"/>
      <c r="AD643" s="551"/>
      <c r="AE643" s="551"/>
      <c r="AF643" s="551"/>
      <c r="AG643" s="551"/>
      <c r="AH643" s="551"/>
      <c r="AI643" s="551"/>
      <c r="AJ643" s="551"/>
      <c r="AK643" s="551"/>
      <c r="AL643" s="551"/>
      <c r="AM643" s="551"/>
      <c r="AN643" s="551"/>
      <c r="AO643" s="551"/>
      <c r="AP643" s="551"/>
      <c r="AQ643" s="551"/>
      <c r="AR643" s="551"/>
      <c r="AS643" s="551"/>
      <c r="AT643" s="551"/>
      <c r="AU643" s="551"/>
      <c r="AV643" s="551"/>
      <c r="AW643" s="551"/>
      <c r="AX643" s="551"/>
      <c r="AY643" s="551"/>
      <c r="AZ643" s="551"/>
      <c r="BA643" s="551"/>
      <c r="BB643" s="551"/>
      <c r="BC643" s="551"/>
      <c r="BD643" s="551"/>
      <c r="BE643" s="551"/>
      <c r="BF643" s="551"/>
      <c r="BG643" s="551"/>
      <c r="BH643" s="551"/>
      <c r="BI643" s="551"/>
      <c r="BJ643" s="551"/>
    </row>
    <row r="644" spans="1:62" ht="12.75" customHeight="1">
      <c r="A644" s="551"/>
      <c r="B644" s="551"/>
      <c r="C644" s="551"/>
      <c r="D644" s="551"/>
      <c r="E644" s="551"/>
      <c r="F644" s="551"/>
      <c r="G644" s="551"/>
      <c r="H644" s="551"/>
      <c r="I644" s="551"/>
      <c r="J644" s="551"/>
      <c r="K644" s="551"/>
      <c r="L644" s="551"/>
      <c r="M644" s="551"/>
      <c r="N644" s="551"/>
      <c r="O644" s="551"/>
      <c r="P644" s="551"/>
      <c r="Q644" s="551"/>
      <c r="R644" s="551"/>
      <c r="S644" s="551"/>
      <c r="T644" s="551"/>
      <c r="U644" s="551"/>
      <c r="V644" s="551"/>
      <c r="W644" s="551"/>
      <c r="X644" s="551"/>
      <c r="Y644" s="551"/>
      <c r="Z644" s="551"/>
      <c r="AA644" s="551"/>
      <c r="AB644" s="551"/>
      <c r="AC644" s="551"/>
      <c r="AD644" s="551"/>
      <c r="AE644" s="551"/>
      <c r="AF644" s="551"/>
      <c r="AG644" s="551"/>
      <c r="AH644" s="551"/>
      <c r="AI644" s="551"/>
      <c r="AJ644" s="551"/>
      <c r="AK644" s="551"/>
      <c r="AL644" s="551"/>
      <c r="AM644" s="551"/>
      <c r="AN644" s="551"/>
      <c r="AO644" s="551"/>
      <c r="AP644" s="551"/>
      <c r="AQ644" s="551"/>
      <c r="AR644" s="551"/>
      <c r="AS644" s="551"/>
      <c r="AT644" s="551"/>
      <c r="AU644" s="551"/>
      <c r="AV644" s="551"/>
      <c r="AW644" s="551"/>
      <c r="AX644" s="551"/>
      <c r="AY644" s="551"/>
      <c r="AZ644" s="551"/>
      <c r="BA644" s="551"/>
      <c r="BB644" s="551"/>
      <c r="BC644" s="551"/>
      <c r="BD644" s="551"/>
      <c r="BE644" s="551"/>
      <c r="BF644" s="551"/>
      <c r="BG644" s="551"/>
      <c r="BH644" s="551"/>
      <c r="BI644" s="551"/>
      <c r="BJ644" s="551"/>
    </row>
    <row r="645" spans="1:62" ht="12.75" customHeight="1">
      <c r="A645" s="551"/>
      <c r="B645" s="551"/>
      <c r="C645" s="551"/>
      <c r="D645" s="551"/>
      <c r="E645" s="551"/>
      <c r="F645" s="551"/>
      <c r="G645" s="551"/>
      <c r="H645" s="551"/>
      <c r="I645" s="551"/>
      <c r="J645" s="551"/>
      <c r="K645" s="551"/>
      <c r="L645" s="551"/>
      <c r="M645" s="551"/>
      <c r="N645" s="551"/>
      <c r="O645" s="551"/>
      <c r="P645" s="551"/>
      <c r="Q645" s="551"/>
      <c r="R645" s="551"/>
      <c r="S645" s="551"/>
      <c r="T645" s="551"/>
      <c r="U645" s="551"/>
      <c r="V645" s="551"/>
      <c r="W645" s="551"/>
      <c r="X645" s="551"/>
      <c r="Y645" s="551"/>
      <c r="Z645" s="551"/>
      <c r="AA645" s="551"/>
      <c r="AB645" s="551"/>
      <c r="AC645" s="551"/>
      <c r="AD645" s="551"/>
      <c r="AE645" s="551"/>
      <c r="AF645" s="551"/>
      <c r="AG645" s="551"/>
      <c r="AH645" s="551"/>
      <c r="AI645" s="551"/>
      <c r="AJ645" s="551"/>
      <c r="AK645" s="551"/>
      <c r="AL645" s="551"/>
      <c r="AM645" s="551"/>
      <c r="AN645" s="551"/>
      <c r="AO645" s="551"/>
      <c r="AP645" s="551"/>
      <c r="AQ645" s="551"/>
      <c r="AR645" s="551"/>
      <c r="AS645" s="551"/>
      <c r="AT645" s="551"/>
      <c r="AU645" s="551"/>
      <c r="AV645" s="551"/>
      <c r="AW645" s="551"/>
      <c r="AX645" s="551"/>
      <c r="AY645" s="551"/>
      <c r="AZ645" s="551"/>
      <c r="BA645" s="551"/>
      <c r="BB645" s="551"/>
      <c r="BC645" s="551"/>
      <c r="BD645" s="551"/>
      <c r="BE645" s="551"/>
      <c r="BF645" s="551"/>
      <c r="BG645" s="551"/>
      <c r="BH645" s="551"/>
      <c r="BI645" s="551"/>
      <c r="BJ645" s="551"/>
    </row>
    <row r="646" spans="1:62" ht="12.75" customHeight="1">
      <c r="A646" s="551"/>
      <c r="B646" s="551"/>
      <c r="C646" s="551"/>
      <c r="D646" s="551"/>
      <c r="E646" s="551"/>
      <c r="F646" s="551"/>
      <c r="G646" s="551"/>
      <c r="H646" s="551"/>
      <c r="I646" s="551"/>
      <c r="J646" s="551"/>
      <c r="K646" s="551"/>
      <c r="L646" s="551"/>
      <c r="M646" s="551"/>
      <c r="N646" s="551"/>
      <c r="O646" s="551"/>
      <c r="P646" s="551"/>
      <c r="Q646" s="551"/>
      <c r="R646" s="551"/>
      <c r="S646" s="551"/>
      <c r="T646" s="551"/>
      <c r="U646" s="551"/>
      <c r="V646" s="551"/>
      <c r="W646" s="551"/>
      <c r="X646" s="551"/>
      <c r="Y646" s="551"/>
      <c r="Z646" s="551"/>
      <c r="AA646" s="551"/>
      <c r="AB646" s="551"/>
      <c r="AC646" s="551"/>
      <c r="AD646" s="551"/>
      <c r="AE646" s="551"/>
      <c r="AF646" s="551"/>
      <c r="AG646" s="551"/>
      <c r="AH646" s="551"/>
      <c r="AI646" s="551"/>
      <c r="AJ646" s="551"/>
      <c r="AK646" s="551"/>
      <c r="AL646" s="551"/>
      <c r="AM646" s="551"/>
      <c r="AN646" s="551"/>
      <c r="AO646" s="551"/>
      <c r="AP646" s="551"/>
      <c r="AQ646" s="551"/>
      <c r="AR646" s="551"/>
      <c r="AS646" s="551"/>
      <c r="AT646" s="551"/>
      <c r="AU646" s="551"/>
      <c r="AV646" s="551"/>
      <c r="AW646" s="551"/>
      <c r="AX646" s="551"/>
      <c r="AY646" s="551"/>
      <c r="AZ646" s="551"/>
      <c r="BA646" s="551"/>
      <c r="BB646" s="551"/>
      <c r="BC646" s="551"/>
      <c r="BD646" s="551"/>
      <c r="BE646" s="551"/>
      <c r="BF646" s="551"/>
      <c r="BG646" s="551"/>
      <c r="BH646" s="551"/>
      <c r="BI646" s="551"/>
      <c r="BJ646" s="551"/>
    </row>
    <row r="647" spans="1:62" ht="12.75" customHeight="1">
      <c r="A647" s="551"/>
      <c r="B647" s="551"/>
      <c r="C647" s="551"/>
      <c r="D647" s="551"/>
      <c r="E647" s="551"/>
      <c r="F647" s="551"/>
      <c r="G647" s="551"/>
      <c r="H647" s="551"/>
      <c r="I647" s="551"/>
      <c r="J647" s="551"/>
      <c r="K647" s="551"/>
      <c r="L647" s="551"/>
      <c r="M647" s="551"/>
      <c r="N647" s="551"/>
      <c r="O647" s="551"/>
      <c r="P647" s="551"/>
      <c r="Q647" s="551"/>
      <c r="R647" s="551"/>
      <c r="S647" s="551"/>
      <c r="T647" s="551"/>
      <c r="U647" s="551"/>
      <c r="V647" s="551"/>
      <c r="W647" s="551"/>
      <c r="X647" s="551"/>
      <c r="Y647" s="551"/>
      <c r="Z647" s="551"/>
      <c r="AA647" s="551"/>
      <c r="AB647" s="551"/>
      <c r="AC647" s="551"/>
      <c r="AD647" s="551"/>
      <c r="AE647" s="551"/>
      <c r="AF647" s="551"/>
      <c r="AG647" s="551"/>
      <c r="AH647" s="551"/>
      <c r="AI647" s="551"/>
      <c r="AJ647" s="551"/>
      <c r="AK647" s="551"/>
      <c r="AL647" s="551"/>
      <c r="AM647" s="551"/>
      <c r="AN647" s="551"/>
      <c r="AO647" s="551"/>
      <c r="AP647" s="551"/>
      <c r="AQ647" s="551"/>
      <c r="AR647" s="551"/>
      <c r="AS647" s="551"/>
      <c r="AT647" s="551"/>
      <c r="AU647" s="551"/>
      <c r="AV647" s="551"/>
      <c r="AW647" s="551"/>
      <c r="AX647" s="551"/>
      <c r="AY647" s="551"/>
      <c r="AZ647" s="551"/>
      <c r="BA647" s="551"/>
      <c r="BB647" s="551"/>
      <c r="BC647" s="551"/>
      <c r="BD647" s="551"/>
      <c r="BE647" s="551"/>
      <c r="BF647" s="551"/>
      <c r="BG647" s="551"/>
      <c r="BH647" s="551"/>
      <c r="BI647" s="551"/>
      <c r="BJ647" s="551"/>
    </row>
    <row r="648" spans="1:62" ht="12.75" customHeight="1">
      <c r="A648" s="551"/>
      <c r="B648" s="551"/>
      <c r="C648" s="551"/>
      <c r="D648" s="551"/>
      <c r="E648" s="551"/>
      <c r="F648" s="551"/>
      <c r="G648" s="551"/>
      <c r="H648" s="551"/>
      <c r="I648" s="551"/>
      <c r="J648" s="551"/>
      <c r="K648" s="551"/>
      <c r="L648" s="551"/>
      <c r="M648" s="551"/>
      <c r="N648" s="551"/>
      <c r="O648" s="551"/>
      <c r="P648" s="551"/>
      <c r="Q648" s="551"/>
      <c r="R648" s="551"/>
      <c r="S648" s="551"/>
      <c r="T648" s="551"/>
      <c r="U648" s="551"/>
      <c r="V648" s="551"/>
      <c r="W648" s="551"/>
      <c r="X648" s="551"/>
      <c r="Y648" s="551"/>
      <c r="Z648" s="551"/>
      <c r="AA648" s="551"/>
      <c r="AB648" s="551"/>
      <c r="AC648" s="551"/>
      <c r="AD648" s="551"/>
      <c r="AE648" s="551"/>
      <c r="AF648" s="551"/>
      <c r="AG648" s="551"/>
      <c r="AH648" s="551"/>
      <c r="AI648" s="551"/>
      <c r="AJ648" s="551"/>
      <c r="AK648" s="551"/>
      <c r="AL648" s="551"/>
      <c r="AM648" s="551"/>
      <c r="AN648" s="551"/>
      <c r="AO648" s="551"/>
      <c r="AP648" s="551"/>
      <c r="AQ648" s="551"/>
      <c r="AR648" s="551"/>
      <c r="AS648" s="551"/>
      <c r="AT648" s="551"/>
      <c r="AU648" s="551"/>
      <c r="AV648" s="551"/>
      <c r="AW648" s="551"/>
      <c r="AX648" s="551"/>
      <c r="AY648" s="551"/>
      <c r="AZ648" s="551"/>
      <c r="BA648" s="551"/>
      <c r="BB648" s="551"/>
      <c r="BC648" s="551"/>
      <c r="BD648" s="551"/>
      <c r="BE648" s="551"/>
      <c r="BF648" s="551"/>
      <c r="BG648" s="551"/>
      <c r="BH648" s="551"/>
      <c r="BI648" s="551"/>
      <c r="BJ648" s="551"/>
    </row>
    <row r="649" spans="1:62" ht="12.75" customHeight="1">
      <c r="A649" s="551"/>
      <c r="B649" s="551"/>
      <c r="C649" s="551"/>
      <c r="D649" s="551"/>
      <c r="E649" s="551"/>
      <c r="F649" s="551"/>
      <c r="G649" s="551"/>
      <c r="H649" s="551"/>
      <c r="I649" s="551"/>
      <c r="J649" s="551"/>
      <c r="K649" s="551"/>
      <c r="L649" s="551"/>
      <c r="M649" s="551"/>
      <c r="N649" s="551"/>
      <c r="O649" s="551"/>
      <c r="P649" s="551"/>
      <c r="Q649" s="551"/>
      <c r="R649" s="551"/>
      <c r="S649" s="551"/>
      <c r="T649" s="551"/>
      <c r="U649" s="551"/>
      <c r="V649" s="551"/>
      <c r="W649" s="551"/>
      <c r="X649" s="551"/>
      <c r="Y649" s="551"/>
      <c r="Z649" s="551"/>
      <c r="AA649" s="551"/>
      <c r="AB649" s="551"/>
      <c r="AC649" s="551"/>
      <c r="AD649" s="551"/>
      <c r="AE649" s="551"/>
      <c r="AF649" s="551"/>
      <c r="AG649" s="551"/>
      <c r="AH649" s="551"/>
      <c r="AI649" s="551"/>
      <c r="AJ649" s="551"/>
      <c r="AK649" s="551"/>
      <c r="AL649" s="551"/>
      <c r="AM649" s="551"/>
      <c r="AN649" s="551"/>
      <c r="AO649" s="551"/>
      <c r="AP649" s="551"/>
      <c r="AQ649" s="551"/>
      <c r="AR649" s="551"/>
      <c r="AS649" s="551"/>
      <c r="AT649" s="551"/>
      <c r="AU649" s="551"/>
      <c r="AV649" s="551"/>
      <c r="AW649" s="551"/>
      <c r="AX649" s="551"/>
      <c r="AY649" s="551"/>
      <c r="AZ649" s="551"/>
      <c r="BA649" s="551"/>
      <c r="BB649" s="551"/>
      <c r="BC649" s="551"/>
      <c r="BD649" s="551"/>
      <c r="BE649" s="551"/>
      <c r="BF649" s="551"/>
      <c r="BG649" s="551"/>
      <c r="BH649" s="551"/>
      <c r="BI649" s="551"/>
      <c r="BJ649" s="551"/>
    </row>
    <row r="650" spans="1:62" ht="12.75" customHeight="1">
      <c r="A650" s="551"/>
      <c r="B650" s="551"/>
      <c r="C650" s="551"/>
      <c r="D650" s="551"/>
      <c r="E650" s="551"/>
      <c r="F650" s="551"/>
      <c r="G650" s="551"/>
      <c r="H650" s="551"/>
      <c r="I650" s="551"/>
      <c r="J650" s="551"/>
      <c r="K650" s="551"/>
      <c r="L650" s="551"/>
      <c r="M650" s="551"/>
      <c r="N650" s="551"/>
      <c r="O650" s="551"/>
      <c r="P650" s="551"/>
      <c r="Q650" s="551"/>
      <c r="R650" s="551"/>
      <c r="S650" s="551"/>
      <c r="T650" s="551"/>
      <c r="U650" s="551"/>
      <c r="V650" s="551"/>
      <c r="W650" s="551"/>
      <c r="X650" s="551"/>
      <c r="Y650" s="551"/>
      <c r="Z650" s="551"/>
      <c r="AA650" s="551"/>
      <c r="AB650" s="551"/>
      <c r="AC650" s="551"/>
      <c r="AD650" s="551"/>
      <c r="AE650" s="551"/>
      <c r="AF650" s="551"/>
      <c r="AG650" s="551"/>
      <c r="AH650" s="551"/>
      <c r="AI650" s="551"/>
      <c r="AJ650" s="551"/>
      <c r="AK650" s="551"/>
      <c r="AL650" s="551"/>
      <c r="AM650" s="551"/>
      <c r="AN650" s="551"/>
      <c r="AO650" s="551"/>
      <c r="AP650" s="551"/>
      <c r="AQ650" s="551"/>
      <c r="AR650" s="551"/>
      <c r="AS650" s="551"/>
      <c r="AT650" s="551"/>
      <c r="AU650" s="551"/>
      <c r="AV650" s="551"/>
      <c r="AW650" s="551"/>
      <c r="AX650" s="551"/>
      <c r="AY650" s="551"/>
      <c r="AZ650" s="551"/>
      <c r="BA650" s="551"/>
      <c r="BB650" s="551"/>
      <c r="BC650" s="551"/>
      <c r="BD650" s="551"/>
      <c r="BE650" s="551"/>
      <c r="BF650" s="551"/>
      <c r="BG650" s="551"/>
      <c r="BH650" s="551"/>
      <c r="BI650" s="551"/>
      <c r="BJ650" s="551"/>
    </row>
    <row r="651" spans="1:62" ht="12.75" customHeight="1">
      <c r="A651" s="551"/>
      <c r="B651" s="551"/>
      <c r="C651" s="551"/>
      <c r="D651" s="551"/>
      <c r="E651" s="551"/>
      <c r="F651" s="551"/>
      <c r="G651" s="551"/>
      <c r="H651" s="551"/>
      <c r="I651" s="551"/>
      <c r="J651" s="551"/>
      <c r="K651" s="551"/>
      <c r="L651" s="551"/>
      <c r="M651" s="551"/>
      <c r="N651" s="551"/>
      <c r="O651" s="551"/>
      <c r="P651" s="551"/>
      <c r="Q651" s="551"/>
      <c r="R651" s="551"/>
      <c r="S651" s="551"/>
      <c r="T651" s="551"/>
      <c r="U651" s="551"/>
      <c r="V651" s="551"/>
      <c r="W651" s="551"/>
      <c r="X651" s="551"/>
      <c r="Y651" s="551"/>
      <c r="Z651" s="551"/>
      <c r="AA651" s="551"/>
      <c r="AB651" s="551"/>
      <c r="AC651" s="551"/>
      <c r="AD651" s="551"/>
      <c r="AE651" s="551"/>
      <c r="AF651" s="551"/>
      <c r="AG651" s="551"/>
      <c r="AH651" s="551"/>
      <c r="AI651" s="551"/>
      <c r="AJ651" s="551"/>
      <c r="AK651" s="551"/>
      <c r="AL651" s="551"/>
      <c r="AM651" s="551"/>
      <c r="AN651" s="551"/>
      <c r="AO651" s="551"/>
      <c r="AP651" s="551"/>
      <c r="AQ651" s="551"/>
      <c r="AR651" s="551"/>
      <c r="AS651" s="551"/>
      <c r="AT651" s="551"/>
      <c r="AU651" s="551"/>
      <c r="AV651" s="551"/>
      <c r="AW651" s="551"/>
      <c r="AX651" s="551"/>
      <c r="AY651" s="551"/>
      <c r="AZ651" s="551"/>
      <c r="BA651" s="551"/>
      <c r="BB651" s="551"/>
      <c r="BC651" s="551"/>
      <c r="BD651" s="551"/>
      <c r="BE651" s="551"/>
      <c r="BF651" s="551"/>
      <c r="BG651" s="551"/>
      <c r="BH651" s="551"/>
      <c r="BI651" s="551"/>
      <c r="BJ651" s="551"/>
    </row>
    <row r="652" spans="1:62" ht="12.75" customHeight="1">
      <c r="A652" s="551"/>
      <c r="B652" s="551"/>
      <c r="C652" s="551"/>
      <c r="D652" s="551"/>
      <c r="E652" s="551"/>
      <c r="F652" s="551"/>
      <c r="G652" s="551"/>
      <c r="H652" s="551"/>
      <c r="I652" s="551"/>
      <c r="J652" s="551"/>
      <c r="K652" s="551"/>
      <c r="L652" s="551"/>
      <c r="M652" s="551"/>
      <c r="N652" s="551"/>
      <c r="O652" s="551"/>
      <c r="P652" s="551"/>
      <c r="Q652" s="551"/>
      <c r="R652" s="551"/>
      <c r="S652" s="551"/>
      <c r="T652" s="551"/>
      <c r="U652" s="551"/>
      <c r="V652" s="551"/>
      <c r="W652" s="551"/>
      <c r="X652" s="551"/>
      <c r="Y652" s="551"/>
      <c r="Z652" s="551"/>
      <c r="AA652" s="551"/>
      <c r="AB652" s="551"/>
      <c r="AC652" s="551"/>
      <c r="AD652" s="551"/>
      <c r="AE652" s="551"/>
      <c r="AF652" s="551"/>
      <c r="AG652" s="551"/>
      <c r="AH652" s="551"/>
      <c r="AI652" s="551"/>
      <c r="AJ652" s="551"/>
      <c r="AK652" s="551"/>
      <c r="AL652" s="551"/>
      <c r="AM652" s="551"/>
      <c r="AN652" s="551"/>
      <c r="AO652" s="551"/>
      <c r="AP652" s="551"/>
      <c r="AQ652" s="551"/>
      <c r="AR652" s="551"/>
      <c r="AS652" s="551"/>
      <c r="AT652" s="551"/>
      <c r="AU652" s="551"/>
      <c r="AV652" s="551"/>
      <c r="AW652" s="551"/>
      <c r="AX652" s="551"/>
      <c r="AY652" s="551"/>
      <c r="AZ652" s="551"/>
      <c r="BA652" s="551"/>
      <c r="BB652" s="551"/>
      <c r="BC652" s="551"/>
      <c r="BD652" s="551"/>
      <c r="BE652" s="551"/>
      <c r="BF652" s="551"/>
      <c r="BG652" s="551"/>
      <c r="BH652" s="551"/>
      <c r="BI652" s="551"/>
      <c r="BJ652" s="551"/>
    </row>
    <row r="653" spans="1:62" ht="12.75" customHeight="1">
      <c r="A653" s="551"/>
      <c r="B653" s="551"/>
      <c r="C653" s="551"/>
      <c r="D653" s="551"/>
      <c r="E653" s="551"/>
      <c r="F653" s="551"/>
      <c r="G653" s="551"/>
      <c r="H653" s="551"/>
      <c r="I653" s="551"/>
      <c r="J653" s="551"/>
      <c r="K653" s="551"/>
      <c r="L653" s="551"/>
      <c r="M653" s="551"/>
      <c r="N653" s="551"/>
      <c r="O653" s="551"/>
      <c r="P653" s="551"/>
      <c r="Q653" s="551"/>
      <c r="R653" s="551"/>
      <c r="S653" s="551"/>
      <c r="T653" s="551"/>
      <c r="U653" s="551"/>
      <c r="V653" s="551"/>
      <c r="W653" s="551"/>
      <c r="X653" s="551"/>
      <c r="Y653" s="551"/>
      <c r="Z653" s="551"/>
      <c r="AA653" s="551"/>
      <c r="AB653" s="551"/>
      <c r="AC653" s="551"/>
      <c r="AD653" s="551"/>
      <c r="AE653" s="551"/>
      <c r="AF653" s="551"/>
      <c r="AG653" s="551"/>
      <c r="AH653" s="551"/>
      <c r="AI653" s="551"/>
      <c r="AJ653" s="551"/>
      <c r="AK653" s="551"/>
      <c r="AL653" s="551"/>
      <c r="AM653" s="551"/>
      <c r="AN653" s="551"/>
      <c r="AO653" s="551"/>
      <c r="AP653" s="551"/>
      <c r="AQ653" s="551"/>
      <c r="AR653" s="551"/>
      <c r="AS653" s="551"/>
      <c r="AT653" s="551"/>
      <c r="AU653" s="551"/>
      <c r="AV653" s="551"/>
      <c r="AW653" s="551"/>
      <c r="AX653" s="551"/>
      <c r="AY653" s="551"/>
      <c r="AZ653" s="551"/>
      <c r="BA653" s="551"/>
      <c r="BB653" s="551"/>
      <c r="BC653" s="551"/>
      <c r="BD653" s="551"/>
      <c r="BE653" s="551"/>
      <c r="BF653" s="551"/>
      <c r="BG653" s="551"/>
      <c r="BH653" s="551"/>
      <c r="BI653" s="551"/>
      <c r="BJ653" s="551"/>
    </row>
    <row r="654" spans="1:62" ht="12.75" customHeight="1">
      <c r="A654" s="551"/>
      <c r="B654" s="551"/>
      <c r="C654" s="551"/>
      <c r="D654" s="551"/>
      <c r="E654" s="551"/>
      <c r="F654" s="551"/>
      <c r="G654" s="551"/>
      <c r="H654" s="551"/>
      <c r="I654" s="551"/>
      <c r="J654" s="551"/>
      <c r="K654" s="551"/>
      <c r="L654" s="551"/>
      <c r="M654" s="551"/>
      <c r="N654" s="551"/>
      <c r="O654" s="551"/>
      <c r="P654" s="551"/>
      <c r="Q654" s="551"/>
      <c r="R654" s="551"/>
      <c r="S654" s="551"/>
      <c r="T654" s="551"/>
      <c r="U654" s="551"/>
      <c r="V654" s="551"/>
      <c r="W654" s="551"/>
      <c r="X654" s="551"/>
      <c r="Y654" s="551"/>
      <c r="Z654" s="551"/>
      <c r="AA654" s="551"/>
      <c r="AB654" s="551"/>
      <c r="AC654" s="551"/>
      <c r="AD654" s="551"/>
      <c r="AE654" s="551"/>
      <c r="AF654" s="551"/>
      <c r="AG654" s="551"/>
      <c r="AH654" s="551"/>
      <c r="AI654" s="551"/>
      <c r="AJ654" s="551"/>
      <c r="AK654" s="551"/>
      <c r="AL654" s="551"/>
      <c r="AM654" s="551"/>
      <c r="AN654" s="551"/>
      <c r="AO654" s="551"/>
      <c r="AP654" s="551"/>
      <c r="AQ654" s="551"/>
      <c r="AR654" s="551"/>
      <c r="AS654" s="551"/>
      <c r="AT654" s="551"/>
      <c r="AU654" s="551"/>
      <c r="AV654" s="551"/>
      <c r="AW654" s="551"/>
      <c r="AX654" s="551"/>
      <c r="AY654" s="551"/>
      <c r="AZ654" s="551"/>
      <c r="BA654" s="551"/>
      <c r="BB654" s="551"/>
      <c r="BC654" s="551"/>
      <c r="BD654" s="551"/>
      <c r="BE654" s="551"/>
      <c r="BF654" s="551"/>
      <c r="BG654" s="551"/>
      <c r="BH654" s="551"/>
      <c r="BI654" s="551"/>
      <c r="BJ654" s="551"/>
    </row>
    <row r="655" spans="1:62" ht="12.75" customHeight="1">
      <c r="A655" s="551"/>
      <c r="B655" s="551"/>
      <c r="C655" s="551"/>
      <c r="D655" s="551"/>
      <c r="E655" s="551"/>
      <c r="F655" s="551"/>
      <c r="G655" s="551"/>
      <c r="H655" s="551"/>
      <c r="I655" s="551"/>
      <c r="J655" s="551"/>
      <c r="K655" s="551"/>
      <c r="L655" s="551"/>
      <c r="M655" s="551"/>
      <c r="N655" s="551"/>
      <c r="O655" s="551"/>
      <c r="P655" s="551"/>
      <c r="Q655" s="551"/>
      <c r="R655" s="551"/>
      <c r="S655" s="551"/>
      <c r="T655" s="551"/>
      <c r="U655" s="551"/>
      <c r="V655" s="551"/>
      <c r="W655" s="551"/>
      <c r="X655" s="551"/>
      <c r="Y655" s="551"/>
      <c r="Z655" s="551"/>
      <c r="AA655" s="551"/>
      <c r="AB655" s="551"/>
      <c r="AC655" s="551"/>
      <c r="AD655" s="551"/>
      <c r="AE655" s="551"/>
      <c r="AF655" s="551"/>
      <c r="AG655" s="551"/>
      <c r="AH655" s="551"/>
      <c r="AI655" s="551"/>
      <c r="AJ655" s="551"/>
      <c r="AK655" s="551"/>
      <c r="AL655" s="551"/>
      <c r="AM655" s="551"/>
      <c r="AN655" s="551"/>
      <c r="AO655" s="551"/>
      <c r="AP655" s="551"/>
      <c r="AQ655" s="551"/>
      <c r="AR655" s="551"/>
      <c r="AS655" s="551"/>
      <c r="AT655" s="551"/>
      <c r="AU655" s="551"/>
      <c r="AV655" s="551"/>
      <c r="AW655" s="551"/>
      <c r="AX655" s="551"/>
      <c r="AY655" s="551"/>
      <c r="AZ655" s="551"/>
      <c r="BA655" s="551"/>
      <c r="BB655" s="551"/>
      <c r="BC655" s="551"/>
      <c r="BD655" s="551"/>
      <c r="BE655" s="551"/>
      <c r="BF655" s="551"/>
      <c r="BG655" s="551"/>
      <c r="BH655" s="551"/>
      <c r="BI655" s="551"/>
      <c r="BJ655" s="551"/>
    </row>
    <row r="656" spans="1:62" ht="12.75" customHeight="1">
      <c r="A656" s="551"/>
      <c r="B656" s="551"/>
      <c r="C656" s="551"/>
      <c r="D656" s="551"/>
      <c r="E656" s="551"/>
      <c r="F656" s="551"/>
      <c r="G656" s="551"/>
      <c r="H656" s="551"/>
      <c r="I656" s="551"/>
      <c r="J656" s="551"/>
      <c r="K656" s="551"/>
      <c r="L656" s="551"/>
      <c r="M656" s="551"/>
      <c r="N656" s="551"/>
      <c r="O656" s="551"/>
      <c r="P656" s="551"/>
      <c r="Q656" s="551"/>
      <c r="R656" s="551"/>
      <c r="S656" s="551"/>
      <c r="T656" s="551"/>
      <c r="U656" s="551"/>
      <c r="V656" s="551"/>
      <c r="W656" s="551"/>
      <c r="X656" s="551"/>
      <c r="Y656" s="551"/>
      <c r="Z656" s="551"/>
      <c r="AA656" s="551"/>
      <c r="AB656" s="551"/>
      <c r="AC656" s="551"/>
      <c r="AD656" s="551"/>
      <c r="AE656" s="551"/>
      <c r="AF656" s="551"/>
      <c r="AG656" s="551"/>
      <c r="AH656" s="551"/>
      <c r="AI656" s="551"/>
      <c r="AJ656" s="551"/>
      <c r="AK656" s="551"/>
      <c r="AL656" s="551"/>
      <c r="AM656" s="551"/>
      <c r="AN656" s="551"/>
      <c r="AO656" s="551"/>
      <c r="AP656" s="551"/>
      <c r="AQ656" s="551"/>
      <c r="AR656" s="551"/>
      <c r="AS656" s="551"/>
      <c r="AT656" s="551"/>
      <c r="AU656" s="551"/>
      <c r="AV656" s="551"/>
      <c r="AW656" s="551"/>
      <c r="AX656" s="551"/>
      <c r="AY656" s="551"/>
      <c r="AZ656" s="551"/>
      <c r="BA656" s="551"/>
      <c r="BB656" s="551"/>
      <c r="BC656" s="551"/>
      <c r="BD656" s="551"/>
      <c r="BE656" s="551"/>
      <c r="BF656" s="551"/>
      <c r="BG656" s="551"/>
      <c r="BH656" s="551"/>
      <c r="BI656" s="551"/>
      <c r="BJ656" s="551"/>
    </row>
    <row r="657" spans="1:62" ht="12.75" customHeight="1">
      <c r="A657" s="551"/>
      <c r="B657" s="551"/>
      <c r="C657" s="551"/>
      <c r="D657" s="551"/>
      <c r="E657" s="551"/>
      <c r="F657" s="551"/>
      <c r="G657" s="551"/>
      <c r="H657" s="551"/>
      <c r="I657" s="551"/>
      <c r="J657" s="551"/>
      <c r="K657" s="551"/>
      <c r="L657" s="551"/>
      <c r="M657" s="551"/>
      <c r="N657" s="551"/>
      <c r="O657" s="551"/>
      <c r="P657" s="551"/>
      <c r="Q657" s="551"/>
      <c r="R657" s="551"/>
      <c r="S657" s="551"/>
      <c r="T657" s="551"/>
      <c r="U657" s="551"/>
      <c r="V657" s="551"/>
      <c r="W657" s="551"/>
      <c r="X657" s="551"/>
      <c r="Y657" s="551"/>
      <c r="Z657" s="551"/>
      <c r="AA657" s="551"/>
      <c r="AB657" s="551"/>
      <c r="AC657" s="551"/>
      <c r="AD657" s="551"/>
      <c r="AE657" s="551"/>
      <c r="AF657" s="551"/>
      <c r="AG657" s="551"/>
      <c r="AH657" s="551"/>
      <c r="AI657" s="551"/>
      <c r="AJ657" s="551"/>
      <c r="AK657" s="551"/>
      <c r="AL657" s="551"/>
      <c r="AM657" s="551"/>
      <c r="AN657" s="551"/>
      <c r="AO657" s="551"/>
      <c r="AP657" s="551"/>
      <c r="AQ657" s="551"/>
      <c r="AR657" s="551"/>
      <c r="AS657" s="551"/>
      <c r="AT657" s="551"/>
      <c r="AU657" s="551"/>
      <c r="AV657" s="551"/>
      <c r="AW657" s="551"/>
      <c r="AX657" s="551"/>
      <c r="AY657" s="551"/>
      <c r="AZ657" s="551"/>
      <c r="BA657" s="551"/>
      <c r="BB657" s="551"/>
      <c r="BC657" s="551"/>
      <c r="BD657" s="551"/>
      <c r="BE657" s="551"/>
      <c r="BF657" s="551"/>
      <c r="BG657" s="551"/>
      <c r="BH657" s="551"/>
      <c r="BI657" s="551"/>
      <c r="BJ657" s="551"/>
    </row>
    <row r="658" spans="1:62" ht="12.75" customHeight="1">
      <c r="A658" s="551"/>
      <c r="B658" s="551"/>
      <c r="C658" s="551"/>
      <c r="D658" s="551"/>
      <c r="E658" s="551"/>
      <c r="F658" s="551"/>
      <c r="G658" s="551"/>
      <c r="H658" s="551"/>
      <c r="I658" s="551"/>
      <c r="J658" s="551"/>
      <c r="K658" s="551"/>
      <c r="L658" s="551"/>
      <c r="M658" s="551"/>
      <c r="N658" s="551"/>
      <c r="O658" s="551"/>
      <c r="P658" s="551"/>
      <c r="Q658" s="551"/>
      <c r="R658" s="551"/>
      <c r="S658" s="551"/>
      <c r="T658" s="551"/>
      <c r="U658" s="551"/>
      <c r="V658" s="551"/>
      <c r="W658" s="551"/>
      <c r="X658" s="551"/>
      <c r="Y658" s="551"/>
      <c r="Z658" s="551"/>
      <c r="AA658" s="551"/>
      <c r="AB658" s="551"/>
      <c r="AC658" s="551"/>
      <c r="AD658" s="551"/>
      <c r="AE658" s="551"/>
      <c r="AF658" s="551"/>
      <c r="AG658" s="551"/>
      <c r="AH658" s="551"/>
      <c r="AI658" s="551"/>
      <c r="AJ658" s="551"/>
      <c r="AK658" s="551"/>
      <c r="AL658" s="551"/>
      <c r="AM658" s="551"/>
      <c r="AN658" s="551"/>
      <c r="AO658" s="551"/>
      <c r="AP658" s="551"/>
      <c r="AQ658" s="551"/>
      <c r="AR658" s="551"/>
      <c r="AS658" s="551"/>
      <c r="AT658" s="551"/>
      <c r="AU658" s="551"/>
      <c r="AV658" s="551"/>
      <c r="AW658" s="551"/>
      <c r="AX658" s="551"/>
      <c r="AY658" s="551"/>
      <c r="AZ658" s="551"/>
      <c r="BA658" s="551"/>
      <c r="BB658" s="551"/>
      <c r="BC658" s="551"/>
      <c r="BD658" s="551"/>
      <c r="BE658" s="551"/>
      <c r="BF658" s="551"/>
      <c r="BG658" s="551"/>
      <c r="BH658" s="551"/>
      <c r="BI658" s="551"/>
      <c r="BJ658" s="551"/>
    </row>
    <row r="659" spans="1:62" ht="12.75" customHeight="1">
      <c r="A659" s="551"/>
      <c r="B659" s="551"/>
      <c r="C659" s="551"/>
      <c r="D659" s="551"/>
      <c r="E659" s="551"/>
      <c r="F659" s="551"/>
      <c r="G659" s="551"/>
      <c r="H659" s="551"/>
      <c r="I659" s="551"/>
      <c r="J659" s="551"/>
      <c r="K659" s="551"/>
      <c r="L659" s="551"/>
      <c r="M659" s="551"/>
      <c r="N659" s="551"/>
      <c r="O659" s="551"/>
      <c r="P659" s="551"/>
      <c r="Q659" s="551"/>
      <c r="R659" s="551"/>
      <c r="S659" s="551"/>
      <c r="T659" s="551"/>
      <c r="U659" s="551"/>
      <c r="V659" s="551"/>
      <c r="W659" s="551"/>
      <c r="X659" s="551"/>
      <c r="Y659" s="551"/>
      <c r="Z659" s="551"/>
      <c r="AA659" s="551"/>
      <c r="AB659" s="551"/>
      <c r="AC659" s="551"/>
      <c r="AD659" s="551"/>
      <c r="AE659" s="551"/>
      <c r="AF659" s="551"/>
      <c r="AG659" s="551"/>
      <c r="AH659" s="551"/>
      <c r="AI659" s="551"/>
      <c r="AJ659" s="551"/>
      <c r="AK659" s="551"/>
      <c r="AL659" s="551"/>
      <c r="AM659" s="551"/>
      <c r="AN659" s="551"/>
      <c r="AO659" s="551"/>
      <c r="AP659" s="551"/>
      <c r="AQ659" s="551"/>
      <c r="AR659" s="551"/>
      <c r="AS659" s="551"/>
      <c r="AT659" s="551"/>
      <c r="AU659" s="551"/>
      <c r="AV659" s="551"/>
      <c r="AW659" s="551"/>
      <c r="AX659" s="551"/>
      <c r="AY659" s="551"/>
      <c r="AZ659" s="551"/>
      <c r="BA659" s="551"/>
      <c r="BB659" s="551"/>
      <c r="BC659" s="551"/>
      <c r="BD659" s="551"/>
      <c r="BE659" s="551"/>
      <c r="BF659" s="551"/>
      <c r="BG659" s="551"/>
      <c r="BH659" s="551"/>
      <c r="BI659" s="551"/>
      <c r="BJ659" s="551"/>
    </row>
    <row r="660" spans="1:62" ht="12.75" customHeight="1">
      <c r="A660" s="551"/>
      <c r="B660" s="551"/>
      <c r="C660" s="551"/>
      <c r="D660" s="551"/>
      <c r="E660" s="551"/>
      <c r="F660" s="551"/>
      <c r="G660" s="551"/>
      <c r="H660" s="551"/>
      <c r="I660" s="551"/>
      <c r="J660" s="551"/>
      <c r="K660" s="551"/>
      <c r="L660" s="551"/>
      <c r="M660" s="551"/>
      <c r="N660" s="551"/>
      <c r="O660" s="551"/>
      <c r="P660" s="551"/>
      <c r="Q660" s="551"/>
      <c r="R660" s="551"/>
      <c r="S660" s="551"/>
      <c r="T660" s="551"/>
      <c r="U660" s="551"/>
      <c r="V660" s="551"/>
      <c r="W660" s="551"/>
      <c r="X660" s="551"/>
      <c r="Y660" s="551"/>
      <c r="Z660" s="551"/>
      <c r="AA660" s="551"/>
      <c r="AB660" s="551"/>
      <c r="AC660" s="551"/>
      <c r="AD660" s="551"/>
      <c r="AE660" s="551"/>
      <c r="AF660" s="551"/>
      <c r="AG660" s="551"/>
      <c r="AH660" s="551"/>
      <c r="AI660" s="551"/>
      <c r="AJ660" s="551"/>
      <c r="AK660" s="551"/>
      <c r="AL660" s="551"/>
      <c r="AM660" s="551"/>
      <c r="AN660" s="551"/>
      <c r="AO660" s="551"/>
      <c r="AP660" s="551"/>
      <c r="AQ660" s="551"/>
      <c r="AR660" s="551"/>
      <c r="AS660" s="551"/>
      <c r="AT660" s="551"/>
      <c r="AU660" s="551"/>
      <c r="AV660" s="551"/>
      <c r="AW660" s="551"/>
      <c r="AX660" s="551"/>
      <c r="AY660" s="551"/>
      <c r="AZ660" s="551"/>
      <c r="BA660" s="551"/>
      <c r="BB660" s="551"/>
      <c r="BC660" s="551"/>
      <c r="BD660" s="551"/>
      <c r="BE660" s="551"/>
      <c r="BF660" s="551"/>
      <c r="BG660" s="551"/>
      <c r="BH660" s="551"/>
      <c r="BI660" s="551"/>
      <c r="BJ660" s="551"/>
    </row>
    <row r="661" spans="1:62" ht="12.75" customHeight="1">
      <c r="A661" s="551"/>
      <c r="B661" s="551"/>
      <c r="C661" s="551"/>
      <c r="D661" s="551"/>
      <c r="E661" s="551"/>
      <c r="F661" s="551"/>
      <c r="G661" s="551"/>
      <c r="H661" s="551"/>
      <c r="I661" s="551"/>
      <c r="J661" s="551"/>
      <c r="K661" s="551"/>
      <c r="L661" s="551"/>
      <c r="M661" s="551"/>
      <c r="N661" s="551"/>
      <c r="O661" s="551"/>
      <c r="P661" s="551"/>
      <c r="Q661" s="551"/>
      <c r="R661" s="551"/>
      <c r="S661" s="551"/>
      <c r="T661" s="551"/>
      <c r="U661" s="551"/>
      <c r="V661" s="551"/>
      <c r="W661" s="551"/>
      <c r="X661" s="551"/>
      <c r="Y661" s="551"/>
      <c r="Z661" s="551"/>
      <c r="AA661" s="551"/>
      <c r="AB661" s="551"/>
      <c r="AC661" s="551"/>
      <c r="AD661" s="551"/>
      <c r="AE661" s="551"/>
      <c r="AF661" s="551"/>
      <c r="AG661" s="551"/>
      <c r="AH661" s="551"/>
      <c r="AI661" s="551"/>
      <c r="AJ661" s="551"/>
      <c r="AK661" s="551"/>
      <c r="AL661" s="551"/>
      <c r="AM661" s="551"/>
      <c r="AN661" s="551"/>
      <c r="AO661" s="551"/>
      <c r="AP661" s="551"/>
      <c r="AQ661" s="551"/>
      <c r="AR661" s="551"/>
      <c r="AS661" s="551"/>
      <c r="AT661" s="551"/>
      <c r="AU661" s="551"/>
      <c r="AV661" s="551"/>
      <c r="AW661" s="551"/>
      <c r="AX661" s="551"/>
      <c r="AY661" s="551"/>
      <c r="AZ661" s="551"/>
      <c r="BA661" s="551"/>
      <c r="BB661" s="551"/>
      <c r="BC661" s="551"/>
      <c r="BD661" s="551"/>
      <c r="BE661" s="551"/>
      <c r="BF661" s="551"/>
      <c r="BG661" s="551"/>
      <c r="BH661" s="551"/>
      <c r="BI661" s="551"/>
      <c r="BJ661" s="551"/>
    </row>
    <row r="662" spans="1:62" ht="12.75" customHeight="1">
      <c r="A662" s="551"/>
      <c r="B662" s="551"/>
      <c r="C662" s="551"/>
      <c r="D662" s="551"/>
      <c r="E662" s="551"/>
      <c r="F662" s="551"/>
      <c r="G662" s="551"/>
      <c r="H662" s="551"/>
      <c r="I662" s="551"/>
      <c r="J662" s="551"/>
      <c r="K662" s="551"/>
      <c r="L662" s="551"/>
      <c r="M662" s="551"/>
      <c r="N662" s="551"/>
      <c r="O662" s="551"/>
      <c r="P662" s="551"/>
      <c r="Q662" s="551"/>
      <c r="R662" s="551"/>
      <c r="S662" s="551"/>
      <c r="T662" s="551"/>
      <c r="U662" s="551"/>
      <c r="V662" s="551"/>
      <c r="W662" s="551"/>
      <c r="X662" s="551"/>
      <c r="Y662" s="551"/>
      <c r="Z662" s="551"/>
      <c r="AA662" s="551"/>
      <c r="AB662" s="551"/>
      <c r="AC662" s="551"/>
      <c r="AD662" s="551"/>
      <c r="AE662" s="551"/>
      <c r="AF662" s="551"/>
      <c r="AG662" s="551"/>
      <c r="AH662" s="551"/>
      <c r="AI662" s="551"/>
      <c r="AJ662" s="551"/>
      <c r="AK662" s="551"/>
      <c r="AL662" s="551"/>
      <c r="AM662" s="551"/>
      <c r="AN662" s="551"/>
      <c r="AO662" s="551"/>
      <c r="AP662" s="551"/>
      <c r="AQ662" s="551"/>
      <c r="AR662" s="551"/>
      <c r="AS662" s="551"/>
      <c r="AT662" s="551"/>
      <c r="AU662" s="551"/>
      <c r="AV662" s="551"/>
      <c r="AW662" s="551"/>
      <c r="AX662" s="551"/>
      <c r="AY662" s="551"/>
      <c r="AZ662" s="551"/>
      <c r="BA662" s="551"/>
      <c r="BB662" s="551"/>
      <c r="BC662" s="551"/>
      <c r="BD662" s="551"/>
      <c r="BE662" s="551"/>
      <c r="BF662" s="551"/>
      <c r="BG662" s="551"/>
      <c r="BH662" s="551"/>
      <c r="BI662" s="551"/>
      <c r="BJ662" s="551"/>
    </row>
    <row r="663" spans="1:62" ht="12.75" customHeight="1">
      <c r="A663" s="551"/>
      <c r="B663" s="551"/>
      <c r="C663" s="551"/>
      <c r="D663" s="551"/>
      <c r="E663" s="551"/>
      <c r="F663" s="551"/>
      <c r="G663" s="551"/>
      <c r="H663" s="551"/>
      <c r="I663" s="551"/>
      <c r="J663" s="551"/>
      <c r="K663" s="551"/>
      <c r="L663" s="551"/>
      <c r="M663" s="551"/>
      <c r="N663" s="551"/>
      <c r="O663" s="551"/>
      <c r="P663" s="551"/>
      <c r="Q663" s="551"/>
      <c r="R663" s="551"/>
      <c r="S663" s="551"/>
      <c r="T663" s="551"/>
      <c r="U663" s="551"/>
      <c r="V663" s="551"/>
      <c r="W663" s="551"/>
      <c r="X663" s="551"/>
      <c r="Y663" s="551"/>
      <c r="Z663" s="551"/>
      <c r="AA663" s="551"/>
      <c r="AB663" s="551"/>
      <c r="AC663" s="551"/>
      <c r="AD663" s="551"/>
      <c r="AE663" s="551"/>
      <c r="AF663" s="551"/>
      <c r="AG663" s="551"/>
      <c r="AH663" s="551"/>
      <c r="AI663" s="551"/>
      <c r="AJ663" s="551"/>
      <c r="AK663" s="551"/>
      <c r="AL663" s="551"/>
      <c r="AM663" s="551"/>
      <c r="AN663" s="551"/>
      <c r="AO663" s="551"/>
      <c r="AP663" s="551"/>
      <c r="AQ663" s="551"/>
      <c r="AR663" s="551"/>
      <c r="AS663" s="551"/>
      <c r="AT663" s="551"/>
      <c r="AU663" s="551"/>
      <c r="AV663" s="551"/>
      <c r="AW663" s="551"/>
      <c r="AX663" s="551"/>
      <c r="AY663" s="551"/>
      <c r="AZ663" s="551"/>
      <c r="BA663" s="551"/>
      <c r="BB663" s="551"/>
      <c r="BC663" s="551"/>
      <c r="BD663" s="551"/>
      <c r="BE663" s="551"/>
      <c r="BF663" s="551"/>
      <c r="BG663" s="551"/>
      <c r="BH663" s="551"/>
      <c r="BI663" s="551"/>
      <c r="BJ663" s="551"/>
    </row>
    <row r="664" spans="1:62" ht="12.75" customHeight="1">
      <c r="A664" s="551"/>
      <c r="B664" s="551"/>
      <c r="C664" s="551"/>
      <c r="D664" s="551"/>
      <c r="E664" s="551"/>
      <c r="F664" s="551"/>
      <c r="G664" s="551"/>
      <c r="H664" s="551"/>
      <c r="I664" s="551"/>
      <c r="J664" s="551"/>
      <c r="K664" s="551"/>
      <c r="L664" s="551"/>
      <c r="M664" s="551"/>
      <c r="N664" s="551"/>
      <c r="O664" s="551"/>
      <c r="P664" s="551"/>
      <c r="Q664" s="551"/>
      <c r="R664" s="551"/>
      <c r="S664" s="551"/>
      <c r="T664" s="551"/>
      <c r="U664" s="551"/>
      <c r="V664" s="551"/>
      <c r="W664" s="551"/>
      <c r="X664" s="551"/>
      <c r="Y664" s="551"/>
      <c r="Z664" s="551"/>
      <c r="AA664" s="551"/>
      <c r="AB664" s="551"/>
      <c r="AC664" s="551"/>
      <c r="AD664" s="551"/>
      <c r="AE664" s="551"/>
      <c r="AF664" s="551"/>
      <c r="AG664" s="551"/>
      <c r="AH664" s="551"/>
      <c r="AI664" s="551"/>
      <c r="AJ664" s="551"/>
      <c r="AK664" s="551"/>
      <c r="AL664" s="551"/>
      <c r="AM664" s="551"/>
      <c r="AN664" s="551"/>
      <c r="AO664" s="551"/>
      <c r="AP664" s="551"/>
      <c r="AQ664" s="551"/>
      <c r="AR664" s="551"/>
      <c r="AS664" s="551"/>
      <c r="AT664" s="551"/>
      <c r="AU664" s="551"/>
      <c r="AV664" s="551"/>
      <c r="AW664" s="551"/>
      <c r="AX664" s="551"/>
      <c r="AY664" s="551"/>
      <c r="AZ664" s="551"/>
      <c r="BA664" s="551"/>
      <c r="BB664" s="551"/>
      <c r="BC664" s="551"/>
      <c r="BD664" s="551"/>
      <c r="BE664" s="551"/>
      <c r="BF664" s="551"/>
      <c r="BG664" s="551"/>
      <c r="BH664" s="551"/>
      <c r="BI664" s="551"/>
      <c r="BJ664" s="551"/>
    </row>
    <row r="665" spans="1:62" ht="12.75" customHeight="1">
      <c r="A665" s="551"/>
      <c r="B665" s="551"/>
      <c r="C665" s="551"/>
      <c r="D665" s="551"/>
      <c r="E665" s="551"/>
      <c r="F665" s="551"/>
      <c r="G665" s="551"/>
      <c r="H665" s="551"/>
      <c r="I665" s="551"/>
      <c r="J665" s="551"/>
      <c r="K665" s="551"/>
      <c r="L665" s="551"/>
      <c r="M665" s="551"/>
      <c r="N665" s="551"/>
      <c r="O665" s="551"/>
      <c r="P665" s="551"/>
      <c r="Q665" s="551"/>
      <c r="R665" s="551"/>
      <c r="S665" s="551"/>
      <c r="T665" s="551"/>
      <c r="U665" s="551"/>
      <c r="V665" s="551"/>
      <c r="W665" s="551"/>
      <c r="X665" s="551"/>
      <c r="Y665" s="551"/>
      <c r="Z665" s="551"/>
      <c r="AA665" s="551"/>
      <c r="AB665" s="551"/>
      <c r="AC665" s="551"/>
      <c r="AD665" s="551"/>
      <c r="AE665" s="551"/>
      <c r="AF665" s="551"/>
      <c r="AG665" s="551"/>
      <c r="AH665" s="551"/>
      <c r="AI665" s="551"/>
      <c r="AJ665" s="551"/>
      <c r="AK665" s="551"/>
      <c r="AL665" s="551"/>
      <c r="AM665" s="551"/>
      <c r="AN665" s="551"/>
      <c r="AO665" s="551"/>
      <c r="AP665" s="551"/>
      <c r="AQ665" s="551"/>
      <c r="AR665" s="551"/>
      <c r="AS665" s="551"/>
      <c r="AT665" s="551"/>
      <c r="AU665" s="551"/>
      <c r="AV665" s="551"/>
      <c r="AW665" s="551"/>
      <c r="AX665" s="551"/>
      <c r="AY665" s="551"/>
      <c r="AZ665" s="551"/>
      <c r="BA665" s="551"/>
      <c r="BB665" s="551"/>
      <c r="BC665" s="551"/>
      <c r="BD665" s="551"/>
      <c r="BE665" s="551"/>
      <c r="BF665" s="551"/>
      <c r="BG665" s="551"/>
      <c r="BH665" s="551"/>
      <c r="BI665" s="551"/>
      <c r="BJ665" s="551"/>
    </row>
    <row r="666" spans="1:62" ht="12.75" customHeight="1">
      <c r="A666" s="551"/>
      <c r="B666" s="551"/>
      <c r="C666" s="551"/>
      <c r="D666" s="551"/>
      <c r="E666" s="551"/>
      <c r="F666" s="551"/>
      <c r="G666" s="551"/>
      <c r="H666" s="551"/>
      <c r="I666" s="551"/>
      <c r="J666" s="551"/>
      <c r="K666" s="551"/>
      <c r="L666" s="551"/>
      <c r="M666" s="551"/>
      <c r="N666" s="551"/>
      <c r="O666" s="551"/>
      <c r="P666" s="551"/>
      <c r="Q666" s="551"/>
      <c r="R666" s="551"/>
      <c r="S666" s="551"/>
      <c r="T666" s="551"/>
      <c r="U666" s="551"/>
      <c r="V666" s="551"/>
      <c r="W666" s="551"/>
      <c r="X666" s="551"/>
      <c r="Y666" s="551"/>
      <c r="Z666" s="551"/>
      <c r="AA666" s="551"/>
      <c r="AB666" s="551"/>
      <c r="AC666" s="551"/>
      <c r="AD666" s="551"/>
      <c r="AE666" s="551"/>
      <c r="AF666" s="551"/>
      <c r="AG666" s="551"/>
      <c r="AH666" s="551"/>
      <c r="AI666" s="551"/>
      <c r="AJ666" s="551"/>
      <c r="AK666" s="551"/>
      <c r="AL666" s="551"/>
      <c r="AM666" s="551"/>
      <c r="AN666" s="551"/>
      <c r="AO666" s="551"/>
      <c r="AP666" s="551"/>
      <c r="AQ666" s="551"/>
      <c r="AR666" s="551"/>
      <c r="AS666" s="551"/>
      <c r="AT666" s="551"/>
      <c r="AU666" s="551"/>
      <c r="AV666" s="551"/>
      <c r="AW666" s="551"/>
      <c r="AX666" s="551"/>
      <c r="AY666" s="551"/>
      <c r="AZ666" s="551"/>
      <c r="BA666" s="551"/>
      <c r="BB666" s="551"/>
      <c r="BC666" s="551"/>
      <c r="BD666" s="551"/>
      <c r="BE666" s="551"/>
      <c r="BF666" s="551"/>
      <c r="BG666" s="551"/>
      <c r="BH666" s="551"/>
      <c r="BI666" s="551"/>
      <c r="BJ666" s="551"/>
    </row>
    <row r="667" spans="1:62" ht="12.75" customHeight="1">
      <c r="A667" s="551"/>
      <c r="B667" s="551"/>
      <c r="C667" s="551"/>
      <c r="D667" s="551"/>
      <c r="E667" s="551"/>
      <c r="F667" s="551"/>
      <c r="G667" s="551"/>
      <c r="H667" s="551"/>
      <c r="I667" s="551"/>
      <c r="J667" s="551"/>
      <c r="K667" s="551"/>
      <c r="L667" s="551"/>
      <c r="M667" s="551"/>
      <c r="N667" s="551"/>
      <c r="O667" s="551"/>
      <c r="P667" s="551"/>
      <c r="Q667" s="551"/>
      <c r="R667" s="551"/>
      <c r="S667" s="551"/>
      <c r="T667" s="551"/>
      <c r="U667" s="551"/>
      <c r="V667" s="551"/>
      <c r="W667" s="551"/>
      <c r="X667" s="551"/>
      <c r="Y667" s="551"/>
      <c r="Z667" s="551"/>
      <c r="AA667" s="551"/>
      <c r="AB667" s="551"/>
      <c r="AC667" s="551"/>
      <c r="AD667" s="551"/>
      <c r="AE667" s="551"/>
      <c r="AF667" s="551"/>
      <c r="AG667" s="551"/>
      <c r="AH667" s="551"/>
      <c r="AI667" s="551"/>
      <c r="AJ667" s="551"/>
      <c r="AK667" s="551"/>
      <c r="AL667" s="551"/>
      <c r="AM667" s="551"/>
      <c r="AN667" s="551"/>
      <c r="AO667" s="551"/>
      <c r="AP667" s="551"/>
      <c r="AQ667" s="551"/>
      <c r="AR667" s="551"/>
      <c r="AS667" s="551"/>
      <c r="AT667" s="551"/>
      <c r="AU667" s="551"/>
      <c r="AV667" s="551"/>
      <c r="AW667" s="551"/>
      <c r="AX667" s="551"/>
      <c r="AY667" s="551"/>
      <c r="AZ667" s="551"/>
      <c r="BA667" s="551"/>
      <c r="BB667" s="551"/>
      <c r="BC667" s="551"/>
      <c r="BD667" s="551"/>
      <c r="BE667" s="551"/>
      <c r="BF667" s="551"/>
      <c r="BG667" s="551"/>
      <c r="BH667" s="551"/>
      <c r="BI667" s="551"/>
      <c r="BJ667" s="551"/>
    </row>
    <row r="668" spans="1:62" ht="12.75" customHeight="1">
      <c r="A668" s="551"/>
      <c r="B668" s="551"/>
      <c r="C668" s="551"/>
      <c r="D668" s="551"/>
      <c r="E668" s="551"/>
      <c r="F668" s="551"/>
      <c r="G668" s="551"/>
      <c r="H668" s="551"/>
      <c r="I668" s="551"/>
      <c r="J668" s="551"/>
      <c r="K668" s="551"/>
      <c r="L668" s="551"/>
      <c r="M668" s="551"/>
      <c r="N668" s="551"/>
      <c r="O668" s="551"/>
      <c r="P668" s="551"/>
      <c r="Q668" s="551"/>
      <c r="R668" s="551"/>
      <c r="S668" s="551"/>
      <c r="T668" s="551"/>
      <c r="U668" s="551"/>
      <c r="V668" s="551"/>
      <c r="W668" s="551"/>
      <c r="X668" s="551"/>
      <c r="Y668" s="551"/>
      <c r="Z668" s="551"/>
      <c r="AA668" s="551"/>
      <c r="AB668" s="551"/>
      <c r="AC668" s="551"/>
      <c r="AD668" s="551"/>
      <c r="AE668" s="551"/>
      <c r="AF668" s="551"/>
      <c r="AG668" s="551"/>
      <c r="AH668" s="551"/>
      <c r="AI668" s="551"/>
      <c r="AJ668" s="551"/>
      <c r="AK668" s="551"/>
      <c r="AL668" s="551"/>
      <c r="AM668" s="551"/>
      <c r="AN668" s="551"/>
      <c r="AO668" s="551"/>
      <c r="AP668" s="551"/>
      <c r="AQ668" s="551"/>
      <c r="AR668" s="551"/>
      <c r="AS668" s="551"/>
      <c r="AT668" s="551"/>
      <c r="AU668" s="551"/>
      <c r="AV668" s="551"/>
      <c r="AW668" s="551"/>
      <c r="AX668" s="551"/>
      <c r="AY668" s="551"/>
      <c r="AZ668" s="551"/>
      <c r="BA668" s="551"/>
      <c r="BB668" s="551"/>
      <c r="BC668" s="551"/>
      <c r="BD668" s="551"/>
      <c r="BE668" s="551"/>
      <c r="BF668" s="551"/>
      <c r="BG668" s="551"/>
      <c r="BH668" s="551"/>
      <c r="BI668" s="551"/>
      <c r="BJ668" s="551"/>
    </row>
    <row r="669" spans="1:62" ht="12.75" customHeight="1">
      <c r="A669" s="551"/>
      <c r="B669" s="551"/>
      <c r="C669" s="551"/>
      <c r="D669" s="551"/>
      <c r="E669" s="551"/>
      <c r="F669" s="551"/>
      <c r="G669" s="551"/>
      <c r="H669" s="551"/>
      <c r="I669" s="551"/>
      <c r="J669" s="551"/>
      <c r="K669" s="551"/>
      <c r="L669" s="551"/>
      <c r="M669" s="551"/>
      <c r="N669" s="551"/>
      <c r="O669" s="551"/>
      <c r="P669" s="551"/>
      <c r="Q669" s="551"/>
      <c r="R669" s="551"/>
      <c r="S669" s="551"/>
      <c r="T669" s="551"/>
      <c r="U669" s="551"/>
      <c r="V669" s="551"/>
      <c r="W669" s="551"/>
      <c r="X669" s="551"/>
      <c r="Y669" s="551"/>
      <c r="Z669" s="551"/>
      <c r="AA669" s="551"/>
      <c r="AB669" s="551"/>
      <c r="AC669" s="551"/>
      <c r="AD669" s="551"/>
      <c r="AE669" s="551"/>
      <c r="AF669" s="551"/>
      <c r="AG669" s="551"/>
      <c r="AH669" s="551"/>
      <c r="AI669" s="551"/>
      <c r="AJ669" s="551"/>
      <c r="AK669" s="551"/>
      <c r="AL669" s="551"/>
      <c r="AM669" s="551"/>
      <c r="AN669" s="551"/>
      <c r="AO669" s="551"/>
      <c r="AP669" s="551"/>
      <c r="AQ669" s="551"/>
      <c r="AR669" s="551"/>
      <c r="AS669" s="551"/>
      <c r="AT669" s="551"/>
      <c r="AU669" s="551"/>
      <c r="AV669" s="551"/>
      <c r="AW669" s="551"/>
      <c r="AX669" s="551"/>
      <c r="AY669" s="551"/>
      <c r="AZ669" s="551"/>
      <c r="BA669" s="551"/>
      <c r="BB669" s="551"/>
      <c r="BC669" s="551"/>
      <c r="BD669" s="551"/>
      <c r="BE669" s="551"/>
      <c r="BF669" s="551"/>
      <c r="BG669" s="551"/>
      <c r="BH669" s="551"/>
      <c r="BI669" s="551"/>
      <c r="BJ669" s="551"/>
    </row>
    <row r="670" spans="1:62" ht="12.75" customHeight="1">
      <c r="A670" s="551"/>
      <c r="B670" s="551"/>
      <c r="C670" s="551"/>
      <c r="D670" s="551"/>
      <c r="E670" s="551"/>
      <c r="F670" s="551"/>
      <c r="G670" s="551"/>
      <c r="H670" s="551"/>
      <c r="I670" s="551"/>
      <c r="J670" s="551"/>
      <c r="K670" s="551"/>
      <c r="L670" s="551"/>
      <c r="M670" s="551"/>
      <c r="N670" s="551"/>
      <c r="O670" s="551"/>
      <c r="P670" s="551"/>
      <c r="Q670" s="551"/>
      <c r="R670" s="551"/>
      <c r="S670" s="551"/>
      <c r="T670" s="551"/>
      <c r="U670" s="551"/>
      <c r="V670" s="551"/>
      <c r="W670" s="551"/>
      <c r="X670" s="551"/>
      <c r="Y670" s="551"/>
      <c r="Z670" s="551"/>
      <c r="AA670" s="551"/>
      <c r="AB670" s="551"/>
      <c r="AC670" s="551"/>
      <c r="AD670" s="551"/>
      <c r="AE670" s="551"/>
      <c r="AF670" s="551"/>
      <c r="AG670" s="551"/>
      <c r="AH670" s="551"/>
      <c r="AI670" s="551"/>
      <c r="AJ670" s="551"/>
      <c r="AK670" s="551"/>
      <c r="AL670" s="551"/>
      <c r="AM670" s="551"/>
      <c r="AN670" s="551"/>
      <c r="AO670" s="551"/>
      <c r="AP670" s="551"/>
      <c r="AQ670" s="551"/>
      <c r="AR670" s="551"/>
      <c r="AS670" s="551"/>
      <c r="AT670" s="551"/>
      <c r="AU670" s="551"/>
      <c r="AV670" s="551"/>
      <c r="AW670" s="551"/>
      <c r="AX670" s="551"/>
      <c r="AY670" s="551"/>
      <c r="AZ670" s="551"/>
      <c r="BA670" s="551"/>
      <c r="BB670" s="551"/>
      <c r="BC670" s="551"/>
      <c r="BD670" s="551"/>
      <c r="BE670" s="551"/>
      <c r="BF670" s="551"/>
      <c r="BG670" s="551"/>
      <c r="BH670" s="551"/>
      <c r="BI670" s="551"/>
      <c r="BJ670" s="551"/>
    </row>
    <row r="671" spans="1:62" ht="12.75" customHeight="1">
      <c r="A671" s="551"/>
      <c r="B671" s="551"/>
      <c r="C671" s="551"/>
      <c r="D671" s="551"/>
      <c r="E671" s="551"/>
      <c r="F671" s="551"/>
      <c r="G671" s="551"/>
      <c r="H671" s="551"/>
      <c r="I671" s="551"/>
      <c r="J671" s="551"/>
      <c r="K671" s="551"/>
      <c r="L671" s="551"/>
      <c r="M671" s="551"/>
      <c r="N671" s="551"/>
      <c r="O671" s="551"/>
      <c r="P671" s="551"/>
      <c r="Q671" s="551"/>
      <c r="R671" s="551"/>
      <c r="S671" s="551"/>
      <c r="T671" s="551"/>
      <c r="U671" s="551"/>
      <c r="V671" s="551"/>
      <c r="W671" s="551"/>
      <c r="X671" s="551"/>
      <c r="Y671" s="551"/>
      <c r="Z671" s="551"/>
      <c r="AA671" s="551"/>
      <c r="AB671" s="551"/>
      <c r="AC671" s="551"/>
      <c r="AD671" s="551"/>
      <c r="AE671" s="551"/>
      <c r="AF671" s="551"/>
      <c r="AG671" s="551"/>
      <c r="AH671" s="551"/>
      <c r="AI671" s="551"/>
      <c r="AJ671" s="551"/>
      <c r="AK671" s="551"/>
      <c r="AL671" s="551"/>
      <c r="AM671" s="551"/>
      <c r="AN671" s="551"/>
      <c r="AO671" s="551"/>
      <c r="AP671" s="551"/>
      <c r="AQ671" s="551"/>
      <c r="AR671" s="551"/>
      <c r="AS671" s="551"/>
      <c r="AT671" s="551"/>
      <c r="AU671" s="551"/>
      <c r="AV671" s="551"/>
      <c r="AW671" s="551"/>
      <c r="AX671" s="551"/>
      <c r="AY671" s="551"/>
      <c r="AZ671" s="551"/>
      <c r="BA671" s="551"/>
      <c r="BB671" s="551"/>
      <c r="BC671" s="551"/>
      <c r="BD671" s="551"/>
      <c r="BE671" s="551"/>
      <c r="BF671" s="551"/>
      <c r="BG671" s="551"/>
      <c r="BH671" s="551"/>
      <c r="BI671" s="551"/>
      <c r="BJ671" s="551"/>
    </row>
    <row r="672" spans="1:62" ht="12.75" customHeight="1">
      <c r="A672" s="551"/>
      <c r="B672" s="551"/>
      <c r="C672" s="551"/>
      <c r="D672" s="551"/>
      <c r="E672" s="551"/>
      <c r="F672" s="551"/>
      <c r="G672" s="551"/>
      <c r="H672" s="551"/>
      <c r="I672" s="551"/>
      <c r="J672" s="551"/>
      <c r="K672" s="551"/>
      <c r="L672" s="551"/>
      <c r="M672" s="551"/>
      <c r="N672" s="551"/>
      <c r="O672" s="551"/>
      <c r="P672" s="551"/>
      <c r="Q672" s="551"/>
      <c r="R672" s="551"/>
      <c r="S672" s="551"/>
      <c r="T672" s="551"/>
      <c r="U672" s="551"/>
      <c r="V672" s="551"/>
      <c r="W672" s="551"/>
      <c r="X672" s="551"/>
      <c r="Y672" s="551"/>
      <c r="Z672" s="551"/>
      <c r="AA672" s="551"/>
      <c r="AB672" s="551"/>
      <c r="AC672" s="551"/>
      <c r="AD672" s="551"/>
      <c r="AE672" s="551"/>
      <c r="AF672" s="551"/>
      <c r="AG672" s="551"/>
      <c r="AH672" s="551"/>
      <c r="AI672" s="551"/>
      <c r="AJ672" s="551"/>
      <c r="AK672" s="551"/>
      <c r="AL672" s="551"/>
      <c r="AM672" s="551"/>
      <c r="AN672" s="551"/>
      <c r="AO672" s="551"/>
      <c r="AP672" s="551"/>
      <c r="AQ672" s="551"/>
      <c r="AR672" s="551"/>
      <c r="AS672" s="551"/>
      <c r="AT672" s="551"/>
      <c r="AU672" s="551"/>
      <c r="AV672" s="551"/>
      <c r="AW672" s="551"/>
      <c r="AX672" s="551"/>
      <c r="AY672" s="551"/>
      <c r="AZ672" s="551"/>
      <c r="BA672" s="551"/>
      <c r="BB672" s="551"/>
      <c r="BC672" s="551"/>
      <c r="BD672" s="551"/>
      <c r="BE672" s="551"/>
      <c r="BF672" s="551"/>
      <c r="BG672" s="551"/>
      <c r="BH672" s="551"/>
      <c r="BI672" s="551"/>
      <c r="BJ672" s="551"/>
    </row>
    <row r="673" spans="1:62" ht="12.75" customHeight="1">
      <c r="A673" s="551"/>
      <c r="B673" s="551"/>
      <c r="C673" s="551"/>
      <c r="D673" s="551"/>
      <c r="E673" s="551"/>
      <c r="F673" s="551"/>
      <c r="G673" s="551"/>
      <c r="H673" s="551"/>
      <c r="I673" s="551"/>
      <c r="J673" s="551"/>
      <c r="K673" s="551"/>
      <c r="L673" s="551"/>
      <c r="M673" s="551"/>
      <c r="N673" s="551"/>
      <c r="O673" s="551"/>
      <c r="P673" s="551"/>
      <c r="Q673" s="551"/>
      <c r="R673" s="551"/>
      <c r="S673" s="551"/>
      <c r="T673" s="551"/>
      <c r="U673" s="551"/>
      <c r="V673" s="551"/>
      <c r="W673" s="551"/>
      <c r="X673" s="551"/>
      <c r="Y673" s="551"/>
      <c r="Z673" s="551"/>
      <c r="AA673" s="551"/>
      <c r="AB673" s="551"/>
      <c r="AC673" s="551"/>
      <c r="AD673" s="551"/>
      <c r="AE673" s="551"/>
      <c r="AF673" s="551"/>
      <c r="AG673" s="551"/>
      <c r="AH673" s="551"/>
      <c r="AI673" s="551"/>
      <c r="AJ673" s="551"/>
      <c r="AK673" s="551"/>
      <c r="AL673" s="551"/>
      <c r="AM673" s="551"/>
      <c r="AN673" s="551"/>
      <c r="AO673" s="551"/>
      <c r="AP673" s="551"/>
      <c r="AQ673" s="551"/>
      <c r="AR673" s="551"/>
      <c r="AS673" s="551"/>
      <c r="AT673" s="551"/>
      <c r="AU673" s="551"/>
      <c r="AV673" s="551"/>
      <c r="AW673" s="551"/>
      <c r="AX673" s="551"/>
      <c r="AY673" s="551"/>
      <c r="AZ673" s="551"/>
      <c r="BA673" s="551"/>
      <c r="BB673" s="551"/>
      <c r="BC673" s="551"/>
      <c r="BD673" s="551"/>
      <c r="BE673" s="551"/>
      <c r="BF673" s="551"/>
      <c r="BG673" s="551"/>
      <c r="BH673" s="551"/>
      <c r="BI673" s="551"/>
      <c r="BJ673" s="551"/>
    </row>
    <row r="674" spans="1:62" ht="12.75" customHeight="1">
      <c r="A674" s="551"/>
      <c r="B674" s="551"/>
      <c r="C674" s="551"/>
      <c r="D674" s="551"/>
      <c r="E674" s="551"/>
      <c r="F674" s="551"/>
      <c r="G674" s="551"/>
      <c r="H674" s="551"/>
      <c r="I674" s="551"/>
      <c r="J674" s="551"/>
      <c r="K674" s="551"/>
      <c r="L674" s="551"/>
      <c r="M674" s="551"/>
      <c r="N674" s="551"/>
      <c r="O674" s="551"/>
      <c r="P674" s="551"/>
      <c r="Q674" s="551"/>
      <c r="R674" s="551"/>
      <c r="S674" s="551"/>
      <c r="T674" s="551"/>
      <c r="U674" s="551"/>
      <c r="V674" s="551"/>
      <c r="W674" s="551"/>
      <c r="X674" s="551"/>
      <c r="Y674" s="551"/>
      <c r="Z674" s="551"/>
      <c r="AA674" s="551"/>
      <c r="AB674" s="551"/>
      <c r="AC674" s="551"/>
      <c r="AD674" s="551"/>
      <c r="AE674" s="551"/>
      <c r="AF674" s="551"/>
      <c r="AG674" s="551"/>
      <c r="AH674" s="551"/>
      <c r="AI674" s="551"/>
      <c r="AJ674" s="551"/>
      <c r="AK674" s="551"/>
      <c r="AL674" s="551"/>
      <c r="AM674" s="551"/>
      <c r="AN674" s="551"/>
      <c r="AO674" s="551"/>
      <c r="AP674" s="551"/>
      <c r="AQ674" s="551"/>
      <c r="AR674" s="551"/>
      <c r="AS674" s="551"/>
      <c r="AT674" s="551"/>
      <c r="AU674" s="551"/>
      <c r="AV674" s="551"/>
      <c r="AW674" s="551"/>
      <c r="AX674" s="551"/>
      <c r="AY674" s="551"/>
      <c r="AZ674" s="551"/>
      <c r="BA674" s="551"/>
      <c r="BB674" s="551"/>
      <c r="BC674" s="551"/>
      <c r="BD674" s="551"/>
      <c r="BE674" s="551"/>
      <c r="BF674" s="551"/>
      <c r="BG674" s="551"/>
      <c r="BH674" s="551"/>
      <c r="BI674" s="551"/>
      <c r="BJ674" s="551"/>
    </row>
    <row r="675" spans="1:62" ht="12.75" customHeight="1">
      <c r="A675" s="551"/>
      <c r="B675" s="551"/>
      <c r="C675" s="551"/>
      <c r="D675" s="551"/>
      <c r="E675" s="551"/>
      <c r="F675" s="551"/>
      <c r="G675" s="551"/>
      <c r="H675" s="551"/>
      <c r="I675" s="551"/>
      <c r="J675" s="551"/>
      <c r="K675" s="551"/>
      <c r="L675" s="551"/>
      <c r="M675" s="551"/>
      <c r="N675" s="551"/>
      <c r="O675" s="551"/>
      <c r="P675" s="551"/>
      <c r="Q675" s="551"/>
      <c r="R675" s="551"/>
      <c r="S675" s="551"/>
      <c r="T675" s="551"/>
      <c r="U675" s="551"/>
      <c r="V675" s="551"/>
      <c r="W675" s="551"/>
      <c r="X675" s="551"/>
      <c r="Y675" s="551"/>
      <c r="Z675" s="551"/>
      <c r="AA675" s="551"/>
      <c r="AB675" s="551"/>
      <c r="AC675" s="551"/>
      <c r="AD675" s="551"/>
      <c r="AE675" s="551"/>
      <c r="AF675" s="551"/>
      <c r="AG675" s="551"/>
      <c r="AH675" s="551"/>
      <c r="AI675" s="551"/>
      <c r="AJ675" s="551"/>
      <c r="AK675" s="551"/>
      <c r="AL675" s="551"/>
      <c r="AM675" s="551"/>
      <c r="AN675" s="551"/>
      <c r="AO675" s="551"/>
      <c r="AP675" s="551"/>
      <c r="AQ675" s="551"/>
      <c r="AR675" s="551"/>
      <c r="AS675" s="551"/>
      <c r="AT675" s="551"/>
      <c r="AU675" s="551"/>
      <c r="AV675" s="551"/>
      <c r="AW675" s="551"/>
      <c r="AX675" s="551"/>
      <c r="AY675" s="551"/>
      <c r="AZ675" s="551"/>
      <c r="BA675" s="551"/>
      <c r="BB675" s="551"/>
      <c r="BC675" s="551"/>
      <c r="BD675" s="551"/>
      <c r="BE675" s="551"/>
      <c r="BF675" s="551"/>
      <c r="BG675" s="551"/>
      <c r="BH675" s="551"/>
      <c r="BI675" s="551"/>
      <c r="BJ675" s="551"/>
    </row>
    <row r="676" spans="1:62" ht="12.75" customHeight="1">
      <c r="A676" s="551"/>
      <c r="B676" s="551"/>
      <c r="C676" s="551"/>
      <c r="D676" s="551"/>
      <c r="E676" s="551"/>
      <c r="F676" s="551"/>
      <c r="G676" s="551"/>
      <c r="H676" s="551"/>
      <c r="I676" s="551"/>
      <c r="J676" s="551"/>
      <c r="K676" s="551"/>
      <c r="L676" s="551"/>
      <c r="M676" s="551"/>
      <c r="N676" s="551"/>
      <c r="O676" s="551"/>
      <c r="P676" s="551"/>
      <c r="Q676" s="551"/>
      <c r="R676" s="551"/>
      <c r="S676" s="551"/>
      <c r="T676" s="551"/>
      <c r="U676" s="551"/>
      <c r="V676" s="551"/>
      <c r="W676" s="551"/>
      <c r="X676" s="551"/>
      <c r="Y676" s="551"/>
      <c r="Z676" s="551"/>
      <c r="AA676" s="551"/>
      <c r="AB676" s="551"/>
      <c r="AC676" s="551"/>
      <c r="AD676" s="551"/>
      <c r="AE676" s="551"/>
      <c r="AF676" s="551"/>
      <c r="AG676" s="551"/>
      <c r="AH676" s="551"/>
      <c r="AI676" s="551"/>
      <c r="AJ676" s="551"/>
      <c r="AK676" s="551"/>
      <c r="AL676" s="551"/>
      <c r="AM676" s="551"/>
      <c r="AN676" s="551"/>
      <c r="AO676" s="551"/>
      <c r="AP676" s="551"/>
      <c r="AQ676" s="551"/>
      <c r="AR676" s="551"/>
      <c r="AS676" s="551"/>
      <c r="AT676" s="551"/>
      <c r="AU676" s="551"/>
      <c r="AV676" s="551"/>
      <c r="AW676" s="551"/>
      <c r="AX676" s="551"/>
      <c r="AY676" s="551"/>
      <c r="AZ676" s="551"/>
      <c r="BA676" s="551"/>
      <c r="BB676" s="551"/>
      <c r="BC676" s="551"/>
      <c r="BD676" s="551"/>
      <c r="BE676" s="551"/>
      <c r="BF676" s="551"/>
      <c r="BG676" s="551"/>
      <c r="BH676" s="551"/>
      <c r="BI676" s="551"/>
      <c r="BJ676" s="551"/>
    </row>
    <row r="677" spans="1:62" ht="12.75" customHeight="1">
      <c r="A677" s="551"/>
      <c r="B677" s="551"/>
      <c r="C677" s="551"/>
      <c r="D677" s="551"/>
      <c r="E677" s="551"/>
      <c r="F677" s="551"/>
      <c r="G677" s="551"/>
      <c r="H677" s="551"/>
      <c r="I677" s="551"/>
      <c r="J677" s="551"/>
      <c r="K677" s="551"/>
      <c r="L677" s="551"/>
      <c r="M677" s="551"/>
      <c r="N677" s="551"/>
      <c r="O677" s="551"/>
      <c r="P677" s="551"/>
      <c r="Q677" s="551"/>
      <c r="R677" s="551"/>
      <c r="S677" s="551"/>
      <c r="T677" s="551"/>
      <c r="U677" s="551"/>
      <c r="V677" s="551"/>
      <c r="W677" s="551"/>
      <c r="X677" s="551"/>
      <c r="Y677" s="551"/>
      <c r="Z677" s="551"/>
      <c r="AA677" s="551"/>
      <c r="AB677" s="551"/>
      <c r="AC677" s="551"/>
      <c r="AD677" s="551"/>
      <c r="AE677" s="551"/>
      <c r="AF677" s="551"/>
      <c r="AG677" s="551"/>
      <c r="AH677" s="551"/>
      <c r="AI677" s="551"/>
      <c r="AJ677" s="551"/>
      <c r="AK677" s="551"/>
      <c r="AL677" s="551"/>
      <c r="AM677" s="551"/>
      <c r="AN677" s="551"/>
      <c r="AO677" s="551"/>
      <c r="AP677" s="551"/>
      <c r="AQ677" s="551"/>
      <c r="AR677" s="551"/>
      <c r="AS677" s="551"/>
      <c r="AT677" s="551"/>
      <c r="AU677" s="551"/>
      <c r="AV677" s="551"/>
      <c r="AW677" s="551"/>
      <c r="AX677" s="551"/>
      <c r="AY677" s="551"/>
      <c r="AZ677" s="551"/>
      <c r="BA677" s="551"/>
      <c r="BB677" s="551"/>
      <c r="BC677" s="551"/>
      <c r="BD677" s="551"/>
      <c r="BE677" s="551"/>
      <c r="BF677" s="551"/>
      <c r="BG677" s="551"/>
      <c r="BH677" s="551"/>
      <c r="BI677" s="551"/>
      <c r="BJ677" s="551"/>
    </row>
    <row r="678" spans="1:62" ht="12.75" customHeight="1">
      <c r="A678" s="551"/>
      <c r="B678" s="551"/>
      <c r="C678" s="551"/>
      <c r="D678" s="551"/>
      <c r="E678" s="551"/>
      <c r="F678" s="551"/>
      <c r="G678" s="551"/>
      <c r="H678" s="551"/>
      <c r="I678" s="551"/>
      <c r="J678" s="551"/>
      <c r="K678" s="551"/>
      <c r="L678" s="551"/>
      <c r="M678" s="551"/>
      <c r="N678" s="551"/>
      <c r="O678" s="551"/>
      <c r="P678" s="551"/>
      <c r="Q678" s="551"/>
      <c r="R678" s="551"/>
      <c r="S678" s="551"/>
      <c r="T678" s="551"/>
      <c r="U678" s="551"/>
      <c r="V678" s="551"/>
      <c r="W678" s="551"/>
      <c r="X678" s="551"/>
      <c r="Y678" s="551"/>
      <c r="Z678" s="551"/>
      <c r="AA678" s="551"/>
      <c r="AB678" s="551"/>
      <c r="AC678" s="551"/>
      <c r="AD678" s="551"/>
      <c r="AE678" s="551"/>
      <c r="AF678" s="551"/>
      <c r="AG678" s="551"/>
      <c r="AH678" s="551"/>
      <c r="AI678" s="551"/>
      <c r="AJ678" s="551"/>
      <c r="AK678" s="551"/>
      <c r="AL678" s="551"/>
      <c r="AM678" s="551"/>
      <c r="AN678" s="551"/>
      <c r="AO678" s="551"/>
      <c r="AP678" s="551"/>
      <c r="AQ678" s="551"/>
      <c r="AR678" s="551"/>
      <c r="AS678" s="551"/>
      <c r="AT678" s="551"/>
      <c r="AU678" s="551"/>
      <c r="AV678" s="551"/>
      <c r="AW678" s="551"/>
      <c r="AX678" s="551"/>
      <c r="AY678" s="551"/>
      <c r="AZ678" s="551"/>
      <c r="BA678" s="551"/>
      <c r="BB678" s="551"/>
      <c r="BC678" s="551"/>
      <c r="BD678" s="551"/>
      <c r="BE678" s="551"/>
      <c r="BF678" s="551"/>
      <c r="BG678" s="551"/>
      <c r="BH678" s="551"/>
      <c r="BI678" s="551"/>
      <c r="BJ678" s="551"/>
    </row>
    <row r="679" spans="1:62" ht="12.75" customHeight="1">
      <c r="A679" s="551"/>
      <c r="B679" s="551"/>
      <c r="C679" s="551"/>
      <c r="D679" s="551"/>
      <c r="E679" s="551"/>
      <c r="F679" s="551"/>
      <c r="G679" s="551"/>
      <c r="H679" s="551"/>
      <c r="I679" s="551"/>
      <c r="J679" s="551"/>
      <c r="K679" s="551"/>
      <c r="L679" s="551"/>
      <c r="M679" s="551"/>
      <c r="N679" s="551"/>
      <c r="O679" s="551"/>
      <c r="P679" s="551"/>
      <c r="Q679" s="551"/>
      <c r="R679" s="551"/>
      <c r="S679" s="551"/>
      <c r="T679" s="551"/>
      <c r="U679" s="551"/>
      <c r="V679" s="551"/>
      <c r="W679" s="551"/>
      <c r="X679" s="551"/>
      <c r="Y679" s="551"/>
      <c r="Z679" s="551"/>
      <c r="AA679" s="551"/>
      <c r="AB679" s="551"/>
      <c r="AC679" s="551"/>
      <c r="AD679" s="551"/>
      <c r="AE679" s="551"/>
      <c r="AF679" s="551"/>
      <c r="AG679" s="551"/>
      <c r="AH679" s="551"/>
      <c r="AI679" s="551"/>
      <c r="AJ679" s="551"/>
      <c r="AK679" s="551"/>
      <c r="AL679" s="551"/>
      <c r="AM679" s="551"/>
      <c r="AN679" s="551"/>
      <c r="AO679" s="551"/>
      <c r="AP679" s="551"/>
      <c r="AQ679" s="551"/>
      <c r="AR679" s="551"/>
      <c r="AS679" s="551"/>
      <c r="AT679" s="551"/>
      <c r="AU679" s="551"/>
      <c r="AV679" s="551"/>
      <c r="AW679" s="551"/>
      <c r="AX679" s="551"/>
      <c r="AY679" s="551"/>
      <c r="AZ679" s="551"/>
      <c r="BA679" s="551"/>
      <c r="BB679" s="551"/>
      <c r="BC679" s="551"/>
      <c r="BD679" s="551"/>
      <c r="BE679" s="551"/>
      <c r="BF679" s="551"/>
      <c r="BG679" s="551"/>
      <c r="BH679" s="551"/>
      <c r="BI679" s="551"/>
      <c r="BJ679" s="551"/>
    </row>
    <row r="680" spans="1:62" ht="12.75" customHeight="1">
      <c r="A680" s="551"/>
      <c r="B680" s="551"/>
      <c r="C680" s="551"/>
      <c r="D680" s="551"/>
      <c r="E680" s="551"/>
      <c r="F680" s="551"/>
      <c r="G680" s="551"/>
      <c r="H680" s="551"/>
      <c r="I680" s="551"/>
      <c r="J680" s="551"/>
      <c r="K680" s="551"/>
      <c r="L680" s="551"/>
      <c r="M680" s="551"/>
      <c r="N680" s="551"/>
      <c r="O680" s="551"/>
      <c r="P680" s="551"/>
      <c r="Q680" s="551"/>
      <c r="R680" s="551"/>
      <c r="S680" s="551"/>
      <c r="T680" s="551"/>
      <c r="U680" s="551"/>
      <c r="V680" s="551"/>
      <c r="W680" s="551"/>
      <c r="X680" s="551"/>
      <c r="Y680" s="551"/>
      <c r="Z680" s="551"/>
      <c r="AA680" s="551"/>
      <c r="AB680" s="551"/>
      <c r="AC680" s="551"/>
      <c r="AD680" s="551"/>
      <c r="AE680" s="551"/>
      <c r="AF680" s="551"/>
      <c r="AG680" s="551"/>
      <c r="AH680" s="551"/>
      <c r="AI680" s="551"/>
      <c r="AJ680" s="551"/>
      <c r="AK680" s="551"/>
      <c r="AL680" s="551"/>
      <c r="AM680" s="551"/>
      <c r="AN680" s="551"/>
      <c r="AO680" s="551"/>
      <c r="AP680" s="551"/>
      <c r="AQ680" s="551"/>
      <c r="AR680" s="551"/>
      <c r="AS680" s="551"/>
      <c r="AT680" s="551"/>
      <c r="AU680" s="551"/>
      <c r="AV680" s="551"/>
      <c r="AW680" s="551"/>
      <c r="AX680" s="551"/>
      <c r="AY680" s="551"/>
      <c r="AZ680" s="551"/>
      <c r="BA680" s="551"/>
      <c r="BB680" s="551"/>
      <c r="BC680" s="551"/>
      <c r="BD680" s="551"/>
      <c r="BE680" s="551"/>
      <c r="BF680" s="551"/>
      <c r="BG680" s="551"/>
      <c r="BH680" s="551"/>
      <c r="BI680" s="551"/>
      <c r="BJ680" s="551"/>
    </row>
    <row r="681" spans="1:62" ht="12.75" customHeight="1">
      <c r="A681" s="551"/>
      <c r="B681" s="551"/>
      <c r="C681" s="551"/>
      <c r="D681" s="551"/>
      <c r="E681" s="551"/>
      <c r="F681" s="551"/>
      <c r="G681" s="551"/>
      <c r="H681" s="551"/>
      <c r="I681" s="551"/>
      <c r="J681" s="551"/>
      <c r="K681" s="551"/>
      <c r="L681" s="551"/>
      <c r="M681" s="551"/>
      <c r="N681" s="551"/>
      <c r="O681" s="551"/>
      <c r="P681" s="551"/>
      <c r="Q681" s="551"/>
      <c r="R681" s="551"/>
      <c r="S681" s="551"/>
      <c r="T681" s="551"/>
      <c r="U681" s="551"/>
      <c r="V681" s="551"/>
      <c r="W681" s="551"/>
      <c r="X681" s="551"/>
      <c r="Y681" s="551"/>
      <c r="Z681" s="551"/>
      <c r="AA681" s="551"/>
      <c r="AB681" s="551"/>
      <c r="AC681" s="551"/>
      <c r="AD681" s="551"/>
      <c r="AE681" s="551"/>
      <c r="AF681" s="551"/>
      <c r="AG681" s="551"/>
      <c r="AH681" s="551"/>
      <c r="AI681" s="551"/>
      <c r="AJ681" s="551"/>
      <c r="AK681" s="551"/>
      <c r="AL681" s="551"/>
      <c r="AM681" s="551"/>
      <c r="AN681" s="551"/>
      <c r="AO681" s="551"/>
      <c r="AP681" s="551"/>
      <c r="AQ681" s="551"/>
      <c r="AR681" s="551"/>
      <c r="AS681" s="551"/>
      <c r="AT681" s="551"/>
      <c r="AU681" s="551"/>
      <c r="AV681" s="551"/>
      <c r="AW681" s="551"/>
      <c r="AX681" s="551"/>
      <c r="AY681" s="551"/>
      <c r="AZ681" s="551"/>
      <c r="BA681" s="551"/>
      <c r="BB681" s="551"/>
      <c r="BC681" s="551"/>
      <c r="BD681" s="551"/>
      <c r="BE681" s="551"/>
      <c r="BF681" s="551"/>
      <c r="BG681" s="551"/>
      <c r="BH681" s="551"/>
      <c r="BI681" s="551"/>
      <c r="BJ681" s="551"/>
    </row>
    <row r="682" spans="1:62" ht="12.75" customHeight="1">
      <c r="A682" s="551"/>
      <c r="B682" s="551"/>
      <c r="C682" s="551"/>
      <c r="D682" s="551"/>
      <c r="E682" s="551"/>
      <c r="F682" s="551"/>
      <c r="G682" s="551"/>
      <c r="H682" s="551"/>
      <c r="I682" s="551"/>
      <c r="J682" s="551"/>
      <c r="K682" s="551"/>
      <c r="L682" s="551"/>
      <c r="M682" s="551"/>
      <c r="N682" s="551"/>
      <c r="O682" s="551"/>
      <c r="P682" s="551"/>
      <c r="Q682" s="551"/>
      <c r="R682" s="551"/>
      <c r="S682" s="551"/>
      <c r="T682" s="551"/>
      <c r="U682" s="551"/>
      <c r="V682" s="551"/>
      <c r="W682" s="551"/>
      <c r="X682" s="551"/>
      <c r="Y682" s="551"/>
      <c r="Z682" s="551"/>
      <c r="AA682" s="551"/>
      <c r="AB682" s="551"/>
      <c r="AC682" s="551"/>
      <c r="AD682" s="551"/>
      <c r="AE682" s="551"/>
      <c r="AF682" s="551"/>
      <c r="AG682" s="551"/>
      <c r="AH682" s="551"/>
      <c r="AI682" s="551"/>
      <c r="AJ682" s="551"/>
      <c r="AK682" s="551"/>
      <c r="AL682" s="551"/>
      <c r="AM682" s="551"/>
      <c r="AN682" s="551"/>
      <c r="AO682" s="551"/>
      <c r="AP682" s="551"/>
      <c r="AQ682" s="551"/>
      <c r="AR682" s="551"/>
      <c r="AS682" s="551"/>
      <c r="AT682" s="551"/>
      <c r="AU682" s="551"/>
      <c r="AV682" s="551"/>
      <c r="AW682" s="551"/>
      <c r="AX682" s="551"/>
      <c r="AY682" s="551"/>
      <c r="AZ682" s="551"/>
      <c r="BA682" s="551"/>
      <c r="BB682" s="551"/>
      <c r="BC682" s="551"/>
      <c r="BD682" s="551"/>
      <c r="BE682" s="551"/>
      <c r="BF682" s="551"/>
      <c r="BG682" s="551"/>
      <c r="BH682" s="551"/>
      <c r="BI682" s="551"/>
      <c r="BJ682" s="551"/>
    </row>
    <row r="683" spans="1:62" ht="12.75" customHeight="1">
      <c r="A683" s="551"/>
      <c r="B683" s="551"/>
      <c r="C683" s="551"/>
      <c r="D683" s="551"/>
      <c r="E683" s="551"/>
      <c r="F683" s="551"/>
      <c r="G683" s="551"/>
      <c r="H683" s="551"/>
      <c r="I683" s="551"/>
      <c r="J683" s="551"/>
      <c r="K683" s="551"/>
      <c r="L683" s="551"/>
      <c r="M683" s="551"/>
      <c r="N683" s="551"/>
      <c r="O683" s="551"/>
      <c r="P683" s="551"/>
      <c r="Q683" s="551"/>
      <c r="R683" s="551"/>
      <c r="S683" s="551"/>
      <c r="T683" s="551"/>
      <c r="U683" s="551"/>
      <c r="V683" s="551"/>
      <c r="W683" s="551"/>
      <c r="X683" s="551"/>
      <c r="Y683" s="551"/>
      <c r="Z683" s="551"/>
      <c r="AA683" s="551"/>
      <c r="AB683" s="551"/>
      <c r="AC683" s="551"/>
      <c r="AD683" s="551"/>
      <c r="AE683" s="551"/>
      <c r="AF683" s="551"/>
      <c r="AG683" s="551"/>
      <c r="AH683" s="551"/>
      <c r="AI683" s="551"/>
      <c r="AJ683" s="551"/>
      <c r="AK683" s="551"/>
      <c r="AL683" s="551"/>
      <c r="AM683" s="551"/>
      <c r="AN683" s="551"/>
      <c r="AO683" s="551"/>
      <c r="AP683" s="551"/>
      <c r="AQ683" s="551"/>
      <c r="AR683" s="551"/>
      <c r="AS683" s="551"/>
      <c r="AT683" s="551"/>
      <c r="AU683" s="551"/>
      <c r="AV683" s="551"/>
      <c r="AW683" s="551"/>
      <c r="AX683" s="551"/>
      <c r="AY683" s="551"/>
      <c r="AZ683" s="551"/>
      <c r="BA683" s="551"/>
      <c r="BB683" s="551"/>
      <c r="BC683" s="551"/>
      <c r="BD683" s="551"/>
      <c r="BE683" s="551"/>
      <c r="BF683" s="551"/>
      <c r="BG683" s="551"/>
      <c r="BH683" s="551"/>
      <c r="BI683" s="551"/>
      <c r="BJ683" s="551"/>
    </row>
    <row r="684" spans="1:62" ht="12.75" customHeight="1">
      <c r="A684" s="551"/>
      <c r="B684" s="551"/>
      <c r="C684" s="551"/>
      <c r="D684" s="551"/>
      <c r="E684" s="551"/>
      <c r="F684" s="551"/>
      <c r="G684" s="551"/>
      <c r="H684" s="551"/>
      <c r="I684" s="551"/>
      <c r="J684" s="551"/>
      <c r="K684" s="551"/>
      <c r="L684" s="551"/>
      <c r="M684" s="551"/>
      <c r="N684" s="551"/>
      <c r="O684" s="551"/>
      <c r="P684" s="551"/>
      <c r="Q684" s="551"/>
      <c r="R684" s="551"/>
      <c r="S684" s="551"/>
      <c r="T684" s="551"/>
      <c r="U684" s="551"/>
      <c r="V684" s="551"/>
      <c r="W684" s="551"/>
      <c r="X684" s="551"/>
      <c r="Y684" s="551"/>
      <c r="Z684" s="551"/>
      <c r="AA684" s="551"/>
      <c r="AB684" s="551"/>
      <c r="AC684" s="551"/>
      <c r="AD684" s="551"/>
      <c r="AE684" s="551"/>
      <c r="AF684" s="551"/>
      <c r="AG684" s="551"/>
      <c r="AH684" s="551"/>
      <c r="AI684" s="551"/>
      <c r="AJ684" s="551"/>
      <c r="AK684" s="551"/>
      <c r="AL684" s="551"/>
      <c r="AM684" s="551"/>
      <c r="AN684" s="551"/>
      <c r="AO684" s="551"/>
      <c r="AP684" s="551"/>
      <c r="AQ684" s="551"/>
      <c r="AR684" s="551"/>
      <c r="AS684" s="551"/>
      <c r="AT684" s="551"/>
      <c r="AU684" s="551"/>
      <c r="AV684" s="551"/>
      <c r="AW684" s="551"/>
      <c r="AX684" s="551"/>
      <c r="AY684" s="551"/>
      <c r="AZ684" s="551"/>
      <c r="BA684" s="551"/>
      <c r="BB684" s="551"/>
      <c r="BC684" s="551"/>
      <c r="BD684" s="551"/>
      <c r="BE684" s="551"/>
      <c r="BF684" s="551"/>
      <c r="BG684" s="551"/>
      <c r="BH684" s="551"/>
      <c r="BI684" s="551"/>
      <c r="BJ684" s="551"/>
    </row>
    <row r="685" spans="1:62" ht="12.75" customHeight="1">
      <c r="A685" s="551"/>
      <c r="B685" s="551"/>
      <c r="C685" s="551"/>
      <c r="D685" s="551"/>
      <c r="E685" s="551"/>
      <c r="F685" s="551"/>
      <c r="G685" s="551"/>
      <c r="H685" s="551"/>
      <c r="I685" s="551"/>
      <c r="J685" s="551"/>
      <c r="K685" s="551"/>
      <c r="L685" s="551"/>
      <c r="M685" s="551"/>
      <c r="N685" s="551"/>
      <c r="O685" s="551"/>
      <c r="P685" s="551"/>
      <c r="Q685" s="551"/>
      <c r="R685" s="551"/>
      <c r="S685" s="551"/>
      <c r="T685" s="551"/>
      <c r="U685" s="551"/>
      <c r="V685" s="551"/>
      <c r="W685" s="551"/>
      <c r="X685" s="551"/>
      <c r="Y685" s="551"/>
      <c r="Z685" s="551"/>
      <c r="AA685" s="551"/>
      <c r="AB685" s="551"/>
      <c r="AC685" s="551"/>
      <c r="AD685" s="551"/>
      <c r="AE685" s="551"/>
      <c r="AF685" s="551"/>
      <c r="AG685" s="551"/>
      <c r="AH685" s="551"/>
      <c r="AI685" s="551"/>
      <c r="AJ685" s="551"/>
      <c r="AK685" s="551"/>
      <c r="AL685" s="551"/>
      <c r="AM685" s="551"/>
      <c r="AN685" s="551"/>
      <c r="AO685" s="551"/>
      <c r="AP685" s="551"/>
      <c r="AQ685" s="551"/>
      <c r="AR685" s="551"/>
      <c r="AS685" s="551"/>
      <c r="AT685" s="551"/>
      <c r="AU685" s="551"/>
      <c r="AV685" s="551"/>
      <c r="AW685" s="551"/>
      <c r="AX685" s="551"/>
      <c r="AY685" s="551"/>
      <c r="AZ685" s="551"/>
      <c r="BA685" s="551"/>
      <c r="BB685" s="551"/>
      <c r="BC685" s="551"/>
      <c r="BD685" s="551"/>
      <c r="BE685" s="551"/>
      <c r="BF685" s="551"/>
      <c r="BG685" s="551"/>
      <c r="BH685" s="551"/>
      <c r="BI685" s="551"/>
      <c r="BJ685" s="551"/>
    </row>
    <row r="686" spans="1:62" ht="12.75" customHeight="1">
      <c r="A686" s="551"/>
      <c r="B686" s="551"/>
      <c r="C686" s="551"/>
      <c r="D686" s="551"/>
      <c r="E686" s="551"/>
      <c r="F686" s="551"/>
      <c r="G686" s="551"/>
      <c r="H686" s="551"/>
      <c r="I686" s="551"/>
      <c r="J686" s="551"/>
      <c r="K686" s="551"/>
      <c r="L686" s="551"/>
      <c r="M686" s="551"/>
      <c r="N686" s="551"/>
      <c r="O686" s="551"/>
      <c r="P686" s="551"/>
      <c r="Q686" s="551"/>
      <c r="R686" s="551"/>
      <c r="S686" s="551"/>
      <c r="T686" s="551"/>
      <c r="U686" s="551"/>
      <c r="V686" s="551"/>
      <c r="W686" s="551"/>
      <c r="X686" s="551"/>
      <c r="Y686" s="551"/>
      <c r="Z686" s="551"/>
      <c r="AA686" s="551"/>
      <c r="AB686" s="551"/>
      <c r="AC686" s="551"/>
      <c r="AD686" s="551"/>
      <c r="AE686" s="551"/>
      <c r="AF686" s="551"/>
      <c r="AG686" s="551"/>
      <c r="AH686" s="551"/>
      <c r="AI686" s="551"/>
      <c r="AJ686" s="551"/>
      <c r="AK686" s="551"/>
      <c r="AL686" s="551"/>
      <c r="AM686" s="551"/>
      <c r="AN686" s="551"/>
      <c r="AO686" s="551"/>
      <c r="AP686" s="551"/>
      <c r="AQ686" s="551"/>
      <c r="AR686" s="551"/>
      <c r="AS686" s="551"/>
      <c r="AT686" s="551"/>
      <c r="AU686" s="551"/>
      <c r="AV686" s="551"/>
      <c r="AW686" s="551"/>
      <c r="AX686" s="551"/>
      <c r="AY686" s="551"/>
      <c r="AZ686" s="551"/>
      <c r="BA686" s="551"/>
      <c r="BB686" s="551"/>
      <c r="BC686" s="551"/>
      <c r="BD686" s="551"/>
      <c r="BE686" s="551"/>
      <c r="BF686" s="551"/>
      <c r="BG686" s="551"/>
      <c r="BH686" s="551"/>
      <c r="BI686" s="551"/>
      <c r="BJ686" s="551"/>
    </row>
    <row r="687" spans="1:62" ht="12.75" customHeight="1">
      <c r="A687" s="551"/>
      <c r="B687" s="551"/>
      <c r="C687" s="551"/>
      <c r="D687" s="551"/>
      <c r="E687" s="551"/>
      <c r="F687" s="551"/>
      <c r="G687" s="551"/>
      <c r="H687" s="551"/>
      <c r="I687" s="551"/>
      <c r="J687" s="551"/>
      <c r="K687" s="551"/>
      <c r="L687" s="551"/>
      <c r="M687" s="551"/>
      <c r="N687" s="551"/>
      <c r="O687" s="551"/>
      <c r="P687" s="551"/>
      <c r="Q687" s="551"/>
      <c r="R687" s="551"/>
      <c r="S687" s="551"/>
      <c r="T687" s="551"/>
      <c r="U687" s="551"/>
      <c r="V687" s="551"/>
      <c r="W687" s="551"/>
      <c r="X687" s="551"/>
      <c r="Y687" s="551"/>
      <c r="Z687" s="551"/>
      <c r="AA687" s="551"/>
      <c r="AB687" s="551"/>
      <c r="AC687" s="551"/>
      <c r="AD687" s="551"/>
      <c r="AE687" s="551"/>
      <c r="AF687" s="551"/>
      <c r="AG687" s="551"/>
      <c r="AH687" s="551"/>
      <c r="AI687" s="551"/>
      <c r="AJ687" s="551"/>
      <c r="AK687" s="551"/>
      <c r="AL687" s="551"/>
      <c r="AM687" s="551"/>
      <c r="AN687" s="551"/>
      <c r="AO687" s="551"/>
      <c r="AP687" s="551"/>
      <c r="AQ687" s="551"/>
      <c r="AR687" s="551"/>
      <c r="AS687" s="551"/>
      <c r="AT687" s="551"/>
      <c r="AU687" s="551"/>
      <c r="AV687" s="551"/>
      <c r="AW687" s="551"/>
      <c r="AX687" s="551"/>
      <c r="AY687" s="551"/>
      <c r="AZ687" s="551"/>
      <c r="BA687" s="551"/>
      <c r="BB687" s="551"/>
      <c r="BC687" s="551"/>
      <c r="BD687" s="551"/>
      <c r="BE687" s="551"/>
      <c r="BF687" s="551"/>
      <c r="BG687" s="551"/>
      <c r="BH687" s="551"/>
      <c r="BI687" s="551"/>
      <c r="BJ687" s="551"/>
    </row>
    <row r="688" spans="1:62" ht="12.75" customHeight="1">
      <c r="A688" s="551"/>
      <c r="B688" s="551"/>
      <c r="C688" s="551"/>
      <c r="D688" s="551"/>
      <c r="E688" s="551"/>
      <c r="F688" s="551"/>
      <c r="G688" s="551"/>
      <c r="H688" s="551"/>
      <c r="I688" s="551"/>
      <c r="J688" s="551"/>
      <c r="K688" s="551"/>
      <c r="L688" s="551"/>
      <c r="M688" s="551"/>
      <c r="N688" s="551"/>
      <c r="O688" s="551"/>
      <c r="P688" s="551"/>
      <c r="Q688" s="551"/>
      <c r="R688" s="551"/>
      <c r="S688" s="551"/>
      <c r="T688" s="551"/>
      <c r="U688" s="551"/>
      <c r="V688" s="551"/>
      <c r="W688" s="551"/>
      <c r="X688" s="551"/>
      <c r="Y688" s="551"/>
      <c r="Z688" s="551"/>
      <c r="AA688" s="551"/>
      <c r="AB688" s="551"/>
      <c r="AC688" s="551"/>
      <c r="AD688" s="551"/>
      <c r="AE688" s="551"/>
      <c r="AF688" s="551"/>
      <c r="AG688" s="551"/>
      <c r="AH688" s="551"/>
      <c r="AI688" s="551"/>
      <c r="AJ688" s="551"/>
      <c r="AK688" s="551"/>
      <c r="AL688" s="551"/>
      <c r="AM688" s="551"/>
      <c r="AN688" s="551"/>
      <c r="AO688" s="551"/>
      <c r="AP688" s="551"/>
      <c r="AQ688" s="551"/>
      <c r="AR688" s="551"/>
      <c r="AS688" s="551"/>
      <c r="AT688" s="551"/>
      <c r="AU688" s="551"/>
      <c r="AV688" s="551"/>
      <c r="AW688" s="551"/>
      <c r="AX688" s="551"/>
      <c r="AY688" s="551"/>
      <c r="AZ688" s="551"/>
      <c r="BA688" s="551"/>
      <c r="BB688" s="551"/>
      <c r="BC688" s="551"/>
      <c r="BD688" s="551"/>
      <c r="BE688" s="551"/>
      <c r="BF688" s="551"/>
      <c r="BG688" s="551"/>
      <c r="BH688" s="551"/>
      <c r="BI688" s="551"/>
      <c r="BJ688" s="551"/>
    </row>
    <row r="689" spans="1:62" ht="12.75" customHeight="1">
      <c r="A689" s="551"/>
      <c r="B689" s="551"/>
      <c r="C689" s="551"/>
      <c r="D689" s="551"/>
      <c r="E689" s="551"/>
      <c r="F689" s="551"/>
      <c r="G689" s="551"/>
      <c r="H689" s="551"/>
      <c r="I689" s="551"/>
      <c r="J689" s="551"/>
      <c r="K689" s="551"/>
      <c r="L689" s="551"/>
      <c r="M689" s="551"/>
      <c r="N689" s="551"/>
      <c r="O689" s="551"/>
      <c r="P689" s="551"/>
      <c r="Q689" s="551"/>
      <c r="R689" s="551"/>
      <c r="S689" s="551"/>
      <c r="T689" s="551"/>
      <c r="U689" s="551"/>
      <c r="V689" s="551"/>
      <c r="W689" s="551"/>
      <c r="X689" s="551"/>
      <c r="Y689" s="551"/>
      <c r="Z689" s="551"/>
      <c r="AA689" s="551"/>
      <c r="AB689" s="551"/>
      <c r="AC689" s="551"/>
      <c r="AD689" s="551"/>
      <c r="AE689" s="551"/>
      <c r="AF689" s="551"/>
      <c r="AG689" s="551"/>
      <c r="AH689" s="551"/>
      <c r="AI689" s="551"/>
      <c r="AJ689" s="551"/>
      <c r="AK689" s="551"/>
      <c r="AL689" s="551"/>
      <c r="AM689" s="551"/>
      <c r="AN689" s="551"/>
      <c r="AO689" s="551"/>
      <c r="AP689" s="551"/>
      <c r="AQ689" s="551"/>
      <c r="AR689" s="551"/>
      <c r="AS689" s="551"/>
      <c r="AT689" s="551"/>
      <c r="AU689" s="551"/>
      <c r="AV689" s="551"/>
      <c r="AW689" s="551"/>
      <c r="AX689" s="551"/>
      <c r="AY689" s="551"/>
      <c r="AZ689" s="551"/>
      <c r="BA689" s="551"/>
      <c r="BB689" s="551"/>
      <c r="BC689" s="551"/>
      <c r="BD689" s="551"/>
      <c r="BE689" s="551"/>
      <c r="BF689" s="551"/>
      <c r="BG689" s="551"/>
      <c r="BH689" s="551"/>
      <c r="BI689" s="551"/>
      <c r="BJ689" s="551"/>
    </row>
    <row r="690" spans="1:62" ht="12.75" customHeight="1">
      <c r="A690" s="551"/>
      <c r="B690" s="551"/>
      <c r="C690" s="551"/>
      <c r="D690" s="551"/>
      <c r="E690" s="551"/>
      <c r="F690" s="551"/>
      <c r="G690" s="551"/>
      <c r="H690" s="551"/>
      <c r="I690" s="551"/>
      <c r="J690" s="551"/>
      <c r="K690" s="551"/>
      <c r="L690" s="551"/>
      <c r="M690" s="551"/>
      <c r="N690" s="551"/>
      <c r="O690" s="551"/>
      <c r="P690" s="551"/>
      <c r="Q690" s="551"/>
      <c r="R690" s="551"/>
      <c r="S690" s="551"/>
      <c r="T690" s="551"/>
      <c r="U690" s="551"/>
      <c r="V690" s="551"/>
      <c r="W690" s="551"/>
      <c r="X690" s="551"/>
      <c r="Y690" s="551"/>
      <c r="Z690" s="551"/>
      <c r="AA690" s="551"/>
      <c r="AB690" s="551"/>
      <c r="AC690" s="551"/>
      <c r="AD690" s="551"/>
      <c r="AE690" s="551"/>
      <c r="AF690" s="551"/>
      <c r="AG690" s="551"/>
      <c r="AH690" s="551"/>
      <c r="AI690" s="551"/>
      <c r="AJ690" s="551"/>
      <c r="AK690" s="551"/>
      <c r="AL690" s="551"/>
      <c r="AM690" s="551"/>
      <c r="AN690" s="551"/>
      <c r="AO690" s="551"/>
      <c r="AP690" s="551"/>
      <c r="AQ690" s="551"/>
      <c r="AR690" s="551"/>
      <c r="AS690" s="551"/>
      <c r="AT690" s="551"/>
      <c r="AU690" s="551"/>
      <c r="AV690" s="551"/>
      <c r="AW690" s="551"/>
      <c r="AX690" s="551"/>
      <c r="AY690" s="551"/>
      <c r="AZ690" s="551"/>
      <c r="BA690" s="551"/>
      <c r="BB690" s="551"/>
      <c r="BC690" s="551"/>
      <c r="BD690" s="551"/>
      <c r="BE690" s="551"/>
      <c r="BF690" s="551"/>
      <c r="BG690" s="551"/>
      <c r="BH690" s="551"/>
      <c r="BI690" s="551"/>
      <c r="BJ690" s="551"/>
    </row>
    <row r="691" spans="1:62" ht="12.75" customHeight="1">
      <c r="A691" s="551"/>
      <c r="B691" s="551"/>
      <c r="C691" s="551"/>
      <c r="D691" s="551"/>
      <c r="E691" s="551"/>
      <c r="F691" s="551"/>
      <c r="G691" s="551"/>
      <c r="H691" s="551"/>
      <c r="I691" s="551"/>
      <c r="J691" s="551"/>
      <c r="K691" s="551"/>
      <c r="L691" s="551"/>
      <c r="M691" s="551"/>
      <c r="N691" s="551"/>
      <c r="O691" s="551"/>
      <c r="P691" s="551"/>
      <c r="Q691" s="551"/>
      <c r="R691" s="551"/>
      <c r="S691" s="551"/>
      <c r="T691" s="551"/>
      <c r="U691" s="551"/>
      <c r="V691" s="551"/>
      <c r="W691" s="551"/>
      <c r="X691" s="551"/>
      <c r="Y691" s="551"/>
      <c r="Z691" s="551"/>
      <c r="AA691" s="551"/>
      <c r="AB691" s="551"/>
      <c r="AC691" s="551"/>
      <c r="AD691" s="551"/>
      <c r="AE691" s="551"/>
      <c r="AF691" s="551"/>
      <c r="AG691" s="551"/>
      <c r="AH691" s="551"/>
      <c r="AI691" s="551"/>
      <c r="AJ691" s="551"/>
      <c r="AK691" s="551"/>
      <c r="AL691" s="551"/>
      <c r="AM691" s="551"/>
      <c r="AN691" s="551"/>
      <c r="AO691" s="551"/>
      <c r="AP691" s="551"/>
      <c r="AQ691" s="551"/>
      <c r="AR691" s="551"/>
      <c r="AS691" s="551"/>
      <c r="AT691" s="551"/>
      <c r="AU691" s="551"/>
      <c r="AV691" s="551"/>
      <c r="AW691" s="551"/>
      <c r="AX691" s="551"/>
      <c r="AY691" s="551"/>
      <c r="AZ691" s="551"/>
      <c r="BA691" s="551"/>
      <c r="BB691" s="551"/>
      <c r="BC691" s="551"/>
      <c r="BD691" s="551"/>
      <c r="BE691" s="551"/>
      <c r="BF691" s="551"/>
      <c r="BG691" s="551"/>
      <c r="BH691" s="551"/>
      <c r="BI691" s="551"/>
      <c r="BJ691" s="551"/>
    </row>
    <row r="692" spans="1:62" ht="12.75" customHeight="1">
      <c r="A692" s="551"/>
      <c r="B692" s="551"/>
      <c r="C692" s="551"/>
      <c r="D692" s="551"/>
      <c r="E692" s="551"/>
      <c r="F692" s="551"/>
      <c r="G692" s="551"/>
      <c r="H692" s="551"/>
      <c r="I692" s="551"/>
      <c r="J692" s="551"/>
      <c r="K692" s="551"/>
      <c r="L692" s="551"/>
      <c r="M692" s="551"/>
      <c r="N692" s="551"/>
      <c r="O692" s="551"/>
      <c r="P692" s="551"/>
      <c r="Q692" s="551"/>
      <c r="R692" s="551"/>
      <c r="S692" s="551"/>
      <c r="T692" s="551"/>
      <c r="U692" s="551"/>
      <c r="V692" s="551"/>
      <c r="W692" s="551"/>
      <c r="X692" s="551"/>
      <c r="Y692" s="551"/>
      <c r="Z692" s="551"/>
      <c r="AA692" s="551"/>
      <c r="AB692" s="551"/>
      <c r="AC692" s="551"/>
      <c r="AD692" s="551"/>
      <c r="AE692" s="551"/>
      <c r="AF692" s="551"/>
      <c r="AG692" s="551"/>
      <c r="AH692" s="551"/>
      <c r="AI692" s="551"/>
      <c r="AJ692" s="551"/>
      <c r="AK692" s="551"/>
      <c r="AL692" s="551"/>
      <c r="AM692" s="551"/>
      <c r="AN692" s="551"/>
      <c r="AO692" s="551"/>
      <c r="AP692" s="551"/>
      <c r="AQ692" s="551"/>
      <c r="AR692" s="551"/>
      <c r="AS692" s="551"/>
      <c r="AT692" s="551"/>
      <c r="AU692" s="551"/>
      <c r="AV692" s="551"/>
      <c r="AW692" s="551"/>
      <c r="AX692" s="551"/>
      <c r="AY692" s="551"/>
      <c r="AZ692" s="551"/>
      <c r="BA692" s="551"/>
      <c r="BB692" s="551"/>
      <c r="BC692" s="551"/>
      <c r="BD692" s="551"/>
      <c r="BE692" s="551"/>
      <c r="BF692" s="551"/>
      <c r="BG692" s="551"/>
      <c r="BH692" s="551"/>
      <c r="BI692" s="551"/>
      <c r="BJ692" s="551"/>
    </row>
    <row r="693" spans="1:62" ht="12.75" customHeight="1">
      <c r="A693" s="551"/>
      <c r="B693" s="551"/>
      <c r="C693" s="551"/>
      <c r="D693" s="551"/>
      <c r="E693" s="551"/>
      <c r="F693" s="551"/>
      <c r="G693" s="551"/>
      <c r="H693" s="551"/>
      <c r="I693" s="551"/>
      <c r="J693" s="551"/>
      <c r="K693" s="551"/>
      <c r="L693" s="551"/>
      <c r="M693" s="551"/>
      <c r="N693" s="551"/>
      <c r="O693" s="551"/>
      <c r="P693" s="551"/>
      <c r="Q693" s="551"/>
      <c r="R693" s="551"/>
      <c r="S693" s="551"/>
      <c r="T693" s="551"/>
      <c r="U693" s="551"/>
      <c r="V693" s="551"/>
      <c r="W693" s="551"/>
      <c r="X693" s="551"/>
      <c r="Y693" s="551"/>
      <c r="Z693" s="551"/>
      <c r="AA693" s="551"/>
      <c r="AB693" s="551"/>
      <c r="AC693" s="551"/>
      <c r="AD693" s="551"/>
      <c r="AE693" s="551"/>
      <c r="AF693" s="551"/>
      <c r="AG693" s="551"/>
      <c r="AH693" s="551"/>
      <c r="AI693" s="551"/>
      <c r="AJ693" s="551"/>
      <c r="AK693" s="551"/>
      <c r="AL693" s="551"/>
      <c r="AM693" s="551"/>
      <c r="AN693" s="551"/>
      <c r="AO693" s="551"/>
      <c r="AP693" s="551"/>
      <c r="AQ693" s="551"/>
      <c r="AR693" s="551"/>
      <c r="AS693" s="551"/>
      <c r="AT693" s="551"/>
      <c r="AU693" s="551"/>
      <c r="AV693" s="551"/>
      <c r="AW693" s="551"/>
      <c r="AX693" s="551"/>
      <c r="AY693" s="551"/>
      <c r="AZ693" s="551"/>
      <c r="BA693" s="551"/>
      <c r="BB693" s="551"/>
      <c r="BC693" s="551"/>
      <c r="BD693" s="551"/>
      <c r="BE693" s="551"/>
      <c r="BF693" s="551"/>
      <c r="BG693" s="551"/>
      <c r="BH693" s="551"/>
      <c r="BI693" s="551"/>
      <c r="BJ693" s="551"/>
    </row>
    <row r="694" spans="1:62" ht="12.75" customHeight="1">
      <c r="A694" s="551"/>
      <c r="B694" s="551"/>
      <c r="C694" s="551"/>
      <c r="D694" s="551"/>
      <c r="E694" s="551"/>
      <c r="F694" s="551"/>
      <c r="G694" s="551"/>
      <c r="H694" s="551"/>
      <c r="I694" s="551"/>
      <c r="J694" s="551"/>
      <c r="K694" s="551"/>
      <c r="L694" s="551"/>
      <c r="M694" s="551"/>
      <c r="N694" s="551"/>
      <c r="O694" s="551"/>
      <c r="P694" s="551"/>
      <c r="Q694" s="551"/>
      <c r="R694" s="551"/>
      <c r="S694" s="551"/>
      <c r="T694" s="551"/>
      <c r="U694" s="551"/>
      <c r="V694" s="551"/>
      <c r="W694" s="551"/>
      <c r="X694" s="551"/>
      <c r="Y694" s="551"/>
      <c r="Z694" s="551"/>
      <c r="AA694" s="551"/>
      <c r="AB694" s="551"/>
      <c r="AC694" s="551"/>
      <c r="AD694" s="551"/>
      <c r="AE694" s="551"/>
      <c r="AF694" s="551"/>
      <c r="AG694" s="551"/>
      <c r="AH694" s="551"/>
      <c r="AI694" s="551"/>
      <c r="AJ694" s="551"/>
      <c r="AK694" s="551"/>
      <c r="AL694" s="551"/>
      <c r="AM694" s="551"/>
      <c r="AN694" s="551"/>
      <c r="AO694" s="551"/>
      <c r="AP694" s="551"/>
      <c r="AQ694" s="551"/>
      <c r="AR694" s="551"/>
      <c r="AS694" s="551"/>
      <c r="AT694" s="551"/>
      <c r="AU694" s="551"/>
      <c r="AV694" s="551"/>
      <c r="AW694" s="551"/>
      <c r="AX694" s="551"/>
      <c r="AY694" s="551"/>
      <c r="AZ694" s="551"/>
      <c r="BA694" s="551"/>
      <c r="BB694" s="551"/>
      <c r="BC694" s="551"/>
      <c r="BD694" s="551"/>
      <c r="BE694" s="551"/>
      <c r="BF694" s="551"/>
      <c r="BG694" s="551"/>
      <c r="BH694" s="551"/>
      <c r="BI694" s="551"/>
      <c r="BJ694" s="551"/>
    </row>
    <row r="695" spans="1:62" ht="12.75" customHeight="1">
      <c r="A695" s="551"/>
      <c r="B695" s="551"/>
      <c r="C695" s="551"/>
      <c r="D695" s="551"/>
      <c r="E695" s="551"/>
      <c r="F695" s="551"/>
      <c r="G695" s="551"/>
      <c r="H695" s="551"/>
      <c r="I695" s="551"/>
      <c r="J695" s="551"/>
      <c r="K695" s="551"/>
      <c r="L695" s="551"/>
      <c r="M695" s="551"/>
      <c r="N695" s="551"/>
      <c r="O695" s="551"/>
      <c r="P695" s="551"/>
      <c r="Q695" s="551"/>
      <c r="R695" s="551"/>
      <c r="S695" s="551"/>
      <c r="T695" s="551"/>
      <c r="U695" s="551"/>
      <c r="V695" s="551"/>
      <c r="W695" s="551"/>
      <c r="X695" s="551"/>
      <c r="Y695" s="551"/>
      <c r="Z695" s="551"/>
      <c r="AA695" s="551"/>
      <c r="AB695" s="551"/>
      <c r="AC695" s="551"/>
      <c r="AD695" s="551"/>
      <c r="AE695" s="551"/>
      <c r="AF695" s="551"/>
      <c r="AG695" s="551"/>
      <c r="AH695" s="551"/>
      <c r="AI695" s="551"/>
      <c r="AJ695" s="551"/>
      <c r="AK695" s="551"/>
      <c r="AL695" s="551"/>
      <c r="AM695" s="551"/>
      <c r="AN695" s="551"/>
      <c r="AO695" s="551"/>
      <c r="AP695" s="551"/>
      <c r="AQ695" s="551"/>
      <c r="AR695" s="551"/>
      <c r="AS695" s="551"/>
      <c r="AT695" s="551"/>
      <c r="AU695" s="551"/>
      <c r="AV695" s="551"/>
      <c r="AW695" s="551"/>
      <c r="AX695" s="551"/>
      <c r="AY695" s="551"/>
      <c r="AZ695" s="551"/>
      <c r="BA695" s="551"/>
      <c r="BB695" s="551"/>
      <c r="BC695" s="551"/>
      <c r="BD695" s="551"/>
      <c r="BE695" s="551"/>
      <c r="BF695" s="551"/>
      <c r="BG695" s="551"/>
      <c r="BH695" s="551"/>
      <c r="BI695" s="551"/>
      <c r="BJ695" s="551"/>
    </row>
    <row r="696" spans="1:62" ht="12.75" customHeight="1">
      <c r="A696" s="551"/>
      <c r="B696" s="551"/>
      <c r="C696" s="551"/>
      <c r="D696" s="551"/>
      <c r="E696" s="551"/>
      <c r="F696" s="551"/>
      <c r="G696" s="551"/>
      <c r="H696" s="551"/>
      <c r="I696" s="551"/>
      <c r="J696" s="551"/>
      <c r="K696" s="551"/>
      <c r="L696" s="551"/>
      <c r="M696" s="551"/>
      <c r="N696" s="551"/>
      <c r="O696" s="551"/>
      <c r="P696" s="551"/>
      <c r="Q696" s="551"/>
      <c r="R696" s="551"/>
      <c r="S696" s="551"/>
      <c r="T696" s="551"/>
      <c r="U696" s="551"/>
      <c r="V696" s="551"/>
      <c r="W696" s="551"/>
      <c r="X696" s="551"/>
      <c r="Y696" s="551"/>
      <c r="Z696" s="551"/>
      <c r="AA696" s="551"/>
      <c r="AB696" s="551"/>
      <c r="AC696" s="551"/>
      <c r="AD696" s="551"/>
      <c r="AE696" s="551"/>
      <c r="AF696" s="551"/>
      <c r="AG696" s="551"/>
      <c r="AH696" s="551"/>
      <c r="AI696" s="551"/>
      <c r="AJ696" s="551"/>
      <c r="AK696" s="551"/>
      <c r="AL696" s="551"/>
      <c r="AM696" s="551"/>
      <c r="AN696" s="551"/>
      <c r="AO696" s="551"/>
      <c r="AP696" s="551"/>
      <c r="AQ696" s="551"/>
      <c r="AR696" s="551"/>
      <c r="AS696" s="551"/>
      <c r="AT696" s="551"/>
      <c r="AU696" s="551"/>
      <c r="AV696" s="551"/>
      <c r="AW696" s="551"/>
      <c r="AX696" s="551"/>
      <c r="AY696" s="551"/>
      <c r="AZ696" s="551"/>
      <c r="BA696" s="551"/>
      <c r="BB696" s="551"/>
      <c r="BC696" s="551"/>
      <c r="BD696" s="551"/>
      <c r="BE696" s="551"/>
      <c r="BF696" s="551"/>
      <c r="BG696" s="551"/>
      <c r="BH696" s="551"/>
      <c r="BI696" s="551"/>
      <c r="BJ696" s="551"/>
    </row>
    <row r="697" spans="1:62" ht="12.75" customHeight="1">
      <c r="A697" s="551"/>
      <c r="B697" s="551"/>
      <c r="C697" s="551"/>
      <c r="D697" s="551"/>
      <c r="E697" s="551"/>
      <c r="F697" s="551"/>
      <c r="G697" s="551"/>
      <c r="H697" s="551"/>
      <c r="I697" s="551"/>
      <c r="J697" s="551"/>
      <c r="K697" s="551"/>
      <c r="L697" s="551"/>
      <c r="M697" s="551"/>
      <c r="N697" s="551"/>
      <c r="O697" s="551"/>
      <c r="P697" s="551"/>
      <c r="Q697" s="551"/>
      <c r="R697" s="551"/>
      <c r="S697" s="551"/>
      <c r="T697" s="551"/>
      <c r="U697" s="551"/>
      <c r="V697" s="551"/>
      <c r="W697" s="551"/>
      <c r="X697" s="551"/>
      <c r="Y697" s="551"/>
      <c r="Z697" s="551"/>
      <c r="AA697" s="551"/>
      <c r="AB697" s="551"/>
      <c r="AC697" s="551"/>
      <c r="AD697" s="551"/>
      <c r="AE697" s="551"/>
      <c r="AF697" s="551"/>
      <c r="AG697" s="551"/>
      <c r="AH697" s="551"/>
      <c r="AI697" s="551"/>
      <c r="AJ697" s="551"/>
      <c r="AK697" s="551"/>
      <c r="AL697" s="551"/>
      <c r="AM697" s="551"/>
      <c r="AN697" s="551"/>
      <c r="AO697" s="551"/>
      <c r="AP697" s="551"/>
      <c r="AQ697" s="551"/>
      <c r="AR697" s="551"/>
      <c r="AS697" s="551"/>
      <c r="AT697" s="551"/>
      <c r="AU697" s="551"/>
      <c r="AV697" s="551"/>
      <c r="AW697" s="551"/>
      <c r="AX697" s="551"/>
      <c r="AY697" s="551"/>
      <c r="AZ697" s="551"/>
      <c r="BA697" s="551"/>
      <c r="BB697" s="551"/>
      <c r="BC697" s="551"/>
      <c r="BD697" s="551"/>
      <c r="BE697" s="551"/>
      <c r="BF697" s="551"/>
      <c r="BG697" s="551"/>
      <c r="BH697" s="551"/>
      <c r="BI697" s="551"/>
      <c r="BJ697" s="551"/>
    </row>
    <row r="698" spans="1:62" ht="12.75" customHeight="1">
      <c r="A698" s="551"/>
      <c r="B698" s="551"/>
      <c r="C698" s="551"/>
      <c r="D698" s="551"/>
      <c r="E698" s="551"/>
      <c r="F698" s="551"/>
      <c r="G698" s="551"/>
      <c r="H698" s="551"/>
      <c r="I698" s="551"/>
      <c r="J698" s="551"/>
      <c r="K698" s="551"/>
      <c r="L698" s="551"/>
      <c r="M698" s="551"/>
      <c r="N698" s="551"/>
      <c r="O698" s="551"/>
      <c r="P698" s="551"/>
      <c r="Q698" s="551"/>
      <c r="R698" s="551"/>
      <c r="S698" s="551"/>
      <c r="T698" s="551"/>
      <c r="U698" s="551"/>
      <c r="V698" s="551"/>
      <c r="W698" s="551"/>
      <c r="X698" s="551"/>
      <c r="Y698" s="551"/>
      <c r="Z698" s="551"/>
      <c r="AA698" s="551"/>
      <c r="AB698" s="551"/>
      <c r="AC698" s="551"/>
      <c r="AD698" s="551"/>
      <c r="AE698" s="551"/>
      <c r="AF698" s="551"/>
      <c r="AG698" s="551"/>
      <c r="AH698" s="551"/>
      <c r="AI698" s="551"/>
      <c r="AJ698" s="551"/>
      <c r="AK698" s="551"/>
      <c r="AL698" s="551"/>
      <c r="AM698" s="551"/>
      <c r="AN698" s="551"/>
      <c r="AO698" s="551"/>
      <c r="AP698" s="551"/>
      <c r="AQ698" s="551"/>
      <c r="AR698" s="551"/>
      <c r="AS698" s="551"/>
      <c r="AT698" s="551"/>
      <c r="AU698" s="551"/>
      <c r="AV698" s="551"/>
      <c r="AW698" s="551"/>
      <c r="AX698" s="551"/>
      <c r="AY698" s="551"/>
      <c r="AZ698" s="551"/>
      <c r="BA698" s="551"/>
      <c r="BB698" s="551"/>
      <c r="BC698" s="551"/>
      <c r="BD698" s="551"/>
      <c r="BE698" s="551"/>
      <c r="BF698" s="551"/>
      <c r="BG698" s="551"/>
      <c r="BH698" s="551"/>
      <c r="BI698" s="551"/>
      <c r="BJ698" s="551"/>
    </row>
    <row r="699" spans="1:62" ht="12.75" customHeight="1">
      <c r="A699" s="551"/>
      <c r="B699" s="551"/>
      <c r="C699" s="551"/>
      <c r="D699" s="551"/>
      <c r="E699" s="551"/>
      <c r="F699" s="551"/>
      <c r="G699" s="551"/>
      <c r="H699" s="551"/>
      <c r="I699" s="551"/>
      <c r="J699" s="551"/>
      <c r="K699" s="551"/>
      <c r="L699" s="551"/>
      <c r="M699" s="551"/>
      <c r="N699" s="551"/>
      <c r="O699" s="551"/>
      <c r="P699" s="551"/>
      <c r="Q699" s="551"/>
      <c r="R699" s="551"/>
      <c r="S699" s="551"/>
      <c r="T699" s="551"/>
      <c r="U699" s="551"/>
      <c r="V699" s="551"/>
      <c r="W699" s="551"/>
      <c r="X699" s="551"/>
      <c r="Y699" s="551"/>
      <c r="Z699" s="551"/>
      <c r="AA699" s="551"/>
      <c r="AB699" s="551"/>
      <c r="AC699" s="551"/>
      <c r="AD699" s="551"/>
      <c r="AE699" s="551"/>
      <c r="AF699" s="551"/>
      <c r="AG699" s="551"/>
      <c r="AH699" s="551"/>
      <c r="AI699" s="551"/>
      <c r="AJ699" s="551"/>
      <c r="AK699" s="551"/>
      <c r="AL699" s="551"/>
      <c r="AM699" s="551"/>
      <c r="AN699" s="551"/>
      <c r="AO699" s="551"/>
      <c r="AP699" s="551"/>
      <c r="AQ699" s="551"/>
      <c r="AR699" s="551"/>
      <c r="AS699" s="551"/>
      <c r="AT699" s="551"/>
      <c r="AU699" s="551"/>
      <c r="AV699" s="551"/>
      <c r="AW699" s="551"/>
      <c r="AX699" s="551"/>
      <c r="AY699" s="551"/>
      <c r="AZ699" s="551"/>
      <c r="BA699" s="551"/>
      <c r="BB699" s="551"/>
      <c r="BC699" s="551"/>
      <c r="BD699" s="551"/>
      <c r="BE699" s="551"/>
      <c r="BF699" s="551"/>
      <c r="BG699" s="551"/>
      <c r="BH699" s="551"/>
      <c r="BI699" s="551"/>
      <c r="BJ699" s="551"/>
    </row>
    <row r="700" spans="1:62" ht="12.75" customHeight="1">
      <c r="A700" s="551"/>
      <c r="B700" s="551"/>
      <c r="C700" s="551"/>
      <c r="D700" s="551"/>
      <c r="E700" s="551"/>
      <c r="F700" s="551"/>
      <c r="G700" s="551"/>
      <c r="H700" s="551"/>
      <c r="I700" s="551"/>
      <c r="J700" s="551"/>
      <c r="K700" s="551"/>
      <c r="L700" s="551"/>
      <c r="M700" s="551"/>
      <c r="N700" s="551"/>
      <c r="O700" s="551"/>
      <c r="P700" s="551"/>
      <c r="Q700" s="551"/>
      <c r="R700" s="551"/>
      <c r="S700" s="551"/>
      <c r="T700" s="551"/>
      <c r="U700" s="551"/>
      <c r="V700" s="551"/>
      <c r="W700" s="551"/>
      <c r="X700" s="551"/>
      <c r="Y700" s="551"/>
      <c r="Z700" s="551"/>
      <c r="AA700" s="551"/>
      <c r="AB700" s="551"/>
      <c r="AC700" s="551"/>
      <c r="AD700" s="551"/>
      <c r="AE700" s="551"/>
      <c r="AF700" s="551"/>
      <c r="AG700" s="551"/>
      <c r="AH700" s="551"/>
      <c r="AI700" s="551"/>
      <c r="AJ700" s="551"/>
      <c r="AK700" s="551"/>
      <c r="AL700" s="551"/>
      <c r="AM700" s="551"/>
      <c r="AN700" s="551"/>
      <c r="AO700" s="551"/>
      <c r="AP700" s="551"/>
      <c r="AQ700" s="551"/>
      <c r="AR700" s="551"/>
      <c r="AS700" s="551"/>
      <c r="AT700" s="551"/>
      <c r="AU700" s="551"/>
      <c r="AV700" s="551"/>
      <c r="AW700" s="551"/>
      <c r="AX700" s="551"/>
      <c r="AY700" s="551"/>
      <c r="AZ700" s="551"/>
      <c r="BA700" s="551"/>
      <c r="BB700" s="551"/>
      <c r="BC700" s="551"/>
      <c r="BD700" s="551"/>
      <c r="BE700" s="551"/>
      <c r="BF700" s="551"/>
      <c r="BG700" s="551"/>
      <c r="BH700" s="551"/>
      <c r="BI700" s="551"/>
      <c r="BJ700" s="551"/>
    </row>
    <row r="701" spans="1:62" ht="12.75" customHeight="1">
      <c r="A701" s="551"/>
      <c r="B701" s="551"/>
      <c r="C701" s="551"/>
      <c r="D701" s="551"/>
      <c r="E701" s="551"/>
      <c r="F701" s="551"/>
      <c r="G701" s="551"/>
      <c r="H701" s="551"/>
      <c r="I701" s="551"/>
      <c r="J701" s="551"/>
      <c r="K701" s="551"/>
      <c r="L701" s="551"/>
      <c r="M701" s="551"/>
      <c r="N701" s="551"/>
      <c r="O701" s="551"/>
      <c r="P701" s="551"/>
      <c r="Q701" s="551"/>
      <c r="R701" s="551"/>
      <c r="S701" s="551"/>
      <c r="T701" s="551"/>
      <c r="U701" s="551"/>
      <c r="V701" s="551"/>
      <c r="W701" s="551"/>
      <c r="X701" s="551"/>
      <c r="Y701" s="551"/>
      <c r="Z701" s="551"/>
      <c r="AA701" s="551"/>
      <c r="AB701" s="551"/>
      <c r="AC701" s="551"/>
      <c r="AD701" s="551"/>
      <c r="AE701" s="551"/>
      <c r="AF701" s="551"/>
      <c r="AG701" s="551"/>
      <c r="AH701" s="551"/>
      <c r="AI701" s="551"/>
      <c r="AJ701" s="551"/>
      <c r="AK701" s="551"/>
      <c r="AL701" s="551"/>
      <c r="AM701" s="551"/>
      <c r="AN701" s="551"/>
      <c r="AO701" s="551"/>
      <c r="AP701" s="551"/>
      <c r="AQ701" s="551"/>
      <c r="AR701" s="551"/>
      <c r="AS701" s="551"/>
      <c r="AT701" s="551"/>
      <c r="AU701" s="551"/>
      <c r="AV701" s="551"/>
      <c r="AW701" s="551"/>
      <c r="AX701" s="551"/>
      <c r="AY701" s="551"/>
      <c r="AZ701" s="551"/>
      <c r="BA701" s="551"/>
      <c r="BB701" s="551"/>
      <c r="BC701" s="551"/>
      <c r="BD701" s="551"/>
      <c r="BE701" s="551"/>
      <c r="BF701" s="551"/>
      <c r="BG701" s="551"/>
      <c r="BH701" s="551"/>
      <c r="BI701" s="551"/>
      <c r="BJ701" s="551"/>
    </row>
    <row r="702" spans="1:62" ht="12.75" customHeight="1">
      <c r="A702" s="551"/>
      <c r="B702" s="551"/>
      <c r="C702" s="551"/>
      <c r="D702" s="551"/>
      <c r="E702" s="551"/>
      <c r="F702" s="551"/>
      <c r="G702" s="551"/>
      <c r="H702" s="551"/>
      <c r="I702" s="551"/>
      <c r="J702" s="551"/>
      <c r="K702" s="551"/>
      <c r="L702" s="551"/>
      <c r="M702" s="551"/>
      <c r="N702" s="551"/>
      <c r="O702" s="551"/>
      <c r="P702" s="551"/>
      <c r="Q702" s="551"/>
      <c r="R702" s="551"/>
      <c r="S702" s="551"/>
      <c r="T702" s="551"/>
      <c r="U702" s="551"/>
      <c r="V702" s="551"/>
      <c r="W702" s="551"/>
      <c r="X702" s="551"/>
      <c r="Y702" s="551"/>
      <c r="Z702" s="551"/>
      <c r="AA702" s="551"/>
      <c r="AB702" s="551"/>
      <c r="AC702" s="551"/>
      <c r="AD702" s="551"/>
      <c r="AE702" s="551"/>
      <c r="AF702" s="551"/>
      <c r="AG702" s="551"/>
      <c r="AH702" s="551"/>
      <c r="AI702" s="551"/>
      <c r="AJ702" s="551"/>
      <c r="AK702" s="551"/>
      <c r="AL702" s="551"/>
      <c r="AM702" s="551"/>
      <c r="AN702" s="551"/>
      <c r="AO702" s="551"/>
      <c r="AP702" s="551"/>
      <c r="AQ702" s="551"/>
      <c r="AR702" s="551"/>
      <c r="AS702" s="551"/>
      <c r="AT702" s="551"/>
      <c r="AU702" s="551"/>
      <c r="AV702" s="551"/>
      <c r="AW702" s="551"/>
      <c r="AX702" s="551"/>
      <c r="AY702" s="551"/>
      <c r="AZ702" s="551"/>
      <c r="BA702" s="551"/>
      <c r="BB702" s="551"/>
      <c r="BC702" s="551"/>
      <c r="BD702" s="551"/>
      <c r="BE702" s="551"/>
      <c r="BF702" s="551"/>
      <c r="BG702" s="551"/>
      <c r="BH702" s="551"/>
      <c r="BI702" s="551"/>
      <c r="BJ702" s="551"/>
    </row>
    <row r="703" spans="1:62" ht="12.75" customHeight="1">
      <c r="A703" s="551"/>
      <c r="B703" s="551"/>
      <c r="C703" s="551"/>
      <c r="D703" s="551"/>
      <c r="E703" s="551"/>
      <c r="F703" s="551"/>
      <c r="G703" s="551"/>
      <c r="H703" s="551"/>
      <c r="I703" s="551"/>
      <c r="J703" s="551"/>
      <c r="K703" s="551"/>
      <c r="L703" s="551"/>
      <c r="M703" s="551"/>
      <c r="N703" s="551"/>
      <c r="O703" s="551"/>
      <c r="P703" s="551"/>
      <c r="Q703" s="551"/>
      <c r="R703" s="551"/>
      <c r="S703" s="551"/>
      <c r="T703" s="551"/>
      <c r="U703" s="551"/>
      <c r="V703" s="551"/>
      <c r="W703" s="551"/>
      <c r="X703" s="551"/>
      <c r="Y703" s="551"/>
      <c r="Z703" s="551"/>
      <c r="AA703" s="551"/>
      <c r="AB703" s="551"/>
      <c r="AC703" s="551"/>
      <c r="AD703" s="551"/>
      <c r="AE703" s="551"/>
      <c r="AF703" s="551"/>
      <c r="AG703" s="551"/>
      <c r="AH703" s="551"/>
      <c r="AI703" s="551"/>
      <c r="AJ703" s="551"/>
      <c r="AK703" s="551"/>
      <c r="AL703" s="551"/>
      <c r="AM703" s="551"/>
      <c r="AN703" s="551"/>
      <c r="AO703" s="551"/>
      <c r="AP703" s="551"/>
      <c r="AQ703" s="551"/>
      <c r="AR703" s="551"/>
      <c r="AS703" s="551"/>
      <c r="AT703" s="551"/>
      <c r="AU703" s="551"/>
      <c r="AV703" s="551"/>
      <c r="AW703" s="551"/>
      <c r="AX703" s="551"/>
      <c r="AY703" s="551"/>
      <c r="AZ703" s="551"/>
      <c r="BA703" s="551"/>
      <c r="BB703" s="551"/>
      <c r="BC703" s="551"/>
      <c r="BD703" s="551"/>
      <c r="BE703" s="551"/>
      <c r="BF703" s="551"/>
      <c r="BG703" s="551"/>
      <c r="BH703" s="551"/>
      <c r="BI703" s="551"/>
      <c r="BJ703" s="551"/>
    </row>
    <row r="704" spans="1:62" ht="12.75" customHeight="1">
      <c r="A704" s="551"/>
      <c r="B704" s="551"/>
      <c r="C704" s="551"/>
      <c r="D704" s="551"/>
      <c r="E704" s="551"/>
      <c r="F704" s="551"/>
      <c r="G704" s="551"/>
      <c r="H704" s="551"/>
      <c r="I704" s="551"/>
      <c r="J704" s="551"/>
      <c r="K704" s="551"/>
      <c r="L704" s="551"/>
      <c r="M704" s="551"/>
      <c r="N704" s="551"/>
      <c r="O704" s="551"/>
      <c r="P704" s="551"/>
      <c r="Q704" s="551"/>
      <c r="R704" s="551"/>
      <c r="S704" s="551"/>
      <c r="T704" s="551"/>
      <c r="U704" s="551"/>
      <c r="V704" s="551"/>
      <c r="W704" s="551"/>
      <c r="X704" s="551"/>
      <c r="Y704" s="551"/>
      <c r="Z704" s="551"/>
      <c r="AA704" s="551"/>
      <c r="AB704" s="551"/>
      <c r="AC704" s="551"/>
      <c r="AD704" s="551"/>
      <c r="AE704" s="551"/>
      <c r="AF704" s="551"/>
      <c r="AG704" s="551"/>
      <c r="AH704" s="551"/>
      <c r="AI704" s="551"/>
      <c r="AJ704" s="551"/>
      <c r="AK704" s="551"/>
      <c r="AL704" s="551"/>
      <c r="AM704" s="551"/>
      <c r="AN704" s="551"/>
      <c r="AO704" s="551"/>
      <c r="AP704" s="551"/>
      <c r="AQ704" s="551"/>
      <c r="AR704" s="551"/>
      <c r="AS704" s="551"/>
      <c r="AT704" s="551"/>
      <c r="AU704" s="551"/>
      <c r="AV704" s="551"/>
      <c r="AW704" s="551"/>
      <c r="AX704" s="551"/>
      <c r="AY704" s="551"/>
      <c r="AZ704" s="551"/>
      <c r="BA704" s="551"/>
      <c r="BB704" s="551"/>
      <c r="BC704" s="551"/>
      <c r="BD704" s="551"/>
      <c r="BE704" s="551"/>
      <c r="BF704" s="551"/>
      <c r="BG704" s="551"/>
      <c r="BH704" s="551"/>
      <c r="BI704" s="551"/>
      <c r="BJ704" s="551"/>
    </row>
    <row r="705" spans="1:62" ht="12.75" customHeight="1">
      <c r="A705" s="551"/>
      <c r="B705" s="551"/>
      <c r="C705" s="551"/>
      <c r="D705" s="551"/>
      <c r="E705" s="551"/>
      <c r="F705" s="551"/>
      <c r="G705" s="551"/>
      <c r="H705" s="551"/>
      <c r="I705" s="551"/>
      <c r="J705" s="551"/>
      <c r="K705" s="551"/>
      <c r="L705" s="551"/>
      <c r="M705" s="551"/>
      <c r="N705" s="551"/>
      <c r="O705" s="551"/>
      <c r="P705" s="551"/>
      <c r="Q705" s="551"/>
      <c r="R705" s="551"/>
      <c r="S705" s="551"/>
      <c r="T705" s="551"/>
      <c r="U705" s="551"/>
      <c r="V705" s="551"/>
      <c r="W705" s="551"/>
      <c r="X705" s="551"/>
      <c r="Y705" s="551"/>
      <c r="Z705" s="551"/>
      <c r="AA705" s="551"/>
      <c r="AB705" s="551"/>
      <c r="AC705" s="551"/>
      <c r="AD705" s="551"/>
      <c r="AE705" s="551"/>
      <c r="AF705" s="551"/>
      <c r="AG705" s="551"/>
      <c r="AH705" s="551"/>
      <c r="AI705" s="551"/>
      <c r="AJ705" s="551"/>
      <c r="AK705" s="551"/>
      <c r="AL705" s="551"/>
      <c r="AM705" s="551"/>
      <c r="AN705" s="551"/>
      <c r="AO705" s="551"/>
      <c r="AP705" s="551"/>
      <c r="AQ705" s="551"/>
      <c r="AR705" s="551"/>
      <c r="AS705" s="551"/>
      <c r="AT705" s="551"/>
      <c r="AU705" s="551"/>
      <c r="AV705" s="551"/>
      <c r="AW705" s="551"/>
      <c r="AX705" s="551"/>
      <c r="AY705" s="551"/>
      <c r="AZ705" s="551"/>
      <c r="BA705" s="551"/>
      <c r="BB705" s="551"/>
      <c r="BC705" s="551"/>
      <c r="BD705" s="551"/>
      <c r="BE705" s="551"/>
      <c r="BF705" s="551"/>
      <c r="BG705" s="551"/>
      <c r="BH705" s="551"/>
      <c r="BI705" s="551"/>
      <c r="BJ705" s="551"/>
    </row>
    <row r="706" spans="1:62" ht="12.75" customHeight="1">
      <c r="A706" s="551"/>
      <c r="B706" s="551"/>
      <c r="C706" s="551"/>
      <c r="D706" s="551"/>
      <c r="E706" s="551"/>
      <c r="F706" s="551"/>
      <c r="G706" s="551"/>
      <c r="H706" s="551"/>
      <c r="I706" s="551"/>
      <c r="J706" s="551"/>
      <c r="K706" s="551"/>
      <c r="L706" s="551"/>
      <c r="M706" s="551"/>
      <c r="N706" s="551"/>
      <c r="O706" s="551"/>
      <c r="P706" s="551"/>
      <c r="Q706" s="551"/>
      <c r="R706" s="551"/>
      <c r="S706" s="551"/>
      <c r="T706" s="551"/>
      <c r="U706" s="551"/>
      <c r="V706" s="551"/>
      <c r="W706" s="551"/>
      <c r="X706" s="551"/>
      <c r="Y706" s="551"/>
      <c r="Z706" s="551"/>
      <c r="AA706" s="551"/>
      <c r="AB706" s="551"/>
      <c r="AC706" s="551"/>
      <c r="AD706" s="551"/>
      <c r="AE706" s="551"/>
      <c r="AF706" s="551"/>
      <c r="AG706" s="551"/>
      <c r="AH706" s="551"/>
      <c r="AI706" s="551"/>
      <c r="AJ706" s="551"/>
      <c r="AK706" s="551"/>
      <c r="AL706" s="551"/>
      <c r="AM706" s="551"/>
      <c r="AN706" s="551"/>
      <c r="AO706" s="551"/>
      <c r="AP706" s="551"/>
      <c r="AQ706" s="551"/>
      <c r="AR706" s="551"/>
      <c r="AS706" s="551"/>
      <c r="AT706" s="551"/>
      <c r="AU706" s="551"/>
      <c r="AV706" s="551"/>
      <c r="AW706" s="551"/>
      <c r="AX706" s="551"/>
      <c r="AY706" s="551"/>
      <c r="AZ706" s="551"/>
      <c r="BA706" s="551"/>
      <c r="BB706" s="551"/>
      <c r="BC706" s="551"/>
      <c r="BD706" s="551"/>
      <c r="BE706" s="551"/>
      <c r="BF706" s="551"/>
      <c r="BG706" s="551"/>
      <c r="BH706" s="551"/>
      <c r="BI706" s="551"/>
      <c r="BJ706" s="551"/>
    </row>
    <row r="707" spans="1:62" ht="12.75" customHeight="1">
      <c r="A707" s="551"/>
      <c r="B707" s="551"/>
      <c r="C707" s="551"/>
      <c r="D707" s="551"/>
      <c r="E707" s="551"/>
      <c r="F707" s="551"/>
      <c r="G707" s="551"/>
      <c r="H707" s="551"/>
      <c r="I707" s="551"/>
      <c r="J707" s="551"/>
      <c r="K707" s="551"/>
      <c r="L707" s="551"/>
      <c r="M707" s="551"/>
      <c r="N707" s="551"/>
      <c r="O707" s="551"/>
      <c r="P707" s="551"/>
      <c r="Q707" s="551"/>
      <c r="R707" s="551"/>
      <c r="S707" s="551"/>
      <c r="T707" s="551"/>
      <c r="U707" s="551"/>
      <c r="V707" s="551"/>
      <c r="W707" s="551"/>
      <c r="X707" s="551"/>
      <c r="Y707" s="551"/>
      <c r="Z707" s="551"/>
      <c r="AA707" s="551"/>
      <c r="AB707" s="551"/>
      <c r="AC707" s="551"/>
      <c r="AD707" s="551"/>
      <c r="AE707" s="551"/>
      <c r="AF707" s="551"/>
      <c r="AG707" s="551"/>
      <c r="AH707" s="551"/>
      <c r="AI707" s="551"/>
      <c r="AJ707" s="551"/>
      <c r="AK707" s="551"/>
      <c r="AL707" s="551"/>
      <c r="AM707" s="551"/>
      <c r="AN707" s="551"/>
      <c r="AO707" s="551"/>
      <c r="AP707" s="551"/>
      <c r="AQ707" s="551"/>
      <c r="AR707" s="551"/>
      <c r="AS707" s="551"/>
      <c r="AT707" s="551"/>
      <c r="AU707" s="551"/>
      <c r="AV707" s="551"/>
      <c r="AW707" s="551"/>
      <c r="AX707" s="551"/>
      <c r="AY707" s="551"/>
      <c r="AZ707" s="551"/>
      <c r="BA707" s="551"/>
      <c r="BB707" s="551"/>
      <c r="BC707" s="551"/>
      <c r="BD707" s="551"/>
      <c r="BE707" s="551"/>
      <c r="BF707" s="551"/>
      <c r="BG707" s="551"/>
      <c r="BH707" s="551"/>
      <c r="BI707" s="551"/>
      <c r="BJ707" s="551"/>
    </row>
    <row r="708" spans="1:62" ht="12.75" customHeight="1">
      <c r="A708" s="551"/>
      <c r="B708" s="551"/>
      <c r="C708" s="551"/>
      <c r="D708" s="551"/>
      <c r="E708" s="551"/>
      <c r="F708" s="551"/>
      <c r="G708" s="551"/>
      <c r="H708" s="551"/>
      <c r="I708" s="551"/>
      <c r="J708" s="551"/>
      <c r="K708" s="551"/>
      <c r="L708" s="551"/>
      <c r="M708" s="551"/>
      <c r="N708" s="551"/>
      <c r="O708" s="551"/>
      <c r="P708" s="551"/>
      <c r="Q708" s="551"/>
      <c r="R708" s="551"/>
      <c r="S708" s="551"/>
      <c r="T708" s="551"/>
      <c r="U708" s="551"/>
      <c r="V708" s="551"/>
      <c r="W708" s="551"/>
      <c r="X708" s="551"/>
      <c r="Y708" s="551"/>
      <c r="Z708" s="551"/>
      <c r="AA708" s="551"/>
      <c r="AB708" s="551"/>
      <c r="AC708" s="551"/>
      <c r="AD708" s="551"/>
      <c r="AE708" s="551"/>
      <c r="AF708" s="551"/>
      <c r="AG708" s="551"/>
      <c r="AH708" s="551"/>
      <c r="AI708" s="551"/>
      <c r="AJ708" s="551"/>
      <c r="AK708" s="551"/>
      <c r="AL708" s="551"/>
      <c r="AM708" s="551"/>
      <c r="AN708" s="551"/>
      <c r="AO708" s="551"/>
      <c r="AP708" s="551"/>
      <c r="AQ708" s="551"/>
      <c r="AR708" s="551"/>
      <c r="AS708" s="551"/>
      <c r="AT708" s="551"/>
      <c r="AU708" s="551"/>
      <c r="AV708" s="551"/>
      <c r="AW708" s="551"/>
      <c r="AX708" s="551"/>
      <c r="AY708" s="551"/>
      <c r="AZ708" s="551"/>
      <c r="BA708" s="551"/>
      <c r="BB708" s="551"/>
      <c r="BC708" s="551"/>
      <c r="BD708" s="551"/>
      <c r="BE708" s="551"/>
      <c r="BF708" s="551"/>
      <c r="BG708" s="551"/>
      <c r="BH708" s="551"/>
      <c r="BI708" s="551"/>
      <c r="BJ708" s="551"/>
    </row>
    <row r="709" spans="1:62" ht="12.75" customHeight="1">
      <c r="A709" s="551"/>
      <c r="B709" s="551"/>
      <c r="C709" s="551"/>
      <c r="D709" s="551"/>
      <c r="E709" s="551"/>
      <c r="F709" s="551"/>
      <c r="G709" s="551"/>
      <c r="H709" s="551"/>
      <c r="I709" s="551"/>
      <c r="J709" s="551"/>
      <c r="K709" s="551"/>
      <c r="L709" s="551"/>
      <c r="M709" s="551"/>
      <c r="N709" s="551"/>
      <c r="O709" s="551"/>
      <c r="P709" s="551"/>
      <c r="Q709" s="551"/>
      <c r="R709" s="551"/>
      <c r="S709" s="551"/>
      <c r="T709" s="551"/>
      <c r="U709" s="551"/>
      <c r="V709" s="551"/>
      <c r="W709" s="551"/>
      <c r="X709" s="551"/>
      <c r="Y709" s="551"/>
      <c r="Z709" s="551"/>
      <c r="AA709" s="551"/>
      <c r="AB709" s="551"/>
      <c r="AC709" s="551"/>
      <c r="AD709" s="551"/>
      <c r="AE709" s="551"/>
      <c r="AF709" s="551"/>
      <c r="AG709" s="551"/>
      <c r="AH709" s="551"/>
      <c r="AI709" s="551"/>
      <c r="AJ709" s="551"/>
      <c r="AK709" s="551"/>
      <c r="AL709" s="551"/>
      <c r="AM709" s="551"/>
      <c r="AN709" s="551"/>
      <c r="AO709" s="551"/>
      <c r="AP709" s="551"/>
      <c r="AQ709" s="551"/>
      <c r="AR709" s="551"/>
      <c r="AS709" s="551"/>
      <c r="AT709" s="551"/>
      <c r="AU709" s="551"/>
      <c r="AV709" s="551"/>
      <c r="AW709" s="551"/>
      <c r="AX709" s="551"/>
      <c r="AY709" s="551"/>
      <c r="AZ709" s="551"/>
      <c r="BA709" s="551"/>
      <c r="BB709" s="551"/>
      <c r="BC709" s="551"/>
      <c r="BD709" s="551"/>
      <c r="BE709" s="551"/>
      <c r="BF709" s="551"/>
      <c r="BG709" s="551"/>
      <c r="BH709" s="551"/>
      <c r="BI709" s="551"/>
      <c r="BJ709" s="551"/>
    </row>
    <row r="710" spans="1:62" ht="12.75" customHeight="1">
      <c r="A710" s="551"/>
      <c r="B710" s="551"/>
      <c r="C710" s="551"/>
      <c r="D710" s="551"/>
      <c r="E710" s="551"/>
      <c r="F710" s="551"/>
      <c r="G710" s="551"/>
      <c r="H710" s="551"/>
      <c r="I710" s="551"/>
      <c r="J710" s="551"/>
      <c r="K710" s="551"/>
      <c r="L710" s="551"/>
      <c r="M710" s="551"/>
      <c r="N710" s="551"/>
      <c r="O710" s="551"/>
      <c r="P710" s="551"/>
      <c r="Q710" s="551"/>
      <c r="R710" s="551"/>
      <c r="S710" s="551"/>
      <c r="T710" s="551"/>
      <c r="U710" s="551"/>
      <c r="V710" s="551"/>
      <c r="W710" s="551"/>
      <c r="X710" s="551"/>
      <c r="Y710" s="551"/>
      <c r="Z710" s="551"/>
      <c r="AA710" s="551"/>
      <c r="AB710" s="551"/>
      <c r="AC710" s="551"/>
      <c r="AD710" s="551"/>
      <c r="AE710" s="551"/>
      <c r="AF710" s="551"/>
      <c r="AG710" s="551"/>
      <c r="AH710" s="551"/>
      <c r="AI710" s="551"/>
      <c r="AJ710" s="551"/>
      <c r="AK710" s="551"/>
      <c r="AL710" s="551"/>
      <c r="AM710" s="551"/>
      <c r="AN710" s="551"/>
      <c r="AO710" s="551"/>
      <c r="AP710" s="551"/>
      <c r="AQ710" s="551"/>
      <c r="AR710" s="551"/>
      <c r="AS710" s="551"/>
      <c r="AT710" s="551"/>
      <c r="AU710" s="551"/>
      <c r="AV710" s="551"/>
      <c r="AW710" s="551"/>
      <c r="AX710" s="551"/>
      <c r="AY710" s="551"/>
      <c r="AZ710" s="551"/>
      <c r="BA710" s="551"/>
      <c r="BB710" s="551"/>
      <c r="BC710" s="551"/>
      <c r="BD710" s="551"/>
      <c r="BE710" s="551"/>
      <c r="BF710" s="551"/>
      <c r="BG710" s="551"/>
      <c r="BH710" s="551"/>
      <c r="BI710" s="551"/>
      <c r="BJ710" s="551"/>
    </row>
    <row r="711" spans="1:62" ht="12.75" customHeight="1">
      <c r="A711" s="551"/>
      <c r="B711" s="551"/>
      <c r="C711" s="551"/>
      <c r="D711" s="551"/>
      <c r="E711" s="551"/>
      <c r="F711" s="551"/>
      <c r="G711" s="551"/>
      <c r="H711" s="551"/>
      <c r="I711" s="551"/>
      <c r="J711" s="551"/>
      <c r="K711" s="551"/>
      <c r="L711" s="551"/>
      <c r="M711" s="551"/>
      <c r="N711" s="551"/>
      <c r="O711" s="551"/>
      <c r="P711" s="551"/>
      <c r="Q711" s="551"/>
      <c r="R711" s="551"/>
      <c r="S711" s="551"/>
      <c r="T711" s="551"/>
      <c r="U711" s="551"/>
      <c r="V711" s="551"/>
      <c r="W711" s="551"/>
      <c r="X711" s="551"/>
      <c r="Y711" s="551"/>
      <c r="Z711" s="551"/>
      <c r="AA711" s="551"/>
      <c r="AB711" s="551"/>
      <c r="AC711" s="551"/>
      <c r="AD711" s="551"/>
      <c r="AE711" s="551"/>
      <c r="AF711" s="551"/>
      <c r="AG711" s="551"/>
      <c r="AH711" s="551"/>
      <c r="AI711" s="551"/>
      <c r="AJ711" s="551"/>
      <c r="AK711" s="551"/>
      <c r="AL711" s="551"/>
      <c r="AM711" s="551"/>
      <c r="AN711" s="551"/>
      <c r="AO711" s="551"/>
      <c r="AP711" s="551"/>
      <c r="AQ711" s="551"/>
      <c r="AR711" s="551"/>
      <c r="AS711" s="551"/>
      <c r="AT711" s="551"/>
      <c r="AU711" s="551"/>
      <c r="AV711" s="551"/>
      <c r="AW711" s="551"/>
      <c r="AX711" s="551"/>
      <c r="AY711" s="551"/>
      <c r="AZ711" s="551"/>
      <c r="BA711" s="551"/>
      <c r="BB711" s="551"/>
      <c r="BC711" s="551"/>
      <c r="BD711" s="551"/>
      <c r="BE711" s="551"/>
      <c r="BF711" s="551"/>
      <c r="BG711" s="551"/>
      <c r="BH711" s="551"/>
      <c r="BI711" s="551"/>
      <c r="BJ711" s="551"/>
    </row>
    <row r="712" spans="1:62" ht="12.75" customHeight="1">
      <c r="A712" s="551"/>
      <c r="B712" s="551"/>
      <c r="C712" s="551"/>
      <c r="D712" s="551"/>
      <c r="E712" s="551"/>
      <c r="F712" s="551"/>
      <c r="G712" s="551"/>
      <c r="H712" s="551"/>
      <c r="I712" s="551"/>
      <c r="J712" s="551"/>
      <c r="K712" s="551"/>
      <c r="L712" s="551"/>
      <c r="M712" s="551"/>
      <c r="N712" s="551"/>
      <c r="O712" s="551"/>
      <c r="P712" s="551"/>
      <c r="Q712" s="551"/>
      <c r="R712" s="551"/>
      <c r="S712" s="551"/>
      <c r="T712" s="551"/>
      <c r="U712" s="551"/>
      <c r="V712" s="551"/>
      <c r="W712" s="551"/>
      <c r="X712" s="551"/>
      <c r="Y712" s="551"/>
      <c r="Z712" s="551"/>
      <c r="AA712" s="551"/>
      <c r="AB712" s="551"/>
      <c r="AC712" s="551"/>
      <c r="AD712" s="551"/>
      <c r="AE712" s="551"/>
      <c r="AF712" s="551"/>
      <c r="AG712" s="551"/>
      <c r="AH712" s="551"/>
      <c r="AI712" s="551"/>
      <c r="AJ712" s="551"/>
      <c r="AK712" s="551"/>
      <c r="AL712" s="551"/>
      <c r="AM712" s="551"/>
      <c r="AN712" s="551"/>
      <c r="AO712" s="551"/>
      <c r="AP712" s="551"/>
      <c r="AQ712" s="551"/>
      <c r="AR712" s="551"/>
      <c r="AS712" s="551"/>
      <c r="AT712" s="551"/>
      <c r="AU712" s="551"/>
      <c r="AV712" s="551"/>
      <c r="AW712" s="551"/>
      <c r="AX712" s="551"/>
      <c r="AY712" s="551"/>
      <c r="AZ712" s="551"/>
      <c r="BA712" s="551"/>
      <c r="BB712" s="551"/>
      <c r="BC712" s="551"/>
      <c r="BD712" s="551"/>
      <c r="BE712" s="551"/>
      <c r="BF712" s="551"/>
      <c r="BG712" s="551"/>
      <c r="BH712" s="551"/>
      <c r="BI712" s="551"/>
      <c r="BJ712" s="551"/>
    </row>
    <row r="713" spans="1:62" ht="12.75" customHeight="1">
      <c r="A713" s="551"/>
      <c r="B713" s="551"/>
      <c r="C713" s="551"/>
      <c r="D713" s="551"/>
      <c r="E713" s="551"/>
      <c r="F713" s="551"/>
      <c r="G713" s="551"/>
      <c r="H713" s="551"/>
      <c r="I713" s="551"/>
      <c r="J713" s="551"/>
      <c r="K713" s="551"/>
      <c r="L713" s="551"/>
      <c r="M713" s="551"/>
      <c r="N713" s="551"/>
      <c r="O713" s="551"/>
      <c r="P713" s="551"/>
      <c r="Q713" s="551"/>
      <c r="R713" s="551"/>
      <c r="S713" s="551"/>
      <c r="T713" s="551"/>
      <c r="U713" s="551"/>
      <c r="V713" s="551"/>
      <c r="W713" s="551"/>
      <c r="X713" s="551"/>
      <c r="Y713" s="551"/>
      <c r="Z713" s="551"/>
      <c r="AA713" s="551"/>
      <c r="AB713" s="551"/>
      <c r="AC713" s="551"/>
      <c r="AD713" s="551"/>
      <c r="AE713" s="551"/>
      <c r="AF713" s="551"/>
      <c r="AG713" s="551"/>
      <c r="AH713" s="551"/>
      <c r="AI713" s="551"/>
      <c r="AJ713" s="551"/>
      <c r="AK713" s="551"/>
      <c r="AL713" s="551"/>
      <c r="AM713" s="551"/>
      <c r="AN713" s="551"/>
      <c r="AO713" s="551"/>
      <c r="AP713" s="551"/>
      <c r="AQ713" s="551"/>
      <c r="AR713" s="551"/>
      <c r="AS713" s="551"/>
      <c r="AT713" s="551"/>
      <c r="AU713" s="551"/>
      <c r="AV713" s="551"/>
      <c r="AW713" s="551"/>
      <c r="AX713" s="551"/>
      <c r="AY713" s="551"/>
      <c r="AZ713" s="551"/>
      <c r="BA713" s="551"/>
      <c r="BB713" s="551"/>
      <c r="BC713" s="551"/>
      <c r="BD713" s="551"/>
      <c r="BE713" s="551"/>
      <c r="BF713" s="551"/>
      <c r="BG713" s="551"/>
      <c r="BH713" s="551"/>
      <c r="BI713" s="551"/>
      <c r="BJ713" s="551"/>
    </row>
    <row r="714" spans="1:62" ht="12.75" customHeight="1">
      <c r="A714" s="551"/>
      <c r="B714" s="551"/>
      <c r="C714" s="551"/>
      <c r="D714" s="551"/>
      <c r="E714" s="551"/>
      <c r="F714" s="551"/>
      <c r="G714" s="551"/>
      <c r="H714" s="551"/>
      <c r="I714" s="551"/>
      <c r="J714" s="551"/>
      <c r="K714" s="551"/>
      <c r="L714" s="551"/>
      <c r="M714" s="551"/>
      <c r="N714" s="551"/>
      <c r="O714" s="551"/>
      <c r="P714" s="551"/>
      <c r="Q714" s="551"/>
      <c r="R714" s="551"/>
      <c r="S714" s="551"/>
      <c r="T714" s="551"/>
      <c r="U714" s="551"/>
      <c r="V714" s="551"/>
      <c r="W714" s="551"/>
      <c r="X714" s="551"/>
      <c r="Y714" s="551"/>
      <c r="Z714" s="551"/>
      <c r="AA714" s="551"/>
      <c r="AB714" s="551"/>
      <c r="AC714" s="551"/>
      <c r="AD714" s="551"/>
      <c r="AE714" s="551"/>
      <c r="AF714" s="551"/>
      <c r="AG714" s="551"/>
      <c r="AH714" s="551"/>
      <c r="AI714" s="551"/>
      <c r="AJ714" s="551"/>
      <c r="AK714" s="551"/>
      <c r="AL714" s="551"/>
      <c r="AM714" s="551"/>
      <c r="AN714" s="551"/>
      <c r="AO714" s="551"/>
      <c r="AP714" s="551"/>
      <c r="AQ714" s="551"/>
      <c r="AR714" s="551"/>
      <c r="AS714" s="551"/>
      <c r="AT714" s="551"/>
      <c r="AU714" s="551"/>
      <c r="AV714" s="551"/>
      <c r="AW714" s="551"/>
      <c r="AX714" s="551"/>
      <c r="AY714" s="551"/>
      <c r="AZ714" s="551"/>
      <c r="BA714" s="551"/>
      <c r="BB714" s="551"/>
      <c r="BC714" s="551"/>
      <c r="BD714" s="551"/>
      <c r="BE714" s="551"/>
      <c r="BF714" s="551"/>
      <c r="BG714" s="551"/>
      <c r="BH714" s="551"/>
      <c r="BI714" s="551"/>
      <c r="BJ714" s="551"/>
    </row>
    <row r="715" spans="1:62" ht="12.75" customHeight="1">
      <c r="A715" s="551"/>
      <c r="B715" s="551"/>
      <c r="C715" s="551"/>
      <c r="D715" s="551"/>
      <c r="E715" s="551"/>
      <c r="F715" s="551"/>
      <c r="G715" s="551"/>
      <c r="H715" s="551"/>
      <c r="I715" s="551"/>
      <c r="J715" s="551"/>
      <c r="K715" s="551"/>
      <c r="L715" s="551"/>
      <c r="M715" s="551"/>
      <c r="N715" s="551"/>
      <c r="O715" s="551"/>
      <c r="P715" s="551"/>
      <c r="Q715" s="551"/>
      <c r="R715" s="551"/>
      <c r="S715" s="551"/>
      <c r="T715" s="551"/>
      <c r="U715" s="551"/>
      <c r="V715" s="551"/>
      <c r="W715" s="551"/>
      <c r="X715" s="551"/>
      <c r="Y715" s="551"/>
      <c r="Z715" s="551"/>
      <c r="AA715" s="551"/>
      <c r="AB715" s="551"/>
      <c r="AC715" s="551"/>
      <c r="AD715" s="551"/>
      <c r="AE715" s="551"/>
      <c r="AF715" s="551"/>
      <c r="AG715" s="551"/>
      <c r="AH715" s="551"/>
      <c r="AI715" s="551"/>
      <c r="AJ715" s="551"/>
      <c r="AK715" s="551"/>
      <c r="AL715" s="551"/>
      <c r="AM715" s="551"/>
      <c r="AN715" s="551"/>
      <c r="AO715" s="551"/>
      <c r="AP715" s="551"/>
      <c r="AQ715" s="551"/>
      <c r="AR715" s="551"/>
      <c r="AS715" s="551"/>
      <c r="AT715" s="551"/>
      <c r="AU715" s="551"/>
      <c r="AV715" s="551"/>
      <c r="AW715" s="551"/>
      <c r="AX715" s="551"/>
      <c r="AY715" s="551"/>
      <c r="AZ715" s="551"/>
      <c r="BA715" s="551"/>
      <c r="BB715" s="551"/>
      <c r="BC715" s="551"/>
      <c r="BD715" s="551"/>
      <c r="BE715" s="551"/>
      <c r="BF715" s="551"/>
      <c r="BG715" s="551"/>
      <c r="BH715" s="551"/>
      <c r="BI715" s="551"/>
      <c r="BJ715" s="551"/>
    </row>
    <row r="716" spans="1:62" ht="12.75" customHeight="1">
      <c r="A716" s="551"/>
      <c r="B716" s="551"/>
      <c r="C716" s="551"/>
      <c r="D716" s="551"/>
      <c r="E716" s="551"/>
      <c r="F716" s="551"/>
      <c r="G716" s="551"/>
      <c r="H716" s="551"/>
      <c r="I716" s="551"/>
      <c r="J716" s="551"/>
      <c r="K716" s="551"/>
      <c r="L716" s="551"/>
      <c r="M716" s="551"/>
      <c r="N716" s="551"/>
      <c r="O716" s="551"/>
      <c r="P716" s="551"/>
      <c r="Q716" s="551"/>
      <c r="R716" s="551"/>
      <c r="S716" s="551"/>
      <c r="T716" s="551"/>
      <c r="U716" s="551"/>
      <c r="V716" s="551"/>
      <c r="W716" s="551"/>
      <c r="X716" s="551"/>
      <c r="Y716" s="551"/>
      <c r="Z716" s="551"/>
      <c r="AA716" s="551"/>
      <c r="AB716" s="551"/>
      <c r="AC716" s="551"/>
      <c r="AD716" s="551"/>
      <c r="AE716" s="551"/>
      <c r="AF716" s="551"/>
      <c r="AG716" s="551"/>
      <c r="AH716" s="551"/>
      <c r="AI716" s="551"/>
      <c r="AJ716" s="551"/>
      <c r="AK716" s="551"/>
      <c r="AL716" s="551"/>
      <c r="AM716" s="551"/>
      <c r="AN716" s="551"/>
      <c r="AO716" s="551"/>
      <c r="AP716" s="551"/>
      <c r="AQ716" s="551"/>
      <c r="AR716" s="551"/>
      <c r="AS716" s="551"/>
      <c r="AT716" s="551"/>
      <c r="AU716" s="551"/>
      <c r="AV716" s="551"/>
      <c r="AW716" s="551"/>
      <c r="AX716" s="551"/>
      <c r="AY716" s="551"/>
      <c r="AZ716" s="551"/>
      <c r="BA716" s="551"/>
      <c r="BB716" s="551"/>
      <c r="BC716" s="551"/>
      <c r="BD716" s="551"/>
      <c r="BE716" s="551"/>
      <c r="BF716" s="551"/>
      <c r="BG716" s="551"/>
      <c r="BH716" s="551"/>
      <c r="BI716" s="551"/>
      <c r="BJ716" s="551"/>
    </row>
    <row r="717" spans="1:62" ht="12.75" customHeight="1">
      <c r="A717" s="551"/>
      <c r="B717" s="551"/>
      <c r="C717" s="551"/>
      <c r="D717" s="551"/>
      <c r="E717" s="551"/>
      <c r="F717" s="551"/>
      <c r="G717" s="551"/>
      <c r="H717" s="551"/>
      <c r="I717" s="551"/>
      <c r="J717" s="551"/>
      <c r="K717" s="551"/>
      <c r="L717" s="551"/>
      <c r="M717" s="551"/>
      <c r="N717" s="551"/>
      <c r="O717" s="551"/>
      <c r="P717" s="551"/>
      <c r="Q717" s="551"/>
      <c r="R717" s="551"/>
      <c r="S717" s="551"/>
      <c r="T717" s="551"/>
      <c r="U717" s="551"/>
      <c r="V717" s="551"/>
      <c r="W717" s="551"/>
      <c r="X717" s="551"/>
      <c r="Y717" s="551"/>
      <c r="Z717" s="551"/>
      <c r="AA717" s="551"/>
      <c r="AB717" s="551"/>
      <c r="AC717" s="551"/>
      <c r="AD717" s="551"/>
      <c r="AE717" s="551"/>
      <c r="AF717" s="551"/>
      <c r="AG717" s="551"/>
      <c r="AH717" s="551"/>
      <c r="AI717" s="551"/>
      <c r="AJ717" s="551"/>
      <c r="AK717" s="551"/>
      <c r="AL717" s="551"/>
      <c r="AM717" s="551"/>
      <c r="AN717" s="551"/>
      <c r="AO717" s="551"/>
      <c r="AP717" s="551"/>
      <c r="AQ717" s="551"/>
      <c r="AR717" s="551"/>
      <c r="AS717" s="551"/>
      <c r="AT717" s="551"/>
      <c r="AU717" s="551"/>
      <c r="AV717" s="551"/>
      <c r="AW717" s="551"/>
      <c r="AX717" s="551"/>
      <c r="AY717" s="551"/>
      <c r="AZ717" s="551"/>
      <c r="BA717" s="551"/>
      <c r="BB717" s="551"/>
      <c r="BC717" s="551"/>
      <c r="BD717" s="551"/>
      <c r="BE717" s="551"/>
      <c r="BF717" s="551"/>
      <c r="BG717" s="551"/>
      <c r="BH717" s="551"/>
      <c r="BI717" s="551"/>
      <c r="BJ717" s="551"/>
    </row>
    <row r="718" spans="1:62" ht="12.75" customHeight="1">
      <c r="A718" s="551"/>
      <c r="B718" s="551"/>
      <c r="C718" s="551"/>
      <c r="D718" s="551"/>
      <c r="E718" s="551"/>
      <c r="F718" s="551"/>
      <c r="G718" s="551"/>
      <c r="H718" s="551"/>
      <c r="I718" s="551"/>
      <c r="J718" s="551"/>
      <c r="K718" s="551"/>
      <c r="L718" s="551"/>
      <c r="M718" s="551"/>
      <c r="N718" s="551"/>
      <c r="O718" s="551"/>
      <c r="P718" s="551"/>
      <c r="Q718" s="551"/>
      <c r="R718" s="551"/>
      <c r="S718" s="551"/>
      <c r="T718" s="551"/>
      <c r="U718" s="551"/>
      <c r="V718" s="551"/>
      <c r="W718" s="551"/>
      <c r="X718" s="551"/>
      <c r="Y718" s="551"/>
      <c r="Z718" s="551"/>
      <c r="AA718" s="551"/>
      <c r="AB718" s="551"/>
      <c r="AC718" s="551"/>
      <c r="AD718" s="551"/>
      <c r="AE718" s="551"/>
      <c r="AF718" s="551"/>
      <c r="AG718" s="551"/>
      <c r="AH718" s="551"/>
      <c r="AI718" s="551"/>
      <c r="AJ718" s="551"/>
      <c r="AK718" s="551"/>
      <c r="AL718" s="551"/>
      <c r="AM718" s="551"/>
      <c r="AN718" s="551"/>
      <c r="AO718" s="551"/>
      <c r="AP718" s="551"/>
      <c r="AQ718" s="551"/>
      <c r="AR718" s="551"/>
      <c r="AS718" s="551"/>
      <c r="AT718" s="551"/>
      <c r="AU718" s="551"/>
      <c r="AV718" s="551"/>
      <c r="AW718" s="551"/>
      <c r="AX718" s="551"/>
      <c r="AY718" s="551"/>
      <c r="AZ718" s="551"/>
      <c r="BA718" s="551"/>
      <c r="BB718" s="551"/>
      <c r="BC718" s="551"/>
      <c r="BD718" s="551"/>
      <c r="BE718" s="551"/>
      <c r="BF718" s="551"/>
      <c r="BG718" s="551"/>
      <c r="BH718" s="551"/>
      <c r="BI718" s="551"/>
      <c r="BJ718" s="551"/>
    </row>
    <row r="719" spans="1:62" ht="12.75" customHeight="1">
      <c r="A719" s="551"/>
      <c r="B719" s="551"/>
      <c r="C719" s="551"/>
      <c r="D719" s="551"/>
      <c r="E719" s="551"/>
      <c r="F719" s="551"/>
      <c r="G719" s="551"/>
      <c r="H719" s="551"/>
      <c r="I719" s="551"/>
      <c r="J719" s="551"/>
      <c r="K719" s="551"/>
      <c r="L719" s="551"/>
      <c r="M719" s="551"/>
      <c r="N719" s="551"/>
      <c r="O719" s="551"/>
      <c r="P719" s="551"/>
      <c r="Q719" s="551"/>
      <c r="R719" s="551"/>
      <c r="S719" s="551"/>
      <c r="T719" s="551"/>
      <c r="U719" s="551"/>
      <c r="V719" s="551"/>
      <c r="W719" s="551"/>
      <c r="X719" s="551"/>
      <c r="Y719" s="551"/>
      <c r="Z719" s="551"/>
      <c r="AA719" s="551"/>
      <c r="AB719" s="551"/>
      <c r="AC719" s="551"/>
      <c r="AD719" s="551"/>
      <c r="AE719" s="551"/>
      <c r="AF719" s="551"/>
      <c r="AG719" s="551"/>
      <c r="AH719" s="551"/>
      <c r="AI719" s="551"/>
      <c r="AJ719" s="551"/>
      <c r="AK719" s="551"/>
      <c r="AL719" s="551"/>
      <c r="AM719" s="551"/>
      <c r="AN719" s="551"/>
      <c r="AO719" s="551"/>
      <c r="AP719" s="551"/>
      <c r="AQ719" s="551"/>
      <c r="AR719" s="551"/>
      <c r="AS719" s="551"/>
      <c r="AT719" s="551"/>
      <c r="AU719" s="551"/>
      <c r="AV719" s="551"/>
      <c r="AW719" s="551"/>
      <c r="AX719" s="551"/>
      <c r="AY719" s="551"/>
      <c r="AZ719" s="551"/>
      <c r="BA719" s="551"/>
      <c r="BB719" s="551"/>
      <c r="BC719" s="551"/>
      <c r="BD719" s="551"/>
      <c r="BE719" s="551"/>
      <c r="BF719" s="551"/>
      <c r="BG719" s="551"/>
      <c r="BH719" s="551"/>
      <c r="BI719" s="551"/>
      <c r="BJ719" s="551"/>
    </row>
    <row r="720" spans="1:62" ht="12.75" customHeight="1">
      <c r="A720" s="551"/>
      <c r="B720" s="551"/>
      <c r="C720" s="551"/>
      <c r="D720" s="551"/>
      <c r="E720" s="551"/>
      <c r="F720" s="551"/>
      <c r="G720" s="551"/>
      <c r="H720" s="551"/>
      <c r="I720" s="551"/>
      <c r="J720" s="551"/>
      <c r="K720" s="551"/>
      <c r="L720" s="551"/>
      <c r="M720" s="551"/>
      <c r="N720" s="551"/>
      <c r="O720" s="551"/>
      <c r="P720" s="551"/>
      <c r="Q720" s="551"/>
      <c r="R720" s="551"/>
      <c r="S720" s="551"/>
      <c r="T720" s="551"/>
      <c r="U720" s="551"/>
      <c r="V720" s="551"/>
      <c r="W720" s="551"/>
      <c r="X720" s="551"/>
      <c r="Y720" s="551"/>
      <c r="Z720" s="551"/>
      <c r="AA720" s="551"/>
      <c r="AB720" s="551"/>
      <c r="AC720" s="551"/>
      <c r="AD720" s="551"/>
      <c r="AE720" s="551"/>
      <c r="AF720" s="551"/>
      <c r="AG720" s="551"/>
      <c r="AH720" s="551"/>
      <c r="AI720" s="551"/>
      <c r="AJ720" s="551"/>
      <c r="AK720" s="551"/>
      <c r="AL720" s="551"/>
      <c r="AM720" s="551"/>
      <c r="AN720" s="551"/>
      <c r="AO720" s="551"/>
      <c r="AP720" s="551"/>
      <c r="AQ720" s="551"/>
      <c r="AR720" s="551"/>
      <c r="AS720" s="551"/>
      <c r="AT720" s="551"/>
      <c r="AU720" s="551"/>
      <c r="AV720" s="551"/>
      <c r="AW720" s="551"/>
      <c r="AX720" s="551"/>
      <c r="AY720" s="551"/>
      <c r="AZ720" s="551"/>
      <c r="BA720" s="551"/>
      <c r="BB720" s="551"/>
      <c r="BC720" s="551"/>
      <c r="BD720" s="551"/>
      <c r="BE720" s="551"/>
      <c r="BF720" s="551"/>
      <c r="BG720" s="551"/>
      <c r="BH720" s="551"/>
      <c r="BI720" s="551"/>
      <c r="BJ720" s="551"/>
    </row>
    <row r="721" spans="1:62" ht="12.75" customHeight="1">
      <c r="A721" s="551"/>
      <c r="B721" s="551"/>
      <c r="C721" s="551"/>
      <c r="D721" s="551"/>
      <c r="E721" s="551"/>
      <c r="F721" s="551"/>
      <c r="G721" s="551"/>
      <c r="H721" s="551"/>
      <c r="I721" s="551"/>
      <c r="J721" s="551"/>
      <c r="K721" s="551"/>
      <c r="L721" s="551"/>
      <c r="M721" s="551"/>
      <c r="N721" s="551"/>
      <c r="O721" s="551"/>
      <c r="P721" s="551"/>
      <c r="Q721" s="551"/>
      <c r="R721" s="551"/>
      <c r="S721" s="551"/>
      <c r="T721" s="551"/>
      <c r="U721" s="551"/>
      <c r="V721" s="551"/>
      <c r="W721" s="551"/>
      <c r="X721" s="551"/>
      <c r="Y721" s="551"/>
      <c r="Z721" s="551"/>
      <c r="AA721" s="551"/>
      <c r="AB721" s="551"/>
      <c r="AC721" s="551"/>
      <c r="AD721" s="551"/>
      <c r="AE721" s="551"/>
      <c r="AF721" s="551"/>
      <c r="AG721" s="551"/>
      <c r="AH721" s="551"/>
      <c r="AI721" s="551"/>
      <c r="AJ721" s="551"/>
      <c r="AK721" s="551"/>
      <c r="AL721" s="551"/>
      <c r="AM721" s="551"/>
      <c r="AN721" s="551"/>
      <c r="AO721" s="551"/>
      <c r="AP721" s="551"/>
      <c r="AQ721" s="551"/>
      <c r="AR721" s="551"/>
      <c r="AS721" s="551"/>
      <c r="AT721" s="551"/>
      <c r="AU721" s="551"/>
      <c r="AV721" s="551"/>
      <c r="AW721" s="551"/>
      <c r="AX721" s="551"/>
      <c r="AY721" s="551"/>
      <c r="AZ721" s="551"/>
      <c r="BA721" s="551"/>
      <c r="BB721" s="551"/>
      <c r="BC721" s="551"/>
      <c r="BD721" s="551"/>
      <c r="BE721" s="551"/>
      <c r="BF721" s="551"/>
      <c r="BG721" s="551"/>
      <c r="BH721" s="551"/>
      <c r="BI721" s="551"/>
      <c r="BJ721" s="551"/>
    </row>
    <row r="722" spans="1:62" ht="12.75" customHeight="1">
      <c r="A722" s="551"/>
      <c r="B722" s="551"/>
      <c r="C722" s="551"/>
      <c r="D722" s="551"/>
      <c r="E722" s="551"/>
      <c r="F722" s="551"/>
      <c r="G722" s="551"/>
      <c r="H722" s="551"/>
      <c r="I722" s="551"/>
      <c r="J722" s="551"/>
      <c r="K722" s="551"/>
      <c r="L722" s="551"/>
      <c r="M722" s="551"/>
      <c r="N722" s="551"/>
      <c r="O722" s="551"/>
      <c r="P722" s="551"/>
      <c r="Q722" s="551"/>
      <c r="R722" s="551"/>
      <c r="S722" s="551"/>
      <c r="T722" s="551"/>
      <c r="U722" s="551"/>
      <c r="V722" s="551"/>
      <c r="W722" s="551"/>
      <c r="X722" s="551"/>
      <c r="Y722" s="551"/>
      <c r="Z722" s="551"/>
      <c r="AA722" s="551"/>
      <c r="AB722" s="551"/>
      <c r="AC722" s="551"/>
      <c r="AD722" s="551"/>
      <c r="AE722" s="551"/>
      <c r="AF722" s="551"/>
      <c r="AG722" s="551"/>
      <c r="AH722" s="551"/>
      <c r="AI722" s="551"/>
      <c r="AJ722" s="551"/>
      <c r="AK722" s="551"/>
      <c r="AL722" s="551"/>
      <c r="AM722" s="551"/>
      <c r="AN722" s="551"/>
      <c r="AO722" s="551"/>
      <c r="AP722" s="551"/>
      <c r="AQ722" s="551"/>
      <c r="AR722" s="551"/>
      <c r="AS722" s="551"/>
      <c r="AT722" s="551"/>
      <c r="AU722" s="551"/>
      <c r="AV722" s="551"/>
      <c r="AW722" s="551"/>
      <c r="AX722" s="551"/>
      <c r="AY722" s="551"/>
      <c r="AZ722" s="551"/>
      <c r="BA722" s="551"/>
      <c r="BB722" s="551"/>
      <c r="BC722" s="551"/>
      <c r="BD722" s="551"/>
      <c r="BE722" s="551"/>
      <c r="BF722" s="551"/>
      <c r="BG722" s="551"/>
      <c r="BH722" s="551"/>
      <c r="BI722" s="551"/>
      <c r="BJ722" s="551"/>
    </row>
    <row r="723" spans="1:62" ht="12.75" customHeight="1">
      <c r="A723" s="551"/>
      <c r="B723" s="551"/>
      <c r="C723" s="551"/>
      <c r="D723" s="551"/>
      <c r="E723" s="551"/>
      <c r="F723" s="551"/>
      <c r="G723" s="551"/>
      <c r="H723" s="551"/>
      <c r="I723" s="551"/>
      <c r="J723" s="551"/>
      <c r="K723" s="551"/>
      <c r="L723" s="551"/>
      <c r="M723" s="551"/>
      <c r="N723" s="551"/>
      <c r="O723" s="551"/>
      <c r="P723" s="551"/>
      <c r="Q723" s="551"/>
      <c r="R723" s="551"/>
      <c r="S723" s="551"/>
      <c r="T723" s="551"/>
      <c r="U723" s="551"/>
      <c r="V723" s="551"/>
      <c r="W723" s="551"/>
      <c r="X723" s="551"/>
      <c r="Y723" s="551"/>
      <c r="Z723" s="551"/>
      <c r="AA723" s="551"/>
      <c r="AB723" s="551"/>
      <c r="AC723" s="551"/>
      <c r="AD723" s="551"/>
      <c r="AE723" s="551"/>
      <c r="AF723" s="551"/>
      <c r="AG723" s="551"/>
      <c r="AH723" s="551"/>
      <c r="AI723" s="551"/>
      <c r="AJ723" s="551"/>
      <c r="AK723" s="551"/>
      <c r="AL723" s="551"/>
      <c r="AM723" s="551"/>
      <c r="AN723" s="551"/>
      <c r="AO723" s="551"/>
      <c r="AP723" s="551"/>
      <c r="AQ723" s="551"/>
      <c r="AR723" s="551"/>
      <c r="AS723" s="551"/>
      <c r="AT723" s="551"/>
      <c r="AU723" s="551"/>
      <c r="AV723" s="551"/>
      <c r="AW723" s="551"/>
      <c r="AX723" s="551"/>
      <c r="AY723" s="551"/>
      <c r="AZ723" s="551"/>
      <c r="BA723" s="551"/>
      <c r="BB723" s="551"/>
      <c r="BC723" s="551"/>
      <c r="BD723" s="551"/>
      <c r="BE723" s="551"/>
      <c r="BF723" s="551"/>
      <c r="BG723" s="551"/>
      <c r="BH723" s="551"/>
      <c r="BI723" s="551"/>
      <c r="BJ723" s="551"/>
    </row>
    <row r="724" spans="1:62" ht="12.75" customHeight="1">
      <c r="A724" s="551"/>
      <c r="B724" s="551"/>
      <c r="C724" s="551"/>
      <c r="D724" s="551"/>
      <c r="E724" s="551"/>
      <c r="F724" s="551"/>
      <c r="G724" s="551"/>
      <c r="H724" s="551"/>
      <c r="I724" s="551"/>
      <c r="J724" s="551"/>
      <c r="K724" s="551"/>
      <c r="L724" s="551"/>
      <c r="M724" s="551"/>
      <c r="N724" s="551"/>
      <c r="O724" s="551"/>
      <c r="P724" s="551"/>
      <c r="Q724" s="551"/>
      <c r="R724" s="551"/>
      <c r="S724" s="551"/>
      <c r="T724" s="551"/>
      <c r="U724" s="551"/>
      <c r="V724" s="551"/>
      <c r="W724" s="551"/>
      <c r="X724" s="551"/>
      <c r="Y724" s="551"/>
      <c r="Z724" s="551"/>
      <c r="AA724" s="551"/>
      <c r="AB724" s="551"/>
      <c r="AC724" s="551"/>
      <c r="AD724" s="551"/>
      <c r="AE724" s="551"/>
      <c r="AF724" s="551"/>
      <c r="AG724" s="551"/>
      <c r="AH724" s="551"/>
      <c r="AI724" s="551"/>
      <c r="AJ724" s="551"/>
      <c r="AK724" s="551"/>
      <c r="AL724" s="551"/>
      <c r="AM724" s="551"/>
      <c r="AN724" s="551"/>
      <c r="AO724" s="551"/>
      <c r="AP724" s="551"/>
      <c r="AQ724" s="551"/>
      <c r="AR724" s="551"/>
      <c r="AS724" s="551"/>
      <c r="AT724" s="551"/>
      <c r="AU724" s="551"/>
      <c r="AV724" s="551"/>
      <c r="AW724" s="551"/>
      <c r="AX724" s="551"/>
      <c r="AY724" s="551"/>
      <c r="AZ724" s="551"/>
      <c r="BA724" s="551"/>
      <c r="BB724" s="551"/>
      <c r="BC724" s="551"/>
      <c r="BD724" s="551"/>
      <c r="BE724" s="551"/>
      <c r="BF724" s="551"/>
      <c r="BG724" s="551"/>
      <c r="BH724" s="551"/>
      <c r="BI724" s="551"/>
      <c r="BJ724" s="551"/>
    </row>
    <row r="725" spans="1:62" ht="12.75" customHeight="1">
      <c r="A725" s="551"/>
      <c r="B725" s="551"/>
      <c r="C725" s="551"/>
      <c r="D725" s="551"/>
      <c r="E725" s="551"/>
      <c r="F725" s="551"/>
      <c r="G725" s="551"/>
      <c r="H725" s="551"/>
      <c r="I725" s="551"/>
      <c r="J725" s="551"/>
      <c r="K725" s="551"/>
      <c r="L725" s="551"/>
      <c r="M725" s="551"/>
      <c r="N725" s="551"/>
      <c r="O725" s="551"/>
      <c r="P725" s="551"/>
      <c r="Q725" s="551"/>
      <c r="R725" s="551"/>
      <c r="S725" s="551"/>
      <c r="T725" s="551"/>
      <c r="U725" s="551"/>
      <c r="V725" s="551"/>
      <c r="W725" s="551"/>
      <c r="X725" s="551"/>
      <c r="Y725" s="551"/>
      <c r="Z725" s="551"/>
      <c r="AA725" s="551"/>
      <c r="AB725" s="551"/>
      <c r="AC725" s="551"/>
      <c r="AD725" s="551"/>
      <c r="AE725" s="551"/>
      <c r="AF725" s="551"/>
      <c r="AG725" s="551"/>
      <c r="AH725" s="551"/>
      <c r="AI725" s="551"/>
      <c r="AJ725" s="551"/>
      <c r="AK725" s="551"/>
      <c r="AL725" s="551"/>
      <c r="AM725" s="551"/>
      <c r="AN725" s="551"/>
      <c r="AO725" s="551"/>
      <c r="AP725" s="551"/>
      <c r="AQ725" s="551"/>
      <c r="AR725" s="551"/>
      <c r="AS725" s="551"/>
      <c r="AT725" s="551"/>
      <c r="AU725" s="551"/>
      <c r="AV725" s="551"/>
      <c r="AW725" s="551"/>
      <c r="AX725" s="551"/>
      <c r="AY725" s="551"/>
      <c r="AZ725" s="551"/>
      <c r="BA725" s="551"/>
      <c r="BB725" s="551"/>
      <c r="BC725" s="551"/>
      <c r="BD725" s="551"/>
      <c r="BE725" s="551"/>
      <c r="BF725" s="551"/>
      <c r="BG725" s="551"/>
      <c r="BH725" s="551"/>
      <c r="BI725" s="551"/>
      <c r="BJ725" s="551"/>
    </row>
    <row r="726" spans="1:62" ht="12.75" customHeight="1">
      <c r="A726" s="551"/>
      <c r="B726" s="551"/>
      <c r="C726" s="551"/>
      <c r="D726" s="551"/>
      <c r="E726" s="551"/>
      <c r="F726" s="551"/>
      <c r="G726" s="551"/>
      <c r="H726" s="551"/>
      <c r="I726" s="551"/>
      <c r="J726" s="551"/>
      <c r="K726" s="551"/>
      <c r="L726" s="551"/>
      <c r="M726" s="551"/>
      <c r="N726" s="551"/>
      <c r="O726" s="551"/>
      <c r="P726" s="551"/>
      <c r="Q726" s="551"/>
      <c r="R726" s="551"/>
      <c r="S726" s="551"/>
      <c r="T726" s="551"/>
      <c r="U726" s="551"/>
      <c r="V726" s="551"/>
      <c r="W726" s="551"/>
      <c r="X726" s="551"/>
      <c r="Y726" s="551"/>
      <c r="Z726" s="551"/>
      <c r="AA726" s="551"/>
      <c r="AB726" s="551"/>
      <c r="AC726" s="551"/>
      <c r="AD726" s="551"/>
      <c r="AE726" s="551"/>
      <c r="AF726" s="551"/>
      <c r="AG726" s="551"/>
      <c r="AH726" s="551"/>
      <c r="AI726" s="551"/>
      <c r="AJ726" s="551"/>
      <c r="AK726" s="551"/>
      <c r="AL726" s="551"/>
      <c r="AM726" s="551"/>
      <c r="AN726" s="551"/>
      <c r="AO726" s="551"/>
      <c r="AP726" s="551"/>
      <c r="AQ726" s="551"/>
      <c r="AR726" s="551"/>
      <c r="AS726" s="551"/>
      <c r="AT726" s="551"/>
      <c r="AU726" s="551"/>
      <c r="AV726" s="551"/>
      <c r="AW726" s="551"/>
      <c r="AX726" s="551"/>
      <c r="AY726" s="551"/>
      <c r="AZ726" s="551"/>
      <c r="BA726" s="551"/>
      <c r="BB726" s="551"/>
      <c r="BC726" s="551"/>
      <c r="BD726" s="551"/>
      <c r="BE726" s="551"/>
      <c r="BF726" s="551"/>
      <c r="BG726" s="551"/>
      <c r="BH726" s="551"/>
      <c r="BI726" s="551"/>
      <c r="BJ726" s="551"/>
    </row>
    <row r="727" spans="1:62" ht="12.75" customHeight="1">
      <c r="A727" s="551"/>
      <c r="B727" s="551"/>
      <c r="C727" s="551"/>
      <c r="D727" s="551"/>
      <c r="E727" s="551"/>
      <c r="F727" s="551"/>
      <c r="G727" s="551"/>
      <c r="H727" s="551"/>
      <c r="I727" s="551"/>
      <c r="J727" s="551"/>
      <c r="K727" s="551"/>
      <c r="L727" s="551"/>
      <c r="M727" s="551"/>
      <c r="N727" s="551"/>
      <c r="O727" s="551"/>
      <c r="P727" s="551"/>
      <c r="Q727" s="551"/>
      <c r="R727" s="551"/>
      <c r="S727" s="551"/>
      <c r="T727" s="551"/>
      <c r="U727" s="551"/>
      <c r="V727" s="551"/>
      <c r="W727" s="551"/>
      <c r="X727" s="551"/>
      <c r="Y727" s="551"/>
      <c r="Z727" s="551"/>
      <c r="AA727" s="551"/>
      <c r="AB727" s="551"/>
      <c r="AC727" s="551"/>
      <c r="AD727" s="551"/>
      <c r="AE727" s="551"/>
      <c r="AF727" s="551"/>
      <c r="AG727" s="551"/>
      <c r="AH727" s="551"/>
      <c r="AI727" s="551"/>
      <c r="AJ727" s="551"/>
      <c r="AK727" s="551"/>
      <c r="AL727" s="551"/>
      <c r="AM727" s="551"/>
      <c r="AN727" s="551"/>
      <c r="AO727" s="551"/>
      <c r="AP727" s="551"/>
      <c r="AQ727" s="551"/>
      <c r="AR727" s="551"/>
      <c r="AS727" s="551"/>
      <c r="AT727" s="551"/>
      <c r="AU727" s="551"/>
      <c r="AV727" s="551"/>
      <c r="AW727" s="551"/>
      <c r="AX727" s="551"/>
      <c r="AY727" s="551"/>
      <c r="AZ727" s="551"/>
      <c r="BA727" s="551"/>
      <c r="BB727" s="551"/>
      <c r="BC727" s="551"/>
      <c r="BD727" s="551"/>
      <c r="BE727" s="551"/>
      <c r="BF727" s="551"/>
      <c r="BG727" s="551"/>
      <c r="BH727" s="551"/>
      <c r="BI727" s="551"/>
      <c r="BJ727" s="551"/>
    </row>
    <row r="728" spans="1:62" ht="12.75" customHeight="1">
      <c r="A728" s="551"/>
      <c r="B728" s="551"/>
      <c r="C728" s="551"/>
      <c r="D728" s="551"/>
      <c r="E728" s="551"/>
      <c r="F728" s="551"/>
      <c r="G728" s="551"/>
      <c r="H728" s="551"/>
      <c r="I728" s="551"/>
      <c r="J728" s="551"/>
      <c r="K728" s="551"/>
      <c r="L728" s="551"/>
      <c r="M728" s="551"/>
      <c r="N728" s="551"/>
      <c r="O728" s="551"/>
      <c r="P728" s="551"/>
      <c r="Q728" s="551"/>
      <c r="R728" s="551"/>
      <c r="S728" s="551"/>
      <c r="T728" s="551"/>
      <c r="U728" s="551"/>
      <c r="V728" s="551"/>
      <c r="W728" s="551"/>
      <c r="X728" s="551"/>
      <c r="Y728" s="551"/>
      <c r="Z728" s="551"/>
      <c r="AA728" s="551"/>
      <c r="AB728" s="551"/>
      <c r="AC728" s="551"/>
      <c r="AD728" s="551"/>
      <c r="AE728" s="551"/>
      <c r="AF728" s="551"/>
      <c r="AG728" s="551"/>
      <c r="AH728" s="551"/>
      <c r="AI728" s="551"/>
      <c r="AJ728" s="551"/>
      <c r="AK728" s="551"/>
      <c r="AL728" s="551"/>
      <c r="AM728" s="551"/>
      <c r="AN728" s="551"/>
      <c r="AO728" s="551"/>
      <c r="AP728" s="551"/>
      <c r="AQ728" s="551"/>
      <c r="AR728" s="551"/>
      <c r="AS728" s="551"/>
      <c r="AT728" s="551"/>
      <c r="AU728" s="551"/>
      <c r="AV728" s="551"/>
      <c r="AW728" s="551"/>
      <c r="AX728" s="551"/>
      <c r="AY728" s="551"/>
      <c r="AZ728" s="551"/>
      <c r="BA728" s="551"/>
      <c r="BB728" s="551"/>
      <c r="BC728" s="551"/>
      <c r="BD728" s="551"/>
      <c r="BE728" s="551"/>
      <c r="BF728" s="551"/>
      <c r="BG728" s="551"/>
      <c r="BH728" s="551"/>
      <c r="BI728" s="551"/>
      <c r="BJ728" s="551"/>
    </row>
    <row r="729" spans="1:62" ht="12.75" customHeight="1">
      <c r="A729" s="551"/>
      <c r="B729" s="551"/>
      <c r="C729" s="551"/>
      <c r="D729" s="551"/>
      <c r="E729" s="551"/>
      <c r="F729" s="551"/>
      <c r="G729" s="551"/>
      <c r="H729" s="551"/>
      <c r="I729" s="551"/>
      <c r="J729" s="551"/>
      <c r="K729" s="551"/>
      <c r="L729" s="551"/>
      <c r="M729" s="551"/>
      <c r="N729" s="551"/>
      <c r="O729" s="551"/>
      <c r="P729" s="551"/>
      <c r="Q729" s="551"/>
      <c r="R729" s="551"/>
      <c r="S729" s="551"/>
      <c r="T729" s="551"/>
      <c r="U729" s="551"/>
      <c r="V729" s="551"/>
      <c r="W729" s="551"/>
      <c r="X729" s="551"/>
      <c r="Y729" s="551"/>
      <c r="Z729" s="551"/>
      <c r="AA729" s="551"/>
      <c r="AB729" s="551"/>
      <c r="AC729" s="551"/>
      <c r="AD729" s="551"/>
      <c r="AE729" s="551"/>
      <c r="AF729" s="551"/>
      <c r="AG729" s="551"/>
      <c r="AH729" s="551"/>
      <c r="AI729" s="551"/>
      <c r="AJ729" s="551"/>
      <c r="AK729" s="551"/>
      <c r="AL729" s="551"/>
      <c r="AM729" s="551"/>
      <c r="AN729" s="551"/>
      <c r="AO729" s="551"/>
      <c r="AP729" s="551"/>
      <c r="AQ729" s="551"/>
      <c r="AR729" s="551"/>
      <c r="AS729" s="551"/>
      <c r="AT729" s="551"/>
      <c r="AU729" s="551"/>
      <c r="AV729" s="551"/>
      <c r="AW729" s="551"/>
      <c r="AX729" s="551"/>
      <c r="AY729" s="551"/>
      <c r="AZ729" s="551"/>
      <c r="BA729" s="551"/>
      <c r="BB729" s="551"/>
      <c r="BC729" s="551"/>
      <c r="BD729" s="551"/>
      <c r="BE729" s="551"/>
      <c r="BF729" s="551"/>
      <c r="BG729" s="551"/>
      <c r="BH729" s="551"/>
      <c r="BI729" s="551"/>
      <c r="BJ729" s="551"/>
    </row>
    <row r="730" spans="1:62" ht="12.75" customHeight="1">
      <c r="A730" s="551"/>
      <c r="B730" s="551"/>
      <c r="C730" s="551"/>
      <c r="D730" s="551"/>
      <c r="E730" s="551"/>
      <c r="F730" s="551"/>
      <c r="G730" s="551"/>
      <c r="H730" s="551"/>
      <c r="I730" s="551"/>
      <c r="J730" s="551"/>
      <c r="K730" s="551"/>
      <c r="L730" s="551"/>
      <c r="M730" s="551"/>
      <c r="N730" s="551"/>
      <c r="O730" s="551"/>
      <c r="P730" s="551"/>
      <c r="Q730" s="551"/>
      <c r="R730" s="551"/>
      <c r="S730" s="551"/>
      <c r="T730" s="551"/>
      <c r="U730" s="551"/>
      <c r="V730" s="551"/>
      <c r="W730" s="551"/>
      <c r="X730" s="551"/>
      <c r="Y730" s="551"/>
      <c r="Z730" s="551"/>
      <c r="AA730" s="551"/>
      <c r="AB730" s="551"/>
      <c r="AC730" s="551"/>
      <c r="AD730" s="551"/>
      <c r="AE730" s="551"/>
      <c r="AF730" s="551"/>
      <c r="AG730" s="551"/>
      <c r="AH730" s="551"/>
      <c r="AI730" s="551"/>
      <c r="AJ730" s="551"/>
      <c r="AK730" s="551"/>
      <c r="AL730" s="551"/>
      <c r="AM730" s="551"/>
      <c r="AN730" s="551"/>
      <c r="AO730" s="551"/>
      <c r="AP730" s="551"/>
      <c r="AQ730" s="551"/>
      <c r="AR730" s="551"/>
      <c r="AS730" s="551"/>
      <c r="AT730" s="551"/>
      <c r="AU730" s="551"/>
      <c r="AV730" s="551"/>
      <c r="AW730" s="551"/>
      <c r="AX730" s="551"/>
      <c r="AY730" s="551"/>
      <c r="AZ730" s="551"/>
      <c r="BA730" s="551"/>
      <c r="BB730" s="551"/>
      <c r="BC730" s="551"/>
      <c r="BD730" s="551"/>
      <c r="BE730" s="551"/>
      <c r="BF730" s="551"/>
      <c r="BG730" s="551"/>
      <c r="BH730" s="551"/>
      <c r="BI730" s="551"/>
      <c r="BJ730" s="551"/>
    </row>
    <row r="731" spans="1:62" ht="12.75" customHeight="1">
      <c r="A731" s="551"/>
      <c r="B731" s="551"/>
      <c r="C731" s="551"/>
      <c r="D731" s="551"/>
      <c r="E731" s="551"/>
      <c r="F731" s="551"/>
      <c r="G731" s="551"/>
      <c r="H731" s="551"/>
      <c r="I731" s="551"/>
      <c r="J731" s="551"/>
      <c r="K731" s="551"/>
      <c r="L731" s="551"/>
      <c r="M731" s="551"/>
      <c r="N731" s="551"/>
      <c r="O731" s="551"/>
      <c r="P731" s="551"/>
      <c r="Q731" s="551"/>
      <c r="R731" s="551"/>
      <c r="S731" s="551"/>
      <c r="T731" s="551"/>
      <c r="U731" s="551"/>
      <c r="V731" s="551"/>
      <c r="W731" s="551"/>
      <c r="X731" s="551"/>
      <c r="Y731" s="551"/>
      <c r="Z731" s="551"/>
      <c r="AA731" s="551"/>
      <c r="AB731" s="551"/>
      <c r="AC731" s="551"/>
      <c r="AD731" s="551"/>
      <c r="AE731" s="551"/>
      <c r="AF731" s="551"/>
      <c r="AG731" s="551"/>
      <c r="AH731" s="551"/>
      <c r="AI731" s="551"/>
      <c r="AJ731" s="551"/>
      <c r="AK731" s="551"/>
      <c r="AL731" s="551"/>
      <c r="AM731" s="551"/>
      <c r="AN731" s="551"/>
      <c r="AO731" s="551"/>
      <c r="AP731" s="551"/>
      <c r="AQ731" s="551"/>
      <c r="AR731" s="551"/>
      <c r="AS731" s="551"/>
      <c r="AT731" s="551"/>
      <c r="AU731" s="551"/>
      <c r="AV731" s="551"/>
      <c r="AW731" s="551"/>
      <c r="AX731" s="551"/>
      <c r="AY731" s="551"/>
      <c r="AZ731" s="551"/>
      <c r="BA731" s="551"/>
      <c r="BB731" s="551"/>
      <c r="BC731" s="551"/>
      <c r="BD731" s="551"/>
      <c r="BE731" s="551"/>
      <c r="BF731" s="551"/>
      <c r="BG731" s="551"/>
      <c r="BH731" s="551"/>
      <c r="BI731" s="551"/>
      <c r="BJ731" s="551"/>
    </row>
    <row r="732" spans="1:62" ht="12.75" customHeight="1">
      <c r="A732" s="551"/>
      <c r="B732" s="551"/>
      <c r="C732" s="551"/>
      <c r="D732" s="551"/>
      <c r="E732" s="551"/>
      <c r="F732" s="551"/>
      <c r="G732" s="551"/>
      <c r="H732" s="551"/>
      <c r="I732" s="551"/>
      <c r="J732" s="551"/>
      <c r="K732" s="551"/>
      <c r="L732" s="551"/>
      <c r="M732" s="551"/>
      <c r="N732" s="551"/>
      <c r="O732" s="551"/>
      <c r="P732" s="551"/>
      <c r="Q732" s="551"/>
      <c r="R732" s="551"/>
      <c r="S732" s="551"/>
      <c r="T732" s="551"/>
      <c r="U732" s="551"/>
      <c r="V732" s="551"/>
      <c r="W732" s="551"/>
      <c r="X732" s="551"/>
      <c r="Y732" s="551"/>
      <c r="Z732" s="551"/>
      <c r="AA732" s="551"/>
      <c r="AB732" s="551"/>
      <c r="AC732" s="551"/>
      <c r="AD732" s="551"/>
      <c r="AE732" s="551"/>
      <c r="AF732" s="551"/>
      <c r="AG732" s="551"/>
      <c r="AH732" s="551"/>
      <c r="AI732" s="551"/>
      <c r="AJ732" s="551"/>
      <c r="AK732" s="551"/>
      <c r="AL732" s="551"/>
      <c r="AM732" s="551"/>
      <c r="AN732" s="551"/>
      <c r="AO732" s="551"/>
      <c r="AP732" s="551"/>
      <c r="AQ732" s="551"/>
      <c r="AR732" s="551"/>
      <c r="AS732" s="551"/>
      <c r="AT732" s="551"/>
      <c r="AU732" s="551"/>
      <c r="AV732" s="551"/>
      <c r="AW732" s="551"/>
      <c r="AX732" s="551"/>
      <c r="AY732" s="551"/>
      <c r="AZ732" s="551"/>
      <c r="BA732" s="551"/>
      <c r="BB732" s="551"/>
      <c r="BC732" s="551"/>
      <c r="BD732" s="551"/>
      <c r="BE732" s="551"/>
      <c r="BF732" s="551"/>
      <c r="BG732" s="551"/>
      <c r="BH732" s="551"/>
      <c r="BI732" s="551"/>
      <c r="BJ732" s="551"/>
    </row>
    <row r="733" spans="1:62" ht="12.75" customHeight="1">
      <c r="A733" s="551"/>
      <c r="B733" s="551"/>
      <c r="C733" s="551"/>
      <c r="D733" s="551"/>
      <c r="E733" s="551"/>
      <c r="F733" s="551"/>
      <c r="G733" s="551"/>
      <c r="H733" s="551"/>
      <c r="I733" s="551"/>
      <c r="J733" s="551"/>
      <c r="K733" s="551"/>
      <c r="L733" s="551"/>
      <c r="M733" s="551"/>
      <c r="N733" s="551"/>
      <c r="O733" s="551"/>
      <c r="P733" s="551"/>
      <c r="Q733" s="551"/>
      <c r="R733" s="551"/>
      <c r="S733" s="551"/>
      <c r="T733" s="551"/>
      <c r="U733" s="551"/>
      <c r="V733" s="551"/>
      <c r="W733" s="551"/>
      <c r="X733" s="551"/>
      <c r="Y733" s="551"/>
      <c r="Z733" s="551"/>
      <c r="AA733" s="551"/>
      <c r="AB733" s="551"/>
      <c r="AC733" s="551"/>
      <c r="AD733" s="551"/>
      <c r="AE733" s="551"/>
      <c r="AF733" s="551"/>
      <c r="AG733" s="551"/>
      <c r="AH733" s="551"/>
      <c r="AI733" s="551"/>
      <c r="AJ733" s="551"/>
      <c r="AK733" s="551"/>
      <c r="AL733" s="551"/>
      <c r="AM733" s="551"/>
      <c r="AN733" s="551"/>
      <c r="AO733" s="551"/>
      <c r="AP733" s="551"/>
      <c r="AQ733" s="551"/>
      <c r="AR733" s="551"/>
      <c r="AS733" s="551"/>
      <c r="AT733" s="551"/>
      <c r="AU733" s="551"/>
      <c r="AV733" s="551"/>
      <c r="AW733" s="551"/>
      <c r="AX733" s="551"/>
      <c r="AY733" s="551"/>
      <c r="AZ733" s="551"/>
      <c r="BA733" s="551"/>
      <c r="BB733" s="551"/>
      <c r="BC733" s="551"/>
      <c r="BD733" s="551"/>
      <c r="BE733" s="551"/>
      <c r="BF733" s="551"/>
      <c r="BG733" s="551"/>
      <c r="BH733" s="551"/>
      <c r="BI733" s="551"/>
      <c r="BJ733" s="551"/>
    </row>
    <row r="734" spans="1:62" ht="12.75" customHeight="1">
      <c r="A734" s="551"/>
      <c r="B734" s="551"/>
      <c r="C734" s="551"/>
      <c r="D734" s="551"/>
      <c r="E734" s="551"/>
      <c r="F734" s="551"/>
      <c r="G734" s="551"/>
      <c r="H734" s="551"/>
      <c r="I734" s="551"/>
      <c r="J734" s="551"/>
      <c r="K734" s="551"/>
      <c r="L734" s="551"/>
      <c r="M734" s="551"/>
      <c r="N734" s="551"/>
      <c r="O734" s="551"/>
      <c r="P734" s="551"/>
      <c r="Q734" s="551"/>
      <c r="R734" s="551"/>
      <c r="S734" s="551"/>
      <c r="T734" s="551"/>
      <c r="U734" s="551"/>
      <c r="V734" s="551"/>
      <c r="W734" s="551"/>
      <c r="X734" s="551"/>
      <c r="Y734" s="551"/>
      <c r="Z734" s="551"/>
      <c r="AA734" s="551"/>
      <c r="AB734" s="551"/>
      <c r="AC734" s="551"/>
      <c r="AD734" s="551"/>
      <c r="AE734" s="551"/>
      <c r="AF734" s="551"/>
      <c r="AG734" s="551"/>
      <c r="AH734" s="551"/>
      <c r="AI734" s="551"/>
      <c r="AJ734" s="551"/>
      <c r="AK734" s="551"/>
      <c r="AL734" s="551"/>
      <c r="AM734" s="551"/>
      <c r="AN734" s="551"/>
      <c r="AO734" s="551"/>
      <c r="AP734" s="551"/>
      <c r="AQ734" s="551"/>
      <c r="AR734" s="551"/>
      <c r="AS734" s="551"/>
      <c r="AT734" s="551"/>
      <c r="AU734" s="551"/>
      <c r="AV734" s="551"/>
      <c r="AW734" s="551"/>
      <c r="AX734" s="551"/>
      <c r="AY734" s="551"/>
      <c r="AZ734" s="551"/>
      <c r="BA734" s="551"/>
      <c r="BB734" s="551"/>
      <c r="BC734" s="551"/>
      <c r="BD734" s="551"/>
      <c r="BE734" s="551"/>
      <c r="BF734" s="551"/>
      <c r="BG734" s="551"/>
      <c r="BH734" s="551"/>
      <c r="BI734" s="551"/>
      <c r="BJ734" s="551"/>
    </row>
    <row r="735" spans="1:62" ht="12.75" customHeight="1">
      <c r="A735" s="551"/>
      <c r="B735" s="551"/>
      <c r="C735" s="551"/>
      <c r="D735" s="551"/>
      <c r="E735" s="551"/>
      <c r="F735" s="551"/>
      <c r="G735" s="551"/>
      <c r="H735" s="551"/>
      <c r="I735" s="551"/>
      <c r="J735" s="551"/>
      <c r="K735" s="551"/>
      <c r="L735" s="551"/>
      <c r="M735" s="551"/>
      <c r="N735" s="551"/>
      <c r="O735" s="551"/>
      <c r="P735" s="551"/>
      <c r="Q735" s="551"/>
      <c r="R735" s="551"/>
      <c r="S735" s="551"/>
      <c r="T735" s="551"/>
      <c r="U735" s="551"/>
      <c r="V735" s="551"/>
      <c r="W735" s="551"/>
      <c r="X735" s="551"/>
      <c r="Y735" s="551"/>
      <c r="Z735" s="551"/>
      <c r="AA735" s="551"/>
      <c r="AB735" s="551"/>
      <c r="AC735" s="551"/>
      <c r="AD735" s="551"/>
      <c r="AE735" s="551"/>
      <c r="AF735" s="551"/>
      <c r="AG735" s="551"/>
      <c r="AH735" s="551"/>
      <c r="AI735" s="551"/>
      <c r="AJ735" s="551"/>
      <c r="AK735" s="551"/>
      <c r="AL735" s="551"/>
      <c r="AM735" s="551"/>
      <c r="AN735" s="551"/>
      <c r="AO735" s="551"/>
      <c r="AP735" s="551"/>
      <c r="AQ735" s="551"/>
      <c r="AR735" s="551"/>
      <c r="AS735" s="551"/>
      <c r="AT735" s="551"/>
      <c r="AU735" s="551"/>
      <c r="AV735" s="551"/>
      <c r="AW735" s="551"/>
      <c r="AX735" s="551"/>
      <c r="AY735" s="551"/>
      <c r="AZ735" s="551"/>
      <c r="BA735" s="551"/>
      <c r="BB735" s="551"/>
      <c r="BC735" s="551"/>
      <c r="BD735" s="551"/>
      <c r="BE735" s="551"/>
      <c r="BF735" s="551"/>
      <c r="BG735" s="551"/>
      <c r="BH735" s="551"/>
      <c r="BI735" s="551"/>
      <c r="BJ735" s="551"/>
    </row>
    <row r="736" spans="1:62" ht="12.75" customHeight="1">
      <c r="A736" s="551"/>
      <c r="B736" s="551"/>
      <c r="C736" s="551"/>
      <c r="D736" s="551"/>
      <c r="E736" s="551"/>
      <c r="F736" s="551"/>
      <c r="G736" s="551"/>
      <c r="H736" s="551"/>
      <c r="I736" s="551"/>
      <c r="J736" s="551"/>
      <c r="K736" s="551"/>
      <c r="L736" s="551"/>
      <c r="M736" s="551"/>
      <c r="N736" s="551"/>
      <c r="O736" s="551"/>
      <c r="P736" s="551"/>
      <c r="Q736" s="551"/>
      <c r="R736" s="551"/>
      <c r="S736" s="551"/>
      <c r="T736" s="551"/>
      <c r="U736" s="551"/>
      <c r="V736" s="551"/>
      <c r="W736" s="551"/>
      <c r="X736" s="551"/>
      <c r="Y736" s="551"/>
      <c r="Z736" s="551"/>
      <c r="AA736" s="551"/>
      <c r="AB736" s="551"/>
      <c r="AC736" s="551"/>
      <c r="AD736" s="551"/>
      <c r="AE736" s="551"/>
      <c r="AF736" s="551"/>
      <c r="AG736" s="551"/>
      <c r="AH736" s="551"/>
      <c r="AI736" s="551"/>
      <c r="AJ736" s="551"/>
      <c r="AK736" s="551"/>
      <c r="AL736" s="551"/>
      <c r="AM736" s="551"/>
      <c r="AN736" s="551"/>
      <c r="AO736" s="551"/>
      <c r="AP736" s="551"/>
      <c r="AQ736" s="551"/>
      <c r="AR736" s="551"/>
      <c r="AS736" s="551"/>
      <c r="AT736" s="551"/>
      <c r="AU736" s="551"/>
      <c r="AV736" s="551"/>
      <c r="AW736" s="551"/>
      <c r="AX736" s="551"/>
      <c r="AY736" s="551"/>
      <c r="AZ736" s="551"/>
      <c r="BA736" s="551"/>
      <c r="BB736" s="551"/>
      <c r="BC736" s="551"/>
      <c r="BD736" s="551"/>
      <c r="BE736" s="551"/>
      <c r="BF736" s="551"/>
      <c r="BG736" s="551"/>
      <c r="BH736" s="551"/>
      <c r="BI736" s="551"/>
      <c r="BJ736" s="551"/>
    </row>
    <row r="737" spans="1:62" ht="12.75" customHeight="1">
      <c r="A737" s="551"/>
      <c r="B737" s="551"/>
      <c r="C737" s="551"/>
      <c r="D737" s="551"/>
      <c r="E737" s="551"/>
      <c r="F737" s="551"/>
      <c r="G737" s="551"/>
      <c r="H737" s="551"/>
      <c r="I737" s="551"/>
      <c r="J737" s="551"/>
      <c r="K737" s="551"/>
      <c r="L737" s="551"/>
      <c r="M737" s="551"/>
      <c r="N737" s="551"/>
      <c r="O737" s="551"/>
      <c r="P737" s="551"/>
      <c r="Q737" s="551"/>
      <c r="R737" s="551"/>
      <c r="S737" s="551"/>
      <c r="T737" s="551"/>
      <c r="U737" s="551"/>
      <c r="V737" s="551"/>
      <c r="W737" s="551"/>
      <c r="X737" s="551"/>
      <c r="Y737" s="551"/>
      <c r="Z737" s="551"/>
      <c r="AA737" s="551"/>
      <c r="AB737" s="551"/>
      <c r="AC737" s="551"/>
      <c r="AD737" s="551"/>
      <c r="AE737" s="551"/>
      <c r="AF737" s="551"/>
      <c r="AG737" s="551"/>
      <c r="AH737" s="551"/>
      <c r="AI737" s="551"/>
      <c r="AJ737" s="551"/>
      <c r="AK737" s="551"/>
      <c r="AL737" s="551"/>
      <c r="AM737" s="551"/>
      <c r="AN737" s="551"/>
      <c r="AO737" s="551"/>
      <c r="AP737" s="551"/>
      <c r="AQ737" s="551"/>
      <c r="AR737" s="551"/>
      <c r="AS737" s="551"/>
      <c r="AT737" s="551"/>
      <c r="AU737" s="551"/>
      <c r="AV737" s="551"/>
      <c r="AW737" s="551"/>
      <c r="AX737" s="551"/>
      <c r="AY737" s="551"/>
      <c r="AZ737" s="551"/>
      <c r="BA737" s="551"/>
      <c r="BB737" s="551"/>
      <c r="BC737" s="551"/>
      <c r="BD737" s="551"/>
      <c r="BE737" s="551"/>
      <c r="BF737" s="551"/>
      <c r="BG737" s="551"/>
      <c r="BH737" s="551"/>
      <c r="BI737" s="551"/>
      <c r="BJ737" s="551"/>
    </row>
    <row r="738" spans="1:62" ht="12.75" customHeight="1">
      <c r="A738" s="551"/>
      <c r="B738" s="551"/>
      <c r="C738" s="551"/>
      <c r="D738" s="551"/>
      <c r="E738" s="551"/>
      <c r="F738" s="551"/>
      <c r="G738" s="551"/>
      <c r="H738" s="551"/>
      <c r="I738" s="551"/>
      <c r="J738" s="551"/>
      <c r="K738" s="551"/>
      <c r="L738" s="551"/>
      <c r="M738" s="551"/>
      <c r="N738" s="551"/>
      <c r="O738" s="551"/>
      <c r="P738" s="551"/>
      <c r="Q738" s="551"/>
      <c r="R738" s="551"/>
      <c r="S738" s="551"/>
      <c r="T738" s="551"/>
      <c r="U738" s="551"/>
      <c r="V738" s="551"/>
      <c r="W738" s="551"/>
      <c r="X738" s="551"/>
      <c r="Y738" s="551"/>
      <c r="Z738" s="551"/>
      <c r="AA738" s="551"/>
      <c r="AB738" s="551"/>
      <c r="AC738" s="551"/>
      <c r="AD738" s="551"/>
      <c r="AE738" s="551"/>
      <c r="AF738" s="551"/>
      <c r="AG738" s="551"/>
      <c r="AH738" s="551"/>
      <c r="AI738" s="551"/>
      <c r="AJ738" s="551"/>
      <c r="AK738" s="551"/>
      <c r="AL738" s="551"/>
      <c r="AM738" s="551"/>
      <c r="AN738" s="551"/>
      <c r="AO738" s="551"/>
      <c r="AP738" s="551"/>
      <c r="AQ738" s="551"/>
      <c r="AR738" s="551"/>
      <c r="AS738" s="551"/>
      <c r="AT738" s="551"/>
      <c r="AU738" s="551"/>
      <c r="AV738" s="551"/>
      <c r="AW738" s="551"/>
      <c r="AX738" s="551"/>
      <c r="AY738" s="551"/>
      <c r="AZ738" s="551"/>
      <c r="BA738" s="551"/>
      <c r="BB738" s="551"/>
      <c r="BC738" s="551"/>
      <c r="BD738" s="551"/>
      <c r="BE738" s="551"/>
      <c r="BF738" s="551"/>
      <c r="BG738" s="551"/>
      <c r="BH738" s="551"/>
      <c r="BI738" s="551"/>
      <c r="BJ738" s="551"/>
    </row>
    <row r="739" spans="1:62" ht="12.75" customHeight="1">
      <c r="A739" s="551"/>
      <c r="B739" s="551"/>
      <c r="C739" s="551"/>
      <c r="D739" s="551"/>
      <c r="E739" s="551"/>
      <c r="F739" s="551"/>
      <c r="G739" s="551"/>
      <c r="H739" s="551"/>
      <c r="I739" s="551"/>
      <c r="J739" s="551"/>
      <c r="K739" s="551"/>
      <c r="L739" s="551"/>
      <c r="M739" s="551"/>
      <c r="N739" s="551"/>
      <c r="O739" s="551"/>
      <c r="P739" s="551"/>
      <c r="Q739" s="551"/>
      <c r="R739" s="551"/>
      <c r="S739" s="551"/>
      <c r="T739" s="551"/>
      <c r="U739" s="551"/>
      <c r="V739" s="551"/>
      <c r="W739" s="551"/>
      <c r="X739" s="551"/>
      <c r="Y739" s="551"/>
      <c r="Z739" s="551"/>
      <c r="AA739" s="551"/>
      <c r="AB739" s="551"/>
      <c r="AC739" s="551"/>
      <c r="AD739" s="551"/>
      <c r="AE739" s="551"/>
      <c r="AF739" s="551"/>
      <c r="AG739" s="551"/>
      <c r="AH739" s="551"/>
      <c r="AI739" s="551"/>
      <c r="AJ739" s="551"/>
      <c r="AK739" s="551"/>
      <c r="AL739" s="551"/>
      <c r="AM739" s="551"/>
      <c r="AN739" s="551"/>
      <c r="AO739" s="551"/>
      <c r="AP739" s="551"/>
      <c r="AQ739" s="551"/>
      <c r="AR739" s="551"/>
      <c r="AS739" s="551"/>
      <c r="AT739" s="551"/>
      <c r="AU739" s="551"/>
      <c r="AV739" s="551"/>
      <c r="AW739" s="551"/>
      <c r="AX739" s="551"/>
      <c r="AY739" s="551"/>
      <c r="AZ739" s="551"/>
      <c r="BA739" s="551"/>
      <c r="BB739" s="551"/>
      <c r="BC739" s="551"/>
      <c r="BD739" s="551"/>
      <c r="BE739" s="551"/>
      <c r="BF739" s="551"/>
      <c r="BG739" s="551"/>
      <c r="BH739" s="551"/>
      <c r="BI739" s="551"/>
      <c r="BJ739" s="551"/>
    </row>
    <row r="740" spans="1:62" ht="12.75" customHeight="1">
      <c r="A740" s="551"/>
      <c r="B740" s="551"/>
      <c r="C740" s="551"/>
      <c r="D740" s="551"/>
      <c r="E740" s="551"/>
      <c r="F740" s="551"/>
      <c r="G740" s="551"/>
      <c r="H740" s="551"/>
      <c r="I740" s="551"/>
      <c r="J740" s="551"/>
      <c r="K740" s="551"/>
      <c r="L740" s="551"/>
      <c r="M740" s="551"/>
      <c r="N740" s="551"/>
      <c r="O740" s="551"/>
      <c r="P740" s="551"/>
      <c r="Q740" s="551"/>
      <c r="R740" s="551"/>
      <c r="S740" s="551"/>
      <c r="T740" s="551"/>
      <c r="U740" s="551"/>
      <c r="V740" s="551"/>
      <c r="W740" s="551"/>
      <c r="X740" s="551"/>
      <c r="Y740" s="551"/>
      <c r="Z740" s="551"/>
      <c r="AA740" s="551"/>
      <c r="AB740" s="551"/>
      <c r="AC740" s="551"/>
      <c r="AD740" s="551"/>
      <c r="AE740" s="551"/>
      <c r="AF740" s="551"/>
      <c r="AG740" s="551"/>
      <c r="AH740" s="551"/>
      <c r="AI740" s="551"/>
      <c r="AJ740" s="551"/>
      <c r="AK740" s="551"/>
      <c r="AL740" s="551"/>
      <c r="AM740" s="551"/>
      <c r="AN740" s="551"/>
      <c r="AO740" s="551"/>
      <c r="AP740" s="551"/>
      <c r="AQ740" s="551"/>
      <c r="AR740" s="551"/>
      <c r="AS740" s="551"/>
      <c r="AT740" s="551"/>
      <c r="AU740" s="551"/>
      <c r="AV740" s="551"/>
      <c r="AW740" s="551"/>
      <c r="AX740" s="551"/>
      <c r="AY740" s="551"/>
      <c r="AZ740" s="551"/>
      <c r="BA740" s="551"/>
      <c r="BB740" s="551"/>
      <c r="BC740" s="551"/>
      <c r="BD740" s="551"/>
      <c r="BE740" s="551"/>
      <c r="BF740" s="551"/>
      <c r="BG740" s="551"/>
      <c r="BH740" s="551"/>
      <c r="BI740" s="551"/>
      <c r="BJ740" s="551"/>
    </row>
    <row r="741" spans="1:62" ht="12.75" customHeight="1">
      <c r="A741" s="551"/>
      <c r="B741" s="551"/>
      <c r="C741" s="551"/>
      <c r="D741" s="551"/>
      <c r="E741" s="551"/>
      <c r="F741" s="551"/>
      <c r="G741" s="551"/>
      <c r="H741" s="551"/>
      <c r="I741" s="551"/>
      <c r="J741" s="551"/>
      <c r="K741" s="551"/>
      <c r="L741" s="551"/>
      <c r="M741" s="551"/>
      <c r="N741" s="551"/>
      <c r="O741" s="551"/>
      <c r="P741" s="551"/>
      <c r="Q741" s="551"/>
      <c r="R741" s="551"/>
      <c r="S741" s="551"/>
      <c r="T741" s="551"/>
      <c r="U741" s="551"/>
      <c r="V741" s="551"/>
      <c r="W741" s="551"/>
      <c r="X741" s="551"/>
      <c r="Y741" s="551"/>
      <c r="Z741" s="551"/>
      <c r="AA741" s="551"/>
      <c r="AB741" s="551"/>
      <c r="AC741" s="551"/>
      <c r="AD741" s="551"/>
      <c r="AE741" s="551"/>
      <c r="AF741" s="551"/>
      <c r="AG741" s="551"/>
      <c r="AH741" s="551"/>
      <c r="AI741" s="551"/>
      <c r="AJ741" s="551"/>
      <c r="AK741" s="551"/>
      <c r="AL741" s="551"/>
      <c r="AM741" s="551"/>
      <c r="AN741" s="551"/>
      <c r="AO741" s="551"/>
      <c r="AP741" s="551"/>
      <c r="AQ741" s="551"/>
      <c r="AR741" s="551"/>
      <c r="AS741" s="551"/>
      <c r="AT741" s="551"/>
      <c r="AU741" s="551"/>
      <c r="AV741" s="551"/>
      <c r="AW741" s="551"/>
      <c r="AX741" s="551"/>
      <c r="AY741" s="551"/>
      <c r="AZ741" s="551"/>
      <c r="BA741" s="551"/>
      <c r="BB741" s="551"/>
      <c r="BC741" s="551"/>
      <c r="BD741" s="551"/>
      <c r="BE741" s="551"/>
      <c r="BF741" s="551"/>
      <c r="BG741" s="551"/>
      <c r="BH741" s="551"/>
      <c r="BI741" s="551"/>
      <c r="BJ741" s="551"/>
    </row>
    <row r="742" spans="1:62" ht="12.75" customHeight="1">
      <c r="A742" s="551"/>
      <c r="B742" s="551"/>
      <c r="C742" s="551"/>
      <c r="D742" s="551"/>
      <c r="E742" s="551"/>
      <c r="F742" s="551"/>
      <c r="G742" s="551"/>
      <c r="H742" s="551"/>
      <c r="I742" s="551"/>
      <c r="J742" s="551"/>
      <c r="K742" s="551"/>
      <c r="L742" s="551"/>
      <c r="M742" s="551"/>
      <c r="N742" s="551"/>
      <c r="O742" s="551"/>
      <c r="P742" s="551"/>
      <c r="Q742" s="551"/>
      <c r="R742" s="551"/>
      <c r="S742" s="551"/>
      <c r="T742" s="551"/>
      <c r="U742" s="551"/>
      <c r="V742" s="551"/>
      <c r="W742" s="551"/>
      <c r="X742" s="551"/>
      <c r="Y742" s="551"/>
      <c r="Z742" s="551"/>
      <c r="AA742" s="551"/>
      <c r="AB742" s="551"/>
      <c r="AC742" s="551"/>
      <c r="AD742" s="551"/>
      <c r="AE742" s="551"/>
      <c r="AF742" s="551"/>
      <c r="AG742" s="551"/>
      <c r="AH742" s="551"/>
      <c r="AI742" s="551"/>
      <c r="AJ742" s="551"/>
      <c r="AK742" s="551"/>
      <c r="AL742" s="551"/>
      <c r="AM742" s="551"/>
      <c r="AN742" s="551"/>
      <c r="AO742" s="551"/>
      <c r="AP742" s="551"/>
      <c r="AQ742" s="551"/>
      <c r="AR742" s="551"/>
      <c r="AS742" s="551"/>
      <c r="AT742" s="551"/>
      <c r="AU742" s="551"/>
      <c r="AV742" s="551"/>
      <c r="AW742" s="551"/>
      <c r="AX742" s="551"/>
      <c r="AY742" s="551"/>
      <c r="AZ742" s="551"/>
      <c r="BA742" s="551"/>
      <c r="BB742" s="551"/>
      <c r="BC742" s="551"/>
      <c r="BD742" s="551"/>
      <c r="BE742" s="551"/>
      <c r="BF742" s="551"/>
      <c r="BG742" s="551"/>
      <c r="BH742" s="551"/>
      <c r="BI742" s="551"/>
      <c r="BJ742" s="551"/>
    </row>
    <row r="743" spans="1:62" ht="12.75" customHeight="1">
      <c r="A743" s="551"/>
      <c r="B743" s="551"/>
      <c r="C743" s="551"/>
      <c r="D743" s="551"/>
      <c r="E743" s="551"/>
      <c r="F743" s="551"/>
      <c r="G743" s="551"/>
      <c r="H743" s="551"/>
      <c r="I743" s="551"/>
      <c r="J743" s="551"/>
      <c r="K743" s="551"/>
      <c r="L743" s="551"/>
      <c r="M743" s="551"/>
      <c r="N743" s="551"/>
      <c r="O743" s="551"/>
      <c r="P743" s="551"/>
      <c r="Q743" s="551"/>
      <c r="R743" s="551"/>
      <c r="S743" s="551"/>
      <c r="T743" s="551"/>
      <c r="U743" s="551"/>
      <c r="V743" s="551"/>
      <c r="W743" s="551"/>
      <c r="X743" s="551"/>
      <c r="Y743" s="551"/>
      <c r="Z743" s="551"/>
      <c r="AA743" s="551"/>
      <c r="AB743" s="551"/>
      <c r="AC743" s="551"/>
      <c r="AD743" s="551"/>
      <c r="AE743" s="551"/>
      <c r="AF743" s="551"/>
      <c r="AG743" s="551"/>
      <c r="AH743" s="551"/>
      <c r="AI743" s="551"/>
      <c r="AJ743" s="551"/>
      <c r="AK743" s="551"/>
      <c r="AL743" s="551"/>
      <c r="AM743" s="551"/>
      <c r="AN743" s="551"/>
      <c r="AO743" s="551"/>
      <c r="AP743" s="551"/>
      <c r="AQ743" s="551"/>
      <c r="AR743" s="551"/>
      <c r="AS743" s="551"/>
      <c r="AT743" s="551"/>
      <c r="AU743" s="551"/>
      <c r="AV743" s="551"/>
      <c r="AW743" s="551"/>
      <c r="AX743" s="551"/>
      <c r="AY743" s="551"/>
      <c r="AZ743" s="551"/>
      <c r="BA743" s="551"/>
      <c r="BB743" s="551"/>
      <c r="BC743" s="551"/>
      <c r="BD743" s="551"/>
      <c r="BE743" s="551"/>
      <c r="BF743" s="551"/>
      <c r="BG743" s="551"/>
      <c r="BH743" s="551"/>
      <c r="BI743" s="551"/>
      <c r="BJ743" s="551"/>
    </row>
    <row r="744" spans="1:62" ht="12.75" customHeight="1">
      <c r="A744" s="551"/>
      <c r="B744" s="551"/>
      <c r="C744" s="551"/>
      <c r="D744" s="551"/>
      <c r="E744" s="551"/>
      <c r="F744" s="551"/>
      <c r="G744" s="551"/>
      <c r="H744" s="551"/>
      <c r="I744" s="551"/>
      <c r="J744" s="551"/>
      <c r="K744" s="551"/>
      <c r="L744" s="551"/>
      <c r="M744" s="551"/>
      <c r="N744" s="551"/>
      <c r="O744" s="551"/>
      <c r="P744" s="551"/>
      <c r="Q744" s="551"/>
      <c r="R744" s="551"/>
      <c r="S744" s="551"/>
      <c r="T744" s="551"/>
      <c r="U744" s="551"/>
      <c r="V744" s="551"/>
      <c r="W744" s="551"/>
      <c r="X744" s="551"/>
      <c r="Y744" s="551"/>
      <c r="Z744" s="551"/>
      <c r="AA744" s="551"/>
      <c r="AB744" s="551"/>
      <c r="AC744" s="551"/>
      <c r="AD744" s="551"/>
      <c r="AE744" s="551"/>
      <c r="AF744" s="551"/>
      <c r="AG744" s="551"/>
      <c r="AH744" s="551"/>
      <c r="AI744" s="551"/>
      <c r="AJ744" s="551"/>
      <c r="AK744" s="551"/>
      <c r="AL744" s="551"/>
      <c r="AM744" s="551"/>
      <c r="AN744" s="551"/>
      <c r="AO744" s="551"/>
      <c r="AP744" s="551"/>
      <c r="AQ744" s="551"/>
      <c r="AR744" s="551"/>
      <c r="AS744" s="551"/>
      <c r="AT744" s="551"/>
      <c r="AU744" s="551"/>
      <c r="AV744" s="551"/>
      <c r="AW744" s="551"/>
      <c r="AX744" s="551"/>
      <c r="AY744" s="551"/>
      <c r="AZ744" s="551"/>
      <c r="BA744" s="551"/>
      <c r="BB744" s="551"/>
      <c r="BC744" s="551"/>
      <c r="BD744" s="551"/>
      <c r="BE744" s="551"/>
      <c r="BF744" s="551"/>
      <c r="BG744" s="551"/>
      <c r="BH744" s="551"/>
      <c r="BI744" s="551"/>
      <c r="BJ744" s="551"/>
    </row>
    <row r="745" spans="1:62" ht="12.75" customHeight="1">
      <c r="A745" s="551"/>
      <c r="B745" s="551"/>
      <c r="C745" s="551"/>
      <c r="D745" s="551"/>
      <c r="E745" s="551"/>
      <c r="F745" s="551"/>
      <c r="G745" s="551"/>
      <c r="H745" s="551"/>
      <c r="I745" s="551"/>
      <c r="J745" s="551"/>
      <c r="K745" s="551"/>
      <c r="L745" s="551"/>
      <c r="M745" s="551"/>
      <c r="N745" s="551"/>
      <c r="O745" s="551"/>
      <c r="P745" s="551"/>
      <c r="Q745" s="551"/>
      <c r="R745" s="551"/>
      <c r="S745" s="551"/>
      <c r="T745" s="551"/>
      <c r="U745" s="551"/>
      <c r="V745" s="551"/>
      <c r="W745" s="551"/>
      <c r="X745" s="551"/>
      <c r="Y745" s="551"/>
      <c r="Z745" s="551"/>
      <c r="AA745" s="551"/>
      <c r="AB745" s="551"/>
      <c r="AC745" s="551"/>
      <c r="AD745" s="551"/>
      <c r="AE745" s="551"/>
      <c r="AF745" s="551"/>
      <c r="AG745" s="551"/>
      <c r="AH745" s="551"/>
      <c r="AI745" s="551"/>
      <c r="AJ745" s="551"/>
      <c r="AK745" s="551"/>
      <c r="AL745" s="551"/>
      <c r="AM745" s="551"/>
      <c r="AN745" s="551"/>
      <c r="AO745" s="551"/>
      <c r="AP745" s="551"/>
      <c r="AQ745" s="551"/>
      <c r="AR745" s="551"/>
      <c r="AS745" s="551"/>
      <c r="AT745" s="551"/>
      <c r="AU745" s="551"/>
      <c r="AV745" s="551"/>
      <c r="AW745" s="551"/>
      <c r="AX745" s="551"/>
      <c r="AY745" s="551"/>
      <c r="AZ745" s="551"/>
      <c r="BA745" s="551"/>
      <c r="BB745" s="551"/>
      <c r="BC745" s="551"/>
      <c r="BD745" s="551"/>
      <c r="BE745" s="551"/>
      <c r="BF745" s="551"/>
      <c r="BG745" s="551"/>
      <c r="BH745" s="551"/>
      <c r="BI745" s="551"/>
      <c r="BJ745" s="551"/>
    </row>
    <row r="746" spans="1:62" ht="12.75" customHeight="1">
      <c r="A746" s="551"/>
      <c r="B746" s="551"/>
      <c r="C746" s="551"/>
      <c r="D746" s="551"/>
      <c r="E746" s="551"/>
      <c r="F746" s="551"/>
      <c r="G746" s="551"/>
      <c r="H746" s="551"/>
      <c r="I746" s="551"/>
      <c r="J746" s="551"/>
      <c r="K746" s="551"/>
      <c r="L746" s="551"/>
      <c r="M746" s="551"/>
      <c r="N746" s="551"/>
      <c r="O746" s="551"/>
      <c r="P746" s="551"/>
      <c r="Q746" s="551"/>
      <c r="R746" s="551"/>
      <c r="S746" s="551"/>
      <c r="T746" s="551"/>
      <c r="U746" s="551"/>
      <c r="V746" s="551"/>
      <c r="W746" s="551"/>
      <c r="X746" s="551"/>
      <c r="Y746" s="551"/>
      <c r="Z746" s="551"/>
      <c r="AA746" s="551"/>
      <c r="AB746" s="551"/>
      <c r="AC746" s="551"/>
      <c r="AD746" s="551"/>
      <c r="AE746" s="551"/>
      <c r="AF746" s="551"/>
      <c r="AG746" s="551"/>
      <c r="AH746" s="551"/>
      <c r="AI746" s="551"/>
      <c r="AJ746" s="551"/>
      <c r="AK746" s="551"/>
      <c r="AL746" s="551"/>
      <c r="AM746" s="551"/>
      <c r="AN746" s="551"/>
      <c r="AO746" s="551"/>
      <c r="AP746" s="551"/>
      <c r="AQ746" s="551"/>
      <c r="AR746" s="551"/>
      <c r="AS746" s="551"/>
      <c r="AT746" s="551"/>
      <c r="AU746" s="551"/>
      <c r="AV746" s="551"/>
      <c r="AW746" s="551"/>
      <c r="AX746" s="551"/>
      <c r="AY746" s="551"/>
      <c r="AZ746" s="551"/>
      <c r="BA746" s="551"/>
      <c r="BB746" s="551"/>
      <c r="BC746" s="551"/>
      <c r="BD746" s="551"/>
      <c r="BE746" s="551"/>
      <c r="BF746" s="551"/>
      <c r="BG746" s="551"/>
      <c r="BH746" s="551"/>
      <c r="BI746" s="551"/>
      <c r="BJ746" s="551"/>
    </row>
    <row r="747" spans="1:62" ht="12.75" customHeight="1">
      <c r="A747" s="551"/>
      <c r="B747" s="551"/>
      <c r="C747" s="551"/>
      <c r="D747" s="551"/>
      <c r="E747" s="551"/>
      <c r="F747" s="551"/>
      <c r="G747" s="551"/>
      <c r="H747" s="551"/>
      <c r="I747" s="551"/>
      <c r="J747" s="551"/>
      <c r="K747" s="551"/>
      <c r="L747" s="551"/>
      <c r="M747" s="551"/>
      <c r="N747" s="551"/>
      <c r="O747" s="551"/>
      <c r="P747" s="551"/>
      <c r="Q747" s="551"/>
      <c r="R747" s="551"/>
      <c r="S747" s="551"/>
      <c r="T747" s="551"/>
      <c r="U747" s="551"/>
      <c r="V747" s="551"/>
      <c r="W747" s="551"/>
      <c r="X747" s="551"/>
      <c r="Y747" s="551"/>
      <c r="Z747" s="551"/>
      <c r="AA747" s="551"/>
      <c r="AB747" s="551"/>
      <c r="AC747" s="551"/>
      <c r="AD747" s="551"/>
      <c r="AE747" s="551"/>
      <c r="AF747" s="551"/>
      <c r="AG747" s="551"/>
      <c r="AH747" s="551"/>
      <c r="AI747" s="551"/>
      <c r="AJ747" s="551"/>
      <c r="AK747" s="551"/>
      <c r="AL747" s="551"/>
      <c r="AM747" s="551"/>
      <c r="AN747" s="551"/>
      <c r="AO747" s="551"/>
      <c r="AP747" s="551"/>
      <c r="AQ747" s="551"/>
      <c r="AR747" s="551"/>
      <c r="AS747" s="551"/>
      <c r="AT747" s="551"/>
      <c r="AU747" s="551"/>
      <c r="AV747" s="551"/>
      <c r="AW747" s="551"/>
      <c r="AX747" s="551"/>
      <c r="AY747" s="551"/>
      <c r="AZ747" s="551"/>
      <c r="BA747" s="551"/>
      <c r="BB747" s="551"/>
      <c r="BC747" s="551"/>
      <c r="BD747" s="551"/>
      <c r="BE747" s="551"/>
      <c r="BF747" s="551"/>
      <c r="BG747" s="551"/>
      <c r="BH747" s="551"/>
      <c r="BI747" s="551"/>
      <c r="BJ747" s="551"/>
    </row>
    <row r="748" spans="1:62" ht="12.75" customHeight="1">
      <c r="A748" s="551"/>
      <c r="B748" s="551"/>
      <c r="C748" s="551"/>
      <c r="D748" s="551"/>
      <c r="E748" s="551"/>
      <c r="F748" s="551"/>
      <c r="G748" s="551"/>
      <c r="H748" s="551"/>
      <c r="I748" s="551"/>
      <c r="J748" s="551"/>
      <c r="K748" s="551"/>
      <c r="L748" s="551"/>
      <c r="M748" s="551"/>
      <c r="N748" s="551"/>
      <c r="O748" s="551"/>
      <c r="P748" s="551"/>
      <c r="Q748" s="551"/>
      <c r="R748" s="551"/>
      <c r="S748" s="551"/>
      <c r="T748" s="551"/>
      <c r="U748" s="551"/>
      <c r="V748" s="551"/>
      <c r="W748" s="551"/>
      <c r="X748" s="551"/>
      <c r="Y748" s="551"/>
      <c r="Z748" s="551"/>
      <c r="AA748" s="551"/>
      <c r="AB748" s="551"/>
      <c r="AC748" s="551"/>
      <c r="AD748" s="551"/>
      <c r="AE748" s="551"/>
      <c r="AF748" s="551"/>
      <c r="AG748" s="551"/>
      <c r="AH748" s="551"/>
      <c r="AI748" s="551"/>
      <c r="AJ748" s="551"/>
      <c r="AK748" s="551"/>
      <c r="AL748" s="551"/>
      <c r="AM748" s="551"/>
      <c r="AN748" s="551"/>
      <c r="AO748" s="551"/>
      <c r="AP748" s="551"/>
      <c r="AQ748" s="551"/>
      <c r="AR748" s="551"/>
      <c r="AS748" s="551"/>
      <c r="AT748" s="551"/>
      <c r="AU748" s="551"/>
      <c r="AV748" s="551"/>
      <c r="AW748" s="551"/>
      <c r="AX748" s="551"/>
      <c r="AY748" s="551"/>
      <c r="AZ748" s="551"/>
      <c r="BA748" s="551"/>
      <c r="BB748" s="551"/>
      <c r="BC748" s="551"/>
      <c r="BD748" s="551"/>
      <c r="BE748" s="551"/>
      <c r="BF748" s="551"/>
      <c r="BG748" s="551"/>
      <c r="BH748" s="551"/>
      <c r="BI748" s="551"/>
      <c r="BJ748" s="551"/>
    </row>
    <row r="749" spans="1:62" ht="12.75" customHeight="1">
      <c r="A749" s="551"/>
      <c r="B749" s="551"/>
      <c r="C749" s="551"/>
      <c r="D749" s="551"/>
      <c r="E749" s="551"/>
      <c r="F749" s="551"/>
      <c r="G749" s="551"/>
      <c r="H749" s="551"/>
      <c r="I749" s="551"/>
      <c r="J749" s="551"/>
      <c r="K749" s="551"/>
      <c r="L749" s="551"/>
      <c r="M749" s="551"/>
      <c r="N749" s="551"/>
      <c r="O749" s="551"/>
      <c r="P749" s="551"/>
      <c r="Q749" s="551"/>
      <c r="R749" s="551"/>
      <c r="S749" s="551"/>
      <c r="T749" s="551"/>
      <c r="U749" s="551"/>
      <c r="V749" s="551"/>
      <c r="W749" s="551"/>
      <c r="X749" s="551"/>
      <c r="Y749" s="551"/>
      <c r="Z749" s="551"/>
      <c r="AA749" s="551"/>
      <c r="AB749" s="551"/>
      <c r="AC749" s="551"/>
      <c r="AD749" s="551"/>
      <c r="AE749" s="551"/>
      <c r="AF749" s="551"/>
      <c r="AG749" s="551"/>
      <c r="AH749" s="551"/>
      <c r="AI749" s="551"/>
      <c r="AJ749" s="551"/>
      <c r="AK749" s="551"/>
      <c r="AL749" s="551"/>
      <c r="AM749" s="551"/>
      <c r="AN749" s="551"/>
      <c r="AO749" s="551"/>
      <c r="AP749" s="551"/>
      <c r="AQ749" s="551"/>
      <c r="AR749" s="551"/>
      <c r="AS749" s="551"/>
      <c r="AT749" s="551"/>
      <c r="AU749" s="551"/>
      <c r="AV749" s="551"/>
      <c r="AW749" s="551"/>
      <c r="AX749" s="551"/>
      <c r="AY749" s="551"/>
      <c r="AZ749" s="551"/>
      <c r="BA749" s="551"/>
      <c r="BB749" s="551"/>
      <c r="BC749" s="551"/>
      <c r="BD749" s="551"/>
      <c r="BE749" s="551"/>
      <c r="BF749" s="551"/>
      <c r="BG749" s="551"/>
      <c r="BH749" s="551"/>
      <c r="BI749" s="551"/>
      <c r="BJ749" s="551"/>
    </row>
    <row r="750" spans="1:62" ht="12.75" customHeight="1">
      <c r="A750" s="551"/>
      <c r="B750" s="551"/>
      <c r="C750" s="551"/>
      <c r="D750" s="551"/>
      <c r="E750" s="551"/>
      <c r="F750" s="551"/>
      <c r="G750" s="551"/>
      <c r="H750" s="551"/>
      <c r="I750" s="551"/>
      <c r="J750" s="551"/>
      <c r="K750" s="551"/>
      <c r="L750" s="551"/>
      <c r="M750" s="551"/>
      <c r="N750" s="551"/>
      <c r="O750" s="551"/>
      <c r="P750" s="551"/>
      <c r="Q750" s="551"/>
      <c r="R750" s="551"/>
      <c r="S750" s="551"/>
      <c r="T750" s="551"/>
      <c r="U750" s="551"/>
      <c r="V750" s="551"/>
      <c r="W750" s="551"/>
      <c r="X750" s="551"/>
      <c r="Y750" s="551"/>
      <c r="Z750" s="551"/>
      <c r="AA750" s="551"/>
      <c r="AB750" s="551"/>
      <c r="AC750" s="551"/>
      <c r="AD750" s="551"/>
      <c r="AE750" s="551"/>
      <c r="AF750" s="551"/>
      <c r="AG750" s="551"/>
      <c r="AH750" s="551"/>
      <c r="AI750" s="551"/>
      <c r="AJ750" s="551"/>
      <c r="AK750" s="551"/>
      <c r="AL750" s="551"/>
      <c r="AM750" s="551"/>
      <c r="AN750" s="551"/>
      <c r="AO750" s="551"/>
      <c r="AP750" s="551"/>
      <c r="AQ750" s="551"/>
      <c r="AR750" s="551"/>
      <c r="AS750" s="551"/>
      <c r="AT750" s="551"/>
      <c r="AU750" s="551"/>
      <c r="AV750" s="551"/>
      <c r="AW750" s="551"/>
      <c r="AX750" s="551"/>
      <c r="AY750" s="551"/>
      <c r="AZ750" s="551"/>
      <c r="BA750" s="551"/>
      <c r="BB750" s="551"/>
      <c r="BC750" s="551"/>
      <c r="BD750" s="551"/>
      <c r="BE750" s="551"/>
      <c r="BF750" s="551"/>
      <c r="BG750" s="551"/>
      <c r="BH750" s="551"/>
      <c r="BI750" s="551"/>
      <c r="BJ750" s="551"/>
    </row>
    <row r="751" spans="1:62" ht="12.75" customHeight="1">
      <c r="A751" s="551"/>
      <c r="B751" s="551"/>
      <c r="C751" s="551"/>
      <c r="D751" s="551"/>
      <c r="E751" s="551"/>
      <c r="F751" s="551"/>
      <c r="G751" s="551"/>
      <c r="H751" s="551"/>
      <c r="I751" s="551"/>
      <c r="J751" s="551"/>
      <c r="K751" s="551"/>
      <c r="L751" s="551"/>
      <c r="M751" s="551"/>
      <c r="N751" s="551"/>
      <c r="O751" s="551"/>
      <c r="P751" s="551"/>
      <c r="Q751" s="551"/>
      <c r="R751" s="551"/>
      <c r="S751" s="551"/>
      <c r="T751" s="551"/>
      <c r="U751" s="551"/>
      <c r="V751" s="551"/>
      <c r="W751" s="551"/>
      <c r="X751" s="551"/>
      <c r="Y751" s="551"/>
      <c r="Z751" s="551"/>
      <c r="AA751" s="551"/>
      <c r="AB751" s="551"/>
      <c r="AC751" s="551"/>
      <c r="AD751" s="551"/>
      <c r="AE751" s="551"/>
      <c r="AF751" s="551"/>
      <c r="AG751" s="551"/>
      <c r="AH751" s="551"/>
      <c r="AI751" s="551"/>
      <c r="AJ751" s="551"/>
      <c r="AK751" s="551"/>
      <c r="AL751" s="551"/>
      <c r="AM751" s="551"/>
      <c r="AN751" s="551"/>
      <c r="AO751" s="551"/>
      <c r="AP751" s="551"/>
      <c r="AQ751" s="551"/>
      <c r="AR751" s="551"/>
      <c r="AS751" s="551"/>
      <c r="AT751" s="551"/>
      <c r="AU751" s="551"/>
      <c r="AV751" s="551"/>
      <c r="AW751" s="551"/>
      <c r="AX751" s="551"/>
      <c r="AY751" s="551"/>
      <c r="AZ751" s="551"/>
      <c r="BA751" s="551"/>
      <c r="BB751" s="551"/>
      <c r="BC751" s="551"/>
      <c r="BD751" s="551"/>
      <c r="BE751" s="551"/>
      <c r="BF751" s="551"/>
      <c r="BG751" s="551"/>
      <c r="BH751" s="551"/>
      <c r="BI751" s="551"/>
      <c r="BJ751" s="551"/>
    </row>
    <row r="752" spans="1:62" ht="12.75" customHeight="1">
      <c r="A752" s="551"/>
      <c r="B752" s="551"/>
      <c r="C752" s="551"/>
      <c r="D752" s="551"/>
      <c r="E752" s="551"/>
      <c r="F752" s="551"/>
      <c r="G752" s="551"/>
      <c r="H752" s="551"/>
      <c r="I752" s="551"/>
      <c r="J752" s="551"/>
      <c r="K752" s="551"/>
      <c r="L752" s="551"/>
      <c r="M752" s="551"/>
      <c r="N752" s="551"/>
      <c r="O752" s="551"/>
      <c r="P752" s="551"/>
      <c r="Q752" s="551"/>
      <c r="R752" s="551"/>
      <c r="S752" s="551"/>
      <c r="T752" s="551"/>
      <c r="U752" s="551"/>
      <c r="V752" s="551"/>
      <c r="W752" s="551"/>
      <c r="X752" s="551"/>
      <c r="Y752" s="551"/>
      <c r="Z752" s="551"/>
      <c r="AA752" s="551"/>
      <c r="AB752" s="551"/>
      <c r="AC752" s="551"/>
      <c r="AD752" s="551"/>
      <c r="AE752" s="551"/>
      <c r="AF752" s="551"/>
      <c r="AG752" s="551"/>
      <c r="AH752" s="551"/>
      <c r="AI752" s="551"/>
      <c r="AJ752" s="551"/>
      <c r="AK752" s="551"/>
      <c r="AL752" s="551"/>
      <c r="AM752" s="551"/>
      <c r="AN752" s="551"/>
      <c r="AO752" s="551"/>
      <c r="AP752" s="551"/>
      <c r="AQ752" s="551"/>
      <c r="AR752" s="551"/>
      <c r="AS752" s="551"/>
      <c r="AT752" s="551"/>
      <c r="AU752" s="551"/>
      <c r="AV752" s="551"/>
      <c r="AW752" s="551"/>
      <c r="AX752" s="551"/>
      <c r="AY752" s="551"/>
      <c r="AZ752" s="551"/>
      <c r="BA752" s="551"/>
      <c r="BB752" s="551"/>
      <c r="BC752" s="551"/>
      <c r="BD752" s="551"/>
      <c r="BE752" s="551"/>
      <c r="BF752" s="551"/>
      <c r="BG752" s="551"/>
      <c r="BH752" s="551"/>
      <c r="BI752" s="551"/>
      <c r="BJ752" s="551"/>
    </row>
    <row r="753" spans="1:62" ht="12.75" customHeight="1">
      <c r="A753" s="551"/>
      <c r="B753" s="551"/>
      <c r="C753" s="551"/>
      <c r="D753" s="551"/>
      <c r="E753" s="551"/>
      <c r="F753" s="551"/>
      <c r="G753" s="551"/>
      <c r="H753" s="551"/>
      <c r="I753" s="551"/>
      <c r="J753" s="551"/>
      <c r="K753" s="551"/>
      <c r="L753" s="551"/>
      <c r="M753" s="551"/>
      <c r="N753" s="551"/>
      <c r="O753" s="551"/>
      <c r="P753" s="551"/>
      <c r="Q753" s="551"/>
      <c r="R753" s="551"/>
      <c r="S753" s="551"/>
      <c r="T753" s="551"/>
      <c r="U753" s="551"/>
      <c r="V753" s="551"/>
      <c r="W753" s="551"/>
      <c r="X753" s="551"/>
      <c r="Y753" s="551"/>
      <c r="Z753" s="551"/>
      <c r="AA753" s="551"/>
      <c r="AB753" s="551"/>
      <c r="AC753" s="551"/>
      <c r="AD753" s="551"/>
      <c r="AE753" s="551"/>
      <c r="AF753" s="551"/>
      <c r="AG753" s="551"/>
      <c r="AH753" s="551"/>
      <c r="AI753" s="551"/>
      <c r="AJ753" s="551"/>
      <c r="AK753" s="551"/>
      <c r="AL753" s="551"/>
      <c r="AM753" s="551"/>
      <c r="AN753" s="551"/>
      <c r="AO753" s="551"/>
      <c r="AP753" s="551"/>
      <c r="AQ753" s="551"/>
      <c r="AR753" s="551"/>
      <c r="AS753" s="551"/>
      <c r="AT753" s="551"/>
      <c r="AU753" s="551"/>
      <c r="AV753" s="551"/>
      <c r="AW753" s="551"/>
      <c r="AX753" s="551"/>
      <c r="AY753" s="551"/>
      <c r="AZ753" s="551"/>
      <c r="BA753" s="551"/>
      <c r="BB753" s="551"/>
      <c r="BC753" s="551"/>
      <c r="BD753" s="551"/>
      <c r="BE753" s="551"/>
      <c r="BF753" s="551"/>
      <c r="BG753" s="551"/>
      <c r="BH753" s="551"/>
      <c r="BI753" s="551"/>
      <c r="BJ753" s="551"/>
    </row>
    <row r="754" spans="1:62" ht="12.75" customHeight="1">
      <c r="A754" s="551"/>
      <c r="B754" s="551"/>
      <c r="C754" s="551"/>
      <c r="D754" s="551"/>
      <c r="E754" s="551"/>
      <c r="F754" s="551"/>
      <c r="G754" s="551"/>
      <c r="H754" s="551"/>
      <c r="I754" s="551"/>
      <c r="J754" s="551"/>
      <c r="K754" s="551"/>
      <c r="L754" s="551"/>
      <c r="M754" s="551"/>
      <c r="N754" s="551"/>
      <c r="O754" s="551"/>
      <c r="P754" s="551"/>
      <c r="Q754" s="551"/>
      <c r="R754" s="551"/>
      <c r="S754" s="551"/>
      <c r="T754" s="551"/>
      <c r="U754" s="551"/>
      <c r="V754" s="551"/>
      <c r="W754" s="551"/>
      <c r="X754" s="551"/>
      <c r="Y754" s="551"/>
      <c r="Z754" s="551"/>
      <c r="AA754" s="551"/>
      <c r="AB754" s="551"/>
      <c r="AC754" s="551"/>
      <c r="AD754" s="551"/>
      <c r="AE754" s="551"/>
      <c r="AF754" s="551"/>
      <c r="AG754" s="551"/>
      <c r="AH754" s="551"/>
      <c r="AI754" s="551"/>
      <c r="AJ754" s="551"/>
      <c r="AK754" s="551"/>
      <c r="AL754" s="551"/>
      <c r="AM754" s="551"/>
      <c r="AN754" s="551"/>
      <c r="AO754" s="551"/>
      <c r="AP754" s="551"/>
      <c r="AQ754" s="551"/>
      <c r="AR754" s="551"/>
      <c r="AS754" s="551"/>
      <c r="AT754" s="551"/>
      <c r="AU754" s="551"/>
      <c r="AV754" s="551"/>
      <c r="AW754" s="551"/>
      <c r="AX754" s="551"/>
      <c r="AY754" s="551"/>
      <c r="AZ754" s="551"/>
      <c r="BA754" s="551"/>
      <c r="BB754" s="551"/>
      <c r="BC754" s="551"/>
      <c r="BD754" s="551"/>
      <c r="BE754" s="551"/>
      <c r="BF754" s="551"/>
      <c r="BG754" s="551"/>
      <c r="BH754" s="551"/>
      <c r="BI754" s="551"/>
      <c r="BJ754" s="551"/>
    </row>
    <row r="755" spans="1:62" ht="12.75" customHeight="1">
      <c r="A755" s="551"/>
      <c r="B755" s="551"/>
      <c r="C755" s="551"/>
      <c r="D755" s="551"/>
      <c r="E755" s="551"/>
      <c r="F755" s="551"/>
      <c r="G755" s="551"/>
      <c r="H755" s="551"/>
      <c r="I755" s="551"/>
      <c r="J755" s="551"/>
      <c r="K755" s="551"/>
      <c r="L755" s="551"/>
      <c r="M755" s="551"/>
      <c r="N755" s="551"/>
      <c r="O755" s="551"/>
      <c r="P755" s="551"/>
      <c r="Q755" s="551"/>
      <c r="R755" s="551"/>
      <c r="S755" s="551"/>
      <c r="T755" s="551"/>
      <c r="U755" s="551"/>
      <c r="V755" s="551"/>
      <c r="W755" s="551"/>
      <c r="X755" s="551"/>
      <c r="Y755" s="551"/>
      <c r="Z755" s="551"/>
      <c r="AA755" s="551"/>
      <c r="AB755" s="551"/>
      <c r="AC755" s="551"/>
      <c r="AD755" s="551"/>
      <c r="AE755" s="551"/>
      <c r="AF755" s="551"/>
      <c r="AG755" s="551"/>
      <c r="AH755" s="551"/>
      <c r="AI755" s="551"/>
      <c r="AJ755" s="551"/>
      <c r="AK755" s="551"/>
      <c r="AL755" s="551"/>
      <c r="AM755" s="551"/>
      <c r="AN755" s="551"/>
      <c r="AO755" s="551"/>
      <c r="AP755" s="551"/>
      <c r="AQ755" s="551"/>
      <c r="AR755" s="551"/>
      <c r="AS755" s="551"/>
      <c r="AT755" s="551"/>
      <c r="AU755" s="551"/>
      <c r="AV755" s="551"/>
      <c r="AW755" s="551"/>
      <c r="AX755" s="551"/>
      <c r="AY755" s="551"/>
      <c r="AZ755" s="551"/>
      <c r="BA755" s="551"/>
      <c r="BB755" s="551"/>
      <c r="BC755" s="551"/>
      <c r="BD755" s="551"/>
      <c r="BE755" s="551"/>
      <c r="BF755" s="551"/>
      <c r="BG755" s="551"/>
      <c r="BH755" s="551"/>
      <c r="BI755" s="551"/>
      <c r="BJ755" s="551"/>
    </row>
    <row r="756" spans="1:62" ht="12.75" customHeight="1">
      <c r="A756" s="551"/>
      <c r="B756" s="551"/>
      <c r="C756" s="551"/>
      <c r="D756" s="551"/>
      <c r="E756" s="551"/>
      <c r="F756" s="551"/>
      <c r="G756" s="551"/>
      <c r="H756" s="551"/>
      <c r="I756" s="551"/>
      <c r="J756" s="551"/>
      <c r="K756" s="551"/>
      <c r="L756" s="551"/>
      <c r="M756" s="551"/>
      <c r="N756" s="551"/>
      <c r="O756" s="551"/>
      <c r="P756" s="551"/>
      <c r="Q756" s="551"/>
      <c r="R756" s="551"/>
      <c r="S756" s="551"/>
      <c r="T756" s="551"/>
      <c r="U756" s="551"/>
      <c r="V756" s="551"/>
      <c r="W756" s="551"/>
      <c r="X756" s="551"/>
      <c r="Y756" s="551"/>
      <c r="Z756" s="551"/>
      <c r="AA756" s="551"/>
      <c r="AB756" s="551"/>
      <c r="AC756" s="551"/>
      <c r="AD756" s="551"/>
      <c r="AE756" s="551"/>
      <c r="AF756" s="551"/>
      <c r="AG756" s="551"/>
      <c r="AH756" s="551"/>
      <c r="AI756" s="551"/>
      <c r="AJ756" s="551"/>
      <c r="AK756" s="551"/>
      <c r="AL756" s="551"/>
      <c r="AM756" s="551"/>
      <c r="AN756" s="551"/>
      <c r="AO756" s="551"/>
      <c r="AP756" s="551"/>
      <c r="AQ756" s="551"/>
      <c r="AR756" s="551"/>
      <c r="AS756" s="551"/>
      <c r="AT756" s="551"/>
      <c r="AU756" s="551"/>
      <c r="AV756" s="551"/>
      <c r="AW756" s="551"/>
      <c r="AX756" s="551"/>
      <c r="AY756" s="551"/>
      <c r="AZ756" s="551"/>
      <c r="BA756" s="551"/>
      <c r="BB756" s="551"/>
      <c r="BC756" s="551"/>
      <c r="BD756" s="551"/>
      <c r="BE756" s="551"/>
      <c r="BF756" s="551"/>
      <c r="BG756" s="551"/>
      <c r="BH756" s="551"/>
      <c r="BI756" s="551"/>
      <c r="BJ756" s="551"/>
    </row>
    <row r="757" spans="1:62" ht="12.75" customHeight="1">
      <c r="A757" s="551"/>
      <c r="B757" s="551"/>
      <c r="C757" s="551"/>
      <c r="D757" s="551"/>
      <c r="E757" s="551"/>
      <c r="F757" s="551"/>
      <c r="G757" s="551"/>
      <c r="H757" s="551"/>
      <c r="I757" s="551"/>
      <c r="J757" s="551"/>
      <c r="K757" s="551"/>
      <c r="L757" s="551"/>
      <c r="M757" s="551"/>
      <c r="N757" s="551"/>
      <c r="O757" s="551"/>
      <c r="P757" s="551"/>
      <c r="Q757" s="551"/>
      <c r="R757" s="551"/>
      <c r="S757" s="551"/>
      <c r="T757" s="551"/>
      <c r="U757" s="551"/>
      <c r="V757" s="551"/>
      <c r="W757" s="551"/>
      <c r="X757" s="551"/>
      <c r="Y757" s="551"/>
      <c r="Z757" s="551"/>
      <c r="AA757" s="551"/>
      <c r="AB757" s="551"/>
      <c r="AC757" s="551"/>
      <c r="AD757" s="551"/>
      <c r="AE757" s="551"/>
      <c r="AF757" s="551"/>
      <c r="AG757" s="551"/>
      <c r="AH757" s="551"/>
      <c r="AI757" s="551"/>
      <c r="AJ757" s="551"/>
      <c r="AK757" s="551"/>
      <c r="AL757" s="551"/>
      <c r="AM757" s="551"/>
      <c r="AN757" s="551"/>
      <c r="AO757" s="551"/>
      <c r="AP757" s="551"/>
      <c r="AQ757" s="551"/>
      <c r="AR757" s="551"/>
      <c r="AS757" s="551"/>
      <c r="AT757" s="551"/>
      <c r="AU757" s="551"/>
      <c r="AV757" s="551"/>
      <c r="AW757" s="551"/>
      <c r="AX757" s="551"/>
      <c r="AY757" s="551"/>
      <c r="AZ757" s="551"/>
      <c r="BA757" s="551"/>
      <c r="BB757" s="551"/>
      <c r="BC757" s="551"/>
      <c r="BD757" s="551"/>
      <c r="BE757" s="551"/>
      <c r="BF757" s="551"/>
      <c r="BG757" s="551"/>
      <c r="BH757" s="551"/>
      <c r="BI757" s="551"/>
      <c r="BJ757" s="551"/>
    </row>
    <row r="758" spans="1:62" ht="12.75" customHeight="1">
      <c r="A758" s="551"/>
      <c r="B758" s="551"/>
      <c r="C758" s="551"/>
      <c r="D758" s="551"/>
      <c r="E758" s="551"/>
      <c r="F758" s="551"/>
      <c r="G758" s="551"/>
      <c r="H758" s="551"/>
      <c r="I758" s="551"/>
      <c r="J758" s="551"/>
      <c r="K758" s="551"/>
      <c r="L758" s="551"/>
      <c r="M758" s="551"/>
      <c r="N758" s="551"/>
      <c r="O758" s="551"/>
      <c r="P758" s="551"/>
      <c r="Q758" s="551"/>
      <c r="R758" s="551"/>
      <c r="S758" s="551"/>
      <c r="T758" s="551"/>
      <c r="U758" s="551"/>
      <c r="V758" s="551"/>
      <c r="W758" s="551"/>
      <c r="X758" s="551"/>
      <c r="Y758" s="551"/>
      <c r="Z758" s="551"/>
      <c r="AA758" s="551"/>
      <c r="AB758" s="551"/>
      <c r="AC758" s="551"/>
      <c r="AD758" s="551"/>
      <c r="AE758" s="551"/>
      <c r="AF758" s="551"/>
      <c r="AG758" s="551"/>
      <c r="AH758" s="551"/>
      <c r="AI758" s="551"/>
      <c r="AJ758" s="551"/>
      <c r="AK758" s="551"/>
      <c r="AL758" s="551"/>
      <c r="AM758" s="551"/>
      <c r="AN758" s="551"/>
      <c r="AO758" s="551"/>
      <c r="AP758" s="551"/>
      <c r="AQ758" s="551"/>
      <c r="AR758" s="551"/>
      <c r="AS758" s="551"/>
      <c r="AT758" s="551"/>
      <c r="AU758" s="551"/>
      <c r="AV758" s="551"/>
      <c r="AW758" s="551"/>
      <c r="AX758" s="551"/>
      <c r="AY758" s="551"/>
      <c r="AZ758" s="551"/>
      <c r="BA758" s="551"/>
      <c r="BB758" s="551"/>
      <c r="BC758" s="551"/>
      <c r="BD758" s="551"/>
      <c r="BE758" s="551"/>
      <c r="BF758" s="551"/>
      <c r="BG758" s="551"/>
      <c r="BH758" s="551"/>
      <c r="BI758" s="551"/>
      <c r="BJ758" s="551"/>
    </row>
    <row r="759" spans="1:62" ht="12.75" customHeight="1">
      <c r="A759" s="551"/>
      <c r="B759" s="551"/>
      <c r="C759" s="551"/>
      <c r="D759" s="551"/>
      <c r="E759" s="551"/>
      <c r="F759" s="551"/>
      <c r="G759" s="551"/>
      <c r="H759" s="551"/>
      <c r="I759" s="551"/>
      <c r="J759" s="551"/>
      <c r="K759" s="551"/>
      <c r="L759" s="551"/>
      <c r="M759" s="551"/>
      <c r="N759" s="551"/>
      <c r="O759" s="551"/>
      <c r="P759" s="551"/>
      <c r="Q759" s="551"/>
      <c r="R759" s="551"/>
      <c r="S759" s="551"/>
      <c r="T759" s="551"/>
      <c r="U759" s="551"/>
      <c r="V759" s="551"/>
      <c r="W759" s="551"/>
      <c r="X759" s="551"/>
      <c r="Y759" s="551"/>
      <c r="Z759" s="551"/>
      <c r="AA759" s="551"/>
      <c r="AB759" s="551"/>
      <c r="AC759" s="551"/>
      <c r="AD759" s="551"/>
      <c r="AE759" s="551"/>
      <c r="AF759" s="551"/>
      <c r="AG759" s="551"/>
      <c r="AH759" s="551"/>
      <c r="AI759" s="551"/>
      <c r="AJ759" s="551"/>
      <c r="AK759" s="551"/>
      <c r="AL759" s="551"/>
      <c r="AM759" s="551"/>
      <c r="AN759" s="551"/>
      <c r="AO759" s="551"/>
      <c r="AP759" s="551"/>
      <c r="AQ759" s="551"/>
      <c r="AR759" s="551"/>
      <c r="AS759" s="551"/>
      <c r="AT759" s="551"/>
      <c r="AU759" s="551"/>
      <c r="AV759" s="551"/>
      <c r="AW759" s="551"/>
      <c r="AX759" s="551"/>
      <c r="AY759" s="551"/>
      <c r="AZ759" s="551"/>
      <c r="BA759" s="551"/>
      <c r="BB759" s="551"/>
      <c r="BC759" s="551"/>
      <c r="BD759" s="551"/>
      <c r="BE759" s="551"/>
      <c r="BF759" s="551"/>
      <c r="BG759" s="551"/>
      <c r="BH759" s="551"/>
      <c r="BI759" s="551"/>
      <c r="BJ759" s="551"/>
    </row>
    <row r="760" spans="1:62" ht="12.75" customHeight="1">
      <c r="A760" s="551"/>
      <c r="B760" s="551"/>
      <c r="C760" s="551"/>
      <c r="D760" s="551"/>
      <c r="E760" s="551"/>
      <c r="F760" s="551"/>
      <c r="G760" s="551"/>
      <c r="H760" s="551"/>
      <c r="I760" s="551"/>
      <c r="J760" s="551"/>
      <c r="K760" s="551"/>
      <c r="L760" s="551"/>
      <c r="M760" s="551"/>
      <c r="N760" s="551"/>
      <c r="O760" s="551"/>
      <c r="P760" s="551"/>
      <c r="Q760" s="551"/>
      <c r="R760" s="551"/>
      <c r="S760" s="551"/>
      <c r="T760" s="551"/>
      <c r="U760" s="551"/>
      <c r="V760" s="551"/>
      <c r="W760" s="551"/>
      <c r="X760" s="551"/>
      <c r="Y760" s="551"/>
      <c r="Z760" s="551"/>
      <c r="AA760" s="551"/>
      <c r="AB760" s="551"/>
      <c r="AC760" s="551"/>
      <c r="AD760" s="551"/>
      <c r="AE760" s="551"/>
      <c r="AF760" s="551"/>
      <c r="AG760" s="551"/>
      <c r="AH760" s="551"/>
      <c r="AI760" s="551"/>
      <c r="AJ760" s="551"/>
      <c r="AK760" s="551"/>
      <c r="AL760" s="551"/>
      <c r="AM760" s="551"/>
      <c r="AN760" s="551"/>
      <c r="AO760" s="551"/>
      <c r="AP760" s="551"/>
      <c r="AQ760" s="551"/>
      <c r="AR760" s="551"/>
      <c r="AS760" s="551"/>
      <c r="AT760" s="551"/>
      <c r="AU760" s="551"/>
      <c r="AV760" s="551"/>
      <c r="AW760" s="551"/>
      <c r="AX760" s="551"/>
      <c r="AY760" s="551"/>
      <c r="AZ760" s="551"/>
      <c r="BA760" s="551"/>
      <c r="BB760" s="551"/>
      <c r="BC760" s="551"/>
      <c r="BD760" s="551"/>
      <c r="BE760" s="551"/>
      <c r="BF760" s="551"/>
      <c r="BG760" s="551"/>
      <c r="BH760" s="551"/>
      <c r="BI760" s="551"/>
      <c r="BJ760" s="551"/>
    </row>
    <row r="761" spans="1:62" ht="12.75" customHeight="1">
      <c r="A761" s="551"/>
      <c r="B761" s="551"/>
      <c r="C761" s="551"/>
      <c r="D761" s="551"/>
      <c r="E761" s="551"/>
      <c r="F761" s="551"/>
      <c r="G761" s="551"/>
      <c r="H761" s="551"/>
      <c r="I761" s="551"/>
      <c r="J761" s="551"/>
      <c r="K761" s="551"/>
      <c r="L761" s="551"/>
      <c r="M761" s="551"/>
      <c r="N761" s="551"/>
      <c r="O761" s="551"/>
      <c r="P761" s="551"/>
      <c r="Q761" s="551"/>
      <c r="R761" s="551"/>
      <c r="S761" s="551"/>
      <c r="T761" s="551"/>
      <c r="U761" s="551"/>
      <c r="V761" s="551"/>
      <c r="W761" s="551"/>
      <c r="X761" s="551"/>
      <c r="Y761" s="551"/>
      <c r="Z761" s="551"/>
      <c r="AA761" s="551"/>
      <c r="AB761" s="551"/>
      <c r="AC761" s="551"/>
      <c r="AD761" s="551"/>
      <c r="AE761" s="551"/>
      <c r="AF761" s="551"/>
      <c r="AG761" s="551"/>
      <c r="AH761" s="551"/>
      <c r="AI761" s="551"/>
      <c r="AJ761" s="551"/>
      <c r="AK761" s="551"/>
      <c r="AL761" s="551"/>
      <c r="AM761" s="551"/>
      <c r="AN761" s="551"/>
      <c r="AO761" s="551"/>
      <c r="AP761" s="551"/>
      <c r="AQ761" s="551"/>
      <c r="AR761" s="551"/>
      <c r="AS761" s="551"/>
      <c r="AT761" s="551"/>
      <c r="AU761" s="551"/>
      <c r="AV761" s="551"/>
      <c r="AW761" s="551"/>
      <c r="AX761" s="551"/>
      <c r="AY761" s="551"/>
      <c r="AZ761" s="551"/>
      <c r="BA761" s="551"/>
      <c r="BB761" s="551"/>
      <c r="BC761" s="551"/>
      <c r="BD761" s="551"/>
      <c r="BE761" s="551"/>
      <c r="BF761" s="551"/>
      <c r="BG761" s="551"/>
      <c r="BH761" s="551"/>
      <c r="BI761" s="551"/>
      <c r="BJ761" s="551"/>
    </row>
    <row r="762" spans="1:62" ht="12.75" customHeight="1">
      <c r="A762" s="551"/>
      <c r="B762" s="551"/>
      <c r="C762" s="551"/>
      <c r="D762" s="551"/>
      <c r="E762" s="551"/>
      <c r="F762" s="551"/>
      <c r="G762" s="551"/>
      <c r="H762" s="551"/>
      <c r="I762" s="551"/>
      <c r="J762" s="551"/>
      <c r="K762" s="551"/>
      <c r="L762" s="551"/>
      <c r="M762" s="551"/>
      <c r="N762" s="551"/>
      <c r="O762" s="551"/>
      <c r="P762" s="551"/>
      <c r="Q762" s="551"/>
      <c r="R762" s="551"/>
      <c r="S762" s="551"/>
      <c r="T762" s="551"/>
      <c r="U762" s="551"/>
      <c r="V762" s="551"/>
      <c r="W762" s="551"/>
      <c r="X762" s="551"/>
      <c r="Y762" s="551"/>
      <c r="Z762" s="551"/>
      <c r="AA762" s="551"/>
      <c r="AB762" s="551"/>
      <c r="AC762" s="551"/>
      <c r="AD762" s="551"/>
      <c r="AE762" s="551"/>
      <c r="AF762" s="551"/>
      <c r="AG762" s="551"/>
      <c r="AH762" s="551"/>
      <c r="AI762" s="551"/>
      <c r="AJ762" s="551"/>
      <c r="AK762" s="551"/>
      <c r="AL762" s="551"/>
      <c r="AM762" s="551"/>
      <c r="AN762" s="551"/>
      <c r="AO762" s="551"/>
      <c r="AP762" s="551"/>
      <c r="AQ762" s="551"/>
      <c r="AR762" s="551"/>
      <c r="AS762" s="551"/>
      <c r="AT762" s="551"/>
      <c r="AU762" s="551"/>
      <c r="AV762" s="551"/>
      <c r="AW762" s="551"/>
      <c r="AX762" s="551"/>
      <c r="AY762" s="551"/>
      <c r="AZ762" s="551"/>
      <c r="BA762" s="551"/>
      <c r="BB762" s="551"/>
      <c r="BC762" s="551"/>
      <c r="BD762" s="551"/>
      <c r="BE762" s="551"/>
      <c r="BF762" s="551"/>
      <c r="BG762" s="551"/>
      <c r="BH762" s="551"/>
      <c r="BI762" s="551"/>
      <c r="BJ762" s="551"/>
    </row>
    <row r="763" spans="1:62" ht="12.75" customHeight="1">
      <c r="A763" s="551"/>
      <c r="B763" s="551"/>
      <c r="C763" s="551"/>
      <c r="D763" s="551"/>
      <c r="E763" s="551"/>
      <c r="F763" s="551"/>
      <c r="G763" s="551"/>
      <c r="H763" s="551"/>
      <c r="I763" s="551"/>
      <c r="J763" s="551"/>
      <c r="K763" s="551"/>
      <c r="L763" s="551"/>
      <c r="M763" s="551"/>
      <c r="N763" s="551"/>
      <c r="O763" s="551"/>
      <c r="P763" s="551"/>
      <c r="Q763" s="551"/>
      <c r="R763" s="551"/>
      <c r="S763" s="551"/>
      <c r="T763" s="551"/>
      <c r="U763" s="551"/>
      <c r="V763" s="551"/>
      <c r="W763" s="551"/>
      <c r="X763" s="551"/>
      <c r="Y763" s="551"/>
      <c r="Z763" s="551"/>
      <c r="AA763" s="551"/>
      <c r="AB763" s="551"/>
      <c r="AC763" s="551"/>
      <c r="AD763" s="551"/>
      <c r="AE763" s="551"/>
      <c r="AF763" s="551"/>
      <c r="AG763" s="551"/>
      <c r="AH763" s="551"/>
      <c r="AI763" s="551"/>
      <c r="AJ763" s="551"/>
      <c r="AK763" s="551"/>
      <c r="AL763" s="551"/>
      <c r="AM763" s="551"/>
      <c r="AN763" s="551"/>
      <c r="AO763" s="551"/>
      <c r="AP763" s="551"/>
      <c r="AQ763" s="551"/>
      <c r="AR763" s="551"/>
      <c r="AS763" s="551"/>
      <c r="AT763" s="551"/>
      <c r="AU763" s="551"/>
      <c r="AV763" s="551"/>
      <c r="AW763" s="551"/>
      <c r="AX763" s="551"/>
      <c r="AY763" s="551"/>
      <c r="AZ763" s="551"/>
      <c r="BA763" s="551"/>
      <c r="BB763" s="551"/>
      <c r="BC763" s="551"/>
      <c r="BD763" s="551"/>
      <c r="BE763" s="551"/>
      <c r="BF763" s="551"/>
      <c r="BG763" s="551"/>
      <c r="BH763" s="551"/>
      <c r="BI763" s="551"/>
      <c r="BJ763" s="551"/>
    </row>
    <row r="764" spans="1:62" ht="12.75" customHeight="1">
      <c r="A764" s="551"/>
      <c r="B764" s="551"/>
      <c r="C764" s="551"/>
      <c r="D764" s="551"/>
      <c r="E764" s="551"/>
      <c r="F764" s="551"/>
      <c r="G764" s="551"/>
      <c r="H764" s="551"/>
      <c r="I764" s="551"/>
      <c r="J764" s="551"/>
      <c r="K764" s="551"/>
      <c r="L764" s="551"/>
      <c r="M764" s="551"/>
      <c r="N764" s="551"/>
      <c r="O764" s="551"/>
      <c r="P764" s="551"/>
      <c r="Q764" s="551"/>
      <c r="R764" s="551"/>
      <c r="S764" s="551"/>
      <c r="T764" s="551"/>
      <c r="U764" s="551"/>
      <c r="V764" s="551"/>
      <c r="W764" s="551"/>
      <c r="X764" s="551"/>
      <c r="Y764" s="551"/>
      <c r="Z764" s="551"/>
      <c r="AA764" s="551"/>
      <c r="AB764" s="551"/>
      <c r="AC764" s="551"/>
      <c r="AD764" s="551"/>
      <c r="AE764" s="551"/>
      <c r="AF764" s="551"/>
      <c r="AG764" s="551"/>
      <c r="AH764" s="551"/>
      <c r="AI764" s="551"/>
      <c r="AJ764" s="551"/>
      <c r="AK764" s="551"/>
      <c r="AL764" s="551"/>
      <c r="AM764" s="551"/>
      <c r="AN764" s="551"/>
      <c r="AO764" s="551"/>
      <c r="AP764" s="551"/>
      <c r="AQ764" s="551"/>
      <c r="AR764" s="551"/>
      <c r="AS764" s="551"/>
      <c r="AT764" s="551"/>
      <c r="AU764" s="551"/>
      <c r="AV764" s="551"/>
      <c r="AW764" s="551"/>
      <c r="AX764" s="551"/>
      <c r="AY764" s="551"/>
      <c r="AZ764" s="551"/>
      <c r="BA764" s="551"/>
      <c r="BB764" s="551"/>
      <c r="BC764" s="551"/>
      <c r="BD764" s="551"/>
      <c r="BE764" s="551"/>
      <c r="BF764" s="551"/>
      <c r="BG764" s="551"/>
      <c r="BH764" s="551"/>
      <c r="BI764" s="551"/>
      <c r="BJ764" s="551"/>
    </row>
    <row r="765" spans="1:62" ht="12.75" customHeight="1">
      <c r="A765" s="551"/>
      <c r="B765" s="551"/>
      <c r="C765" s="551"/>
      <c r="D765" s="551"/>
      <c r="E765" s="551"/>
      <c r="F765" s="551"/>
      <c r="G765" s="551"/>
      <c r="H765" s="551"/>
      <c r="I765" s="551"/>
      <c r="J765" s="551"/>
      <c r="K765" s="551"/>
      <c r="L765" s="551"/>
      <c r="M765" s="551"/>
      <c r="N765" s="551"/>
      <c r="O765" s="551"/>
      <c r="P765" s="551"/>
      <c r="Q765" s="551"/>
      <c r="R765" s="551"/>
      <c r="S765" s="551"/>
      <c r="T765" s="551"/>
      <c r="U765" s="551"/>
      <c r="V765" s="551"/>
      <c r="W765" s="551"/>
      <c r="X765" s="551"/>
      <c r="Y765" s="551"/>
      <c r="Z765" s="551"/>
      <c r="AA765" s="551"/>
      <c r="AB765" s="551"/>
      <c r="AC765" s="551"/>
      <c r="AD765" s="551"/>
      <c r="AE765" s="551"/>
      <c r="AF765" s="551"/>
      <c r="AG765" s="551"/>
      <c r="AH765" s="551"/>
      <c r="AI765" s="551"/>
      <c r="AJ765" s="551"/>
      <c r="AK765" s="551"/>
      <c r="AL765" s="551"/>
      <c r="AM765" s="551"/>
      <c r="AN765" s="551"/>
      <c r="AO765" s="551"/>
      <c r="AP765" s="551"/>
      <c r="AQ765" s="551"/>
      <c r="AR765" s="551"/>
      <c r="AS765" s="551"/>
      <c r="AT765" s="551"/>
      <c r="AU765" s="551"/>
      <c r="AV765" s="551"/>
      <c r="AW765" s="551"/>
      <c r="AX765" s="551"/>
      <c r="AY765" s="551"/>
      <c r="AZ765" s="551"/>
      <c r="BA765" s="551"/>
      <c r="BB765" s="551"/>
      <c r="BC765" s="551"/>
      <c r="BD765" s="551"/>
      <c r="BE765" s="551"/>
      <c r="BF765" s="551"/>
      <c r="BG765" s="551"/>
      <c r="BH765" s="551"/>
      <c r="BI765" s="551"/>
      <c r="BJ765" s="551"/>
    </row>
    <row r="766" spans="1:62" ht="12.75" customHeight="1">
      <c r="A766" s="551"/>
      <c r="B766" s="551"/>
      <c r="C766" s="551"/>
      <c r="D766" s="551"/>
      <c r="E766" s="551"/>
      <c r="F766" s="551"/>
      <c r="G766" s="551"/>
      <c r="H766" s="551"/>
      <c r="I766" s="551"/>
      <c r="J766" s="551"/>
      <c r="K766" s="551"/>
      <c r="L766" s="551"/>
      <c r="M766" s="551"/>
      <c r="N766" s="551"/>
      <c r="O766" s="551"/>
      <c r="P766" s="551"/>
      <c r="Q766" s="551"/>
      <c r="R766" s="551"/>
      <c r="S766" s="551"/>
      <c r="T766" s="551"/>
      <c r="U766" s="551"/>
      <c r="V766" s="551"/>
      <c r="W766" s="551"/>
      <c r="X766" s="551"/>
      <c r="Y766" s="551"/>
      <c r="Z766" s="551"/>
      <c r="AA766" s="551"/>
      <c r="AB766" s="551"/>
      <c r="AC766" s="551"/>
      <c r="AD766" s="551"/>
      <c r="AE766" s="551"/>
      <c r="AF766" s="551"/>
      <c r="AG766" s="551"/>
      <c r="AH766" s="551"/>
      <c r="AI766" s="551"/>
      <c r="AJ766" s="551"/>
      <c r="AK766" s="551"/>
      <c r="AL766" s="551"/>
      <c r="AM766" s="551"/>
      <c r="AN766" s="551"/>
      <c r="AO766" s="551"/>
      <c r="AP766" s="551"/>
      <c r="AQ766" s="551"/>
      <c r="AR766" s="551"/>
      <c r="AS766" s="551"/>
      <c r="AT766" s="551"/>
      <c r="AU766" s="551"/>
      <c r="AV766" s="551"/>
      <c r="AW766" s="551"/>
      <c r="AX766" s="551"/>
      <c r="AY766" s="551"/>
      <c r="AZ766" s="551"/>
      <c r="BA766" s="551"/>
      <c r="BB766" s="551"/>
      <c r="BC766" s="551"/>
      <c r="BD766" s="551"/>
      <c r="BE766" s="551"/>
      <c r="BF766" s="551"/>
      <c r="BG766" s="551"/>
      <c r="BH766" s="551"/>
      <c r="BI766" s="551"/>
      <c r="BJ766" s="551"/>
    </row>
    <row r="767" spans="1:62" ht="12.75" customHeight="1">
      <c r="A767" s="551"/>
      <c r="B767" s="551"/>
      <c r="C767" s="551"/>
      <c r="D767" s="551"/>
      <c r="E767" s="551"/>
      <c r="F767" s="551"/>
      <c r="G767" s="551"/>
      <c r="H767" s="551"/>
      <c r="I767" s="551"/>
      <c r="J767" s="551"/>
      <c r="K767" s="551"/>
      <c r="L767" s="551"/>
      <c r="M767" s="551"/>
      <c r="N767" s="551"/>
      <c r="O767" s="551"/>
      <c r="P767" s="551"/>
      <c r="Q767" s="551"/>
      <c r="R767" s="551"/>
      <c r="S767" s="551"/>
      <c r="T767" s="551"/>
      <c r="U767" s="551"/>
      <c r="V767" s="551"/>
      <c r="W767" s="551"/>
      <c r="X767" s="551"/>
      <c r="Y767" s="551"/>
      <c r="Z767" s="551"/>
      <c r="AA767" s="551"/>
      <c r="AB767" s="551"/>
      <c r="AC767" s="551"/>
      <c r="AD767" s="551"/>
      <c r="AE767" s="551"/>
      <c r="AF767" s="551"/>
      <c r="AG767" s="551"/>
      <c r="AH767" s="551"/>
      <c r="AI767" s="551"/>
      <c r="AJ767" s="551"/>
      <c r="AK767" s="551"/>
      <c r="AL767" s="551"/>
      <c r="AM767" s="551"/>
      <c r="AN767" s="551"/>
      <c r="AO767" s="551"/>
      <c r="AP767" s="551"/>
      <c r="AQ767" s="551"/>
      <c r="AR767" s="551"/>
      <c r="AS767" s="551"/>
      <c r="AT767" s="551"/>
      <c r="AU767" s="551"/>
      <c r="AV767" s="551"/>
      <c r="AW767" s="551"/>
      <c r="AX767" s="551"/>
      <c r="AY767" s="551"/>
      <c r="AZ767" s="551"/>
      <c r="BA767" s="551"/>
      <c r="BB767" s="551"/>
      <c r="BC767" s="551"/>
      <c r="BD767" s="551"/>
      <c r="BE767" s="551"/>
      <c r="BF767" s="551"/>
      <c r="BG767" s="551"/>
      <c r="BH767" s="551"/>
      <c r="BI767" s="551"/>
      <c r="BJ767" s="551"/>
    </row>
    <row r="768" spans="1:62" ht="12.75" customHeight="1">
      <c r="A768" s="551"/>
      <c r="B768" s="551"/>
      <c r="C768" s="551"/>
      <c r="D768" s="551"/>
      <c r="E768" s="551"/>
      <c r="F768" s="551"/>
      <c r="G768" s="551"/>
      <c r="H768" s="551"/>
      <c r="I768" s="551"/>
      <c r="J768" s="551"/>
      <c r="K768" s="551"/>
      <c r="L768" s="551"/>
      <c r="M768" s="551"/>
      <c r="N768" s="551"/>
      <c r="O768" s="551"/>
      <c r="P768" s="551"/>
      <c r="Q768" s="551"/>
      <c r="R768" s="551"/>
      <c r="S768" s="551"/>
      <c r="T768" s="551"/>
      <c r="U768" s="551"/>
      <c r="V768" s="551"/>
      <c r="W768" s="551"/>
      <c r="X768" s="551"/>
      <c r="Y768" s="551"/>
      <c r="Z768" s="551"/>
      <c r="AA768" s="551"/>
      <c r="AB768" s="551"/>
      <c r="AC768" s="551"/>
      <c r="AD768" s="551"/>
      <c r="AE768" s="551"/>
      <c r="AF768" s="551"/>
      <c r="AG768" s="551"/>
      <c r="AH768" s="551"/>
      <c r="AI768" s="551"/>
      <c r="AJ768" s="551"/>
      <c r="AK768" s="551"/>
      <c r="AL768" s="551"/>
      <c r="AM768" s="551"/>
      <c r="AN768" s="551"/>
      <c r="AO768" s="551"/>
      <c r="AP768" s="551"/>
      <c r="AQ768" s="551"/>
      <c r="AR768" s="551"/>
      <c r="AS768" s="551"/>
      <c r="AT768" s="551"/>
      <c r="AU768" s="551"/>
      <c r="AV768" s="551"/>
      <c r="AW768" s="551"/>
      <c r="AX768" s="551"/>
      <c r="AY768" s="551"/>
      <c r="AZ768" s="551"/>
      <c r="BA768" s="551"/>
      <c r="BB768" s="551"/>
      <c r="BC768" s="551"/>
      <c r="BD768" s="551"/>
      <c r="BE768" s="551"/>
      <c r="BF768" s="551"/>
      <c r="BG768" s="551"/>
      <c r="BH768" s="551"/>
      <c r="BI768" s="551"/>
      <c r="BJ768" s="551"/>
    </row>
    <row r="769" spans="1:62" ht="12.75" customHeight="1">
      <c r="A769" s="551"/>
      <c r="B769" s="551"/>
      <c r="C769" s="551"/>
      <c r="D769" s="551"/>
      <c r="E769" s="551"/>
      <c r="F769" s="551"/>
      <c r="G769" s="551"/>
      <c r="H769" s="551"/>
      <c r="I769" s="551"/>
      <c r="J769" s="551"/>
      <c r="K769" s="551"/>
      <c r="L769" s="551"/>
      <c r="M769" s="551"/>
      <c r="N769" s="551"/>
      <c r="O769" s="551"/>
      <c r="P769" s="551"/>
      <c r="Q769" s="551"/>
      <c r="R769" s="551"/>
      <c r="S769" s="551"/>
      <c r="T769" s="551"/>
      <c r="U769" s="551"/>
      <c r="V769" s="551"/>
      <c r="W769" s="551"/>
      <c r="X769" s="551"/>
      <c r="Y769" s="551"/>
      <c r="Z769" s="551"/>
      <c r="AA769" s="551"/>
      <c r="AB769" s="551"/>
      <c r="AC769" s="551"/>
      <c r="AD769" s="551"/>
      <c r="AE769" s="551"/>
      <c r="AF769" s="551"/>
      <c r="AG769" s="551"/>
      <c r="AH769" s="551"/>
      <c r="AI769" s="551"/>
      <c r="AJ769" s="551"/>
      <c r="AK769" s="551"/>
      <c r="AL769" s="551"/>
      <c r="AM769" s="551"/>
      <c r="AN769" s="551"/>
      <c r="AO769" s="551"/>
      <c r="AP769" s="551"/>
      <c r="AQ769" s="551"/>
      <c r="AR769" s="551"/>
      <c r="AS769" s="551"/>
      <c r="AT769" s="551"/>
      <c r="AU769" s="551"/>
      <c r="AV769" s="551"/>
      <c r="AW769" s="551"/>
      <c r="AX769" s="551"/>
      <c r="AY769" s="551"/>
      <c r="AZ769" s="551"/>
      <c r="BA769" s="551"/>
      <c r="BB769" s="551"/>
      <c r="BC769" s="551"/>
      <c r="BD769" s="551"/>
      <c r="BE769" s="551"/>
      <c r="BF769" s="551"/>
      <c r="BG769" s="551"/>
      <c r="BH769" s="551"/>
      <c r="BI769" s="551"/>
      <c r="BJ769" s="551"/>
    </row>
    <row r="770" spans="1:62" ht="12.75" customHeight="1">
      <c r="A770" s="551"/>
      <c r="B770" s="551"/>
      <c r="C770" s="551"/>
      <c r="D770" s="551"/>
      <c r="E770" s="551"/>
      <c r="F770" s="551"/>
      <c r="G770" s="551"/>
      <c r="H770" s="551"/>
      <c r="I770" s="551"/>
      <c r="J770" s="551"/>
      <c r="K770" s="551"/>
      <c r="L770" s="551"/>
      <c r="M770" s="551"/>
      <c r="N770" s="551"/>
      <c r="O770" s="551"/>
      <c r="P770" s="551"/>
      <c r="Q770" s="551"/>
      <c r="R770" s="551"/>
      <c r="S770" s="551"/>
      <c r="T770" s="551"/>
      <c r="U770" s="551"/>
      <c r="V770" s="551"/>
      <c r="W770" s="551"/>
      <c r="X770" s="551"/>
      <c r="Y770" s="551"/>
      <c r="Z770" s="551"/>
      <c r="AA770" s="551"/>
      <c r="AB770" s="551"/>
      <c r="AC770" s="551"/>
      <c r="AD770" s="551"/>
      <c r="AE770" s="551"/>
      <c r="AF770" s="551"/>
      <c r="AG770" s="551"/>
      <c r="AH770" s="551"/>
      <c r="AI770" s="551"/>
      <c r="AJ770" s="551"/>
      <c r="AK770" s="551"/>
      <c r="AL770" s="551"/>
      <c r="AM770" s="551"/>
      <c r="AN770" s="551"/>
      <c r="AO770" s="551"/>
      <c r="AP770" s="551"/>
      <c r="AQ770" s="551"/>
      <c r="AR770" s="551"/>
      <c r="AS770" s="551"/>
      <c r="AT770" s="551"/>
      <c r="AU770" s="551"/>
      <c r="AV770" s="551"/>
      <c r="AW770" s="551"/>
      <c r="AX770" s="551"/>
      <c r="AY770" s="551"/>
      <c r="AZ770" s="551"/>
      <c r="BA770" s="551"/>
      <c r="BB770" s="551"/>
      <c r="BC770" s="551"/>
      <c r="BD770" s="551"/>
      <c r="BE770" s="551"/>
      <c r="BF770" s="551"/>
      <c r="BG770" s="551"/>
      <c r="BH770" s="551"/>
      <c r="BI770" s="551"/>
      <c r="BJ770" s="551"/>
    </row>
    <row r="771" spans="1:62" ht="12.75" customHeight="1">
      <c r="A771" s="551"/>
      <c r="B771" s="551"/>
      <c r="C771" s="551"/>
      <c r="D771" s="551"/>
      <c r="E771" s="551"/>
      <c r="F771" s="551"/>
      <c r="G771" s="551"/>
      <c r="H771" s="551"/>
      <c r="I771" s="551"/>
      <c r="J771" s="551"/>
      <c r="K771" s="551"/>
      <c r="L771" s="551"/>
      <c r="M771" s="551"/>
      <c r="N771" s="551"/>
      <c r="O771" s="551"/>
      <c r="P771" s="551"/>
      <c r="Q771" s="551"/>
      <c r="R771" s="551"/>
      <c r="S771" s="551"/>
      <c r="T771" s="551"/>
      <c r="U771" s="551"/>
      <c r="V771" s="551"/>
      <c r="W771" s="551"/>
      <c r="X771" s="551"/>
      <c r="Y771" s="551"/>
      <c r="Z771" s="551"/>
      <c r="AA771" s="551"/>
      <c r="AB771" s="551"/>
      <c r="AC771" s="551"/>
      <c r="AD771" s="551"/>
      <c r="AE771" s="551"/>
      <c r="AF771" s="551"/>
      <c r="AG771" s="551"/>
      <c r="AH771" s="551"/>
      <c r="AI771" s="551"/>
      <c r="AJ771" s="551"/>
      <c r="AK771" s="551"/>
      <c r="AL771" s="551"/>
      <c r="AM771" s="551"/>
      <c r="AN771" s="551"/>
      <c r="AO771" s="551"/>
      <c r="AP771" s="551"/>
      <c r="AQ771" s="551"/>
      <c r="AR771" s="551"/>
      <c r="AS771" s="551"/>
      <c r="AT771" s="551"/>
      <c r="AU771" s="551"/>
      <c r="AV771" s="551"/>
      <c r="AW771" s="551"/>
      <c r="AX771" s="551"/>
      <c r="AY771" s="551"/>
      <c r="AZ771" s="551"/>
      <c r="BA771" s="551"/>
      <c r="BB771" s="551"/>
      <c r="BC771" s="551"/>
      <c r="BD771" s="551"/>
      <c r="BE771" s="551"/>
      <c r="BF771" s="551"/>
      <c r="BG771" s="551"/>
      <c r="BH771" s="551"/>
      <c r="BI771" s="551"/>
      <c r="BJ771" s="551"/>
    </row>
    <row r="772" spans="1:62" ht="12.75" customHeight="1">
      <c r="A772" s="551"/>
      <c r="B772" s="551"/>
      <c r="C772" s="551"/>
      <c r="D772" s="551"/>
      <c r="E772" s="551"/>
      <c r="F772" s="551"/>
      <c r="G772" s="551"/>
      <c r="H772" s="551"/>
      <c r="I772" s="551"/>
      <c r="J772" s="551"/>
      <c r="K772" s="551"/>
      <c r="L772" s="551"/>
      <c r="M772" s="551"/>
      <c r="N772" s="551"/>
      <c r="O772" s="551"/>
      <c r="P772" s="551"/>
      <c r="Q772" s="551"/>
      <c r="R772" s="551"/>
      <c r="S772" s="551"/>
      <c r="T772" s="551"/>
      <c r="U772" s="551"/>
      <c r="V772" s="551"/>
      <c r="W772" s="551"/>
      <c r="X772" s="551"/>
      <c r="Y772" s="551"/>
      <c r="Z772" s="551"/>
      <c r="AA772" s="551"/>
      <c r="AB772" s="551"/>
      <c r="AC772" s="551"/>
      <c r="AD772" s="551"/>
      <c r="AE772" s="551"/>
      <c r="AF772" s="551"/>
      <c r="AG772" s="551"/>
      <c r="AH772" s="551"/>
      <c r="AI772" s="551"/>
      <c r="AJ772" s="551"/>
      <c r="AK772" s="551"/>
      <c r="AL772" s="551"/>
      <c r="AM772" s="551"/>
      <c r="AN772" s="551"/>
      <c r="AO772" s="551"/>
      <c r="AP772" s="551"/>
      <c r="AQ772" s="551"/>
      <c r="AR772" s="551"/>
      <c r="AS772" s="551"/>
      <c r="AT772" s="551"/>
      <c r="AU772" s="551"/>
      <c r="AV772" s="551"/>
      <c r="AW772" s="551"/>
      <c r="AX772" s="551"/>
      <c r="AY772" s="551"/>
      <c r="AZ772" s="551"/>
      <c r="BA772" s="551"/>
      <c r="BB772" s="551"/>
      <c r="BC772" s="551"/>
      <c r="BD772" s="551"/>
      <c r="BE772" s="551"/>
      <c r="BF772" s="551"/>
      <c r="BG772" s="551"/>
      <c r="BH772" s="551"/>
      <c r="BI772" s="551"/>
      <c r="BJ772" s="551"/>
    </row>
    <row r="773" spans="1:62" ht="12.75" customHeight="1">
      <c r="A773" s="551"/>
      <c r="B773" s="551"/>
      <c r="C773" s="551"/>
      <c r="D773" s="551"/>
      <c r="E773" s="551"/>
      <c r="F773" s="551"/>
      <c r="G773" s="551"/>
      <c r="H773" s="551"/>
      <c r="I773" s="551"/>
      <c r="J773" s="551"/>
      <c r="K773" s="551"/>
      <c r="L773" s="551"/>
      <c r="M773" s="551"/>
      <c r="N773" s="551"/>
      <c r="O773" s="551"/>
      <c r="P773" s="551"/>
      <c r="Q773" s="551"/>
      <c r="R773" s="551"/>
      <c r="S773" s="551"/>
      <c r="T773" s="551"/>
      <c r="U773" s="551"/>
      <c r="V773" s="551"/>
      <c r="W773" s="551"/>
      <c r="X773" s="551"/>
      <c r="Y773" s="551"/>
      <c r="Z773" s="551"/>
      <c r="AA773" s="551"/>
      <c r="AB773" s="551"/>
      <c r="AC773" s="551"/>
      <c r="AD773" s="551"/>
      <c r="AE773" s="551"/>
      <c r="AF773" s="551"/>
      <c r="AG773" s="551"/>
      <c r="AH773" s="551"/>
      <c r="AI773" s="551"/>
      <c r="AJ773" s="551"/>
      <c r="AK773" s="551"/>
      <c r="AL773" s="551"/>
      <c r="AM773" s="551"/>
      <c r="AN773" s="551"/>
      <c r="AO773" s="551"/>
      <c r="AP773" s="551"/>
      <c r="AQ773" s="551"/>
      <c r="AR773" s="551"/>
      <c r="AS773" s="551"/>
      <c r="AT773" s="551"/>
      <c r="AU773" s="551"/>
      <c r="AV773" s="551"/>
      <c r="AW773" s="551"/>
      <c r="AX773" s="551"/>
      <c r="AY773" s="551"/>
      <c r="AZ773" s="551"/>
      <c r="BA773" s="551"/>
      <c r="BB773" s="551"/>
      <c r="BC773" s="551"/>
      <c r="BD773" s="551"/>
      <c r="BE773" s="551"/>
      <c r="BF773" s="551"/>
      <c r="BG773" s="551"/>
      <c r="BH773" s="551"/>
      <c r="BI773" s="551"/>
      <c r="BJ773" s="551"/>
    </row>
    <row r="774" spans="1:62" ht="12.75" customHeight="1">
      <c r="A774" s="551"/>
      <c r="B774" s="551"/>
      <c r="C774" s="551"/>
      <c r="D774" s="551"/>
      <c r="E774" s="551"/>
      <c r="F774" s="551"/>
      <c r="G774" s="551"/>
      <c r="H774" s="551"/>
      <c r="I774" s="551"/>
      <c r="J774" s="551"/>
      <c r="K774" s="551"/>
      <c r="L774" s="551"/>
      <c r="M774" s="551"/>
      <c r="N774" s="551"/>
      <c r="O774" s="551"/>
      <c r="P774" s="551"/>
      <c r="Q774" s="551"/>
      <c r="R774" s="551"/>
      <c r="S774" s="551"/>
      <c r="T774" s="551"/>
      <c r="U774" s="551"/>
      <c r="V774" s="551"/>
      <c r="W774" s="551"/>
      <c r="X774" s="551"/>
      <c r="Y774" s="551"/>
      <c r="Z774" s="551"/>
      <c r="AA774" s="551"/>
      <c r="AB774" s="551"/>
      <c r="AC774" s="551"/>
      <c r="AD774" s="551"/>
      <c r="AE774" s="551"/>
      <c r="AF774" s="551"/>
      <c r="AG774" s="551"/>
      <c r="AH774" s="551"/>
      <c r="AI774" s="551"/>
      <c r="AJ774" s="551"/>
      <c r="AK774" s="551"/>
      <c r="AL774" s="551"/>
      <c r="AM774" s="551"/>
      <c r="AN774" s="551"/>
      <c r="AO774" s="551"/>
      <c r="AP774" s="551"/>
      <c r="AQ774" s="551"/>
      <c r="AR774" s="551"/>
      <c r="AS774" s="551"/>
      <c r="AT774" s="551"/>
      <c r="AU774" s="551"/>
      <c r="AV774" s="551"/>
      <c r="AW774" s="551"/>
      <c r="AX774" s="551"/>
      <c r="AY774" s="551"/>
      <c r="AZ774" s="551"/>
      <c r="BA774" s="551"/>
      <c r="BB774" s="551"/>
      <c r="BC774" s="551"/>
      <c r="BD774" s="551"/>
      <c r="BE774" s="551"/>
      <c r="BF774" s="551"/>
      <c r="BG774" s="551"/>
      <c r="BH774" s="551"/>
      <c r="BI774" s="551"/>
      <c r="BJ774" s="551"/>
    </row>
    <row r="775" spans="1:62" ht="12.75" customHeight="1">
      <c r="A775" s="551"/>
      <c r="B775" s="551"/>
      <c r="C775" s="551"/>
      <c r="D775" s="551"/>
      <c r="E775" s="551"/>
      <c r="F775" s="551"/>
      <c r="G775" s="551"/>
      <c r="H775" s="551"/>
      <c r="I775" s="551"/>
      <c r="J775" s="551"/>
      <c r="K775" s="551"/>
      <c r="L775" s="551"/>
      <c r="M775" s="551"/>
      <c r="N775" s="551"/>
      <c r="O775" s="551"/>
      <c r="P775" s="551"/>
      <c r="Q775" s="551"/>
      <c r="R775" s="551"/>
      <c r="S775" s="551"/>
      <c r="T775" s="551"/>
      <c r="U775" s="551"/>
      <c r="V775" s="551"/>
      <c r="W775" s="551"/>
      <c r="X775" s="551"/>
      <c r="Y775" s="551"/>
      <c r="Z775" s="551"/>
      <c r="AA775" s="551"/>
      <c r="AB775" s="551"/>
      <c r="AC775" s="551"/>
      <c r="AD775" s="551"/>
      <c r="AE775" s="551"/>
      <c r="AF775" s="551"/>
      <c r="AG775" s="551"/>
      <c r="AH775" s="551"/>
      <c r="AI775" s="551"/>
      <c r="AJ775" s="551"/>
      <c r="AK775" s="551"/>
      <c r="AL775" s="551"/>
      <c r="AM775" s="551"/>
      <c r="AN775" s="551"/>
      <c r="AO775" s="551"/>
      <c r="AP775" s="551"/>
      <c r="AQ775" s="551"/>
      <c r="AR775" s="551"/>
      <c r="AS775" s="551"/>
      <c r="AT775" s="551"/>
      <c r="AU775" s="551"/>
      <c r="AV775" s="551"/>
      <c r="AW775" s="551"/>
      <c r="AX775" s="551"/>
      <c r="AY775" s="551"/>
      <c r="AZ775" s="551"/>
      <c r="BA775" s="551"/>
      <c r="BB775" s="551"/>
      <c r="BC775" s="551"/>
      <c r="BD775" s="551"/>
      <c r="BE775" s="551"/>
      <c r="BF775" s="551"/>
      <c r="BG775" s="551"/>
      <c r="BH775" s="551"/>
      <c r="BI775" s="551"/>
      <c r="BJ775" s="551"/>
    </row>
    <row r="776" spans="1:62" ht="12.75" customHeight="1">
      <c r="A776" s="551"/>
      <c r="B776" s="551"/>
      <c r="C776" s="551"/>
      <c r="D776" s="551"/>
      <c r="E776" s="551"/>
      <c r="F776" s="551"/>
      <c r="G776" s="551"/>
      <c r="H776" s="551"/>
      <c r="I776" s="551"/>
      <c r="J776" s="551"/>
      <c r="K776" s="551"/>
      <c r="L776" s="551"/>
      <c r="M776" s="551"/>
      <c r="N776" s="551"/>
      <c r="O776" s="551"/>
      <c r="P776" s="551"/>
      <c r="Q776" s="551"/>
      <c r="R776" s="551"/>
      <c r="S776" s="551"/>
      <c r="T776" s="551"/>
      <c r="U776" s="551"/>
      <c r="V776" s="551"/>
      <c r="W776" s="551"/>
      <c r="X776" s="551"/>
      <c r="Y776" s="551"/>
      <c r="Z776" s="551"/>
      <c r="AA776" s="551"/>
      <c r="AB776" s="551"/>
      <c r="AC776" s="551"/>
      <c r="AD776" s="551"/>
      <c r="AE776" s="551"/>
      <c r="AF776" s="551"/>
      <c r="AG776" s="551"/>
      <c r="AH776" s="551"/>
      <c r="AI776" s="551"/>
      <c r="AJ776" s="551"/>
      <c r="AK776" s="551"/>
      <c r="AL776" s="551"/>
      <c r="AM776" s="551"/>
      <c r="AN776" s="551"/>
      <c r="AO776" s="551"/>
      <c r="AP776" s="551"/>
      <c r="AQ776" s="551"/>
      <c r="AR776" s="551"/>
      <c r="AS776" s="551"/>
      <c r="AT776" s="551"/>
      <c r="AU776" s="551"/>
      <c r="AV776" s="551"/>
      <c r="AW776" s="551"/>
      <c r="AX776" s="551"/>
      <c r="AY776" s="551"/>
      <c r="AZ776" s="551"/>
      <c r="BA776" s="551"/>
      <c r="BB776" s="551"/>
      <c r="BC776" s="551"/>
      <c r="BD776" s="551"/>
      <c r="BE776" s="551"/>
      <c r="BF776" s="551"/>
      <c r="BG776" s="551"/>
      <c r="BH776" s="551"/>
      <c r="BI776" s="551"/>
      <c r="BJ776" s="551"/>
    </row>
    <row r="777" spans="1:62" ht="12.75" customHeight="1">
      <c r="A777" s="551"/>
      <c r="B777" s="551"/>
      <c r="C777" s="551"/>
      <c r="D777" s="551"/>
      <c r="E777" s="551"/>
      <c r="F777" s="551"/>
      <c r="G777" s="551"/>
      <c r="H777" s="551"/>
      <c r="I777" s="551"/>
      <c r="J777" s="551"/>
      <c r="K777" s="551"/>
      <c r="L777" s="551"/>
      <c r="M777" s="551"/>
      <c r="N777" s="551"/>
      <c r="O777" s="551"/>
      <c r="P777" s="551"/>
      <c r="Q777" s="551"/>
      <c r="R777" s="551"/>
      <c r="S777" s="551"/>
      <c r="T777" s="551"/>
      <c r="U777" s="551"/>
      <c r="V777" s="551"/>
      <c r="W777" s="551"/>
      <c r="X777" s="551"/>
      <c r="Y777" s="551"/>
      <c r="Z777" s="551"/>
      <c r="AA777" s="551"/>
      <c r="AB777" s="551"/>
      <c r="AC777" s="551"/>
      <c r="AD777" s="551"/>
      <c r="AE777" s="551"/>
      <c r="AF777" s="551"/>
      <c r="AG777" s="551"/>
      <c r="AH777" s="551"/>
      <c r="AI777" s="551"/>
      <c r="AJ777" s="551"/>
      <c r="AK777" s="551"/>
      <c r="AL777" s="551"/>
      <c r="AM777" s="551"/>
      <c r="AN777" s="551"/>
      <c r="AO777" s="551"/>
      <c r="AP777" s="551"/>
      <c r="AQ777" s="551"/>
      <c r="AR777" s="551"/>
      <c r="AS777" s="551"/>
      <c r="AT777" s="551"/>
      <c r="AU777" s="551"/>
      <c r="AV777" s="551"/>
      <c r="AW777" s="551"/>
      <c r="AX777" s="551"/>
      <c r="AY777" s="551"/>
      <c r="AZ777" s="551"/>
      <c r="BA777" s="551"/>
      <c r="BB777" s="551"/>
      <c r="BC777" s="551"/>
      <c r="BD777" s="551"/>
      <c r="BE777" s="551"/>
      <c r="BF777" s="551"/>
      <c r="BG777" s="551"/>
      <c r="BH777" s="551"/>
      <c r="BI777" s="551"/>
      <c r="BJ777" s="551"/>
    </row>
    <row r="778" spans="1:62" ht="12.75" customHeight="1">
      <c r="A778" s="551"/>
      <c r="B778" s="551"/>
      <c r="C778" s="551"/>
      <c r="D778" s="551"/>
      <c r="E778" s="551"/>
      <c r="F778" s="551"/>
      <c r="G778" s="551"/>
      <c r="H778" s="551"/>
      <c r="I778" s="551"/>
      <c r="J778" s="551"/>
      <c r="K778" s="551"/>
      <c r="L778" s="551"/>
      <c r="M778" s="551"/>
      <c r="N778" s="551"/>
      <c r="O778" s="551"/>
      <c r="P778" s="551"/>
      <c r="Q778" s="551"/>
      <c r="R778" s="551"/>
      <c r="S778" s="551"/>
      <c r="T778" s="551"/>
      <c r="U778" s="551"/>
      <c r="V778" s="551"/>
      <c r="W778" s="551"/>
      <c r="X778" s="551"/>
      <c r="Y778" s="551"/>
      <c r="Z778" s="551"/>
      <c r="AA778" s="551"/>
      <c r="AB778" s="551"/>
      <c r="AC778" s="551"/>
      <c r="AD778" s="551"/>
      <c r="AE778" s="551"/>
      <c r="AF778" s="551"/>
      <c r="AG778" s="551"/>
      <c r="AH778" s="551"/>
      <c r="AI778" s="551"/>
      <c r="AJ778" s="551"/>
      <c r="AK778" s="551"/>
      <c r="AL778" s="551"/>
      <c r="AM778" s="551"/>
      <c r="AN778" s="551"/>
      <c r="AO778" s="551"/>
      <c r="AP778" s="551"/>
      <c r="AQ778" s="551"/>
      <c r="AR778" s="551"/>
      <c r="AS778" s="551"/>
      <c r="AT778" s="551"/>
      <c r="AU778" s="551"/>
      <c r="AV778" s="551"/>
      <c r="AW778" s="551"/>
      <c r="AX778" s="551"/>
      <c r="AY778" s="551"/>
      <c r="AZ778" s="551"/>
      <c r="BA778" s="551"/>
      <c r="BB778" s="551"/>
      <c r="BC778" s="551"/>
      <c r="BD778" s="551"/>
      <c r="BE778" s="551"/>
      <c r="BF778" s="551"/>
      <c r="BG778" s="551"/>
      <c r="BH778" s="551"/>
      <c r="BI778" s="551"/>
      <c r="BJ778" s="551"/>
    </row>
    <row r="779" spans="1:62" ht="12.75" customHeight="1">
      <c r="A779" s="551"/>
      <c r="B779" s="551"/>
      <c r="C779" s="551"/>
      <c r="D779" s="551"/>
      <c r="E779" s="551"/>
      <c r="F779" s="551"/>
      <c r="G779" s="551"/>
      <c r="H779" s="551"/>
      <c r="I779" s="551"/>
      <c r="J779" s="551"/>
      <c r="K779" s="551"/>
      <c r="L779" s="551"/>
      <c r="M779" s="551"/>
      <c r="N779" s="551"/>
      <c r="O779" s="551"/>
      <c r="P779" s="551"/>
      <c r="Q779" s="551"/>
      <c r="R779" s="551"/>
      <c r="S779" s="551"/>
      <c r="T779" s="551"/>
      <c r="U779" s="551"/>
      <c r="V779" s="551"/>
      <c r="W779" s="551"/>
      <c r="X779" s="551"/>
      <c r="Y779" s="551"/>
      <c r="Z779" s="551"/>
      <c r="AA779" s="551"/>
      <c r="AB779" s="551"/>
      <c r="AC779" s="551"/>
      <c r="AD779" s="551"/>
      <c r="AE779" s="551"/>
      <c r="AF779" s="551"/>
      <c r="AG779" s="551"/>
      <c r="AH779" s="551"/>
      <c r="AI779" s="551"/>
      <c r="AJ779" s="551"/>
      <c r="AK779" s="551"/>
      <c r="AL779" s="551"/>
      <c r="AM779" s="551"/>
      <c r="AN779" s="551"/>
      <c r="AO779" s="551"/>
      <c r="AP779" s="551"/>
      <c r="AQ779" s="551"/>
      <c r="AR779" s="551"/>
      <c r="AS779" s="551"/>
      <c r="AT779" s="551"/>
      <c r="AU779" s="551"/>
      <c r="AV779" s="551"/>
      <c r="AW779" s="551"/>
      <c r="AX779" s="551"/>
      <c r="AY779" s="551"/>
      <c r="AZ779" s="551"/>
      <c r="BA779" s="551"/>
      <c r="BB779" s="551"/>
      <c r="BC779" s="551"/>
      <c r="BD779" s="551"/>
      <c r="BE779" s="551"/>
      <c r="BF779" s="551"/>
      <c r="BG779" s="551"/>
      <c r="BH779" s="551"/>
      <c r="BI779" s="551"/>
      <c r="BJ779" s="551"/>
    </row>
    <row r="780" spans="1:62" ht="12.75" customHeight="1">
      <c r="A780" s="551"/>
      <c r="B780" s="551"/>
      <c r="C780" s="551"/>
      <c r="D780" s="551"/>
      <c r="E780" s="551"/>
      <c r="F780" s="551"/>
      <c r="G780" s="551"/>
      <c r="H780" s="551"/>
      <c r="I780" s="551"/>
      <c r="J780" s="551"/>
      <c r="K780" s="551"/>
      <c r="L780" s="551"/>
      <c r="M780" s="551"/>
      <c r="N780" s="551"/>
      <c r="O780" s="551"/>
      <c r="P780" s="551"/>
      <c r="Q780" s="551"/>
      <c r="R780" s="551"/>
      <c r="S780" s="551"/>
      <c r="T780" s="551"/>
      <c r="U780" s="551"/>
      <c r="V780" s="551"/>
      <c r="W780" s="551"/>
      <c r="X780" s="551"/>
      <c r="Y780" s="551"/>
      <c r="Z780" s="551"/>
      <c r="AA780" s="551"/>
      <c r="AB780" s="551"/>
      <c r="AC780" s="551"/>
      <c r="AD780" s="551"/>
      <c r="AE780" s="551"/>
      <c r="AF780" s="551"/>
      <c r="AG780" s="551"/>
      <c r="AH780" s="551"/>
      <c r="AI780" s="551"/>
      <c r="AJ780" s="551"/>
      <c r="AK780" s="551"/>
      <c r="AL780" s="551"/>
      <c r="AM780" s="551"/>
      <c r="AN780" s="551"/>
      <c r="AO780" s="551"/>
      <c r="AP780" s="551"/>
      <c r="AQ780" s="551"/>
      <c r="AR780" s="551"/>
      <c r="AS780" s="551"/>
      <c r="AT780" s="551"/>
      <c r="AU780" s="551"/>
      <c r="AV780" s="551"/>
      <c r="AW780" s="551"/>
      <c r="AX780" s="551"/>
      <c r="AY780" s="551"/>
      <c r="AZ780" s="551"/>
      <c r="BA780" s="551"/>
      <c r="BB780" s="551"/>
      <c r="BC780" s="551"/>
      <c r="BD780" s="551"/>
      <c r="BE780" s="551"/>
      <c r="BF780" s="551"/>
      <c r="BG780" s="551"/>
      <c r="BH780" s="551"/>
      <c r="BI780" s="551"/>
      <c r="BJ780" s="551"/>
    </row>
    <row r="781" spans="1:62" ht="12.75" customHeight="1">
      <c r="A781" s="551"/>
      <c r="B781" s="551"/>
      <c r="C781" s="551"/>
      <c r="D781" s="551"/>
      <c r="E781" s="551"/>
      <c r="F781" s="551"/>
      <c r="G781" s="551"/>
      <c r="H781" s="551"/>
      <c r="I781" s="551"/>
      <c r="J781" s="551"/>
      <c r="K781" s="551"/>
      <c r="L781" s="551"/>
      <c r="M781" s="551"/>
      <c r="N781" s="551"/>
      <c r="O781" s="551"/>
      <c r="P781" s="551"/>
      <c r="Q781" s="551"/>
      <c r="R781" s="551"/>
      <c r="S781" s="551"/>
      <c r="T781" s="551"/>
      <c r="U781" s="551"/>
      <c r="V781" s="551"/>
      <c r="W781" s="551"/>
      <c r="X781" s="551"/>
      <c r="Y781" s="551"/>
      <c r="Z781" s="551"/>
      <c r="AA781" s="551"/>
      <c r="AB781" s="551"/>
      <c r="AC781" s="551"/>
      <c r="AD781" s="551"/>
      <c r="AE781" s="551"/>
      <c r="AF781" s="551"/>
      <c r="AG781" s="551"/>
      <c r="AH781" s="551"/>
      <c r="AI781" s="551"/>
      <c r="AJ781" s="551"/>
      <c r="AK781" s="551"/>
      <c r="AL781" s="551"/>
      <c r="AM781" s="551"/>
      <c r="AN781" s="551"/>
      <c r="AO781" s="551"/>
      <c r="AP781" s="551"/>
      <c r="AQ781" s="551"/>
      <c r="AR781" s="551"/>
      <c r="AS781" s="551"/>
      <c r="AT781" s="551"/>
      <c r="AU781" s="551"/>
      <c r="AV781" s="551"/>
      <c r="AW781" s="551"/>
      <c r="AX781" s="551"/>
      <c r="AY781" s="551"/>
      <c r="AZ781" s="551"/>
      <c r="BA781" s="551"/>
      <c r="BB781" s="551"/>
      <c r="BC781" s="551"/>
      <c r="BD781" s="551"/>
      <c r="BE781" s="551"/>
      <c r="BF781" s="551"/>
      <c r="BG781" s="551"/>
      <c r="BH781" s="551"/>
      <c r="BI781" s="551"/>
      <c r="BJ781" s="551"/>
    </row>
    <row r="782" spans="1:62" ht="12.75" customHeight="1">
      <c r="A782" s="551"/>
      <c r="B782" s="551"/>
      <c r="C782" s="551"/>
      <c r="D782" s="551"/>
      <c r="E782" s="551"/>
      <c r="F782" s="551"/>
      <c r="G782" s="551"/>
      <c r="H782" s="551"/>
      <c r="I782" s="551"/>
      <c r="J782" s="551"/>
      <c r="K782" s="551"/>
      <c r="L782" s="551"/>
      <c r="M782" s="551"/>
      <c r="N782" s="551"/>
      <c r="O782" s="551"/>
      <c r="P782" s="551"/>
      <c r="Q782" s="551"/>
      <c r="R782" s="551"/>
      <c r="S782" s="551"/>
      <c r="T782" s="551"/>
      <c r="U782" s="551"/>
      <c r="V782" s="551"/>
      <c r="W782" s="551"/>
      <c r="X782" s="551"/>
      <c r="Y782" s="551"/>
      <c r="Z782" s="551"/>
      <c r="AA782" s="551"/>
      <c r="AB782" s="551"/>
      <c r="AC782" s="551"/>
      <c r="AD782" s="551"/>
      <c r="AE782" s="551"/>
      <c r="AF782" s="551"/>
      <c r="AG782" s="551"/>
      <c r="AH782" s="551"/>
      <c r="AI782" s="551"/>
      <c r="AJ782" s="551"/>
      <c r="AK782" s="551"/>
      <c r="AL782" s="551"/>
      <c r="AM782" s="551"/>
      <c r="AN782" s="551"/>
      <c r="AO782" s="551"/>
      <c r="AP782" s="551"/>
      <c r="AQ782" s="551"/>
      <c r="AR782" s="551"/>
      <c r="AS782" s="551"/>
      <c r="AT782" s="551"/>
      <c r="AU782" s="551"/>
      <c r="AV782" s="551"/>
      <c r="AW782" s="551"/>
      <c r="AX782" s="551"/>
      <c r="AY782" s="551"/>
      <c r="AZ782" s="551"/>
      <c r="BA782" s="551"/>
      <c r="BB782" s="551"/>
      <c r="BC782" s="551"/>
      <c r="BD782" s="551"/>
      <c r="BE782" s="551"/>
      <c r="BF782" s="551"/>
      <c r="BG782" s="551"/>
      <c r="BH782" s="551"/>
      <c r="BI782" s="551"/>
      <c r="BJ782" s="551"/>
    </row>
    <row r="783" spans="1:62" ht="12.75" customHeight="1">
      <c r="A783" s="551"/>
      <c r="B783" s="551"/>
      <c r="C783" s="551"/>
      <c r="D783" s="551"/>
      <c r="E783" s="551"/>
      <c r="F783" s="551"/>
      <c r="G783" s="551"/>
      <c r="H783" s="551"/>
      <c r="I783" s="551"/>
      <c r="J783" s="551"/>
      <c r="K783" s="551"/>
      <c r="L783" s="551"/>
      <c r="M783" s="551"/>
      <c r="N783" s="551"/>
      <c r="O783" s="551"/>
      <c r="P783" s="551"/>
      <c r="Q783" s="551"/>
      <c r="R783" s="551"/>
      <c r="S783" s="551"/>
      <c r="T783" s="551"/>
      <c r="U783" s="551"/>
      <c r="V783" s="551"/>
      <c r="W783" s="551"/>
      <c r="X783" s="551"/>
      <c r="Y783" s="551"/>
      <c r="Z783" s="551"/>
      <c r="AA783" s="551"/>
      <c r="AB783" s="551"/>
      <c r="AC783" s="551"/>
      <c r="AD783" s="551"/>
      <c r="AE783" s="551"/>
      <c r="AF783" s="551"/>
      <c r="AG783" s="551"/>
      <c r="AH783" s="551"/>
      <c r="AI783" s="551"/>
      <c r="AJ783" s="551"/>
      <c r="AK783" s="551"/>
      <c r="AL783" s="551"/>
      <c r="AM783" s="551"/>
      <c r="AN783" s="551"/>
      <c r="AO783" s="551"/>
      <c r="AP783" s="551"/>
      <c r="AQ783" s="551"/>
      <c r="AR783" s="551"/>
      <c r="AS783" s="551"/>
      <c r="AT783" s="551"/>
      <c r="AU783" s="551"/>
      <c r="AV783" s="551"/>
      <c r="AW783" s="551"/>
      <c r="AX783" s="551"/>
      <c r="AY783" s="551"/>
      <c r="AZ783" s="551"/>
      <c r="BA783" s="551"/>
      <c r="BB783" s="551"/>
      <c r="BC783" s="551"/>
      <c r="BD783" s="551"/>
      <c r="BE783" s="551"/>
      <c r="BF783" s="551"/>
      <c r="BG783" s="551"/>
      <c r="BH783" s="551"/>
      <c r="BI783" s="551"/>
      <c r="BJ783" s="551"/>
    </row>
    <row r="784" spans="1:62" ht="12.75" customHeight="1">
      <c r="A784" s="551"/>
      <c r="B784" s="551"/>
      <c r="C784" s="551"/>
      <c r="D784" s="551"/>
      <c r="E784" s="551"/>
      <c r="F784" s="551"/>
      <c r="G784" s="551"/>
      <c r="H784" s="551"/>
      <c r="I784" s="551"/>
      <c r="J784" s="551"/>
      <c r="K784" s="551"/>
      <c r="L784" s="551"/>
      <c r="M784" s="551"/>
      <c r="N784" s="551"/>
      <c r="O784" s="551"/>
      <c r="P784" s="551"/>
      <c r="Q784" s="551"/>
      <c r="R784" s="551"/>
      <c r="S784" s="551"/>
      <c r="T784" s="551"/>
      <c r="U784" s="551"/>
      <c r="V784" s="551"/>
      <c r="W784" s="551"/>
      <c r="X784" s="551"/>
      <c r="Y784" s="551"/>
      <c r="Z784" s="551"/>
      <c r="AA784" s="551"/>
      <c r="AB784" s="551"/>
      <c r="AC784" s="551"/>
      <c r="AD784" s="551"/>
      <c r="AE784" s="551"/>
      <c r="AF784" s="551"/>
      <c r="AG784" s="551"/>
      <c r="AH784" s="551"/>
      <c r="AI784" s="551"/>
      <c r="AJ784" s="551"/>
      <c r="AK784" s="551"/>
      <c r="AL784" s="551"/>
      <c r="AM784" s="551"/>
      <c r="AN784" s="551"/>
      <c r="AO784" s="551"/>
      <c r="AP784" s="551"/>
      <c r="AQ784" s="551"/>
      <c r="AR784" s="551"/>
      <c r="AS784" s="551"/>
      <c r="AT784" s="551"/>
      <c r="AU784" s="551"/>
      <c r="AV784" s="551"/>
      <c r="AW784" s="551"/>
      <c r="AX784" s="551"/>
      <c r="AY784" s="551"/>
      <c r="AZ784" s="551"/>
      <c r="BA784" s="551"/>
      <c r="BB784" s="551"/>
      <c r="BC784" s="551"/>
      <c r="BD784" s="551"/>
      <c r="BE784" s="551"/>
      <c r="BF784" s="551"/>
      <c r="BG784" s="551"/>
      <c r="BH784" s="551"/>
      <c r="BI784" s="551"/>
      <c r="BJ784" s="551"/>
    </row>
    <row r="785" spans="1:62" ht="12.75" customHeight="1">
      <c r="A785" s="551"/>
      <c r="B785" s="551"/>
      <c r="C785" s="551"/>
      <c r="D785" s="551"/>
      <c r="E785" s="551"/>
      <c r="F785" s="551"/>
      <c r="G785" s="551"/>
      <c r="H785" s="551"/>
      <c r="I785" s="551"/>
      <c r="J785" s="551"/>
      <c r="K785" s="551"/>
      <c r="L785" s="551"/>
      <c r="M785" s="551"/>
      <c r="N785" s="551"/>
      <c r="O785" s="551"/>
      <c r="P785" s="551"/>
      <c r="Q785" s="551"/>
      <c r="R785" s="551"/>
      <c r="S785" s="551"/>
      <c r="T785" s="551"/>
      <c r="U785" s="551"/>
      <c r="V785" s="551"/>
      <c r="W785" s="551"/>
      <c r="X785" s="551"/>
      <c r="Y785" s="551"/>
      <c r="Z785" s="551"/>
      <c r="AA785" s="551"/>
      <c r="AB785" s="551"/>
      <c r="AC785" s="551"/>
      <c r="AD785" s="551"/>
      <c r="AE785" s="551"/>
      <c r="AF785" s="551"/>
      <c r="AG785" s="551"/>
      <c r="AH785" s="551"/>
      <c r="AI785" s="551"/>
      <c r="AJ785" s="551"/>
      <c r="AK785" s="551"/>
      <c r="AL785" s="551"/>
      <c r="AM785" s="551"/>
      <c r="AN785" s="551"/>
      <c r="AO785" s="551"/>
      <c r="AP785" s="551"/>
      <c r="AQ785" s="551"/>
      <c r="AR785" s="551"/>
      <c r="AS785" s="551"/>
      <c r="AT785" s="551"/>
      <c r="AU785" s="551"/>
      <c r="AV785" s="551"/>
      <c r="AW785" s="551"/>
      <c r="AX785" s="551"/>
      <c r="AY785" s="551"/>
      <c r="AZ785" s="551"/>
      <c r="BA785" s="551"/>
      <c r="BB785" s="551"/>
      <c r="BC785" s="551"/>
      <c r="BD785" s="551"/>
      <c r="BE785" s="551"/>
      <c r="BF785" s="551"/>
      <c r="BG785" s="551"/>
      <c r="BH785" s="551"/>
      <c r="BI785" s="551"/>
      <c r="BJ785" s="551"/>
    </row>
    <row r="786" spans="1:62" ht="12.75" customHeight="1">
      <c r="A786" s="551"/>
      <c r="B786" s="551"/>
      <c r="C786" s="551"/>
      <c r="D786" s="551"/>
      <c r="E786" s="551"/>
      <c r="F786" s="551"/>
      <c r="G786" s="551"/>
      <c r="H786" s="551"/>
      <c r="I786" s="551"/>
      <c r="J786" s="551"/>
      <c r="K786" s="551"/>
      <c r="L786" s="551"/>
      <c r="M786" s="551"/>
      <c r="N786" s="551"/>
      <c r="O786" s="551"/>
      <c r="P786" s="551"/>
      <c r="Q786" s="551"/>
      <c r="R786" s="551"/>
      <c r="S786" s="551"/>
      <c r="T786" s="551"/>
      <c r="U786" s="551"/>
      <c r="V786" s="551"/>
      <c r="W786" s="551"/>
      <c r="X786" s="551"/>
      <c r="Y786" s="551"/>
      <c r="Z786" s="551"/>
      <c r="AA786" s="551"/>
      <c r="AB786" s="551"/>
      <c r="AC786" s="551"/>
      <c r="AD786" s="551"/>
      <c r="AE786" s="551"/>
      <c r="AF786" s="551"/>
      <c r="AG786" s="551"/>
      <c r="AH786" s="551"/>
      <c r="AI786" s="551"/>
      <c r="AJ786" s="551"/>
      <c r="AK786" s="551"/>
      <c r="AL786" s="551"/>
      <c r="AM786" s="551"/>
      <c r="AN786" s="551"/>
      <c r="AO786" s="551"/>
      <c r="AP786" s="551"/>
      <c r="AQ786" s="551"/>
      <c r="AR786" s="551"/>
      <c r="AS786" s="551"/>
      <c r="AT786" s="551"/>
      <c r="AU786" s="551"/>
      <c r="AV786" s="551"/>
      <c r="AW786" s="551"/>
      <c r="AX786" s="551"/>
      <c r="AY786" s="551"/>
      <c r="AZ786" s="551"/>
      <c r="BA786" s="551"/>
      <c r="BB786" s="551"/>
      <c r="BC786" s="551"/>
      <c r="BD786" s="551"/>
      <c r="BE786" s="551"/>
      <c r="BF786" s="551"/>
      <c r="BG786" s="551"/>
      <c r="BH786" s="551"/>
      <c r="BI786" s="551"/>
      <c r="BJ786" s="551"/>
    </row>
    <row r="787" spans="1:62" ht="12.75" customHeight="1">
      <c r="A787" s="551"/>
      <c r="B787" s="551"/>
      <c r="C787" s="551"/>
      <c r="D787" s="551"/>
      <c r="E787" s="551"/>
      <c r="F787" s="551"/>
      <c r="G787" s="551"/>
      <c r="H787" s="551"/>
      <c r="I787" s="551"/>
      <c r="J787" s="551"/>
      <c r="K787" s="551"/>
      <c r="L787" s="551"/>
      <c r="M787" s="551"/>
      <c r="N787" s="551"/>
      <c r="O787" s="551"/>
      <c r="P787" s="551"/>
      <c r="Q787" s="551"/>
      <c r="R787" s="551"/>
      <c r="S787" s="551"/>
      <c r="T787" s="551"/>
      <c r="U787" s="551"/>
      <c r="V787" s="551"/>
      <c r="W787" s="551"/>
      <c r="X787" s="551"/>
      <c r="Y787" s="551"/>
      <c r="Z787" s="551"/>
      <c r="AA787" s="551"/>
      <c r="AB787" s="551"/>
      <c r="AC787" s="551"/>
      <c r="AD787" s="551"/>
      <c r="AE787" s="551"/>
      <c r="AF787" s="551"/>
      <c r="AG787" s="551"/>
      <c r="AH787" s="551"/>
      <c r="AI787" s="551"/>
      <c r="AJ787" s="551"/>
      <c r="AK787" s="551"/>
      <c r="AL787" s="551"/>
      <c r="AM787" s="551"/>
      <c r="AN787" s="551"/>
      <c r="AO787" s="551"/>
      <c r="AP787" s="551"/>
      <c r="AQ787" s="551"/>
      <c r="AR787" s="551"/>
      <c r="AS787" s="551"/>
      <c r="AT787" s="551"/>
      <c r="AU787" s="551"/>
      <c r="AV787" s="551"/>
      <c r="AW787" s="551"/>
      <c r="AX787" s="551"/>
      <c r="AY787" s="551"/>
      <c r="AZ787" s="551"/>
      <c r="BA787" s="551"/>
      <c r="BB787" s="551"/>
      <c r="BC787" s="551"/>
      <c r="BD787" s="551"/>
      <c r="BE787" s="551"/>
      <c r="BF787" s="551"/>
      <c r="BG787" s="551"/>
      <c r="BH787" s="551"/>
      <c r="BI787" s="551"/>
      <c r="BJ787" s="551"/>
    </row>
    <row r="788" spans="1:62" ht="12.75" customHeight="1">
      <c r="A788" s="551"/>
      <c r="B788" s="551"/>
      <c r="C788" s="551"/>
      <c r="D788" s="551"/>
      <c r="E788" s="551"/>
      <c r="F788" s="551"/>
      <c r="G788" s="551"/>
      <c r="H788" s="551"/>
      <c r="I788" s="551"/>
      <c r="J788" s="551"/>
      <c r="K788" s="551"/>
      <c r="L788" s="551"/>
      <c r="M788" s="551"/>
      <c r="N788" s="551"/>
      <c r="O788" s="551"/>
      <c r="P788" s="551"/>
      <c r="Q788" s="551"/>
      <c r="R788" s="551"/>
      <c r="S788" s="551"/>
      <c r="T788" s="551"/>
      <c r="U788" s="551"/>
      <c r="V788" s="551"/>
      <c r="W788" s="551"/>
      <c r="X788" s="551"/>
      <c r="Y788" s="551"/>
      <c r="Z788" s="551"/>
      <c r="AA788" s="551"/>
      <c r="AB788" s="551"/>
      <c r="AC788" s="551"/>
      <c r="AD788" s="551"/>
      <c r="AE788" s="551"/>
      <c r="AF788" s="551"/>
      <c r="AG788" s="551"/>
      <c r="AH788" s="551"/>
      <c r="AI788" s="551"/>
      <c r="AJ788" s="551"/>
      <c r="AK788" s="551"/>
      <c r="AL788" s="551"/>
      <c r="AM788" s="551"/>
      <c r="AN788" s="551"/>
      <c r="AO788" s="551"/>
      <c r="AP788" s="551"/>
      <c r="AQ788" s="551"/>
      <c r="AR788" s="551"/>
      <c r="AS788" s="551"/>
      <c r="AT788" s="551"/>
      <c r="AU788" s="551"/>
      <c r="AV788" s="551"/>
      <c r="AW788" s="551"/>
      <c r="AX788" s="551"/>
      <c r="AY788" s="551"/>
      <c r="AZ788" s="551"/>
      <c r="BA788" s="551"/>
      <c r="BB788" s="551"/>
      <c r="BC788" s="551"/>
      <c r="BD788" s="551"/>
      <c r="BE788" s="551"/>
      <c r="BF788" s="551"/>
      <c r="BG788" s="551"/>
      <c r="BH788" s="551"/>
      <c r="BI788" s="551"/>
      <c r="BJ788" s="551"/>
    </row>
    <row r="789" spans="1:62" ht="12.75" customHeight="1">
      <c r="A789" s="551"/>
      <c r="B789" s="551"/>
      <c r="C789" s="551"/>
      <c r="D789" s="551"/>
      <c r="E789" s="551"/>
      <c r="F789" s="551"/>
      <c r="G789" s="551"/>
      <c r="H789" s="551"/>
      <c r="I789" s="551"/>
      <c r="J789" s="551"/>
      <c r="K789" s="551"/>
      <c r="L789" s="551"/>
      <c r="M789" s="551"/>
      <c r="N789" s="551"/>
      <c r="O789" s="551"/>
      <c r="P789" s="551"/>
      <c r="Q789" s="551"/>
      <c r="R789" s="551"/>
      <c r="S789" s="551"/>
      <c r="T789" s="551"/>
      <c r="U789" s="551"/>
      <c r="V789" s="551"/>
      <c r="W789" s="551"/>
      <c r="X789" s="551"/>
      <c r="Y789" s="551"/>
      <c r="Z789" s="551"/>
      <c r="AA789" s="551"/>
      <c r="AB789" s="551"/>
      <c r="AC789" s="551"/>
      <c r="AD789" s="551"/>
      <c r="AE789" s="551"/>
      <c r="AF789" s="551"/>
      <c r="AG789" s="551"/>
      <c r="AH789" s="551"/>
      <c r="AI789" s="551"/>
      <c r="AJ789" s="551"/>
      <c r="AK789" s="551"/>
      <c r="AL789" s="551"/>
      <c r="AM789" s="551"/>
      <c r="AN789" s="551"/>
      <c r="AO789" s="551"/>
      <c r="AP789" s="551"/>
      <c r="AQ789" s="551"/>
      <c r="AR789" s="551"/>
      <c r="AS789" s="551"/>
      <c r="AT789" s="551"/>
      <c r="AU789" s="551"/>
      <c r="AV789" s="551"/>
      <c r="AW789" s="551"/>
      <c r="AX789" s="551"/>
      <c r="AY789" s="551"/>
      <c r="AZ789" s="551"/>
      <c r="BA789" s="551"/>
      <c r="BB789" s="551"/>
      <c r="BC789" s="551"/>
      <c r="BD789" s="551"/>
      <c r="BE789" s="551"/>
      <c r="BF789" s="551"/>
      <c r="BG789" s="551"/>
      <c r="BH789" s="551"/>
      <c r="BI789" s="551"/>
      <c r="BJ789" s="551"/>
    </row>
    <row r="790" spans="1:62" ht="12.75" customHeight="1">
      <c r="A790" s="551"/>
      <c r="B790" s="551"/>
      <c r="C790" s="551"/>
      <c r="D790" s="551"/>
      <c r="E790" s="551"/>
      <c r="F790" s="551"/>
      <c r="G790" s="551"/>
      <c r="H790" s="551"/>
      <c r="I790" s="551"/>
      <c r="J790" s="551"/>
      <c r="K790" s="551"/>
      <c r="L790" s="551"/>
      <c r="M790" s="551"/>
      <c r="N790" s="551"/>
      <c r="O790" s="551"/>
      <c r="P790" s="551"/>
      <c r="Q790" s="551"/>
      <c r="R790" s="551"/>
      <c r="S790" s="551"/>
      <c r="T790" s="551"/>
      <c r="U790" s="551"/>
      <c r="V790" s="551"/>
      <c r="W790" s="551"/>
      <c r="X790" s="551"/>
      <c r="Y790" s="551"/>
      <c r="Z790" s="551"/>
      <c r="AA790" s="551"/>
      <c r="AB790" s="551"/>
      <c r="AC790" s="551"/>
      <c r="AD790" s="551"/>
      <c r="AE790" s="551"/>
      <c r="AF790" s="551"/>
      <c r="AG790" s="551"/>
      <c r="AH790" s="551"/>
      <c r="AI790" s="551"/>
      <c r="AJ790" s="551"/>
      <c r="AK790" s="551"/>
      <c r="AL790" s="551"/>
      <c r="AM790" s="551"/>
      <c r="AN790" s="551"/>
      <c r="AO790" s="551"/>
      <c r="AP790" s="551"/>
      <c r="AQ790" s="551"/>
      <c r="AR790" s="551"/>
      <c r="AS790" s="551"/>
      <c r="AT790" s="551"/>
      <c r="AU790" s="551"/>
      <c r="AV790" s="551"/>
      <c r="AW790" s="551"/>
      <c r="AX790" s="551"/>
      <c r="AY790" s="551"/>
      <c r="AZ790" s="551"/>
      <c r="BA790" s="551"/>
      <c r="BB790" s="551"/>
      <c r="BC790" s="551"/>
      <c r="BD790" s="551"/>
      <c r="BE790" s="551"/>
      <c r="BF790" s="551"/>
      <c r="BG790" s="551"/>
      <c r="BH790" s="551"/>
      <c r="BI790" s="551"/>
      <c r="BJ790" s="551"/>
    </row>
    <row r="791" spans="1:62" ht="12.75" customHeight="1">
      <c r="A791" s="551"/>
      <c r="B791" s="551"/>
      <c r="C791" s="551"/>
      <c r="D791" s="551"/>
      <c r="E791" s="551"/>
      <c r="F791" s="551"/>
      <c r="G791" s="551"/>
      <c r="H791" s="551"/>
      <c r="I791" s="551"/>
      <c r="J791" s="551"/>
      <c r="K791" s="551"/>
      <c r="L791" s="551"/>
      <c r="M791" s="551"/>
      <c r="N791" s="551"/>
      <c r="O791" s="551"/>
      <c r="P791" s="551"/>
      <c r="Q791" s="551"/>
      <c r="R791" s="551"/>
      <c r="S791" s="551"/>
      <c r="T791" s="551"/>
      <c r="U791" s="551"/>
      <c r="V791" s="551"/>
      <c r="W791" s="551"/>
      <c r="X791" s="551"/>
      <c r="Y791" s="551"/>
      <c r="Z791" s="551"/>
      <c r="AA791" s="551"/>
      <c r="AB791" s="551"/>
      <c r="AC791" s="551"/>
      <c r="AD791" s="551"/>
      <c r="AE791" s="551"/>
      <c r="AF791" s="551"/>
      <c r="AG791" s="551"/>
      <c r="AH791" s="551"/>
      <c r="AI791" s="551"/>
      <c r="AJ791" s="551"/>
      <c r="AK791" s="551"/>
      <c r="AL791" s="551"/>
      <c r="AM791" s="551"/>
      <c r="AN791" s="551"/>
      <c r="AO791" s="551"/>
      <c r="AP791" s="551"/>
      <c r="AQ791" s="551"/>
      <c r="AR791" s="551"/>
      <c r="AS791" s="551"/>
      <c r="AT791" s="551"/>
      <c r="AU791" s="551"/>
      <c r="AV791" s="551"/>
      <c r="AW791" s="551"/>
      <c r="AX791" s="551"/>
      <c r="AY791" s="551"/>
      <c r="AZ791" s="551"/>
      <c r="BA791" s="551"/>
      <c r="BB791" s="551"/>
      <c r="BC791" s="551"/>
      <c r="BD791" s="551"/>
      <c r="BE791" s="551"/>
      <c r="BF791" s="551"/>
      <c r="BG791" s="551"/>
      <c r="BH791" s="551"/>
      <c r="BI791" s="551"/>
      <c r="BJ791" s="551"/>
    </row>
    <row r="792" spans="1:62" ht="12.75" customHeight="1">
      <c r="A792" s="551"/>
      <c r="B792" s="551"/>
      <c r="C792" s="551"/>
      <c r="D792" s="551"/>
      <c r="E792" s="551"/>
      <c r="F792" s="551"/>
      <c r="G792" s="551"/>
      <c r="H792" s="551"/>
      <c r="I792" s="551"/>
      <c r="J792" s="551"/>
      <c r="K792" s="551"/>
      <c r="L792" s="551"/>
      <c r="M792" s="551"/>
      <c r="N792" s="551"/>
      <c r="O792" s="551"/>
      <c r="P792" s="551"/>
      <c r="Q792" s="551"/>
      <c r="R792" s="551"/>
      <c r="S792" s="551"/>
      <c r="T792" s="551"/>
      <c r="U792" s="551"/>
      <c r="V792" s="551"/>
      <c r="W792" s="551"/>
      <c r="X792" s="551"/>
      <c r="Y792" s="551"/>
      <c r="Z792" s="551"/>
      <c r="AA792" s="551"/>
      <c r="AB792" s="551"/>
      <c r="AC792" s="551"/>
      <c r="AD792" s="551"/>
      <c r="AE792" s="551"/>
      <c r="AF792" s="551"/>
      <c r="AG792" s="551"/>
      <c r="AH792" s="551"/>
      <c r="AI792" s="551"/>
      <c r="AJ792" s="551"/>
      <c r="AK792" s="551"/>
      <c r="AL792" s="551"/>
      <c r="AM792" s="551"/>
      <c r="AN792" s="551"/>
      <c r="AO792" s="551"/>
      <c r="AP792" s="551"/>
      <c r="AQ792" s="551"/>
      <c r="AR792" s="551"/>
      <c r="AS792" s="551"/>
      <c r="AT792" s="551"/>
      <c r="AU792" s="551"/>
      <c r="AV792" s="551"/>
      <c r="AW792" s="551"/>
      <c r="AX792" s="551"/>
      <c r="AY792" s="551"/>
      <c r="AZ792" s="551"/>
      <c r="BA792" s="551"/>
      <c r="BB792" s="551"/>
      <c r="BC792" s="551"/>
      <c r="BD792" s="551"/>
      <c r="BE792" s="551"/>
      <c r="BF792" s="551"/>
      <c r="BG792" s="551"/>
      <c r="BH792" s="551"/>
      <c r="BI792" s="551"/>
      <c r="BJ792" s="551"/>
    </row>
    <row r="793" spans="1:62" ht="12.75" customHeight="1">
      <c r="A793" s="551"/>
      <c r="B793" s="551"/>
      <c r="C793" s="551"/>
      <c r="D793" s="551"/>
      <c r="E793" s="551"/>
      <c r="F793" s="551"/>
      <c r="G793" s="551"/>
      <c r="H793" s="551"/>
      <c r="I793" s="551"/>
      <c r="J793" s="551"/>
      <c r="K793" s="551"/>
      <c r="L793" s="551"/>
      <c r="M793" s="551"/>
      <c r="N793" s="551"/>
      <c r="O793" s="551"/>
      <c r="P793" s="551"/>
      <c r="Q793" s="551"/>
      <c r="R793" s="551"/>
      <c r="S793" s="551"/>
      <c r="T793" s="551"/>
      <c r="U793" s="551"/>
      <c r="V793" s="551"/>
      <c r="W793" s="551"/>
      <c r="X793" s="551"/>
      <c r="Y793" s="551"/>
      <c r="Z793" s="551"/>
      <c r="AA793" s="551"/>
      <c r="AB793" s="551"/>
      <c r="AC793" s="551"/>
      <c r="AD793" s="551"/>
      <c r="AE793" s="551"/>
      <c r="AF793" s="551"/>
      <c r="AG793" s="551"/>
      <c r="AH793" s="551"/>
      <c r="AI793" s="551"/>
      <c r="AJ793" s="551"/>
      <c r="AK793" s="551"/>
      <c r="AL793" s="551"/>
      <c r="AM793" s="551"/>
      <c r="AN793" s="551"/>
      <c r="AO793" s="551"/>
      <c r="AP793" s="551"/>
      <c r="AQ793" s="551"/>
      <c r="AR793" s="551"/>
      <c r="AS793" s="551"/>
      <c r="AT793" s="551"/>
      <c r="AU793" s="551"/>
      <c r="AV793" s="551"/>
      <c r="AW793" s="551"/>
      <c r="AX793" s="551"/>
      <c r="AY793" s="551"/>
      <c r="AZ793" s="551"/>
      <c r="BA793" s="551"/>
      <c r="BB793" s="551"/>
      <c r="BC793" s="551"/>
      <c r="BD793" s="551"/>
      <c r="BE793" s="551"/>
      <c r="BF793" s="551"/>
      <c r="BG793" s="551"/>
      <c r="BH793" s="551"/>
      <c r="BI793" s="551"/>
      <c r="BJ793" s="551"/>
    </row>
    <row r="794" spans="1:62" ht="12.75" customHeight="1">
      <c r="A794" s="551"/>
      <c r="B794" s="551"/>
      <c r="C794" s="551"/>
      <c r="D794" s="551"/>
      <c r="E794" s="551"/>
      <c r="F794" s="551"/>
      <c r="G794" s="551"/>
      <c r="H794" s="551"/>
      <c r="I794" s="551"/>
      <c r="J794" s="551"/>
      <c r="K794" s="551"/>
      <c r="L794" s="551"/>
      <c r="M794" s="551"/>
      <c r="N794" s="551"/>
      <c r="O794" s="551"/>
      <c r="P794" s="551"/>
      <c r="Q794" s="551"/>
      <c r="R794" s="551"/>
      <c r="S794" s="551"/>
      <c r="T794" s="551"/>
      <c r="U794" s="551"/>
      <c r="V794" s="551"/>
      <c r="W794" s="551"/>
      <c r="X794" s="551"/>
      <c r="Y794" s="551"/>
      <c r="Z794" s="551"/>
      <c r="AA794" s="551"/>
      <c r="AB794" s="551"/>
      <c r="AC794" s="551"/>
      <c r="AD794" s="551"/>
      <c r="AE794" s="551"/>
      <c r="AF794" s="551"/>
      <c r="AG794" s="551"/>
      <c r="AH794" s="551"/>
      <c r="AI794" s="551"/>
      <c r="AJ794" s="551"/>
      <c r="AK794" s="551"/>
      <c r="AL794" s="551"/>
      <c r="AM794" s="551"/>
      <c r="AN794" s="551"/>
      <c r="AO794" s="551"/>
      <c r="AP794" s="551"/>
      <c r="AQ794" s="551"/>
      <c r="AR794" s="551"/>
      <c r="AS794" s="551"/>
      <c r="AT794" s="551"/>
      <c r="AU794" s="551"/>
      <c r="AV794" s="551"/>
      <c r="AW794" s="551"/>
      <c r="AX794" s="551"/>
      <c r="AY794" s="551"/>
      <c r="AZ794" s="551"/>
      <c r="BA794" s="551"/>
      <c r="BB794" s="551"/>
      <c r="BC794" s="551"/>
      <c r="BD794" s="551"/>
      <c r="BE794" s="551"/>
      <c r="BF794" s="551"/>
      <c r="BG794" s="551"/>
      <c r="BH794" s="551"/>
      <c r="BI794" s="551"/>
      <c r="BJ794" s="551"/>
    </row>
    <row r="795" spans="1:62" ht="12.75" customHeight="1">
      <c r="A795" s="551"/>
      <c r="B795" s="551"/>
      <c r="C795" s="551"/>
      <c r="D795" s="551"/>
      <c r="E795" s="551"/>
      <c r="F795" s="551"/>
      <c r="G795" s="551"/>
      <c r="H795" s="551"/>
      <c r="I795" s="551"/>
      <c r="J795" s="551"/>
      <c r="K795" s="551"/>
      <c r="L795" s="551"/>
      <c r="M795" s="551"/>
      <c r="N795" s="551"/>
      <c r="O795" s="551"/>
      <c r="P795" s="551"/>
      <c r="Q795" s="551"/>
      <c r="R795" s="551"/>
      <c r="S795" s="551"/>
      <c r="T795" s="551"/>
      <c r="U795" s="551"/>
      <c r="V795" s="551"/>
      <c r="W795" s="551"/>
      <c r="X795" s="551"/>
      <c r="Y795" s="551"/>
      <c r="Z795" s="551"/>
      <c r="AA795" s="551"/>
      <c r="AB795" s="551"/>
      <c r="AC795" s="551"/>
      <c r="AD795" s="551"/>
      <c r="AE795" s="551"/>
      <c r="AF795" s="551"/>
      <c r="AG795" s="551"/>
      <c r="AH795" s="551"/>
      <c r="AI795" s="551"/>
      <c r="AJ795" s="551"/>
      <c r="AK795" s="551"/>
      <c r="AL795" s="551"/>
      <c r="AM795" s="551"/>
      <c r="AN795" s="551"/>
      <c r="AO795" s="551"/>
      <c r="AP795" s="551"/>
      <c r="AQ795" s="551"/>
      <c r="AR795" s="551"/>
      <c r="AS795" s="551"/>
      <c r="AT795" s="551"/>
      <c r="AU795" s="551"/>
      <c r="AV795" s="551"/>
      <c r="AW795" s="551"/>
      <c r="AX795" s="551"/>
      <c r="AY795" s="551"/>
      <c r="AZ795" s="551"/>
      <c r="BA795" s="551"/>
      <c r="BB795" s="551"/>
      <c r="BC795" s="551"/>
      <c r="BD795" s="551"/>
      <c r="BE795" s="551"/>
      <c r="BF795" s="551"/>
      <c r="BG795" s="551"/>
      <c r="BH795" s="551"/>
      <c r="BI795" s="551"/>
      <c r="BJ795" s="551"/>
    </row>
    <row r="796" spans="1:62" ht="12.75" customHeight="1">
      <c r="A796" s="551"/>
      <c r="B796" s="551"/>
      <c r="C796" s="551"/>
      <c r="D796" s="551"/>
      <c r="E796" s="551"/>
      <c r="F796" s="551"/>
      <c r="G796" s="551"/>
      <c r="H796" s="551"/>
      <c r="I796" s="551"/>
      <c r="J796" s="551"/>
      <c r="K796" s="551"/>
      <c r="L796" s="551"/>
      <c r="M796" s="551"/>
      <c r="N796" s="551"/>
      <c r="O796" s="551"/>
      <c r="P796" s="551"/>
      <c r="Q796" s="551"/>
      <c r="R796" s="551"/>
      <c r="S796" s="551"/>
      <c r="T796" s="551"/>
      <c r="U796" s="551"/>
      <c r="V796" s="551"/>
      <c r="W796" s="551"/>
      <c r="X796" s="551"/>
      <c r="Y796" s="551"/>
      <c r="Z796" s="551"/>
      <c r="AA796" s="551"/>
      <c r="AB796" s="551"/>
      <c r="AC796" s="551"/>
      <c r="AD796" s="551"/>
      <c r="AE796" s="551"/>
      <c r="AF796" s="551"/>
      <c r="AG796" s="551"/>
      <c r="AH796" s="551"/>
      <c r="AI796" s="551"/>
      <c r="AJ796" s="551"/>
      <c r="AK796" s="551"/>
      <c r="AL796" s="551"/>
      <c r="AM796" s="551"/>
      <c r="AN796" s="551"/>
      <c r="AO796" s="551"/>
      <c r="AP796" s="551"/>
      <c r="AQ796" s="551"/>
      <c r="AR796" s="551"/>
      <c r="AS796" s="551"/>
      <c r="AT796" s="551"/>
      <c r="AU796" s="551"/>
      <c r="AV796" s="551"/>
      <c r="AW796" s="551"/>
      <c r="AX796" s="551"/>
      <c r="AY796" s="551"/>
      <c r="AZ796" s="551"/>
      <c r="BA796" s="551"/>
      <c r="BB796" s="551"/>
      <c r="BC796" s="551"/>
      <c r="BD796" s="551"/>
      <c r="BE796" s="551"/>
      <c r="BF796" s="551"/>
      <c r="BG796" s="551"/>
      <c r="BH796" s="551"/>
      <c r="BI796" s="551"/>
      <c r="BJ796" s="551"/>
    </row>
    <row r="797" spans="1:62" ht="12.75" customHeight="1">
      <c r="A797" s="551"/>
      <c r="B797" s="551"/>
      <c r="C797" s="551"/>
      <c r="D797" s="551"/>
      <c r="E797" s="551"/>
      <c r="F797" s="551"/>
      <c r="G797" s="551"/>
      <c r="H797" s="551"/>
      <c r="I797" s="551"/>
      <c r="J797" s="551"/>
      <c r="K797" s="551"/>
      <c r="L797" s="551"/>
      <c r="M797" s="551"/>
      <c r="N797" s="551"/>
      <c r="O797" s="551"/>
      <c r="P797" s="551"/>
      <c r="Q797" s="551"/>
      <c r="R797" s="551"/>
      <c r="S797" s="551"/>
      <c r="T797" s="551"/>
      <c r="U797" s="551"/>
      <c r="V797" s="551"/>
      <c r="W797" s="551"/>
      <c r="X797" s="551"/>
      <c r="Y797" s="551"/>
      <c r="Z797" s="551"/>
      <c r="AA797" s="551"/>
      <c r="AB797" s="551"/>
      <c r="AC797" s="551"/>
      <c r="AD797" s="551"/>
      <c r="AE797" s="551"/>
      <c r="AF797" s="551"/>
      <c r="AG797" s="551"/>
      <c r="AH797" s="551"/>
      <c r="AI797" s="551"/>
      <c r="AJ797" s="551"/>
      <c r="AK797" s="551"/>
      <c r="AL797" s="551"/>
      <c r="AM797" s="551"/>
      <c r="AN797" s="551"/>
      <c r="AO797" s="551"/>
      <c r="AP797" s="551"/>
      <c r="AQ797" s="551"/>
      <c r="AR797" s="551"/>
      <c r="AS797" s="551"/>
      <c r="AT797" s="551"/>
      <c r="AU797" s="551"/>
      <c r="AV797" s="551"/>
      <c r="AW797" s="551"/>
      <c r="AX797" s="551"/>
      <c r="AY797" s="551"/>
      <c r="AZ797" s="551"/>
      <c r="BA797" s="551"/>
      <c r="BB797" s="551"/>
      <c r="BC797" s="551"/>
      <c r="BD797" s="551"/>
      <c r="BE797" s="551"/>
      <c r="BF797" s="551"/>
      <c r="BG797" s="551"/>
      <c r="BH797" s="551"/>
      <c r="BI797" s="551"/>
      <c r="BJ797" s="551"/>
    </row>
    <row r="798" spans="1:62" ht="12.75" customHeight="1">
      <c r="A798" s="551"/>
      <c r="B798" s="551"/>
      <c r="C798" s="551"/>
      <c r="D798" s="551"/>
      <c r="E798" s="551"/>
      <c r="F798" s="551"/>
      <c r="G798" s="551"/>
      <c r="H798" s="551"/>
      <c r="I798" s="551"/>
      <c r="J798" s="551"/>
      <c r="K798" s="551"/>
      <c r="L798" s="551"/>
      <c r="M798" s="551"/>
      <c r="N798" s="551"/>
      <c r="O798" s="551"/>
      <c r="P798" s="551"/>
      <c r="Q798" s="551"/>
      <c r="R798" s="551"/>
      <c r="S798" s="551"/>
      <c r="T798" s="551"/>
      <c r="U798" s="551"/>
      <c r="V798" s="551"/>
      <c r="W798" s="551"/>
      <c r="X798" s="551"/>
      <c r="Y798" s="551"/>
      <c r="Z798" s="551"/>
      <c r="AA798" s="551"/>
      <c r="AB798" s="551"/>
      <c r="AC798" s="551"/>
      <c r="AD798" s="551"/>
      <c r="AE798" s="551"/>
      <c r="AF798" s="551"/>
      <c r="AG798" s="551"/>
      <c r="AH798" s="551"/>
      <c r="AI798" s="551"/>
      <c r="AJ798" s="551"/>
      <c r="AK798" s="551"/>
      <c r="AL798" s="551"/>
      <c r="AM798" s="551"/>
      <c r="AN798" s="551"/>
      <c r="AO798" s="551"/>
      <c r="AP798" s="551"/>
      <c r="AQ798" s="551"/>
      <c r="AR798" s="551"/>
      <c r="AS798" s="551"/>
      <c r="AT798" s="551"/>
      <c r="AU798" s="551"/>
      <c r="AV798" s="551"/>
      <c r="AW798" s="551"/>
      <c r="AX798" s="551"/>
      <c r="AY798" s="551"/>
      <c r="AZ798" s="551"/>
      <c r="BA798" s="551"/>
      <c r="BB798" s="551"/>
      <c r="BC798" s="551"/>
      <c r="BD798" s="551"/>
      <c r="BE798" s="551"/>
      <c r="BF798" s="551"/>
      <c r="BG798" s="551"/>
      <c r="BH798" s="551"/>
      <c r="BI798" s="551"/>
      <c r="BJ798" s="551"/>
    </row>
    <row r="799" spans="1:62" ht="12.75" customHeight="1">
      <c r="A799" s="551"/>
      <c r="B799" s="551"/>
      <c r="C799" s="551"/>
      <c r="D799" s="551"/>
      <c r="E799" s="551"/>
      <c r="F799" s="551"/>
      <c r="G799" s="551"/>
      <c r="H799" s="551"/>
      <c r="I799" s="551"/>
      <c r="J799" s="551"/>
      <c r="K799" s="551"/>
      <c r="L799" s="551"/>
      <c r="M799" s="551"/>
      <c r="N799" s="551"/>
      <c r="O799" s="551"/>
      <c r="P799" s="551"/>
      <c r="Q799" s="551"/>
      <c r="R799" s="551"/>
      <c r="S799" s="551"/>
      <c r="T799" s="551"/>
      <c r="U799" s="551"/>
      <c r="V799" s="551"/>
      <c r="W799" s="551"/>
      <c r="X799" s="551"/>
      <c r="Y799" s="551"/>
      <c r="Z799" s="551"/>
      <c r="AA799" s="551"/>
      <c r="AB799" s="551"/>
      <c r="AC799" s="551"/>
      <c r="AD799" s="551"/>
      <c r="AE799" s="551"/>
      <c r="AF799" s="551"/>
      <c r="AG799" s="551"/>
      <c r="AH799" s="551"/>
      <c r="AI799" s="551"/>
      <c r="AJ799" s="551"/>
      <c r="AK799" s="551"/>
      <c r="AL799" s="551"/>
      <c r="AM799" s="551"/>
      <c r="AN799" s="551"/>
      <c r="AO799" s="551"/>
      <c r="AP799" s="551"/>
      <c r="AQ799" s="551"/>
      <c r="AR799" s="551"/>
      <c r="AS799" s="551"/>
      <c r="AT799" s="551"/>
      <c r="AU799" s="551"/>
      <c r="AV799" s="551"/>
      <c r="AW799" s="551"/>
      <c r="AX799" s="551"/>
      <c r="AY799" s="551"/>
      <c r="AZ799" s="551"/>
      <c r="BA799" s="551"/>
      <c r="BB799" s="551"/>
      <c r="BC799" s="551"/>
      <c r="BD799" s="551"/>
      <c r="BE799" s="551"/>
      <c r="BF799" s="551"/>
      <c r="BG799" s="551"/>
      <c r="BH799" s="551"/>
      <c r="BI799" s="551"/>
      <c r="BJ799" s="551"/>
    </row>
    <row r="800" spans="1:62" ht="12.75" customHeight="1">
      <c r="A800" s="551"/>
      <c r="B800" s="551"/>
      <c r="C800" s="551"/>
      <c r="D800" s="551"/>
      <c r="E800" s="551"/>
      <c r="F800" s="551"/>
      <c r="G800" s="551"/>
      <c r="H800" s="551"/>
      <c r="I800" s="551"/>
      <c r="J800" s="551"/>
      <c r="K800" s="551"/>
      <c r="L800" s="551"/>
      <c r="M800" s="551"/>
      <c r="N800" s="551"/>
      <c r="O800" s="551"/>
      <c r="P800" s="551"/>
      <c r="Q800" s="551"/>
      <c r="R800" s="551"/>
      <c r="S800" s="551"/>
      <c r="T800" s="551"/>
      <c r="U800" s="551"/>
      <c r="V800" s="551"/>
      <c r="W800" s="551"/>
      <c r="X800" s="551"/>
      <c r="Y800" s="551"/>
      <c r="Z800" s="551"/>
      <c r="AA800" s="551"/>
      <c r="AB800" s="551"/>
      <c r="AC800" s="551"/>
      <c r="AD800" s="551"/>
      <c r="AE800" s="551"/>
      <c r="AF800" s="551"/>
      <c r="AG800" s="551"/>
      <c r="AH800" s="551"/>
      <c r="AI800" s="551"/>
      <c r="AJ800" s="551"/>
      <c r="AK800" s="551"/>
      <c r="AL800" s="551"/>
      <c r="AM800" s="551"/>
      <c r="AN800" s="551"/>
      <c r="AO800" s="551"/>
      <c r="AP800" s="551"/>
      <c r="AQ800" s="551"/>
      <c r="AR800" s="551"/>
      <c r="AS800" s="551"/>
      <c r="AT800" s="551"/>
      <c r="AU800" s="551"/>
      <c r="AV800" s="551"/>
      <c r="AW800" s="551"/>
      <c r="AX800" s="551"/>
      <c r="AY800" s="551"/>
      <c r="AZ800" s="551"/>
      <c r="BA800" s="551"/>
      <c r="BB800" s="551"/>
      <c r="BC800" s="551"/>
      <c r="BD800" s="551"/>
      <c r="BE800" s="551"/>
      <c r="BF800" s="551"/>
      <c r="BG800" s="551"/>
      <c r="BH800" s="551"/>
      <c r="BI800" s="551"/>
      <c r="BJ800" s="551"/>
    </row>
    <row r="801" spans="1:62" ht="12.75" customHeight="1">
      <c r="A801" s="551"/>
      <c r="B801" s="551"/>
      <c r="C801" s="551"/>
      <c r="D801" s="551"/>
      <c r="E801" s="551"/>
      <c r="F801" s="551"/>
      <c r="G801" s="551"/>
      <c r="H801" s="551"/>
      <c r="I801" s="551"/>
      <c r="J801" s="551"/>
      <c r="K801" s="551"/>
      <c r="L801" s="551"/>
      <c r="M801" s="551"/>
      <c r="N801" s="551"/>
      <c r="O801" s="551"/>
      <c r="P801" s="551"/>
      <c r="Q801" s="551"/>
      <c r="R801" s="551"/>
      <c r="S801" s="551"/>
      <c r="T801" s="551"/>
      <c r="U801" s="551"/>
      <c r="V801" s="551"/>
      <c r="W801" s="551"/>
      <c r="X801" s="551"/>
      <c r="Y801" s="551"/>
      <c r="Z801" s="551"/>
      <c r="AA801" s="551"/>
      <c r="AB801" s="551"/>
      <c r="AC801" s="551"/>
      <c r="AD801" s="551"/>
      <c r="AE801" s="551"/>
      <c r="AF801" s="551"/>
      <c r="AG801" s="551"/>
      <c r="AH801" s="551"/>
      <c r="AI801" s="551"/>
      <c r="AJ801" s="551"/>
      <c r="AK801" s="551"/>
      <c r="AL801" s="551"/>
      <c r="AM801" s="551"/>
      <c r="AN801" s="551"/>
      <c r="AO801" s="551"/>
      <c r="AP801" s="551"/>
      <c r="AQ801" s="551"/>
      <c r="AR801" s="551"/>
      <c r="AS801" s="551"/>
      <c r="AT801" s="551"/>
      <c r="AU801" s="551"/>
      <c r="AV801" s="551"/>
      <c r="AW801" s="551"/>
      <c r="AX801" s="551"/>
      <c r="AY801" s="551"/>
      <c r="AZ801" s="551"/>
      <c r="BA801" s="551"/>
      <c r="BB801" s="551"/>
      <c r="BC801" s="551"/>
      <c r="BD801" s="551"/>
      <c r="BE801" s="551"/>
      <c r="BF801" s="551"/>
      <c r="BG801" s="551"/>
      <c r="BH801" s="551"/>
      <c r="BI801" s="551"/>
      <c r="BJ801" s="551"/>
    </row>
    <row r="802" spans="1:62" ht="12.75" customHeight="1">
      <c r="A802" s="551"/>
      <c r="B802" s="551"/>
      <c r="C802" s="551"/>
      <c r="D802" s="551"/>
      <c r="E802" s="551"/>
      <c r="F802" s="551"/>
      <c r="G802" s="551"/>
      <c r="H802" s="551"/>
      <c r="I802" s="551"/>
      <c r="J802" s="551"/>
      <c r="K802" s="551"/>
      <c r="L802" s="551"/>
      <c r="M802" s="551"/>
      <c r="N802" s="551"/>
      <c r="O802" s="551"/>
      <c r="P802" s="551"/>
      <c r="Q802" s="551"/>
      <c r="R802" s="551"/>
      <c r="S802" s="551"/>
      <c r="T802" s="551"/>
      <c r="U802" s="551"/>
      <c r="V802" s="551"/>
      <c r="W802" s="551"/>
      <c r="X802" s="551"/>
      <c r="Y802" s="551"/>
      <c r="Z802" s="551"/>
      <c r="AA802" s="551"/>
      <c r="AB802" s="551"/>
      <c r="AC802" s="551"/>
      <c r="AD802" s="551"/>
      <c r="AE802" s="551"/>
      <c r="AF802" s="551"/>
      <c r="AG802" s="551"/>
      <c r="AH802" s="551"/>
      <c r="AI802" s="551"/>
      <c r="AJ802" s="551"/>
      <c r="AK802" s="551"/>
      <c r="AL802" s="551"/>
      <c r="AM802" s="551"/>
      <c r="AN802" s="551"/>
      <c r="AO802" s="551"/>
      <c r="AP802" s="551"/>
      <c r="AQ802" s="551"/>
      <c r="AR802" s="551"/>
      <c r="AS802" s="551"/>
      <c r="AT802" s="551"/>
      <c r="AU802" s="551"/>
      <c r="AV802" s="551"/>
      <c r="AW802" s="551"/>
      <c r="AX802" s="551"/>
      <c r="AY802" s="551"/>
      <c r="AZ802" s="551"/>
      <c r="BA802" s="551"/>
      <c r="BB802" s="551"/>
      <c r="BC802" s="551"/>
      <c r="BD802" s="551"/>
      <c r="BE802" s="551"/>
      <c r="BF802" s="551"/>
      <c r="BG802" s="551"/>
      <c r="BH802" s="551"/>
      <c r="BI802" s="551"/>
      <c r="BJ802" s="551"/>
    </row>
    <row r="803" spans="1:62" ht="12.75" customHeight="1">
      <c r="A803" s="551"/>
      <c r="B803" s="551"/>
      <c r="C803" s="551"/>
      <c r="D803" s="551"/>
      <c r="E803" s="551"/>
      <c r="F803" s="551"/>
      <c r="G803" s="551"/>
      <c r="H803" s="551"/>
      <c r="I803" s="551"/>
      <c r="J803" s="551"/>
      <c r="K803" s="551"/>
      <c r="L803" s="551"/>
      <c r="M803" s="551"/>
      <c r="N803" s="551"/>
      <c r="O803" s="551"/>
      <c r="P803" s="551"/>
      <c r="Q803" s="551"/>
      <c r="R803" s="551"/>
      <c r="S803" s="551"/>
      <c r="T803" s="551"/>
      <c r="U803" s="551"/>
      <c r="V803" s="551"/>
      <c r="W803" s="551"/>
      <c r="X803" s="551"/>
      <c r="Y803" s="551"/>
      <c r="Z803" s="551"/>
      <c r="AA803" s="551"/>
      <c r="AB803" s="551"/>
      <c r="AC803" s="551"/>
      <c r="AD803" s="551"/>
      <c r="AE803" s="551"/>
      <c r="AF803" s="551"/>
      <c r="AG803" s="551"/>
      <c r="AH803" s="551"/>
      <c r="AI803" s="551"/>
      <c r="AJ803" s="551"/>
      <c r="AK803" s="551"/>
      <c r="AL803" s="551"/>
      <c r="AM803" s="551"/>
      <c r="AN803" s="551"/>
      <c r="AO803" s="551"/>
      <c r="AP803" s="551"/>
      <c r="AQ803" s="551"/>
      <c r="AR803" s="551"/>
      <c r="AS803" s="551"/>
      <c r="AT803" s="551"/>
      <c r="AU803" s="551"/>
      <c r="AV803" s="551"/>
      <c r="AW803" s="551"/>
      <c r="AX803" s="551"/>
      <c r="AY803" s="551"/>
      <c r="AZ803" s="551"/>
      <c r="BA803" s="551"/>
      <c r="BB803" s="551"/>
      <c r="BC803" s="551"/>
      <c r="BD803" s="551"/>
      <c r="BE803" s="551"/>
      <c r="BF803" s="551"/>
      <c r="BG803" s="551"/>
      <c r="BH803" s="551"/>
      <c r="BI803" s="551"/>
      <c r="BJ803" s="551"/>
    </row>
    <row r="804" spans="1:62" ht="12.75" customHeight="1">
      <c r="A804" s="551"/>
      <c r="B804" s="551"/>
      <c r="C804" s="551"/>
      <c r="D804" s="551"/>
      <c r="E804" s="551"/>
      <c r="F804" s="551"/>
      <c r="G804" s="551"/>
      <c r="H804" s="551"/>
      <c r="I804" s="551"/>
      <c r="J804" s="551"/>
      <c r="K804" s="551"/>
      <c r="L804" s="551"/>
      <c r="M804" s="551"/>
      <c r="N804" s="551"/>
      <c r="O804" s="551"/>
      <c r="P804" s="551"/>
      <c r="Q804" s="551"/>
      <c r="R804" s="551"/>
      <c r="S804" s="551"/>
      <c r="T804" s="551"/>
      <c r="U804" s="551"/>
      <c r="V804" s="551"/>
      <c r="W804" s="551"/>
      <c r="X804" s="551"/>
      <c r="Y804" s="551"/>
      <c r="Z804" s="551"/>
      <c r="AA804" s="551"/>
      <c r="AB804" s="551"/>
      <c r="AC804" s="551"/>
      <c r="AD804" s="551"/>
      <c r="AE804" s="551"/>
      <c r="AF804" s="551"/>
      <c r="AG804" s="551"/>
      <c r="AH804" s="551"/>
      <c r="AI804" s="551"/>
      <c r="AJ804" s="551"/>
      <c r="AK804" s="551"/>
      <c r="AL804" s="551"/>
      <c r="AM804" s="551"/>
      <c r="AN804" s="551"/>
      <c r="AO804" s="551"/>
      <c r="AP804" s="551"/>
      <c r="AQ804" s="551"/>
      <c r="AR804" s="551"/>
      <c r="AS804" s="551"/>
      <c r="AT804" s="551"/>
      <c r="AU804" s="551"/>
      <c r="AV804" s="551"/>
      <c r="AW804" s="551"/>
      <c r="AX804" s="551"/>
      <c r="AY804" s="551"/>
      <c r="AZ804" s="551"/>
      <c r="BA804" s="551"/>
      <c r="BB804" s="551"/>
      <c r="BC804" s="551"/>
      <c r="BD804" s="551"/>
      <c r="BE804" s="551"/>
      <c r="BF804" s="551"/>
      <c r="BG804" s="551"/>
      <c r="BH804" s="551"/>
      <c r="BI804" s="551"/>
      <c r="BJ804" s="551"/>
    </row>
    <row r="805" spans="1:62" ht="12.75" customHeight="1">
      <c r="A805" s="551"/>
      <c r="B805" s="551"/>
      <c r="C805" s="551"/>
      <c r="D805" s="551"/>
      <c r="E805" s="551"/>
      <c r="F805" s="551"/>
      <c r="G805" s="551"/>
      <c r="H805" s="551"/>
      <c r="I805" s="551"/>
      <c r="J805" s="551"/>
      <c r="K805" s="551"/>
      <c r="L805" s="551"/>
      <c r="M805" s="551"/>
      <c r="N805" s="551"/>
      <c r="O805" s="551"/>
      <c r="P805" s="551"/>
      <c r="Q805" s="551"/>
      <c r="R805" s="551"/>
      <c r="S805" s="551"/>
      <c r="T805" s="551"/>
      <c r="U805" s="551"/>
      <c r="V805" s="551"/>
      <c r="W805" s="551"/>
      <c r="X805" s="551"/>
      <c r="Y805" s="551"/>
      <c r="Z805" s="551"/>
      <c r="AA805" s="551"/>
      <c r="AB805" s="551"/>
      <c r="AC805" s="551"/>
      <c r="AD805" s="551"/>
      <c r="AE805" s="551"/>
      <c r="AF805" s="551"/>
      <c r="AG805" s="551"/>
      <c r="AH805" s="551"/>
      <c r="AI805" s="551"/>
      <c r="AJ805" s="551"/>
      <c r="AK805" s="551"/>
      <c r="AL805" s="551"/>
      <c r="AM805" s="551"/>
      <c r="AN805" s="551"/>
      <c r="AO805" s="551"/>
      <c r="AP805" s="551"/>
      <c r="AQ805" s="551"/>
      <c r="AR805" s="551"/>
      <c r="AS805" s="551"/>
      <c r="AT805" s="551"/>
      <c r="AU805" s="551"/>
      <c r="AV805" s="551"/>
      <c r="AW805" s="551"/>
      <c r="AX805" s="551"/>
      <c r="AY805" s="551"/>
      <c r="AZ805" s="551"/>
      <c r="BA805" s="551"/>
      <c r="BB805" s="551"/>
      <c r="BC805" s="551"/>
      <c r="BD805" s="551"/>
      <c r="BE805" s="551"/>
      <c r="BF805" s="551"/>
      <c r="BG805" s="551"/>
      <c r="BH805" s="551"/>
      <c r="BI805" s="551"/>
      <c r="BJ805" s="551"/>
    </row>
    <row r="806" spans="1:62" ht="12.75" customHeight="1">
      <c r="A806" s="551"/>
      <c r="B806" s="551"/>
      <c r="C806" s="551"/>
      <c r="D806" s="551"/>
      <c r="E806" s="551"/>
      <c r="F806" s="551"/>
      <c r="G806" s="551"/>
      <c r="H806" s="551"/>
      <c r="I806" s="551"/>
      <c r="J806" s="551"/>
      <c r="K806" s="551"/>
      <c r="L806" s="551"/>
      <c r="M806" s="551"/>
      <c r="N806" s="551"/>
      <c r="O806" s="551"/>
      <c r="P806" s="551"/>
      <c r="Q806" s="551"/>
      <c r="R806" s="551"/>
      <c r="S806" s="551"/>
      <c r="T806" s="551"/>
      <c r="U806" s="551"/>
      <c r="V806" s="551"/>
      <c r="W806" s="551"/>
      <c r="X806" s="551"/>
      <c r="Y806" s="551"/>
      <c r="Z806" s="551"/>
      <c r="AA806" s="551"/>
      <c r="AB806" s="551"/>
      <c r="AC806" s="551"/>
      <c r="AD806" s="551"/>
      <c r="AE806" s="551"/>
      <c r="AF806" s="551"/>
      <c r="AG806" s="551"/>
      <c r="AH806" s="551"/>
      <c r="AI806" s="551"/>
      <c r="AJ806" s="551"/>
      <c r="AK806" s="551"/>
      <c r="AL806" s="551"/>
      <c r="AM806" s="551"/>
      <c r="AN806" s="551"/>
      <c r="AO806" s="551"/>
      <c r="AP806" s="551"/>
      <c r="AQ806" s="551"/>
      <c r="AR806" s="551"/>
      <c r="AS806" s="551"/>
      <c r="AT806" s="551"/>
      <c r="AU806" s="551"/>
      <c r="AV806" s="551"/>
      <c r="AW806" s="551"/>
      <c r="AX806" s="551"/>
      <c r="AY806" s="551"/>
      <c r="AZ806" s="551"/>
      <c r="BA806" s="551"/>
      <c r="BB806" s="551"/>
      <c r="BC806" s="551"/>
      <c r="BD806" s="551"/>
      <c r="BE806" s="551"/>
      <c r="BF806" s="551"/>
      <c r="BG806" s="551"/>
      <c r="BH806" s="551"/>
      <c r="BI806" s="551"/>
      <c r="BJ806" s="551"/>
    </row>
    <row r="807" spans="1:62" ht="12.75" customHeight="1">
      <c r="A807" s="551"/>
      <c r="B807" s="551"/>
      <c r="C807" s="551"/>
      <c r="D807" s="551"/>
      <c r="E807" s="551"/>
      <c r="F807" s="551"/>
      <c r="G807" s="551"/>
      <c r="H807" s="551"/>
      <c r="I807" s="551"/>
      <c r="J807" s="551"/>
      <c r="K807" s="551"/>
      <c r="L807" s="551"/>
      <c r="M807" s="551"/>
      <c r="N807" s="551"/>
      <c r="O807" s="551"/>
      <c r="P807" s="551"/>
      <c r="Q807" s="551"/>
      <c r="R807" s="551"/>
      <c r="S807" s="551"/>
      <c r="T807" s="551"/>
      <c r="U807" s="551"/>
      <c r="V807" s="551"/>
      <c r="W807" s="551"/>
      <c r="X807" s="551"/>
      <c r="Y807" s="551"/>
      <c r="Z807" s="551"/>
      <c r="AA807" s="551"/>
      <c r="AB807" s="551"/>
      <c r="AC807" s="551"/>
      <c r="AD807" s="551"/>
      <c r="AE807" s="551"/>
      <c r="AF807" s="551"/>
      <c r="AG807" s="551"/>
      <c r="AH807" s="551"/>
      <c r="AI807" s="551"/>
      <c r="AJ807" s="551"/>
      <c r="AK807" s="551"/>
      <c r="AL807" s="551"/>
      <c r="AM807" s="551"/>
      <c r="AN807" s="551"/>
      <c r="AO807" s="551"/>
      <c r="AP807" s="551"/>
      <c r="AQ807" s="551"/>
      <c r="AR807" s="551"/>
      <c r="AS807" s="551"/>
      <c r="AT807" s="551"/>
      <c r="AU807" s="551"/>
      <c r="AV807" s="551"/>
      <c r="AW807" s="551"/>
      <c r="AX807" s="551"/>
      <c r="AY807" s="551"/>
      <c r="AZ807" s="551"/>
      <c r="BA807" s="551"/>
      <c r="BB807" s="551"/>
      <c r="BC807" s="551"/>
      <c r="BD807" s="551"/>
      <c r="BE807" s="551"/>
      <c r="BF807" s="551"/>
      <c r="BG807" s="551"/>
      <c r="BH807" s="551"/>
      <c r="BI807" s="551"/>
      <c r="BJ807" s="551"/>
    </row>
    <row r="808" spans="1:62" ht="12.75" customHeight="1">
      <c r="A808" s="551"/>
      <c r="B808" s="551"/>
      <c r="C808" s="551"/>
      <c r="D808" s="551"/>
      <c r="E808" s="551"/>
      <c r="F808" s="551"/>
      <c r="G808" s="551"/>
      <c r="H808" s="551"/>
      <c r="I808" s="551"/>
      <c r="J808" s="551"/>
      <c r="K808" s="551"/>
      <c r="L808" s="551"/>
      <c r="M808" s="551"/>
      <c r="N808" s="551"/>
      <c r="O808" s="551"/>
      <c r="P808" s="551"/>
      <c r="Q808" s="551"/>
      <c r="R808" s="551"/>
      <c r="S808" s="551"/>
      <c r="T808" s="551"/>
      <c r="U808" s="551"/>
      <c r="V808" s="551"/>
      <c r="W808" s="551"/>
      <c r="X808" s="551"/>
      <c r="Y808" s="551"/>
      <c r="Z808" s="551"/>
      <c r="AA808" s="551"/>
      <c r="AB808" s="551"/>
      <c r="AC808" s="551"/>
      <c r="AD808" s="551"/>
      <c r="AE808" s="551"/>
      <c r="AF808" s="551"/>
      <c r="AG808" s="551"/>
      <c r="AH808" s="551"/>
      <c r="AI808" s="551"/>
      <c r="AJ808" s="551"/>
      <c r="AK808" s="551"/>
      <c r="AL808" s="551"/>
      <c r="AM808" s="551"/>
      <c r="AN808" s="551"/>
      <c r="AO808" s="551"/>
      <c r="AP808" s="551"/>
      <c r="AQ808" s="551"/>
      <c r="AR808" s="551"/>
      <c r="AS808" s="551"/>
      <c r="AT808" s="551"/>
      <c r="AU808" s="551"/>
      <c r="AV808" s="551"/>
      <c r="AW808" s="551"/>
      <c r="AX808" s="551"/>
      <c r="AY808" s="551"/>
      <c r="AZ808" s="551"/>
      <c r="BA808" s="551"/>
      <c r="BB808" s="551"/>
      <c r="BC808" s="551"/>
      <c r="BD808" s="551"/>
      <c r="BE808" s="551"/>
      <c r="BF808" s="551"/>
      <c r="BG808" s="551"/>
      <c r="BH808" s="551"/>
      <c r="BI808" s="551"/>
      <c r="BJ808" s="551"/>
    </row>
    <row r="809" spans="1:62" ht="12.75" customHeight="1">
      <c r="A809" s="551"/>
      <c r="B809" s="551"/>
      <c r="C809" s="551"/>
      <c r="D809" s="551"/>
      <c r="E809" s="551"/>
      <c r="F809" s="551"/>
      <c r="G809" s="551"/>
      <c r="H809" s="551"/>
      <c r="I809" s="551"/>
      <c r="J809" s="551"/>
      <c r="K809" s="551"/>
      <c r="L809" s="551"/>
      <c r="M809" s="551"/>
      <c r="N809" s="551"/>
      <c r="O809" s="551"/>
      <c r="P809" s="551"/>
      <c r="Q809" s="551"/>
      <c r="R809" s="551"/>
      <c r="S809" s="551"/>
      <c r="T809" s="551"/>
      <c r="U809" s="551"/>
      <c r="V809" s="551"/>
      <c r="W809" s="551"/>
      <c r="X809" s="551"/>
      <c r="Y809" s="551"/>
      <c r="Z809" s="551"/>
      <c r="AA809" s="551"/>
      <c r="AB809" s="551"/>
      <c r="AC809" s="551"/>
      <c r="AD809" s="551"/>
      <c r="AE809" s="551"/>
      <c r="AF809" s="551"/>
      <c r="AG809" s="551"/>
      <c r="AH809" s="551"/>
      <c r="AI809" s="551"/>
      <c r="AJ809" s="551"/>
      <c r="AK809" s="551"/>
      <c r="AL809" s="551"/>
      <c r="AM809" s="551"/>
      <c r="AN809" s="551"/>
      <c r="AO809" s="551"/>
      <c r="AP809" s="551"/>
      <c r="AQ809" s="551"/>
      <c r="AR809" s="551"/>
      <c r="AS809" s="551"/>
      <c r="AT809" s="551"/>
      <c r="AU809" s="551"/>
      <c r="AV809" s="551"/>
      <c r="AW809" s="551"/>
      <c r="AX809" s="551"/>
      <c r="AY809" s="551"/>
      <c r="AZ809" s="551"/>
      <c r="BA809" s="551"/>
      <c r="BB809" s="551"/>
      <c r="BC809" s="551"/>
      <c r="BD809" s="551"/>
      <c r="BE809" s="551"/>
      <c r="BF809" s="551"/>
      <c r="BG809" s="551"/>
      <c r="BH809" s="551"/>
      <c r="BI809" s="551"/>
      <c r="BJ809" s="551"/>
    </row>
    <row r="810" spans="1:62" ht="12.75" customHeight="1">
      <c r="A810" s="551"/>
      <c r="B810" s="551"/>
      <c r="C810" s="551"/>
      <c r="D810" s="551"/>
      <c r="E810" s="551"/>
      <c r="F810" s="551"/>
      <c r="G810" s="551"/>
      <c r="H810" s="551"/>
      <c r="I810" s="551"/>
      <c r="J810" s="551"/>
      <c r="K810" s="551"/>
      <c r="L810" s="551"/>
      <c r="M810" s="551"/>
      <c r="N810" s="551"/>
      <c r="O810" s="551"/>
      <c r="P810" s="551"/>
      <c r="Q810" s="551"/>
      <c r="R810" s="551"/>
      <c r="S810" s="551"/>
      <c r="T810" s="551"/>
      <c r="U810" s="551"/>
      <c r="V810" s="551"/>
      <c r="W810" s="551"/>
      <c r="X810" s="551"/>
      <c r="Y810" s="551"/>
      <c r="Z810" s="551"/>
      <c r="AA810" s="551"/>
      <c r="AB810" s="551"/>
      <c r="AC810" s="551"/>
      <c r="AD810" s="551"/>
      <c r="AE810" s="551"/>
      <c r="AF810" s="551"/>
      <c r="AG810" s="551"/>
      <c r="AH810" s="551"/>
      <c r="AI810" s="551"/>
      <c r="AJ810" s="551"/>
      <c r="AK810" s="551"/>
      <c r="AL810" s="551"/>
      <c r="AM810" s="551"/>
      <c r="AN810" s="551"/>
      <c r="AO810" s="551"/>
      <c r="AP810" s="551"/>
      <c r="AQ810" s="551"/>
      <c r="AR810" s="551"/>
      <c r="AS810" s="551"/>
      <c r="AT810" s="551"/>
      <c r="AU810" s="551"/>
      <c r="AV810" s="551"/>
      <c r="AW810" s="551"/>
      <c r="AX810" s="551"/>
      <c r="AY810" s="551"/>
      <c r="AZ810" s="551"/>
      <c r="BA810" s="551"/>
      <c r="BB810" s="551"/>
      <c r="BC810" s="551"/>
      <c r="BD810" s="551"/>
      <c r="BE810" s="551"/>
      <c r="BF810" s="551"/>
      <c r="BG810" s="551"/>
      <c r="BH810" s="551"/>
      <c r="BI810" s="551"/>
      <c r="BJ810" s="551"/>
    </row>
    <row r="811" spans="1:62" ht="12.75" customHeight="1">
      <c r="A811" s="551"/>
      <c r="B811" s="551"/>
      <c r="C811" s="551"/>
      <c r="D811" s="551"/>
      <c r="E811" s="551"/>
      <c r="F811" s="551"/>
      <c r="G811" s="551"/>
      <c r="H811" s="551"/>
      <c r="I811" s="551"/>
      <c r="J811" s="551"/>
      <c r="K811" s="551"/>
      <c r="L811" s="551"/>
      <c r="M811" s="551"/>
      <c r="N811" s="551"/>
      <c r="O811" s="551"/>
      <c r="P811" s="551"/>
      <c r="Q811" s="551"/>
      <c r="R811" s="551"/>
      <c r="S811" s="551"/>
      <c r="T811" s="551"/>
      <c r="U811" s="551"/>
      <c r="V811" s="551"/>
      <c r="W811" s="551"/>
      <c r="X811" s="551"/>
      <c r="Y811" s="551"/>
      <c r="Z811" s="551"/>
      <c r="AA811" s="551"/>
      <c r="AB811" s="551"/>
      <c r="AC811" s="551"/>
      <c r="AD811" s="551"/>
      <c r="AE811" s="551"/>
      <c r="AF811" s="551"/>
      <c r="AG811" s="551"/>
      <c r="AH811" s="551"/>
      <c r="AI811" s="551"/>
      <c r="AJ811" s="551"/>
      <c r="AK811" s="551"/>
      <c r="AL811" s="551"/>
      <c r="AM811" s="551"/>
      <c r="AN811" s="551"/>
      <c r="AO811" s="551"/>
      <c r="AP811" s="551"/>
      <c r="AQ811" s="551"/>
      <c r="AR811" s="551"/>
      <c r="AS811" s="551"/>
      <c r="AT811" s="551"/>
      <c r="AU811" s="551"/>
      <c r="AV811" s="551"/>
      <c r="AW811" s="551"/>
      <c r="AX811" s="551"/>
      <c r="AY811" s="551"/>
      <c r="AZ811" s="551"/>
      <c r="BA811" s="551"/>
      <c r="BB811" s="551"/>
      <c r="BC811" s="551"/>
      <c r="BD811" s="551"/>
      <c r="BE811" s="551"/>
      <c r="BF811" s="551"/>
      <c r="BG811" s="551"/>
      <c r="BH811" s="551"/>
      <c r="BI811" s="551"/>
      <c r="BJ811" s="551"/>
    </row>
    <row r="812" spans="1:62" ht="12.75" customHeight="1">
      <c r="A812" s="551"/>
      <c r="B812" s="551"/>
      <c r="C812" s="551"/>
      <c r="D812" s="551"/>
      <c r="E812" s="551"/>
      <c r="F812" s="551"/>
      <c r="G812" s="551"/>
      <c r="H812" s="551"/>
      <c r="I812" s="551"/>
      <c r="J812" s="551"/>
      <c r="K812" s="551"/>
      <c r="L812" s="551"/>
      <c r="M812" s="551"/>
      <c r="N812" s="551"/>
      <c r="O812" s="551"/>
      <c r="P812" s="551"/>
      <c r="Q812" s="551"/>
      <c r="R812" s="551"/>
      <c r="S812" s="551"/>
      <c r="T812" s="551"/>
      <c r="U812" s="551"/>
      <c r="V812" s="551"/>
      <c r="W812" s="551"/>
      <c r="X812" s="551"/>
      <c r="Y812" s="551"/>
      <c r="Z812" s="551"/>
      <c r="AA812" s="551"/>
      <c r="AB812" s="551"/>
      <c r="AC812" s="551"/>
      <c r="AD812" s="551"/>
      <c r="AE812" s="551"/>
      <c r="AF812" s="551"/>
      <c r="AG812" s="551"/>
      <c r="AH812" s="551"/>
      <c r="AI812" s="551"/>
      <c r="AJ812" s="551"/>
      <c r="AK812" s="551"/>
      <c r="AL812" s="551"/>
      <c r="AM812" s="551"/>
      <c r="AN812" s="551"/>
      <c r="AO812" s="551"/>
      <c r="AP812" s="551"/>
      <c r="AQ812" s="551"/>
      <c r="AR812" s="551"/>
      <c r="AS812" s="551"/>
      <c r="AT812" s="551"/>
      <c r="AU812" s="551"/>
      <c r="AV812" s="551"/>
      <c r="AW812" s="551"/>
      <c r="AX812" s="551"/>
      <c r="AY812" s="551"/>
      <c r="AZ812" s="551"/>
      <c r="BA812" s="551"/>
      <c r="BB812" s="551"/>
      <c r="BC812" s="551"/>
      <c r="BD812" s="551"/>
      <c r="BE812" s="551"/>
      <c r="BF812" s="551"/>
      <c r="BG812" s="551"/>
      <c r="BH812" s="551"/>
      <c r="BI812" s="551"/>
      <c r="BJ812" s="551"/>
    </row>
    <row r="813" spans="1:62" ht="12.75" customHeight="1">
      <c r="A813" s="551"/>
      <c r="B813" s="551"/>
      <c r="C813" s="551"/>
      <c r="D813" s="551"/>
      <c r="E813" s="551"/>
      <c r="F813" s="551"/>
      <c r="G813" s="551"/>
      <c r="H813" s="551"/>
      <c r="I813" s="551"/>
      <c r="J813" s="551"/>
      <c r="K813" s="551"/>
      <c r="L813" s="551"/>
      <c r="M813" s="551"/>
      <c r="N813" s="551"/>
      <c r="O813" s="551"/>
      <c r="P813" s="551"/>
      <c r="Q813" s="551"/>
      <c r="R813" s="551"/>
      <c r="S813" s="551"/>
      <c r="T813" s="551"/>
      <c r="U813" s="551"/>
      <c r="V813" s="551"/>
      <c r="W813" s="551"/>
      <c r="X813" s="551"/>
      <c r="Y813" s="551"/>
      <c r="Z813" s="551"/>
      <c r="AA813" s="551"/>
      <c r="AB813" s="551"/>
      <c r="AC813" s="551"/>
      <c r="AD813" s="551"/>
      <c r="AE813" s="551"/>
      <c r="AF813" s="551"/>
      <c r="AG813" s="551"/>
      <c r="AH813" s="551"/>
      <c r="AI813" s="551"/>
      <c r="AJ813" s="551"/>
      <c r="AK813" s="551"/>
      <c r="AL813" s="551"/>
      <c r="AM813" s="551"/>
      <c r="AN813" s="551"/>
      <c r="AO813" s="551"/>
      <c r="AP813" s="551"/>
      <c r="AQ813" s="551"/>
      <c r="AR813" s="551"/>
      <c r="AS813" s="551"/>
      <c r="AT813" s="551"/>
      <c r="AU813" s="551"/>
      <c r="AV813" s="551"/>
      <c r="AW813" s="551"/>
      <c r="AX813" s="551"/>
      <c r="AY813" s="551"/>
      <c r="AZ813" s="551"/>
      <c r="BA813" s="551"/>
      <c r="BB813" s="551"/>
      <c r="BC813" s="551"/>
      <c r="BD813" s="551"/>
      <c r="BE813" s="551"/>
      <c r="BF813" s="551"/>
      <c r="BG813" s="551"/>
      <c r="BH813" s="551"/>
      <c r="BI813" s="551"/>
      <c r="BJ813" s="551"/>
    </row>
    <row r="814" spans="1:62" ht="12.75" customHeight="1">
      <c r="A814" s="551"/>
      <c r="B814" s="551"/>
      <c r="C814" s="551"/>
      <c r="D814" s="551"/>
      <c r="E814" s="551"/>
      <c r="F814" s="551"/>
      <c r="G814" s="551"/>
      <c r="H814" s="551"/>
      <c r="I814" s="551"/>
      <c r="J814" s="551"/>
      <c r="K814" s="551"/>
      <c r="L814" s="551"/>
      <c r="M814" s="551"/>
      <c r="N814" s="551"/>
      <c r="O814" s="551"/>
      <c r="P814" s="551"/>
      <c r="Q814" s="551"/>
      <c r="R814" s="551"/>
      <c r="S814" s="551"/>
      <c r="T814" s="551"/>
      <c r="U814" s="551"/>
      <c r="V814" s="551"/>
      <c r="W814" s="551"/>
      <c r="X814" s="551"/>
      <c r="Y814" s="551"/>
      <c r="Z814" s="551"/>
      <c r="AA814" s="551"/>
      <c r="AB814" s="551"/>
      <c r="AC814" s="551"/>
      <c r="AD814" s="551"/>
      <c r="AE814" s="551"/>
      <c r="AF814" s="551"/>
      <c r="AG814" s="551"/>
      <c r="AH814" s="551"/>
      <c r="AI814" s="551"/>
      <c r="AJ814" s="551"/>
      <c r="AK814" s="551"/>
      <c r="AL814" s="551"/>
      <c r="AM814" s="551"/>
      <c r="AN814" s="551"/>
      <c r="AO814" s="551"/>
      <c r="AP814" s="551"/>
      <c r="AQ814" s="551"/>
      <c r="AR814" s="551"/>
      <c r="AS814" s="551"/>
      <c r="AT814" s="551"/>
      <c r="AU814" s="551"/>
      <c r="AV814" s="551"/>
      <c r="AW814" s="551"/>
      <c r="AX814" s="551"/>
      <c r="AY814" s="551"/>
      <c r="AZ814" s="551"/>
      <c r="BA814" s="551"/>
      <c r="BB814" s="551"/>
      <c r="BC814" s="551"/>
      <c r="BD814" s="551"/>
      <c r="BE814" s="551"/>
      <c r="BF814" s="551"/>
      <c r="BG814" s="551"/>
      <c r="BH814" s="551"/>
      <c r="BI814" s="551"/>
      <c r="BJ814" s="551"/>
    </row>
    <row r="815" spans="1:62" ht="12.75" customHeight="1">
      <c r="A815" s="551"/>
      <c r="B815" s="551"/>
      <c r="C815" s="551"/>
      <c r="D815" s="551"/>
      <c r="E815" s="551"/>
      <c r="F815" s="551"/>
      <c r="G815" s="551"/>
      <c r="H815" s="551"/>
      <c r="I815" s="551"/>
      <c r="J815" s="551"/>
      <c r="K815" s="551"/>
      <c r="L815" s="551"/>
      <c r="M815" s="551"/>
      <c r="N815" s="551"/>
      <c r="O815" s="551"/>
      <c r="P815" s="551"/>
      <c r="Q815" s="551"/>
      <c r="R815" s="551"/>
      <c r="S815" s="551"/>
      <c r="T815" s="551"/>
      <c r="U815" s="551"/>
      <c r="V815" s="551"/>
      <c r="W815" s="551"/>
      <c r="X815" s="551"/>
      <c r="Y815" s="551"/>
      <c r="Z815" s="551"/>
      <c r="AA815" s="551"/>
      <c r="AB815" s="551"/>
      <c r="AC815" s="551"/>
      <c r="AD815" s="551"/>
      <c r="AE815" s="551"/>
      <c r="AF815" s="551"/>
      <c r="AG815" s="551"/>
      <c r="AH815" s="551"/>
      <c r="AI815" s="551"/>
      <c r="AJ815" s="551"/>
      <c r="AK815" s="551"/>
      <c r="AL815" s="551"/>
      <c r="AM815" s="551"/>
      <c r="AN815" s="551"/>
      <c r="AO815" s="551"/>
      <c r="AP815" s="551"/>
      <c r="AQ815" s="551"/>
      <c r="AR815" s="551"/>
      <c r="AS815" s="551"/>
      <c r="AT815" s="551"/>
      <c r="AU815" s="551"/>
      <c r="AV815" s="551"/>
      <c r="AW815" s="551"/>
      <c r="AX815" s="551"/>
      <c r="AY815" s="551"/>
      <c r="AZ815" s="551"/>
      <c r="BA815" s="551"/>
      <c r="BB815" s="551"/>
      <c r="BC815" s="551"/>
      <c r="BD815" s="551"/>
      <c r="BE815" s="551"/>
      <c r="BF815" s="551"/>
      <c r="BG815" s="551"/>
      <c r="BH815" s="551"/>
      <c r="BI815" s="551"/>
      <c r="BJ815" s="551"/>
    </row>
    <row r="816" spans="1:62" ht="12.75" customHeight="1">
      <c r="A816" s="551"/>
      <c r="B816" s="551"/>
      <c r="C816" s="551"/>
      <c r="D816" s="551"/>
      <c r="E816" s="551"/>
      <c r="F816" s="551"/>
      <c r="G816" s="551"/>
      <c r="H816" s="551"/>
      <c r="I816" s="551"/>
      <c r="J816" s="551"/>
      <c r="K816" s="551"/>
      <c r="L816" s="551"/>
      <c r="M816" s="551"/>
      <c r="N816" s="551"/>
      <c r="O816" s="551"/>
      <c r="P816" s="551"/>
      <c r="Q816" s="551"/>
      <c r="R816" s="551"/>
      <c r="S816" s="551"/>
      <c r="T816" s="551"/>
      <c r="U816" s="551"/>
      <c r="V816" s="551"/>
      <c r="W816" s="551"/>
      <c r="X816" s="551"/>
      <c r="Y816" s="551"/>
      <c r="Z816" s="551"/>
      <c r="AA816" s="551"/>
      <c r="AB816" s="551"/>
      <c r="AC816" s="551"/>
      <c r="AD816" s="551"/>
      <c r="AE816" s="551"/>
      <c r="AF816" s="551"/>
      <c r="AG816" s="551"/>
      <c r="AH816" s="551"/>
      <c r="AI816" s="551"/>
      <c r="AJ816" s="551"/>
      <c r="AK816" s="551"/>
      <c r="AL816" s="551"/>
      <c r="AM816" s="551"/>
      <c r="AN816" s="551"/>
      <c r="AO816" s="551"/>
      <c r="AP816" s="551"/>
      <c r="AQ816" s="551"/>
      <c r="AR816" s="551"/>
      <c r="AS816" s="551"/>
      <c r="AT816" s="551"/>
      <c r="AU816" s="551"/>
      <c r="AV816" s="551"/>
      <c r="AW816" s="551"/>
      <c r="AX816" s="551"/>
      <c r="AY816" s="551"/>
      <c r="AZ816" s="551"/>
      <c r="BA816" s="551"/>
      <c r="BB816" s="551"/>
      <c r="BC816" s="551"/>
      <c r="BD816" s="551"/>
      <c r="BE816" s="551"/>
      <c r="BF816" s="551"/>
      <c r="BG816" s="551"/>
      <c r="BH816" s="551"/>
      <c r="BI816" s="551"/>
      <c r="BJ816" s="551"/>
    </row>
    <row r="817" spans="1:62" ht="12.75" customHeight="1">
      <c r="A817" s="551"/>
      <c r="B817" s="551"/>
      <c r="C817" s="551"/>
      <c r="D817" s="551"/>
      <c r="E817" s="551"/>
      <c r="F817" s="551"/>
      <c r="G817" s="551"/>
      <c r="H817" s="551"/>
      <c r="I817" s="551"/>
      <c r="J817" s="551"/>
      <c r="K817" s="551"/>
      <c r="L817" s="551"/>
      <c r="M817" s="551"/>
      <c r="N817" s="551"/>
      <c r="O817" s="551"/>
      <c r="P817" s="551"/>
      <c r="Q817" s="551"/>
      <c r="R817" s="551"/>
      <c r="S817" s="551"/>
      <c r="T817" s="551"/>
      <c r="U817" s="551"/>
      <c r="V817" s="551"/>
      <c r="W817" s="551"/>
      <c r="X817" s="551"/>
      <c r="Y817" s="551"/>
      <c r="Z817" s="551"/>
      <c r="AA817" s="551"/>
      <c r="AB817" s="551"/>
      <c r="AC817" s="551"/>
      <c r="AD817" s="551"/>
      <c r="AE817" s="551"/>
      <c r="AF817" s="551"/>
      <c r="AG817" s="551"/>
      <c r="AH817" s="551"/>
      <c r="AI817" s="551"/>
      <c r="AJ817" s="551"/>
      <c r="AK817" s="551"/>
      <c r="AL817" s="551"/>
      <c r="AM817" s="551"/>
      <c r="AN817" s="551"/>
      <c r="AO817" s="551"/>
      <c r="AP817" s="551"/>
      <c r="AQ817" s="551"/>
      <c r="AR817" s="551"/>
      <c r="AS817" s="551"/>
      <c r="AT817" s="551"/>
      <c r="AU817" s="551"/>
      <c r="AV817" s="551"/>
      <c r="AW817" s="551"/>
      <c r="AX817" s="551"/>
      <c r="AY817" s="551"/>
      <c r="AZ817" s="551"/>
      <c r="BA817" s="551"/>
      <c r="BB817" s="551"/>
      <c r="BC817" s="551"/>
      <c r="BD817" s="551"/>
      <c r="BE817" s="551"/>
      <c r="BF817" s="551"/>
      <c r="BG817" s="551"/>
      <c r="BH817" s="551"/>
      <c r="BI817" s="551"/>
      <c r="BJ817" s="551"/>
    </row>
    <row r="818" spans="1:62" ht="12.75" customHeight="1">
      <c r="A818" s="551"/>
      <c r="B818" s="551"/>
      <c r="C818" s="551"/>
      <c r="D818" s="551"/>
      <c r="E818" s="551"/>
      <c r="F818" s="551"/>
      <c r="G818" s="551"/>
      <c r="H818" s="551"/>
      <c r="I818" s="551"/>
      <c r="J818" s="551"/>
      <c r="K818" s="551"/>
      <c r="L818" s="551"/>
      <c r="M818" s="551"/>
      <c r="N818" s="551"/>
      <c r="O818" s="551"/>
      <c r="P818" s="551"/>
      <c r="Q818" s="551"/>
      <c r="R818" s="551"/>
      <c r="S818" s="551"/>
      <c r="T818" s="551"/>
      <c r="U818" s="551"/>
      <c r="V818" s="551"/>
      <c r="W818" s="551"/>
      <c r="X818" s="551"/>
      <c r="Y818" s="551"/>
      <c r="Z818" s="551"/>
      <c r="AA818" s="551"/>
      <c r="AB818" s="551"/>
      <c r="AC818" s="551"/>
      <c r="AD818" s="551"/>
      <c r="AE818" s="551"/>
      <c r="AF818" s="551"/>
      <c r="AG818" s="551"/>
      <c r="AH818" s="551"/>
      <c r="AI818" s="551"/>
      <c r="AJ818" s="551"/>
      <c r="AK818" s="551"/>
      <c r="AL818" s="551"/>
      <c r="AM818" s="551"/>
      <c r="AN818" s="551"/>
      <c r="AO818" s="551"/>
      <c r="AP818" s="551"/>
      <c r="AQ818" s="551"/>
      <c r="AR818" s="551"/>
      <c r="AS818" s="551"/>
      <c r="AT818" s="551"/>
      <c r="AU818" s="551"/>
      <c r="AV818" s="551"/>
      <c r="AW818" s="551"/>
      <c r="AX818" s="551"/>
      <c r="AY818" s="551"/>
      <c r="AZ818" s="551"/>
      <c r="BA818" s="551"/>
      <c r="BB818" s="551"/>
      <c r="BC818" s="551"/>
      <c r="BD818" s="551"/>
      <c r="BE818" s="551"/>
      <c r="BF818" s="551"/>
      <c r="BG818" s="551"/>
      <c r="BH818" s="551"/>
      <c r="BI818" s="551"/>
      <c r="BJ818" s="551"/>
    </row>
    <row r="819" spans="1:62" ht="12.75" customHeight="1">
      <c r="A819" s="551"/>
      <c r="B819" s="551"/>
      <c r="C819" s="551"/>
      <c r="D819" s="551"/>
      <c r="E819" s="551"/>
      <c r="F819" s="551"/>
      <c r="G819" s="551"/>
      <c r="H819" s="551"/>
      <c r="I819" s="551"/>
      <c r="J819" s="551"/>
      <c r="K819" s="551"/>
      <c r="L819" s="551"/>
      <c r="M819" s="551"/>
      <c r="N819" s="551"/>
      <c r="O819" s="551"/>
      <c r="P819" s="551"/>
      <c r="Q819" s="551"/>
      <c r="R819" s="551"/>
      <c r="S819" s="551"/>
      <c r="T819" s="551"/>
      <c r="U819" s="551"/>
      <c r="V819" s="551"/>
      <c r="W819" s="551"/>
      <c r="X819" s="551"/>
      <c r="Y819" s="551"/>
      <c r="Z819" s="551"/>
      <c r="AA819" s="551"/>
      <c r="AB819" s="551"/>
      <c r="AC819" s="551"/>
      <c r="AD819" s="551"/>
      <c r="AE819" s="551"/>
      <c r="AF819" s="551"/>
      <c r="AG819" s="551"/>
      <c r="AH819" s="551"/>
      <c r="AI819" s="551"/>
      <c r="AJ819" s="551"/>
      <c r="AK819" s="551"/>
      <c r="AL819" s="551"/>
      <c r="AM819" s="551"/>
      <c r="AN819" s="551"/>
      <c r="AO819" s="551"/>
      <c r="AP819" s="551"/>
      <c r="AQ819" s="551"/>
      <c r="AR819" s="551"/>
      <c r="AS819" s="551"/>
      <c r="AT819" s="551"/>
      <c r="AU819" s="551"/>
      <c r="AV819" s="551"/>
      <c r="AW819" s="551"/>
      <c r="AX819" s="551"/>
      <c r="AY819" s="551"/>
      <c r="AZ819" s="551"/>
      <c r="BA819" s="551"/>
      <c r="BB819" s="551"/>
      <c r="BC819" s="551"/>
      <c r="BD819" s="551"/>
      <c r="BE819" s="551"/>
      <c r="BF819" s="551"/>
      <c r="BG819" s="551"/>
      <c r="BH819" s="551"/>
      <c r="BI819" s="551"/>
      <c r="BJ819" s="551"/>
    </row>
    <row r="820" spans="1:62" ht="12.75" customHeight="1">
      <c r="A820" s="551"/>
      <c r="B820" s="551"/>
      <c r="C820" s="551"/>
      <c r="D820" s="551"/>
      <c r="E820" s="551"/>
      <c r="F820" s="551"/>
      <c r="G820" s="551"/>
      <c r="H820" s="551"/>
      <c r="I820" s="551"/>
      <c r="J820" s="551"/>
      <c r="K820" s="551"/>
      <c r="L820" s="551"/>
      <c r="M820" s="551"/>
      <c r="N820" s="551"/>
      <c r="O820" s="551"/>
      <c r="P820" s="551"/>
      <c r="Q820" s="551"/>
      <c r="R820" s="551"/>
      <c r="S820" s="551"/>
      <c r="T820" s="551"/>
      <c r="U820" s="551"/>
      <c r="V820" s="551"/>
      <c r="W820" s="551"/>
      <c r="X820" s="551"/>
      <c r="Y820" s="551"/>
      <c r="Z820" s="551"/>
      <c r="AA820" s="551"/>
      <c r="AB820" s="551"/>
      <c r="AC820" s="551"/>
      <c r="AD820" s="551"/>
      <c r="AE820" s="551"/>
      <c r="AF820" s="551"/>
      <c r="AG820" s="551"/>
      <c r="AH820" s="551"/>
      <c r="AI820" s="551"/>
      <c r="AJ820" s="551"/>
      <c r="AK820" s="551"/>
      <c r="AL820" s="551"/>
      <c r="AM820" s="551"/>
      <c r="AN820" s="551"/>
      <c r="AO820" s="551"/>
      <c r="AP820" s="551"/>
      <c r="AQ820" s="551"/>
      <c r="AR820" s="551"/>
      <c r="AS820" s="551"/>
      <c r="AT820" s="551"/>
      <c r="AU820" s="551"/>
      <c r="AV820" s="551"/>
      <c r="AW820" s="551"/>
      <c r="AX820" s="551"/>
      <c r="AY820" s="551"/>
      <c r="AZ820" s="551"/>
      <c r="BA820" s="551"/>
      <c r="BB820" s="551"/>
      <c r="BC820" s="551"/>
      <c r="BD820" s="551"/>
      <c r="BE820" s="551"/>
      <c r="BF820" s="551"/>
      <c r="BG820" s="551"/>
      <c r="BH820" s="551"/>
      <c r="BI820" s="551"/>
      <c r="BJ820" s="551"/>
    </row>
    <row r="821" spans="1:62" ht="12.75" customHeight="1">
      <c r="A821" s="551"/>
      <c r="B821" s="551"/>
      <c r="C821" s="551"/>
      <c r="D821" s="551"/>
      <c r="E821" s="551"/>
      <c r="F821" s="551"/>
      <c r="G821" s="551"/>
      <c r="H821" s="551"/>
      <c r="I821" s="551"/>
      <c r="J821" s="551"/>
      <c r="K821" s="551"/>
      <c r="L821" s="551"/>
      <c r="M821" s="551"/>
      <c r="N821" s="551"/>
      <c r="O821" s="551"/>
      <c r="P821" s="551"/>
      <c r="Q821" s="551"/>
      <c r="R821" s="551"/>
      <c r="S821" s="551"/>
      <c r="T821" s="551"/>
      <c r="U821" s="551"/>
      <c r="V821" s="551"/>
      <c r="W821" s="551"/>
      <c r="X821" s="551"/>
      <c r="Y821" s="551"/>
      <c r="Z821" s="551"/>
      <c r="AA821" s="551"/>
      <c r="AB821" s="551"/>
      <c r="AC821" s="551"/>
      <c r="AD821" s="551"/>
      <c r="AE821" s="551"/>
      <c r="AF821" s="551"/>
      <c r="AG821" s="551"/>
      <c r="AH821" s="551"/>
      <c r="AI821" s="551"/>
      <c r="AJ821" s="551"/>
      <c r="AK821" s="551"/>
      <c r="AL821" s="551"/>
      <c r="AM821" s="551"/>
      <c r="AN821" s="551"/>
      <c r="AO821" s="551"/>
      <c r="AP821" s="551"/>
      <c r="AQ821" s="551"/>
      <c r="AR821" s="551"/>
      <c r="AS821" s="551"/>
      <c r="AT821" s="551"/>
      <c r="AU821" s="551"/>
      <c r="AV821" s="551"/>
      <c r="AW821" s="551"/>
      <c r="AX821" s="551"/>
      <c r="AY821" s="551"/>
      <c r="AZ821" s="551"/>
      <c r="BA821" s="551"/>
      <c r="BB821" s="551"/>
      <c r="BC821" s="551"/>
      <c r="BD821" s="551"/>
      <c r="BE821" s="551"/>
      <c r="BF821" s="551"/>
      <c r="BG821" s="551"/>
      <c r="BH821" s="551"/>
      <c r="BI821" s="551"/>
      <c r="BJ821" s="551"/>
    </row>
    <row r="822" spans="1:62" ht="12.75" customHeight="1">
      <c r="A822" s="551"/>
      <c r="B822" s="551"/>
      <c r="C822" s="551"/>
      <c r="D822" s="551"/>
      <c r="E822" s="551"/>
      <c r="F822" s="551"/>
      <c r="G822" s="551"/>
      <c r="H822" s="551"/>
      <c r="I822" s="551"/>
      <c r="J822" s="551"/>
      <c r="K822" s="551"/>
      <c r="L822" s="551"/>
      <c r="M822" s="551"/>
      <c r="N822" s="551"/>
      <c r="O822" s="551"/>
      <c r="P822" s="551"/>
      <c r="Q822" s="551"/>
      <c r="R822" s="551"/>
      <c r="S822" s="551"/>
      <c r="T822" s="551"/>
      <c r="U822" s="551"/>
      <c r="V822" s="551"/>
      <c r="W822" s="551"/>
      <c r="X822" s="551"/>
      <c r="Y822" s="551"/>
      <c r="Z822" s="551"/>
      <c r="AA822" s="551"/>
      <c r="AB822" s="551"/>
      <c r="AC822" s="551"/>
      <c r="AD822" s="551"/>
      <c r="AE822" s="551"/>
      <c r="AF822" s="551"/>
      <c r="AG822" s="551"/>
      <c r="AH822" s="551"/>
      <c r="AI822" s="551"/>
      <c r="AJ822" s="551"/>
      <c r="AK822" s="551"/>
      <c r="AL822" s="551"/>
      <c r="AM822" s="551"/>
      <c r="AN822" s="551"/>
      <c r="AO822" s="551"/>
      <c r="AP822" s="551"/>
      <c r="AQ822" s="551"/>
      <c r="AR822" s="551"/>
      <c r="AS822" s="551"/>
      <c r="AT822" s="551"/>
      <c r="AU822" s="551"/>
      <c r="AV822" s="551"/>
      <c r="AW822" s="551"/>
      <c r="AX822" s="551"/>
      <c r="AY822" s="551"/>
      <c r="AZ822" s="551"/>
      <c r="BA822" s="551"/>
      <c r="BB822" s="551"/>
      <c r="BC822" s="551"/>
      <c r="BD822" s="551"/>
      <c r="BE822" s="551"/>
      <c r="BF822" s="551"/>
      <c r="BG822" s="551"/>
      <c r="BH822" s="551"/>
      <c r="BI822" s="551"/>
      <c r="BJ822" s="551"/>
    </row>
    <row r="823" spans="1:62" ht="12.75" customHeight="1">
      <c r="A823" s="551"/>
      <c r="B823" s="551"/>
      <c r="C823" s="551"/>
      <c r="D823" s="551"/>
      <c r="E823" s="551"/>
      <c r="F823" s="551"/>
      <c r="G823" s="551"/>
      <c r="H823" s="551"/>
      <c r="I823" s="551"/>
      <c r="J823" s="551"/>
      <c r="K823" s="551"/>
      <c r="L823" s="551"/>
      <c r="M823" s="551"/>
      <c r="N823" s="551"/>
      <c r="O823" s="551"/>
      <c r="P823" s="551"/>
      <c r="Q823" s="551"/>
      <c r="R823" s="551"/>
      <c r="S823" s="551"/>
      <c r="T823" s="551"/>
      <c r="U823" s="551"/>
      <c r="V823" s="551"/>
      <c r="W823" s="551"/>
      <c r="X823" s="551"/>
      <c r="Y823" s="551"/>
      <c r="Z823" s="551"/>
      <c r="AA823" s="551"/>
      <c r="AB823" s="551"/>
      <c r="AC823" s="551"/>
      <c r="AD823" s="551"/>
      <c r="AE823" s="551"/>
      <c r="AF823" s="551"/>
      <c r="AG823" s="551"/>
      <c r="AH823" s="551"/>
      <c r="AI823" s="551"/>
      <c r="AJ823" s="551"/>
      <c r="AK823" s="551"/>
      <c r="AL823" s="551"/>
      <c r="AM823" s="551"/>
      <c r="AN823" s="551"/>
      <c r="AO823" s="551"/>
      <c r="AP823" s="551"/>
      <c r="AQ823" s="551"/>
      <c r="AR823" s="551"/>
      <c r="AS823" s="551"/>
      <c r="AT823" s="551"/>
      <c r="AU823" s="551"/>
      <c r="AV823" s="551"/>
      <c r="AW823" s="551"/>
      <c r="AX823" s="551"/>
      <c r="AY823" s="551"/>
      <c r="AZ823" s="551"/>
      <c r="BA823" s="551"/>
      <c r="BB823" s="551"/>
      <c r="BC823" s="551"/>
      <c r="BD823" s="551"/>
      <c r="BE823" s="551"/>
      <c r="BF823" s="551"/>
      <c r="BG823" s="551"/>
      <c r="BH823" s="551"/>
      <c r="BI823" s="551"/>
      <c r="BJ823" s="551"/>
    </row>
    <row r="824" spans="1:62" ht="12.75" customHeight="1">
      <c r="A824" s="551"/>
      <c r="B824" s="551"/>
      <c r="C824" s="551"/>
      <c r="D824" s="551"/>
      <c r="E824" s="551"/>
      <c r="F824" s="551"/>
      <c r="G824" s="551"/>
      <c r="H824" s="551"/>
      <c r="I824" s="551"/>
      <c r="J824" s="551"/>
      <c r="K824" s="551"/>
      <c r="L824" s="551"/>
      <c r="M824" s="551"/>
      <c r="N824" s="551"/>
      <c r="O824" s="551"/>
      <c r="P824" s="551"/>
      <c r="Q824" s="551"/>
      <c r="R824" s="551"/>
      <c r="S824" s="551"/>
      <c r="T824" s="551"/>
      <c r="U824" s="551"/>
      <c r="V824" s="551"/>
      <c r="W824" s="551"/>
      <c r="X824" s="551"/>
      <c r="Y824" s="551"/>
      <c r="Z824" s="551"/>
      <c r="AA824" s="551"/>
      <c r="AB824" s="551"/>
      <c r="AC824" s="551"/>
      <c r="AD824" s="551"/>
      <c r="AE824" s="551"/>
      <c r="AF824" s="551"/>
      <c r="AG824" s="551"/>
      <c r="AH824" s="551"/>
      <c r="AI824" s="551"/>
      <c r="AJ824" s="551"/>
      <c r="AK824" s="551"/>
      <c r="AL824" s="551"/>
      <c r="AM824" s="551"/>
      <c r="AN824" s="551"/>
      <c r="AO824" s="551"/>
      <c r="AP824" s="551"/>
      <c r="AQ824" s="551"/>
      <c r="AR824" s="551"/>
      <c r="AS824" s="551"/>
      <c r="AT824" s="551"/>
      <c r="AU824" s="551"/>
      <c r="AV824" s="551"/>
      <c r="AW824" s="551"/>
      <c r="AX824" s="551"/>
      <c r="AY824" s="551"/>
      <c r="AZ824" s="551"/>
      <c r="BA824" s="551"/>
      <c r="BB824" s="551"/>
      <c r="BC824" s="551"/>
      <c r="BD824" s="551"/>
      <c r="BE824" s="551"/>
      <c r="BF824" s="551"/>
      <c r="BG824" s="551"/>
      <c r="BH824" s="551"/>
      <c r="BI824" s="551"/>
      <c r="BJ824" s="551"/>
    </row>
    <row r="825" spans="1:62" ht="12.75" customHeight="1">
      <c r="A825" s="551"/>
      <c r="B825" s="551"/>
      <c r="C825" s="551"/>
      <c r="D825" s="551"/>
      <c r="E825" s="551"/>
      <c r="F825" s="551"/>
      <c r="G825" s="551"/>
      <c r="H825" s="551"/>
      <c r="I825" s="551"/>
      <c r="J825" s="551"/>
      <c r="K825" s="551"/>
      <c r="L825" s="551"/>
      <c r="M825" s="551"/>
      <c r="N825" s="551"/>
      <c r="O825" s="551"/>
      <c r="P825" s="551"/>
      <c r="Q825" s="551"/>
      <c r="R825" s="551"/>
      <c r="S825" s="551"/>
      <c r="T825" s="551"/>
      <c r="U825" s="551"/>
      <c r="V825" s="551"/>
      <c r="W825" s="551"/>
      <c r="X825" s="551"/>
      <c r="Y825" s="551"/>
      <c r="Z825" s="551"/>
      <c r="AA825" s="551"/>
      <c r="AB825" s="551"/>
      <c r="AC825" s="551"/>
      <c r="AD825" s="551"/>
      <c r="AE825" s="551"/>
      <c r="AF825" s="551"/>
      <c r="AG825" s="551"/>
      <c r="AH825" s="551"/>
      <c r="AI825" s="551"/>
      <c r="AJ825" s="551"/>
      <c r="AK825" s="551"/>
      <c r="AL825" s="551"/>
      <c r="AM825" s="551"/>
      <c r="AN825" s="551"/>
      <c r="AO825" s="551"/>
      <c r="AP825" s="551"/>
      <c r="AQ825" s="551"/>
      <c r="AR825" s="551"/>
      <c r="AS825" s="551"/>
      <c r="AT825" s="551"/>
      <c r="AU825" s="551"/>
      <c r="AV825" s="551"/>
      <c r="AW825" s="551"/>
      <c r="AX825" s="551"/>
      <c r="AY825" s="551"/>
      <c r="AZ825" s="551"/>
      <c r="BA825" s="551"/>
      <c r="BB825" s="551"/>
      <c r="BC825" s="551"/>
      <c r="BD825" s="551"/>
      <c r="BE825" s="551"/>
      <c r="BF825" s="551"/>
      <c r="BG825" s="551"/>
      <c r="BH825" s="551"/>
      <c r="BI825" s="551"/>
      <c r="BJ825" s="551"/>
    </row>
    <row r="826" spans="1:62" ht="12.75" customHeight="1">
      <c r="A826" s="551"/>
      <c r="B826" s="551"/>
      <c r="C826" s="551"/>
      <c r="D826" s="551"/>
      <c r="E826" s="551"/>
      <c r="F826" s="551"/>
      <c r="G826" s="551"/>
      <c r="H826" s="551"/>
      <c r="I826" s="551"/>
      <c r="J826" s="551"/>
      <c r="K826" s="551"/>
      <c r="L826" s="551"/>
      <c r="M826" s="551"/>
      <c r="N826" s="551"/>
      <c r="O826" s="551"/>
      <c r="P826" s="551"/>
      <c r="Q826" s="551"/>
      <c r="R826" s="551"/>
      <c r="S826" s="551"/>
      <c r="T826" s="551"/>
      <c r="U826" s="551"/>
      <c r="V826" s="551"/>
      <c r="W826" s="551"/>
      <c r="X826" s="551"/>
      <c r="Y826" s="551"/>
      <c r="Z826" s="551"/>
      <c r="AA826" s="551"/>
      <c r="AB826" s="551"/>
      <c r="AC826" s="551"/>
      <c r="AD826" s="551"/>
      <c r="AE826" s="551"/>
      <c r="AF826" s="551"/>
      <c r="AG826" s="551"/>
      <c r="AH826" s="551"/>
      <c r="AI826" s="551"/>
      <c r="AJ826" s="551"/>
      <c r="AK826" s="551"/>
      <c r="AL826" s="551"/>
      <c r="AM826" s="551"/>
      <c r="AN826" s="551"/>
      <c r="AO826" s="551"/>
      <c r="AP826" s="551"/>
      <c r="AQ826" s="551"/>
      <c r="AR826" s="551"/>
      <c r="AS826" s="551"/>
      <c r="AT826" s="551"/>
      <c r="AU826" s="551"/>
      <c r="AV826" s="551"/>
      <c r="AW826" s="551"/>
      <c r="AX826" s="551"/>
      <c r="AY826" s="551"/>
      <c r="AZ826" s="551"/>
      <c r="BA826" s="551"/>
      <c r="BB826" s="551"/>
      <c r="BC826" s="551"/>
      <c r="BD826" s="551"/>
      <c r="BE826" s="551"/>
      <c r="BF826" s="551"/>
      <c r="BG826" s="551"/>
      <c r="BH826" s="551"/>
      <c r="BI826" s="551"/>
      <c r="BJ826" s="551"/>
    </row>
    <row r="827" spans="1:62" ht="12.75" customHeight="1">
      <c r="A827" s="551"/>
      <c r="B827" s="551"/>
      <c r="C827" s="551"/>
      <c r="D827" s="551"/>
      <c r="E827" s="551"/>
      <c r="F827" s="551"/>
      <c r="G827" s="551"/>
      <c r="H827" s="551"/>
      <c r="I827" s="551"/>
      <c r="J827" s="551"/>
      <c r="K827" s="551"/>
      <c r="L827" s="551"/>
      <c r="M827" s="551"/>
      <c r="N827" s="551"/>
      <c r="O827" s="551"/>
      <c r="P827" s="551"/>
      <c r="Q827" s="551"/>
      <c r="R827" s="551"/>
      <c r="S827" s="551"/>
      <c r="T827" s="551"/>
      <c r="U827" s="551"/>
      <c r="V827" s="551"/>
      <c r="W827" s="551"/>
      <c r="X827" s="551"/>
      <c r="Y827" s="551"/>
      <c r="Z827" s="551"/>
      <c r="AA827" s="551"/>
      <c r="AB827" s="551"/>
      <c r="AC827" s="551"/>
      <c r="AD827" s="551"/>
      <c r="AE827" s="551"/>
      <c r="AF827" s="551"/>
      <c r="AG827" s="551"/>
      <c r="AH827" s="551"/>
      <c r="AI827" s="551"/>
      <c r="AJ827" s="551"/>
      <c r="AK827" s="551"/>
      <c r="AL827" s="551"/>
      <c r="AM827" s="551"/>
      <c r="AN827" s="551"/>
      <c r="AO827" s="551"/>
      <c r="AP827" s="551"/>
      <c r="AQ827" s="551"/>
      <c r="AR827" s="551"/>
      <c r="AS827" s="551"/>
      <c r="AT827" s="551"/>
      <c r="AU827" s="551"/>
      <c r="AV827" s="551"/>
      <c r="AW827" s="551"/>
      <c r="AX827" s="551"/>
      <c r="AY827" s="551"/>
      <c r="AZ827" s="551"/>
      <c r="BA827" s="551"/>
      <c r="BB827" s="551"/>
      <c r="BC827" s="551"/>
      <c r="BD827" s="551"/>
      <c r="BE827" s="551"/>
      <c r="BF827" s="551"/>
      <c r="BG827" s="551"/>
      <c r="BH827" s="551"/>
      <c r="BI827" s="551"/>
      <c r="BJ827" s="551"/>
    </row>
    <row r="828" spans="1:62" ht="12.75" customHeight="1">
      <c r="A828" s="551"/>
      <c r="B828" s="551"/>
      <c r="C828" s="551"/>
      <c r="D828" s="551"/>
      <c r="E828" s="551"/>
      <c r="F828" s="551"/>
      <c r="G828" s="551"/>
      <c r="H828" s="551"/>
      <c r="I828" s="551"/>
      <c r="J828" s="551"/>
      <c r="K828" s="551"/>
      <c r="L828" s="551"/>
      <c r="M828" s="551"/>
      <c r="N828" s="551"/>
      <c r="O828" s="551"/>
      <c r="P828" s="551"/>
      <c r="Q828" s="551"/>
      <c r="R828" s="551"/>
      <c r="S828" s="551"/>
      <c r="T828" s="551"/>
      <c r="U828" s="551"/>
      <c r="V828" s="551"/>
      <c r="W828" s="551"/>
      <c r="X828" s="551"/>
      <c r="Y828" s="551"/>
      <c r="Z828" s="551"/>
      <c r="AA828" s="551"/>
      <c r="AB828" s="551"/>
      <c r="AC828" s="551"/>
      <c r="AD828" s="551"/>
      <c r="AE828" s="551"/>
      <c r="AF828" s="551"/>
      <c r="AG828" s="551"/>
      <c r="AH828" s="551"/>
      <c r="AI828" s="551"/>
      <c r="AJ828" s="551"/>
      <c r="AK828" s="551"/>
      <c r="AL828" s="551"/>
      <c r="AM828" s="551"/>
      <c r="AN828" s="551"/>
      <c r="AO828" s="551"/>
      <c r="AP828" s="551"/>
      <c r="AQ828" s="551"/>
      <c r="AR828" s="551"/>
      <c r="AS828" s="551"/>
      <c r="AT828" s="551"/>
      <c r="AU828" s="551"/>
      <c r="AV828" s="551"/>
      <c r="AW828" s="551"/>
      <c r="AX828" s="551"/>
      <c r="AY828" s="551"/>
      <c r="AZ828" s="551"/>
      <c r="BA828" s="551"/>
      <c r="BB828" s="551"/>
      <c r="BC828" s="551"/>
      <c r="BD828" s="551"/>
      <c r="BE828" s="551"/>
      <c r="BF828" s="551"/>
      <c r="BG828" s="551"/>
      <c r="BH828" s="551"/>
      <c r="BI828" s="551"/>
      <c r="BJ828" s="551"/>
    </row>
    <row r="829" spans="1:62" ht="12.75" customHeight="1">
      <c r="A829" s="551"/>
      <c r="B829" s="551"/>
      <c r="C829" s="551"/>
      <c r="D829" s="551"/>
      <c r="E829" s="551"/>
      <c r="F829" s="551"/>
      <c r="G829" s="551"/>
      <c r="H829" s="551"/>
      <c r="I829" s="551"/>
      <c r="J829" s="551"/>
      <c r="K829" s="551"/>
      <c r="L829" s="551"/>
      <c r="M829" s="551"/>
      <c r="N829" s="551"/>
      <c r="O829" s="551"/>
      <c r="P829" s="551"/>
      <c r="Q829" s="551"/>
      <c r="R829" s="551"/>
      <c r="S829" s="551"/>
      <c r="T829" s="551"/>
      <c r="U829" s="551"/>
      <c r="V829" s="551"/>
      <c r="W829" s="551"/>
      <c r="X829" s="551"/>
      <c r="Y829" s="551"/>
      <c r="Z829" s="551"/>
      <c r="AA829" s="551"/>
      <c r="AB829" s="551"/>
      <c r="AC829" s="551"/>
      <c r="AD829" s="551"/>
      <c r="AE829" s="551"/>
      <c r="AF829" s="551"/>
      <c r="AG829" s="551"/>
      <c r="AH829" s="551"/>
      <c r="AI829" s="551"/>
      <c r="AJ829" s="551"/>
      <c r="AK829" s="551"/>
      <c r="AL829" s="551"/>
      <c r="AM829" s="551"/>
      <c r="AN829" s="551"/>
      <c r="AO829" s="551"/>
      <c r="AP829" s="551"/>
      <c r="AQ829" s="551"/>
      <c r="AR829" s="551"/>
      <c r="AS829" s="551"/>
      <c r="AT829" s="551"/>
      <c r="AU829" s="551"/>
      <c r="AV829" s="551"/>
      <c r="AW829" s="551"/>
      <c r="AX829" s="551"/>
      <c r="AY829" s="551"/>
      <c r="AZ829" s="551"/>
      <c r="BA829" s="551"/>
      <c r="BB829" s="551"/>
      <c r="BC829" s="551"/>
      <c r="BD829" s="551"/>
      <c r="BE829" s="551"/>
      <c r="BF829" s="551"/>
      <c r="BG829" s="551"/>
      <c r="BH829" s="551"/>
      <c r="BI829" s="551"/>
      <c r="BJ829" s="551"/>
    </row>
    <row r="830" spans="1:62" ht="12.75" customHeight="1">
      <c r="A830" s="551"/>
      <c r="B830" s="551"/>
      <c r="C830" s="551"/>
      <c r="D830" s="551"/>
      <c r="E830" s="551"/>
      <c r="F830" s="551"/>
      <c r="G830" s="551"/>
      <c r="H830" s="551"/>
      <c r="I830" s="551"/>
      <c r="J830" s="551"/>
      <c r="K830" s="551"/>
      <c r="L830" s="551"/>
      <c r="M830" s="551"/>
      <c r="N830" s="551"/>
      <c r="O830" s="551"/>
      <c r="P830" s="551"/>
      <c r="Q830" s="551"/>
      <c r="R830" s="551"/>
      <c r="S830" s="551"/>
      <c r="T830" s="551"/>
      <c r="U830" s="551"/>
      <c r="V830" s="551"/>
      <c r="W830" s="551"/>
      <c r="X830" s="551"/>
      <c r="Y830" s="551"/>
      <c r="Z830" s="551"/>
      <c r="AA830" s="551"/>
      <c r="AB830" s="551"/>
      <c r="AC830" s="551"/>
      <c r="AD830" s="551"/>
      <c r="AE830" s="551"/>
      <c r="AF830" s="551"/>
      <c r="AG830" s="551"/>
      <c r="AH830" s="551"/>
      <c r="AI830" s="551"/>
      <c r="AJ830" s="551"/>
      <c r="AK830" s="551"/>
      <c r="AL830" s="551"/>
      <c r="AM830" s="551"/>
      <c r="AN830" s="551"/>
      <c r="AO830" s="551"/>
      <c r="AP830" s="551"/>
      <c r="AQ830" s="551"/>
      <c r="AR830" s="551"/>
      <c r="AS830" s="551"/>
      <c r="AT830" s="551"/>
      <c r="AU830" s="551"/>
      <c r="AV830" s="551"/>
      <c r="AW830" s="551"/>
      <c r="AX830" s="551"/>
      <c r="AY830" s="551"/>
      <c r="AZ830" s="551"/>
      <c r="BA830" s="551"/>
      <c r="BB830" s="551"/>
      <c r="BC830" s="551"/>
      <c r="BD830" s="551"/>
      <c r="BE830" s="551"/>
      <c r="BF830" s="551"/>
      <c r="BG830" s="551"/>
      <c r="BH830" s="551"/>
      <c r="BI830" s="551"/>
      <c r="BJ830" s="551"/>
    </row>
    <row r="831" spans="1:62" ht="12.75" customHeight="1">
      <c r="A831" s="551"/>
      <c r="B831" s="551"/>
      <c r="C831" s="551"/>
      <c r="D831" s="551"/>
      <c r="E831" s="551"/>
      <c r="F831" s="551"/>
      <c r="G831" s="551"/>
      <c r="H831" s="551"/>
      <c r="I831" s="551"/>
      <c r="J831" s="551"/>
      <c r="K831" s="551"/>
      <c r="L831" s="551"/>
      <c r="M831" s="551"/>
      <c r="N831" s="551"/>
      <c r="O831" s="551"/>
      <c r="P831" s="551"/>
      <c r="Q831" s="551"/>
      <c r="R831" s="551"/>
      <c r="S831" s="551"/>
      <c r="T831" s="551"/>
      <c r="U831" s="551"/>
      <c r="V831" s="551"/>
      <c r="W831" s="551"/>
      <c r="X831" s="551"/>
      <c r="Y831" s="551"/>
      <c r="Z831" s="551"/>
      <c r="AA831" s="551"/>
      <c r="AB831" s="551"/>
      <c r="AC831" s="551"/>
      <c r="AD831" s="551"/>
      <c r="AE831" s="551"/>
      <c r="AF831" s="551"/>
      <c r="AG831" s="551"/>
      <c r="AH831" s="551"/>
      <c r="AI831" s="551"/>
      <c r="AJ831" s="551"/>
      <c r="AK831" s="551"/>
      <c r="AL831" s="551"/>
      <c r="AM831" s="551"/>
      <c r="AN831" s="551"/>
      <c r="AO831" s="551"/>
      <c r="AP831" s="551"/>
      <c r="AQ831" s="551"/>
      <c r="AR831" s="551"/>
      <c r="AS831" s="551"/>
      <c r="AT831" s="551"/>
      <c r="AU831" s="551"/>
      <c r="AV831" s="551"/>
      <c r="AW831" s="551"/>
      <c r="AX831" s="551"/>
      <c r="AY831" s="551"/>
      <c r="AZ831" s="551"/>
      <c r="BA831" s="551"/>
      <c r="BB831" s="551"/>
      <c r="BC831" s="551"/>
      <c r="BD831" s="551"/>
      <c r="BE831" s="551"/>
      <c r="BF831" s="551"/>
      <c r="BG831" s="551"/>
      <c r="BH831" s="551"/>
      <c r="BI831" s="551"/>
      <c r="BJ831" s="551"/>
    </row>
    <row r="832" spans="1:62" ht="12.75" customHeight="1">
      <c r="A832" s="551"/>
      <c r="B832" s="551"/>
      <c r="C832" s="551"/>
      <c r="D832" s="551"/>
      <c r="E832" s="551"/>
      <c r="F832" s="551"/>
      <c r="G832" s="551"/>
      <c r="H832" s="551"/>
      <c r="I832" s="551"/>
      <c r="J832" s="551"/>
      <c r="K832" s="551"/>
      <c r="L832" s="551"/>
      <c r="M832" s="551"/>
      <c r="N832" s="551"/>
      <c r="O832" s="551"/>
      <c r="P832" s="551"/>
      <c r="Q832" s="551"/>
      <c r="R832" s="551"/>
      <c r="S832" s="551"/>
      <c r="T832" s="551"/>
      <c r="U832" s="551"/>
      <c r="V832" s="551"/>
      <c r="W832" s="551"/>
      <c r="X832" s="551"/>
      <c r="Y832" s="551"/>
      <c r="Z832" s="551"/>
      <c r="AA832" s="551"/>
      <c r="AB832" s="551"/>
      <c r="AC832" s="551"/>
      <c r="AD832" s="551"/>
      <c r="AE832" s="551"/>
      <c r="AF832" s="551"/>
      <c r="AG832" s="551"/>
      <c r="AH832" s="551"/>
      <c r="AI832" s="551"/>
      <c r="AJ832" s="551"/>
      <c r="AK832" s="551"/>
      <c r="AL832" s="551"/>
      <c r="AM832" s="551"/>
      <c r="AN832" s="551"/>
      <c r="AO832" s="551"/>
      <c r="AP832" s="551"/>
      <c r="AQ832" s="551"/>
      <c r="AR832" s="551"/>
      <c r="AS832" s="551"/>
      <c r="AT832" s="551"/>
      <c r="AU832" s="551"/>
      <c r="AV832" s="551"/>
      <c r="AW832" s="551"/>
      <c r="AX832" s="551"/>
      <c r="AY832" s="551"/>
      <c r="AZ832" s="551"/>
      <c r="BA832" s="551"/>
      <c r="BB832" s="551"/>
      <c r="BC832" s="551"/>
      <c r="BD832" s="551"/>
      <c r="BE832" s="551"/>
      <c r="BF832" s="551"/>
      <c r="BG832" s="551"/>
      <c r="BH832" s="551"/>
      <c r="BI832" s="551"/>
      <c r="BJ832" s="551"/>
    </row>
    <row r="833" spans="1:62" ht="12.75" customHeight="1">
      <c r="A833" s="551"/>
      <c r="B833" s="551"/>
      <c r="C833" s="551"/>
      <c r="D833" s="551"/>
      <c r="E833" s="551"/>
      <c r="F833" s="551"/>
      <c r="G833" s="551"/>
      <c r="H833" s="551"/>
      <c r="I833" s="551"/>
      <c r="J833" s="551"/>
      <c r="K833" s="551"/>
      <c r="L833" s="551"/>
      <c r="M833" s="551"/>
      <c r="N833" s="551"/>
      <c r="O833" s="551"/>
      <c r="P833" s="551"/>
      <c r="Q833" s="551"/>
      <c r="R833" s="551"/>
      <c r="S833" s="551"/>
      <c r="T833" s="551"/>
      <c r="U833" s="551"/>
      <c r="V833" s="551"/>
      <c r="W833" s="551"/>
      <c r="X833" s="551"/>
      <c r="Y833" s="551"/>
      <c r="Z833" s="551"/>
      <c r="AA833" s="551"/>
      <c r="AB833" s="551"/>
      <c r="AC833" s="551"/>
      <c r="AD833" s="551"/>
      <c r="AE833" s="551"/>
      <c r="AF833" s="551"/>
      <c r="AG833" s="551"/>
      <c r="AH833" s="551"/>
      <c r="AI833" s="551"/>
      <c r="AJ833" s="551"/>
      <c r="AK833" s="551"/>
      <c r="AL833" s="551"/>
      <c r="AM833" s="551"/>
      <c r="AN833" s="551"/>
      <c r="AO833" s="551"/>
      <c r="AP833" s="551"/>
      <c r="AQ833" s="551"/>
      <c r="AR833" s="551"/>
      <c r="AS833" s="551"/>
      <c r="AT833" s="551"/>
      <c r="AU833" s="551"/>
      <c r="AV833" s="551"/>
      <c r="AW833" s="551"/>
      <c r="AX833" s="551"/>
      <c r="AY833" s="551"/>
      <c r="AZ833" s="551"/>
      <c r="BA833" s="551"/>
      <c r="BB833" s="551"/>
      <c r="BC833" s="551"/>
      <c r="BD833" s="551"/>
      <c r="BE833" s="551"/>
      <c r="BF833" s="551"/>
      <c r="BG833" s="551"/>
      <c r="BH833" s="551"/>
      <c r="BI833" s="551"/>
      <c r="BJ833" s="551"/>
    </row>
    <row r="834" spans="1:62" ht="12.75" customHeight="1">
      <c r="A834" s="551"/>
      <c r="B834" s="551"/>
      <c r="C834" s="551"/>
      <c r="D834" s="551"/>
      <c r="E834" s="551"/>
      <c r="F834" s="551"/>
      <c r="G834" s="551"/>
      <c r="H834" s="551"/>
      <c r="I834" s="551"/>
      <c r="J834" s="551"/>
      <c r="K834" s="551"/>
      <c r="L834" s="551"/>
      <c r="M834" s="551"/>
      <c r="N834" s="551"/>
      <c r="O834" s="551"/>
      <c r="P834" s="551"/>
      <c r="Q834" s="551"/>
      <c r="R834" s="551"/>
      <c r="S834" s="551"/>
      <c r="T834" s="551"/>
      <c r="U834" s="551"/>
      <c r="V834" s="551"/>
      <c r="W834" s="551"/>
      <c r="X834" s="551"/>
      <c r="Y834" s="551"/>
      <c r="Z834" s="551"/>
      <c r="AA834" s="551"/>
      <c r="AB834" s="551"/>
      <c r="AC834" s="551"/>
      <c r="AD834" s="551"/>
      <c r="AE834" s="551"/>
      <c r="AF834" s="551"/>
      <c r="AG834" s="551"/>
      <c r="AH834" s="551"/>
      <c r="AI834" s="551"/>
      <c r="AJ834" s="551"/>
      <c r="AK834" s="551"/>
      <c r="AL834" s="551"/>
      <c r="AM834" s="551"/>
      <c r="AN834" s="551"/>
      <c r="AO834" s="551"/>
      <c r="AP834" s="551"/>
      <c r="AQ834" s="551"/>
      <c r="AR834" s="551"/>
      <c r="AS834" s="551"/>
      <c r="AT834" s="551"/>
      <c r="AU834" s="551"/>
      <c r="AV834" s="551"/>
      <c r="AW834" s="551"/>
      <c r="AX834" s="551"/>
      <c r="AY834" s="551"/>
      <c r="AZ834" s="551"/>
      <c r="BA834" s="551"/>
      <c r="BB834" s="551"/>
      <c r="BC834" s="551"/>
      <c r="BD834" s="551"/>
      <c r="BE834" s="551"/>
      <c r="BF834" s="551"/>
      <c r="BG834" s="551"/>
      <c r="BH834" s="551"/>
      <c r="BI834" s="551"/>
      <c r="BJ834" s="551"/>
    </row>
    <row r="835" spans="1:62" ht="12.75" customHeight="1">
      <c r="A835" s="551"/>
      <c r="B835" s="551"/>
      <c r="C835" s="551"/>
      <c r="D835" s="551"/>
      <c r="E835" s="551"/>
      <c r="F835" s="551"/>
      <c r="G835" s="551"/>
      <c r="H835" s="551"/>
      <c r="I835" s="551"/>
      <c r="J835" s="551"/>
      <c r="K835" s="551"/>
      <c r="L835" s="551"/>
      <c r="M835" s="551"/>
      <c r="N835" s="551"/>
      <c r="O835" s="551"/>
      <c r="P835" s="551"/>
      <c r="Q835" s="551"/>
      <c r="R835" s="551"/>
      <c r="S835" s="551"/>
      <c r="T835" s="551"/>
      <c r="U835" s="551"/>
      <c r="V835" s="551"/>
      <c r="W835" s="551"/>
      <c r="X835" s="551"/>
      <c r="Y835" s="551"/>
      <c r="Z835" s="551"/>
      <c r="AA835" s="551"/>
      <c r="AB835" s="551"/>
      <c r="AC835" s="551"/>
      <c r="AD835" s="551"/>
      <c r="AE835" s="551"/>
      <c r="AF835" s="551"/>
      <c r="AG835" s="551"/>
      <c r="AH835" s="551"/>
      <c r="AI835" s="551"/>
      <c r="AJ835" s="551"/>
      <c r="AK835" s="551"/>
      <c r="AL835" s="551"/>
      <c r="AM835" s="551"/>
      <c r="AN835" s="551"/>
      <c r="AO835" s="551"/>
      <c r="AP835" s="551"/>
      <c r="AQ835" s="551"/>
      <c r="AR835" s="551"/>
      <c r="AS835" s="551"/>
      <c r="AT835" s="551"/>
      <c r="AU835" s="551"/>
      <c r="AV835" s="551"/>
      <c r="AW835" s="551"/>
      <c r="AX835" s="551"/>
      <c r="AY835" s="551"/>
      <c r="AZ835" s="551"/>
      <c r="BA835" s="551"/>
      <c r="BB835" s="551"/>
      <c r="BC835" s="551"/>
      <c r="BD835" s="551"/>
      <c r="BE835" s="551"/>
      <c r="BF835" s="551"/>
      <c r="BG835" s="551"/>
      <c r="BH835" s="551"/>
      <c r="BI835" s="551"/>
      <c r="BJ835" s="551"/>
    </row>
    <row r="836" spans="1:62" ht="12.75" customHeight="1">
      <c r="A836" s="551"/>
      <c r="B836" s="551"/>
      <c r="C836" s="551"/>
      <c r="D836" s="551"/>
      <c r="E836" s="551"/>
      <c r="F836" s="551"/>
      <c r="G836" s="551"/>
      <c r="H836" s="551"/>
      <c r="I836" s="551"/>
      <c r="J836" s="551"/>
      <c r="K836" s="551"/>
      <c r="L836" s="551"/>
      <c r="M836" s="551"/>
      <c r="N836" s="551"/>
      <c r="O836" s="551"/>
      <c r="P836" s="551"/>
      <c r="Q836" s="551"/>
      <c r="R836" s="551"/>
      <c r="S836" s="551"/>
      <c r="T836" s="551"/>
      <c r="U836" s="551"/>
      <c r="V836" s="551"/>
      <c r="W836" s="551"/>
      <c r="X836" s="551"/>
      <c r="Y836" s="551"/>
      <c r="Z836" s="551"/>
      <c r="AA836" s="551"/>
      <c r="AB836" s="551"/>
      <c r="AC836" s="551"/>
      <c r="AD836" s="551"/>
      <c r="AE836" s="551"/>
      <c r="AF836" s="551"/>
      <c r="AG836" s="551"/>
      <c r="AH836" s="551"/>
      <c r="AI836" s="551"/>
      <c r="AJ836" s="551"/>
      <c r="AK836" s="551"/>
      <c r="AL836" s="551"/>
      <c r="AM836" s="551"/>
      <c r="AN836" s="551"/>
      <c r="AO836" s="551"/>
      <c r="AP836" s="551"/>
      <c r="AQ836" s="551"/>
      <c r="AR836" s="551"/>
      <c r="AS836" s="551"/>
      <c r="AT836" s="551"/>
      <c r="AU836" s="551"/>
      <c r="AV836" s="551"/>
      <c r="AW836" s="551"/>
      <c r="AX836" s="551"/>
      <c r="AY836" s="551"/>
      <c r="AZ836" s="551"/>
      <c r="BA836" s="551"/>
      <c r="BB836" s="551"/>
      <c r="BC836" s="551"/>
      <c r="BD836" s="551"/>
      <c r="BE836" s="551"/>
      <c r="BF836" s="551"/>
      <c r="BG836" s="551"/>
      <c r="BH836" s="551"/>
      <c r="BI836" s="551"/>
      <c r="BJ836" s="551"/>
    </row>
    <row r="837" spans="1:62" ht="12.75" customHeight="1">
      <c r="A837" s="551"/>
      <c r="B837" s="551"/>
      <c r="C837" s="551"/>
      <c r="D837" s="551"/>
      <c r="E837" s="551"/>
      <c r="F837" s="551"/>
      <c r="G837" s="551"/>
      <c r="H837" s="551"/>
      <c r="I837" s="551"/>
      <c r="J837" s="551"/>
      <c r="K837" s="551"/>
      <c r="L837" s="551"/>
      <c r="M837" s="551"/>
      <c r="N837" s="551"/>
      <c r="O837" s="551"/>
      <c r="P837" s="551"/>
      <c r="Q837" s="551"/>
      <c r="R837" s="551"/>
      <c r="S837" s="551"/>
      <c r="T837" s="551"/>
      <c r="U837" s="551"/>
      <c r="V837" s="551"/>
      <c r="W837" s="551"/>
      <c r="X837" s="551"/>
      <c r="Y837" s="551"/>
      <c r="Z837" s="551"/>
      <c r="AA837" s="551"/>
      <c r="AB837" s="551"/>
      <c r="AC837" s="551"/>
      <c r="AD837" s="551"/>
      <c r="AE837" s="551"/>
      <c r="AF837" s="551"/>
      <c r="AG837" s="551"/>
      <c r="AH837" s="551"/>
      <c r="AI837" s="551"/>
      <c r="AJ837" s="551"/>
      <c r="AK837" s="551"/>
      <c r="AL837" s="551"/>
      <c r="AM837" s="551"/>
      <c r="AN837" s="551"/>
      <c r="AO837" s="551"/>
      <c r="AP837" s="551"/>
      <c r="AQ837" s="551"/>
      <c r="AR837" s="551"/>
      <c r="AS837" s="551"/>
      <c r="AT837" s="551"/>
      <c r="AU837" s="551"/>
      <c r="AV837" s="551"/>
      <c r="AW837" s="551"/>
      <c r="AX837" s="551"/>
      <c r="AY837" s="551"/>
      <c r="AZ837" s="551"/>
      <c r="BA837" s="551"/>
      <c r="BB837" s="551"/>
      <c r="BC837" s="551"/>
      <c r="BD837" s="551"/>
      <c r="BE837" s="551"/>
      <c r="BF837" s="551"/>
      <c r="BG837" s="551"/>
      <c r="BH837" s="551"/>
      <c r="BI837" s="551"/>
      <c r="BJ837" s="551"/>
    </row>
    <row r="838" spans="1:62" ht="12.75" customHeight="1">
      <c r="A838" s="551"/>
      <c r="B838" s="551"/>
      <c r="C838" s="551"/>
      <c r="D838" s="551"/>
      <c r="E838" s="551"/>
      <c r="F838" s="551"/>
      <c r="G838" s="551"/>
      <c r="H838" s="551"/>
      <c r="I838" s="551"/>
      <c r="J838" s="551"/>
      <c r="K838" s="551"/>
      <c r="L838" s="551"/>
      <c r="M838" s="551"/>
      <c r="N838" s="551"/>
      <c r="O838" s="551"/>
      <c r="P838" s="551"/>
      <c r="Q838" s="551"/>
      <c r="R838" s="551"/>
      <c r="S838" s="551"/>
      <c r="T838" s="551"/>
      <c r="U838" s="551"/>
      <c r="V838" s="551"/>
      <c r="W838" s="551"/>
      <c r="X838" s="551"/>
      <c r="Y838" s="551"/>
      <c r="Z838" s="551"/>
      <c r="AA838" s="551"/>
      <c r="AB838" s="551"/>
      <c r="AC838" s="551"/>
      <c r="AD838" s="551"/>
      <c r="AE838" s="551"/>
      <c r="AF838" s="551"/>
      <c r="AG838" s="551"/>
      <c r="AH838" s="551"/>
      <c r="AI838" s="551"/>
      <c r="AJ838" s="551"/>
      <c r="AK838" s="551"/>
      <c r="AL838" s="551"/>
      <c r="AM838" s="551"/>
      <c r="AN838" s="551"/>
      <c r="AO838" s="551"/>
      <c r="AP838" s="551"/>
      <c r="AQ838" s="551"/>
      <c r="AR838" s="551"/>
      <c r="AS838" s="551"/>
      <c r="AT838" s="551"/>
      <c r="AU838" s="551"/>
      <c r="AV838" s="551"/>
      <c r="AW838" s="551"/>
      <c r="AX838" s="551"/>
      <c r="AY838" s="551"/>
      <c r="AZ838" s="551"/>
      <c r="BA838" s="551"/>
      <c r="BB838" s="551"/>
      <c r="BC838" s="551"/>
      <c r="BD838" s="551"/>
      <c r="BE838" s="551"/>
      <c r="BF838" s="551"/>
      <c r="BG838" s="551"/>
      <c r="BH838" s="551"/>
      <c r="BI838" s="551"/>
      <c r="BJ838" s="551"/>
    </row>
    <row r="839" spans="1:62" ht="12.75" customHeight="1">
      <c r="A839" s="551"/>
      <c r="B839" s="551"/>
      <c r="C839" s="551"/>
      <c r="D839" s="551"/>
      <c r="E839" s="551"/>
      <c r="F839" s="551"/>
      <c r="G839" s="551"/>
      <c r="H839" s="551"/>
      <c r="I839" s="551"/>
      <c r="J839" s="551"/>
      <c r="K839" s="551"/>
      <c r="L839" s="551"/>
      <c r="M839" s="551"/>
      <c r="N839" s="551"/>
      <c r="O839" s="551"/>
      <c r="P839" s="551"/>
      <c r="Q839" s="551"/>
      <c r="R839" s="551"/>
      <c r="S839" s="551"/>
      <c r="T839" s="551"/>
      <c r="U839" s="551"/>
      <c r="V839" s="551"/>
      <c r="W839" s="551"/>
      <c r="X839" s="551"/>
      <c r="Y839" s="551"/>
      <c r="Z839" s="551"/>
      <c r="AA839" s="551"/>
      <c r="AB839" s="551"/>
      <c r="AC839" s="551"/>
      <c r="AD839" s="551"/>
      <c r="AE839" s="551"/>
      <c r="AF839" s="551"/>
      <c r="AG839" s="551"/>
      <c r="AH839" s="551"/>
      <c r="AI839" s="551"/>
      <c r="AJ839" s="551"/>
      <c r="AK839" s="551"/>
      <c r="AL839" s="551"/>
      <c r="AM839" s="551"/>
      <c r="AN839" s="551"/>
      <c r="AO839" s="551"/>
      <c r="AP839" s="551"/>
      <c r="AQ839" s="551"/>
      <c r="AR839" s="551"/>
      <c r="AS839" s="551"/>
      <c r="AT839" s="551"/>
      <c r="AU839" s="551"/>
      <c r="AV839" s="551"/>
      <c r="AW839" s="551"/>
      <c r="AX839" s="551"/>
      <c r="AY839" s="551"/>
      <c r="AZ839" s="551"/>
      <c r="BA839" s="551"/>
      <c r="BB839" s="551"/>
      <c r="BC839" s="551"/>
      <c r="BD839" s="551"/>
      <c r="BE839" s="551"/>
      <c r="BF839" s="551"/>
      <c r="BG839" s="551"/>
      <c r="BH839" s="551"/>
      <c r="BI839" s="551"/>
      <c r="BJ839" s="551"/>
    </row>
    <row r="840" spans="1:62" ht="12.75" customHeight="1">
      <c r="A840" s="551"/>
      <c r="B840" s="551"/>
      <c r="C840" s="551"/>
      <c r="D840" s="551"/>
      <c r="E840" s="551"/>
      <c r="F840" s="551"/>
      <c r="G840" s="551"/>
      <c r="H840" s="551"/>
      <c r="I840" s="551"/>
      <c r="J840" s="551"/>
      <c r="K840" s="551"/>
      <c r="L840" s="551"/>
      <c r="M840" s="551"/>
      <c r="N840" s="551"/>
      <c r="O840" s="551"/>
      <c r="P840" s="551"/>
      <c r="Q840" s="551"/>
      <c r="R840" s="551"/>
      <c r="S840" s="551"/>
      <c r="T840" s="551"/>
      <c r="U840" s="551"/>
      <c r="V840" s="551"/>
      <c r="W840" s="551"/>
      <c r="X840" s="551"/>
      <c r="Y840" s="551"/>
      <c r="Z840" s="551"/>
      <c r="AA840" s="551"/>
      <c r="AB840" s="551"/>
      <c r="AC840" s="551"/>
      <c r="AD840" s="551"/>
      <c r="AE840" s="551"/>
      <c r="AF840" s="551"/>
      <c r="AG840" s="551"/>
      <c r="AH840" s="551"/>
      <c r="AI840" s="551"/>
      <c r="AJ840" s="551"/>
      <c r="AK840" s="551"/>
      <c r="AL840" s="551"/>
      <c r="AM840" s="551"/>
      <c r="AN840" s="551"/>
      <c r="AO840" s="551"/>
      <c r="AP840" s="551"/>
      <c r="AQ840" s="551"/>
      <c r="AR840" s="551"/>
      <c r="AS840" s="551"/>
      <c r="AT840" s="551"/>
      <c r="AU840" s="551"/>
      <c r="AV840" s="551"/>
      <c r="AW840" s="551"/>
      <c r="AX840" s="551"/>
      <c r="AY840" s="551"/>
      <c r="AZ840" s="551"/>
      <c r="BA840" s="551"/>
      <c r="BB840" s="551"/>
      <c r="BC840" s="551"/>
      <c r="BD840" s="551"/>
      <c r="BE840" s="551"/>
      <c r="BF840" s="551"/>
      <c r="BG840" s="551"/>
      <c r="BH840" s="551"/>
      <c r="BI840" s="551"/>
      <c r="BJ840" s="551"/>
    </row>
    <row r="841" spans="1:62" ht="12.75" customHeight="1">
      <c r="A841" s="551"/>
      <c r="B841" s="551"/>
      <c r="C841" s="551"/>
      <c r="D841" s="551"/>
      <c r="E841" s="551"/>
      <c r="F841" s="551"/>
      <c r="G841" s="551"/>
      <c r="H841" s="551"/>
      <c r="I841" s="551"/>
      <c r="J841" s="551"/>
      <c r="K841" s="551"/>
      <c r="L841" s="551"/>
      <c r="M841" s="551"/>
      <c r="N841" s="551"/>
      <c r="O841" s="551"/>
      <c r="P841" s="551"/>
      <c r="Q841" s="551"/>
      <c r="R841" s="551"/>
      <c r="S841" s="551"/>
      <c r="T841" s="551"/>
      <c r="U841" s="551"/>
      <c r="V841" s="551"/>
      <c r="W841" s="551"/>
      <c r="X841" s="551"/>
      <c r="Y841" s="551"/>
      <c r="Z841" s="551"/>
      <c r="AA841" s="551"/>
      <c r="AB841" s="551"/>
      <c r="AC841" s="551"/>
      <c r="AD841" s="551"/>
      <c r="AE841" s="551"/>
      <c r="AF841" s="551"/>
      <c r="AG841" s="551"/>
      <c r="AH841" s="551"/>
      <c r="AI841" s="551"/>
      <c r="AJ841" s="551"/>
      <c r="AK841" s="551"/>
      <c r="AL841" s="551"/>
      <c r="AM841" s="551"/>
      <c r="AN841" s="551"/>
      <c r="AO841" s="551"/>
      <c r="AP841" s="551"/>
      <c r="AQ841" s="551"/>
      <c r="AR841" s="551"/>
      <c r="AS841" s="551"/>
      <c r="AT841" s="551"/>
      <c r="AU841" s="551"/>
      <c r="AV841" s="551"/>
      <c r="AW841" s="551"/>
      <c r="AX841" s="551"/>
      <c r="AY841" s="551"/>
      <c r="AZ841" s="551"/>
      <c r="BA841" s="551"/>
      <c r="BB841" s="551"/>
      <c r="BC841" s="551"/>
      <c r="BD841" s="551"/>
      <c r="BE841" s="551"/>
      <c r="BF841" s="551"/>
      <c r="BG841" s="551"/>
      <c r="BH841" s="551"/>
      <c r="BI841" s="551"/>
      <c r="BJ841" s="551"/>
    </row>
    <row r="842" spans="1:62" ht="12.75" customHeight="1">
      <c r="A842" s="551"/>
      <c r="B842" s="551"/>
      <c r="C842" s="551"/>
      <c r="D842" s="551"/>
      <c r="E842" s="551"/>
      <c r="F842" s="551"/>
      <c r="G842" s="551"/>
      <c r="H842" s="551"/>
      <c r="I842" s="551"/>
      <c r="J842" s="551"/>
      <c r="K842" s="551"/>
      <c r="L842" s="551"/>
      <c r="M842" s="551"/>
      <c r="N842" s="551"/>
      <c r="O842" s="551"/>
      <c r="P842" s="551"/>
      <c r="Q842" s="551"/>
      <c r="R842" s="551"/>
      <c r="S842" s="551"/>
      <c r="T842" s="551"/>
      <c r="U842" s="551"/>
      <c r="V842" s="551"/>
      <c r="W842" s="551"/>
      <c r="X842" s="551"/>
      <c r="Y842" s="551"/>
      <c r="Z842" s="551"/>
      <c r="AA842" s="551"/>
      <c r="AB842" s="551"/>
      <c r="AC842" s="551"/>
      <c r="AD842" s="551"/>
      <c r="AE842" s="551"/>
      <c r="AF842" s="551"/>
      <c r="AG842" s="551"/>
      <c r="AH842" s="551"/>
      <c r="AI842" s="551"/>
      <c r="AJ842" s="551"/>
      <c r="AK842" s="551"/>
      <c r="AL842" s="551"/>
      <c r="AM842" s="551"/>
      <c r="AN842" s="551"/>
      <c r="AO842" s="551"/>
      <c r="AP842" s="551"/>
      <c r="AQ842" s="551"/>
      <c r="AR842" s="551"/>
      <c r="AS842" s="551"/>
      <c r="AT842" s="551"/>
      <c r="AU842" s="551"/>
      <c r="AV842" s="551"/>
      <c r="AW842" s="551"/>
      <c r="AX842" s="551"/>
      <c r="AY842" s="551"/>
      <c r="AZ842" s="551"/>
      <c r="BA842" s="551"/>
      <c r="BB842" s="551"/>
      <c r="BC842" s="551"/>
      <c r="BD842" s="551"/>
      <c r="BE842" s="551"/>
      <c r="BF842" s="551"/>
      <c r="BG842" s="551"/>
      <c r="BH842" s="551"/>
      <c r="BI842" s="551"/>
      <c r="BJ842" s="551"/>
    </row>
    <row r="843" spans="1:62" ht="12.75" customHeight="1">
      <c r="A843" s="551"/>
      <c r="B843" s="551"/>
      <c r="C843" s="551"/>
      <c r="D843" s="551"/>
      <c r="E843" s="551"/>
      <c r="F843" s="551"/>
      <c r="G843" s="551"/>
      <c r="H843" s="551"/>
      <c r="I843" s="551"/>
      <c r="J843" s="551"/>
      <c r="K843" s="551"/>
      <c r="L843" s="551"/>
      <c r="M843" s="551"/>
      <c r="N843" s="551"/>
      <c r="O843" s="551"/>
      <c r="P843" s="551"/>
      <c r="Q843" s="551"/>
      <c r="R843" s="551"/>
      <c r="S843" s="551"/>
      <c r="T843" s="551"/>
      <c r="U843" s="551"/>
      <c r="V843" s="551"/>
      <c r="W843" s="551"/>
      <c r="X843" s="551"/>
      <c r="Y843" s="551"/>
      <c r="Z843" s="551"/>
      <c r="AA843" s="551"/>
      <c r="AB843" s="551"/>
      <c r="AC843" s="551"/>
      <c r="AD843" s="551"/>
      <c r="AE843" s="551"/>
      <c r="AF843" s="551"/>
      <c r="AG843" s="551"/>
      <c r="AH843" s="551"/>
      <c r="AI843" s="551"/>
      <c r="AJ843" s="551"/>
      <c r="AK843" s="551"/>
      <c r="AL843" s="551"/>
      <c r="AM843" s="551"/>
      <c r="AN843" s="551"/>
      <c r="AO843" s="551"/>
      <c r="AP843" s="551"/>
      <c r="AQ843" s="551"/>
      <c r="AR843" s="551"/>
      <c r="AS843" s="551"/>
      <c r="AT843" s="551"/>
      <c r="AU843" s="551"/>
      <c r="AV843" s="551"/>
      <c r="AW843" s="551"/>
      <c r="AX843" s="551"/>
      <c r="AY843" s="551"/>
      <c r="AZ843" s="551"/>
      <c r="BA843" s="551"/>
      <c r="BB843" s="551"/>
      <c r="BC843" s="551"/>
      <c r="BD843" s="551"/>
      <c r="BE843" s="551"/>
      <c r="BF843" s="551"/>
      <c r="BG843" s="551"/>
      <c r="BH843" s="551"/>
      <c r="BI843" s="551"/>
      <c r="BJ843" s="551"/>
    </row>
    <row r="844" spans="1:62" ht="12.75" customHeight="1">
      <c r="A844" s="551"/>
      <c r="B844" s="551"/>
      <c r="C844" s="551"/>
      <c r="D844" s="551"/>
      <c r="E844" s="551"/>
      <c r="F844" s="551"/>
      <c r="G844" s="551"/>
      <c r="H844" s="551"/>
      <c r="I844" s="551"/>
      <c r="J844" s="551"/>
      <c r="K844" s="551"/>
      <c r="L844" s="551"/>
      <c r="M844" s="551"/>
      <c r="N844" s="551"/>
      <c r="O844" s="551"/>
      <c r="P844" s="551"/>
      <c r="Q844" s="551"/>
      <c r="R844" s="551"/>
      <c r="S844" s="551"/>
      <c r="T844" s="551"/>
      <c r="U844" s="551"/>
      <c r="V844" s="551"/>
      <c r="W844" s="551"/>
      <c r="X844" s="551"/>
      <c r="Y844" s="551"/>
      <c r="Z844" s="551"/>
      <c r="AA844" s="551"/>
      <c r="AB844" s="551"/>
      <c r="AC844" s="551"/>
      <c r="AD844" s="551"/>
      <c r="AE844" s="551"/>
      <c r="AF844" s="551"/>
      <c r="AG844" s="551"/>
      <c r="AH844" s="551"/>
      <c r="AI844" s="551"/>
      <c r="AJ844" s="551"/>
      <c r="AK844" s="551"/>
      <c r="AL844" s="551"/>
      <c r="AM844" s="551"/>
      <c r="AN844" s="551"/>
      <c r="AO844" s="551"/>
      <c r="AP844" s="551"/>
      <c r="AQ844" s="551"/>
      <c r="AR844" s="551"/>
      <c r="AS844" s="551"/>
      <c r="AT844" s="551"/>
      <c r="AU844" s="551"/>
      <c r="AV844" s="551"/>
      <c r="AW844" s="551"/>
      <c r="AX844" s="551"/>
      <c r="AY844" s="551"/>
      <c r="AZ844" s="551"/>
      <c r="BA844" s="551"/>
      <c r="BB844" s="551"/>
      <c r="BC844" s="551"/>
      <c r="BD844" s="551"/>
      <c r="BE844" s="551"/>
      <c r="BF844" s="551"/>
      <c r="BG844" s="551"/>
      <c r="BH844" s="551"/>
      <c r="BI844" s="551"/>
      <c r="BJ844" s="551"/>
    </row>
    <row r="845" spans="1:62" ht="12.75" customHeight="1">
      <c r="A845" s="551"/>
      <c r="B845" s="551"/>
      <c r="C845" s="551"/>
      <c r="D845" s="551"/>
      <c r="E845" s="551"/>
      <c r="F845" s="551"/>
      <c r="G845" s="551"/>
      <c r="H845" s="551"/>
      <c r="I845" s="551"/>
      <c r="J845" s="551"/>
      <c r="K845" s="551"/>
      <c r="L845" s="551"/>
      <c r="M845" s="551"/>
      <c r="N845" s="551"/>
      <c r="O845" s="551"/>
      <c r="P845" s="551"/>
      <c r="Q845" s="551"/>
      <c r="R845" s="551"/>
      <c r="S845" s="551"/>
      <c r="T845" s="551"/>
      <c r="U845" s="551"/>
      <c r="V845" s="551"/>
      <c r="W845" s="551"/>
      <c r="X845" s="551"/>
      <c r="Y845" s="551"/>
      <c r="Z845" s="551"/>
      <c r="AA845" s="551"/>
      <c r="AB845" s="551"/>
      <c r="AC845" s="551"/>
      <c r="AD845" s="551"/>
      <c r="AE845" s="551"/>
      <c r="AF845" s="551"/>
      <c r="AG845" s="551"/>
      <c r="AH845" s="551"/>
      <c r="AI845" s="551"/>
      <c r="AJ845" s="551"/>
      <c r="AK845" s="551"/>
      <c r="AL845" s="551"/>
      <c r="AM845" s="551"/>
      <c r="AN845" s="551"/>
      <c r="AO845" s="551"/>
      <c r="AP845" s="551"/>
      <c r="AQ845" s="551"/>
      <c r="AR845" s="551"/>
      <c r="AS845" s="551"/>
      <c r="AT845" s="551"/>
      <c r="AU845" s="551"/>
      <c r="AV845" s="551"/>
      <c r="AW845" s="551"/>
      <c r="AX845" s="551"/>
      <c r="AY845" s="551"/>
      <c r="AZ845" s="551"/>
      <c r="BA845" s="551"/>
      <c r="BB845" s="551"/>
      <c r="BC845" s="551"/>
      <c r="BD845" s="551"/>
      <c r="BE845" s="551"/>
      <c r="BF845" s="551"/>
      <c r="BG845" s="551"/>
      <c r="BH845" s="551"/>
      <c r="BI845" s="551"/>
      <c r="BJ845" s="551"/>
    </row>
    <row r="846" spans="1:62" ht="12.75" customHeight="1">
      <c r="A846" s="551"/>
      <c r="B846" s="551"/>
      <c r="C846" s="551"/>
      <c r="D846" s="551"/>
      <c r="E846" s="551"/>
      <c r="F846" s="551"/>
      <c r="G846" s="551"/>
      <c r="H846" s="551"/>
      <c r="I846" s="551"/>
      <c r="J846" s="551"/>
      <c r="K846" s="551"/>
      <c r="L846" s="551"/>
      <c r="M846" s="551"/>
      <c r="N846" s="551"/>
      <c r="O846" s="551"/>
      <c r="P846" s="551"/>
      <c r="Q846" s="551"/>
      <c r="R846" s="551"/>
      <c r="S846" s="551"/>
      <c r="T846" s="551"/>
      <c r="U846" s="551"/>
      <c r="V846" s="551"/>
      <c r="W846" s="551"/>
      <c r="X846" s="551"/>
      <c r="Y846" s="551"/>
      <c r="Z846" s="551"/>
      <c r="AA846" s="551"/>
      <c r="AB846" s="551"/>
      <c r="AC846" s="551"/>
      <c r="AD846" s="551"/>
      <c r="AE846" s="551"/>
      <c r="AF846" s="551"/>
      <c r="AG846" s="551"/>
      <c r="AH846" s="551"/>
      <c r="AI846" s="551"/>
      <c r="AJ846" s="551"/>
      <c r="AK846" s="551"/>
      <c r="AL846" s="551"/>
      <c r="AM846" s="551"/>
      <c r="AN846" s="551"/>
      <c r="AO846" s="551"/>
      <c r="AP846" s="551"/>
      <c r="AQ846" s="551"/>
      <c r="AR846" s="551"/>
      <c r="AS846" s="551"/>
      <c r="AT846" s="551"/>
      <c r="AU846" s="551"/>
      <c r="AV846" s="551"/>
      <c r="AW846" s="551"/>
      <c r="AX846" s="551"/>
      <c r="AY846" s="551"/>
      <c r="AZ846" s="551"/>
      <c r="BA846" s="551"/>
      <c r="BB846" s="551"/>
      <c r="BC846" s="551"/>
      <c r="BD846" s="551"/>
      <c r="BE846" s="551"/>
      <c r="BF846" s="551"/>
      <c r="BG846" s="551"/>
      <c r="BH846" s="551"/>
      <c r="BI846" s="551"/>
      <c r="BJ846" s="551"/>
    </row>
    <row r="847" spans="1:62" ht="12.75" customHeight="1">
      <c r="A847" s="551"/>
      <c r="B847" s="551"/>
      <c r="C847" s="551"/>
      <c r="D847" s="551"/>
      <c r="E847" s="551"/>
      <c r="F847" s="551"/>
      <c r="G847" s="551"/>
      <c r="H847" s="551"/>
      <c r="I847" s="551"/>
      <c r="J847" s="551"/>
      <c r="K847" s="551"/>
      <c r="L847" s="551"/>
      <c r="M847" s="551"/>
      <c r="N847" s="551"/>
      <c r="O847" s="551"/>
      <c r="P847" s="551"/>
      <c r="Q847" s="551"/>
      <c r="R847" s="551"/>
      <c r="S847" s="551"/>
      <c r="T847" s="551"/>
      <c r="U847" s="551"/>
      <c r="V847" s="551"/>
      <c r="W847" s="551"/>
      <c r="X847" s="551"/>
      <c r="Y847" s="551"/>
      <c r="Z847" s="551"/>
      <c r="AA847" s="551"/>
      <c r="AB847" s="551"/>
      <c r="AC847" s="551"/>
      <c r="AD847" s="551"/>
      <c r="AE847" s="551"/>
      <c r="AF847" s="551"/>
      <c r="AG847" s="551"/>
      <c r="AH847" s="551"/>
      <c r="AI847" s="551"/>
      <c r="AJ847" s="551"/>
      <c r="AK847" s="551"/>
      <c r="AL847" s="551"/>
      <c r="AM847" s="551"/>
      <c r="AN847" s="551"/>
      <c r="AO847" s="551"/>
      <c r="AP847" s="551"/>
      <c r="AQ847" s="551"/>
      <c r="AR847" s="551"/>
      <c r="AS847" s="551"/>
      <c r="AT847" s="551"/>
      <c r="AU847" s="551"/>
      <c r="AV847" s="551"/>
      <c r="AW847" s="551"/>
      <c r="AX847" s="551"/>
      <c r="AY847" s="551"/>
      <c r="AZ847" s="551"/>
      <c r="BA847" s="551"/>
      <c r="BB847" s="551"/>
      <c r="BC847" s="551"/>
      <c r="BD847" s="551"/>
      <c r="BE847" s="551"/>
      <c r="BF847" s="551"/>
      <c r="BG847" s="551"/>
      <c r="BH847" s="551"/>
      <c r="BI847" s="551"/>
      <c r="BJ847" s="551"/>
    </row>
    <row r="848" spans="1:62" ht="12.75" customHeight="1">
      <c r="A848" s="551"/>
      <c r="B848" s="551"/>
      <c r="C848" s="551"/>
      <c r="D848" s="551"/>
      <c r="E848" s="551"/>
      <c r="F848" s="551"/>
      <c r="G848" s="551"/>
      <c r="H848" s="551"/>
      <c r="I848" s="551"/>
      <c r="J848" s="551"/>
      <c r="K848" s="551"/>
      <c r="L848" s="551"/>
      <c r="M848" s="551"/>
      <c r="N848" s="551"/>
      <c r="O848" s="551"/>
      <c r="P848" s="551"/>
      <c r="Q848" s="551"/>
      <c r="R848" s="551"/>
      <c r="S848" s="551"/>
      <c r="T848" s="551"/>
      <c r="U848" s="551"/>
      <c r="V848" s="551"/>
      <c r="W848" s="551"/>
      <c r="X848" s="551"/>
      <c r="Y848" s="551"/>
      <c r="Z848" s="551"/>
      <c r="AA848" s="551"/>
      <c r="AB848" s="551"/>
      <c r="AC848" s="551"/>
      <c r="AD848" s="551"/>
      <c r="AE848" s="551"/>
      <c r="AF848" s="551"/>
      <c r="AG848" s="551"/>
      <c r="AH848" s="551"/>
      <c r="AI848" s="551"/>
      <c r="AJ848" s="551"/>
      <c r="AK848" s="551"/>
      <c r="AL848" s="551"/>
      <c r="AM848" s="551"/>
      <c r="AN848" s="551"/>
      <c r="AO848" s="551"/>
      <c r="AP848" s="551"/>
      <c r="AQ848" s="551"/>
      <c r="AR848" s="551"/>
      <c r="AS848" s="551"/>
      <c r="AT848" s="551"/>
      <c r="AU848" s="551"/>
      <c r="AV848" s="551"/>
      <c r="AW848" s="551"/>
      <c r="AX848" s="551"/>
      <c r="AY848" s="551"/>
      <c r="AZ848" s="551"/>
      <c r="BA848" s="551"/>
      <c r="BB848" s="551"/>
      <c r="BC848" s="551"/>
      <c r="BD848" s="551"/>
      <c r="BE848" s="551"/>
      <c r="BF848" s="551"/>
      <c r="BG848" s="551"/>
      <c r="BH848" s="551"/>
      <c r="BI848" s="551"/>
      <c r="BJ848" s="551"/>
    </row>
    <row r="849" spans="1:62" ht="12.75" customHeight="1">
      <c r="A849" s="551"/>
      <c r="B849" s="551"/>
      <c r="C849" s="551"/>
      <c r="D849" s="551"/>
      <c r="E849" s="551"/>
      <c r="F849" s="551"/>
      <c r="G849" s="551"/>
      <c r="H849" s="551"/>
      <c r="I849" s="551"/>
      <c r="J849" s="551"/>
      <c r="K849" s="551"/>
      <c r="L849" s="551"/>
      <c r="M849" s="551"/>
      <c r="N849" s="551"/>
      <c r="O849" s="551"/>
      <c r="P849" s="551"/>
      <c r="Q849" s="551"/>
      <c r="R849" s="551"/>
      <c r="S849" s="551"/>
      <c r="T849" s="551"/>
      <c r="U849" s="551"/>
      <c r="V849" s="551"/>
      <c r="W849" s="551"/>
      <c r="X849" s="551"/>
      <c r="Y849" s="551"/>
      <c r="Z849" s="551"/>
      <c r="AA849" s="551"/>
      <c r="AB849" s="551"/>
      <c r="AC849" s="551"/>
      <c r="AD849" s="551"/>
      <c r="AE849" s="551"/>
      <c r="AF849" s="551"/>
      <c r="AG849" s="551"/>
      <c r="AH849" s="551"/>
      <c r="AI849" s="551"/>
      <c r="AJ849" s="551"/>
      <c r="AK849" s="551"/>
      <c r="AL849" s="551"/>
      <c r="AM849" s="551"/>
      <c r="AN849" s="551"/>
      <c r="AO849" s="551"/>
      <c r="AP849" s="551"/>
      <c r="AQ849" s="551"/>
      <c r="AR849" s="551"/>
      <c r="AS849" s="551"/>
      <c r="AT849" s="551"/>
      <c r="AU849" s="551"/>
      <c r="AV849" s="551"/>
      <c r="AW849" s="551"/>
      <c r="AX849" s="551"/>
      <c r="AY849" s="551"/>
      <c r="AZ849" s="551"/>
      <c r="BA849" s="551"/>
      <c r="BB849" s="551"/>
      <c r="BC849" s="551"/>
      <c r="BD849" s="551"/>
      <c r="BE849" s="551"/>
      <c r="BF849" s="551"/>
      <c r="BG849" s="551"/>
      <c r="BH849" s="551"/>
      <c r="BI849" s="551"/>
      <c r="BJ849" s="551"/>
    </row>
    <row r="850" spans="1:62" ht="12.75" customHeight="1">
      <c r="A850" s="551"/>
      <c r="B850" s="551"/>
      <c r="C850" s="551"/>
      <c r="D850" s="551"/>
      <c r="E850" s="551"/>
      <c r="F850" s="551"/>
      <c r="G850" s="551"/>
      <c r="H850" s="551"/>
      <c r="I850" s="551"/>
      <c r="J850" s="551"/>
      <c r="K850" s="551"/>
      <c r="L850" s="551"/>
      <c r="M850" s="551"/>
      <c r="N850" s="551"/>
      <c r="O850" s="551"/>
      <c r="P850" s="551"/>
      <c r="Q850" s="551"/>
      <c r="R850" s="551"/>
      <c r="S850" s="551"/>
      <c r="T850" s="551"/>
      <c r="U850" s="551"/>
      <c r="V850" s="551"/>
      <c r="W850" s="551"/>
      <c r="X850" s="551"/>
      <c r="Y850" s="551"/>
      <c r="Z850" s="551"/>
      <c r="AA850" s="551"/>
      <c r="AB850" s="551"/>
      <c r="AC850" s="551"/>
      <c r="AD850" s="551"/>
      <c r="AE850" s="551"/>
      <c r="AF850" s="551"/>
      <c r="AG850" s="551"/>
      <c r="AH850" s="551"/>
      <c r="AI850" s="551"/>
      <c r="AJ850" s="551"/>
      <c r="AK850" s="551"/>
      <c r="AL850" s="551"/>
      <c r="AM850" s="551"/>
      <c r="AN850" s="551"/>
      <c r="AO850" s="551"/>
      <c r="AP850" s="551"/>
      <c r="AQ850" s="551"/>
      <c r="AR850" s="551"/>
      <c r="AS850" s="551"/>
      <c r="AT850" s="551"/>
      <c r="AU850" s="551"/>
      <c r="AV850" s="551"/>
      <c r="AW850" s="551"/>
      <c r="AX850" s="551"/>
      <c r="AY850" s="551"/>
      <c r="AZ850" s="551"/>
      <c r="BA850" s="551"/>
      <c r="BB850" s="551"/>
      <c r="BC850" s="551"/>
      <c r="BD850" s="551"/>
      <c r="BE850" s="551"/>
      <c r="BF850" s="551"/>
      <c r="BG850" s="551"/>
      <c r="BH850" s="551"/>
      <c r="BI850" s="551"/>
      <c r="BJ850" s="551"/>
    </row>
    <row r="851" spans="1:62" ht="12.75" customHeight="1">
      <c r="A851" s="551"/>
      <c r="B851" s="551"/>
      <c r="C851" s="551"/>
      <c r="D851" s="551"/>
      <c r="E851" s="551"/>
      <c r="F851" s="551"/>
      <c r="G851" s="551"/>
      <c r="H851" s="551"/>
      <c r="I851" s="551"/>
      <c r="J851" s="551"/>
      <c r="K851" s="551"/>
      <c r="L851" s="551"/>
      <c r="M851" s="551"/>
      <c r="N851" s="551"/>
      <c r="O851" s="551"/>
      <c r="P851" s="551"/>
      <c r="Q851" s="551"/>
      <c r="R851" s="551"/>
      <c r="S851" s="551"/>
      <c r="T851" s="551"/>
      <c r="U851" s="551"/>
      <c r="V851" s="551"/>
      <c r="W851" s="551"/>
      <c r="X851" s="551"/>
      <c r="Y851" s="551"/>
      <c r="Z851" s="551"/>
      <c r="AA851" s="551"/>
      <c r="AB851" s="551"/>
      <c r="AC851" s="551"/>
      <c r="AD851" s="551"/>
      <c r="AE851" s="551"/>
      <c r="AF851" s="551"/>
      <c r="AG851" s="551"/>
      <c r="AH851" s="551"/>
      <c r="AI851" s="551"/>
      <c r="AJ851" s="551"/>
      <c r="AK851" s="551"/>
      <c r="AL851" s="551"/>
      <c r="AM851" s="551"/>
      <c r="AN851" s="551"/>
      <c r="AO851" s="551"/>
      <c r="AP851" s="551"/>
      <c r="AQ851" s="551"/>
      <c r="AR851" s="551"/>
      <c r="AS851" s="551"/>
      <c r="AT851" s="551"/>
      <c r="AU851" s="551"/>
      <c r="AV851" s="551"/>
      <c r="AW851" s="551"/>
      <c r="AX851" s="551"/>
      <c r="AY851" s="551"/>
      <c r="AZ851" s="551"/>
      <c r="BA851" s="551"/>
      <c r="BB851" s="551"/>
      <c r="BC851" s="551"/>
      <c r="BD851" s="551"/>
      <c r="BE851" s="551"/>
      <c r="BF851" s="551"/>
      <c r="BG851" s="551"/>
      <c r="BH851" s="551"/>
      <c r="BI851" s="551"/>
      <c r="BJ851" s="551"/>
    </row>
    <row r="852" spans="1:62" ht="12.75" customHeight="1">
      <c r="A852" s="551"/>
      <c r="B852" s="551"/>
      <c r="C852" s="551"/>
      <c r="D852" s="551"/>
      <c r="E852" s="551"/>
      <c r="F852" s="551"/>
      <c r="G852" s="551"/>
      <c r="H852" s="551"/>
      <c r="I852" s="551"/>
      <c r="J852" s="551"/>
      <c r="K852" s="551"/>
      <c r="L852" s="551"/>
      <c r="M852" s="551"/>
      <c r="N852" s="551"/>
      <c r="O852" s="551"/>
      <c r="P852" s="551"/>
      <c r="Q852" s="551"/>
      <c r="R852" s="551"/>
      <c r="S852" s="551"/>
      <c r="T852" s="551"/>
      <c r="U852" s="551"/>
      <c r="V852" s="551"/>
      <c r="W852" s="551"/>
      <c r="X852" s="551"/>
      <c r="Y852" s="551"/>
      <c r="Z852" s="551"/>
      <c r="AA852" s="551"/>
      <c r="AB852" s="551"/>
      <c r="AC852" s="551"/>
      <c r="AD852" s="551"/>
      <c r="AE852" s="551"/>
      <c r="AF852" s="551"/>
      <c r="AG852" s="551"/>
      <c r="AH852" s="551"/>
      <c r="AI852" s="551"/>
      <c r="AJ852" s="551"/>
      <c r="AK852" s="551"/>
      <c r="AL852" s="551"/>
      <c r="AM852" s="551"/>
      <c r="AN852" s="551"/>
      <c r="AO852" s="551"/>
      <c r="AP852" s="551"/>
      <c r="AQ852" s="551"/>
      <c r="AR852" s="551"/>
      <c r="AS852" s="551"/>
      <c r="AT852" s="551"/>
      <c r="AU852" s="551"/>
      <c r="AV852" s="551"/>
      <c r="AW852" s="551"/>
      <c r="AX852" s="551"/>
      <c r="AY852" s="551"/>
      <c r="AZ852" s="551"/>
      <c r="BA852" s="551"/>
      <c r="BB852" s="551"/>
      <c r="BC852" s="551"/>
      <c r="BD852" s="551"/>
      <c r="BE852" s="551"/>
      <c r="BF852" s="551"/>
      <c r="BG852" s="551"/>
      <c r="BH852" s="551"/>
      <c r="BI852" s="551"/>
      <c r="BJ852" s="551"/>
    </row>
    <row r="853" spans="1:62" ht="12.75" customHeight="1">
      <c r="A853" s="551"/>
      <c r="B853" s="551"/>
      <c r="C853" s="551"/>
      <c r="D853" s="551"/>
      <c r="E853" s="551"/>
      <c r="F853" s="551"/>
      <c r="G853" s="551"/>
      <c r="H853" s="551"/>
      <c r="I853" s="551"/>
      <c r="J853" s="551"/>
      <c r="K853" s="551"/>
      <c r="L853" s="551"/>
      <c r="M853" s="551"/>
      <c r="N853" s="551"/>
      <c r="O853" s="551"/>
      <c r="P853" s="551"/>
      <c r="Q853" s="551"/>
      <c r="R853" s="551"/>
      <c r="S853" s="551"/>
      <c r="T853" s="551"/>
      <c r="U853" s="551"/>
      <c r="V853" s="551"/>
      <c r="W853" s="551"/>
      <c r="X853" s="551"/>
      <c r="Y853" s="551"/>
      <c r="Z853" s="551"/>
      <c r="AA853" s="551"/>
      <c r="AB853" s="551"/>
      <c r="AC853" s="551"/>
      <c r="AD853" s="551"/>
      <c r="AE853" s="551"/>
      <c r="AF853" s="551"/>
      <c r="AG853" s="551"/>
      <c r="AH853" s="551"/>
      <c r="AI853" s="551"/>
      <c r="AJ853" s="551"/>
      <c r="AK853" s="551"/>
      <c r="AL853" s="551"/>
      <c r="AM853" s="551"/>
      <c r="AN853" s="551"/>
      <c r="AO853" s="551"/>
      <c r="AP853" s="551"/>
      <c r="AQ853" s="551"/>
      <c r="AR853" s="551"/>
      <c r="AS853" s="551"/>
      <c r="AT853" s="551"/>
      <c r="AU853" s="551"/>
      <c r="AV853" s="551"/>
      <c r="AW853" s="551"/>
      <c r="AX853" s="551"/>
      <c r="AY853" s="551"/>
      <c r="AZ853" s="551"/>
      <c r="BA853" s="551"/>
      <c r="BB853" s="551"/>
      <c r="BC853" s="551"/>
      <c r="BD853" s="551"/>
      <c r="BE853" s="551"/>
      <c r="BF853" s="551"/>
      <c r="BG853" s="551"/>
      <c r="BH853" s="551"/>
      <c r="BI853" s="551"/>
      <c r="BJ853" s="551"/>
    </row>
    <row r="854" spans="1:62" ht="12.75" customHeight="1">
      <c r="A854" s="551"/>
      <c r="B854" s="551"/>
      <c r="C854" s="551"/>
      <c r="D854" s="551"/>
      <c r="E854" s="551"/>
      <c r="F854" s="551"/>
      <c r="G854" s="551"/>
      <c r="H854" s="551"/>
      <c r="I854" s="551"/>
      <c r="J854" s="551"/>
      <c r="K854" s="551"/>
      <c r="L854" s="551"/>
      <c r="M854" s="551"/>
      <c r="N854" s="551"/>
      <c r="O854" s="551"/>
      <c r="P854" s="551"/>
      <c r="Q854" s="551"/>
      <c r="R854" s="551"/>
      <c r="S854" s="551"/>
      <c r="T854" s="551"/>
      <c r="U854" s="551"/>
      <c r="V854" s="551"/>
      <c r="W854" s="551"/>
      <c r="X854" s="551"/>
      <c r="Y854" s="551"/>
      <c r="Z854" s="551"/>
      <c r="AA854" s="551"/>
      <c r="AB854" s="551"/>
      <c r="AC854" s="551"/>
      <c r="AD854" s="551"/>
      <c r="AE854" s="551"/>
      <c r="AF854" s="551"/>
      <c r="AG854" s="551"/>
      <c r="AH854" s="551"/>
      <c r="AI854" s="551"/>
      <c r="AJ854" s="551"/>
      <c r="AK854" s="551"/>
      <c r="AL854" s="551"/>
      <c r="AM854" s="551"/>
      <c r="AN854" s="551"/>
      <c r="AO854" s="551"/>
      <c r="AP854" s="551"/>
      <c r="AQ854" s="551"/>
      <c r="AR854" s="551"/>
      <c r="AS854" s="551"/>
      <c r="AT854" s="551"/>
      <c r="AU854" s="551"/>
      <c r="AV854" s="551"/>
      <c r="AW854" s="551"/>
      <c r="AX854" s="551"/>
      <c r="AY854" s="551"/>
      <c r="AZ854" s="551"/>
      <c r="BA854" s="551"/>
      <c r="BB854" s="551"/>
      <c r="BC854" s="551"/>
      <c r="BD854" s="551"/>
      <c r="BE854" s="551"/>
      <c r="BF854" s="551"/>
      <c r="BG854" s="551"/>
      <c r="BH854" s="551"/>
      <c r="BI854" s="551"/>
      <c r="BJ854" s="551"/>
    </row>
    <row r="855" spans="1:62" ht="12.75" customHeight="1">
      <c r="A855" s="551"/>
      <c r="B855" s="551"/>
      <c r="C855" s="551"/>
      <c r="D855" s="551"/>
      <c r="E855" s="551"/>
      <c r="F855" s="551"/>
      <c r="G855" s="551"/>
      <c r="H855" s="551"/>
      <c r="I855" s="551"/>
      <c r="J855" s="551"/>
      <c r="K855" s="551"/>
      <c r="L855" s="551"/>
      <c r="M855" s="551"/>
      <c r="N855" s="551"/>
      <c r="O855" s="551"/>
      <c r="P855" s="551"/>
      <c r="Q855" s="551"/>
      <c r="R855" s="551"/>
      <c r="S855" s="551"/>
      <c r="T855" s="551"/>
      <c r="U855" s="551"/>
      <c r="V855" s="551"/>
      <c r="W855" s="551"/>
      <c r="X855" s="551"/>
      <c r="Y855" s="551"/>
      <c r="Z855" s="551"/>
      <c r="AA855" s="551"/>
      <c r="AB855" s="551"/>
      <c r="AC855" s="551"/>
      <c r="AD855" s="551"/>
      <c r="AE855" s="551"/>
      <c r="AF855" s="551"/>
      <c r="AG855" s="551"/>
      <c r="AH855" s="551"/>
      <c r="AI855" s="551"/>
      <c r="AJ855" s="551"/>
      <c r="AK855" s="551"/>
      <c r="AL855" s="551"/>
      <c r="AM855" s="551"/>
      <c r="AN855" s="551"/>
      <c r="AO855" s="551"/>
      <c r="AP855" s="551"/>
      <c r="AQ855" s="551"/>
      <c r="AR855" s="551"/>
      <c r="AS855" s="551"/>
      <c r="AT855" s="551"/>
      <c r="AU855" s="551"/>
      <c r="AV855" s="551"/>
      <c r="AW855" s="551"/>
      <c r="AX855" s="551"/>
      <c r="AY855" s="551"/>
      <c r="AZ855" s="551"/>
      <c r="BA855" s="551"/>
      <c r="BB855" s="551"/>
      <c r="BC855" s="551"/>
      <c r="BD855" s="551"/>
      <c r="BE855" s="551"/>
      <c r="BF855" s="551"/>
      <c r="BG855" s="551"/>
      <c r="BH855" s="551"/>
      <c r="BI855" s="551"/>
      <c r="BJ855" s="551"/>
    </row>
    <row r="856" spans="1:62" ht="12.75" customHeight="1">
      <c r="A856" s="551"/>
      <c r="B856" s="551"/>
      <c r="C856" s="551"/>
      <c r="D856" s="551"/>
      <c r="E856" s="551"/>
      <c r="F856" s="551"/>
      <c r="G856" s="551"/>
      <c r="H856" s="551"/>
      <c r="I856" s="551"/>
      <c r="J856" s="551"/>
      <c r="K856" s="551"/>
      <c r="L856" s="551"/>
      <c r="M856" s="551"/>
      <c r="N856" s="551"/>
      <c r="O856" s="551"/>
      <c r="P856" s="551"/>
      <c r="Q856" s="551"/>
      <c r="R856" s="551"/>
      <c r="S856" s="551"/>
      <c r="T856" s="551"/>
      <c r="U856" s="551"/>
      <c r="V856" s="551"/>
      <c r="W856" s="551"/>
      <c r="X856" s="551"/>
      <c r="Y856" s="551"/>
      <c r="Z856" s="551"/>
      <c r="AA856" s="551"/>
      <c r="AB856" s="551"/>
      <c r="AC856" s="551"/>
      <c r="AD856" s="551"/>
      <c r="AE856" s="551"/>
      <c r="AF856" s="551"/>
      <c r="AG856" s="551"/>
      <c r="AH856" s="551"/>
      <c r="AI856" s="551"/>
      <c r="AJ856" s="551"/>
      <c r="AK856" s="551"/>
      <c r="AL856" s="551"/>
      <c r="AM856" s="551"/>
      <c r="AN856" s="551"/>
      <c r="AO856" s="551"/>
      <c r="AP856" s="551"/>
      <c r="AQ856" s="551"/>
      <c r="AR856" s="551"/>
      <c r="AS856" s="551"/>
      <c r="AT856" s="551"/>
      <c r="AU856" s="551"/>
      <c r="AV856" s="551"/>
      <c r="AW856" s="551"/>
      <c r="AX856" s="551"/>
      <c r="AY856" s="551"/>
      <c r="AZ856" s="551"/>
      <c r="BA856" s="551"/>
      <c r="BB856" s="551"/>
      <c r="BC856" s="551"/>
      <c r="BD856" s="551"/>
      <c r="BE856" s="551"/>
      <c r="BF856" s="551"/>
      <c r="BG856" s="551"/>
      <c r="BH856" s="551"/>
      <c r="BI856" s="551"/>
      <c r="BJ856" s="551"/>
    </row>
    <row r="857" spans="1:62" ht="12.75" customHeight="1">
      <c r="A857" s="551"/>
      <c r="B857" s="551"/>
      <c r="C857" s="551"/>
      <c r="D857" s="551"/>
      <c r="E857" s="551"/>
      <c r="F857" s="551"/>
      <c r="G857" s="551"/>
      <c r="H857" s="551"/>
      <c r="I857" s="551"/>
      <c r="J857" s="551"/>
      <c r="K857" s="551"/>
      <c r="L857" s="551"/>
      <c r="M857" s="551"/>
      <c r="N857" s="551"/>
      <c r="O857" s="551"/>
      <c r="P857" s="551"/>
      <c r="Q857" s="551"/>
      <c r="R857" s="551"/>
      <c r="S857" s="551"/>
      <c r="T857" s="551"/>
      <c r="U857" s="551"/>
      <c r="V857" s="551"/>
      <c r="W857" s="551"/>
      <c r="X857" s="551"/>
      <c r="Y857" s="551"/>
      <c r="Z857" s="551"/>
      <c r="AA857" s="551"/>
      <c r="AB857" s="551"/>
      <c r="AC857" s="551"/>
      <c r="AD857" s="551"/>
      <c r="AE857" s="551"/>
      <c r="AF857" s="551"/>
      <c r="AG857" s="551"/>
      <c r="AH857" s="551"/>
      <c r="AI857" s="551"/>
      <c r="AJ857" s="551"/>
      <c r="AK857" s="551"/>
      <c r="AL857" s="551"/>
      <c r="AM857" s="551"/>
      <c r="AN857" s="551"/>
      <c r="AO857" s="551"/>
      <c r="AP857" s="551"/>
      <c r="AQ857" s="551"/>
      <c r="AR857" s="551"/>
      <c r="AS857" s="551"/>
      <c r="AT857" s="551"/>
      <c r="AU857" s="551"/>
      <c r="AV857" s="551"/>
      <c r="AW857" s="551"/>
      <c r="AX857" s="551"/>
      <c r="AY857" s="551"/>
      <c r="AZ857" s="551"/>
      <c r="BA857" s="551"/>
      <c r="BB857" s="551"/>
      <c r="BC857" s="551"/>
      <c r="BD857" s="551"/>
      <c r="BE857" s="551"/>
      <c r="BF857" s="551"/>
      <c r="BG857" s="551"/>
      <c r="BH857" s="551"/>
      <c r="BI857" s="551"/>
      <c r="BJ857" s="551"/>
    </row>
    <row r="858" spans="1:62" ht="12.75" customHeight="1">
      <c r="A858" s="551"/>
      <c r="B858" s="551"/>
      <c r="C858" s="551"/>
      <c r="D858" s="551"/>
      <c r="E858" s="551"/>
      <c r="F858" s="551"/>
      <c r="G858" s="551"/>
      <c r="H858" s="551"/>
      <c r="I858" s="551"/>
      <c r="J858" s="551"/>
      <c r="K858" s="551"/>
      <c r="L858" s="551"/>
      <c r="M858" s="551"/>
      <c r="N858" s="551"/>
      <c r="O858" s="551"/>
      <c r="P858" s="551"/>
      <c r="Q858" s="551"/>
      <c r="R858" s="551"/>
      <c r="S858" s="551"/>
      <c r="T858" s="551"/>
      <c r="U858" s="551"/>
      <c r="V858" s="551"/>
      <c r="W858" s="551"/>
      <c r="X858" s="551"/>
      <c r="Y858" s="551"/>
      <c r="Z858" s="551"/>
      <c r="AA858" s="551"/>
      <c r="AB858" s="551"/>
      <c r="AC858" s="551"/>
      <c r="AD858" s="551"/>
      <c r="AE858" s="551"/>
      <c r="AF858" s="551"/>
      <c r="AG858" s="551"/>
      <c r="AH858" s="551"/>
      <c r="AI858" s="551"/>
      <c r="AJ858" s="551"/>
      <c r="AK858" s="551"/>
      <c r="AL858" s="551"/>
      <c r="AM858" s="551"/>
      <c r="AN858" s="551"/>
      <c r="AO858" s="551"/>
      <c r="AP858" s="551"/>
      <c r="AQ858" s="551"/>
      <c r="AR858" s="551"/>
      <c r="AS858" s="551"/>
      <c r="AT858" s="551"/>
      <c r="AU858" s="551"/>
      <c r="AV858" s="551"/>
      <c r="AW858" s="551"/>
      <c r="AX858" s="551"/>
      <c r="AY858" s="551"/>
      <c r="AZ858" s="551"/>
      <c r="BA858" s="551"/>
      <c r="BB858" s="551"/>
      <c r="BC858" s="551"/>
      <c r="BD858" s="551"/>
      <c r="BE858" s="551"/>
      <c r="BF858" s="551"/>
      <c r="BG858" s="551"/>
      <c r="BH858" s="551"/>
      <c r="BI858" s="551"/>
      <c r="BJ858" s="551"/>
    </row>
    <row r="859" spans="1:62" ht="12.75" customHeight="1">
      <c r="A859" s="551"/>
      <c r="B859" s="551"/>
      <c r="C859" s="551"/>
      <c r="D859" s="551"/>
      <c r="E859" s="551"/>
      <c r="F859" s="551"/>
      <c r="G859" s="551"/>
      <c r="H859" s="551"/>
      <c r="I859" s="551"/>
      <c r="J859" s="551"/>
      <c r="K859" s="551"/>
      <c r="L859" s="551"/>
      <c r="M859" s="551"/>
      <c r="N859" s="551"/>
      <c r="O859" s="551"/>
      <c r="P859" s="551"/>
      <c r="Q859" s="551"/>
      <c r="R859" s="551"/>
      <c r="S859" s="551"/>
      <c r="T859" s="551"/>
      <c r="U859" s="551"/>
      <c r="V859" s="551"/>
      <c r="W859" s="551"/>
      <c r="X859" s="551"/>
      <c r="Y859" s="551"/>
      <c r="Z859" s="551"/>
      <c r="AA859" s="551"/>
      <c r="AB859" s="551"/>
      <c r="AC859" s="551"/>
      <c r="AD859" s="551"/>
      <c r="AE859" s="551"/>
      <c r="AF859" s="551"/>
      <c r="AG859" s="551"/>
      <c r="AH859" s="551"/>
      <c r="AI859" s="551"/>
      <c r="AJ859" s="551"/>
      <c r="AK859" s="551"/>
      <c r="AL859" s="551"/>
      <c r="AM859" s="551"/>
      <c r="AN859" s="551"/>
      <c r="AO859" s="551"/>
      <c r="AP859" s="551"/>
      <c r="AQ859" s="551"/>
      <c r="AR859" s="551"/>
      <c r="AS859" s="551"/>
      <c r="AT859" s="551"/>
      <c r="AU859" s="551"/>
      <c r="AV859" s="551"/>
      <c r="AW859" s="551"/>
      <c r="AX859" s="551"/>
      <c r="AY859" s="551"/>
      <c r="AZ859" s="551"/>
      <c r="BA859" s="551"/>
      <c r="BB859" s="551"/>
      <c r="BC859" s="551"/>
      <c r="BD859" s="551"/>
      <c r="BE859" s="551"/>
      <c r="BF859" s="551"/>
      <c r="BG859" s="551"/>
      <c r="BH859" s="551"/>
      <c r="BI859" s="551"/>
      <c r="BJ859" s="551"/>
    </row>
    <row r="860" spans="1:62" ht="12.75" customHeight="1">
      <c r="A860" s="551"/>
      <c r="B860" s="551"/>
      <c r="C860" s="551"/>
      <c r="D860" s="551"/>
      <c r="E860" s="551"/>
      <c r="F860" s="551"/>
      <c r="G860" s="551"/>
      <c r="H860" s="551"/>
      <c r="I860" s="551"/>
      <c r="J860" s="551"/>
      <c r="K860" s="551"/>
      <c r="L860" s="551"/>
      <c r="M860" s="551"/>
      <c r="N860" s="551"/>
      <c r="O860" s="551"/>
      <c r="P860" s="551"/>
      <c r="Q860" s="551"/>
      <c r="R860" s="551"/>
      <c r="S860" s="551"/>
      <c r="T860" s="551"/>
      <c r="U860" s="551"/>
      <c r="V860" s="551"/>
      <c r="W860" s="551"/>
      <c r="X860" s="551"/>
      <c r="Y860" s="551"/>
      <c r="Z860" s="551"/>
      <c r="AA860" s="551"/>
      <c r="AB860" s="551"/>
      <c r="AC860" s="551"/>
      <c r="AD860" s="551"/>
      <c r="AE860" s="551"/>
      <c r="AF860" s="551"/>
      <c r="AG860" s="551"/>
      <c r="AH860" s="551"/>
      <c r="AI860" s="551"/>
      <c r="AJ860" s="551"/>
      <c r="AK860" s="551"/>
      <c r="AL860" s="551"/>
      <c r="AM860" s="551"/>
      <c r="AN860" s="551"/>
      <c r="AO860" s="551"/>
      <c r="AP860" s="551"/>
      <c r="AQ860" s="551"/>
      <c r="AR860" s="551"/>
      <c r="AS860" s="551"/>
      <c r="AT860" s="551"/>
      <c r="AU860" s="551"/>
      <c r="AV860" s="551"/>
      <c r="AW860" s="551"/>
      <c r="AX860" s="551"/>
      <c r="AY860" s="551"/>
      <c r="AZ860" s="551"/>
      <c r="BA860" s="551"/>
      <c r="BB860" s="551"/>
      <c r="BC860" s="551"/>
      <c r="BD860" s="551"/>
      <c r="BE860" s="551"/>
      <c r="BF860" s="551"/>
      <c r="BG860" s="551"/>
      <c r="BH860" s="551"/>
      <c r="BI860" s="551"/>
      <c r="BJ860" s="551"/>
    </row>
    <row r="861" spans="1:62" ht="12.75" customHeight="1">
      <c r="A861" s="551"/>
      <c r="B861" s="551"/>
      <c r="C861" s="551"/>
      <c r="D861" s="551"/>
      <c r="E861" s="551"/>
      <c r="F861" s="551"/>
      <c r="G861" s="551"/>
      <c r="H861" s="551"/>
      <c r="I861" s="551"/>
      <c r="J861" s="551"/>
      <c r="K861" s="551"/>
      <c r="L861" s="551"/>
      <c r="M861" s="551"/>
      <c r="N861" s="551"/>
      <c r="O861" s="551"/>
      <c r="P861" s="551"/>
      <c r="Q861" s="551"/>
      <c r="R861" s="551"/>
      <c r="S861" s="551"/>
      <c r="T861" s="551"/>
      <c r="U861" s="551"/>
      <c r="V861" s="551"/>
      <c r="W861" s="551"/>
      <c r="X861" s="551"/>
      <c r="Y861" s="551"/>
      <c r="Z861" s="551"/>
      <c r="AA861" s="551"/>
      <c r="AB861" s="551"/>
      <c r="AC861" s="551"/>
      <c r="AD861" s="551"/>
      <c r="AE861" s="551"/>
      <c r="AF861" s="551"/>
      <c r="AG861" s="551"/>
      <c r="AH861" s="551"/>
      <c r="AI861" s="551"/>
      <c r="AJ861" s="551"/>
      <c r="AK861" s="551"/>
      <c r="AL861" s="551"/>
      <c r="AM861" s="551"/>
      <c r="AN861" s="551"/>
      <c r="AO861" s="551"/>
      <c r="AP861" s="551"/>
      <c r="AQ861" s="551"/>
      <c r="AR861" s="551"/>
      <c r="AS861" s="551"/>
      <c r="AT861" s="551"/>
      <c r="AU861" s="551"/>
      <c r="AV861" s="551"/>
      <c r="AW861" s="551"/>
      <c r="AX861" s="551"/>
      <c r="AY861" s="551"/>
      <c r="AZ861" s="551"/>
      <c r="BA861" s="551"/>
      <c r="BB861" s="551"/>
      <c r="BC861" s="551"/>
      <c r="BD861" s="551"/>
      <c r="BE861" s="551"/>
      <c r="BF861" s="551"/>
      <c r="BG861" s="551"/>
      <c r="BH861" s="551"/>
      <c r="BI861" s="551"/>
      <c r="BJ861" s="551"/>
    </row>
    <row r="862" spans="1:62" ht="12.75" customHeight="1">
      <c r="A862" s="551"/>
      <c r="B862" s="551"/>
      <c r="C862" s="551"/>
      <c r="D862" s="551"/>
      <c r="E862" s="551"/>
      <c r="F862" s="551"/>
      <c r="G862" s="551"/>
      <c r="H862" s="551"/>
      <c r="I862" s="551"/>
      <c r="J862" s="551"/>
      <c r="K862" s="551"/>
      <c r="L862" s="551"/>
      <c r="M862" s="551"/>
      <c r="N862" s="551"/>
      <c r="O862" s="551"/>
      <c r="P862" s="551"/>
      <c r="Q862" s="551"/>
      <c r="R862" s="551"/>
      <c r="S862" s="551"/>
      <c r="T862" s="551"/>
      <c r="U862" s="551"/>
      <c r="V862" s="551"/>
      <c r="W862" s="551"/>
      <c r="X862" s="551"/>
      <c r="Y862" s="551"/>
      <c r="Z862" s="551"/>
      <c r="AA862" s="551"/>
      <c r="AB862" s="551"/>
      <c r="AC862" s="551"/>
      <c r="AD862" s="551"/>
      <c r="AE862" s="551"/>
      <c r="AF862" s="551"/>
      <c r="AG862" s="551"/>
      <c r="AH862" s="551"/>
      <c r="AI862" s="551"/>
      <c r="AJ862" s="551"/>
      <c r="AK862" s="551"/>
      <c r="AL862" s="551"/>
      <c r="AM862" s="551"/>
      <c r="AN862" s="551"/>
      <c r="AO862" s="551"/>
      <c r="AP862" s="551"/>
      <c r="AQ862" s="551"/>
      <c r="AR862" s="551"/>
      <c r="AS862" s="551"/>
      <c r="AT862" s="551"/>
      <c r="AU862" s="551"/>
      <c r="AV862" s="551"/>
      <c r="AW862" s="551"/>
      <c r="AX862" s="551"/>
      <c r="AY862" s="551"/>
      <c r="AZ862" s="551"/>
      <c r="BA862" s="551"/>
      <c r="BB862" s="551"/>
      <c r="BC862" s="551"/>
      <c r="BD862" s="551"/>
      <c r="BE862" s="551"/>
      <c r="BF862" s="551"/>
      <c r="BG862" s="551"/>
      <c r="BH862" s="551"/>
      <c r="BI862" s="551"/>
      <c r="BJ862" s="551"/>
    </row>
    <row r="863" spans="1:62" ht="12.75" customHeight="1">
      <c r="A863" s="551"/>
      <c r="B863" s="551"/>
      <c r="C863" s="551"/>
      <c r="D863" s="551"/>
      <c r="E863" s="551"/>
      <c r="F863" s="551"/>
      <c r="G863" s="551"/>
      <c r="H863" s="551"/>
      <c r="I863" s="551"/>
      <c r="J863" s="551"/>
      <c r="K863" s="551"/>
      <c r="L863" s="551"/>
      <c r="M863" s="551"/>
      <c r="N863" s="551"/>
      <c r="O863" s="551"/>
      <c r="P863" s="551"/>
      <c r="Q863" s="551"/>
      <c r="R863" s="551"/>
      <c r="S863" s="551"/>
      <c r="T863" s="551"/>
      <c r="U863" s="551"/>
      <c r="V863" s="551"/>
      <c r="W863" s="551"/>
      <c r="X863" s="551"/>
      <c r="Y863" s="551"/>
      <c r="Z863" s="551"/>
      <c r="AA863" s="551"/>
      <c r="AB863" s="551"/>
      <c r="AC863" s="551"/>
      <c r="AD863" s="551"/>
      <c r="AE863" s="551"/>
      <c r="AF863" s="551"/>
      <c r="AG863" s="551"/>
      <c r="AH863" s="551"/>
      <c r="AI863" s="551"/>
      <c r="AJ863" s="551"/>
      <c r="AK863" s="551"/>
      <c r="AL863" s="551"/>
      <c r="AM863" s="551"/>
      <c r="AN863" s="551"/>
      <c r="AO863" s="551"/>
      <c r="AP863" s="551"/>
      <c r="AQ863" s="551"/>
      <c r="AR863" s="551"/>
      <c r="AS863" s="551"/>
      <c r="AT863" s="551"/>
      <c r="AU863" s="551"/>
      <c r="AV863" s="551"/>
      <c r="AW863" s="551"/>
      <c r="AX863" s="551"/>
      <c r="AY863" s="551"/>
      <c r="AZ863" s="551"/>
      <c r="BA863" s="551"/>
      <c r="BB863" s="551"/>
      <c r="BC863" s="551"/>
      <c r="BD863" s="551"/>
      <c r="BE863" s="551"/>
      <c r="BF863" s="551"/>
      <c r="BG863" s="551"/>
      <c r="BH863" s="551"/>
      <c r="BI863" s="551"/>
      <c r="BJ863" s="551"/>
    </row>
    <row r="864" spans="1:62" ht="12.75" customHeight="1">
      <c r="A864" s="551"/>
      <c r="B864" s="551"/>
      <c r="C864" s="551"/>
      <c r="D864" s="551"/>
      <c r="E864" s="551"/>
      <c r="F864" s="551"/>
      <c r="G864" s="551"/>
      <c r="H864" s="551"/>
      <c r="I864" s="551"/>
      <c r="J864" s="551"/>
      <c r="K864" s="551"/>
      <c r="L864" s="551"/>
      <c r="M864" s="551"/>
      <c r="N864" s="551"/>
      <c r="O864" s="551"/>
      <c r="P864" s="551"/>
      <c r="Q864" s="551"/>
      <c r="R864" s="551"/>
      <c r="S864" s="551"/>
      <c r="T864" s="551"/>
      <c r="U864" s="551"/>
      <c r="V864" s="551"/>
      <c r="W864" s="551"/>
      <c r="X864" s="551"/>
      <c r="Y864" s="551"/>
      <c r="Z864" s="551"/>
      <c r="AA864" s="551"/>
      <c r="AB864" s="551"/>
      <c r="AC864" s="551"/>
      <c r="AD864" s="551"/>
      <c r="AE864" s="551"/>
      <c r="AF864" s="551"/>
      <c r="AG864" s="551"/>
      <c r="AH864" s="551"/>
      <c r="AI864" s="551"/>
      <c r="AJ864" s="551"/>
      <c r="AK864" s="551"/>
      <c r="AL864" s="551"/>
      <c r="AM864" s="551"/>
      <c r="AN864" s="551"/>
      <c r="AO864" s="551"/>
      <c r="AP864" s="551"/>
      <c r="AQ864" s="551"/>
      <c r="AR864" s="551"/>
      <c r="AS864" s="551"/>
      <c r="AT864" s="551"/>
      <c r="AU864" s="551"/>
      <c r="AV864" s="551"/>
      <c r="AW864" s="551"/>
      <c r="AX864" s="551"/>
      <c r="AY864" s="551"/>
      <c r="AZ864" s="551"/>
      <c r="BA864" s="551"/>
      <c r="BB864" s="551"/>
      <c r="BC864" s="551"/>
      <c r="BD864" s="551"/>
      <c r="BE864" s="551"/>
      <c r="BF864" s="551"/>
      <c r="BG864" s="551"/>
      <c r="BH864" s="551"/>
      <c r="BI864" s="551"/>
      <c r="BJ864" s="551"/>
    </row>
    <row r="865" spans="1:62" ht="12.75" customHeight="1">
      <c r="A865" s="551"/>
      <c r="B865" s="551"/>
      <c r="C865" s="551"/>
      <c r="D865" s="551"/>
      <c r="E865" s="551"/>
      <c r="F865" s="551"/>
      <c r="G865" s="551"/>
      <c r="H865" s="551"/>
      <c r="I865" s="551"/>
      <c r="J865" s="551"/>
      <c r="K865" s="551"/>
      <c r="L865" s="551"/>
      <c r="M865" s="551"/>
      <c r="N865" s="551"/>
      <c r="O865" s="551"/>
      <c r="P865" s="551"/>
      <c r="Q865" s="551"/>
      <c r="R865" s="551"/>
      <c r="S865" s="551"/>
      <c r="T865" s="551"/>
      <c r="U865" s="551"/>
      <c r="V865" s="551"/>
      <c r="W865" s="551"/>
      <c r="X865" s="551"/>
      <c r="Y865" s="551"/>
      <c r="Z865" s="551"/>
      <c r="AA865" s="551"/>
      <c r="AB865" s="551"/>
      <c r="AC865" s="551"/>
      <c r="AD865" s="551"/>
      <c r="AE865" s="551"/>
      <c r="AF865" s="551"/>
      <c r="AG865" s="551"/>
      <c r="AH865" s="551"/>
      <c r="AI865" s="551"/>
      <c r="AJ865" s="551"/>
      <c r="AK865" s="551"/>
      <c r="AL865" s="551"/>
      <c r="AM865" s="551"/>
      <c r="AN865" s="551"/>
      <c r="AO865" s="551"/>
      <c r="AP865" s="551"/>
      <c r="AQ865" s="551"/>
      <c r="AR865" s="551"/>
      <c r="AS865" s="551"/>
      <c r="AT865" s="551"/>
      <c r="AU865" s="551"/>
      <c r="AV865" s="551"/>
      <c r="AW865" s="551"/>
      <c r="AX865" s="551"/>
      <c r="AY865" s="551"/>
      <c r="AZ865" s="551"/>
      <c r="BA865" s="551"/>
      <c r="BB865" s="551"/>
      <c r="BC865" s="551"/>
      <c r="BD865" s="551"/>
      <c r="BE865" s="551"/>
      <c r="BF865" s="551"/>
      <c r="BG865" s="551"/>
      <c r="BH865" s="551"/>
      <c r="BI865" s="551"/>
      <c r="BJ865" s="551"/>
    </row>
    <row r="866" spans="1:62" ht="12.75" customHeight="1">
      <c r="A866" s="551"/>
      <c r="B866" s="551"/>
      <c r="C866" s="551"/>
      <c r="D866" s="551"/>
      <c r="E866" s="551"/>
      <c r="F866" s="551"/>
      <c r="G866" s="551"/>
      <c r="H866" s="551"/>
      <c r="I866" s="551"/>
      <c r="J866" s="551"/>
      <c r="K866" s="551"/>
      <c r="L866" s="551"/>
      <c r="M866" s="551"/>
      <c r="N866" s="551"/>
      <c r="O866" s="551"/>
      <c r="P866" s="551"/>
      <c r="Q866" s="551"/>
      <c r="R866" s="551"/>
      <c r="S866" s="551"/>
      <c r="T866" s="551"/>
      <c r="U866" s="551"/>
      <c r="V866" s="551"/>
      <c r="W866" s="551"/>
      <c r="X866" s="551"/>
      <c r="Y866" s="551"/>
      <c r="Z866" s="551"/>
      <c r="AA866" s="551"/>
      <c r="AB866" s="551"/>
      <c r="AC866" s="551"/>
      <c r="AD866" s="551"/>
      <c r="AE866" s="551"/>
      <c r="AF866" s="551"/>
      <c r="AG866" s="551"/>
      <c r="AH866" s="551"/>
      <c r="AI866" s="551"/>
      <c r="AJ866" s="551"/>
      <c r="AK866" s="551"/>
      <c r="AL866" s="551"/>
      <c r="AM866" s="551"/>
      <c r="AN866" s="551"/>
      <c r="AO866" s="551"/>
      <c r="AP866" s="551"/>
      <c r="AQ866" s="551"/>
      <c r="AR866" s="551"/>
      <c r="AS866" s="551"/>
      <c r="AT866" s="551"/>
      <c r="AU866" s="551"/>
      <c r="AV866" s="551"/>
      <c r="AW866" s="551"/>
      <c r="AX866" s="551"/>
      <c r="AY866" s="551"/>
      <c r="AZ866" s="551"/>
      <c r="BA866" s="551"/>
      <c r="BB866" s="551"/>
      <c r="BC866" s="551"/>
      <c r="BD866" s="551"/>
      <c r="BE866" s="551"/>
      <c r="BF866" s="551"/>
      <c r="BG866" s="551"/>
      <c r="BH866" s="551"/>
      <c r="BI866" s="551"/>
      <c r="BJ866" s="551"/>
    </row>
    <row r="867" spans="1:62" ht="12.75" customHeight="1">
      <c r="A867" s="551"/>
      <c r="B867" s="551"/>
      <c r="C867" s="551"/>
      <c r="D867" s="551"/>
      <c r="E867" s="551"/>
      <c r="F867" s="551"/>
      <c r="G867" s="551"/>
      <c r="H867" s="551"/>
      <c r="I867" s="551"/>
      <c r="J867" s="551"/>
      <c r="K867" s="551"/>
      <c r="L867" s="551"/>
      <c r="M867" s="551"/>
      <c r="N867" s="551"/>
      <c r="O867" s="551"/>
      <c r="P867" s="551"/>
      <c r="Q867" s="551"/>
      <c r="R867" s="551"/>
      <c r="S867" s="551"/>
      <c r="T867" s="551"/>
      <c r="U867" s="551"/>
      <c r="V867" s="551"/>
      <c r="W867" s="551"/>
      <c r="X867" s="551"/>
      <c r="Y867" s="551"/>
      <c r="Z867" s="551"/>
      <c r="AA867" s="551"/>
      <c r="AB867" s="551"/>
      <c r="AC867" s="551"/>
      <c r="AD867" s="551"/>
      <c r="AE867" s="551"/>
      <c r="AF867" s="551"/>
      <c r="AG867" s="551"/>
      <c r="AH867" s="551"/>
      <c r="AI867" s="551"/>
      <c r="AJ867" s="551"/>
      <c r="AK867" s="551"/>
      <c r="AL867" s="551"/>
      <c r="AM867" s="551"/>
      <c r="AN867" s="551"/>
      <c r="AO867" s="551"/>
      <c r="AP867" s="551"/>
      <c r="AQ867" s="551"/>
      <c r="AR867" s="551"/>
      <c r="AS867" s="551"/>
      <c r="AT867" s="551"/>
      <c r="AU867" s="551"/>
      <c r="AV867" s="551"/>
      <c r="AW867" s="551"/>
      <c r="AX867" s="551"/>
      <c r="AY867" s="551"/>
      <c r="AZ867" s="551"/>
      <c r="BA867" s="551"/>
      <c r="BB867" s="551"/>
      <c r="BC867" s="551"/>
      <c r="BD867" s="551"/>
      <c r="BE867" s="551"/>
      <c r="BF867" s="551"/>
      <c r="BG867" s="551"/>
      <c r="BH867" s="551"/>
      <c r="BI867" s="551"/>
      <c r="BJ867" s="551"/>
    </row>
    <row r="868" spans="1:62" ht="12.75" customHeight="1">
      <c r="A868" s="551"/>
      <c r="B868" s="551"/>
      <c r="C868" s="551"/>
      <c r="D868" s="551"/>
      <c r="E868" s="551"/>
      <c r="F868" s="551"/>
      <c r="G868" s="551"/>
      <c r="H868" s="551"/>
      <c r="I868" s="551"/>
      <c r="J868" s="551"/>
      <c r="K868" s="551"/>
      <c r="L868" s="551"/>
      <c r="M868" s="551"/>
      <c r="N868" s="551"/>
      <c r="O868" s="551"/>
      <c r="P868" s="551"/>
      <c r="Q868" s="551"/>
      <c r="R868" s="551"/>
      <c r="S868" s="551"/>
      <c r="T868" s="551"/>
      <c r="U868" s="551"/>
      <c r="V868" s="551"/>
      <c r="W868" s="551"/>
      <c r="X868" s="551"/>
      <c r="Y868" s="551"/>
      <c r="Z868" s="551"/>
      <c r="AA868" s="551"/>
      <c r="AB868" s="551"/>
      <c r="AC868" s="551"/>
      <c r="AD868" s="551"/>
      <c r="AE868" s="551"/>
      <c r="AF868" s="551"/>
      <c r="AG868" s="551"/>
      <c r="AH868" s="551"/>
      <c r="AI868" s="551"/>
      <c r="AJ868" s="551"/>
      <c r="AK868" s="551"/>
      <c r="AL868" s="551"/>
      <c r="AM868" s="551"/>
      <c r="AN868" s="551"/>
      <c r="AO868" s="551"/>
      <c r="AP868" s="551"/>
      <c r="AQ868" s="551"/>
      <c r="AR868" s="551"/>
      <c r="AS868" s="551"/>
      <c r="AT868" s="551"/>
      <c r="AU868" s="551"/>
      <c r="AV868" s="551"/>
      <c r="AW868" s="551"/>
      <c r="AX868" s="551"/>
      <c r="AY868" s="551"/>
      <c r="AZ868" s="551"/>
      <c r="BA868" s="551"/>
      <c r="BB868" s="551"/>
      <c r="BC868" s="551"/>
      <c r="BD868" s="551"/>
      <c r="BE868" s="551"/>
      <c r="BF868" s="551"/>
      <c r="BG868" s="551"/>
      <c r="BH868" s="551"/>
      <c r="BI868" s="551"/>
      <c r="BJ868" s="551"/>
    </row>
    <row r="869" spans="1:62" ht="12.75" customHeight="1">
      <c r="A869" s="551"/>
      <c r="B869" s="551"/>
      <c r="C869" s="551"/>
      <c r="D869" s="551"/>
      <c r="E869" s="551"/>
      <c r="F869" s="551"/>
      <c r="G869" s="551"/>
      <c r="H869" s="551"/>
      <c r="I869" s="551"/>
      <c r="J869" s="551"/>
      <c r="K869" s="551"/>
      <c r="L869" s="551"/>
      <c r="M869" s="551"/>
      <c r="N869" s="551"/>
      <c r="O869" s="551"/>
      <c r="P869" s="551"/>
      <c r="Q869" s="551"/>
      <c r="R869" s="551"/>
      <c r="S869" s="551"/>
      <c r="T869" s="551"/>
      <c r="U869" s="551"/>
      <c r="V869" s="551"/>
      <c r="W869" s="551"/>
      <c r="X869" s="551"/>
      <c r="Y869" s="551"/>
      <c r="Z869" s="551"/>
      <c r="AA869" s="551"/>
      <c r="AB869" s="551"/>
      <c r="AC869" s="551"/>
      <c r="AD869" s="551"/>
      <c r="AE869" s="551"/>
      <c r="AF869" s="551"/>
      <c r="AG869" s="551"/>
      <c r="AH869" s="551"/>
      <c r="AI869" s="551"/>
      <c r="AJ869" s="551"/>
      <c r="AK869" s="551"/>
      <c r="AL869" s="551"/>
      <c r="AM869" s="551"/>
      <c r="AN869" s="551"/>
      <c r="AO869" s="551"/>
      <c r="AP869" s="551"/>
      <c r="AQ869" s="551"/>
      <c r="AR869" s="551"/>
      <c r="AS869" s="551"/>
      <c r="AT869" s="551"/>
      <c r="AU869" s="551"/>
      <c r="AV869" s="551"/>
      <c r="AW869" s="551"/>
      <c r="AX869" s="551"/>
      <c r="AY869" s="551"/>
      <c r="AZ869" s="551"/>
      <c r="BA869" s="551"/>
      <c r="BB869" s="551"/>
      <c r="BC869" s="551"/>
      <c r="BD869" s="551"/>
      <c r="BE869" s="551"/>
      <c r="BF869" s="551"/>
      <c r="BG869" s="551"/>
      <c r="BH869" s="551"/>
      <c r="BI869" s="551"/>
      <c r="BJ869" s="551"/>
    </row>
    <row r="870" spans="1:62" ht="12.75" customHeight="1">
      <c r="A870" s="551"/>
      <c r="B870" s="551"/>
      <c r="C870" s="551"/>
      <c r="D870" s="551"/>
      <c r="E870" s="551"/>
      <c r="F870" s="551"/>
      <c r="G870" s="551"/>
      <c r="H870" s="551"/>
      <c r="I870" s="551"/>
      <c r="J870" s="551"/>
      <c r="K870" s="551"/>
      <c r="L870" s="551"/>
      <c r="M870" s="551"/>
      <c r="N870" s="551"/>
      <c r="O870" s="551"/>
      <c r="P870" s="551"/>
      <c r="Q870" s="551"/>
      <c r="R870" s="551"/>
      <c r="S870" s="551"/>
      <c r="T870" s="551"/>
      <c r="U870" s="551"/>
      <c r="V870" s="551"/>
      <c r="W870" s="551"/>
      <c r="X870" s="551"/>
      <c r="Y870" s="551"/>
      <c r="Z870" s="551"/>
      <c r="AA870" s="551"/>
      <c r="AB870" s="551"/>
      <c r="AC870" s="551"/>
      <c r="AD870" s="551"/>
      <c r="AE870" s="551"/>
      <c r="AF870" s="551"/>
      <c r="AG870" s="551"/>
      <c r="AH870" s="551"/>
      <c r="AI870" s="551"/>
      <c r="AJ870" s="551"/>
      <c r="AK870" s="551"/>
      <c r="AL870" s="551"/>
      <c r="AM870" s="551"/>
      <c r="AN870" s="551"/>
      <c r="AO870" s="551"/>
      <c r="AP870" s="551"/>
      <c r="AQ870" s="551"/>
      <c r="AR870" s="551"/>
      <c r="AS870" s="551"/>
      <c r="AT870" s="551"/>
      <c r="AU870" s="551"/>
      <c r="AV870" s="551"/>
      <c r="AW870" s="551"/>
      <c r="AX870" s="551"/>
      <c r="AY870" s="551"/>
      <c r="AZ870" s="551"/>
      <c r="BA870" s="551"/>
      <c r="BB870" s="551"/>
      <c r="BC870" s="551"/>
      <c r="BD870" s="551"/>
      <c r="BE870" s="551"/>
      <c r="BF870" s="551"/>
      <c r="BG870" s="551"/>
      <c r="BH870" s="551"/>
      <c r="BI870" s="551"/>
      <c r="BJ870" s="551"/>
    </row>
    <row r="871" spans="1:62" ht="12.75" customHeight="1">
      <c r="A871" s="551"/>
      <c r="B871" s="551"/>
      <c r="C871" s="551"/>
      <c r="D871" s="551"/>
      <c r="E871" s="551"/>
      <c r="F871" s="551"/>
      <c r="G871" s="551"/>
      <c r="H871" s="551"/>
      <c r="I871" s="551"/>
      <c r="J871" s="551"/>
      <c r="K871" s="551"/>
      <c r="L871" s="551"/>
      <c r="M871" s="551"/>
      <c r="N871" s="551"/>
      <c r="O871" s="551"/>
      <c r="P871" s="551"/>
      <c r="Q871" s="551"/>
      <c r="R871" s="551"/>
      <c r="S871" s="551"/>
      <c r="T871" s="551"/>
      <c r="U871" s="551"/>
      <c r="V871" s="551"/>
      <c r="W871" s="551"/>
      <c r="X871" s="551"/>
      <c r="Y871" s="551"/>
      <c r="Z871" s="551"/>
      <c r="AA871" s="551"/>
      <c r="AB871" s="551"/>
      <c r="AC871" s="551"/>
      <c r="AD871" s="551"/>
      <c r="AE871" s="551"/>
      <c r="AF871" s="551"/>
      <c r="AG871" s="551"/>
      <c r="AH871" s="551"/>
      <c r="AI871" s="551"/>
      <c r="AJ871" s="551"/>
      <c r="AK871" s="551"/>
      <c r="AL871" s="551"/>
      <c r="AM871" s="551"/>
      <c r="AN871" s="551"/>
      <c r="AO871" s="551"/>
      <c r="AP871" s="551"/>
      <c r="AQ871" s="551"/>
      <c r="AR871" s="551"/>
      <c r="AS871" s="551"/>
      <c r="AT871" s="551"/>
      <c r="AU871" s="551"/>
      <c r="AV871" s="551"/>
      <c r="AW871" s="551"/>
      <c r="AX871" s="551"/>
      <c r="AY871" s="551"/>
      <c r="AZ871" s="551"/>
      <c r="BA871" s="551"/>
      <c r="BB871" s="551"/>
      <c r="BC871" s="551"/>
      <c r="BD871" s="551"/>
      <c r="BE871" s="551"/>
      <c r="BF871" s="551"/>
      <c r="BG871" s="551"/>
      <c r="BH871" s="551"/>
      <c r="BI871" s="551"/>
      <c r="BJ871" s="551"/>
    </row>
    <row r="872" spans="1:62" ht="12.75" customHeight="1">
      <c r="A872" s="551"/>
      <c r="B872" s="551"/>
      <c r="C872" s="551"/>
      <c r="D872" s="551"/>
      <c r="E872" s="551"/>
      <c r="F872" s="551"/>
      <c r="G872" s="551"/>
      <c r="H872" s="551"/>
      <c r="I872" s="551"/>
      <c r="J872" s="551"/>
      <c r="K872" s="551"/>
      <c r="L872" s="551"/>
      <c r="M872" s="551"/>
      <c r="N872" s="551"/>
      <c r="O872" s="551"/>
      <c r="P872" s="551"/>
      <c r="Q872" s="551"/>
      <c r="R872" s="551"/>
      <c r="S872" s="551"/>
      <c r="T872" s="551"/>
      <c r="U872" s="551"/>
      <c r="V872" s="551"/>
      <c r="W872" s="551"/>
      <c r="X872" s="551"/>
      <c r="Y872" s="551"/>
      <c r="Z872" s="551"/>
      <c r="AA872" s="551"/>
      <c r="AB872" s="551"/>
      <c r="AC872" s="551"/>
      <c r="AD872" s="551"/>
      <c r="AE872" s="551"/>
      <c r="AF872" s="551"/>
      <c r="AG872" s="551"/>
      <c r="AH872" s="551"/>
      <c r="AI872" s="551"/>
      <c r="AJ872" s="551"/>
      <c r="AK872" s="551"/>
      <c r="AL872" s="551"/>
      <c r="AM872" s="551"/>
      <c r="AN872" s="551"/>
      <c r="AO872" s="551"/>
      <c r="AP872" s="551"/>
      <c r="AQ872" s="551"/>
      <c r="AR872" s="551"/>
      <c r="AS872" s="551"/>
      <c r="AT872" s="551"/>
      <c r="AU872" s="551"/>
      <c r="AV872" s="551"/>
      <c r="AW872" s="551"/>
      <c r="AX872" s="551"/>
      <c r="AY872" s="551"/>
      <c r="AZ872" s="551"/>
      <c r="BA872" s="551"/>
      <c r="BB872" s="551"/>
      <c r="BC872" s="551"/>
      <c r="BD872" s="551"/>
      <c r="BE872" s="551"/>
      <c r="BF872" s="551"/>
      <c r="BG872" s="551"/>
      <c r="BH872" s="551"/>
      <c r="BI872" s="551"/>
      <c r="BJ872" s="551"/>
    </row>
    <row r="873" spans="1:62" ht="12.75" customHeight="1">
      <c r="A873" s="551"/>
      <c r="B873" s="551"/>
      <c r="C873" s="551"/>
      <c r="D873" s="551"/>
      <c r="E873" s="551"/>
      <c r="F873" s="551"/>
      <c r="G873" s="551"/>
      <c r="H873" s="551"/>
      <c r="I873" s="551"/>
      <c r="J873" s="551"/>
      <c r="K873" s="551"/>
      <c r="L873" s="551"/>
      <c r="M873" s="551"/>
      <c r="N873" s="551"/>
      <c r="O873" s="551"/>
      <c r="P873" s="551"/>
      <c r="Q873" s="551"/>
      <c r="R873" s="551"/>
      <c r="S873" s="551"/>
      <c r="T873" s="551"/>
      <c r="U873" s="551"/>
      <c r="V873" s="551"/>
      <c r="W873" s="551"/>
      <c r="X873" s="551"/>
      <c r="Y873" s="551"/>
      <c r="Z873" s="551"/>
      <c r="AA873" s="551"/>
      <c r="AB873" s="551"/>
      <c r="AC873" s="551"/>
      <c r="AD873" s="551"/>
      <c r="AE873" s="551"/>
      <c r="AF873" s="551"/>
      <c r="AG873" s="551"/>
      <c r="AH873" s="551"/>
      <c r="AI873" s="551"/>
      <c r="AJ873" s="551"/>
      <c r="AK873" s="551"/>
      <c r="AL873" s="551"/>
      <c r="AM873" s="551"/>
      <c r="AN873" s="551"/>
      <c r="AO873" s="551"/>
      <c r="AP873" s="551"/>
      <c r="AQ873" s="551"/>
      <c r="AR873" s="551"/>
      <c r="AS873" s="551"/>
      <c r="AT873" s="551"/>
      <c r="AU873" s="551"/>
      <c r="AV873" s="551"/>
      <c r="AW873" s="551"/>
      <c r="AX873" s="551"/>
      <c r="AY873" s="551"/>
      <c r="AZ873" s="551"/>
      <c r="BA873" s="551"/>
      <c r="BB873" s="551"/>
      <c r="BC873" s="551"/>
      <c r="BD873" s="551"/>
      <c r="BE873" s="551"/>
      <c r="BF873" s="551"/>
      <c r="BG873" s="551"/>
      <c r="BH873" s="551"/>
      <c r="BI873" s="551"/>
      <c r="BJ873" s="551"/>
    </row>
    <row r="874" spans="1:62" ht="12.75" customHeight="1">
      <c r="A874" s="551"/>
      <c r="B874" s="551"/>
      <c r="C874" s="551"/>
      <c r="D874" s="551"/>
      <c r="E874" s="551"/>
      <c r="F874" s="551"/>
      <c r="G874" s="551"/>
      <c r="H874" s="551"/>
      <c r="I874" s="551"/>
      <c r="J874" s="551"/>
      <c r="K874" s="551"/>
      <c r="L874" s="551"/>
      <c r="M874" s="551"/>
      <c r="N874" s="551"/>
      <c r="O874" s="551"/>
      <c r="P874" s="551"/>
      <c r="Q874" s="551"/>
      <c r="R874" s="551"/>
      <c r="S874" s="551"/>
      <c r="T874" s="551"/>
      <c r="U874" s="551"/>
      <c r="V874" s="551"/>
      <c r="W874" s="551"/>
      <c r="X874" s="551"/>
      <c r="Y874" s="551"/>
      <c r="Z874" s="551"/>
      <c r="AA874" s="551"/>
      <c r="AB874" s="551"/>
      <c r="AC874" s="551"/>
      <c r="AD874" s="551"/>
      <c r="AE874" s="551"/>
      <c r="AF874" s="551"/>
      <c r="AG874" s="551"/>
      <c r="AH874" s="551"/>
      <c r="AI874" s="551"/>
      <c r="AJ874" s="551"/>
      <c r="AK874" s="551"/>
      <c r="AL874" s="551"/>
      <c r="AM874" s="551"/>
      <c r="AN874" s="551"/>
      <c r="AO874" s="551"/>
      <c r="AP874" s="551"/>
      <c r="AQ874" s="551"/>
      <c r="AR874" s="551"/>
      <c r="AS874" s="551"/>
      <c r="AT874" s="551"/>
      <c r="AU874" s="551"/>
      <c r="AV874" s="551"/>
      <c r="AW874" s="551"/>
      <c r="AX874" s="551"/>
      <c r="AY874" s="551"/>
      <c r="AZ874" s="551"/>
      <c r="BA874" s="551"/>
      <c r="BB874" s="551"/>
      <c r="BC874" s="551"/>
      <c r="BD874" s="551"/>
      <c r="BE874" s="551"/>
      <c r="BF874" s="551"/>
      <c r="BG874" s="551"/>
      <c r="BH874" s="551"/>
      <c r="BI874" s="551"/>
      <c r="BJ874" s="551"/>
    </row>
    <row r="875" spans="1:62" ht="12.75" customHeight="1">
      <c r="A875" s="551"/>
      <c r="B875" s="551"/>
      <c r="C875" s="551"/>
      <c r="D875" s="551"/>
      <c r="E875" s="551"/>
      <c r="F875" s="551"/>
      <c r="G875" s="551"/>
      <c r="H875" s="551"/>
      <c r="I875" s="551"/>
      <c r="J875" s="551"/>
      <c r="K875" s="551"/>
      <c r="L875" s="551"/>
      <c r="M875" s="551"/>
      <c r="N875" s="551"/>
      <c r="O875" s="551"/>
      <c r="P875" s="551"/>
      <c r="Q875" s="551"/>
      <c r="R875" s="551"/>
      <c r="S875" s="551"/>
      <c r="T875" s="551"/>
      <c r="U875" s="551"/>
      <c r="V875" s="551"/>
      <c r="W875" s="551"/>
      <c r="X875" s="551"/>
      <c r="Y875" s="551"/>
      <c r="Z875" s="551"/>
      <c r="AA875" s="551"/>
      <c r="AB875" s="551"/>
      <c r="AC875" s="551"/>
      <c r="AD875" s="551"/>
      <c r="AE875" s="551"/>
      <c r="AF875" s="551"/>
      <c r="AG875" s="551"/>
      <c r="AH875" s="551"/>
      <c r="AI875" s="551"/>
      <c r="AJ875" s="551"/>
      <c r="AK875" s="551"/>
      <c r="AL875" s="551"/>
      <c r="AM875" s="551"/>
      <c r="AN875" s="551"/>
      <c r="AO875" s="551"/>
      <c r="AP875" s="551"/>
      <c r="AQ875" s="551"/>
      <c r="AR875" s="551"/>
      <c r="AS875" s="551"/>
      <c r="AT875" s="551"/>
      <c r="AU875" s="551"/>
      <c r="AV875" s="551"/>
      <c r="AW875" s="551"/>
      <c r="AX875" s="551"/>
      <c r="AY875" s="551"/>
      <c r="AZ875" s="551"/>
      <c r="BA875" s="551"/>
      <c r="BB875" s="551"/>
      <c r="BC875" s="551"/>
      <c r="BD875" s="551"/>
      <c r="BE875" s="551"/>
      <c r="BF875" s="551"/>
      <c r="BG875" s="551"/>
      <c r="BH875" s="551"/>
      <c r="BI875" s="551"/>
      <c r="BJ875" s="551"/>
    </row>
    <row r="876" spans="1:62" ht="12.75" customHeight="1">
      <c r="A876" s="551"/>
      <c r="B876" s="551"/>
      <c r="C876" s="551"/>
      <c r="D876" s="551"/>
      <c r="E876" s="551"/>
      <c r="F876" s="551"/>
      <c r="G876" s="551"/>
      <c r="H876" s="551"/>
      <c r="I876" s="551"/>
      <c r="J876" s="551"/>
      <c r="K876" s="551"/>
      <c r="L876" s="551"/>
      <c r="M876" s="551"/>
      <c r="N876" s="551"/>
      <c r="O876" s="551"/>
      <c r="P876" s="551"/>
      <c r="Q876" s="551"/>
      <c r="R876" s="551"/>
      <c r="S876" s="551"/>
      <c r="T876" s="551"/>
      <c r="U876" s="551"/>
      <c r="V876" s="551"/>
      <c r="W876" s="551"/>
      <c r="X876" s="551"/>
      <c r="Y876" s="551"/>
      <c r="Z876" s="551"/>
      <c r="AA876" s="551"/>
      <c r="AB876" s="551"/>
      <c r="AC876" s="551"/>
      <c r="AD876" s="551"/>
      <c r="AE876" s="551"/>
      <c r="AF876" s="551"/>
      <c r="AG876" s="551"/>
      <c r="AH876" s="551"/>
      <c r="AI876" s="551"/>
      <c r="AJ876" s="551"/>
      <c r="AK876" s="551"/>
      <c r="AL876" s="551"/>
      <c r="AM876" s="551"/>
      <c r="AN876" s="551"/>
      <c r="AO876" s="551"/>
      <c r="AP876" s="551"/>
      <c r="AQ876" s="551"/>
      <c r="AR876" s="551"/>
      <c r="AS876" s="551"/>
      <c r="AT876" s="551"/>
      <c r="AU876" s="551"/>
      <c r="AV876" s="551"/>
      <c r="AW876" s="551"/>
      <c r="AX876" s="551"/>
      <c r="AY876" s="551"/>
      <c r="AZ876" s="551"/>
      <c r="BA876" s="551"/>
      <c r="BB876" s="551"/>
      <c r="BC876" s="551"/>
      <c r="BD876" s="551"/>
      <c r="BE876" s="551"/>
      <c r="BF876" s="551"/>
      <c r="BG876" s="551"/>
      <c r="BH876" s="551"/>
      <c r="BI876" s="551"/>
      <c r="BJ876" s="551"/>
    </row>
    <row r="877" spans="1:62" ht="12.75" customHeight="1">
      <c r="A877" s="551"/>
      <c r="B877" s="551"/>
      <c r="C877" s="551"/>
      <c r="D877" s="551"/>
      <c r="E877" s="551"/>
      <c r="F877" s="551"/>
      <c r="G877" s="551"/>
      <c r="H877" s="551"/>
      <c r="I877" s="551"/>
      <c r="J877" s="551"/>
      <c r="K877" s="551"/>
      <c r="L877" s="551"/>
      <c r="M877" s="551"/>
      <c r="N877" s="551"/>
      <c r="O877" s="551"/>
      <c r="P877" s="551"/>
      <c r="Q877" s="551"/>
      <c r="R877" s="551"/>
      <c r="S877" s="551"/>
      <c r="T877" s="551"/>
      <c r="U877" s="551"/>
      <c r="V877" s="551"/>
      <c r="W877" s="551"/>
      <c r="X877" s="551"/>
      <c r="Y877" s="551"/>
      <c r="Z877" s="551"/>
      <c r="AA877" s="551"/>
      <c r="AB877" s="551"/>
      <c r="AC877" s="551"/>
      <c r="AD877" s="551"/>
      <c r="AE877" s="551"/>
      <c r="AF877" s="551"/>
      <c r="AG877" s="551"/>
      <c r="AH877" s="551"/>
      <c r="AI877" s="551"/>
      <c r="AJ877" s="551"/>
      <c r="AK877" s="551"/>
      <c r="AL877" s="551"/>
      <c r="AM877" s="551"/>
      <c r="AN877" s="551"/>
      <c r="AO877" s="551"/>
      <c r="AP877" s="551"/>
      <c r="AQ877" s="551"/>
      <c r="AR877" s="551"/>
      <c r="AS877" s="551"/>
      <c r="AT877" s="551"/>
      <c r="AU877" s="551"/>
      <c r="AV877" s="551"/>
      <c r="AW877" s="551"/>
      <c r="AX877" s="551"/>
      <c r="AY877" s="551"/>
      <c r="AZ877" s="551"/>
      <c r="BA877" s="551"/>
      <c r="BB877" s="551"/>
      <c r="BC877" s="551"/>
      <c r="BD877" s="551"/>
      <c r="BE877" s="551"/>
      <c r="BF877" s="551"/>
      <c r="BG877" s="551"/>
      <c r="BH877" s="551"/>
      <c r="BI877" s="551"/>
      <c r="BJ877" s="551"/>
    </row>
    <row r="878" spans="1:62" ht="12.75" customHeight="1">
      <c r="A878" s="551"/>
      <c r="B878" s="551"/>
      <c r="C878" s="551"/>
      <c r="D878" s="551"/>
      <c r="E878" s="551"/>
      <c r="F878" s="551"/>
      <c r="G878" s="551"/>
      <c r="H878" s="551"/>
      <c r="I878" s="551"/>
      <c r="J878" s="551"/>
      <c r="K878" s="551"/>
      <c r="L878" s="551"/>
      <c r="M878" s="551"/>
      <c r="N878" s="551"/>
      <c r="O878" s="551"/>
      <c r="P878" s="551"/>
      <c r="Q878" s="551"/>
      <c r="R878" s="551"/>
      <c r="S878" s="551"/>
      <c r="T878" s="551"/>
      <c r="U878" s="551"/>
      <c r="V878" s="551"/>
      <c r="W878" s="551"/>
      <c r="X878" s="551"/>
      <c r="Y878" s="551"/>
      <c r="Z878" s="551"/>
      <c r="AA878" s="551"/>
      <c r="AB878" s="551"/>
      <c r="AC878" s="551"/>
      <c r="AD878" s="551"/>
      <c r="AE878" s="551"/>
      <c r="AF878" s="551"/>
      <c r="AG878" s="551"/>
      <c r="AH878" s="551"/>
      <c r="AI878" s="551"/>
      <c r="AJ878" s="551"/>
      <c r="AK878" s="551"/>
      <c r="AL878" s="551"/>
      <c r="AM878" s="551"/>
      <c r="AN878" s="551"/>
      <c r="AO878" s="551"/>
      <c r="AP878" s="551"/>
      <c r="AQ878" s="551"/>
      <c r="AR878" s="551"/>
      <c r="AS878" s="551"/>
      <c r="AT878" s="551"/>
      <c r="AU878" s="551"/>
      <c r="AV878" s="551"/>
      <c r="AW878" s="551"/>
      <c r="AX878" s="551"/>
      <c r="AY878" s="551"/>
      <c r="AZ878" s="551"/>
      <c r="BA878" s="551"/>
      <c r="BB878" s="551"/>
      <c r="BC878" s="551"/>
      <c r="BD878" s="551"/>
      <c r="BE878" s="551"/>
      <c r="BF878" s="551"/>
      <c r="BG878" s="551"/>
      <c r="BH878" s="551"/>
      <c r="BI878" s="551"/>
      <c r="BJ878" s="551"/>
    </row>
    <row r="879" spans="1:62" ht="12.75" customHeight="1">
      <c r="A879" s="551"/>
      <c r="B879" s="551"/>
      <c r="C879" s="551"/>
      <c r="D879" s="551"/>
      <c r="E879" s="551"/>
      <c r="F879" s="551"/>
      <c r="G879" s="551"/>
      <c r="H879" s="551"/>
      <c r="I879" s="551"/>
      <c r="J879" s="551"/>
      <c r="K879" s="551"/>
      <c r="L879" s="551"/>
      <c r="M879" s="551"/>
      <c r="N879" s="551"/>
      <c r="O879" s="551"/>
      <c r="P879" s="551"/>
      <c r="Q879" s="551"/>
      <c r="R879" s="551"/>
      <c r="S879" s="551"/>
      <c r="T879" s="551"/>
      <c r="U879" s="551"/>
      <c r="V879" s="551"/>
      <c r="W879" s="551"/>
      <c r="X879" s="551"/>
      <c r="Y879" s="551"/>
      <c r="Z879" s="551"/>
      <c r="AA879" s="551"/>
      <c r="AB879" s="551"/>
      <c r="AC879" s="551"/>
      <c r="AD879" s="551"/>
      <c r="AE879" s="551"/>
      <c r="AF879" s="551"/>
      <c r="AG879" s="551"/>
      <c r="AH879" s="551"/>
      <c r="AI879" s="551"/>
      <c r="AJ879" s="551"/>
      <c r="AK879" s="551"/>
      <c r="AL879" s="551"/>
      <c r="AM879" s="551"/>
      <c r="AN879" s="551"/>
      <c r="AO879" s="551"/>
      <c r="AP879" s="551"/>
      <c r="AQ879" s="551"/>
      <c r="AR879" s="551"/>
      <c r="AS879" s="551"/>
      <c r="AT879" s="551"/>
      <c r="AU879" s="551"/>
      <c r="AV879" s="551"/>
      <c r="AW879" s="551"/>
      <c r="AX879" s="551"/>
      <c r="AY879" s="551"/>
      <c r="AZ879" s="551"/>
      <c r="BA879" s="551"/>
      <c r="BB879" s="551"/>
      <c r="BC879" s="551"/>
      <c r="BD879" s="551"/>
      <c r="BE879" s="551"/>
      <c r="BF879" s="551"/>
      <c r="BG879" s="551"/>
      <c r="BH879" s="551"/>
      <c r="BI879" s="551"/>
      <c r="BJ879" s="551"/>
    </row>
    <row r="880" spans="1:62" ht="12.75" customHeight="1">
      <c r="A880" s="551"/>
      <c r="B880" s="551"/>
      <c r="C880" s="551"/>
      <c r="D880" s="551"/>
      <c r="E880" s="551"/>
      <c r="F880" s="551"/>
      <c r="G880" s="551"/>
      <c r="H880" s="551"/>
      <c r="I880" s="551"/>
      <c r="J880" s="551"/>
      <c r="K880" s="551"/>
      <c r="L880" s="551"/>
      <c r="M880" s="551"/>
      <c r="N880" s="551"/>
      <c r="O880" s="551"/>
      <c r="P880" s="551"/>
      <c r="Q880" s="551"/>
      <c r="R880" s="551"/>
      <c r="S880" s="551"/>
      <c r="T880" s="551"/>
      <c r="U880" s="551"/>
      <c r="V880" s="551"/>
      <c r="W880" s="551"/>
      <c r="X880" s="551"/>
      <c r="Y880" s="551"/>
      <c r="Z880" s="551"/>
      <c r="AA880" s="551"/>
      <c r="AB880" s="551"/>
      <c r="AC880" s="551"/>
      <c r="AD880" s="551"/>
      <c r="AE880" s="551"/>
      <c r="AF880" s="551"/>
      <c r="AG880" s="551"/>
      <c r="AH880" s="551"/>
      <c r="AI880" s="551"/>
      <c r="AJ880" s="551"/>
      <c r="AK880" s="551"/>
      <c r="AL880" s="551"/>
      <c r="AM880" s="551"/>
      <c r="AN880" s="551"/>
      <c r="AO880" s="551"/>
      <c r="AP880" s="551"/>
      <c r="AQ880" s="551"/>
      <c r="AR880" s="551"/>
      <c r="AS880" s="551"/>
      <c r="AT880" s="551"/>
      <c r="AU880" s="551"/>
      <c r="AV880" s="551"/>
      <c r="AW880" s="551"/>
      <c r="AX880" s="551"/>
      <c r="AY880" s="551"/>
      <c r="AZ880" s="551"/>
      <c r="BA880" s="551"/>
      <c r="BB880" s="551"/>
      <c r="BC880" s="551"/>
      <c r="BD880" s="551"/>
      <c r="BE880" s="551"/>
      <c r="BF880" s="551"/>
      <c r="BG880" s="551"/>
      <c r="BH880" s="551"/>
      <c r="BI880" s="551"/>
      <c r="BJ880" s="551"/>
    </row>
    <row r="881" spans="1:62" ht="12.75" customHeight="1">
      <c r="A881" s="551"/>
      <c r="B881" s="551"/>
      <c r="C881" s="551"/>
      <c r="D881" s="551"/>
      <c r="E881" s="551"/>
      <c r="F881" s="551"/>
      <c r="G881" s="551"/>
      <c r="H881" s="551"/>
      <c r="I881" s="551"/>
      <c r="J881" s="551"/>
      <c r="K881" s="551"/>
      <c r="L881" s="551"/>
      <c r="M881" s="551"/>
      <c r="N881" s="551"/>
      <c r="O881" s="551"/>
      <c r="P881" s="551"/>
      <c r="Q881" s="551"/>
      <c r="R881" s="551"/>
      <c r="S881" s="551"/>
      <c r="T881" s="551"/>
      <c r="U881" s="551"/>
      <c r="V881" s="551"/>
      <c r="W881" s="551"/>
      <c r="X881" s="551"/>
      <c r="Y881" s="551"/>
      <c r="Z881" s="551"/>
      <c r="AA881" s="551"/>
      <c r="AB881" s="551"/>
      <c r="AC881" s="551"/>
      <c r="AD881" s="551"/>
      <c r="AE881" s="551"/>
      <c r="AF881" s="551"/>
      <c r="AG881" s="551"/>
      <c r="AH881" s="551"/>
      <c r="AI881" s="551"/>
      <c r="AJ881" s="551"/>
      <c r="AK881" s="551"/>
      <c r="AL881" s="551"/>
      <c r="AM881" s="551"/>
      <c r="AN881" s="551"/>
      <c r="AO881" s="551"/>
      <c r="AP881" s="551"/>
      <c r="AQ881" s="551"/>
      <c r="AR881" s="551"/>
      <c r="AS881" s="551"/>
      <c r="AT881" s="551"/>
      <c r="AU881" s="551"/>
      <c r="AV881" s="551"/>
      <c r="AW881" s="551"/>
      <c r="AX881" s="551"/>
      <c r="AY881" s="551"/>
      <c r="AZ881" s="551"/>
      <c r="BA881" s="551"/>
      <c r="BB881" s="551"/>
      <c r="BC881" s="551"/>
      <c r="BD881" s="551"/>
      <c r="BE881" s="551"/>
      <c r="BF881" s="551"/>
      <c r="BG881" s="551"/>
      <c r="BH881" s="551"/>
      <c r="BI881" s="551"/>
      <c r="BJ881" s="551"/>
    </row>
    <row r="882" spans="1:62" ht="12.75" customHeight="1">
      <c r="A882" s="551"/>
      <c r="B882" s="551"/>
      <c r="C882" s="551"/>
      <c r="D882" s="551"/>
      <c r="E882" s="551"/>
      <c r="F882" s="551"/>
      <c r="G882" s="551"/>
      <c r="H882" s="551"/>
      <c r="I882" s="551"/>
      <c r="J882" s="551"/>
      <c r="K882" s="551"/>
      <c r="L882" s="551"/>
      <c r="M882" s="551"/>
      <c r="N882" s="551"/>
      <c r="O882" s="551"/>
      <c r="P882" s="551"/>
      <c r="Q882" s="551"/>
      <c r="R882" s="551"/>
      <c r="S882" s="551"/>
      <c r="T882" s="551"/>
      <c r="U882" s="551"/>
      <c r="V882" s="551"/>
      <c r="W882" s="551"/>
      <c r="X882" s="551"/>
      <c r="Y882" s="551"/>
      <c r="Z882" s="551"/>
      <c r="AA882" s="551"/>
      <c r="AB882" s="551"/>
      <c r="AC882" s="551"/>
      <c r="AD882" s="551"/>
      <c r="AE882" s="551"/>
      <c r="AF882" s="551"/>
      <c r="AG882" s="551"/>
      <c r="AH882" s="551"/>
      <c r="AI882" s="551"/>
      <c r="AJ882" s="551"/>
      <c r="AK882" s="551"/>
      <c r="AL882" s="551"/>
      <c r="AM882" s="551"/>
      <c r="AN882" s="551"/>
      <c r="AO882" s="551"/>
      <c r="AP882" s="551"/>
      <c r="AQ882" s="551"/>
      <c r="AR882" s="551"/>
      <c r="AS882" s="551"/>
      <c r="AT882" s="551"/>
      <c r="AU882" s="551"/>
      <c r="AV882" s="551"/>
      <c r="AW882" s="551"/>
      <c r="AX882" s="551"/>
      <c r="AY882" s="551"/>
      <c r="AZ882" s="551"/>
      <c r="BA882" s="551"/>
      <c r="BB882" s="551"/>
      <c r="BC882" s="551"/>
      <c r="BD882" s="551"/>
      <c r="BE882" s="551"/>
      <c r="BF882" s="551"/>
      <c r="BG882" s="551"/>
      <c r="BH882" s="551"/>
      <c r="BI882" s="551"/>
      <c r="BJ882" s="551"/>
    </row>
    <row r="883" spans="1:62" ht="12.75" customHeight="1">
      <c r="A883" s="551"/>
      <c r="B883" s="551"/>
      <c r="C883" s="551"/>
      <c r="D883" s="551"/>
      <c r="E883" s="551"/>
      <c r="F883" s="551"/>
      <c r="G883" s="551"/>
      <c r="H883" s="551"/>
      <c r="I883" s="551"/>
      <c r="J883" s="551"/>
      <c r="K883" s="551"/>
      <c r="L883" s="551"/>
      <c r="M883" s="551"/>
      <c r="N883" s="551"/>
      <c r="O883" s="551"/>
      <c r="P883" s="551"/>
      <c r="Q883" s="551"/>
      <c r="R883" s="551"/>
      <c r="S883" s="551"/>
      <c r="T883" s="551"/>
      <c r="U883" s="551"/>
      <c r="V883" s="551"/>
      <c r="W883" s="551"/>
      <c r="X883" s="551"/>
      <c r="Y883" s="551"/>
      <c r="Z883" s="551"/>
      <c r="AA883" s="551"/>
      <c r="AB883" s="551"/>
      <c r="AC883" s="551"/>
      <c r="AD883" s="551"/>
      <c r="AE883" s="551"/>
      <c r="AF883" s="551"/>
      <c r="AG883" s="551"/>
      <c r="AH883" s="551"/>
      <c r="AI883" s="551"/>
      <c r="AJ883" s="551"/>
      <c r="AK883" s="551"/>
      <c r="AL883" s="551"/>
      <c r="AM883" s="551"/>
      <c r="AN883" s="551"/>
      <c r="AO883" s="551"/>
      <c r="AP883" s="551"/>
      <c r="AQ883" s="551"/>
      <c r="AR883" s="551"/>
      <c r="AS883" s="551"/>
      <c r="AT883" s="551"/>
      <c r="AU883" s="551"/>
      <c r="AV883" s="551"/>
      <c r="AW883" s="551"/>
      <c r="AX883" s="551"/>
      <c r="AY883" s="551"/>
      <c r="AZ883" s="551"/>
      <c r="BA883" s="551"/>
      <c r="BB883" s="551"/>
      <c r="BC883" s="551"/>
      <c r="BD883" s="551"/>
      <c r="BE883" s="551"/>
      <c r="BF883" s="551"/>
      <c r="BG883" s="551"/>
      <c r="BH883" s="551"/>
      <c r="BI883" s="551"/>
      <c r="BJ883" s="551"/>
    </row>
    <row r="884" spans="1:62" ht="12.75" customHeight="1">
      <c r="A884" s="551"/>
      <c r="B884" s="551"/>
      <c r="C884" s="551"/>
      <c r="D884" s="551"/>
      <c r="E884" s="551"/>
      <c r="F884" s="551"/>
      <c r="G884" s="551"/>
      <c r="H884" s="551"/>
      <c r="I884" s="551"/>
      <c r="J884" s="551"/>
      <c r="K884" s="551"/>
      <c r="L884" s="551"/>
      <c r="M884" s="551"/>
      <c r="N884" s="551"/>
      <c r="O884" s="551"/>
      <c r="P884" s="551"/>
      <c r="Q884" s="551"/>
      <c r="R884" s="551"/>
      <c r="S884" s="551"/>
      <c r="T884" s="551"/>
      <c r="U884" s="551"/>
      <c r="V884" s="551"/>
      <c r="W884" s="551"/>
      <c r="X884" s="551"/>
      <c r="Y884" s="551"/>
      <c r="Z884" s="551"/>
      <c r="AA884" s="551"/>
      <c r="AB884" s="551"/>
      <c r="AC884" s="551"/>
      <c r="AD884" s="551"/>
      <c r="AE884" s="551"/>
      <c r="AF884" s="551"/>
      <c r="AG884" s="551"/>
      <c r="AH884" s="551"/>
      <c r="AI884" s="551"/>
      <c r="AJ884" s="551"/>
      <c r="AK884" s="551"/>
      <c r="AL884" s="551"/>
      <c r="AM884" s="551"/>
      <c r="AN884" s="551"/>
      <c r="AO884" s="551"/>
      <c r="AP884" s="551"/>
      <c r="AQ884" s="551"/>
      <c r="AR884" s="551"/>
      <c r="AS884" s="551"/>
      <c r="AT884" s="551"/>
      <c r="AU884" s="551"/>
      <c r="AV884" s="551"/>
      <c r="AW884" s="551"/>
      <c r="AX884" s="551"/>
      <c r="AY884" s="551"/>
      <c r="AZ884" s="551"/>
      <c r="BA884" s="551"/>
      <c r="BB884" s="551"/>
      <c r="BC884" s="551"/>
      <c r="BD884" s="551"/>
      <c r="BE884" s="551"/>
      <c r="BF884" s="551"/>
      <c r="BG884" s="551"/>
      <c r="BH884" s="551"/>
      <c r="BI884" s="551"/>
      <c r="BJ884" s="551"/>
    </row>
    <row r="885" spans="1:62" ht="12.75" customHeight="1">
      <c r="A885" s="551"/>
      <c r="B885" s="551"/>
      <c r="C885" s="551"/>
      <c r="D885" s="551"/>
      <c r="E885" s="551"/>
      <c r="F885" s="551"/>
      <c r="G885" s="551"/>
      <c r="H885" s="551"/>
      <c r="I885" s="551"/>
      <c r="J885" s="551"/>
      <c r="K885" s="551"/>
      <c r="L885" s="551"/>
      <c r="M885" s="551"/>
      <c r="N885" s="551"/>
      <c r="O885" s="551"/>
      <c r="P885" s="551"/>
      <c r="Q885" s="551"/>
      <c r="R885" s="551"/>
      <c r="S885" s="551"/>
      <c r="T885" s="551"/>
      <c r="U885" s="551"/>
      <c r="V885" s="551"/>
      <c r="W885" s="551"/>
      <c r="X885" s="551"/>
      <c r="Y885" s="551"/>
      <c r="Z885" s="551"/>
      <c r="AA885" s="551"/>
      <c r="AB885" s="551"/>
      <c r="AC885" s="551"/>
      <c r="AD885" s="551"/>
      <c r="AE885" s="551"/>
      <c r="AF885" s="551"/>
      <c r="AG885" s="551"/>
      <c r="AH885" s="551"/>
      <c r="AI885" s="551"/>
      <c r="AJ885" s="551"/>
      <c r="AK885" s="551"/>
      <c r="AL885" s="551"/>
      <c r="AM885" s="551"/>
      <c r="AN885" s="551"/>
      <c r="AO885" s="551"/>
      <c r="AP885" s="551"/>
      <c r="AQ885" s="551"/>
      <c r="AR885" s="551"/>
      <c r="AS885" s="551"/>
      <c r="AT885" s="551"/>
      <c r="AU885" s="551"/>
      <c r="AV885" s="551"/>
      <c r="AW885" s="551"/>
      <c r="AX885" s="551"/>
      <c r="AY885" s="551"/>
      <c r="AZ885" s="551"/>
      <c r="BA885" s="551"/>
      <c r="BB885" s="551"/>
      <c r="BC885" s="551"/>
      <c r="BD885" s="551"/>
      <c r="BE885" s="551"/>
      <c r="BF885" s="551"/>
      <c r="BG885" s="551"/>
      <c r="BH885" s="551"/>
      <c r="BI885" s="551"/>
      <c r="BJ885" s="551"/>
    </row>
    <row r="886" spans="1:62" ht="12.75" customHeight="1">
      <c r="A886" s="551"/>
      <c r="B886" s="551"/>
      <c r="C886" s="551"/>
      <c r="D886" s="551"/>
      <c r="E886" s="551"/>
      <c r="F886" s="551"/>
      <c r="G886" s="551"/>
      <c r="H886" s="551"/>
      <c r="I886" s="551"/>
      <c r="J886" s="551"/>
      <c r="K886" s="551"/>
      <c r="L886" s="551"/>
      <c r="M886" s="551"/>
      <c r="N886" s="551"/>
      <c r="O886" s="551"/>
      <c r="P886" s="551"/>
      <c r="Q886" s="551"/>
      <c r="R886" s="551"/>
      <c r="S886" s="551"/>
      <c r="T886" s="551"/>
      <c r="U886" s="551"/>
      <c r="V886" s="551"/>
      <c r="W886" s="551"/>
      <c r="X886" s="551"/>
      <c r="Y886" s="551"/>
      <c r="Z886" s="551"/>
      <c r="AA886" s="551"/>
      <c r="AB886" s="551"/>
      <c r="AC886" s="551"/>
      <c r="AD886" s="551"/>
      <c r="AE886" s="551"/>
      <c r="AF886" s="551"/>
      <c r="AG886" s="551"/>
      <c r="AH886" s="551"/>
      <c r="AI886" s="551"/>
      <c r="AJ886" s="551"/>
      <c r="AK886" s="551"/>
      <c r="AL886" s="551"/>
      <c r="AM886" s="551"/>
      <c r="AN886" s="551"/>
      <c r="AO886" s="551"/>
      <c r="AP886" s="551"/>
      <c r="AQ886" s="551"/>
      <c r="AR886" s="551"/>
      <c r="AS886" s="551"/>
      <c r="AT886" s="551"/>
      <c r="AU886" s="551"/>
      <c r="AV886" s="551"/>
      <c r="AW886" s="551"/>
      <c r="AX886" s="551"/>
      <c r="AY886" s="551"/>
      <c r="AZ886" s="551"/>
      <c r="BA886" s="551"/>
      <c r="BB886" s="551"/>
      <c r="BC886" s="551"/>
      <c r="BD886" s="551"/>
      <c r="BE886" s="551"/>
      <c r="BF886" s="551"/>
      <c r="BG886" s="551"/>
      <c r="BH886" s="551"/>
      <c r="BI886" s="551"/>
      <c r="BJ886" s="551"/>
    </row>
    <row r="887" spans="1:62" ht="12.75" customHeight="1">
      <c r="A887" s="551"/>
      <c r="B887" s="551"/>
      <c r="C887" s="551"/>
      <c r="D887" s="551"/>
      <c r="E887" s="551"/>
      <c r="F887" s="551"/>
      <c r="G887" s="551"/>
      <c r="H887" s="551"/>
      <c r="I887" s="551"/>
      <c r="J887" s="551"/>
      <c r="K887" s="551"/>
      <c r="L887" s="551"/>
      <c r="M887" s="551"/>
      <c r="N887" s="551"/>
      <c r="O887" s="551"/>
      <c r="P887" s="551"/>
      <c r="Q887" s="551"/>
      <c r="R887" s="551"/>
      <c r="S887" s="551"/>
      <c r="T887" s="551"/>
      <c r="U887" s="551"/>
      <c r="V887" s="551"/>
      <c r="W887" s="551"/>
      <c r="X887" s="551"/>
      <c r="Y887" s="551"/>
      <c r="Z887" s="551"/>
      <c r="AA887" s="551"/>
      <c r="AB887" s="551"/>
      <c r="AC887" s="551"/>
      <c r="AD887" s="551"/>
      <c r="AE887" s="551"/>
      <c r="AF887" s="551"/>
      <c r="AG887" s="551"/>
      <c r="AH887" s="551"/>
      <c r="AI887" s="551"/>
      <c r="AJ887" s="551"/>
      <c r="AK887" s="551"/>
      <c r="AL887" s="551"/>
      <c r="AM887" s="551"/>
      <c r="AN887" s="551"/>
      <c r="AO887" s="551"/>
      <c r="AP887" s="551"/>
      <c r="AQ887" s="551"/>
      <c r="AR887" s="551"/>
      <c r="AS887" s="551"/>
      <c r="AT887" s="551"/>
      <c r="AU887" s="551"/>
      <c r="AV887" s="551"/>
      <c r="AW887" s="551"/>
      <c r="AX887" s="551"/>
      <c r="AY887" s="551"/>
      <c r="AZ887" s="551"/>
      <c r="BA887" s="551"/>
      <c r="BB887" s="551"/>
      <c r="BC887" s="551"/>
      <c r="BD887" s="551"/>
      <c r="BE887" s="551"/>
      <c r="BF887" s="551"/>
      <c r="BG887" s="551"/>
      <c r="BH887" s="551"/>
      <c r="BI887" s="551"/>
      <c r="BJ887" s="551"/>
    </row>
    <row r="888" spans="1:62" ht="12.75" customHeight="1">
      <c r="A888" s="551"/>
      <c r="B888" s="551"/>
      <c r="C888" s="551"/>
      <c r="D888" s="551"/>
      <c r="E888" s="551"/>
      <c r="F888" s="551"/>
      <c r="G888" s="551"/>
      <c r="H888" s="551"/>
      <c r="I888" s="551"/>
      <c r="J888" s="551"/>
      <c r="K888" s="551"/>
      <c r="L888" s="551"/>
      <c r="M888" s="551"/>
      <c r="N888" s="551"/>
      <c r="O888" s="551"/>
      <c r="P888" s="551"/>
      <c r="Q888" s="551"/>
      <c r="R888" s="551"/>
      <c r="S888" s="551"/>
      <c r="T888" s="551"/>
      <c r="U888" s="551"/>
      <c r="V888" s="551"/>
      <c r="W888" s="551"/>
      <c r="X888" s="551"/>
      <c r="Y888" s="551"/>
      <c r="Z888" s="551"/>
      <c r="AA888" s="551"/>
      <c r="AB888" s="551"/>
      <c r="AC888" s="551"/>
      <c r="AD888" s="551"/>
      <c r="AE888" s="551"/>
      <c r="AF888" s="551"/>
      <c r="AG888" s="551"/>
      <c r="AH888" s="551"/>
      <c r="AI888" s="551"/>
      <c r="AJ888" s="551"/>
      <c r="AK888" s="551"/>
      <c r="AL888" s="551"/>
      <c r="AM888" s="551"/>
      <c r="AN888" s="551"/>
      <c r="AO888" s="551"/>
      <c r="AP888" s="551"/>
      <c r="AQ888" s="551"/>
      <c r="AR888" s="551"/>
      <c r="AS888" s="551"/>
      <c r="AT888" s="551"/>
      <c r="AU888" s="551"/>
      <c r="AV888" s="551"/>
      <c r="AW888" s="551"/>
      <c r="AX888" s="551"/>
      <c r="AY888" s="551"/>
      <c r="AZ888" s="551"/>
      <c r="BA888" s="551"/>
      <c r="BB888" s="551"/>
      <c r="BC888" s="551"/>
      <c r="BD888" s="551"/>
      <c r="BE888" s="551"/>
      <c r="BF888" s="551"/>
      <c r="BG888" s="551"/>
      <c r="BH888" s="551"/>
      <c r="BI888" s="551"/>
      <c r="BJ888" s="551"/>
    </row>
    <row r="889" spans="1:62" ht="12.75" customHeight="1">
      <c r="A889" s="551"/>
      <c r="B889" s="551"/>
      <c r="C889" s="551"/>
      <c r="D889" s="551"/>
      <c r="E889" s="551"/>
      <c r="F889" s="551"/>
      <c r="G889" s="551"/>
      <c r="H889" s="551"/>
      <c r="I889" s="551"/>
      <c r="J889" s="551"/>
      <c r="K889" s="551"/>
      <c r="L889" s="551"/>
      <c r="M889" s="551"/>
      <c r="N889" s="551"/>
      <c r="O889" s="551"/>
      <c r="P889" s="551"/>
      <c r="Q889" s="551"/>
      <c r="R889" s="551"/>
      <c r="S889" s="551"/>
      <c r="T889" s="551"/>
      <c r="U889" s="551"/>
      <c r="V889" s="551"/>
      <c r="W889" s="551"/>
      <c r="X889" s="551"/>
      <c r="Y889" s="551"/>
      <c r="Z889" s="551"/>
      <c r="AA889" s="551"/>
      <c r="AB889" s="551"/>
      <c r="AC889" s="551"/>
      <c r="AD889" s="551"/>
      <c r="AE889" s="551"/>
      <c r="AF889" s="551"/>
      <c r="AG889" s="551"/>
      <c r="AH889" s="551"/>
      <c r="AI889" s="551"/>
      <c r="AJ889" s="551"/>
      <c r="AK889" s="551"/>
      <c r="AL889" s="551"/>
      <c r="AM889" s="551"/>
      <c r="AN889" s="551"/>
      <c r="AO889" s="551"/>
      <c r="AP889" s="551"/>
      <c r="AQ889" s="551"/>
      <c r="AR889" s="551"/>
      <c r="AS889" s="551"/>
      <c r="AT889" s="551"/>
      <c r="AU889" s="551"/>
      <c r="AV889" s="551"/>
      <c r="AW889" s="551"/>
      <c r="AX889" s="551"/>
      <c r="AY889" s="551"/>
      <c r="AZ889" s="551"/>
      <c r="BA889" s="551"/>
      <c r="BB889" s="551"/>
      <c r="BC889" s="551"/>
      <c r="BD889" s="551"/>
      <c r="BE889" s="551"/>
      <c r="BF889" s="551"/>
      <c r="BG889" s="551"/>
      <c r="BH889" s="551"/>
      <c r="BI889" s="551"/>
      <c r="BJ889" s="551"/>
    </row>
    <row r="890" spans="1:62" ht="12.75" customHeight="1">
      <c r="A890" s="551"/>
      <c r="B890" s="551"/>
      <c r="C890" s="551"/>
      <c r="D890" s="551"/>
      <c r="E890" s="551"/>
      <c r="F890" s="551"/>
      <c r="G890" s="551"/>
      <c r="H890" s="551"/>
      <c r="I890" s="551"/>
      <c r="J890" s="551"/>
      <c r="K890" s="551"/>
      <c r="L890" s="551"/>
      <c r="M890" s="551"/>
      <c r="N890" s="551"/>
      <c r="O890" s="551"/>
      <c r="P890" s="551"/>
      <c r="Q890" s="551"/>
      <c r="R890" s="551"/>
      <c r="S890" s="551"/>
      <c r="T890" s="551"/>
      <c r="U890" s="551"/>
      <c r="V890" s="551"/>
      <c r="W890" s="551"/>
      <c r="X890" s="551"/>
      <c r="Y890" s="551"/>
      <c r="Z890" s="551"/>
      <c r="AA890" s="551"/>
      <c r="AB890" s="551"/>
      <c r="AC890" s="551"/>
      <c r="AD890" s="551"/>
      <c r="AE890" s="551"/>
      <c r="AF890" s="551"/>
      <c r="AG890" s="551"/>
      <c r="AH890" s="551"/>
      <c r="AI890" s="551"/>
      <c r="AJ890" s="551"/>
      <c r="AK890" s="551"/>
      <c r="AL890" s="551"/>
      <c r="AM890" s="551"/>
      <c r="AN890" s="551"/>
      <c r="AO890" s="551"/>
      <c r="AP890" s="551"/>
      <c r="AQ890" s="551"/>
      <c r="AR890" s="551"/>
      <c r="AS890" s="551"/>
      <c r="AT890" s="551"/>
      <c r="AU890" s="551"/>
      <c r="AV890" s="551"/>
      <c r="AW890" s="551"/>
      <c r="AX890" s="551"/>
      <c r="AY890" s="551"/>
      <c r="AZ890" s="551"/>
      <c r="BA890" s="551"/>
      <c r="BB890" s="551"/>
      <c r="BC890" s="551"/>
      <c r="BD890" s="551"/>
      <c r="BE890" s="551"/>
      <c r="BF890" s="551"/>
      <c r="BG890" s="551"/>
      <c r="BH890" s="551"/>
      <c r="BI890" s="551"/>
      <c r="BJ890" s="551"/>
    </row>
    <row r="891" spans="1:62" ht="12.75" customHeight="1">
      <c r="A891" s="551"/>
      <c r="B891" s="551"/>
      <c r="C891" s="551"/>
      <c r="D891" s="551"/>
      <c r="E891" s="551"/>
      <c r="F891" s="551"/>
      <c r="G891" s="551"/>
      <c r="H891" s="551"/>
      <c r="I891" s="551"/>
      <c r="J891" s="551"/>
      <c r="K891" s="551"/>
      <c r="L891" s="551"/>
      <c r="M891" s="551"/>
      <c r="N891" s="551"/>
      <c r="O891" s="551"/>
      <c r="P891" s="551"/>
      <c r="Q891" s="551"/>
      <c r="R891" s="551"/>
      <c r="S891" s="551"/>
      <c r="T891" s="551"/>
      <c r="U891" s="551"/>
      <c r="V891" s="551"/>
      <c r="W891" s="551"/>
      <c r="X891" s="551"/>
      <c r="Y891" s="551"/>
      <c r="Z891" s="551"/>
      <c r="AA891" s="551"/>
      <c r="AB891" s="551"/>
      <c r="AC891" s="551"/>
      <c r="AD891" s="551"/>
      <c r="AE891" s="551"/>
      <c r="AF891" s="551"/>
      <c r="AG891" s="551"/>
      <c r="AH891" s="551"/>
      <c r="AI891" s="551"/>
      <c r="AJ891" s="551"/>
      <c r="AK891" s="551"/>
      <c r="AL891" s="551"/>
      <c r="AM891" s="551"/>
      <c r="AN891" s="551"/>
      <c r="AO891" s="551"/>
      <c r="AP891" s="551"/>
      <c r="AQ891" s="551"/>
      <c r="AR891" s="551"/>
      <c r="AS891" s="551"/>
      <c r="AT891" s="551"/>
      <c r="AU891" s="551"/>
      <c r="AV891" s="551"/>
      <c r="AW891" s="551"/>
      <c r="AX891" s="551"/>
      <c r="AY891" s="551"/>
      <c r="AZ891" s="551"/>
      <c r="BA891" s="551"/>
      <c r="BB891" s="551"/>
      <c r="BC891" s="551"/>
      <c r="BD891" s="551"/>
      <c r="BE891" s="551"/>
      <c r="BF891" s="551"/>
      <c r="BG891" s="551"/>
      <c r="BH891" s="551"/>
      <c r="BI891" s="551"/>
      <c r="BJ891" s="551"/>
    </row>
    <row r="892" spans="1:62" ht="12.75" customHeight="1">
      <c r="A892" s="551"/>
      <c r="B892" s="551"/>
      <c r="C892" s="551"/>
      <c r="D892" s="551"/>
      <c r="E892" s="551"/>
      <c r="F892" s="551"/>
      <c r="G892" s="551"/>
      <c r="H892" s="551"/>
      <c r="I892" s="551"/>
      <c r="J892" s="551"/>
      <c r="K892" s="551"/>
      <c r="L892" s="551"/>
      <c r="M892" s="551"/>
      <c r="N892" s="551"/>
      <c r="O892" s="551"/>
      <c r="P892" s="551"/>
      <c r="Q892" s="551"/>
      <c r="R892" s="551"/>
      <c r="S892" s="551"/>
      <c r="T892" s="551"/>
      <c r="U892" s="551"/>
      <c r="V892" s="551"/>
      <c r="W892" s="551"/>
      <c r="X892" s="551"/>
      <c r="Y892" s="551"/>
      <c r="Z892" s="551"/>
      <c r="AA892" s="551"/>
      <c r="AB892" s="551"/>
      <c r="AC892" s="551"/>
      <c r="AD892" s="551"/>
      <c r="AE892" s="551"/>
      <c r="AF892" s="551"/>
      <c r="AG892" s="551"/>
      <c r="AH892" s="551"/>
      <c r="AI892" s="551"/>
      <c r="AJ892" s="551"/>
      <c r="AK892" s="551"/>
      <c r="AL892" s="551"/>
      <c r="AM892" s="551"/>
      <c r="AN892" s="551"/>
      <c r="AO892" s="551"/>
      <c r="AP892" s="551"/>
      <c r="AQ892" s="551"/>
      <c r="AR892" s="551"/>
      <c r="AS892" s="551"/>
      <c r="AT892" s="551"/>
      <c r="AU892" s="551"/>
      <c r="AV892" s="551"/>
      <c r="AW892" s="551"/>
      <c r="AX892" s="551"/>
      <c r="AY892" s="551"/>
      <c r="AZ892" s="551"/>
      <c r="BA892" s="551"/>
      <c r="BB892" s="551"/>
      <c r="BC892" s="551"/>
      <c r="BD892" s="551"/>
      <c r="BE892" s="551"/>
      <c r="BF892" s="551"/>
      <c r="BG892" s="551"/>
      <c r="BH892" s="551"/>
      <c r="BI892" s="551"/>
      <c r="BJ892" s="551"/>
    </row>
    <row r="893" spans="1:62" ht="12.75" customHeight="1">
      <c r="A893" s="551"/>
      <c r="B893" s="551"/>
      <c r="C893" s="551"/>
      <c r="D893" s="551"/>
      <c r="E893" s="551"/>
      <c r="F893" s="551"/>
      <c r="G893" s="551"/>
      <c r="H893" s="551"/>
      <c r="I893" s="551"/>
      <c r="J893" s="551"/>
      <c r="K893" s="551"/>
      <c r="L893" s="551"/>
      <c r="M893" s="551"/>
      <c r="N893" s="551"/>
      <c r="O893" s="551"/>
      <c r="P893" s="551"/>
      <c r="Q893" s="551"/>
      <c r="R893" s="551"/>
      <c r="S893" s="551"/>
      <c r="T893" s="551"/>
      <c r="U893" s="551"/>
      <c r="V893" s="551"/>
      <c r="W893" s="551"/>
      <c r="X893" s="551"/>
      <c r="Y893" s="551"/>
      <c r="Z893" s="551"/>
      <c r="AA893" s="551"/>
      <c r="AB893" s="551"/>
      <c r="AC893" s="551"/>
      <c r="AD893" s="551"/>
      <c r="AE893" s="551"/>
      <c r="AF893" s="551"/>
      <c r="AG893" s="551"/>
      <c r="AH893" s="551"/>
      <c r="AI893" s="551"/>
      <c r="AJ893" s="551"/>
      <c r="AK893" s="551"/>
      <c r="AL893" s="551"/>
      <c r="AM893" s="551"/>
      <c r="AN893" s="551"/>
      <c r="AO893" s="551"/>
      <c r="AP893" s="551"/>
      <c r="AQ893" s="551"/>
      <c r="AR893" s="551"/>
      <c r="AS893" s="551"/>
      <c r="AT893" s="551"/>
      <c r="AU893" s="551"/>
      <c r="AV893" s="551"/>
      <c r="AW893" s="551"/>
      <c r="AX893" s="551"/>
      <c r="AY893" s="551"/>
      <c r="AZ893" s="551"/>
      <c r="BA893" s="551"/>
      <c r="BB893" s="551"/>
      <c r="BC893" s="551"/>
      <c r="BD893" s="551"/>
      <c r="BE893" s="551"/>
      <c r="BF893" s="551"/>
      <c r="BG893" s="551"/>
      <c r="BH893" s="551"/>
      <c r="BI893" s="551"/>
      <c r="BJ893" s="551"/>
    </row>
    <row r="894" spans="1:62" ht="12.75" customHeight="1">
      <c r="A894" s="551"/>
      <c r="B894" s="551"/>
      <c r="C894" s="551"/>
      <c r="D894" s="551"/>
      <c r="E894" s="551"/>
      <c r="F894" s="551"/>
      <c r="G894" s="551"/>
      <c r="H894" s="551"/>
      <c r="I894" s="551"/>
      <c r="J894" s="551"/>
      <c r="K894" s="551"/>
      <c r="L894" s="551"/>
      <c r="M894" s="551"/>
      <c r="N894" s="551"/>
      <c r="O894" s="551"/>
      <c r="P894" s="551"/>
      <c r="Q894" s="551"/>
      <c r="R894" s="551"/>
      <c r="S894" s="551"/>
      <c r="T894" s="551"/>
      <c r="U894" s="551"/>
      <c r="V894" s="551"/>
      <c r="W894" s="551"/>
      <c r="X894" s="551"/>
      <c r="Y894" s="551"/>
      <c r="Z894" s="551"/>
      <c r="AA894" s="551"/>
      <c r="AB894" s="551"/>
      <c r="AC894" s="551"/>
      <c r="AD894" s="551"/>
      <c r="AE894" s="551"/>
      <c r="AF894" s="551"/>
      <c r="AG894" s="551"/>
      <c r="AH894" s="551"/>
      <c r="AI894" s="551"/>
      <c r="AJ894" s="551"/>
      <c r="AK894" s="551"/>
      <c r="AL894" s="551"/>
      <c r="AM894" s="551"/>
      <c r="AN894" s="551"/>
      <c r="AO894" s="551"/>
      <c r="AP894" s="551"/>
      <c r="AQ894" s="551"/>
      <c r="AR894" s="551"/>
      <c r="AS894" s="551"/>
      <c r="AT894" s="551"/>
      <c r="AU894" s="551"/>
      <c r="AV894" s="551"/>
      <c r="AW894" s="551"/>
      <c r="AX894" s="551"/>
      <c r="AY894" s="551"/>
      <c r="AZ894" s="551"/>
      <c r="BA894" s="551"/>
      <c r="BB894" s="551"/>
      <c r="BC894" s="551"/>
      <c r="BD894" s="551"/>
      <c r="BE894" s="551"/>
      <c r="BF894" s="551"/>
      <c r="BG894" s="551"/>
      <c r="BH894" s="551"/>
      <c r="BI894" s="551"/>
      <c r="BJ894" s="551"/>
    </row>
    <row r="895" spans="1:62" ht="12.75" customHeight="1">
      <c r="A895" s="551"/>
      <c r="B895" s="551"/>
      <c r="C895" s="551"/>
      <c r="D895" s="551"/>
      <c r="E895" s="551"/>
      <c r="F895" s="551"/>
      <c r="G895" s="551"/>
      <c r="H895" s="551"/>
      <c r="I895" s="551"/>
      <c r="J895" s="551"/>
      <c r="K895" s="551"/>
      <c r="L895" s="551"/>
      <c r="M895" s="551"/>
      <c r="N895" s="551"/>
      <c r="O895" s="551"/>
      <c r="P895" s="551"/>
      <c r="Q895" s="551"/>
      <c r="R895" s="551"/>
      <c r="S895" s="551"/>
      <c r="T895" s="551"/>
      <c r="U895" s="551"/>
      <c r="V895" s="551"/>
      <c r="W895" s="551"/>
      <c r="X895" s="551"/>
      <c r="Y895" s="551"/>
      <c r="Z895" s="551"/>
      <c r="AA895" s="551"/>
      <c r="AB895" s="551"/>
      <c r="AC895" s="551"/>
      <c r="AD895" s="551"/>
      <c r="AE895" s="551"/>
      <c r="AF895" s="551"/>
      <c r="AG895" s="551"/>
      <c r="AH895" s="551"/>
      <c r="AI895" s="551"/>
      <c r="AJ895" s="551"/>
      <c r="AK895" s="551"/>
      <c r="AL895" s="551"/>
      <c r="AM895" s="551"/>
      <c r="AN895" s="551"/>
      <c r="AO895" s="551"/>
      <c r="AP895" s="551"/>
      <c r="AQ895" s="551"/>
      <c r="AR895" s="551"/>
      <c r="AS895" s="551"/>
      <c r="AT895" s="551"/>
      <c r="AU895" s="551"/>
      <c r="AV895" s="551"/>
      <c r="AW895" s="551"/>
      <c r="AX895" s="551"/>
      <c r="AY895" s="551"/>
      <c r="AZ895" s="551"/>
      <c r="BA895" s="551"/>
      <c r="BB895" s="551"/>
      <c r="BC895" s="551"/>
      <c r="BD895" s="551"/>
      <c r="BE895" s="551"/>
      <c r="BF895" s="551"/>
      <c r="BG895" s="551"/>
      <c r="BH895" s="551"/>
      <c r="BI895" s="551"/>
      <c r="BJ895" s="551"/>
    </row>
    <row r="896" spans="1:62" ht="12.75" customHeight="1">
      <c r="A896" s="551"/>
      <c r="B896" s="551"/>
      <c r="C896" s="551"/>
      <c r="D896" s="551"/>
      <c r="E896" s="551"/>
      <c r="F896" s="551"/>
      <c r="G896" s="551"/>
      <c r="H896" s="551"/>
      <c r="I896" s="551"/>
      <c r="J896" s="551"/>
      <c r="K896" s="551"/>
      <c r="L896" s="551"/>
      <c r="M896" s="551"/>
      <c r="N896" s="551"/>
      <c r="O896" s="551"/>
      <c r="P896" s="551"/>
      <c r="Q896" s="551"/>
      <c r="R896" s="551"/>
      <c r="S896" s="551"/>
      <c r="T896" s="551"/>
      <c r="U896" s="551"/>
      <c r="V896" s="551"/>
      <c r="W896" s="551"/>
      <c r="X896" s="551"/>
      <c r="Y896" s="551"/>
      <c r="Z896" s="551"/>
      <c r="AA896" s="551"/>
      <c r="AB896" s="551"/>
      <c r="AC896" s="551"/>
      <c r="AD896" s="551"/>
      <c r="AE896" s="551"/>
      <c r="AF896" s="551"/>
      <c r="AG896" s="551"/>
      <c r="AH896" s="551"/>
      <c r="AI896" s="551"/>
      <c r="AJ896" s="551"/>
      <c r="AK896" s="551"/>
      <c r="AL896" s="551"/>
      <c r="AM896" s="551"/>
      <c r="AN896" s="551"/>
      <c r="AO896" s="551"/>
      <c r="AP896" s="551"/>
      <c r="AQ896" s="551"/>
      <c r="AR896" s="551"/>
      <c r="AS896" s="551"/>
      <c r="AT896" s="551"/>
      <c r="AU896" s="551"/>
      <c r="AV896" s="551"/>
      <c r="AW896" s="551"/>
      <c r="AX896" s="551"/>
      <c r="AY896" s="551"/>
      <c r="AZ896" s="551"/>
      <c r="BA896" s="551"/>
      <c r="BB896" s="551"/>
      <c r="BC896" s="551"/>
      <c r="BD896" s="551"/>
      <c r="BE896" s="551"/>
      <c r="BF896" s="551"/>
      <c r="BG896" s="551"/>
      <c r="BH896" s="551"/>
      <c r="BI896" s="551"/>
      <c r="BJ896" s="551"/>
    </row>
    <row r="897" spans="1:62" ht="12.75" customHeight="1">
      <c r="A897" s="551"/>
      <c r="B897" s="551"/>
      <c r="C897" s="551"/>
      <c r="D897" s="551"/>
      <c r="E897" s="551"/>
      <c r="F897" s="551"/>
      <c r="G897" s="551"/>
      <c r="H897" s="551"/>
      <c r="I897" s="551"/>
      <c r="J897" s="551"/>
      <c r="K897" s="551"/>
      <c r="L897" s="551"/>
      <c r="M897" s="551"/>
      <c r="N897" s="551"/>
      <c r="O897" s="551"/>
      <c r="P897" s="551"/>
      <c r="Q897" s="551"/>
      <c r="R897" s="551"/>
      <c r="S897" s="551"/>
      <c r="T897" s="551"/>
      <c r="U897" s="551"/>
      <c r="V897" s="551"/>
      <c r="W897" s="551"/>
      <c r="X897" s="551"/>
      <c r="Y897" s="551"/>
      <c r="Z897" s="551"/>
      <c r="AA897" s="551"/>
      <c r="AB897" s="551"/>
      <c r="AC897" s="551"/>
      <c r="AD897" s="551"/>
      <c r="AE897" s="551"/>
      <c r="AF897" s="551"/>
      <c r="AG897" s="551"/>
      <c r="AH897" s="551"/>
      <c r="AI897" s="551"/>
      <c r="AJ897" s="551"/>
      <c r="AK897" s="551"/>
      <c r="AL897" s="551"/>
      <c r="AM897" s="551"/>
      <c r="AN897" s="551"/>
      <c r="AO897" s="551"/>
      <c r="AP897" s="551"/>
      <c r="AQ897" s="551"/>
      <c r="AR897" s="551"/>
      <c r="AS897" s="551"/>
      <c r="AT897" s="551"/>
      <c r="AU897" s="551"/>
      <c r="AV897" s="551"/>
      <c r="AW897" s="551"/>
      <c r="AX897" s="551"/>
      <c r="AY897" s="551"/>
      <c r="AZ897" s="551"/>
      <c r="BA897" s="551"/>
      <c r="BB897" s="551"/>
      <c r="BC897" s="551"/>
      <c r="BD897" s="551"/>
      <c r="BE897" s="551"/>
      <c r="BF897" s="551"/>
      <c r="BG897" s="551"/>
      <c r="BH897" s="551"/>
      <c r="BI897" s="551"/>
      <c r="BJ897" s="551"/>
    </row>
    <row r="898" spans="1:62" ht="12.75" customHeight="1">
      <c r="A898" s="551"/>
      <c r="B898" s="551"/>
      <c r="C898" s="551"/>
      <c r="D898" s="551"/>
      <c r="E898" s="551"/>
      <c r="F898" s="551"/>
      <c r="G898" s="551"/>
      <c r="H898" s="551"/>
      <c r="I898" s="551"/>
      <c r="J898" s="551"/>
      <c r="K898" s="551"/>
      <c r="L898" s="551"/>
      <c r="M898" s="551"/>
      <c r="N898" s="551"/>
      <c r="O898" s="551"/>
      <c r="P898" s="551"/>
      <c r="Q898" s="551"/>
      <c r="R898" s="551"/>
      <c r="S898" s="551"/>
      <c r="T898" s="551"/>
      <c r="U898" s="551"/>
      <c r="V898" s="551"/>
      <c r="W898" s="551"/>
      <c r="X898" s="551"/>
      <c r="Y898" s="551"/>
      <c r="Z898" s="551"/>
      <c r="AA898" s="551"/>
      <c r="AB898" s="551"/>
      <c r="AC898" s="551"/>
      <c r="AD898" s="551"/>
      <c r="AE898" s="551"/>
      <c r="AF898" s="551"/>
      <c r="AG898" s="551"/>
      <c r="AH898" s="551"/>
      <c r="AI898" s="551"/>
      <c r="AJ898" s="551"/>
      <c r="AK898" s="551"/>
      <c r="AL898" s="551"/>
      <c r="AM898" s="551"/>
      <c r="AN898" s="551"/>
      <c r="AO898" s="551"/>
      <c r="AP898" s="551"/>
      <c r="AQ898" s="551"/>
      <c r="AR898" s="551"/>
      <c r="AS898" s="551"/>
      <c r="AT898" s="551"/>
      <c r="AU898" s="551"/>
      <c r="AV898" s="551"/>
      <c r="AW898" s="551"/>
      <c r="AX898" s="551"/>
      <c r="AY898" s="551"/>
      <c r="AZ898" s="551"/>
      <c r="BA898" s="551"/>
      <c r="BB898" s="551"/>
      <c r="BC898" s="551"/>
      <c r="BD898" s="551"/>
      <c r="BE898" s="551"/>
      <c r="BF898" s="551"/>
      <c r="BG898" s="551"/>
      <c r="BH898" s="551"/>
      <c r="BI898" s="551"/>
      <c r="BJ898" s="551"/>
    </row>
    <row r="899" spans="1:62" ht="12.75" customHeight="1">
      <c r="A899" s="551"/>
      <c r="B899" s="551"/>
      <c r="C899" s="551"/>
      <c r="D899" s="551"/>
      <c r="E899" s="551"/>
      <c r="F899" s="551"/>
      <c r="G899" s="551"/>
      <c r="H899" s="551"/>
      <c r="I899" s="551"/>
      <c r="J899" s="551"/>
      <c r="K899" s="551"/>
      <c r="L899" s="551"/>
      <c r="M899" s="551"/>
      <c r="N899" s="551"/>
      <c r="O899" s="551"/>
      <c r="P899" s="551"/>
      <c r="Q899" s="551"/>
      <c r="R899" s="551"/>
      <c r="S899" s="551"/>
      <c r="T899" s="551"/>
      <c r="U899" s="551"/>
      <c r="V899" s="551"/>
      <c r="W899" s="551"/>
      <c r="X899" s="551"/>
      <c r="Y899" s="551"/>
      <c r="Z899" s="551"/>
      <c r="AA899" s="551"/>
      <c r="AB899" s="551"/>
      <c r="AC899" s="551"/>
      <c r="AD899" s="551"/>
      <c r="AE899" s="551"/>
      <c r="AF899" s="551"/>
      <c r="AG899" s="551"/>
      <c r="AH899" s="551"/>
      <c r="AI899" s="551"/>
      <c r="AJ899" s="551"/>
      <c r="AK899" s="551"/>
      <c r="AL899" s="551"/>
      <c r="AM899" s="551"/>
      <c r="AN899" s="551"/>
      <c r="AO899" s="551"/>
      <c r="AP899" s="551"/>
      <c r="AQ899" s="551"/>
      <c r="AR899" s="551"/>
      <c r="AS899" s="551"/>
      <c r="AT899" s="551"/>
      <c r="AU899" s="551"/>
      <c r="AV899" s="551"/>
      <c r="AW899" s="551"/>
      <c r="AX899" s="551"/>
      <c r="AY899" s="551"/>
      <c r="AZ899" s="551"/>
      <c r="BA899" s="551"/>
      <c r="BB899" s="551"/>
      <c r="BC899" s="551"/>
      <c r="BD899" s="551"/>
      <c r="BE899" s="551"/>
      <c r="BF899" s="551"/>
      <c r="BG899" s="551"/>
      <c r="BH899" s="551"/>
      <c r="BI899" s="551"/>
      <c r="BJ899" s="551"/>
    </row>
    <row r="900" spans="1:62" ht="12.75" customHeight="1">
      <c r="A900" s="551"/>
      <c r="B900" s="551"/>
      <c r="C900" s="551"/>
      <c r="D900" s="551"/>
      <c r="E900" s="551"/>
      <c r="F900" s="551"/>
      <c r="G900" s="551"/>
      <c r="H900" s="551"/>
      <c r="I900" s="551"/>
      <c r="J900" s="551"/>
      <c r="K900" s="551"/>
      <c r="L900" s="551"/>
      <c r="M900" s="551"/>
      <c r="N900" s="551"/>
      <c r="O900" s="551"/>
      <c r="P900" s="551"/>
      <c r="Q900" s="551"/>
      <c r="R900" s="551"/>
      <c r="S900" s="551"/>
      <c r="T900" s="551"/>
      <c r="U900" s="551"/>
      <c r="V900" s="551"/>
      <c r="W900" s="551"/>
      <c r="X900" s="551"/>
      <c r="Y900" s="551"/>
      <c r="Z900" s="551"/>
      <c r="AA900" s="551"/>
      <c r="AB900" s="551"/>
      <c r="AC900" s="551"/>
      <c r="AD900" s="551"/>
      <c r="AE900" s="551"/>
      <c r="AF900" s="551"/>
      <c r="AG900" s="551"/>
      <c r="AH900" s="551"/>
      <c r="AI900" s="551"/>
      <c r="AJ900" s="551"/>
      <c r="AK900" s="551"/>
      <c r="AL900" s="551"/>
      <c r="AM900" s="551"/>
      <c r="AN900" s="551"/>
      <c r="AO900" s="551"/>
      <c r="AP900" s="551"/>
      <c r="AQ900" s="551"/>
      <c r="AR900" s="551"/>
      <c r="AS900" s="551"/>
      <c r="AT900" s="551"/>
      <c r="AU900" s="551"/>
      <c r="AV900" s="551"/>
      <c r="AW900" s="551"/>
      <c r="AX900" s="551"/>
      <c r="AY900" s="551"/>
      <c r="AZ900" s="551"/>
      <c r="BA900" s="551"/>
      <c r="BB900" s="551"/>
      <c r="BC900" s="551"/>
      <c r="BD900" s="551"/>
      <c r="BE900" s="551"/>
      <c r="BF900" s="551"/>
      <c r="BG900" s="551"/>
      <c r="BH900" s="551"/>
      <c r="BI900" s="551"/>
      <c r="BJ900" s="551"/>
    </row>
    <row r="901" spans="1:62" ht="12.75" customHeight="1">
      <c r="A901" s="551"/>
      <c r="B901" s="551"/>
      <c r="C901" s="551"/>
      <c r="D901" s="551"/>
      <c r="E901" s="551"/>
      <c r="F901" s="551"/>
      <c r="G901" s="551"/>
      <c r="H901" s="551"/>
      <c r="I901" s="551"/>
      <c r="J901" s="551"/>
      <c r="K901" s="551"/>
      <c r="L901" s="551"/>
      <c r="M901" s="551"/>
      <c r="N901" s="551"/>
      <c r="O901" s="551"/>
      <c r="P901" s="551"/>
      <c r="Q901" s="551"/>
      <c r="R901" s="551"/>
      <c r="S901" s="551"/>
      <c r="T901" s="551"/>
      <c r="U901" s="551"/>
      <c r="V901" s="551"/>
      <c r="W901" s="551"/>
      <c r="X901" s="551"/>
      <c r="Y901" s="551"/>
      <c r="Z901" s="551"/>
      <c r="AA901" s="551"/>
      <c r="AB901" s="551"/>
      <c r="AC901" s="551"/>
      <c r="AD901" s="551"/>
      <c r="AE901" s="551"/>
      <c r="AF901" s="551"/>
      <c r="AG901" s="551"/>
      <c r="AH901" s="551"/>
      <c r="AI901" s="551"/>
      <c r="AJ901" s="551"/>
      <c r="AK901" s="551"/>
      <c r="AL901" s="551"/>
      <c r="AM901" s="551"/>
      <c r="AN901" s="551"/>
      <c r="AO901" s="551"/>
      <c r="AP901" s="551"/>
      <c r="AQ901" s="551"/>
      <c r="AR901" s="551"/>
      <c r="AS901" s="551"/>
      <c r="AT901" s="551"/>
      <c r="AU901" s="551"/>
      <c r="AV901" s="551"/>
      <c r="AW901" s="551"/>
      <c r="AX901" s="551"/>
      <c r="AY901" s="551"/>
      <c r="AZ901" s="551"/>
      <c r="BA901" s="551"/>
      <c r="BB901" s="551"/>
      <c r="BC901" s="551"/>
      <c r="BD901" s="551"/>
      <c r="BE901" s="551"/>
      <c r="BF901" s="551"/>
      <c r="BG901" s="551"/>
      <c r="BH901" s="551"/>
      <c r="BI901" s="551"/>
      <c r="BJ901" s="551"/>
    </row>
    <row r="902" spans="1:62" ht="12.75" customHeight="1">
      <c r="A902" s="551"/>
      <c r="B902" s="551"/>
      <c r="C902" s="551"/>
      <c r="D902" s="551"/>
      <c r="E902" s="551"/>
      <c r="F902" s="551"/>
      <c r="G902" s="551"/>
      <c r="H902" s="551"/>
      <c r="I902" s="551"/>
      <c r="J902" s="551"/>
      <c r="K902" s="551"/>
      <c r="L902" s="551"/>
      <c r="M902" s="551"/>
      <c r="N902" s="551"/>
      <c r="O902" s="551"/>
      <c r="P902" s="551"/>
      <c r="Q902" s="551"/>
      <c r="R902" s="551"/>
      <c r="S902" s="551"/>
      <c r="T902" s="551"/>
      <c r="U902" s="551"/>
      <c r="V902" s="551"/>
      <c r="W902" s="551"/>
      <c r="X902" s="551"/>
      <c r="Y902" s="551"/>
      <c r="Z902" s="551"/>
      <c r="AA902" s="551"/>
      <c r="AB902" s="551"/>
      <c r="AC902" s="551"/>
      <c r="AD902" s="551"/>
      <c r="AE902" s="551"/>
      <c r="AF902" s="551"/>
      <c r="AG902" s="551"/>
      <c r="AH902" s="551"/>
      <c r="AI902" s="551"/>
      <c r="AJ902" s="551"/>
      <c r="AK902" s="551"/>
      <c r="AL902" s="551"/>
      <c r="AM902" s="551"/>
      <c r="AN902" s="551"/>
      <c r="AO902" s="551"/>
      <c r="AP902" s="551"/>
      <c r="AQ902" s="551"/>
      <c r="AR902" s="551"/>
      <c r="AS902" s="551"/>
      <c r="AT902" s="551"/>
      <c r="AU902" s="551"/>
      <c r="AV902" s="551"/>
      <c r="AW902" s="551"/>
      <c r="AX902" s="551"/>
      <c r="AY902" s="551"/>
      <c r="AZ902" s="551"/>
      <c r="BA902" s="551"/>
      <c r="BB902" s="551"/>
      <c r="BC902" s="551"/>
      <c r="BD902" s="551"/>
      <c r="BE902" s="551"/>
      <c r="BF902" s="551"/>
      <c r="BG902" s="551"/>
      <c r="BH902" s="551"/>
      <c r="BI902" s="551"/>
      <c r="BJ902" s="551"/>
    </row>
    <row r="903" spans="1:62" ht="12.75" customHeight="1">
      <c r="A903" s="551"/>
      <c r="B903" s="551"/>
      <c r="C903" s="551"/>
      <c r="D903" s="551"/>
      <c r="E903" s="551"/>
      <c r="F903" s="551"/>
      <c r="G903" s="551"/>
      <c r="H903" s="551"/>
      <c r="I903" s="551"/>
      <c r="J903" s="551"/>
      <c r="K903" s="551"/>
      <c r="L903" s="551"/>
      <c r="M903" s="551"/>
      <c r="N903" s="551"/>
      <c r="O903" s="551"/>
      <c r="P903" s="551"/>
      <c r="Q903" s="551"/>
      <c r="R903" s="551"/>
      <c r="S903" s="551"/>
      <c r="T903" s="551"/>
      <c r="U903" s="551"/>
      <c r="V903" s="551"/>
      <c r="W903" s="551"/>
      <c r="X903" s="551"/>
      <c r="Y903" s="551"/>
      <c r="Z903" s="551"/>
      <c r="AA903" s="551"/>
      <c r="AB903" s="551"/>
      <c r="AC903" s="551"/>
      <c r="AD903" s="551"/>
      <c r="AE903" s="551"/>
      <c r="AF903" s="551"/>
      <c r="AG903" s="551"/>
      <c r="AH903" s="551"/>
      <c r="AI903" s="551"/>
      <c r="AJ903" s="551"/>
      <c r="AK903" s="551"/>
      <c r="AL903" s="551"/>
      <c r="AM903" s="551"/>
      <c r="AN903" s="551"/>
      <c r="AO903" s="551"/>
      <c r="AP903" s="551"/>
      <c r="AQ903" s="551"/>
      <c r="AR903" s="551"/>
      <c r="AS903" s="551"/>
      <c r="AT903" s="551"/>
      <c r="AU903" s="551"/>
      <c r="AV903" s="551"/>
      <c r="AW903" s="551"/>
      <c r="AX903" s="551"/>
      <c r="AY903" s="551"/>
      <c r="AZ903" s="551"/>
      <c r="BA903" s="551"/>
      <c r="BB903" s="551"/>
      <c r="BC903" s="551"/>
      <c r="BD903" s="551"/>
      <c r="BE903" s="551"/>
      <c r="BF903" s="551"/>
      <c r="BG903" s="551"/>
      <c r="BH903" s="551"/>
      <c r="BI903" s="551"/>
      <c r="BJ903" s="551"/>
    </row>
    <row r="904" spans="1:62" ht="12.75" customHeight="1">
      <c r="A904" s="551"/>
      <c r="B904" s="551"/>
      <c r="C904" s="551"/>
      <c r="D904" s="551"/>
      <c r="E904" s="551"/>
      <c r="F904" s="551"/>
      <c r="G904" s="551"/>
      <c r="H904" s="551"/>
      <c r="I904" s="551"/>
      <c r="J904" s="551"/>
      <c r="K904" s="551"/>
      <c r="L904" s="551"/>
      <c r="M904" s="551"/>
      <c r="N904" s="551"/>
      <c r="O904" s="551"/>
      <c r="P904" s="551"/>
      <c r="Q904" s="551"/>
      <c r="R904" s="551"/>
      <c r="S904" s="551"/>
      <c r="T904" s="551"/>
      <c r="U904" s="551"/>
      <c r="V904" s="551"/>
      <c r="W904" s="551"/>
      <c r="X904" s="551"/>
      <c r="Y904" s="551"/>
      <c r="Z904" s="551"/>
      <c r="AA904" s="551"/>
      <c r="AB904" s="551"/>
      <c r="AC904" s="551"/>
      <c r="AD904" s="551"/>
      <c r="AE904" s="551"/>
      <c r="AF904" s="551"/>
      <c r="AG904" s="551"/>
      <c r="AH904" s="551"/>
      <c r="AI904" s="551"/>
      <c r="AJ904" s="551"/>
      <c r="AK904" s="551"/>
      <c r="AL904" s="551"/>
      <c r="AM904" s="551"/>
      <c r="AN904" s="551"/>
      <c r="AO904" s="551"/>
      <c r="AP904" s="551"/>
      <c r="AQ904" s="551"/>
      <c r="AR904" s="551"/>
      <c r="AS904" s="551"/>
      <c r="AT904" s="551"/>
      <c r="AU904" s="551"/>
      <c r="AV904" s="551"/>
      <c r="AW904" s="551"/>
      <c r="AX904" s="551"/>
      <c r="AY904" s="551"/>
      <c r="AZ904" s="551"/>
      <c r="BA904" s="551"/>
      <c r="BB904" s="551"/>
      <c r="BC904" s="551"/>
      <c r="BD904" s="551"/>
      <c r="BE904" s="551"/>
      <c r="BF904" s="551"/>
      <c r="BG904" s="551"/>
      <c r="BH904" s="551"/>
      <c r="BI904" s="551"/>
      <c r="BJ904" s="551"/>
    </row>
    <row r="905" spans="1:62" ht="12.75" customHeight="1">
      <c r="A905" s="551"/>
      <c r="B905" s="551"/>
      <c r="C905" s="551"/>
      <c r="D905" s="551"/>
      <c r="E905" s="551"/>
      <c r="F905" s="551"/>
      <c r="G905" s="551"/>
      <c r="H905" s="551"/>
      <c r="I905" s="551"/>
      <c r="J905" s="551"/>
      <c r="K905" s="551"/>
      <c r="L905" s="551"/>
      <c r="M905" s="551"/>
      <c r="N905" s="551"/>
      <c r="O905" s="551"/>
      <c r="P905" s="551"/>
      <c r="Q905" s="551"/>
      <c r="R905" s="551"/>
      <c r="S905" s="551"/>
      <c r="T905" s="551"/>
      <c r="U905" s="551"/>
      <c r="V905" s="551"/>
      <c r="W905" s="551"/>
      <c r="X905" s="551"/>
      <c r="Y905" s="551"/>
      <c r="Z905" s="551"/>
      <c r="AA905" s="551"/>
      <c r="AB905" s="551"/>
      <c r="AC905" s="551"/>
      <c r="AD905" s="551"/>
      <c r="AE905" s="551"/>
      <c r="AF905" s="551"/>
      <c r="AG905" s="551"/>
      <c r="AH905" s="551"/>
      <c r="AI905" s="551"/>
      <c r="AJ905" s="551"/>
      <c r="AK905" s="551"/>
      <c r="AL905" s="551"/>
      <c r="AM905" s="551"/>
      <c r="AN905" s="551"/>
      <c r="AO905" s="551"/>
      <c r="AP905" s="551"/>
      <c r="AQ905" s="551"/>
      <c r="AR905" s="551"/>
      <c r="AS905" s="551"/>
      <c r="AT905" s="551"/>
      <c r="AU905" s="551"/>
      <c r="AV905" s="551"/>
      <c r="AW905" s="551"/>
      <c r="AX905" s="551"/>
      <c r="AY905" s="551"/>
      <c r="AZ905" s="551"/>
      <c r="BA905" s="551"/>
      <c r="BB905" s="551"/>
      <c r="BC905" s="551"/>
      <c r="BD905" s="551"/>
      <c r="BE905" s="551"/>
      <c r="BF905" s="551"/>
      <c r="BG905" s="551"/>
      <c r="BH905" s="551"/>
      <c r="BI905" s="551"/>
      <c r="BJ905" s="551"/>
    </row>
    <row r="906" spans="1:62" ht="12.75" customHeight="1">
      <c r="A906" s="551"/>
      <c r="B906" s="551"/>
      <c r="C906" s="551"/>
      <c r="D906" s="551"/>
      <c r="E906" s="551"/>
      <c r="F906" s="551"/>
      <c r="G906" s="551"/>
      <c r="H906" s="551"/>
      <c r="I906" s="551"/>
      <c r="J906" s="551"/>
      <c r="K906" s="551"/>
      <c r="L906" s="551"/>
      <c r="M906" s="551"/>
      <c r="N906" s="551"/>
      <c r="O906" s="551"/>
      <c r="P906" s="551"/>
      <c r="Q906" s="551"/>
      <c r="R906" s="551"/>
      <c r="S906" s="551"/>
      <c r="T906" s="551"/>
      <c r="U906" s="551"/>
      <c r="V906" s="551"/>
      <c r="W906" s="551"/>
      <c r="X906" s="551"/>
      <c r="Y906" s="551"/>
      <c r="Z906" s="551"/>
      <c r="AA906" s="551"/>
      <c r="AB906" s="551"/>
      <c r="AC906" s="551"/>
      <c r="AD906" s="551"/>
      <c r="AE906" s="551"/>
      <c r="AF906" s="551"/>
      <c r="AG906" s="551"/>
      <c r="AH906" s="551"/>
      <c r="AI906" s="551"/>
      <c r="AJ906" s="551"/>
      <c r="AK906" s="551"/>
      <c r="AL906" s="551"/>
      <c r="AM906" s="551"/>
      <c r="AN906" s="551"/>
      <c r="AO906" s="551"/>
      <c r="AP906" s="551"/>
      <c r="AQ906" s="551"/>
      <c r="AR906" s="551"/>
      <c r="AS906" s="551"/>
      <c r="AT906" s="551"/>
      <c r="AU906" s="551"/>
      <c r="AV906" s="551"/>
      <c r="AW906" s="551"/>
      <c r="AX906" s="551"/>
      <c r="AY906" s="551"/>
      <c r="AZ906" s="551"/>
      <c r="BA906" s="551"/>
      <c r="BB906" s="551"/>
      <c r="BC906" s="551"/>
      <c r="BD906" s="551"/>
      <c r="BE906" s="551"/>
      <c r="BF906" s="551"/>
      <c r="BG906" s="551"/>
      <c r="BH906" s="551"/>
      <c r="BI906" s="551"/>
      <c r="BJ906" s="551"/>
    </row>
    <row r="907" spans="1:62" ht="12.75" customHeight="1">
      <c r="A907" s="551"/>
      <c r="B907" s="551"/>
      <c r="C907" s="551"/>
      <c r="D907" s="551"/>
      <c r="E907" s="551"/>
      <c r="F907" s="551"/>
      <c r="G907" s="551"/>
      <c r="H907" s="551"/>
      <c r="I907" s="551"/>
      <c r="J907" s="551"/>
      <c r="K907" s="551"/>
      <c r="L907" s="551"/>
      <c r="M907" s="551"/>
      <c r="N907" s="551"/>
      <c r="O907" s="551"/>
      <c r="P907" s="551"/>
      <c r="Q907" s="551"/>
      <c r="R907" s="551"/>
      <c r="S907" s="551"/>
      <c r="T907" s="551"/>
      <c r="U907" s="551"/>
      <c r="V907" s="551"/>
      <c r="W907" s="551"/>
      <c r="X907" s="551"/>
      <c r="Y907" s="551"/>
      <c r="Z907" s="551"/>
      <c r="AA907" s="551"/>
      <c r="AB907" s="551"/>
      <c r="AC907" s="551"/>
      <c r="AD907" s="551"/>
      <c r="AE907" s="551"/>
      <c r="AF907" s="551"/>
      <c r="AG907" s="551"/>
      <c r="AH907" s="551"/>
      <c r="AI907" s="551"/>
      <c r="AJ907" s="551"/>
      <c r="AK907" s="551"/>
      <c r="AL907" s="551"/>
      <c r="AM907" s="551"/>
      <c r="AN907" s="551"/>
      <c r="AO907" s="551"/>
      <c r="AP907" s="551"/>
      <c r="AQ907" s="551"/>
      <c r="AR907" s="551"/>
      <c r="AS907" s="551"/>
      <c r="AT907" s="551"/>
      <c r="AU907" s="551"/>
      <c r="AV907" s="551"/>
      <c r="AW907" s="551"/>
      <c r="AX907" s="551"/>
      <c r="AY907" s="551"/>
      <c r="AZ907" s="551"/>
      <c r="BA907" s="551"/>
      <c r="BB907" s="551"/>
      <c r="BC907" s="551"/>
      <c r="BD907" s="551"/>
      <c r="BE907" s="551"/>
      <c r="BF907" s="551"/>
      <c r="BG907" s="551"/>
      <c r="BH907" s="551"/>
      <c r="BI907" s="551"/>
      <c r="BJ907" s="551"/>
    </row>
    <row r="908" spans="1:62" ht="12.75" customHeight="1">
      <c r="A908" s="551"/>
      <c r="B908" s="551"/>
      <c r="C908" s="551"/>
      <c r="D908" s="551"/>
      <c r="E908" s="551"/>
      <c r="F908" s="551"/>
      <c r="G908" s="551"/>
      <c r="H908" s="551"/>
      <c r="I908" s="551"/>
      <c r="J908" s="551"/>
      <c r="K908" s="551"/>
      <c r="L908" s="551"/>
      <c r="M908" s="551"/>
      <c r="N908" s="551"/>
      <c r="O908" s="551"/>
      <c r="P908" s="551"/>
      <c r="Q908" s="551"/>
      <c r="R908" s="551"/>
      <c r="S908" s="551"/>
      <c r="T908" s="551"/>
      <c r="U908" s="551"/>
      <c r="V908" s="551"/>
      <c r="W908" s="551"/>
      <c r="X908" s="551"/>
      <c r="Y908" s="551"/>
      <c r="Z908" s="551"/>
      <c r="AA908" s="551"/>
      <c r="AB908" s="551"/>
      <c r="AC908" s="551"/>
      <c r="AD908" s="551"/>
      <c r="AE908" s="551"/>
      <c r="AF908" s="551"/>
      <c r="AG908" s="551"/>
      <c r="AH908" s="551"/>
      <c r="AI908" s="551"/>
      <c r="AJ908" s="551"/>
      <c r="AK908" s="551"/>
      <c r="AL908" s="551"/>
      <c r="AM908" s="551"/>
      <c r="AN908" s="551"/>
      <c r="AO908" s="551"/>
      <c r="AP908" s="551"/>
      <c r="AQ908" s="551"/>
      <c r="AR908" s="551"/>
      <c r="AS908" s="551"/>
      <c r="AT908" s="551"/>
      <c r="AU908" s="551"/>
      <c r="AV908" s="551"/>
      <c r="AW908" s="551"/>
      <c r="AX908" s="551"/>
      <c r="AY908" s="551"/>
      <c r="AZ908" s="551"/>
      <c r="BA908" s="551"/>
      <c r="BB908" s="551"/>
      <c r="BC908" s="551"/>
      <c r="BD908" s="551"/>
      <c r="BE908" s="551"/>
      <c r="BF908" s="551"/>
      <c r="BG908" s="551"/>
      <c r="BH908" s="551"/>
      <c r="BI908" s="551"/>
      <c r="BJ908" s="551"/>
    </row>
    <row r="909" spans="1:62" ht="12.75" customHeight="1">
      <c r="A909" s="551"/>
      <c r="B909" s="551"/>
      <c r="C909" s="551"/>
      <c r="D909" s="551"/>
      <c r="E909" s="551"/>
      <c r="F909" s="551"/>
      <c r="G909" s="551"/>
      <c r="H909" s="551"/>
      <c r="I909" s="551"/>
      <c r="J909" s="551"/>
      <c r="K909" s="551"/>
      <c r="L909" s="551"/>
      <c r="M909" s="551"/>
      <c r="N909" s="551"/>
      <c r="O909" s="551"/>
      <c r="P909" s="551"/>
      <c r="Q909" s="551"/>
      <c r="R909" s="551"/>
      <c r="S909" s="551"/>
      <c r="T909" s="551"/>
      <c r="U909" s="551"/>
      <c r="V909" s="551"/>
      <c r="W909" s="551"/>
      <c r="X909" s="551"/>
      <c r="Y909" s="551"/>
      <c r="Z909" s="551"/>
      <c r="AA909" s="551"/>
      <c r="AB909" s="551"/>
      <c r="AC909" s="551"/>
      <c r="AD909" s="551"/>
      <c r="AE909" s="551"/>
      <c r="AF909" s="551"/>
      <c r="AG909" s="551"/>
      <c r="AH909" s="551"/>
      <c r="AI909" s="551"/>
      <c r="AJ909" s="551"/>
      <c r="AK909" s="551"/>
      <c r="AL909" s="551"/>
      <c r="AM909" s="551"/>
      <c r="AN909" s="551"/>
      <c r="AO909" s="551"/>
      <c r="AP909" s="551"/>
      <c r="AQ909" s="551"/>
      <c r="AR909" s="551"/>
      <c r="AS909" s="551"/>
      <c r="AT909" s="551"/>
      <c r="AU909" s="551"/>
      <c r="AV909" s="551"/>
      <c r="AW909" s="551"/>
      <c r="AX909" s="551"/>
      <c r="AY909" s="551"/>
      <c r="AZ909" s="551"/>
      <c r="BA909" s="551"/>
      <c r="BB909" s="551"/>
      <c r="BC909" s="551"/>
      <c r="BD909" s="551"/>
      <c r="BE909" s="551"/>
      <c r="BF909" s="551"/>
      <c r="BG909" s="551"/>
      <c r="BH909" s="551"/>
      <c r="BI909" s="551"/>
      <c r="BJ909" s="551"/>
    </row>
    <row r="910" spans="1:62" ht="12.75" customHeight="1">
      <c r="A910" s="551"/>
      <c r="B910" s="551"/>
      <c r="C910" s="551"/>
      <c r="D910" s="551"/>
      <c r="E910" s="551"/>
      <c r="F910" s="551"/>
      <c r="G910" s="551"/>
      <c r="H910" s="551"/>
      <c r="I910" s="551"/>
      <c r="J910" s="551"/>
      <c r="K910" s="551"/>
      <c r="L910" s="551"/>
      <c r="M910" s="551"/>
      <c r="N910" s="551"/>
      <c r="O910" s="551"/>
      <c r="P910" s="551"/>
      <c r="Q910" s="551"/>
      <c r="R910" s="551"/>
      <c r="S910" s="551"/>
      <c r="T910" s="551"/>
      <c r="U910" s="551"/>
      <c r="V910" s="551"/>
      <c r="W910" s="551"/>
      <c r="X910" s="551"/>
      <c r="Y910" s="551"/>
      <c r="Z910" s="551"/>
      <c r="AA910" s="551"/>
      <c r="AB910" s="551"/>
      <c r="AC910" s="551"/>
      <c r="AD910" s="551"/>
      <c r="AE910" s="551"/>
      <c r="AF910" s="551"/>
      <c r="AG910" s="551"/>
      <c r="AH910" s="551"/>
      <c r="AI910" s="551"/>
      <c r="AJ910" s="551"/>
      <c r="AK910" s="551"/>
      <c r="AL910" s="551"/>
      <c r="AM910" s="551"/>
      <c r="AN910" s="551"/>
      <c r="AO910" s="551"/>
      <c r="AP910" s="551"/>
      <c r="AQ910" s="551"/>
      <c r="AR910" s="551"/>
      <c r="AS910" s="551"/>
      <c r="AT910" s="551"/>
      <c r="AU910" s="551"/>
      <c r="AV910" s="551"/>
      <c r="AW910" s="551"/>
      <c r="AX910" s="551"/>
      <c r="AY910" s="551"/>
      <c r="AZ910" s="551"/>
      <c r="BA910" s="551"/>
      <c r="BB910" s="551"/>
      <c r="BC910" s="551"/>
      <c r="BD910" s="551"/>
      <c r="BE910" s="551"/>
      <c r="BF910" s="551"/>
      <c r="BG910" s="551"/>
      <c r="BH910" s="551"/>
      <c r="BI910" s="551"/>
      <c r="BJ910" s="551"/>
    </row>
    <row r="911" spans="1:62" ht="12.75" customHeight="1">
      <c r="A911" s="551"/>
      <c r="B911" s="551"/>
      <c r="C911" s="551"/>
      <c r="D911" s="551"/>
      <c r="E911" s="551"/>
      <c r="F911" s="551"/>
      <c r="G911" s="551"/>
      <c r="H911" s="551"/>
      <c r="I911" s="551"/>
      <c r="J911" s="551"/>
      <c r="K911" s="551"/>
      <c r="L911" s="551"/>
      <c r="M911" s="551"/>
      <c r="N911" s="551"/>
      <c r="O911" s="551"/>
      <c r="P911" s="551"/>
      <c r="Q911" s="551"/>
      <c r="R911" s="551"/>
      <c r="S911" s="551"/>
      <c r="T911" s="551"/>
      <c r="U911" s="551"/>
      <c r="V911" s="551"/>
      <c r="W911" s="551"/>
      <c r="X911" s="551"/>
      <c r="Y911" s="551"/>
      <c r="Z911" s="551"/>
      <c r="AA911" s="551"/>
      <c r="AB911" s="551"/>
      <c r="AC911" s="551"/>
      <c r="AD911" s="551"/>
      <c r="AE911" s="551"/>
      <c r="AF911" s="551"/>
      <c r="AG911" s="551"/>
      <c r="AH911" s="551"/>
      <c r="AI911" s="551"/>
      <c r="AJ911" s="551"/>
      <c r="AK911" s="551"/>
      <c r="AL911" s="551"/>
      <c r="AM911" s="551"/>
      <c r="AN911" s="551"/>
      <c r="AO911" s="551"/>
      <c r="AP911" s="551"/>
      <c r="AQ911" s="551"/>
      <c r="AR911" s="551"/>
      <c r="AS911" s="551"/>
      <c r="AT911" s="551"/>
      <c r="AU911" s="551"/>
      <c r="AV911" s="551"/>
      <c r="AW911" s="551"/>
      <c r="AX911" s="551"/>
      <c r="AY911" s="551"/>
      <c r="AZ911" s="551"/>
      <c r="BA911" s="551"/>
      <c r="BB911" s="551"/>
      <c r="BC911" s="551"/>
      <c r="BD911" s="551"/>
      <c r="BE911" s="551"/>
      <c r="BF911" s="551"/>
      <c r="BG911" s="551"/>
      <c r="BH911" s="551"/>
      <c r="BI911" s="551"/>
      <c r="BJ911" s="551"/>
    </row>
    <row r="912" spans="1:62" ht="12.75" customHeight="1">
      <c r="A912" s="551"/>
      <c r="B912" s="551"/>
      <c r="C912" s="551"/>
      <c r="D912" s="551"/>
      <c r="E912" s="551"/>
      <c r="F912" s="551"/>
      <c r="G912" s="551"/>
      <c r="H912" s="551"/>
      <c r="I912" s="551"/>
      <c r="J912" s="551"/>
      <c r="K912" s="551"/>
      <c r="L912" s="551"/>
      <c r="M912" s="551"/>
      <c r="N912" s="551"/>
      <c r="O912" s="551"/>
      <c r="P912" s="551"/>
      <c r="Q912" s="551"/>
      <c r="R912" s="551"/>
      <c r="S912" s="551"/>
      <c r="T912" s="551"/>
      <c r="U912" s="551"/>
      <c r="V912" s="551"/>
      <c r="W912" s="551"/>
      <c r="X912" s="551"/>
      <c r="Y912" s="551"/>
      <c r="Z912" s="551"/>
      <c r="AA912" s="551"/>
      <c r="AB912" s="551"/>
      <c r="AC912" s="551"/>
      <c r="AD912" s="551"/>
      <c r="AE912" s="551"/>
      <c r="AF912" s="551"/>
      <c r="AG912" s="551"/>
      <c r="AH912" s="551"/>
      <c r="AI912" s="551"/>
      <c r="AJ912" s="551"/>
      <c r="AK912" s="551"/>
      <c r="AL912" s="551"/>
      <c r="AM912" s="551"/>
      <c r="AN912" s="551"/>
      <c r="AO912" s="551"/>
      <c r="AP912" s="551"/>
      <c r="AQ912" s="551"/>
      <c r="AR912" s="551"/>
      <c r="AS912" s="551"/>
      <c r="AT912" s="551"/>
      <c r="AU912" s="551"/>
      <c r="AV912" s="551"/>
      <c r="AW912" s="551"/>
      <c r="AX912" s="551"/>
      <c r="AY912" s="551"/>
      <c r="AZ912" s="551"/>
      <c r="BA912" s="551"/>
      <c r="BB912" s="551"/>
      <c r="BC912" s="551"/>
      <c r="BD912" s="551"/>
      <c r="BE912" s="551"/>
      <c r="BF912" s="551"/>
      <c r="BG912" s="551"/>
      <c r="BH912" s="551"/>
      <c r="BI912" s="551"/>
      <c r="BJ912" s="551"/>
    </row>
    <row r="913" spans="1:62" ht="12.75" customHeight="1">
      <c r="A913" s="551"/>
      <c r="B913" s="551"/>
      <c r="C913" s="551"/>
      <c r="D913" s="551"/>
      <c r="E913" s="551"/>
      <c r="F913" s="551"/>
      <c r="G913" s="551"/>
      <c r="H913" s="551"/>
      <c r="I913" s="551"/>
      <c r="J913" s="551"/>
      <c r="K913" s="551"/>
      <c r="L913" s="551"/>
      <c r="M913" s="551"/>
      <c r="N913" s="551"/>
      <c r="O913" s="551"/>
      <c r="P913" s="551"/>
      <c r="Q913" s="551"/>
      <c r="R913" s="551"/>
      <c r="S913" s="551"/>
      <c r="T913" s="551"/>
      <c r="U913" s="551"/>
      <c r="V913" s="551"/>
      <c r="W913" s="551"/>
      <c r="X913" s="551"/>
      <c r="Y913" s="551"/>
      <c r="Z913" s="551"/>
      <c r="AA913" s="551"/>
      <c r="AB913" s="551"/>
      <c r="AC913" s="551"/>
      <c r="AD913" s="551"/>
      <c r="AE913" s="551"/>
      <c r="AF913" s="551"/>
      <c r="AG913" s="551"/>
      <c r="AH913" s="551"/>
      <c r="AI913" s="551"/>
      <c r="AJ913" s="551"/>
      <c r="AK913" s="551"/>
      <c r="AL913" s="551"/>
      <c r="AM913" s="551"/>
      <c r="AN913" s="551"/>
      <c r="AO913" s="551"/>
      <c r="AP913" s="551"/>
      <c r="AQ913" s="551"/>
      <c r="AR913" s="551"/>
      <c r="AS913" s="551"/>
      <c r="AT913" s="551"/>
      <c r="AU913" s="551"/>
      <c r="AV913" s="551"/>
      <c r="AW913" s="551"/>
      <c r="AX913" s="551"/>
      <c r="AY913" s="551"/>
      <c r="AZ913" s="551"/>
      <c r="BA913" s="551"/>
      <c r="BB913" s="551"/>
      <c r="BC913" s="551"/>
      <c r="BD913" s="551"/>
      <c r="BE913" s="551"/>
      <c r="BF913" s="551"/>
      <c r="BG913" s="551"/>
      <c r="BH913" s="551"/>
      <c r="BI913" s="551"/>
      <c r="BJ913" s="551"/>
    </row>
    <row r="914" spans="1:62" ht="12.75" customHeight="1">
      <c r="A914" s="551"/>
      <c r="B914" s="551"/>
      <c r="C914" s="551"/>
      <c r="D914" s="551"/>
      <c r="E914" s="551"/>
      <c r="F914" s="551"/>
      <c r="G914" s="551"/>
      <c r="H914" s="551"/>
      <c r="I914" s="551"/>
      <c r="J914" s="551"/>
      <c r="K914" s="551"/>
      <c r="L914" s="551"/>
      <c r="M914" s="551"/>
      <c r="N914" s="551"/>
      <c r="O914" s="551"/>
      <c r="P914" s="551"/>
      <c r="Q914" s="551"/>
      <c r="R914" s="551"/>
      <c r="S914" s="551"/>
      <c r="T914" s="551"/>
      <c r="U914" s="551"/>
      <c r="V914" s="551"/>
      <c r="W914" s="551"/>
      <c r="X914" s="551"/>
      <c r="Y914" s="551"/>
      <c r="Z914" s="551"/>
      <c r="AA914" s="551"/>
      <c r="AB914" s="551"/>
      <c r="AC914" s="551"/>
      <c r="AD914" s="551"/>
      <c r="AE914" s="551"/>
      <c r="AF914" s="551"/>
      <c r="AG914" s="551"/>
      <c r="AH914" s="551"/>
      <c r="AI914" s="551"/>
      <c r="AJ914" s="551"/>
      <c r="AK914" s="551"/>
      <c r="AL914" s="551"/>
      <c r="AM914" s="551"/>
      <c r="AN914" s="551"/>
      <c r="AO914" s="551"/>
      <c r="AP914" s="551"/>
      <c r="AQ914" s="551"/>
      <c r="AR914" s="551"/>
      <c r="AS914" s="551"/>
      <c r="AT914" s="551"/>
      <c r="AU914" s="551"/>
      <c r="AV914" s="551"/>
      <c r="AW914" s="551"/>
      <c r="AX914" s="551"/>
      <c r="AY914" s="551"/>
      <c r="AZ914" s="551"/>
      <c r="BA914" s="551"/>
      <c r="BB914" s="551"/>
      <c r="BC914" s="551"/>
      <c r="BD914" s="551"/>
      <c r="BE914" s="551"/>
      <c r="BF914" s="551"/>
      <c r="BG914" s="551"/>
      <c r="BH914" s="551"/>
      <c r="BI914" s="551"/>
      <c r="BJ914" s="551"/>
    </row>
    <row r="915" spans="1:62" ht="12.75" customHeight="1">
      <c r="A915" s="551"/>
      <c r="B915" s="551"/>
      <c r="C915" s="551"/>
      <c r="D915" s="551"/>
      <c r="E915" s="551"/>
      <c r="F915" s="551"/>
      <c r="G915" s="551"/>
      <c r="H915" s="551"/>
      <c r="I915" s="551"/>
      <c r="J915" s="551"/>
      <c r="K915" s="551"/>
      <c r="L915" s="551"/>
      <c r="M915" s="551"/>
      <c r="N915" s="551"/>
      <c r="O915" s="551"/>
      <c r="P915" s="551"/>
      <c r="Q915" s="551"/>
      <c r="R915" s="551"/>
      <c r="S915" s="551"/>
      <c r="T915" s="551"/>
      <c r="U915" s="551"/>
      <c r="V915" s="551"/>
      <c r="W915" s="551"/>
      <c r="X915" s="551"/>
      <c r="Y915" s="551"/>
      <c r="Z915" s="551"/>
      <c r="AA915" s="551"/>
      <c r="AB915" s="551"/>
      <c r="AC915" s="551"/>
      <c r="AD915" s="551"/>
      <c r="AE915" s="551"/>
      <c r="AF915" s="551"/>
      <c r="AG915" s="551"/>
      <c r="AH915" s="551"/>
      <c r="AI915" s="551"/>
      <c r="AJ915" s="551"/>
      <c r="AK915" s="551"/>
      <c r="AL915" s="551"/>
      <c r="AM915" s="551"/>
      <c r="AN915" s="551"/>
      <c r="AO915" s="551"/>
      <c r="AP915" s="551"/>
      <c r="AQ915" s="551"/>
      <c r="AR915" s="551"/>
      <c r="AS915" s="551"/>
      <c r="AT915" s="551"/>
      <c r="AU915" s="551"/>
      <c r="AV915" s="551"/>
      <c r="AW915" s="551"/>
      <c r="AX915" s="551"/>
      <c r="AY915" s="551"/>
      <c r="AZ915" s="551"/>
      <c r="BA915" s="551"/>
      <c r="BB915" s="551"/>
      <c r="BC915" s="551"/>
      <c r="BD915" s="551"/>
      <c r="BE915" s="551"/>
      <c r="BF915" s="551"/>
      <c r="BG915" s="551"/>
      <c r="BH915" s="551"/>
      <c r="BI915" s="551"/>
      <c r="BJ915" s="551"/>
    </row>
    <row r="916" spans="1:62" ht="12.75" customHeight="1">
      <c r="A916" s="551"/>
      <c r="B916" s="551"/>
      <c r="C916" s="551"/>
      <c r="D916" s="551"/>
      <c r="E916" s="551"/>
      <c r="F916" s="551"/>
      <c r="G916" s="551"/>
      <c r="H916" s="551"/>
      <c r="I916" s="551"/>
      <c r="J916" s="551"/>
      <c r="K916" s="551"/>
      <c r="L916" s="551"/>
      <c r="M916" s="551"/>
      <c r="N916" s="551"/>
      <c r="O916" s="551"/>
      <c r="P916" s="551"/>
      <c r="Q916" s="551"/>
      <c r="R916" s="551"/>
      <c r="S916" s="551"/>
      <c r="T916" s="551"/>
      <c r="U916" s="551"/>
      <c r="V916" s="551"/>
      <c r="W916" s="551"/>
      <c r="X916" s="551"/>
      <c r="Y916" s="551"/>
      <c r="Z916" s="551"/>
      <c r="AA916" s="551"/>
      <c r="AB916" s="551"/>
      <c r="AC916" s="551"/>
      <c r="AD916" s="551"/>
      <c r="AE916" s="551"/>
      <c r="AF916" s="551"/>
      <c r="AG916" s="551"/>
      <c r="AH916" s="551"/>
      <c r="AI916" s="551"/>
      <c r="AJ916" s="551"/>
      <c r="AK916" s="551"/>
      <c r="AL916" s="551"/>
      <c r="AM916" s="551"/>
      <c r="AN916" s="551"/>
      <c r="AO916" s="551"/>
      <c r="AP916" s="551"/>
      <c r="AQ916" s="551"/>
      <c r="AR916" s="551"/>
      <c r="AS916" s="551"/>
      <c r="AT916" s="551"/>
      <c r="AU916" s="551"/>
      <c r="AV916" s="551"/>
      <c r="AW916" s="551"/>
      <c r="AX916" s="551"/>
      <c r="AY916" s="551"/>
      <c r="AZ916" s="551"/>
      <c r="BA916" s="551"/>
      <c r="BB916" s="551"/>
      <c r="BC916" s="551"/>
      <c r="BD916" s="551"/>
      <c r="BE916" s="551"/>
      <c r="BF916" s="551"/>
      <c r="BG916" s="551"/>
      <c r="BH916" s="551"/>
      <c r="BI916" s="551"/>
      <c r="BJ916" s="551"/>
    </row>
    <row r="917" spans="1:62" ht="12.75" customHeight="1">
      <c r="A917" s="551"/>
      <c r="B917" s="551"/>
      <c r="C917" s="551"/>
      <c r="D917" s="551"/>
      <c r="E917" s="551"/>
      <c r="F917" s="551"/>
      <c r="G917" s="551"/>
      <c r="H917" s="551"/>
      <c r="I917" s="551"/>
      <c r="J917" s="551"/>
      <c r="K917" s="551"/>
      <c r="L917" s="551"/>
      <c r="M917" s="551"/>
      <c r="N917" s="551"/>
      <c r="O917" s="551"/>
      <c r="P917" s="551"/>
      <c r="Q917" s="551"/>
      <c r="R917" s="551"/>
      <c r="S917" s="551"/>
      <c r="T917" s="551"/>
      <c r="U917" s="551"/>
      <c r="V917" s="551"/>
      <c r="W917" s="551"/>
      <c r="X917" s="551"/>
      <c r="Y917" s="551"/>
      <c r="Z917" s="551"/>
      <c r="AA917" s="551"/>
      <c r="AB917" s="551"/>
      <c r="AC917" s="551"/>
      <c r="AD917" s="551"/>
      <c r="AE917" s="551"/>
      <c r="AF917" s="551"/>
      <c r="AG917" s="551"/>
      <c r="AH917" s="551"/>
      <c r="AI917" s="551"/>
      <c r="AJ917" s="551"/>
      <c r="AK917" s="551"/>
      <c r="AL917" s="551"/>
      <c r="AM917" s="551"/>
      <c r="AN917" s="551"/>
      <c r="AO917" s="551"/>
      <c r="AP917" s="551"/>
      <c r="AQ917" s="551"/>
      <c r="AR917" s="551"/>
      <c r="AS917" s="551"/>
      <c r="AT917" s="551"/>
      <c r="AU917" s="551"/>
      <c r="AV917" s="551"/>
      <c r="AW917" s="551"/>
      <c r="AX917" s="551"/>
      <c r="AY917" s="551"/>
      <c r="AZ917" s="551"/>
      <c r="BA917" s="551"/>
      <c r="BB917" s="551"/>
      <c r="BC917" s="551"/>
      <c r="BD917" s="551"/>
      <c r="BE917" s="551"/>
      <c r="BF917" s="551"/>
      <c r="BG917" s="551"/>
      <c r="BH917" s="551"/>
      <c r="BI917" s="551"/>
      <c r="BJ917" s="551"/>
    </row>
    <row r="918" spans="1:62" ht="12.75" customHeight="1">
      <c r="A918" s="551"/>
      <c r="B918" s="551"/>
      <c r="C918" s="551"/>
      <c r="D918" s="551"/>
      <c r="E918" s="551"/>
      <c r="F918" s="551"/>
      <c r="G918" s="551"/>
      <c r="H918" s="551"/>
      <c r="I918" s="551"/>
      <c r="J918" s="551"/>
      <c r="K918" s="551"/>
      <c r="L918" s="551"/>
      <c r="M918" s="551"/>
      <c r="N918" s="551"/>
      <c r="O918" s="551"/>
      <c r="P918" s="551"/>
      <c r="Q918" s="551"/>
      <c r="R918" s="551"/>
      <c r="S918" s="551"/>
      <c r="T918" s="551"/>
      <c r="U918" s="551"/>
      <c r="V918" s="551"/>
      <c r="W918" s="551"/>
      <c r="X918" s="551"/>
      <c r="Y918" s="551"/>
      <c r="Z918" s="551"/>
      <c r="AA918" s="551"/>
      <c r="AB918" s="551"/>
      <c r="AC918" s="551"/>
      <c r="AD918" s="551"/>
      <c r="AE918" s="551"/>
      <c r="AF918" s="551"/>
      <c r="AG918" s="551"/>
      <c r="AH918" s="551"/>
      <c r="AI918" s="551"/>
      <c r="AJ918" s="551"/>
      <c r="AK918" s="551"/>
      <c r="AL918" s="551"/>
      <c r="AM918" s="551"/>
      <c r="AN918" s="551"/>
      <c r="AO918" s="551"/>
      <c r="AP918" s="551"/>
      <c r="AQ918" s="551"/>
      <c r="AR918" s="551"/>
      <c r="AS918" s="551"/>
      <c r="AT918" s="551"/>
      <c r="AU918" s="551"/>
      <c r="AV918" s="551"/>
      <c r="AW918" s="551"/>
      <c r="AX918" s="551"/>
      <c r="AY918" s="551"/>
      <c r="AZ918" s="551"/>
      <c r="BA918" s="551"/>
      <c r="BB918" s="551"/>
      <c r="BC918" s="551"/>
      <c r="BD918" s="551"/>
      <c r="BE918" s="551"/>
      <c r="BF918" s="551"/>
      <c r="BG918" s="551"/>
      <c r="BH918" s="551"/>
      <c r="BI918" s="551"/>
      <c r="BJ918" s="551"/>
    </row>
    <row r="919" spans="1:62" ht="12.75" customHeight="1">
      <c r="A919" s="551"/>
      <c r="B919" s="551"/>
      <c r="C919" s="551"/>
      <c r="D919" s="551"/>
      <c r="E919" s="551"/>
      <c r="F919" s="551"/>
      <c r="G919" s="551"/>
      <c r="H919" s="551"/>
      <c r="I919" s="551"/>
      <c r="J919" s="551"/>
      <c r="K919" s="551"/>
      <c r="L919" s="551"/>
      <c r="M919" s="551"/>
      <c r="N919" s="551"/>
      <c r="O919" s="551"/>
      <c r="P919" s="551"/>
      <c r="Q919" s="551"/>
      <c r="R919" s="551"/>
      <c r="S919" s="551"/>
      <c r="T919" s="551"/>
      <c r="U919" s="551"/>
      <c r="V919" s="551"/>
      <c r="W919" s="551"/>
      <c r="X919" s="551"/>
      <c r="Y919" s="551"/>
      <c r="Z919" s="551"/>
      <c r="AA919" s="551"/>
      <c r="AB919" s="551"/>
      <c r="AC919" s="551"/>
      <c r="AD919" s="551"/>
      <c r="AE919" s="551"/>
      <c r="AF919" s="551"/>
      <c r="AG919" s="551"/>
      <c r="AH919" s="551"/>
      <c r="AI919" s="551"/>
      <c r="AJ919" s="551"/>
      <c r="AK919" s="551"/>
      <c r="AL919" s="551"/>
      <c r="AM919" s="551"/>
      <c r="AN919" s="551"/>
      <c r="AO919" s="551"/>
      <c r="AP919" s="551"/>
      <c r="AQ919" s="551"/>
      <c r="AR919" s="551"/>
      <c r="AS919" s="551"/>
      <c r="AT919" s="551"/>
      <c r="AU919" s="551"/>
      <c r="AV919" s="551"/>
      <c r="AW919" s="551"/>
      <c r="AX919" s="551"/>
      <c r="AY919" s="551"/>
      <c r="AZ919" s="551"/>
      <c r="BA919" s="551"/>
      <c r="BB919" s="551"/>
      <c r="BC919" s="551"/>
      <c r="BD919" s="551"/>
      <c r="BE919" s="551"/>
      <c r="BF919" s="551"/>
      <c r="BG919" s="551"/>
      <c r="BH919" s="551"/>
      <c r="BI919" s="551"/>
      <c r="BJ919" s="551"/>
    </row>
    <row r="920" spans="1:62" ht="12.75" customHeight="1">
      <c r="A920" s="551"/>
      <c r="B920" s="551"/>
      <c r="C920" s="551"/>
      <c r="D920" s="551"/>
      <c r="E920" s="551"/>
      <c r="F920" s="551"/>
      <c r="G920" s="551"/>
      <c r="H920" s="551"/>
      <c r="I920" s="551"/>
      <c r="J920" s="551"/>
      <c r="K920" s="551"/>
      <c r="L920" s="551"/>
      <c r="M920" s="551"/>
      <c r="N920" s="551"/>
      <c r="O920" s="551"/>
      <c r="P920" s="551"/>
      <c r="Q920" s="551"/>
      <c r="R920" s="551"/>
      <c r="S920" s="551"/>
      <c r="T920" s="551"/>
      <c r="U920" s="551"/>
      <c r="V920" s="551"/>
      <c r="W920" s="551"/>
      <c r="X920" s="551"/>
      <c r="Y920" s="551"/>
      <c r="Z920" s="551"/>
      <c r="AA920" s="551"/>
      <c r="AB920" s="551"/>
      <c r="AC920" s="551"/>
      <c r="AD920" s="551"/>
      <c r="AE920" s="551"/>
      <c r="AF920" s="551"/>
      <c r="AG920" s="551"/>
      <c r="AH920" s="551"/>
      <c r="AI920" s="551"/>
      <c r="AJ920" s="551"/>
      <c r="AK920" s="551"/>
      <c r="AL920" s="551"/>
      <c r="AM920" s="551"/>
      <c r="AN920" s="551"/>
      <c r="AO920" s="551"/>
      <c r="AP920" s="551"/>
      <c r="AQ920" s="551"/>
      <c r="AR920" s="551"/>
      <c r="AS920" s="551"/>
      <c r="AT920" s="551"/>
      <c r="AU920" s="551"/>
      <c r="AV920" s="551"/>
      <c r="AW920" s="551"/>
      <c r="AX920" s="551"/>
      <c r="AY920" s="551"/>
      <c r="AZ920" s="551"/>
      <c r="BA920" s="551"/>
      <c r="BB920" s="551"/>
      <c r="BC920" s="551"/>
      <c r="BD920" s="551"/>
      <c r="BE920" s="551"/>
      <c r="BF920" s="551"/>
      <c r="BG920" s="551"/>
      <c r="BH920" s="551"/>
      <c r="BI920" s="551"/>
      <c r="BJ920" s="551"/>
    </row>
    <row r="921" spans="1:62" ht="12.75" customHeight="1">
      <c r="A921" s="551"/>
      <c r="B921" s="551"/>
      <c r="C921" s="551"/>
      <c r="D921" s="551"/>
      <c r="E921" s="551"/>
      <c r="F921" s="551"/>
      <c r="G921" s="551"/>
      <c r="H921" s="551"/>
      <c r="I921" s="551"/>
      <c r="J921" s="551"/>
      <c r="K921" s="551"/>
      <c r="L921" s="551"/>
      <c r="M921" s="551"/>
      <c r="N921" s="551"/>
      <c r="O921" s="551"/>
      <c r="P921" s="551"/>
      <c r="Q921" s="551"/>
      <c r="R921" s="551"/>
      <c r="S921" s="551"/>
      <c r="T921" s="551"/>
      <c r="U921" s="551"/>
      <c r="V921" s="551"/>
      <c r="W921" s="551"/>
      <c r="X921" s="551"/>
      <c r="Y921" s="551"/>
      <c r="Z921" s="551"/>
      <c r="AA921" s="551"/>
      <c r="AB921" s="551"/>
      <c r="AC921" s="551"/>
      <c r="AD921" s="551"/>
      <c r="AE921" s="551"/>
      <c r="AF921" s="551"/>
      <c r="AG921" s="551"/>
      <c r="AH921" s="551"/>
      <c r="AI921" s="551"/>
      <c r="AJ921" s="551"/>
      <c r="AK921" s="551"/>
      <c r="AL921" s="551"/>
      <c r="AM921" s="551"/>
      <c r="AN921" s="551"/>
      <c r="AO921" s="551"/>
      <c r="AP921" s="551"/>
      <c r="AQ921" s="551"/>
      <c r="AR921" s="551"/>
      <c r="AS921" s="551"/>
      <c r="AT921" s="551"/>
      <c r="AU921" s="551"/>
      <c r="AV921" s="551"/>
      <c r="AW921" s="551"/>
      <c r="AX921" s="551"/>
      <c r="AY921" s="551"/>
      <c r="AZ921" s="551"/>
      <c r="BA921" s="551"/>
      <c r="BB921" s="551"/>
      <c r="BC921" s="551"/>
      <c r="BD921" s="551"/>
      <c r="BE921" s="551"/>
      <c r="BF921" s="551"/>
      <c r="BG921" s="551"/>
      <c r="BH921" s="551"/>
      <c r="BI921" s="551"/>
      <c r="BJ921" s="551"/>
    </row>
    <row r="922" spans="1:62" ht="12.75" customHeight="1">
      <c r="A922" s="551"/>
      <c r="B922" s="551"/>
      <c r="C922" s="551"/>
      <c r="D922" s="551"/>
      <c r="E922" s="551"/>
      <c r="F922" s="551"/>
      <c r="G922" s="551"/>
      <c r="H922" s="551"/>
      <c r="I922" s="551"/>
      <c r="J922" s="551"/>
      <c r="K922" s="551"/>
      <c r="L922" s="551"/>
      <c r="M922" s="551"/>
      <c r="N922" s="551"/>
      <c r="O922" s="551"/>
      <c r="P922" s="551"/>
      <c r="Q922" s="551"/>
      <c r="R922" s="551"/>
      <c r="S922" s="551"/>
      <c r="T922" s="551"/>
      <c r="U922" s="551"/>
      <c r="V922" s="551"/>
      <c r="W922" s="551"/>
      <c r="X922" s="551"/>
      <c r="Y922" s="551"/>
      <c r="Z922" s="551"/>
      <c r="AA922" s="551"/>
      <c r="AB922" s="551"/>
      <c r="AC922" s="551"/>
      <c r="AD922" s="551"/>
      <c r="AE922" s="551"/>
      <c r="AF922" s="551"/>
      <c r="AG922" s="551"/>
      <c r="AH922" s="551"/>
      <c r="AI922" s="551"/>
      <c r="AJ922" s="551"/>
      <c r="AK922" s="551"/>
      <c r="AL922" s="551"/>
      <c r="AM922" s="551"/>
      <c r="AN922" s="551"/>
      <c r="AO922" s="551"/>
      <c r="AP922" s="551"/>
      <c r="AQ922" s="551"/>
      <c r="AR922" s="551"/>
      <c r="AS922" s="551"/>
      <c r="AT922" s="551"/>
      <c r="AU922" s="551"/>
      <c r="AV922" s="551"/>
      <c r="AW922" s="551"/>
      <c r="AX922" s="551"/>
      <c r="AY922" s="551"/>
      <c r="AZ922" s="551"/>
      <c r="BA922" s="551"/>
      <c r="BB922" s="551"/>
      <c r="BC922" s="551"/>
      <c r="BD922" s="551"/>
      <c r="BE922" s="551"/>
      <c r="BF922" s="551"/>
      <c r="BG922" s="551"/>
      <c r="BH922" s="551"/>
      <c r="BI922" s="551"/>
      <c r="BJ922" s="551"/>
    </row>
    <row r="923" spans="1:62" ht="12.75" customHeight="1">
      <c r="A923" s="551"/>
      <c r="B923" s="551"/>
      <c r="C923" s="551"/>
      <c r="D923" s="551"/>
      <c r="E923" s="551"/>
      <c r="F923" s="551"/>
      <c r="G923" s="551"/>
      <c r="H923" s="551"/>
      <c r="I923" s="551"/>
      <c r="J923" s="551"/>
      <c r="K923" s="551"/>
      <c r="L923" s="551"/>
      <c r="M923" s="551"/>
      <c r="N923" s="551"/>
      <c r="O923" s="551"/>
      <c r="P923" s="551"/>
      <c r="Q923" s="551"/>
      <c r="R923" s="551"/>
      <c r="S923" s="551"/>
      <c r="T923" s="551"/>
      <c r="U923" s="551"/>
      <c r="V923" s="551"/>
      <c r="W923" s="551"/>
      <c r="X923" s="551"/>
      <c r="Y923" s="551"/>
      <c r="Z923" s="551"/>
      <c r="AA923" s="551"/>
      <c r="AB923" s="551"/>
      <c r="AC923" s="551"/>
      <c r="AD923" s="551"/>
      <c r="AE923" s="551"/>
      <c r="AF923" s="551"/>
      <c r="AG923" s="551"/>
      <c r="AH923" s="551"/>
      <c r="AI923" s="551"/>
      <c r="AJ923" s="551"/>
      <c r="AK923" s="551"/>
      <c r="AL923" s="551"/>
      <c r="AM923" s="551"/>
      <c r="AN923" s="551"/>
      <c r="AO923" s="551"/>
      <c r="AP923" s="551"/>
      <c r="AQ923" s="551"/>
      <c r="AR923" s="551"/>
      <c r="AS923" s="551"/>
      <c r="AT923" s="551"/>
      <c r="AU923" s="551"/>
      <c r="AV923" s="551"/>
      <c r="AW923" s="551"/>
      <c r="AX923" s="551"/>
      <c r="AY923" s="551"/>
      <c r="AZ923" s="551"/>
      <c r="BA923" s="551"/>
      <c r="BB923" s="551"/>
      <c r="BC923" s="551"/>
      <c r="BD923" s="551"/>
      <c r="BE923" s="551"/>
      <c r="BF923" s="551"/>
      <c r="BG923" s="551"/>
      <c r="BH923" s="551"/>
      <c r="BI923" s="551"/>
      <c r="BJ923" s="551"/>
    </row>
    <row r="924" spans="1:62" ht="12.75" customHeight="1">
      <c r="A924" s="551"/>
      <c r="B924" s="551"/>
      <c r="C924" s="551"/>
      <c r="D924" s="551"/>
      <c r="E924" s="551"/>
      <c r="F924" s="551"/>
      <c r="G924" s="551"/>
      <c r="H924" s="551"/>
      <c r="I924" s="551"/>
      <c r="J924" s="551"/>
      <c r="K924" s="551"/>
      <c r="L924" s="551"/>
      <c r="M924" s="551"/>
      <c r="N924" s="551"/>
      <c r="O924" s="551"/>
      <c r="P924" s="551"/>
      <c r="Q924" s="551"/>
      <c r="R924" s="551"/>
      <c r="S924" s="551"/>
      <c r="T924" s="551"/>
      <c r="U924" s="551"/>
      <c r="V924" s="551"/>
      <c r="W924" s="551"/>
      <c r="X924" s="551"/>
      <c r="Y924" s="551"/>
      <c r="Z924" s="551"/>
      <c r="AA924" s="551"/>
      <c r="AB924" s="551"/>
      <c r="AC924" s="551"/>
      <c r="AD924" s="551"/>
      <c r="AE924" s="551"/>
      <c r="AF924" s="551"/>
      <c r="AG924" s="551"/>
      <c r="AH924" s="551"/>
      <c r="AI924" s="551"/>
      <c r="AJ924" s="551"/>
      <c r="AK924" s="551"/>
      <c r="AL924" s="551"/>
      <c r="AM924" s="551"/>
      <c r="AN924" s="551"/>
      <c r="AO924" s="551"/>
      <c r="AP924" s="551"/>
      <c r="AQ924" s="551"/>
      <c r="AR924" s="551"/>
      <c r="AS924" s="551"/>
      <c r="AT924" s="551"/>
      <c r="AU924" s="551"/>
      <c r="AV924" s="551"/>
      <c r="AW924" s="551"/>
      <c r="AX924" s="551"/>
      <c r="AY924" s="551"/>
      <c r="AZ924" s="551"/>
      <c r="BA924" s="551"/>
      <c r="BB924" s="551"/>
      <c r="BC924" s="551"/>
      <c r="BD924" s="551"/>
      <c r="BE924" s="551"/>
      <c r="BF924" s="551"/>
      <c r="BG924" s="551"/>
      <c r="BH924" s="551"/>
      <c r="BI924" s="551"/>
      <c r="BJ924" s="551"/>
    </row>
    <row r="925" spans="1:62" ht="12.75" customHeight="1">
      <c r="A925" s="551"/>
      <c r="B925" s="551"/>
      <c r="C925" s="551"/>
      <c r="D925" s="551"/>
      <c r="E925" s="551"/>
      <c r="F925" s="551"/>
      <c r="G925" s="551"/>
      <c r="H925" s="551"/>
      <c r="I925" s="551"/>
      <c r="J925" s="551"/>
      <c r="K925" s="551"/>
      <c r="L925" s="551"/>
      <c r="M925" s="551"/>
      <c r="N925" s="551"/>
      <c r="O925" s="551"/>
      <c r="P925" s="551"/>
      <c r="Q925" s="551"/>
      <c r="R925" s="551"/>
      <c r="S925" s="551"/>
      <c r="T925" s="551"/>
      <c r="U925" s="551"/>
      <c r="V925" s="551"/>
      <c r="W925" s="551"/>
      <c r="X925" s="551"/>
      <c r="Y925" s="551"/>
      <c r="Z925" s="551"/>
      <c r="AA925" s="551"/>
      <c r="AB925" s="551"/>
      <c r="AC925" s="551"/>
      <c r="AD925" s="551"/>
      <c r="AE925" s="551"/>
      <c r="AF925" s="551"/>
      <c r="AG925" s="551"/>
      <c r="AH925" s="551"/>
      <c r="AI925" s="551"/>
      <c r="AJ925" s="551"/>
      <c r="AK925" s="551"/>
      <c r="AL925" s="551"/>
      <c r="AM925" s="551"/>
      <c r="AN925" s="551"/>
      <c r="AO925" s="551"/>
      <c r="AP925" s="551"/>
      <c r="AQ925" s="551"/>
      <c r="AR925" s="551"/>
      <c r="AS925" s="551"/>
      <c r="AT925" s="551"/>
      <c r="AU925" s="551"/>
      <c r="AV925" s="551"/>
      <c r="AW925" s="551"/>
      <c r="AX925" s="551"/>
      <c r="AY925" s="551"/>
      <c r="AZ925" s="551"/>
      <c r="BA925" s="551"/>
      <c r="BB925" s="551"/>
      <c r="BC925" s="551"/>
      <c r="BD925" s="551"/>
      <c r="BE925" s="551"/>
      <c r="BF925" s="551"/>
      <c r="BG925" s="551"/>
      <c r="BH925" s="551"/>
      <c r="BI925" s="551"/>
      <c r="BJ925" s="551"/>
    </row>
    <row r="926" spans="1:62" ht="12.75" customHeight="1">
      <c r="A926" s="551"/>
      <c r="B926" s="551"/>
      <c r="C926" s="551"/>
      <c r="D926" s="551"/>
      <c r="E926" s="551"/>
      <c r="F926" s="551"/>
      <c r="G926" s="551"/>
      <c r="H926" s="551"/>
      <c r="I926" s="551"/>
      <c r="J926" s="551"/>
      <c r="K926" s="551"/>
      <c r="L926" s="551"/>
      <c r="M926" s="551"/>
      <c r="N926" s="551"/>
      <c r="O926" s="551"/>
      <c r="P926" s="551"/>
      <c r="Q926" s="551"/>
      <c r="R926" s="551"/>
      <c r="S926" s="551"/>
      <c r="T926" s="551"/>
      <c r="U926" s="551"/>
      <c r="V926" s="551"/>
      <c r="W926" s="551"/>
      <c r="X926" s="551"/>
      <c r="Y926" s="551"/>
      <c r="Z926" s="551"/>
      <c r="AA926" s="551"/>
      <c r="AB926" s="551"/>
      <c r="AC926" s="551"/>
      <c r="AD926" s="551"/>
      <c r="AE926" s="551"/>
      <c r="AF926" s="551"/>
      <c r="AG926" s="551"/>
      <c r="AH926" s="551"/>
      <c r="AI926" s="551"/>
      <c r="AJ926" s="551"/>
      <c r="AK926" s="551"/>
      <c r="AL926" s="551"/>
      <c r="AM926" s="551"/>
      <c r="AN926" s="551"/>
      <c r="AO926" s="551"/>
      <c r="AP926" s="551"/>
      <c r="AQ926" s="551"/>
      <c r="AR926" s="551"/>
      <c r="AS926" s="551"/>
      <c r="AT926" s="551"/>
      <c r="AU926" s="551"/>
      <c r="AV926" s="551"/>
      <c r="AW926" s="551"/>
      <c r="AX926" s="551"/>
      <c r="AY926" s="551"/>
      <c r="AZ926" s="551"/>
      <c r="BA926" s="551"/>
      <c r="BB926" s="551"/>
      <c r="BC926" s="551"/>
      <c r="BD926" s="551"/>
      <c r="BE926" s="551"/>
      <c r="BF926" s="551"/>
      <c r="BG926" s="551"/>
      <c r="BH926" s="551"/>
      <c r="BI926" s="551"/>
      <c r="BJ926" s="551"/>
    </row>
    <row r="927" spans="1:62" ht="12.75" customHeight="1">
      <c r="A927" s="551"/>
      <c r="B927" s="551"/>
      <c r="C927" s="551"/>
      <c r="D927" s="551"/>
      <c r="E927" s="551"/>
      <c r="F927" s="551"/>
      <c r="G927" s="551"/>
      <c r="H927" s="551"/>
      <c r="I927" s="551"/>
      <c r="J927" s="551"/>
      <c r="K927" s="551"/>
      <c r="L927" s="551"/>
      <c r="M927" s="551"/>
      <c r="N927" s="551"/>
      <c r="O927" s="551"/>
      <c r="P927" s="551"/>
      <c r="Q927" s="551"/>
      <c r="R927" s="551"/>
      <c r="S927" s="551"/>
      <c r="T927" s="551"/>
      <c r="U927" s="551"/>
      <c r="V927" s="551"/>
      <c r="W927" s="551"/>
      <c r="X927" s="551"/>
      <c r="Y927" s="551"/>
      <c r="Z927" s="551"/>
      <c r="AA927" s="551"/>
      <c r="AB927" s="551"/>
      <c r="AC927" s="551"/>
      <c r="AD927" s="551"/>
      <c r="AE927" s="551"/>
      <c r="AF927" s="551"/>
      <c r="AG927" s="551"/>
      <c r="AH927" s="551"/>
      <c r="AI927" s="551"/>
      <c r="AJ927" s="551"/>
      <c r="AK927" s="551"/>
      <c r="AL927" s="551"/>
      <c r="AM927" s="551"/>
      <c r="AN927" s="551"/>
      <c r="AO927" s="551"/>
      <c r="AP927" s="551"/>
      <c r="AQ927" s="551"/>
      <c r="AR927" s="551"/>
      <c r="AS927" s="551"/>
      <c r="AT927" s="551"/>
      <c r="AU927" s="551"/>
      <c r="AV927" s="551"/>
      <c r="AW927" s="551"/>
      <c r="AX927" s="551"/>
      <c r="AY927" s="551"/>
      <c r="AZ927" s="551"/>
      <c r="BA927" s="551"/>
      <c r="BB927" s="551"/>
      <c r="BC927" s="551"/>
      <c r="BD927" s="551"/>
      <c r="BE927" s="551"/>
      <c r="BF927" s="551"/>
      <c r="BG927" s="551"/>
      <c r="BH927" s="551"/>
      <c r="BI927" s="551"/>
      <c r="BJ927" s="551"/>
    </row>
    <row r="928" spans="1:62" ht="12.75" customHeight="1">
      <c r="A928" s="551"/>
      <c r="B928" s="551"/>
      <c r="C928" s="551"/>
      <c r="D928" s="551"/>
      <c r="E928" s="551"/>
      <c r="F928" s="551"/>
      <c r="G928" s="551"/>
      <c r="H928" s="551"/>
      <c r="I928" s="551"/>
      <c r="J928" s="551"/>
      <c r="K928" s="551"/>
      <c r="L928" s="551"/>
      <c r="M928" s="551"/>
      <c r="N928" s="551"/>
      <c r="O928" s="551"/>
      <c r="P928" s="551"/>
      <c r="Q928" s="551"/>
      <c r="R928" s="551"/>
      <c r="S928" s="551"/>
      <c r="T928" s="551"/>
      <c r="U928" s="551"/>
      <c r="V928" s="551"/>
      <c r="W928" s="551"/>
      <c r="X928" s="551"/>
      <c r="Y928" s="551"/>
      <c r="Z928" s="551"/>
      <c r="AA928" s="551"/>
      <c r="AB928" s="551"/>
      <c r="AC928" s="551"/>
      <c r="AD928" s="551"/>
      <c r="AE928" s="551"/>
      <c r="AF928" s="551"/>
      <c r="AG928" s="551"/>
      <c r="AH928" s="551"/>
      <c r="AI928" s="551"/>
      <c r="AJ928" s="551"/>
      <c r="AK928" s="551"/>
      <c r="AL928" s="551"/>
      <c r="AM928" s="551"/>
      <c r="AN928" s="551"/>
      <c r="AO928" s="551"/>
      <c r="AP928" s="551"/>
      <c r="AQ928" s="551"/>
      <c r="AR928" s="551"/>
      <c r="AS928" s="551"/>
      <c r="AT928" s="551"/>
      <c r="AU928" s="551"/>
      <c r="AV928" s="551"/>
      <c r="AW928" s="551"/>
      <c r="AX928" s="551"/>
      <c r="AY928" s="551"/>
      <c r="AZ928" s="551"/>
      <c r="BA928" s="551"/>
      <c r="BB928" s="551"/>
      <c r="BC928" s="551"/>
      <c r="BD928" s="551"/>
      <c r="BE928" s="551"/>
      <c r="BF928" s="551"/>
      <c r="BG928" s="551"/>
      <c r="BH928" s="551"/>
      <c r="BI928" s="551"/>
      <c r="BJ928" s="551"/>
    </row>
    <row r="929" spans="1:62" ht="12.75" customHeight="1">
      <c r="A929" s="551"/>
      <c r="B929" s="551"/>
      <c r="C929" s="551"/>
      <c r="D929" s="551"/>
      <c r="E929" s="551"/>
      <c r="F929" s="551"/>
      <c r="G929" s="551"/>
      <c r="H929" s="551"/>
      <c r="I929" s="551"/>
      <c r="J929" s="551"/>
      <c r="K929" s="551"/>
      <c r="L929" s="551"/>
      <c r="M929" s="551"/>
      <c r="N929" s="551"/>
      <c r="O929" s="551"/>
      <c r="P929" s="551"/>
      <c r="Q929" s="551"/>
      <c r="R929" s="551"/>
      <c r="S929" s="551"/>
      <c r="T929" s="551"/>
      <c r="U929" s="551"/>
      <c r="V929" s="551"/>
      <c r="W929" s="551"/>
      <c r="X929" s="551"/>
      <c r="Y929" s="551"/>
      <c r="Z929" s="551"/>
      <c r="AA929" s="551"/>
      <c r="AB929" s="551"/>
      <c r="AC929" s="551"/>
      <c r="AD929" s="551"/>
      <c r="AE929" s="551"/>
      <c r="AF929" s="551"/>
      <c r="AG929" s="551"/>
      <c r="AH929" s="551"/>
      <c r="AI929" s="551"/>
      <c r="AJ929" s="551"/>
      <c r="AK929" s="551"/>
      <c r="AL929" s="551"/>
      <c r="AM929" s="551"/>
      <c r="AN929" s="551"/>
      <c r="AO929" s="551"/>
      <c r="AP929" s="551"/>
      <c r="AQ929" s="551"/>
      <c r="AR929" s="551"/>
      <c r="AS929" s="551"/>
      <c r="AT929" s="551"/>
      <c r="AU929" s="551"/>
      <c r="AV929" s="551"/>
      <c r="AW929" s="551"/>
      <c r="AX929" s="551"/>
      <c r="AY929" s="551"/>
      <c r="AZ929" s="551"/>
      <c r="BA929" s="551"/>
      <c r="BB929" s="551"/>
      <c r="BC929" s="551"/>
      <c r="BD929" s="551"/>
      <c r="BE929" s="551"/>
      <c r="BF929" s="551"/>
      <c r="BG929" s="551"/>
      <c r="BH929" s="551"/>
      <c r="BI929" s="551"/>
      <c r="BJ929" s="551"/>
    </row>
    <row r="930" spans="1:62" ht="12.75" customHeight="1">
      <c r="A930" s="551"/>
      <c r="B930" s="551"/>
      <c r="C930" s="551"/>
      <c r="D930" s="551"/>
      <c r="E930" s="551"/>
      <c r="F930" s="551"/>
      <c r="G930" s="551"/>
      <c r="H930" s="551"/>
      <c r="I930" s="551"/>
      <c r="J930" s="551"/>
      <c r="K930" s="551"/>
      <c r="L930" s="551"/>
      <c r="M930" s="551"/>
      <c r="N930" s="551"/>
      <c r="O930" s="551"/>
      <c r="P930" s="551"/>
      <c r="Q930" s="551"/>
      <c r="R930" s="551"/>
      <c r="S930" s="551"/>
      <c r="T930" s="551"/>
      <c r="U930" s="551"/>
      <c r="V930" s="551"/>
      <c r="W930" s="551"/>
      <c r="X930" s="551"/>
      <c r="Y930" s="551"/>
      <c r="Z930" s="551"/>
      <c r="AA930" s="551"/>
      <c r="AB930" s="551"/>
      <c r="AC930" s="551"/>
      <c r="AD930" s="551"/>
      <c r="AE930" s="551"/>
      <c r="AF930" s="551"/>
      <c r="AG930" s="551"/>
      <c r="AH930" s="551"/>
      <c r="AI930" s="551"/>
      <c r="AJ930" s="551"/>
      <c r="AK930" s="551"/>
      <c r="AL930" s="551"/>
      <c r="AM930" s="551"/>
      <c r="AN930" s="551"/>
      <c r="AO930" s="551"/>
      <c r="AP930" s="551"/>
      <c r="AQ930" s="551"/>
      <c r="AR930" s="551"/>
      <c r="AS930" s="551"/>
      <c r="AT930" s="551"/>
      <c r="AU930" s="551"/>
      <c r="AV930" s="551"/>
      <c r="AW930" s="551"/>
      <c r="AX930" s="551"/>
      <c r="AY930" s="551"/>
      <c r="AZ930" s="551"/>
      <c r="BA930" s="551"/>
      <c r="BB930" s="551"/>
      <c r="BC930" s="551"/>
      <c r="BD930" s="551"/>
      <c r="BE930" s="551"/>
      <c r="BF930" s="551"/>
      <c r="BG930" s="551"/>
      <c r="BH930" s="551"/>
      <c r="BI930" s="551"/>
      <c r="BJ930" s="551"/>
    </row>
    <row r="931" spans="1:62" ht="12.75" customHeight="1">
      <c r="A931" s="551"/>
      <c r="B931" s="551"/>
      <c r="C931" s="551"/>
      <c r="D931" s="551"/>
      <c r="E931" s="551"/>
      <c r="F931" s="551"/>
      <c r="G931" s="551"/>
      <c r="H931" s="551"/>
      <c r="I931" s="551"/>
      <c r="J931" s="551"/>
      <c r="K931" s="551"/>
      <c r="L931" s="551"/>
      <c r="M931" s="551"/>
      <c r="N931" s="551"/>
      <c r="O931" s="551"/>
      <c r="P931" s="551"/>
      <c r="Q931" s="551"/>
      <c r="R931" s="551"/>
      <c r="S931" s="551"/>
      <c r="T931" s="551"/>
      <c r="U931" s="551"/>
      <c r="V931" s="551"/>
      <c r="W931" s="551"/>
      <c r="X931" s="551"/>
      <c r="Y931" s="551"/>
      <c r="Z931" s="551"/>
      <c r="AA931" s="551"/>
      <c r="AB931" s="551"/>
      <c r="AC931" s="551"/>
      <c r="AD931" s="551"/>
      <c r="AE931" s="551"/>
      <c r="AF931" s="551"/>
      <c r="AG931" s="551"/>
      <c r="AH931" s="551"/>
      <c r="AI931" s="551"/>
      <c r="AJ931" s="551"/>
      <c r="AK931" s="551"/>
      <c r="AL931" s="551"/>
      <c r="AM931" s="551"/>
      <c r="AN931" s="551"/>
      <c r="AO931" s="551"/>
      <c r="AP931" s="551"/>
      <c r="AQ931" s="551"/>
      <c r="AR931" s="551"/>
      <c r="AS931" s="551"/>
      <c r="AT931" s="551"/>
      <c r="AU931" s="551"/>
      <c r="AV931" s="551"/>
      <c r="AW931" s="551"/>
      <c r="AX931" s="551"/>
      <c r="AY931" s="551"/>
      <c r="AZ931" s="551"/>
      <c r="BA931" s="551"/>
      <c r="BB931" s="551"/>
      <c r="BC931" s="551"/>
      <c r="BD931" s="551"/>
      <c r="BE931" s="551"/>
      <c r="BF931" s="551"/>
      <c r="BG931" s="551"/>
      <c r="BH931" s="551"/>
      <c r="BI931" s="551"/>
      <c r="BJ931" s="551"/>
    </row>
    <row r="932" spans="1:62" ht="12.75" customHeight="1">
      <c r="A932" s="551"/>
      <c r="B932" s="551"/>
      <c r="C932" s="551"/>
      <c r="D932" s="551"/>
      <c r="E932" s="551"/>
      <c r="F932" s="551"/>
      <c r="G932" s="551"/>
      <c r="H932" s="551"/>
      <c r="I932" s="551"/>
      <c r="J932" s="551"/>
      <c r="K932" s="551"/>
      <c r="L932" s="551"/>
      <c r="M932" s="551"/>
      <c r="N932" s="551"/>
      <c r="O932" s="551"/>
      <c r="P932" s="551"/>
      <c r="Q932" s="551"/>
      <c r="R932" s="551"/>
      <c r="S932" s="551"/>
      <c r="T932" s="551"/>
      <c r="U932" s="551"/>
      <c r="V932" s="551"/>
      <c r="W932" s="551"/>
      <c r="X932" s="551"/>
      <c r="Y932" s="551"/>
      <c r="Z932" s="551"/>
      <c r="AA932" s="551"/>
      <c r="AB932" s="551"/>
      <c r="AC932" s="551"/>
      <c r="AD932" s="551"/>
      <c r="AE932" s="551"/>
      <c r="AF932" s="551"/>
      <c r="AG932" s="551"/>
      <c r="AH932" s="551"/>
      <c r="AI932" s="551"/>
      <c r="AJ932" s="551"/>
      <c r="AK932" s="551"/>
      <c r="AL932" s="551"/>
      <c r="AM932" s="551"/>
      <c r="AN932" s="551"/>
      <c r="AO932" s="551"/>
      <c r="AP932" s="551"/>
      <c r="AQ932" s="551"/>
      <c r="AR932" s="551"/>
      <c r="AS932" s="551"/>
      <c r="AT932" s="551"/>
      <c r="AU932" s="551"/>
      <c r="AV932" s="551"/>
      <c r="AW932" s="551"/>
      <c r="AX932" s="551"/>
      <c r="AY932" s="551"/>
      <c r="AZ932" s="551"/>
      <c r="BA932" s="551"/>
      <c r="BB932" s="551"/>
      <c r="BC932" s="551"/>
      <c r="BD932" s="551"/>
      <c r="BE932" s="551"/>
      <c r="BF932" s="551"/>
      <c r="BG932" s="551"/>
      <c r="BH932" s="551"/>
      <c r="BI932" s="551"/>
      <c r="BJ932" s="551"/>
    </row>
    <row r="933" spans="1:62" ht="12.75" customHeight="1">
      <c r="A933" s="551"/>
      <c r="B933" s="551"/>
      <c r="C933" s="551"/>
      <c r="D933" s="551"/>
      <c r="E933" s="551"/>
      <c r="F933" s="551"/>
      <c r="G933" s="551"/>
      <c r="H933" s="551"/>
      <c r="I933" s="551"/>
      <c r="J933" s="551"/>
      <c r="K933" s="551"/>
      <c r="L933" s="551"/>
      <c r="M933" s="551"/>
      <c r="N933" s="551"/>
      <c r="O933" s="551"/>
      <c r="P933" s="551"/>
      <c r="Q933" s="551"/>
      <c r="R933" s="551"/>
      <c r="S933" s="551"/>
      <c r="T933" s="551"/>
      <c r="U933" s="551"/>
      <c r="V933" s="551"/>
      <c r="W933" s="551"/>
      <c r="X933" s="551"/>
      <c r="Y933" s="551"/>
      <c r="Z933" s="551"/>
      <c r="AA933" s="551"/>
      <c r="AB933" s="551"/>
      <c r="AC933" s="551"/>
      <c r="AD933" s="551"/>
      <c r="AE933" s="551"/>
      <c r="AF933" s="551"/>
      <c r="AG933" s="551"/>
      <c r="AH933" s="551"/>
      <c r="AI933" s="551"/>
      <c r="AJ933" s="551"/>
      <c r="AK933" s="551"/>
      <c r="AL933" s="551"/>
      <c r="AM933" s="551"/>
      <c r="AN933" s="551"/>
      <c r="AO933" s="551"/>
      <c r="AP933" s="551"/>
      <c r="AQ933" s="551"/>
      <c r="AR933" s="551"/>
      <c r="AS933" s="551"/>
      <c r="AT933" s="551"/>
      <c r="AU933" s="551"/>
      <c r="AV933" s="551"/>
      <c r="AW933" s="551"/>
      <c r="AX933" s="551"/>
      <c r="AY933" s="551"/>
      <c r="AZ933" s="551"/>
      <c r="BA933" s="551"/>
      <c r="BB933" s="551"/>
      <c r="BC933" s="551"/>
      <c r="BD933" s="551"/>
      <c r="BE933" s="551"/>
      <c r="BF933" s="551"/>
      <c r="BG933" s="551"/>
      <c r="BH933" s="551"/>
      <c r="BI933" s="551"/>
      <c r="BJ933" s="551"/>
    </row>
    <row r="934" spans="1:62" ht="12.75" customHeight="1">
      <c r="A934" s="551"/>
      <c r="B934" s="551"/>
      <c r="C934" s="551"/>
      <c r="D934" s="551"/>
      <c r="E934" s="551"/>
      <c r="F934" s="551"/>
      <c r="G934" s="551"/>
      <c r="H934" s="551"/>
      <c r="I934" s="551"/>
      <c r="J934" s="551"/>
      <c r="K934" s="551"/>
      <c r="L934" s="551"/>
      <c r="M934" s="551"/>
      <c r="N934" s="551"/>
      <c r="O934" s="551"/>
      <c r="P934" s="551"/>
      <c r="Q934" s="551"/>
      <c r="R934" s="551"/>
      <c r="S934" s="551"/>
      <c r="T934" s="551"/>
      <c r="U934" s="551"/>
      <c r="V934" s="551"/>
      <c r="W934" s="551"/>
      <c r="X934" s="551"/>
      <c r="Y934" s="551"/>
      <c r="Z934" s="551"/>
      <c r="AA934" s="551"/>
      <c r="AB934" s="551"/>
      <c r="AC934" s="551"/>
      <c r="AD934" s="551"/>
      <c r="AE934" s="551"/>
      <c r="AF934" s="551"/>
      <c r="AG934" s="551"/>
      <c r="AH934" s="551"/>
      <c r="AI934" s="551"/>
      <c r="AJ934" s="551"/>
      <c r="AK934" s="551"/>
      <c r="AL934" s="551"/>
      <c r="AM934" s="551"/>
      <c r="AN934" s="551"/>
      <c r="AO934" s="551"/>
      <c r="AP934" s="551"/>
      <c r="AQ934" s="551"/>
      <c r="AR934" s="551"/>
      <c r="AS934" s="551"/>
      <c r="AT934" s="551"/>
      <c r="AU934" s="551"/>
      <c r="AV934" s="551"/>
      <c r="AW934" s="551"/>
      <c r="AX934" s="551"/>
      <c r="AY934" s="551"/>
      <c r="AZ934" s="551"/>
      <c r="BA934" s="551"/>
      <c r="BB934" s="551"/>
      <c r="BC934" s="551"/>
      <c r="BD934" s="551"/>
      <c r="BE934" s="551"/>
      <c r="BF934" s="551"/>
      <c r="BG934" s="551"/>
      <c r="BH934" s="551"/>
      <c r="BI934" s="551"/>
      <c r="BJ934" s="551"/>
    </row>
    <row r="935" spans="1:62" ht="12.75" customHeight="1">
      <c r="A935" s="551"/>
      <c r="B935" s="551"/>
      <c r="C935" s="551"/>
      <c r="D935" s="551"/>
      <c r="E935" s="551"/>
      <c r="F935" s="551"/>
      <c r="G935" s="551"/>
      <c r="H935" s="551"/>
      <c r="I935" s="551"/>
      <c r="J935" s="551"/>
      <c r="K935" s="551"/>
      <c r="L935" s="551"/>
      <c r="M935" s="551"/>
      <c r="N935" s="551"/>
      <c r="O935" s="551"/>
      <c r="P935" s="551"/>
      <c r="Q935" s="551"/>
      <c r="R935" s="551"/>
      <c r="S935" s="551"/>
      <c r="T935" s="551"/>
      <c r="U935" s="551"/>
      <c r="V935" s="551"/>
      <c r="W935" s="551"/>
      <c r="X935" s="551"/>
      <c r="Y935" s="551"/>
      <c r="Z935" s="551"/>
      <c r="AA935" s="551"/>
      <c r="AB935" s="551"/>
      <c r="AC935" s="551"/>
      <c r="AD935" s="551"/>
      <c r="AE935" s="551"/>
      <c r="AF935" s="551"/>
      <c r="AG935" s="551"/>
      <c r="AH935" s="551"/>
      <c r="AI935" s="551"/>
      <c r="AJ935" s="551"/>
      <c r="AK935" s="551"/>
      <c r="AL935" s="551"/>
      <c r="AM935" s="551"/>
      <c r="AN935" s="551"/>
      <c r="AO935" s="551"/>
      <c r="AP935" s="551"/>
      <c r="AQ935" s="551"/>
      <c r="AR935" s="551"/>
      <c r="AS935" s="551"/>
      <c r="AT935" s="551"/>
      <c r="AU935" s="551"/>
      <c r="AV935" s="551"/>
      <c r="AW935" s="551"/>
      <c r="AX935" s="551"/>
      <c r="AY935" s="551"/>
      <c r="AZ935" s="551"/>
      <c r="BA935" s="551"/>
      <c r="BB935" s="551"/>
      <c r="BC935" s="551"/>
      <c r="BD935" s="551"/>
      <c r="BE935" s="551"/>
      <c r="BF935" s="551"/>
      <c r="BG935" s="551"/>
      <c r="BH935" s="551"/>
      <c r="BI935" s="551"/>
      <c r="BJ935" s="551"/>
    </row>
    <row r="936" spans="1:62" ht="12.75" customHeight="1">
      <c r="A936" s="551"/>
      <c r="B936" s="551"/>
      <c r="C936" s="551"/>
      <c r="D936" s="551"/>
      <c r="E936" s="551"/>
      <c r="F936" s="551"/>
      <c r="G936" s="551"/>
      <c r="H936" s="551"/>
      <c r="I936" s="551"/>
      <c r="J936" s="551"/>
      <c r="K936" s="551"/>
      <c r="L936" s="551"/>
      <c r="M936" s="551"/>
      <c r="N936" s="551"/>
      <c r="O936" s="551"/>
      <c r="P936" s="551"/>
      <c r="Q936" s="551"/>
      <c r="R936" s="551"/>
      <c r="S936" s="551"/>
      <c r="T936" s="551"/>
      <c r="U936" s="551"/>
      <c r="V936" s="551"/>
      <c r="W936" s="551"/>
      <c r="X936" s="551"/>
      <c r="Y936" s="551"/>
      <c r="Z936" s="551"/>
      <c r="AA936" s="551"/>
      <c r="AB936" s="551"/>
      <c r="AC936" s="551"/>
      <c r="AD936" s="551"/>
      <c r="AE936" s="551"/>
      <c r="AF936" s="551"/>
      <c r="AG936" s="551"/>
      <c r="AH936" s="551"/>
      <c r="AI936" s="551"/>
      <c r="AJ936" s="551"/>
      <c r="AK936" s="551"/>
      <c r="AL936" s="551"/>
      <c r="AM936" s="551"/>
      <c r="AN936" s="551"/>
      <c r="AO936" s="551"/>
      <c r="AP936" s="551"/>
      <c r="AQ936" s="551"/>
      <c r="AR936" s="551"/>
      <c r="AS936" s="551"/>
      <c r="AT936" s="551"/>
      <c r="AU936" s="551"/>
      <c r="AV936" s="551"/>
      <c r="AW936" s="551"/>
      <c r="AX936" s="551"/>
      <c r="AY936" s="551"/>
      <c r="AZ936" s="551"/>
      <c r="BA936" s="551"/>
      <c r="BB936" s="551"/>
      <c r="BC936" s="551"/>
      <c r="BD936" s="551"/>
      <c r="BE936" s="551"/>
      <c r="BF936" s="551"/>
      <c r="BG936" s="551"/>
      <c r="BH936" s="551"/>
      <c r="BI936" s="551"/>
      <c r="BJ936" s="551"/>
    </row>
    <row r="937" spans="1:62" ht="12.75" customHeight="1">
      <c r="A937" s="551"/>
      <c r="B937" s="551"/>
      <c r="C937" s="551"/>
      <c r="D937" s="551"/>
      <c r="E937" s="551"/>
      <c r="F937" s="551"/>
      <c r="G937" s="551"/>
      <c r="H937" s="551"/>
      <c r="I937" s="551"/>
      <c r="J937" s="551"/>
      <c r="K937" s="551"/>
      <c r="L937" s="551"/>
      <c r="M937" s="551"/>
      <c r="N937" s="551"/>
      <c r="O937" s="551"/>
      <c r="P937" s="551"/>
      <c r="Q937" s="551"/>
      <c r="R937" s="551"/>
      <c r="S937" s="551"/>
      <c r="T937" s="551"/>
      <c r="U937" s="551"/>
      <c r="V937" s="551"/>
      <c r="W937" s="551"/>
      <c r="X937" s="551"/>
      <c r="Y937" s="551"/>
      <c r="Z937" s="551"/>
      <c r="AA937" s="551"/>
      <c r="AB937" s="551"/>
      <c r="AC937" s="551"/>
      <c r="AD937" s="551"/>
      <c r="AE937" s="551"/>
      <c r="AF937" s="551"/>
      <c r="AG937" s="551"/>
      <c r="AH937" s="551"/>
      <c r="AI937" s="551"/>
      <c r="AJ937" s="551"/>
      <c r="AK937" s="551"/>
      <c r="AL937" s="551"/>
      <c r="AM937" s="551"/>
      <c r="AN937" s="551"/>
      <c r="AO937" s="551"/>
      <c r="AP937" s="551"/>
      <c r="AQ937" s="551"/>
      <c r="AR937" s="551"/>
      <c r="AS937" s="551"/>
      <c r="AT937" s="551"/>
      <c r="AU937" s="551"/>
      <c r="AV937" s="551"/>
      <c r="AW937" s="551"/>
      <c r="AX937" s="551"/>
      <c r="AY937" s="551"/>
      <c r="AZ937" s="551"/>
      <c r="BA937" s="551"/>
      <c r="BB937" s="551"/>
      <c r="BC937" s="551"/>
      <c r="BD937" s="551"/>
      <c r="BE937" s="551"/>
      <c r="BF937" s="551"/>
      <c r="BG937" s="551"/>
      <c r="BH937" s="551"/>
      <c r="BI937" s="551"/>
      <c r="BJ937" s="551"/>
    </row>
    <row r="938" spans="1:62" ht="12.75" customHeight="1">
      <c r="A938" s="551"/>
      <c r="B938" s="551"/>
      <c r="C938" s="551"/>
      <c r="D938" s="551"/>
      <c r="E938" s="551"/>
      <c r="F938" s="551"/>
      <c r="G938" s="551"/>
      <c r="H938" s="551"/>
      <c r="I938" s="551"/>
      <c r="J938" s="551"/>
      <c r="K938" s="551"/>
      <c r="L938" s="551"/>
      <c r="M938" s="551"/>
      <c r="N938" s="551"/>
      <c r="O938" s="551"/>
      <c r="P938" s="551"/>
      <c r="Q938" s="551"/>
      <c r="R938" s="551"/>
      <c r="S938" s="551"/>
      <c r="T938" s="551"/>
      <c r="U938" s="551"/>
      <c r="V938" s="551"/>
      <c r="W938" s="551"/>
      <c r="X938" s="551"/>
      <c r="Y938" s="551"/>
      <c r="Z938" s="551"/>
      <c r="AA938" s="551"/>
      <c r="AB938" s="551"/>
      <c r="AC938" s="551"/>
      <c r="AD938" s="551"/>
      <c r="AE938" s="551"/>
      <c r="AF938" s="551"/>
      <c r="AG938" s="551"/>
      <c r="AH938" s="551"/>
      <c r="AI938" s="551"/>
      <c r="AJ938" s="551"/>
      <c r="AK938" s="551"/>
      <c r="AL938" s="551"/>
      <c r="AM938" s="551"/>
      <c r="AN938" s="551"/>
      <c r="AO938" s="551"/>
      <c r="AP938" s="551"/>
      <c r="AQ938" s="551"/>
      <c r="AR938" s="551"/>
      <c r="AS938" s="551"/>
      <c r="AT938" s="551"/>
      <c r="AU938" s="551"/>
      <c r="AV938" s="551"/>
      <c r="AW938" s="551"/>
      <c r="AX938" s="551"/>
      <c r="AY938" s="551"/>
      <c r="AZ938" s="551"/>
      <c r="BA938" s="551"/>
      <c r="BB938" s="551"/>
      <c r="BC938" s="551"/>
      <c r="BD938" s="551"/>
      <c r="BE938" s="551"/>
      <c r="BF938" s="551"/>
      <c r="BG938" s="551"/>
      <c r="BH938" s="551"/>
      <c r="BI938" s="551"/>
      <c r="BJ938" s="551"/>
    </row>
    <row r="939" spans="1:62" ht="12.75" customHeight="1">
      <c r="A939" s="551"/>
      <c r="B939" s="551"/>
      <c r="C939" s="551"/>
      <c r="D939" s="551"/>
      <c r="E939" s="551"/>
      <c r="F939" s="551"/>
      <c r="G939" s="551"/>
      <c r="H939" s="551"/>
      <c r="I939" s="551"/>
      <c r="J939" s="551"/>
      <c r="K939" s="551"/>
      <c r="L939" s="551"/>
      <c r="M939" s="551"/>
      <c r="N939" s="551"/>
      <c r="O939" s="551"/>
      <c r="P939" s="551"/>
      <c r="Q939" s="551"/>
      <c r="R939" s="551"/>
      <c r="S939" s="551"/>
      <c r="T939" s="551"/>
      <c r="U939" s="551"/>
      <c r="V939" s="551"/>
      <c r="W939" s="551"/>
      <c r="X939" s="551"/>
      <c r="Y939" s="551"/>
      <c r="Z939" s="551"/>
      <c r="AA939" s="551"/>
      <c r="AB939" s="551"/>
      <c r="AC939" s="551"/>
      <c r="AD939" s="551"/>
      <c r="AE939" s="551"/>
      <c r="AF939" s="551"/>
      <c r="AG939" s="551"/>
      <c r="AH939" s="551"/>
      <c r="AI939" s="551"/>
      <c r="AJ939" s="551"/>
      <c r="AK939" s="551"/>
      <c r="AL939" s="551"/>
      <c r="AM939" s="551"/>
      <c r="AN939" s="551"/>
      <c r="AO939" s="551"/>
      <c r="AP939" s="551"/>
      <c r="AQ939" s="551"/>
      <c r="AR939" s="551"/>
      <c r="AS939" s="551"/>
      <c r="AT939" s="551"/>
      <c r="AU939" s="551"/>
      <c r="AV939" s="551"/>
      <c r="AW939" s="551"/>
      <c r="AX939" s="551"/>
      <c r="AY939" s="551"/>
      <c r="AZ939" s="551"/>
      <c r="BA939" s="551"/>
      <c r="BB939" s="551"/>
      <c r="BC939" s="551"/>
      <c r="BD939" s="551"/>
      <c r="BE939" s="551"/>
      <c r="BF939" s="551"/>
      <c r="BG939" s="551"/>
      <c r="BH939" s="551"/>
      <c r="BI939" s="551"/>
      <c r="BJ939" s="551"/>
    </row>
    <row r="940" spans="1:62" ht="12.75" customHeight="1">
      <c r="A940" s="551"/>
      <c r="B940" s="551"/>
      <c r="C940" s="551"/>
      <c r="D940" s="551"/>
      <c r="E940" s="551"/>
      <c r="F940" s="551"/>
      <c r="G940" s="551"/>
      <c r="H940" s="551"/>
      <c r="I940" s="551"/>
      <c r="J940" s="551"/>
      <c r="K940" s="551"/>
      <c r="L940" s="551"/>
      <c r="M940" s="551"/>
      <c r="N940" s="551"/>
      <c r="O940" s="551"/>
      <c r="P940" s="551"/>
      <c r="Q940" s="551"/>
      <c r="R940" s="551"/>
      <c r="S940" s="551"/>
      <c r="T940" s="551"/>
      <c r="U940" s="551"/>
      <c r="V940" s="551"/>
      <c r="W940" s="551"/>
      <c r="X940" s="551"/>
      <c r="Y940" s="551"/>
      <c r="Z940" s="551"/>
      <c r="AA940" s="551"/>
      <c r="AB940" s="551"/>
      <c r="AC940" s="551"/>
      <c r="AD940" s="551"/>
      <c r="AE940" s="551"/>
      <c r="AF940" s="551"/>
      <c r="AG940" s="551"/>
      <c r="AH940" s="551"/>
      <c r="AI940" s="551"/>
      <c r="AJ940" s="551"/>
      <c r="AK940" s="551"/>
      <c r="AL940" s="551"/>
      <c r="AM940" s="551"/>
      <c r="AN940" s="551"/>
      <c r="AO940" s="551"/>
      <c r="AP940" s="551"/>
      <c r="AQ940" s="551"/>
      <c r="AR940" s="551"/>
      <c r="AS940" s="551"/>
      <c r="AT940" s="551"/>
      <c r="AU940" s="551"/>
      <c r="AV940" s="551"/>
      <c r="AW940" s="551"/>
      <c r="AX940" s="551"/>
      <c r="AY940" s="551"/>
      <c r="AZ940" s="551"/>
      <c r="BA940" s="551"/>
      <c r="BB940" s="551"/>
      <c r="BC940" s="551"/>
      <c r="BD940" s="551"/>
      <c r="BE940" s="551"/>
      <c r="BF940" s="551"/>
      <c r="BG940" s="551"/>
      <c r="BH940" s="551"/>
      <c r="BI940" s="551"/>
      <c r="BJ940" s="551"/>
    </row>
    <row r="941" spans="1:62" ht="12.75" customHeight="1">
      <c r="A941" s="551"/>
      <c r="B941" s="551"/>
      <c r="C941" s="551"/>
      <c r="D941" s="551"/>
      <c r="E941" s="551"/>
      <c r="F941" s="551"/>
      <c r="G941" s="551"/>
      <c r="H941" s="551"/>
      <c r="I941" s="551"/>
      <c r="J941" s="551"/>
      <c r="K941" s="551"/>
      <c r="L941" s="551"/>
      <c r="M941" s="551"/>
      <c r="N941" s="551"/>
      <c r="O941" s="551"/>
      <c r="P941" s="551"/>
      <c r="Q941" s="551"/>
      <c r="R941" s="551"/>
      <c r="S941" s="551"/>
      <c r="T941" s="551"/>
      <c r="U941" s="551"/>
      <c r="V941" s="551"/>
      <c r="W941" s="551"/>
      <c r="X941" s="551"/>
      <c r="Y941" s="551"/>
      <c r="Z941" s="551"/>
      <c r="AA941" s="551"/>
      <c r="AB941" s="551"/>
      <c r="AC941" s="551"/>
      <c r="AD941" s="551"/>
      <c r="AE941" s="551"/>
      <c r="AF941" s="551"/>
      <c r="AG941" s="551"/>
      <c r="AH941" s="551"/>
      <c r="AI941" s="551"/>
      <c r="AJ941" s="551"/>
      <c r="AK941" s="551"/>
      <c r="AL941" s="551"/>
      <c r="AM941" s="551"/>
      <c r="AN941" s="551"/>
      <c r="AO941" s="551"/>
      <c r="AP941" s="551"/>
      <c r="AQ941" s="551"/>
      <c r="AR941" s="551"/>
      <c r="AS941" s="551"/>
      <c r="AT941" s="551"/>
      <c r="AU941" s="551"/>
      <c r="AV941" s="551"/>
      <c r="AW941" s="551"/>
      <c r="AX941" s="551"/>
      <c r="AY941" s="551"/>
      <c r="AZ941" s="551"/>
      <c r="BA941" s="551"/>
      <c r="BB941" s="551"/>
      <c r="BC941" s="551"/>
      <c r="BD941" s="551"/>
      <c r="BE941" s="551"/>
      <c r="BF941" s="551"/>
      <c r="BG941" s="551"/>
      <c r="BH941" s="551"/>
      <c r="BI941" s="551"/>
      <c r="BJ941" s="551"/>
    </row>
    <row r="942" spans="1:62" ht="12.75" customHeight="1">
      <c r="A942" s="551"/>
      <c r="B942" s="551"/>
      <c r="C942" s="551"/>
      <c r="D942" s="551"/>
      <c r="E942" s="551"/>
      <c r="F942" s="551"/>
      <c r="G942" s="551"/>
      <c r="H942" s="551"/>
      <c r="I942" s="551"/>
      <c r="J942" s="551"/>
      <c r="K942" s="551"/>
      <c r="L942" s="551"/>
      <c r="M942" s="551"/>
      <c r="N942" s="551"/>
      <c r="O942" s="551"/>
      <c r="P942" s="551"/>
      <c r="Q942" s="551"/>
      <c r="R942" s="551"/>
      <c r="S942" s="551"/>
      <c r="T942" s="551"/>
      <c r="U942" s="551"/>
      <c r="V942" s="551"/>
      <c r="W942" s="551"/>
      <c r="X942" s="551"/>
      <c r="Y942" s="551"/>
      <c r="Z942" s="551"/>
      <c r="AA942" s="551"/>
      <c r="AB942" s="551"/>
      <c r="AC942" s="551"/>
      <c r="AD942" s="551"/>
      <c r="AE942" s="551"/>
      <c r="AF942" s="551"/>
      <c r="AG942" s="551"/>
      <c r="AH942" s="551"/>
      <c r="AI942" s="551"/>
      <c r="AJ942" s="551"/>
      <c r="AK942" s="551"/>
      <c r="AL942" s="551"/>
      <c r="AM942" s="551"/>
      <c r="AN942" s="551"/>
      <c r="AO942" s="551"/>
      <c r="AP942" s="551"/>
      <c r="AQ942" s="551"/>
      <c r="AR942" s="551"/>
      <c r="AS942" s="551"/>
      <c r="AT942" s="551"/>
      <c r="AU942" s="551"/>
      <c r="AV942" s="551"/>
      <c r="AW942" s="551"/>
      <c r="AX942" s="551"/>
      <c r="AY942" s="551"/>
      <c r="AZ942" s="551"/>
      <c r="BA942" s="551"/>
      <c r="BB942" s="551"/>
      <c r="BC942" s="551"/>
      <c r="BD942" s="551"/>
      <c r="BE942" s="551"/>
      <c r="BF942" s="551"/>
      <c r="BG942" s="551"/>
      <c r="BH942" s="551"/>
      <c r="BI942" s="551"/>
      <c r="BJ942" s="551"/>
    </row>
    <row r="943" spans="1:62" ht="12.75" customHeight="1">
      <c r="A943" s="551"/>
      <c r="B943" s="551"/>
      <c r="C943" s="551"/>
      <c r="D943" s="551"/>
      <c r="E943" s="551"/>
      <c r="F943" s="551"/>
      <c r="G943" s="551"/>
      <c r="H943" s="551"/>
      <c r="I943" s="551"/>
      <c r="J943" s="551"/>
      <c r="K943" s="551"/>
      <c r="L943" s="551"/>
      <c r="M943" s="551"/>
      <c r="N943" s="551"/>
      <c r="O943" s="551"/>
      <c r="P943" s="551"/>
      <c r="Q943" s="551"/>
      <c r="R943" s="551"/>
      <c r="S943" s="551"/>
      <c r="T943" s="551"/>
      <c r="U943" s="551"/>
      <c r="V943" s="551"/>
      <c r="W943" s="551"/>
      <c r="X943" s="551"/>
      <c r="Y943" s="551"/>
      <c r="Z943" s="551"/>
      <c r="AA943" s="551"/>
      <c r="AB943" s="551"/>
      <c r="AC943" s="551"/>
      <c r="AD943" s="551"/>
      <c r="AE943" s="551"/>
      <c r="AF943" s="551"/>
      <c r="AG943" s="551"/>
      <c r="AH943" s="551"/>
      <c r="AI943" s="551"/>
      <c r="AJ943" s="551"/>
      <c r="AK943" s="551"/>
      <c r="AL943" s="551"/>
      <c r="AM943" s="551"/>
      <c r="AN943" s="551"/>
      <c r="AO943" s="551"/>
      <c r="AP943" s="551"/>
      <c r="AQ943" s="551"/>
      <c r="AR943" s="551"/>
      <c r="AS943" s="551"/>
      <c r="AT943" s="551"/>
      <c r="AU943" s="551"/>
      <c r="AV943" s="551"/>
      <c r="AW943" s="551"/>
      <c r="AX943" s="551"/>
      <c r="AY943" s="551"/>
      <c r="AZ943" s="551"/>
      <c r="BA943" s="551"/>
      <c r="BB943" s="551"/>
      <c r="BC943" s="551"/>
      <c r="BD943" s="551"/>
      <c r="BE943" s="551"/>
      <c r="BF943" s="551"/>
      <c r="BG943" s="551"/>
      <c r="BH943" s="551"/>
      <c r="BI943" s="551"/>
      <c r="BJ943" s="551"/>
    </row>
    <row r="944" spans="1:62" ht="12.75" customHeight="1">
      <c r="A944" s="551"/>
      <c r="B944" s="551"/>
      <c r="C944" s="551"/>
      <c r="D944" s="551"/>
      <c r="E944" s="551"/>
      <c r="F944" s="551"/>
      <c r="G944" s="551"/>
      <c r="H944" s="551"/>
      <c r="I944" s="551"/>
      <c r="J944" s="551"/>
      <c r="K944" s="551"/>
      <c r="L944" s="551"/>
      <c r="M944" s="551"/>
      <c r="N944" s="551"/>
      <c r="O944" s="551"/>
      <c r="P944" s="551"/>
      <c r="Q944" s="551"/>
      <c r="R944" s="551"/>
      <c r="S944" s="551"/>
      <c r="T944" s="551"/>
      <c r="U944" s="551"/>
      <c r="V944" s="551"/>
      <c r="W944" s="551"/>
      <c r="X944" s="551"/>
      <c r="Y944" s="551"/>
      <c r="Z944" s="551"/>
      <c r="AA944" s="551"/>
      <c r="AB944" s="551"/>
      <c r="AC944" s="551"/>
      <c r="AD944" s="551"/>
      <c r="AE944" s="551"/>
      <c r="AF944" s="551"/>
      <c r="AG944" s="551"/>
      <c r="AH944" s="551"/>
      <c r="AI944" s="551"/>
      <c r="AJ944" s="551"/>
      <c r="AK944" s="551"/>
      <c r="AL944" s="551"/>
      <c r="AM944" s="551"/>
      <c r="AN944" s="551"/>
      <c r="AO944" s="551"/>
      <c r="AP944" s="551"/>
      <c r="AQ944" s="551"/>
      <c r="AR944" s="551"/>
      <c r="AS944" s="551"/>
      <c r="AT944" s="551"/>
      <c r="AU944" s="551"/>
      <c r="AV944" s="551"/>
      <c r="AW944" s="551"/>
      <c r="AX944" s="551"/>
      <c r="AY944" s="551"/>
      <c r="AZ944" s="551"/>
      <c r="BA944" s="551"/>
      <c r="BB944" s="551"/>
      <c r="BC944" s="551"/>
      <c r="BD944" s="551"/>
      <c r="BE944" s="551"/>
      <c r="BF944" s="551"/>
      <c r="BG944" s="551"/>
      <c r="BH944" s="551"/>
      <c r="BI944" s="551"/>
      <c r="BJ944" s="551"/>
    </row>
    <row r="945" spans="1:62" ht="12.75" customHeight="1">
      <c r="A945" s="551"/>
      <c r="B945" s="551"/>
      <c r="C945" s="551"/>
      <c r="D945" s="551"/>
      <c r="E945" s="551"/>
      <c r="F945" s="551"/>
      <c r="G945" s="551"/>
      <c r="H945" s="551"/>
      <c r="I945" s="551"/>
      <c r="J945" s="551"/>
      <c r="K945" s="551"/>
      <c r="L945" s="551"/>
      <c r="M945" s="551"/>
      <c r="N945" s="551"/>
      <c r="O945" s="551"/>
      <c r="P945" s="551"/>
      <c r="Q945" s="551"/>
      <c r="R945" s="551"/>
      <c r="S945" s="551"/>
      <c r="T945" s="551"/>
      <c r="U945" s="551"/>
      <c r="V945" s="551"/>
      <c r="W945" s="551"/>
      <c r="X945" s="551"/>
      <c r="Y945" s="551"/>
      <c r="Z945" s="551"/>
      <c r="AA945" s="551"/>
      <c r="AB945" s="551"/>
      <c r="AC945" s="551"/>
      <c r="AD945" s="551"/>
      <c r="AE945" s="551"/>
      <c r="AF945" s="551"/>
      <c r="AG945" s="551"/>
      <c r="AH945" s="551"/>
      <c r="AI945" s="551"/>
      <c r="AJ945" s="551"/>
      <c r="AK945" s="551"/>
      <c r="AL945" s="551"/>
      <c r="AM945" s="551"/>
      <c r="AN945" s="551"/>
      <c r="AO945" s="551"/>
      <c r="AP945" s="551"/>
      <c r="AQ945" s="551"/>
      <c r="AR945" s="551"/>
      <c r="AS945" s="551"/>
      <c r="AT945" s="551"/>
      <c r="AU945" s="551"/>
      <c r="AV945" s="551"/>
      <c r="AW945" s="551"/>
      <c r="AX945" s="551"/>
      <c r="AY945" s="551"/>
      <c r="AZ945" s="551"/>
      <c r="BA945" s="551"/>
      <c r="BB945" s="551"/>
      <c r="BC945" s="551"/>
      <c r="BD945" s="551"/>
      <c r="BE945" s="551"/>
      <c r="BF945" s="551"/>
      <c r="BG945" s="551"/>
      <c r="BH945" s="551"/>
      <c r="BI945" s="551"/>
      <c r="BJ945" s="551"/>
    </row>
    <row r="946" spans="1:62" ht="12.75" customHeight="1">
      <c r="A946" s="551"/>
      <c r="B946" s="551"/>
      <c r="C946" s="551"/>
      <c r="D946" s="551"/>
      <c r="E946" s="551"/>
      <c r="F946" s="551"/>
      <c r="G946" s="551"/>
      <c r="H946" s="551"/>
      <c r="I946" s="551"/>
      <c r="J946" s="551"/>
      <c r="K946" s="551"/>
      <c r="L946" s="551"/>
      <c r="M946" s="551"/>
      <c r="N946" s="551"/>
      <c r="O946" s="551"/>
      <c r="P946" s="551"/>
      <c r="Q946" s="551"/>
      <c r="R946" s="551"/>
      <c r="S946" s="551"/>
      <c r="T946" s="551"/>
      <c r="U946" s="551"/>
      <c r="V946" s="551"/>
      <c r="W946" s="551"/>
      <c r="X946" s="551"/>
      <c r="Y946" s="551"/>
      <c r="Z946" s="551"/>
      <c r="AA946" s="551"/>
      <c r="AB946" s="551"/>
      <c r="AC946" s="551"/>
      <c r="AD946" s="551"/>
      <c r="AE946" s="551"/>
      <c r="AF946" s="551"/>
      <c r="AG946" s="551"/>
      <c r="AH946" s="551"/>
      <c r="AI946" s="551"/>
      <c r="AJ946" s="551"/>
      <c r="AK946" s="551"/>
      <c r="AL946" s="551"/>
      <c r="AM946" s="551"/>
      <c r="AN946" s="551"/>
      <c r="AO946" s="551"/>
      <c r="AP946" s="551"/>
      <c r="AQ946" s="551"/>
      <c r="AR946" s="551"/>
      <c r="AS946" s="551"/>
      <c r="AT946" s="551"/>
      <c r="AU946" s="551"/>
      <c r="AV946" s="551"/>
      <c r="AW946" s="551"/>
      <c r="AX946" s="551"/>
      <c r="AY946" s="551"/>
      <c r="AZ946" s="551"/>
      <c r="BA946" s="551"/>
      <c r="BB946" s="551"/>
      <c r="BC946" s="551"/>
      <c r="BD946" s="551"/>
      <c r="BE946" s="551"/>
      <c r="BF946" s="551"/>
      <c r="BG946" s="551"/>
      <c r="BH946" s="551"/>
      <c r="BI946" s="551"/>
      <c r="BJ946" s="551"/>
    </row>
    <row r="947" spans="1:62" ht="12.75" customHeight="1">
      <c r="A947" s="551"/>
      <c r="B947" s="551"/>
      <c r="C947" s="551"/>
      <c r="D947" s="551"/>
      <c r="E947" s="551"/>
      <c r="F947" s="551"/>
      <c r="G947" s="551"/>
      <c r="H947" s="551"/>
      <c r="I947" s="551"/>
      <c r="J947" s="551"/>
      <c r="K947" s="551"/>
      <c r="L947" s="551"/>
      <c r="M947" s="551"/>
      <c r="N947" s="551"/>
      <c r="O947" s="551"/>
      <c r="P947" s="551"/>
      <c r="Q947" s="551"/>
      <c r="R947" s="551"/>
      <c r="S947" s="551"/>
      <c r="T947" s="551"/>
      <c r="U947" s="551"/>
      <c r="V947" s="551"/>
      <c r="W947" s="551"/>
      <c r="X947" s="551"/>
      <c r="Y947" s="551"/>
      <c r="Z947" s="551"/>
      <c r="AA947" s="551"/>
      <c r="AB947" s="551"/>
      <c r="AC947" s="551"/>
      <c r="AD947" s="551"/>
      <c r="AE947" s="551"/>
      <c r="AF947" s="551"/>
      <c r="AG947" s="551"/>
      <c r="AH947" s="551"/>
      <c r="AI947" s="551"/>
      <c r="AJ947" s="551"/>
      <c r="AK947" s="551"/>
      <c r="AL947" s="551"/>
      <c r="AM947" s="551"/>
      <c r="AN947" s="551"/>
      <c r="AO947" s="551"/>
      <c r="AP947" s="551"/>
      <c r="AQ947" s="551"/>
      <c r="AR947" s="551"/>
      <c r="AS947" s="551"/>
      <c r="AT947" s="551"/>
      <c r="AU947" s="551"/>
      <c r="AV947" s="551"/>
      <c r="AW947" s="551"/>
      <c r="AX947" s="551"/>
      <c r="AY947" s="551"/>
      <c r="AZ947" s="551"/>
      <c r="BA947" s="551"/>
      <c r="BB947" s="551"/>
      <c r="BC947" s="551"/>
      <c r="BD947" s="551"/>
      <c r="BE947" s="551"/>
      <c r="BF947" s="551"/>
      <c r="BG947" s="551"/>
      <c r="BH947" s="551"/>
      <c r="BI947" s="551"/>
      <c r="BJ947" s="551"/>
    </row>
    <row r="948" spans="1:62" ht="12.75" customHeight="1">
      <c r="A948" s="551"/>
      <c r="B948" s="551"/>
      <c r="C948" s="551"/>
      <c r="D948" s="551"/>
      <c r="E948" s="551"/>
      <c r="F948" s="551"/>
      <c r="G948" s="551"/>
      <c r="H948" s="551"/>
      <c r="I948" s="551"/>
      <c r="J948" s="551"/>
      <c r="K948" s="551"/>
      <c r="L948" s="551"/>
      <c r="M948" s="551"/>
      <c r="N948" s="551"/>
      <c r="O948" s="551"/>
      <c r="P948" s="551"/>
      <c r="Q948" s="551"/>
      <c r="R948" s="551"/>
      <c r="S948" s="551"/>
      <c r="T948" s="551"/>
      <c r="U948" s="551"/>
      <c r="V948" s="551"/>
      <c r="W948" s="551"/>
      <c r="X948" s="551"/>
      <c r="Y948" s="551"/>
      <c r="Z948" s="551"/>
      <c r="AA948" s="551"/>
      <c r="AB948" s="551"/>
      <c r="AC948" s="551"/>
      <c r="AD948" s="551"/>
      <c r="AE948" s="551"/>
      <c r="AF948" s="551"/>
      <c r="AG948" s="551"/>
      <c r="AH948" s="551"/>
      <c r="AI948" s="551"/>
      <c r="AJ948" s="551"/>
      <c r="AK948" s="551"/>
      <c r="AL948" s="551"/>
      <c r="AM948" s="551"/>
      <c r="AN948" s="551"/>
      <c r="AO948" s="551"/>
      <c r="AP948" s="551"/>
      <c r="AQ948" s="551"/>
      <c r="AR948" s="551"/>
      <c r="AS948" s="551"/>
      <c r="AT948" s="551"/>
      <c r="AU948" s="551"/>
      <c r="AV948" s="551"/>
      <c r="AW948" s="551"/>
      <c r="AX948" s="551"/>
      <c r="AY948" s="551"/>
      <c r="AZ948" s="551"/>
      <c r="BA948" s="551"/>
      <c r="BB948" s="551"/>
      <c r="BC948" s="551"/>
      <c r="BD948" s="551"/>
      <c r="BE948" s="551"/>
      <c r="BF948" s="551"/>
      <c r="BG948" s="551"/>
      <c r="BH948" s="551"/>
      <c r="BI948" s="551"/>
      <c r="BJ948" s="551"/>
    </row>
    <row r="949" spans="1:62" ht="12.75" customHeight="1">
      <c r="A949" s="551"/>
      <c r="B949" s="551"/>
      <c r="C949" s="551"/>
      <c r="D949" s="551"/>
      <c r="E949" s="551"/>
      <c r="F949" s="551"/>
      <c r="G949" s="551"/>
      <c r="H949" s="551"/>
      <c r="I949" s="551"/>
      <c r="J949" s="551"/>
      <c r="K949" s="551"/>
      <c r="L949" s="551"/>
      <c r="M949" s="551"/>
      <c r="N949" s="551"/>
      <c r="O949" s="551"/>
      <c r="P949" s="551"/>
      <c r="Q949" s="551"/>
      <c r="R949" s="551"/>
      <c r="S949" s="551"/>
      <c r="T949" s="551"/>
      <c r="U949" s="551"/>
      <c r="V949" s="551"/>
      <c r="W949" s="551"/>
      <c r="X949" s="551"/>
      <c r="Y949" s="551"/>
      <c r="Z949" s="551"/>
      <c r="AA949" s="551"/>
      <c r="AB949" s="551"/>
      <c r="AC949" s="551"/>
      <c r="AD949" s="551"/>
      <c r="AE949" s="551"/>
      <c r="AF949" s="551"/>
      <c r="AG949" s="551"/>
      <c r="AH949" s="551"/>
      <c r="AI949" s="551"/>
      <c r="AJ949" s="551"/>
      <c r="AK949" s="551"/>
      <c r="AL949" s="551"/>
      <c r="AM949" s="551"/>
      <c r="AN949" s="551"/>
      <c r="AO949" s="551"/>
      <c r="AP949" s="551"/>
      <c r="AQ949" s="551"/>
      <c r="AR949" s="551"/>
      <c r="AS949" s="551"/>
      <c r="AT949" s="551"/>
      <c r="AU949" s="551"/>
      <c r="AV949" s="551"/>
      <c r="AW949" s="551"/>
      <c r="AX949" s="551"/>
      <c r="AY949" s="551"/>
      <c r="AZ949" s="551"/>
      <c r="BA949" s="551"/>
      <c r="BB949" s="551"/>
      <c r="BC949" s="551"/>
      <c r="BD949" s="551"/>
      <c r="BE949" s="551"/>
      <c r="BF949" s="551"/>
      <c r="BG949" s="551"/>
      <c r="BH949" s="551"/>
      <c r="BI949" s="551"/>
      <c r="BJ949" s="551"/>
    </row>
    <row r="950" spans="1:62" ht="12.75" customHeight="1">
      <c r="A950" s="551"/>
      <c r="B950" s="551"/>
      <c r="C950" s="551"/>
      <c r="D950" s="551"/>
      <c r="E950" s="551"/>
      <c r="F950" s="551"/>
      <c r="G950" s="551"/>
      <c r="H950" s="551"/>
      <c r="I950" s="551"/>
      <c r="J950" s="551"/>
      <c r="K950" s="551"/>
      <c r="L950" s="551"/>
      <c r="M950" s="551"/>
      <c r="N950" s="551"/>
      <c r="O950" s="551"/>
      <c r="P950" s="551"/>
      <c r="Q950" s="551"/>
      <c r="R950" s="551"/>
      <c r="S950" s="551"/>
      <c r="T950" s="551"/>
      <c r="U950" s="551"/>
      <c r="V950" s="551"/>
      <c r="W950" s="551"/>
      <c r="X950" s="551"/>
      <c r="Y950" s="551"/>
      <c r="Z950" s="551"/>
      <c r="AA950" s="551"/>
      <c r="AB950" s="551"/>
      <c r="AC950" s="551"/>
      <c r="AD950" s="551"/>
      <c r="AE950" s="551"/>
      <c r="AF950" s="551"/>
      <c r="AG950" s="551"/>
      <c r="AH950" s="551"/>
      <c r="AI950" s="551"/>
      <c r="AJ950" s="551"/>
      <c r="AK950" s="551"/>
      <c r="AL950" s="551"/>
      <c r="AM950" s="551"/>
      <c r="AN950" s="551"/>
      <c r="AO950" s="551"/>
      <c r="AP950" s="551"/>
      <c r="AQ950" s="551"/>
      <c r="AR950" s="551"/>
      <c r="AS950" s="551"/>
      <c r="AT950" s="551"/>
      <c r="AU950" s="551"/>
      <c r="AV950" s="551"/>
      <c r="AW950" s="551"/>
      <c r="AX950" s="551"/>
      <c r="AY950" s="551"/>
      <c r="AZ950" s="551"/>
      <c r="BA950" s="551"/>
      <c r="BB950" s="551"/>
      <c r="BC950" s="551"/>
      <c r="BD950" s="551"/>
      <c r="BE950" s="551"/>
      <c r="BF950" s="551"/>
      <c r="BG950" s="551"/>
      <c r="BH950" s="551"/>
      <c r="BI950" s="551"/>
      <c r="BJ950" s="551"/>
    </row>
    <row r="951" spans="1:62" ht="12.75" customHeight="1">
      <c r="A951" s="551"/>
      <c r="B951" s="551"/>
      <c r="C951" s="551"/>
      <c r="D951" s="551"/>
      <c r="E951" s="551"/>
      <c r="F951" s="551"/>
      <c r="G951" s="551"/>
      <c r="H951" s="551"/>
      <c r="I951" s="551"/>
      <c r="J951" s="551"/>
      <c r="K951" s="551"/>
      <c r="L951" s="551"/>
      <c r="M951" s="551"/>
      <c r="N951" s="551"/>
      <c r="O951" s="551"/>
      <c r="P951" s="551"/>
      <c r="Q951" s="551"/>
      <c r="R951" s="551"/>
      <c r="S951" s="551"/>
      <c r="T951" s="551"/>
      <c r="U951" s="551"/>
      <c r="V951" s="551"/>
      <c r="W951" s="551"/>
      <c r="X951" s="551"/>
      <c r="Y951" s="551"/>
      <c r="Z951" s="551"/>
      <c r="AA951" s="551"/>
      <c r="AB951" s="551"/>
      <c r="AC951" s="551"/>
      <c r="AD951" s="551"/>
      <c r="AE951" s="551"/>
      <c r="AF951" s="551"/>
      <c r="AG951" s="551"/>
      <c r="AH951" s="551"/>
      <c r="AI951" s="551"/>
      <c r="AJ951" s="551"/>
      <c r="AK951" s="551"/>
      <c r="AL951" s="551"/>
      <c r="AM951" s="551"/>
      <c r="AN951" s="551"/>
      <c r="AO951" s="551"/>
      <c r="AP951" s="551"/>
      <c r="AQ951" s="551"/>
      <c r="AR951" s="551"/>
      <c r="AS951" s="551"/>
      <c r="AT951" s="551"/>
      <c r="AU951" s="551"/>
      <c r="AV951" s="551"/>
      <c r="AW951" s="551"/>
      <c r="AX951" s="551"/>
      <c r="AY951" s="551"/>
      <c r="AZ951" s="551"/>
      <c r="BA951" s="551"/>
      <c r="BB951" s="551"/>
      <c r="BC951" s="551"/>
      <c r="BD951" s="551"/>
      <c r="BE951" s="551"/>
      <c r="BF951" s="551"/>
      <c r="BG951" s="551"/>
      <c r="BH951" s="551"/>
      <c r="BI951" s="551"/>
      <c r="BJ951" s="551"/>
    </row>
    <row r="952" spans="1:62" ht="12.75" customHeight="1">
      <c r="A952" s="551"/>
      <c r="B952" s="551"/>
      <c r="C952" s="551"/>
      <c r="D952" s="551"/>
      <c r="E952" s="551"/>
      <c r="F952" s="551"/>
      <c r="G952" s="551"/>
      <c r="H952" s="551"/>
      <c r="I952" s="551"/>
      <c r="J952" s="551"/>
      <c r="K952" s="551"/>
      <c r="L952" s="551"/>
      <c r="M952" s="551"/>
      <c r="N952" s="551"/>
      <c r="O952" s="551"/>
      <c r="P952" s="551"/>
      <c r="Q952" s="551"/>
      <c r="R952" s="551"/>
      <c r="S952" s="551"/>
      <c r="T952" s="551"/>
      <c r="U952" s="551"/>
      <c r="V952" s="551"/>
      <c r="W952" s="551"/>
      <c r="X952" s="551"/>
      <c r="Y952" s="551"/>
      <c r="Z952" s="551"/>
      <c r="AA952" s="551"/>
      <c r="AB952" s="551"/>
      <c r="AC952" s="551"/>
      <c r="AD952" s="551"/>
      <c r="AE952" s="551"/>
      <c r="AF952" s="551"/>
      <c r="AG952" s="551"/>
      <c r="AH952" s="551"/>
      <c r="AI952" s="551"/>
      <c r="AJ952" s="551"/>
      <c r="AK952" s="551"/>
      <c r="AL952" s="551"/>
      <c r="AM952" s="551"/>
      <c r="AN952" s="551"/>
      <c r="AO952" s="551"/>
      <c r="AP952" s="551"/>
      <c r="AQ952" s="551"/>
      <c r="AR952" s="551"/>
      <c r="AS952" s="551"/>
      <c r="AT952" s="551"/>
      <c r="AU952" s="551"/>
      <c r="AV952" s="551"/>
      <c r="AW952" s="551"/>
      <c r="AX952" s="551"/>
      <c r="AY952" s="551"/>
      <c r="AZ952" s="551"/>
      <c r="BA952" s="551"/>
      <c r="BB952" s="551"/>
      <c r="BC952" s="551"/>
      <c r="BD952" s="551"/>
      <c r="BE952" s="551"/>
      <c r="BF952" s="551"/>
      <c r="BG952" s="551"/>
      <c r="BH952" s="551"/>
      <c r="BI952" s="551"/>
      <c r="BJ952" s="551"/>
    </row>
    <row r="953" spans="1:62" ht="12.75" customHeight="1">
      <c r="A953" s="551"/>
      <c r="B953" s="551"/>
      <c r="C953" s="551"/>
      <c r="D953" s="551"/>
      <c r="E953" s="551"/>
      <c r="F953" s="551"/>
      <c r="G953" s="551"/>
      <c r="H953" s="551"/>
      <c r="I953" s="551"/>
      <c r="J953" s="551"/>
      <c r="K953" s="551"/>
      <c r="L953" s="551"/>
      <c r="M953" s="551"/>
      <c r="N953" s="551"/>
      <c r="O953" s="551"/>
      <c r="P953" s="551"/>
      <c r="Q953" s="551"/>
      <c r="R953" s="551"/>
      <c r="S953" s="551"/>
      <c r="T953" s="551"/>
      <c r="U953" s="551"/>
      <c r="V953" s="551"/>
      <c r="W953" s="551"/>
      <c r="X953" s="551"/>
      <c r="Y953" s="551"/>
      <c r="Z953" s="551"/>
      <c r="AA953" s="551"/>
      <c r="AB953" s="551"/>
      <c r="AC953" s="551"/>
      <c r="AD953" s="551"/>
      <c r="AE953" s="551"/>
      <c r="AF953" s="551"/>
      <c r="AG953" s="551"/>
      <c r="AH953" s="551"/>
      <c r="AI953" s="551"/>
      <c r="AJ953" s="551"/>
      <c r="AK953" s="551"/>
      <c r="AL953" s="551"/>
      <c r="AM953" s="551"/>
      <c r="AN953" s="551"/>
      <c r="AO953" s="551"/>
      <c r="AP953" s="551"/>
      <c r="AQ953" s="551"/>
      <c r="AR953" s="551"/>
      <c r="AS953" s="551"/>
      <c r="AT953" s="551"/>
      <c r="AU953" s="551"/>
      <c r="AV953" s="551"/>
      <c r="AW953" s="551"/>
      <c r="AX953" s="551"/>
      <c r="AY953" s="551"/>
      <c r="AZ953" s="551"/>
      <c r="BA953" s="551"/>
      <c r="BB953" s="551"/>
      <c r="BC953" s="551"/>
      <c r="BD953" s="551"/>
      <c r="BE953" s="551"/>
      <c r="BF953" s="551"/>
      <c r="BG953" s="551"/>
      <c r="BH953" s="551"/>
      <c r="BI953" s="551"/>
      <c r="BJ953" s="551"/>
    </row>
    <row r="954" spans="1:62" ht="12.75" customHeight="1">
      <c r="A954" s="551"/>
      <c r="B954" s="551"/>
      <c r="C954" s="551"/>
      <c r="D954" s="551"/>
      <c r="E954" s="551"/>
      <c r="F954" s="551"/>
      <c r="G954" s="551"/>
      <c r="H954" s="551"/>
      <c r="I954" s="551"/>
      <c r="J954" s="551"/>
      <c r="K954" s="551"/>
      <c r="L954" s="551"/>
      <c r="M954" s="551"/>
      <c r="N954" s="551"/>
      <c r="O954" s="551"/>
      <c r="P954" s="551"/>
      <c r="Q954" s="551"/>
      <c r="R954" s="551"/>
      <c r="S954" s="551"/>
      <c r="T954" s="551"/>
      <c r="U954" s="551"/>
      <c r="V954" s="551"/>
      <c r="W954" s="551"/>
      <c r="X954" s="551"/>
      <c r="Y954" s="551"/>
      <c r="Z954" s="551"/>
      <c r="AA954" s="551"/>
      <c r="AB954" s="551"/>
      <c r="AC954" s="551"/>
      <c r="AD954" s="551"/>
      <c r="AE954" s="551"/>
      <c r="AF954" s="551"/>
      <c r="AG954" s="551"/>
      <c r="AH954" s="551"/>
      <c r="AI954" s="551"/>
      <c r="AJ954" s="551"/>
      <c r="AK954" s="551"/>
      <c r="AL954" s="551"/>
      <c r="AM954" s="551"/>
      <c r="AN954" s="551"/>
      <c r="AO954" s="551"/>
      <c r="AP954" s="551"/>
      <c r="AQ954" s="551"/>
      <c r="AR954" s="551"/>
      <c r="AS954" s="551"/>
      <c r="AT954" s="551"/>
      <c r="AU954" s="551"/>
      <c r="AV954" s="551"/>
      <c r="AW954" s="551"/>
      <c r="AX954" s="551"/>
      <c r="AY954" s="551"/>
      <c r="AZ954" s="551"/>
      <c r="BA954" s="551"/>
      <c r="BB954" s="551"/>
      <c r="BC954" s="551"/>
      <c r="BD954" s="551"/>
      <c r="BE954" s="551"/>
      <c r="BF954" s="551"/>
      <c r="BG954" s="551"/>
      <c r="BH954" s="551"/>
      <c r="BI954" s="551"/>
      <c r="BJ954" s="551"/>
    </row>
    <row r="955" spans="1:62" ht="12.75" customHeight="1">
      <c r="A955" s="551"/>
      <c r="B955" s="551"/>
      <c r="C955" s="551"/>
      <c r="D955" s="551"/>
      <c r="E955" s="551"/>
      <c r="F955" s="551"/>
      <c r="G955" s="551"/>
      <c r="H955" s="551"/>
      <c r="I955" s="551"/>
      <c r="J955" s="551"/>
      <c r="K955" s="551"/>
      <c r="L955" s="551"/>
      <c r="M955" s="551"/>
      <c r="N955" s="551"/>
      <c r="O955" s="551"/>
      <c r="P955" s="551"/>
      <c r="Q955" s="551"/>
      <c r="R955" s="551"/>
      <c r="S955" s="551"/>
      <c r="T955" s="551"/>
      <c r="U955" s="551"/>
      <c r="V955" s="551"/>
      <c r="W955" s="551"/>
      <c r="X955" s="551"/>
      <c r="Y955" s="551"/>
      <c r="Z955" s="551"/>
      <c r="AA955" s="551"/>
      <c r="AB955" s="551"/>
      <c r="AC955" s="551"/>
      <c r="AD955" s="551"/>
      <c r="AE955" s="551"/>
      <c r="AF955" s="551"/>
      <c r="AG955" s="551"/>
      <c r="AH955" s="551"/>
      <c r="AI955" s="551"/>
      <c r="AJ955" s="551"/>
      <c r="AK955" s="551"/>
      <c r="AL955" s="551"/>
      <c r="AM955" s="551"/>
      <c r="AN955" s="551"/>
      <c r="AO955" s="551"/>
      <c r="AP955" s="551"/>
      <c r="AQ955" s="551"/>
      <c r="AR955" s="551"/>
      <c r="AS955" s="551"/>
      <c r="AT955" s="551"/>
      <c r="AU955" s="551"/>
      <c r="AV955" s="551"/>
      <c r="AW955" s="551"/>
      <c r="AX955" s="551"/>
      <c r="AY955" s="551"/>
      <c r="AZ955" s="551"/>
      <c r="BA955" s="551"/>
      <c r="BB955" s="551"/>
      <c r="BC955" s="551"/>
      <c r="BD955" s="551"/>
      <c r="BE955" s="551"/>
      <c r="BF955" s="551"/>
      <c r="BG955" s="551"/>
      <c r="BH955" s="551"/>
      <c r="BI955" s="551"/>
      <c r="BJ955" s="551"/>
    </row>
    <row r="956" spans="1:62" ht="12.75" customHeight="1">
      <c r="A956" s="551"/>
      <c r="B956" s="551"/>
      <c r="C956" s="551"/>
      <c r="D956" s="551"/>
      <c r="E956" s="551"/>
      <c r="F956" s="551"/>
      <c r="G956" s="551"/>
      <c r="H956" s="551"/>
      <c r="I956" s="551"/>
      <c r="J956" s="551"/>
      <c r="K956" s="551"/>
      <c r="L956" s="551"/>
      <c r="M956" s="551"/>
      <c r="N956" s="551"/>
      <c r="O956" s="551"/>
      <c r="P956" s="551"/>
      <c r="Q956" s="551"/>
      <c r="R956" s="551"/>
      <c r="S956" s="551"/>
      <c r="T956" s="551"/>
      <c r="U956" s="551"/>
      <c r="V956" s="551"/>
      <c r="W956" s="551"/>
      <c r="X956" s="551"/>
      <c r="Y956" s="551"/>
      <c r="Z956" s="551"/>
      <c r="AA956" s="551"/>
      <c r="AB956" s="551"/>
      <c r="AC956" s="551"/>
      <c r="AD956" s="551"/>
      <c r="AE956" s="551"/>
      <c r="AF956" s="551"/>
      <c r="AG956" s="551"/>
      <c r="AH956" s="551"/>
      <c r="AI956" s="551"/>
      <c r="AJ956" s="551"/>
      <c r="AK956" s="551"/>
      <c r="AL956" s="551"/>
      <c r="AM956" s="551"/>
      <c r="AN956" s="551"/>
      <c r="AO956" s="551"/>
      <c r="AP956" s="551"/>
      <c r="AQ956" s="551"/>
      <c r="AR956" s="551"/>
      <c r="AS956" s="551"/>
      <c r="AT956" s="551"/>
      <c r="AU956" s="551"/>
      <c r="AV956" s="551"/>
      <c r="AW956" s="551"/>
      <c r="AX956" s="551"/>
      <c r="AY956" s="551"/>
      <c r="AZ956" s="551"/>
      <c r="BA956" s="551"/>
      <c r="BB956" s="551"/>
      <c r="BC956" s="551"/>
      <c r="BD956" s="551"/>
      <c r="BE956" s="551"/>
      <c r="BF956" s="551"/>
      <c r="BG956" s="551"/>
      <c r="BH956" s="551"/>
      <c r="BI956" s="551"/>
      <c r="BJ956" s="551"/>
    </row>
    <row r="957" spans="1:62" ht="12.75" customHeight="1">
      <c r="A957" s="551"/>
      <c r="B957" s="551"/>
      <c r="C957" s="551"/>
      <c r="D957" s="551"/>
      <c r="E957" s="551"/>
      <c r="F957" s="551"/>
      <c r="G957" s="551"/>
      <c r="H957" s="551"/>
      <c r="I957" s="551"/>
      <c r="J957" s="551"/>
      <c r="K957" s="551"/>
      <c r="L957" s="551"/>
      <c r="M957" s="551"/>
      <c r="N957" s="551"/>
      <c r="O957" s="551"/>
      <c r="P957" s="551"/>
      <c r="Q957" s="551"/>
      <c r="R957" s="551"/>
      <c r="S957" s="551"/>
      <c r="T957" s="551"/>
      <c r="U957" s="551"/>
      <c r="V957" s="551"/>
      <c r="W957" s="551"/>
      <c r="X957" s="551"/>
      <c r="Y957" s="551"/>
      <c r="Z957" s="551"/>
      <c r="AA957" s="551"/>
      <c r="AB957" s="551"/>
      <c r="AC957" s="551"/>
      <c r="AD957" s="551"/>
      <c r="AE957" s="551"/>
      <c r="AF957" s="551"/>
      <c r="AG957" s="551"/>
      <c r="AH957" s="551"/>
      <c r="AI957" s="551"/>
      <c r="AJ957" s="551"/>
      <c r="AK957" s="551"/>
      <c r="AL957" s="551"/>
      <c r="AM957" s="551"/>
      <c r="AN957" s="551"/>
      <c r="AO957" s="551"/>
      <c r="AP957" s="551"/>
      <c r="AQ957" s="551"/>
      <c r="AR957" s="551"/>
      <c r="AS957" s="551"/>
      <c r="AT957" s="551"/>
      <c r="AU957" s="551"/>
      <c r="AV957" s="551"/>
      <c r="AW957" s="551"/>
      <c r="AX957" s="551"/>
      <c r="AY957" s="551"/>
      <c r="AZ957" s="551"/>
      <c r="BA957" s="551"/>
      <c r="BB957" s="551"/>
      <c r="BC957" s="551"/>
      <c r="BD957" s="551"/>
      <c r="BE957" s="551"/>
      <c r="BF957" s="551"/>
      <c r="BG957" s="551"/>
      <c r="BH957" s="551"/>
      <c r="BI957" s="551"/>
      <c r="BJ957" s="551"/>
    </row>
    <row r="958" spans="1:62" ht="12.75" customHeight="1">
      <c r="A958" s="551"/>
      <c r="B958" s="551"/>
      <c r="C958" s="551"/>
      <c r="D958" s="551"/>
      <c r="E958" s="551"/>
      <c r="F958" s="551"/>
      <c r="G958" s="551"/>
      <c r="H958" s="551"/>
      <c r="I958" s="551"/>
      <c r="J958" s="551"/>
      <c r="K958" s="551"/>
      <c r="L958" s="551"/>
      <c r="M958" s="551"/>
      <c r="N958" s="551"/>
      <c r="O958" s="551"/>
      <c r="P958" s="551"/>
      <c r="Q958" s="551"/>
      <c r="R958" s="551"/>
      <c r="S958" s="551"/>
      <c r="T958" s="551"/>
      <c r="U958" s="551"/>
      <c r="V958" s="551"/>
      <c r="W958" s="551"/>
      <c r="X958" s="551"/>
      <c r="Y958" s="551"/>
      <c r="Z958" s="551"/>
      <c r="AA958" s="551"/>
      <c r="AB958" s="551"/>
      <c r="AC958" s="551"/>
      <c r="AD958" s="551"/>
      <c r="AE958" s="551"/>
      <c r="AF958" s="551"/>
      <c r="AG958" s="551"/>
      <c r="AH958" s="551"/>
      <c r="AI958" s="551"/>
      <c r="AJ958" s="551"/>
      <c r="AK958" s="551"/>
      <c r="AL958" s="551"/>
      <c r="AM958" s="551"/>
      <c r="AN958" s="551"/>
      <c r="AO958" s="551"/>
      <c r="AP958" s="551"/>
      <c r="AQ958" s="551"/>
      <c r="AR958" s="551"/>
      <c r="AS958" s="551"/>
      <c r="AT958" s="551"/>
      <c r="AU958" s="551"/>
      <c r="AV958" s="551"/>
      <c r="AW958" s="551"/>
      <c r="AX958" s="551"/>
      <c r="AY958" s="551"/>
      <c r="AZ958" s="551"/>
      <c r="BA958" s="551"/>
      <c r="BB958" s="551"/>
      <c r="BC958" s="551"/>
      <c r="BD958" s="551"/>
      <c r="BE958" s="551"/>
      <c r="BF958" s="551"/>
      <c r="BG958" s="551"/>
      <c r="BH958" s="551"/>
      <c r="BI958" s="551"/>
      <c r="BJ958" s="551"/>
    </row>
    <row r="959" spans="1:62" ht="12.75" customHeight="1">
      <c r="A959" s="551"/>
      <c r="B959" s="551"/>
      <c r="C959" s="551"/>
      <c r="D959" s="551"/>
      <c r="E959" s="551"/>
      <c r="F959" s="551"/>
      <c r="G959" s="551"/>
      <c r="H959" s="551"/>
      <c r="I959" s="551"/>
      <c r="J959" s="551"/>
      <c r="K959" s="551"/>
      <c r="L959" s="551"/>
      <c r="M959" s="551"/>
      <c r="N959" s="551"/>
      <c r="O959" s="551"/>
      <c r="P959" s="551"/>
      <c r="Q959" s="551"/>
      <c r="R959" s="551"/>
      <c r="S959" s="551"/>
      <c r="T959" s="551"/>
      <c r="U959" s="551"/>
      <c r="V959" s="551"/>
      <c r="W959" s="551"/>
      <c r="X959" s="551"/>
      <c r="Y959" s="551"/>
      <c r="Z959" s="551"/>
      <c r="AA959" s="551"/>
      <c r="AB959" s="551"/>
      <c r="AC959" s="551"/>
      <c r="AD959" s="551"/>
      <c r="AE959" s="551"/>
      <c r="AF959" s="551"/>
      <c r="AG959" s="551"/>
      <c r="AH959" s="551"/>
      <c r="AI959" s="551"/>
      <c r="AJ959" s="551"/>
      <c r="AK959" s="551"/>
      <c r="AL959" s="551"/>
      <c r="AM959" s="551"/>
      <c r="AN959" s="551"/>
      <c r="AO959" s="551"/>
      <c r="AP959" s="551"/>
      <c r="AQ959" s="551"/>
      <c r="AR959" s="551"/>
      <c r="AS959" s="551"/>
      <c r="AT959" s="551"/>
      <c r="AU959" s="551"/>
      <c r="AV959" s="551"/>
      <c r="AW959" s="551"/>
      <c r="AX959" s="551"/>
      <c r="AY959" s="551"/>
      <c r="AZ959" s="551"/>
      <c r="BA959" s="551"/>
      <c r="BB959" s="551"/>
      <c r="BC959" s="551"/>
      <c r="BD959" s="551"/>
      <c r="BE959" s="551"/>
      <c r="BF959" s="551"/>
      <c r="BG959" s="551"/>
      <c r="BH959" s="551"/>
      <c r="BI959" s="551"/>
      <c r="BJ959" s="551"/>
    </row>
    <row r="960" spans="1:62" ht="12.75" customHeight="1">
      <c r="A960" s="551"/>
      <c r="B960" s="551"/>
      <c r="C960" s="551"/>
      <c r="D960" s="551"/>
      <c r="E960" s="551"/>
      <c r="F960" s="551"/>
      <c r="G960" s="551"/>
      <c r="H960" s="551"/>
      <c r="I960" s="551"/>
      <c r="J960" s="551"/>
      <c r="K960" s="551"/>
      <c r="L960" s="551"/>
      <c r="M960" s="551"/>
      <c r="N960" s="551"/>
      <c r="O960" s="551"/>
      <c r="P960" s="551"/>
      <c r="Q960" s="551"/>
      <c r="R960" s="551"/>
      <c r="S960" s="551"/>
      <c r="T960" s="551"/>
      <c r="U960" s="551"/>
      <c r="V960" s="551"/>
      <c r="W960" s="551"/>
      <c r="X960" s="551"/>
      <c r="Y960" s="551"/>
      <c r="Z960" s="551"/>
      <c r="AA960" s="551"/>
      <c r="AB960" s="551"/>
      <c r="AC960" s="551"/>
      <c r="AD960" s="551"/>
      <c r="AE960" s="551"/>
      <c r="AF960" s="551"/>
      <c r="AG960" s="551"/>
      <c r="AH960" s="551"/>
      <c r="AI960" s="551"/>
      <c r="AJ960" s="551"/>
      <c r="AK960" s="551"/>
      <c r="AL960" s="551"/>
      <c r="AM960" s="551"/>
      <c r="AN960" s="551"/>
      <c r="AO960" s="551"/>
      <c r="AP960" s="551"/>
      <c r="AQ960" s="551"/>
      <c r="AR960" s="551"/>
      <c r="AS960" s="551"/>
      <c r="AT960" s="551"/>
      <c r="AU960" s="551"/>
      <c r="AV960" s="551"/>
      <c r="AW960" s="551"/>
      <c r="AX960" s="551"/>
      <c r="AY960" s="551"/>
      <c r="AZ960" s="551"/>
      <c r="BA960" s="551"/>
      <c r="BB960" s="551"/>
      <c r="BC960" s="551"/>
      <c r="BD960" s="551"/>
      <c r="BE960" s="551"/>
      <c r="BF960" s="551"/>
      <c r="BG960" s="551"/>
      <c r="BH960" s="551"/>
      <c r="BI960" s="551"/>
      <c r="BJ960" s="551"/>
    </row>
    <row r="961" spans="1:62" ht="12.75" customHeight="1">
      <c r="A961" s="551"/>
      <c r="B961" s="551"/>
      <c r="C961" s="551"/>
      <c r="D961" s="551"/>
      <c r="E961" s="551"/>
      <c r="F961" s="551"/>
      <c r="G961" s="551"/>
      <c r="H961" s="551"/>
      <c r="I961" s="551"/>
      <c r="J961" s="551"/>
      <c r="K961" s="551"/>
      <c r="L961" s="551"/>
      <c r="M961" s="551"/>
      <c r="N961" s="551"/>
      <c r="O961" s="551"/>
      <c r="P961" s="551"/>
      <c r="Q961" s="551"/>
      <c r="R961" s="551"/>
      <c r="S961" s="551"/>
      <c r="T961" s="551"/>
      <c r="U961" s="551"/>
      <c r="V961" s="551"/>
      <c r="W961" s="551"/>
      <c r="X961" s="551"/>
      <c r="Y961" s="551"/>
      <c r="Z961" s="551"/>
      <c r="AA961" s="551"/>
      <c r="AB961" s="551"/>
      <c r="AC961" s="551"/>
      <c r="AD961" s="551"/>
      <c r="AE961" s="551"/>
      <c r="AF961" s="551"/>
      <c r="AG961" s="551"/>
      <c r="AH961" s="551"/>
      <c r="AI961" s="551"/>
      <c r="AJ961" s="551"/>
      <c r="AK961" s="551"/>
      <c r="AL961" s="551"/>
      <c r="AM961" s="551"/>
      <c r="AN961" s="551"/>
      <c r="AO961" s="551"/>
      <c r="AP961" s="551"/>
      <c r="AQ961" s="551"/>
      <c r="AR961" s="551"/>
      <c r="AS961" s="551"/>
      <c r="AT961" s="551"/>
      <c r="AU961" s="551"/>
      <c r="AV961" s="551"/>
      <c r="AW961" s="551"/>
      <c r="AX961" s="551"/>
      <c r="AY961" s="551"/>
      <c r="AZ961" s="551"/>
      <c r="BA961" s="551"/>
      <c r="BB961" s="551"/>
      <c r="BC961" s="551"/>
      <c r="BD961" s="551"/>
      <c r="BE961" s="551"/>
      <c r="BF961" s="551"/>
      <c r="BG961" s="551"/>
      <c r="BH961" s="551"/>
      <c r="BI961" s="551"/>
      <c r="BJ961" s="551"/>
    </row>
    <row r="962" spans="1:62" ht="12.75" customHeight="1">
      <c r="A962" s="551"/>
      <c r="B962" s="551"/>
      <c r="C962" s="551"/>
      <c r="D962" s="551"/>
      <c r="E962" s="551"/>
      <c r="F962" s="551"/>
      <c r="G962" s="551"/>
      <c r="H962" s="551"/>
      <c r="I962" s="551"/>
      <c r="J962" s="551"/>
      <c r="K962" s="551"/>
      <c r="L962" s="551"/>
      <c r="M962" s="551"/>
      <c r="N962" s="551"/>
      <c r="O962" s="551"/>
      <c r="P962" s="551"/>
      <c r="Q962" s="551"/>
      <c r="R962" s="551"/>
      <c r="S962" s="551"/>
      <c r="T962" s="551"/>
      <c r="U962" s="551"/>
      <c r="V962" s="551"/>
      <c r="W962" s="551"/>
      <c r="X962" s="551"/>
      <c r="Y962" s="551"/>
      <c r="Z962" s="551"/>
      <c r="AA962" s="551"/>
      <c r="AB962" s="551"/>
      <c r="AC962" s="551"/>
      <c r="AD962" s="551"/>
      <c r="AE962" s="551"/>
      <c r="AF962" s="551"/>
      <c r="AG962" s="551"/>
      <c r="AH962" s="551"/>
      <c r="AI962" s="551"/>
      <c r="AJ962" s="551"/>
      <c r="AK962" s="551"/>
      <c r="AL962" s="551"/>
      <c r="AM962" s="551"/>
      <c r="AN962" s="551"/>
      <c r="AO962" s="551"/>
      <c r="AP962" s="551"/>
      <c r="AQ962" s="551"/>
      <c r="AR962" s="551"/>
      <c r="AS962" s="551"/>
      <c r="AT962" s="551"/>
      <c r="AU962" s="551"/>
      <c r="AV962" s="551"/>
      <c r="AW962" s="551"/>
      <c r="AX962" s="551"/>
      <c r="AY962" s="551"/>
      <c r="AZ962" s="551"/>
      <c r="BA962" s="551"/>
      <c r="BB962" s="551"/>
      <c r="BC962" s="551"/>
      <c r="BD962" s="551"/>
      <c r="BE962" s="551"/>
      <c r="BF962" s="551"/>
      <c r="BG962" s="551"/>
      <c r="BH962" s="551"/>
      <c r="BI962" s="551"/>
      <c r="BJ962" s="551"/>
    </row>
    <row r="963" spans="1:62" ht="12.75" customHeight="1">
      <c r="A963" s="551"/>
      <c r="B963" s="551"/>
      <c r="C963" s="551"/>
      <c r="D963" s="551"/>
      <c r="E963" s="551"/>
      <c r="F963" s="551"/>
      <c r="G963" s="551"/>
      <c r="H963" s="551"/>
      <c r="I963" s="551"/>
      <c r="J963" s="551"/>
      <c r="K963" s="551"/>
      <c r="L963" s="551"/>
      <c r="M963" s="551"/>
      <c r="N963" s="551"/>
      <c r="O963" s="551"/>
      <c r="P963" s="551"/>
      <c r="Q963" s="551"/>
      <c r="R963" s="551"/>
      <c r="S963" s="551"/>
      <c r="T963" s="551"/>
      <c r="U963" s="551"/>
      <c r="V963" s="551"/>
      <c r="W963" s="551"/>
      <c r="X963" s="551"/>
      <c r="Y963" s="551"/>
      <c r="Z963" s="551"/>
      <c r="AA963" s="551"/>
      <c r="AB963" s="551"/>
      <c r="AC963" s="551"/>
      <c r="AD963" s="551"/>
      <c r="AE963" s="551"/>
      <c r="AF963" s="551"/>
      <c r="AG963" s="551"/>
      <c r="AH963" s="551"/>
      <c r="AI963" s="551"/>
      <c r="AJ963" s="551"/>
      <c r="AK963" s="551"/>
      <c r="AL963" s="551"/>
      <c r="AM963" s="551"/>
      <c r="AN963" s="551"/>
      <c r="AO963" s="551"/>
      <c r="AP963" s="551"/>
      <c r="AQ963" s="551"/>
      <c r="AR963" s="551"/>
      <c r="AS963" s="551"/>
      <c r="AT963" s="551"/>
      <c r="AU963" s="551"/>
      <c r="AV963" s="551"/>
      <c r="AW963" s="551"/>
      <c r="AX963" s="551"/>
      <c r="AY963" s="551"/>
      <c r="AZ963" s="551"/>
      <c r="BA963" s="551"/>
      <c r="BB963" s="551"/>
      <c r="BC963" s="551"/>
      <c r="BD963" s="551"/>
      <c r="BE963" s="551"/>
      <c r="BF963" s="551"/>
      <c r="BG963" s="551"/>
      <c r="BH963" s="551"/>
      <c r="BI963" s="551"/>
      <c r="BJ963" s="551"/>
    </row>
    <row r="964" spans="1:62" ht="12.75" customHeight="1">
      <c r="A964" s="551"/>
      <c r="B964" s="551"/>
      <c r="C964" s="551"/>
      <c r="D964" s="551"/>
      <c r="E964" s="551"/>
      <c r="F964" s="551"/>
      <c r="G964" s="551"/>
      <c r="H964" s="551"/>
      <c r="I964" s="551"/>
      <c r="J964" s="551"/>
      <c r="K964" s="551"/>
      <c r="L964" s="551"/>
      <c r="M964" s="551"/>
      <c r="N964" s="551"/>
      <c r="O964" s="551"/>
      <c r="P964" s="551"/>
      <c r="Q964" s="551"/>
      <c r="R964" s="551"/>
      <c r="S964" s="551"/>
      <c r="T964" s="551"/>
      <c r="U964" s="551"/>
      <c r="V964" s="551"/>
      <c r="W964" s="551"/>
      <c r="X964" s="551"/>
      <c r="Y964" s="551"/>
      <c r="Z964" s="551"/>
      <c r="AA964" s="551"/>
      <c r="AB964" s="551"/>
      <c r="AC964" s="551"/>
      <c r="AD964" s="551"/>
      <c r="AE964" s="551"/>
      <c r="AF964" s="551"/>
      <c r="AG964" s="551"/>
      <c r="AH964" s="551"/>
      <c r="AI964" s="551"/>
      <c r="AJ964" s="551"/>
      <c r="AK964" s="551"/>
      <c r="AL964" s="551"/>
      <c r="AM964" s="551"/>
      <c r="AN964" s="551"/>
      <c r="AO964" s="551"/>
      <c r="AP964" s="551"/>
      <c r="AQ964" s="551"/>
      <c r="AR964" s="551"/>
      <c r="AS964" s="551"/>
      <c r="AT964" s="551"/>
      <c r="AU964" s="551"/>
      <c r="AV964" s="551"/>
      <c r="AW964" s="551"/>
      <c r="AX964" s="551"/>
      <c r="AY964" s="551"/>
      <c r="AZ964" s="551"/>
      <c r="BA964" s="551"/>
      <c r="BB964" s="551"/>
      <c r="BC964" s="551"/>
      <c r="BD964" s="551"/>
      <c r="BE964" s="551"/>
      <c r="BF964" s="551"/>
      <c r="BG964" s="551"/>
      <c r="BH964" s="551"/>
      <c r="BI964" s="551"/>
      <c r="BJ964" s="551"/>
    </row>
    <row r="965" spans="1:62" ht="12.75" customHeight="1">
      <c r="A965" s="551"/>
      <c r="B965" s="551"/>
      <c r="C965" s="551"/>
      <c r="D965" s="551"/>
      <c r="E965" s="551"/>
      <c r="F965" s="551"/>
      <c r="G965" s="551"/>
      <c r="H965" s="551"/>
      <c r="I965" s="551"/>
      <c r="J965" s="551"/>
      <c r="K965" s="551"/>
      <c r="L965" s="551"/>
      <c r="M965" s="551"/>
      <c r="N965" s="551"/>
      <c r="O965" s="551"/>
      <c r="P965" s="551"/>
      <c r="Q965" s="551"/>
      <c r="R965" s="551"/>
      <c r="S965" s="551"/>
      <c r="T965" s="551"/>
      <c r="U965" s="551"/>
      <c r="V965" s="551"/>
      <c r="W965" s="551"/>
      <c r="X965" s="551"/>
      <c r="Y965" s="551"/>
      <c r="Z965" s="551"/>
      <c r="AA965" s="551"/>
      <c r="AB965" s="551"/>
      <c r="AC965" s="551"/>
      <c r="AD965" s="551"/>
      <c r="AE965" s="551"/>
      <c r="AF965" s="551"/>
      <c r="AG965" s="551"/>
      <c r="AH965" s="551"/>
      <c r="AI965" s="551"/>
      <c r="AJ965" s="551"/>
      <c r="AK965" s="551"/>
      <c r="AL965" s="551"/>
      <c r="AM965" s="551"/>
      <c r="AN965" s="551"/>
      <c r="AO965" s="551"/>
      <c r="AP965" s="551"/>
      <c r="AQ965" s="551"/>
      <c r="AR965" s="551"/>
      <c r="AS965" s="551"/>
      <c r="AT965" s="551"/>
      <c r="AU965" s="551"/>
      <c r="AV965" s="551"/>
      <c r="AW965" s="551"/>
      <c r="AX965" s="551"/>
      <c r="AY965" s="551"/>
      <c r="AZ965" s="551"/>
      <c r="BA965" s="551"/>
      <c r="BB965" s="551"/>
      <c r="BC965" s="551"/>
      <c r="BD965" s="551"/>
      <c r="BE965" s="551"/>
      <c r="BF965" s="551"/>
      <c r="BG965" s="551"/>
      <c r="BH965" s="551"/>
      <c r="BI965" s="551"/>
      <c r="BJ965" s="551"/>
    </row>
    <row r="966" spans="1:62" ht="12.75" customHeight="1">
      <c r="A966" s="551"/>
      <c r="B966" s="551"/>
      <c r="C966" s="551"/>
      <c r="D966" s="551"/>
      <c r="E966" s="551"/>
      <c r="F966" s="551"/>
      <c r="G966" s="551"/>
      <c r="H966" s="551"/>
      <c r="I966" s="551"/>
      <c r="J966" s="551"/>
      <c r="K966" s="551"/>
      <c r="L966" s="551"/>
      <c r="M966" s="551"/>
      <c r="N966" s="551"/>
      <c r="O966" s="551"/>
      <c r="P966" s="551"/>
      <c r="Q966" s="551"/>
      <c r="R966" s="551"/>
      <c r="S966" s="551"/>
      <c r="T966" s="551"/>
      <c r="U966" s="551"/>
      <c r="V966" s="551"/>
      <c r="W966" s="551"/>
      <c r="X966" s="551"/>
      <c r="Y966" s="551"/>
      <c r="Z966" s="551"/>
      <c r="AA966" s="551"/>
      <c r="AB966" s="551"/>
      <c r="AC966" s="551"/>
      <c r="AD966" s="551"/>
      <c r="AE966" s="551"/>
      <c r="AF966" s="551"/>
      <c r="AG966" s="551"/>
      <c r="AH966" s="551"/>
      <c r="AI966" s="551"/>
      <c r="AJ966" s="551"/>
      <c r="AK966" s="551"/>
      <c r="AL966" s="551"/>
      <c r="AM966" s="551"/>
      <c r="AN966" s="551"/>
      <c r="AO966" s="551"/>
      <c r="AP966" s="551"/>
      <c r="AQ966" s="551"/>
      <c r="AR966" s="551"/>
      <c r="AS966" s="551"/>
      <c r="AT966" s="551"/>
      <c r="AU966" s="551"/>
      <c r="AV966" s="551"/>
      <c r="AW966" s="551"/>
      <c r="AX966" s="551"/>
      <c r="AY966" s="551"/>
      <c r="AZ966" s="551"/>
      <c r="BA966" s="551"/>
      <c r="BB966" s="551"/>
      <c r="BC966" s="551"/>
      <c r="BD966" s="551"/>
      <c r="BE966" s="551"/>
      <c r="BF966" s="551"/>
      <c r="BG966" s="551"/>
      <c r="BH966" s="551"/>
      <c r="BI966" s="551"/>
      <c r="BJ966" s="551"/>
    </row>
    <row r="967" spans="1:62" ht="12.75" customHeight="1">
      <c r="A967" s="551"/>
      <c r="B967" s="551"/>
      <c r="C967" s="551"/>
      <c r="D967" s="551"/>
      <c r="E967" s="551"/>
      <c r="F967" s="551"/>
      <c r="G967" s="551"/>
      <c r="H967" s="551"/>
      <c r="I967" s="551"/>
      <c r="J967" s="551"/>
      <c r="K967" s="551"/>
      <c r="L967" s="551"/>
      <c r="M967" s="551"/>
      <c r="N967" s="551"/>
      <c r="O967" s="551"/>
      <c r="P967" s="551"/>
      <c r="Q967" s="551"/>
      <c r="R967" s="551"/>
      <c r="S967" s="551"/>
      <c r="T967" s="551"/>
      <c r="U967" s="551"/>
      <c r="V967" s="551"/>
      <c r="W967" s="551"/>
      <c r="X967" s="551"/>
      <c r="Y967" s="551"/>
      <c r="Z967" s="551"/>
      <c r="AA967" s="551"/>
      <c r="AB967" s="551"/>
      <c r="AC967" s="551"/>
      <c r="AD967" s="551"/>
      <c r="AE967" s="551"/>
      <c r="AF967" s="551"/>
      <c r="AG967" s="551"/>
      <c r="AH967" s="551"/>
      <c r="AI967" s="551"/>
      <c r="AJ967" s="551"/>
      <c r="AK967" s="551"/>
      <c r="AL967" s="551"/>
      <c r="AM967" s="551"/>
      <c r="AN967" s="551"/>
      <c r="AO967" s="551"/>
      <c r="AP967" s="551"/>
      <c r="AQ967" s="551"/>
      <c r="AR967" s="551"/>
      <c r="AS967" s="551"/>
      <c r="AT967" s="551"/>
      <c r="AU967" s="551"/>
      <c r="AV967" s="551"/>
      <c r="AW967" s="551"/>
      <c r="AX967" s="551"/>
      <c r="AY967" s="551"/>
      <c r="AZ967" s="551"/>
      <c r="BA967" s="551"/>
      <c r="BB967" s="551"/>
      <c r="BC967" s="551"/>
      <c r="BD967" s="551"/>
      <c r="BE967" s="551"/>
      <c r="BF967" s="551"/>
      <c r="BG967" s="551"/>
      <c r="BH967" s="551"/>
      <c r="BI967" s="551"/>
      <c r="BJ967" s="551"/>
    </row>
    <row r="968" spans="1:62" ht="12.75" customHeight="1">
      <c r="A968" s="551"/>
      <c r="B968" s="551"/>
      <c r="C968" s="551"/>
      <c r="D968" s="551"/>
      <c r="E968" s="551"/>
      <c r="F968" s="551"/>
      <c r="G968" s="551"/>
      <c r="H968" s="551"/>
      <c r="I968" s="551"/>
      <c r="J968" s="551"/>
      <c r="K968" s="551"/>
      <c r="L968" s="551"/>
      <c r="M968" s="551"/>
      <c r="N968" s="551"/>
      <c r="O968" s="551"/>
      <c r="P968" s="551"/>
      <c r="Q968" s="551"/>
      <c r="R968" s="551"/>
      <c r="S968" s="551"/>
      <c r="T968" s="551"/>
      <c r="U968" s="551"/>
      <c r="V968" s="551"/>
      <c r="W968" s="551"/>
      <c r="X968" s="551"/>
      <c r="Y968" s="551"/>
      <c r="Z968" s="551"/>
      <c r="AA968" s="551"/>
      <c r="AB968" s="551"/>
      <c r="AC968" s="551"/>
      <c r="AD968" s="551"/>
      <c r="AE968" s="551"/>
      <c r="AF968" s="551"/>
      <c r="AG968" s="551"/>
      <c r="AH968" s="551"/>
      <c r="AI968" s="551"/>
      <c r="AJ968" s="551"/>
      <c r="AK968" s="551"/>
      <c r="AL968" s="551"/>
      <c r="AM968" s="551"/>
      <c r="AN968" s="551"/>
      <c r="AO968" s="551"/>
      <c r="AP968" s="551"/>
      <c r="AQ968" s="551"/>
      <c r="AR968" s="551"/>
      <c r="AS968" s="551"/>
      <c r="AT968" s="551"/>
      <c r="AU968" s="551"/>
      <c r="AV968" s="551"/>
      <c r="AW968" s="551"/>
      <c r="AX968" s="551"/>
      <c r="AY968" s="551"/>
      <c r="AZ968" s="551"/>
      <c r="BA968" s="551"/>
      <c r="BB968" s="551"/>
      <c r="BC968" s="551"/>
      <c r="BD968" s="551"/>
      <c r="BE968" s="551"/>
      <c r="BF968" s="551"/>
      <c r="BG968" s="551"/>
      <c r="BH968" s="551"/>
      <c r="BI968" s="551"/>
      <c r="BJ968" s="551"/>
    </row>
    <row r="969" spans="1:62" ht="12.75" customHeight="1">
      <c r="A969" s="551"/>
      <c r="B969" s="551"/>
      <c r="C969" s="551"/>
      <c r="D969" s="551"/>
      <c r="E969" s="551"/>
      <c r="F969" s="551"/>
      <c r="G969" s="551"/>
      <c r="H969" s="551"/>
      <c r="I969" s="551"/>
      <c r="J969" s="551"/>
      <c r="K969" s="551"/>
      <c r="L969" s="551"/>
      <c r="M969" s="551"/>
      <c r="N969" s="551"/>
      <c r="O969" s="551"/>
      <c r="P969" s="551"/>
      <c r="Q969" s="551"/>
      <c r="R969" s="551"/>
      <c r="S969" s="551"/>
      <c r="T969" s="551"/>
      <c r="U969" s="551"/>
      <c r="V969" s="551"/>
      <c r="W969" s="551"/>
      <c r="X969" s="551"/>
      <c r="Y969" s="551"/>
      <c r="Z969" s="551"/>
      <c r="AA969" s="551"/>
      <c r="AB969" s="551"/>
      <c r="AC969" s="551"/>
      <c r="AD969" s="551"/>
      <c r="AE969" s="551"/>
      <c r="AF969" s="551"/>
      <c r="AG969" s="551"/>
      <c r="AH969" s="551"/>
      <c r="AI969" s="551"/>
      <c r="AJ969" s="551"/>
      <c r="AK969" s="551"/>
      <c r="AL969" s="551"/>
      <c r="AM969" s="551"/>
      <c r="AN969" s="551"/>
      <c r="AO969" s="551"/>
      <c r="AP969" s="551"/>
      <c r="AQ969" s="551"/>
      <c r="AR969" s="551"/>
      <c r="AS969" s="551"/>
      <c r="AT969" s="551"/>
      <c r="AU969" s="551"/>
      <c r="AV969" s="551"/>
      <c r="AW969" s="551"/>
      <c r="AX969" s="551"/>
      <c r="AY969" s="551"/>
      <c r="AZ969" s="551"/>
      <c r="BA969" s="551"/>
      <c r="BB969" s="551"/>
      <c r="BC969" s="551"/>
      <c r="BD969" s="551"/>
      <c r="BE969" s="551"/>
      <c r="BF969" s="551"/>
      <c r="BG969" s="551"/>
      <c r="BH969" s="551"/>
      <c r="BI969" s="551"/>
      <c r="BJ969" s="551"/>
    </row>
    <row r="970" spans="1:62" ht="12.75" customHeight="1">
      <c r="A970" s="551"/>
      <c r="B970" s="551"/>
      <c r="C970" s="551"/>
      <c r="D970" s="551"/>
      <c r="E970" s="551"/>
      <c r="F970" s="551"/>
      <c r="G970" s="551"/>
      <c r="H970" s="551"/>
      <c r="I970" s="551"/>
      <c r="J970" s="551"/>
      <c r="K970" s="551"/>
      <c r="L970" s="551"/>
      <c r="M970" s="551"/>
      <c r="N970" s="551"/>
      <c r="O970" s="551"/>
      <c r="P970" s="551"/>
      <c r="Q970" s="551"/>
      <c r="R970" s="551"/>
      <c r="S970" s="551"/>
      <c r="T970" s="551"/>
      <c r="U970" s="551"/>
      <c r="V970" s="551"/>
      <c r="W970" s="551"/>
      <c r="X970" s="551"/>
      <c r="Y970" s="551"/>
      <c r="Z970" s="551"/>
      <c r="AA970" s="551"/>
      <c r="AB970" s="551"/>
      <c r="AC970" s="551"/>
      <c r="AD970" s="551"/>
      <c r="AE970" s="551"/>
      <c r="AF970" s="551"/>
      <c r="AG970" s="551"/>
      <c r="AH970" s="551"/>
      <c r="AI970" s="551"/>
      <c r="AJ970" s="551"/>
      <c r="AK970" s="551"/>
      <c r="AL970" s="551"/>
      <c r="AM970" s="551"/>
      <c r="AN970" s="551"/>
      <c r="AO970" s="551"/>
      <c r="AP970" s="551"/>
      <c r="AQ970" s="551"/>
      <c r="AR970" s="551"/>
      <c r="AS970" s="551"/>
      <c r="AT970" s="551"/>
      <c r="AU970" s="551"/>
      <c r="AV970" s="551"/>
      <c r="AW970" s="551"/>
      <c r="AX970" s="551"/>
      <c r="AY970" s="551"/>
      <c r="AZ970" s="551"/>
      <c r="BA970" s="551"/>
      <c r="BB970" s="551"/>
      <c r="BC970" s="551"/>
      <c r="BD970" s="551"/>
      <c r="BE970" s="551"/>
      <c r="BF970" s="551"/>
      <c r="BG970" s="551"/>
      <c r="BH970" s="551"/>
      <c r="BI970" s="551"/>
      <c r="BJ970" s="551"/>
    </row>
    <row r="971" spans="1:62" ht="12.75" customHeight="1">
      <c r="A971" s="551"/>
      <c r="B971" s="551"/>
      <c r="C971" s="551"/>
      <c r="D971" s="551"/>
      <c r="E971" s="551"/>
      <c r="F971" s="551"/>
      <c r="G971" s="551"/>
      <c r="H971" s="551"/>
      <c r="I971" s="551"/>
      <c r="J971" s="551"/>
      <c r="K971" s="551"/>
      <c r="L971" s="551"/>
      <c r="M971" s="551"/>
      <c r="N971" s="551"/>
      <c r="O971" s="551"/>
      <c r="P971" s="551"/>
      <c r="Q971" s="551"/>
      <c r="R971" s="551"/>
      <c r="S971" s="551"/>
      <c r="T971" s="551"/>
      <c r="U971" s="551"/>
      <c r="V971" s="551"/>
      <c r="W971" s="551"/>
      <c r="X971" s="551"/>
      <c r="Y971" s="551"/>
      <c r="Z971" s="551"/>
      <c r="AA971" s="551"/>
      <c r="AB971" s="551"/>
      <c r="AC971" s="551"/>
      <c r="AD971" s="551"/>
      <c r="AE971" s="551"/>
      <c r="AF971" s="551"/>
      <c r="AG971" s="551"/>
      <c r="AH971" s="551"/>
      <c r="AI971" s="551"/>
      <c r="AJ971" s="551"/>
      <c r="AK971" s="551"/>
      <c r="AL971" s="551"/>
      <c r="AM971" s="551"/>
      <c r="AN971" s="551"/>
      <c r="AO971" s="551"/>
      <c r="AP971" s="551"/>
      <c r="AQ971" s="551"/>
      <c r="AR971" s="551"/>
      <c r="AS971" s="551"/>
      <c r="AT971" s="551"/>
      <c r="AU971" s="551"/>
      <c r="AV971" s="551"/>
      <c r="AW971" s="551"/>
      <c r="AX971" s="551"/>
      <c r="AY971" s="551"/>
      <c r="AZ971" s="551"/>
      <c r="BA971" s="551"/>
      <c r="BB971" s="551"/>
      <c r="BC971" s="551"/>
      <c r="BD971" s="551"/>
      <c r="BE971" s="551"/>
      <c r="BF971" s="551"/>
      <c r="BG971" s="551"/>
      <c r="BH971" s="551"/>
      <c r="BI971" s="551"/>
      <c r="BJ971" s="551"/>
    </row>
    <row r="972" spans="1:62" ht="12.75" customHeight="1">
      <c r="A972" s="551"/>
      <c r="B972" s="551"/>
      <c r="C972" s="551"/>
      <c r="D972" s="551"/>
      <c r="E972" s="551"/>
      <c r="F972" s="551"/>
      <c r="G972" s="551"/>
      <c r="H972" s="551"/>
      <c r="I972" s="551"/>
      <c r="J972" s="551"/>
      <c r="K972" s="551"/>
      <c r="L972" s="551"/>
      <c r="M972" s="551"/>
      <c r="N972" s="551"/>
      <c r="O972" s="551"/>
      <c r="P972" s="551"/>
      <c r="Q972" s="551"/>
      <c r="R972" s="551"/>
      <c r="S972" s="551"/>
      <c r="T972" s="551"/>
      <c r="U972" s="551"/>
      <c r="V972" s="551"/>
      <c r="W972" s="551"/>
      <c r="X972" s="551"/>
      <c r="Y972" s="551"/>
      <c r="Z972" s="551"/>
      <c r="AA972" s="551"/>
      <c r="AB972" s="551"/>
      <c r="AC972" s="551"/>
      <c r="AD972" s="551"/>
      <c r="AE972" s="551"/>
      <c r="AF972" s="551"/>
      <c r="AG972" s="551"/>
      <c r="AH972" s="551"/>
      <c r="AI972" s="551"/>
      <c r="AJ972" s="551"/>
      <c r="AK972" s="551"/>
      <c r="AL972" s="551"/>
      <c r="AM972" s="551"/>
      <c r="AN972" s="551"/>
      <c r="AO972" s="551"/>
      <c r="AP972" s="551"/>
      <c r="AQ972" s="551"/>
      <c r="AR972" s="551"/>
      <c r="AS972" s="551"/>
      <c r="AT972" s="551"/>
      <c r="AU972" s="551"/>
      <c r="AV972" s="551"/>
      <c r="AW972" s="551"/>
      <c r="AX972" s="551"/>
      <c r="AY972" s="551"/>
      <c r="AZ972" s="551"/>
      <c r="BA972" s="551"/>
      <c r="BB972" s="551"/>
      <c r="BC972" s="551"/>
      <c r="BD972" s="551"/>
      <c r="BE972" s="551"/>
      <c r="BF972" s="551"/>
      <c r="BG972" s="551"/>
      <c r="BH972" s="551"/>
      <c r="BI972" s="551"/>
      <c r="BJ972" s="551"/>
    </row>
    <row r="973" spans="1:62" ht="12.75" customHeight="1">
      <c r="A973" s="551"/>
      <c r="B973" s="551"/>
      <c r="C973" s="551"/>
      <c r="D973" s="551"/>
      <c r="E973" s="551"/>
      <c r="F973" s="551"/>
      <c r="G973" s="551"/>
      <c r="H973" s="551"/>
      <c r="I973" s="551"/>
      <c r="J973" s="551"/>
      <c r="K973" s="551"/>
      <c r="L973" s="551"/>
      <c r="M973" s="551"/>
      <c r="N973" s="551"/>
      <c r="O973" s="551"/>
      <c r="P973" s="551"/>
      <c r="Q973" s="551"/>
      <c r="R973" s="551"/>
      <c r="S973" s="551"/>
      <c r="T973" s="551"/>
      <c r="U973" s="551"/>
      <c r="V973" s="551"/>
      <c r="W973" s="551"/>
      <c r="X973" s="551"/>
      <c r="Y973" s="551"/>
      <c r="Z973" s="551"/>
      <c r="AA973" s="551"/>
      <c r="AB973" s="551"/>
      <c r="AC973" s="551"/>
      <c r="AD973" s="551"/>
      <c r="AE973" s="551"/>
      <c r="AF973" s="551"/>
      <c r="AG973" s="551"/>
      <c r="AH973" s="551"/>
      <c r="AI973" s="551"/>
      <c r="AJ973" s="551"/>
      <c r="AK973" s="551"/>
      <c r="AL973" s="551"/>
      <c r="AM973" s="551"/>
      <c r="AN973" s="551"/>
      <c r="AO973" s="551"/>
      <c r="AP973" s="551"/>
      <c r="AQ973" s="551"/>
      <c r="AR973" s="551"/>
      <c r="AS973" s="551"/>
      <c r="AT973" s="551"/>
      <c r="AU973" s="551"/>
      <c r="AV973" s="551"/>
      <c r="AW973" s="551"/>
      <c r="AX973" s="551"/>
      <c r="AY973" s="551"/>
      <c r="AZ973" s="551"/>
      <c r="BA973" s="551"/>
      <c r="BB973" s="551"/>
      <c r="BC973" s="551"/>
      <c r="BD973" s="551"/>
      <c r="BE973" s="551"/>
      <c r="BF973" s="551"/>
      <c r="BG973" s="551"/>
      <c r="BH973" s="551"/>
      <c r="BI973" s="551"/>
      <c r="BJ973" s="551"/>
    </row>
    <row r="974" spans="1:62" ht="12.75" customHeight="1">
      <c r="A974" s="551"/>
      <c r="B974" s="551"/>
      <c r="C974" s="551"/>
      <c r="D974" s="551"/>
      <c r="E974" s="551"/>
      <c r="F974" s="551"/>
      <c r="G974" s="551"/>
      <c r="H974" s="551"/>
      <c r="I974" s="551"/>
      <c r="J974" s="551"/>
      <c r="K974" s="551"/>
      <c r="L974" s="551"/>
      <c r="M974" s="551"/>
      <c r="N974" s="551"/>
      <c r="O974" s="551"/>
      <c r="P974" s="551"/>
      <c r="Q974" s="551"/>
      <c r="R974" s="551"/>
      <c r="S974" s="551"/>
      <c r="T974" s="551"/>
      <c r="U974" s="551"/>
      <c r="V974" s="551"/>
      <c r="W974" s="551"/>
      <c r="X974" s="551"/>
      <c r="Y974" s="551"/>
      <c r="Z974" s="551"/>
      <c r="AA974" s="551"/>
      <c r="AB974" s="551"/>
      <c r="AC974" s="551"/>
      <c r="AD974" s="551"/>
      <c r="AE974" s="551"/>
      <c r="AF974" s="551"/>
      <c r="AG974" s="551"/>
      <c r="AH974" s="551"/>
      <c r="AI974" s="551"/>
      <c r="AJ974" s="551"/>
      <c r="AK974" s="551"/>
      <c r="AL974" s="551"/>
      <c r="AM974" s="551"/>
      <c r="AN974" s="551"/>
      <c r="AO974" s="551"/>
      <c r="AP974" s="551"/>
      <c r="AQ974" s="551"/>
      <c r="AR974" s="551"/>
      <c r="AS974" s="551"/>
      <c r="AT974" s="551"/>
      <c r="AU974" s="551"/>
      <c r="AV974" s="551"/>
      <c r="AW974" s="551"/>
      <c r="AX974" s="551"/>
      <c r="AY974" s="551"/>
      <c r="AZ974" s="551"/>
      <c r="BA974" s="551"/>
      <c r="BB974" s="551"/>
      <c r="BC974" s="551"/>
      <c r="BD974" s="551"/>
      <c r="BE974" s="551"/>
      <c r="BF974" s="551"/>
      <c r="BG974" s="551"/>
      <c r="BH974" s="551"/>
      <c r="BI974" s="551"/>
      <c r="BJ974" s="551"/>
    </row>
    <row r="975" spans="1:62" ht="12.75" customHeight="1">
      <c r="A975" s="551"/>
      <c r="B975" s="551"/>
      <c r="C975" s="551"/>
      <c r="D975" s="551"/>
      <c r="E975" s="551"/>
      <c r="F975" s="551"/>
      <c r="G975" s="551"/>
      <c r="H975" s="551"/>
      <c r="I975" s="551"/>
      <c r="J975" s="551"/>
      <c r="K975" s="551"/>
      <c r="L975" s="551"/>
      <c r="M975" s="551"/>
      <c r="N975" s="551"/>
      <c r="O975" s="551"/>
      <c r="P975" s="551"/>
      <c r="Q975" s="551"/>
      <c r="R975" s="551"/>
      <c r="S975" s="551"/>
      <c r="T975" s="551"/>
      <c r="U975" s="551"/>
      <c r="V975" s="551"/>
      <c r="W975" s="551"/>
      <c r="X975" s="551"/>
      <c r="Y975" s="551"/>
      <c r="Z975" s="551"/>
      <c r="AA975" s="551"/>
      <c r="AB975" s="551"/>
      <c r="AC975" s="551"/>
      <c r="AD975" s="551"/>
      <c r="AE975" s="551"/>
      <c r="AF975" s="551"/>
      <c r="AG975" s="551"/>
      <c r="AH975" s="551"/>
      <c r="AI975" s="551"/>
      <c r="AJ975" s="551"/>
      <c r="AK975" s="551"/>
      <c r="AL975" s="551"/>
      <c r="AM975" s="551"/>
      <c r="AN975" s="551"/>
      <c r="AO975" s="551"/>
      <c r="AP975" s="551"/>
      <c r="AQ975" s="551"/>
      <c r="AR975" s="551"/>
      <c r="AS975" s="551"/>
      <c r="AT975" s="551"/>
      <c r="AU975" s="551"/>
      <c r="AV975" s="551"/>
      <c r="AW975" s="551"/>
      <c r="AX975" s="551"/>
      <c r="AY975" s="551"/>
      <c r="AZ975" s="551"/>
      <c r="BA975" s="551"/>
      <c r="BB975" s="551"/>
      <c r="BC975" s="551"/>
      <c r="BD975" s="551"/>
      <c r="BE975" s="551"/>
      <c r="BF975" s="551"/>
      <c r="BG975" s="551"/>
      <c r="BH975" s="551"/>
      <c r="BI975" s="551"/>
      <c r="BJ975" s="551"/>
    </row>
    <row r="976" spans="1:62" ht="12.75" customHeight="1">
      <c r="A976" s="551"/>
      <c r="B976" s="551"/>
      <c r="C976" s="551"/>
      <c r="D976" s="551"/>
      <c r="E976" s="551"/>
      <c r="F976" s="551"/>
      <c r="G976" s="551"/>
      <c r="H976" s="551"/>
      <c r="I976" s="551"/>
      <c r="J976" s="551"/>
      <c r="K976" s="551"/>
      <c r="L976" s="551"/>
      <c r="M976" s="551"/>
      <c r="N976" s="551"/>
      <c r="O976" s="551"/>
      <c r="P976" s="551"/>
      <c r="Q976" s="551"/>
      <c r="R976" s="551"/>
      <c r="S976" s="551"/>
      <c r="T976" s="551"/>
      <c r="U976" s="551"/>
      <c r="V976" s="551"/>
      <c r="W976" s="551"/>
      <c r="X976" s="551"/>
      <c r="Y976" s="551"/>
      <c r="Z976" s="551"/>
      <c r="AA976" s="551"/>
      <c r="AB976" s="551"/>
      <c r="AC976" s="551"/>
      <c r="AD976" s="551"/>
      <c r="AE976" s="551"/>
      <c r="AF976" s="551"/>
      <c r="AG976" s="551"/>
      <c r="AH976" s="551"/>
      <c r="AI976" s="551"/>
      <c r="AJ976" s="551"/>
      <c r="AK976" s="551"/>
      <c r="AL976" s="551"/>
      <c r="AM976" s="551"/>
      <c r="AN976" s="551"/>
      <c r="AO976" s="551"/>
      <c r="AP976" s="551"/>
      <c r="AQ976" s="551"/>
      <c r="AR976" s="551"/>
      <c r="AS976" s="551"/>
      <c r="AT976" s="551"/>
      <c r="AU976" s="551"/>
      <c r="AV976" s="551"/>
      <c r="AW976" s="551"/>
      <c r="AX976" s="551"/>
      <c r="AY976" s="551"/>
      <c r="AZ976" s="551"/>
      <c r="BA976" s="551"/>
      <c r="BB976" s="551"/>
      <c r="BC976" s="551"/>
      <c r="BD976" s="551"/>
      <c r="BE976" s="551"/>
      <c r="BF976" s="551"/>
      <c r="BG976" s="551"/>
      <c r="BH976" s="551"/>
      <c r="BI976" s="551"/>
      <c r="BJ976" s="551"/>
    </row>
    <row r="977" spans="1:62" ht="12.75" customHeight="1">
      <c r="A977" s="551"/>
      <c r="B977" s="551"/>
      <c r="C977" s="551"/>
      <c r="D977" s="551"/>
      <c r="E977" s="551"/>
      <c r="F977" s="551"/>
      <c r="G977" s="551"/>
      <c r="H977" s="551"/>
      <c r="I977" s="551"/>
      <c r="J977" s="551"/>
      <c r="K977" s="551"/>
      <c r="L977" s="551"/>
      <c r="M977" s="551"/>
      <c r="N977" s="551"/>
      <c r="O977" s="551"/>
      <c r="P977" s="551"/>
      <c r="Q977" s="551"/>
      <c r="R977" s="551"/>
      <c r="S977" s="551"/>
      <c r="T977" s="551"/>
      <c r="U977" s="551"/>
      <c r="V977" s="551"/>
      <c r="W977" s="551"/>
      <c r="X977" s="551"/>
      <c r="Y977" s="551"/>
      <c r="Z977" s="551"/>
      <c r="AA977" s="551"/>
      <c r="AB977" s="551"/>
      <c r="AC977" s="551"/>
      <c r="AD977" s="551"/>
      <c r="AE977" s="551"/>
      <c r="AF977" s="551"/>
      <c r="AG977" s="551"/>
      <c r="AH977" s="551"/>
      <c r="AI977" s="551"/>
      <c r="AJ977" s="551"/>
      <c r="AK977" s="551"/>
      <c r="AL977" s="551"/>
      <c r="AM977" s="551"/>
      <c r="AN977" s="551"/>
      <c r="AO977" s="551"/>
      <c r="AP977" s="551"/>
      <c r="AQ977" s="551"/>
      <c r="AR977" s="551"/>
      <c r="AS977" s="551"/>
      <c r="AT977" s="551"/>
      <c r="AU977" s="551"/>
      <c r="AV977" s="551"/>
      <c r="AW977" s="551"/>
      <c r="AX977" s="551"/>
      <c r="AY977" s="551"/>
      <c r="AZ977" s="551"/>
      <c r="BA977" s="551"/>
      <c r="BB977" s="551"/>
      <c r="BC977" s="551"/>
      <c r="BD977" s="551"/>
      <c r="BE977" s="551"/>
      <c r="BF977" s="551"/>
      <c r="BG977" s="551"/>
      <c r="BH977" s="551"/>
      <c r="BI977" s="551"/>
      <c r="BJ977" s="551"/>
    </row>
    <row r="978" spans="1:62" ht="12.75" customHeight="1">
      <c r="A978" s="551"/>
      <c r="B978" s="551"/>
      <c r="C978" s="551"/>
      <c r="D978" s="551"/>
      <c r="E978" s="551"/>
      <c r="F978" s="551"/>
      <c r="G978" s="551"/>
      <c r="H978" s="551"/>
      <c r="I978" s="551"/>
      <c r="J978" s="551"/>
      <c r="K978" s="551"/>
      <c r="L978" s="551"/>
      <c r="M978" s="551"/>
      <c r="N978" s="551"/>
      <c r="O978" s="551"/>
      <c r="P978" s="551"/>
      <c r="Q978" s="551"/>
      <c r="R978" s="551"/>
      <c r="S978" s="551"/>
      <c r="T978" s="551"/>
      <c r="U978" s="551"/>
      <c r="V978" s="551"/>
      <c r="W978" s="551"/>
      <c r="X978" s="551"/>
      <c r="Y978" s="551"/>
      <c r="Z978" s="551"/>
      <c r="AA978" s="551"/>
      <c r="AB978" s="551"/>
      <c r="AC978" s="551"/>
      <c r="AD978" s="551"/>
      <c r="AE978" s="551"/>
      <c r="AF978" s="551"/>
      <c r="AG978" s="551"/>
      <c r="AH978" s="551"/>
      <c r="AI978" s="551"/>
      <c r="AJ978" s="551"/>
      <c r="AK978" s="551"/>
      <c r="AL978" s="551"/>
      <c r="AM978" s="551"/>
      <c r="AN978" s="551"/>
      <c r="AO978" s="551"/>
      <c r="AP978" s="551"/>
      <c r="AQ978" s="551"/>
      <c r="AR978" s="551"/>
      <c r="AS978" s="551"/>
      <c r="AT978" s="551"/>
      <c r="AU978" s="551"/>
      <c r="AV978" s="551"/>
      <c r="AW978" s="551"/>
      <c r="AX978" s="551"/>
      <c r="AY978" s="551"/>
      <c r="AZ978" s="551"/>
      <c r="BA978" s="551"/>
      <c r="BB978" s="551"/>
      <c r="BC978" s="551"/>
      <c r="BD978" s="551"/>
      <c r="BE978" s="551"/>
      <c r="BF978" s="551"/>
      <c r="BG978" s="551"/>
      <c r="BH978" s="551"/>
      <c r="BI978" s="551"/>
      <c r="BJ978" s="551"/>
    </row>
    <row r="979" spans="1:62" ht="12.75" customHeight="1">
      <c r="A979" s="551"/>
      <c r="B979" s="551"/>
      <c r="C979" s="551"/>
      <c r="D979" s="551"/>
      <c r="E979" s="551"/>
      <c r="F979" s="551"/>
      <c r="G979" s="551"/>
      <c r="H979" s="551"/>
      <c r="I979" s="551"/>
      <c r="J979" s="551"/>
      <c r="K979" s="551"/>
      <c r="L979" s="551"/>
      <c r="M979" s="551"/>
      <c r="N979" s="551"/>
      <c r="O979" s="551"/>
      <c r="P979" s="551"/>
      <c r="Q979" s="551"/>
      <c r="R979" s="551"/>
      <c r="S979" s="551"/>
      <c r="T979" s="551"/>
      <c r="U979" s="551"/>
      <c r="V979" s="551"/>
      <c r="W979" s="551"/>
      <c r="X979" s="551"/>
      <c r="Y979" s="551"/>
      <c r="Z979" s="551"/>
      <c r="AA979" s="551"/>
      <c r="AB979" s="551"/>
      <c r="AC979" s="551"/>
      <c r="AD979" s="551"/>
      <c r="AE979" s="551"/>
      <c r="AF979" s="551"/>
      <c r="AG979" s="551"/>
      <c r="AH979" s="551"/>
      <c r="AI979" s="551"/>
      <c r="AJ979" s="551"/>
      <c r="AK979" s="551"/>
      <c r="AL979" s="551"/>
      <c r="AM979" s="551"/>
      <c r="AN979" s="551"/>
      <c r="AO979" s="551"/>
      <c r="AP979" s="551"/>
      <c r="AQ979" s="551"/>
      <c r="AR979" s="551"/>
      <c r="AS979" s="551"/>
      <c r="AT979" s="551"/>
      <c r="AU979" s="551"/>
      <c r="AV979" s="551"/>
      <c r="AW979" s="551"/>
      <c r="AX979" s="551"/>
      <c r="AY979" s="551"/>
      <c r="AZ979" s="551"/>
      <c r="BA979" s="551"/>
      <c r="BB979" s="551"/>
      <c r="BC979" s="551"/>
      <c r="BD979" s="551"/>
      <c r="BE979" s="551"/>
      <c r="BF979" s="551"/>
      <c r="BG979" s="551"/>
      <c r="BH979" s="551"/>
      <c r="BI979" s="551"/>
      <c r="BJ979" s="551"/>
    </row>
    <row r="980" spans="1:62" ht="12.75" customHeight="1">
      <c r="A980" s="551"/>
      <c r="B980" s="551"/>
      <c r="C980" s="551"/>
      <c r="D980" s="551"/>
      <c r="E980" s="551"/>
      <c r="F980" s="551"/>
      <c r="G980" s="551"/>
      <c r="H980" s="551"/>
      <c r="I980" s="551"/>
      <c r="J980" s="551"/>
      <c r="K980" s="551"/>
      <c r="L980" s="551"/>
      <c r="M980" s="551"/>
      <c r="N980" s="551"/>
      <c r="O980" s="551"/>
      <c r="P980" s="551"/>
      <c r="Q980" s="551"/>
      <c r="R980" s="551"/>
      <c r="S980" s="551"/>
      <c r="T980" s="551"/>
      <c r="U980" s="551"/>
      <c r="V980" s="551"/>
      <c r="W980" s="551"/>
      <c r="X980" s="551"/>
      <c r="Y980" s="551"/>
      <c r="Z980" s="551"/>
      <c r="AA980" s="551"/>
      <c r="AB980" s="551"/>
      <c r="AC980" s="551"/>
      <c r="AD980" s="551"/>
      <c r="AE980" s="551"/>
      <c r="AF980" s="551"/>
      <c r="AG980" s="551"/>
      <c r="AH980" s="551"/>
      <c r="AI980" s="551"/>
      <c r="AJ980" s="551"/>
      <c r="AK980" s="551"/>
      <c r="AL980" s="551"/>
      <c r="AM980" s="551"/>
      <c r="AN980" s="551"/>
      <c r="AO980" s="551"/>
      <c r="AP980" s="551"/>
      <c r="AQ980" s="551"/>
      <c r="AR980" s="551"/>
      <c r="AS980" s="551"/>
      <c r="AT980" s="551"/>
      <c r="AU980" s="551"/>
      <c r="AV980" s="551"/>
      <c r="AW980" s="551"/>
      <c r="AX980" s="551"/>
      <c r="AY980" s="551"/>
      <c r="AZ980" s="551"/>
      <c r="BA980" s="551"/>
      <c r="BB980" s="551"/>
      <c r="BC980" s="551"/>
      <c r="BD980" s="551"/>
      <c r="BE980" s="551"/>
      <c r="BF980" s="551"/>
      <c r="BG980" s="551"/>
      <c r="BH980" s="551"/>
      <c r="BI980" s="551"/>
      <c r="BJ980" s="551"/>
    </row>
    <row r="981" spans="1:62" ht="12.75" customHeight="1">
      <c r="A981" s="551"/>
      <c r="B981" s="551"/>
      <c r="C981" s="551"/>
      <c r="D981" s="551"/>
      <c r="E981" s="551"/>
      <c r="F981" s="551"/>
      <c r="G981" s="551"/>
      <c r="H981" s="551"/>
      <c r="I981" s="551"/>
      <c r="J981" s="551"/>
      <c r="K981" s="551"/>
      <c r="L981" s="551"/>
      <c r="M981" s="551"/>
      <c r="N981" s="551"/>
      <c r="O981" s="551"/>
      <c r="P981" s="551"/>
      <c r="Q981" s="551"/>
      <c r="R981" s="551"/>
      <c r="S981" s="551"/>
      <c r="T981" s="551"/>
      <c r="U981" s="551"/>
      <c r="V981" s="551"/>
      <c r="W981" s="551"/>
      <c r="X981" s="551"/>
      <c r="Y981" s="551"/>
      <c r="Z981" s="551"/>
      <c r="AA981" s="551"/>
      <c r="AB981" s="551"/>
      <c r="AC981" s="551"/>
      <c r="AD981" s="551"/>
      <c r="AE981" s="551"/>
      <c r="AF981" s="551"/>
      <c r="AG981" s="551"/>
      <c r="AH981" s="551"/>
      <c r="AI981" s="551"/>
      <c r="AJ981" s="551"/>
      <c r="AK981" s="551"/>
      <c r="AL981" s="551"/>
      <c r="AM981" s="551"/>
      <c r="AN981" s="551"/>
      <c r="AO981" s="551"/>
      <c r="AP981" s="551"/>
      <c r="AQ981" s="551"/>
      <c r="AR981" s="551"/>
      <c r="AS981" s="551"/>
      <c r="AT981" s="551"/>
      <c r="AU981" s="551"/>
      <c r="AV981" s="551"/>
      <c r="AW981" s="551"/>
      <c r="AX981" s="551"/>
      <c r="AY981" s="551"/>
      <c r="AZ981" s="551"/>
      <c r="BA981" s="551"/>
      <c r="BB981" s="551"/>
      <c r="BC981" s="551"/>
      <c r="BD981" s="551"/>
      <c r="BE981" s="551"/>
      <c r="BF981" s="551"/>
      <c r="BG981" s="551"/>
      <c r="BH981" s="551"/>
      <c r="BI981" s="551"/>
      <c r="BJ981" s="551"/>
    </row>
    <row r="982" spans="1:62" ht="12.75" customHeight="1">
      <c r="A982" s="551"/>
      <c r="B982" s="551"/>
      <c r="C982" s="551"/>
      <c r="D982" s="551"/>
      <c r="E982" s="551"/>
      <c r="F982" s="551"/>
      <c r="G982" s="551"/>
      <c r="H982" s="551"/>
      <c r="I982" s="551"/>
      <c r="J982" s="551"/>
      <c r="K982" s="551"/>
      <c r="L982" s="551"/>
      <c r="M982" s="551"/>
      <c r="N982" s="551"/>
      <c r="O982" s="551"/>
      <c r="P982" s="551"/>
      <c r="Q982" s="551"/>
      <c r="R982" s="551"/>
      <c r="S982" s="551"/>
      <c r="T982" s="551"/>
      <c r="U982" s="551"/>
      <c r="V982" s="551"/>
      <c r="W982" s="551"/>
      <c r="X982" s="551"/>
      <c r="Y982" s="551"/>
      <c r="Z982" s="551"/>
      <c r="AA982" s="551"/>
      <c r="AB982" s="551"/>
      <c r="AC982" s="551"/>
      <c r="AD982" s="551"/>
      <c r="AE982" s="551"/>
      <c r="AF982" s="551"/>
      <c r="AG982" s="551"/>
      <c r="AH982" s="551"/>
      <c r="AI982" s="551"/>
      <c r="AJ982" s="551"/>
      <c r="AK982" s="551"/>
      <c r="AL982" s="551"/>
      <c r="AM982" s="551"/>
      <c r="AN982" s="551"/>
      <c r="AO982" s="551"/>
      <c r="AP982" s="551"/>
      <c r="AQ982" s="551"/>
      <c r="AR982" s="551"/>
      <c r="AS982" s="551"/>
      <c r="AT982" s="551"/>
      <c r="AU982" s="551"/>
      <c r="AV982" s="551"/>
      <c r="AW982" s="551"/>
      <c r="AX982" s="551"/>
      <c r="AY982" s="551"/>
      <c r="AZ982" s="551"/>
      <c r="BA982" s="551"/>
      <c r="BB982" s="551"/>
      <c r="BC982" s="551"/>
      <c r="BD982" s="551"/>
      <c r="BE982" s="551"/>
      <c r="BF982" s="551"/>
      <c r="BG982" s="551"/>
      <c r="BH982" s="551"/>
      <c r="BI982" s="551"/>
      <c r="BJ982" s="551"/>
    </row>
    <row r="983" spans="1:62" ht="12.75" customHeight="1">
      <c r="A983" s="551"/>
      <c r="B983" s="551"/>
      <c r="C983" s="551"/>
      <c r="D983" s="551"/>
      <c r="E983" s="551"/>
      <c r="F983" s="551"/>
      <c r="G983" s="551"/>
      <c r="H983" s="551"/>
      <c r="I983" s="551"/>
      <c r="J983" s="551"/>
      <c r="K983" s="551"/>
      <c r="L983" s="551"/>
      <c r="M983" s="551"/>
      <c r="N983" s="551"/>
      <c r="O983" s="551"/>
      <c r="P983" s="551"/>
      <c r="Q983" s="551"/>
      <c r="R983" s="551"/>
      <c r="S983" s="551"/>
      <c r="T983" s="551"/>
      <c r="U983" s="551"/>
      <c r="V983" s="551"/>
      <c r="W983" s="551"/>
      <c r="X983" s="551"/>
      <c r="Y983" s="551"/>
      <c r="Z983" s="551"/>
      <c r="AA983" s="551"/>
      <c r="AB983" s="551"/>
      <c r="AC983" s="551"/>
      <c r="AD983" s="551"/>
      <c r="AE983" s="551"/>
      <c r="AF983" s="551"/>
      <c r="AG983" s="551"/>
      <c r="AH983" s="551"/>
      <c r="AI983" s="551"/>
      <c r="AJ983" s="551"/>
      <c r="AK983" s="551"/>
      <c r="AL983" s="551"/>
      <c r="AM983" s="551"/>
      <c r="AN983" s="551"/>
      <c r="AO983" s="551"/>
      <c r="AP983" s="551"/>
      <c r="AQ983" s="551"/>
      <c r="AR983" s="551"/>
      <c r="AS983" s="551"/>
      <c r="AT983" s="551"/>
      <c r="AU983" s="551"/>
      <c r="AV983" s="551"/>
      <c r="AW983" s="551"/>
      <c r="AX983" s="551"/>
      <c r="AY983" s="551"/>
      <c r="AZ983" s="551"/>
      <c r="BA983" s="551"/>
      <c r="BB983" s="551"/>
      <c r="BC983" s="551"/>
      <c r="BD983" s="551"/>
      <c r="BE983" s="551"/>
      <c r="BF983" s="551"/>
      <c r="BG983" s="551"/>
      <c r="BH983" s="551"/>
      <c r="BI983" s="551"/>
      <c r="BJ983" s="551"/>
    </row>
    <row r="984" spans="1:62" ht="12.75" customHeight="1">
      <c r="A984" s="551"/>
      <c r="B984" s="551"/>
      <c r="C984" s="551"/>
      <c r="D984" s="551"/>
      <c r="E984" s="551"/>
      <c r="F984" s="551"/>
      <c r="G984" s="551"/>
      <c r="H984" s="551"/>
      <c r="I984" s="551"/>
      <c r="J984" s="551"/>
      <c r="K984" s="551"/>
      <c r="L984" s="551"/>
      <c r="M984" s="551"/>
      <c r="N984" s="551"/>
      <c r="O984" s="551"/>
      <c r="P984" s="551"/>
      <c r="Q984" s="551"/>
      <c r="R984" s="551"/>
      <c r="S984" s="551"/>
      <c r="T984" s="551"/>
      <c r="U984" s="551"/>
      <c r="V984" s="551"/>
      <c r="W984" s="551"/>
      <c r="X984" s="551"/>
      <c r="Y984" s="551"/>
      <c r="Z984" s="551"/>
      <c r="AA984" s="551"/>
      <c r="AB984" s="551"/>
      <c r="AC984" s="551"/>
      <c r="AD984" s="551"/>
      <c r="AE984" s="551"/>
      <c r="AF984" s="551"/>
      <c r="AG984" s="551"/>
      <c r="AH984" s="551"/>
      <c r="AI984" s="551"/>
      <c r="AJ984" s="551"/>
      <c r="AK984" s="551"/>
      <c r="AL984" s="551"/>
      <c r="AM984" s="551"/>
      <c r="AN984" s="551"/>
      <c r="AO984" s="551"/>
      <c r="AP984" s="551"/>
      <c r="AQ984" s="551"/>
      <c r="AR984" s="551"/>
      <c r="AS984" s="551"/>
      <c r="AT984" s="551"/>
      <c r="AU984" s="551"/>
      <c r="AV984" s="551"/>
      <c r="AW984" s="551"/>
      <c r="AX984" s="551"/>
      <c r="AY984" s="551"/>
      <c r="AZ984" s="551"/>
      <c r="BA984" s="551"/>
      <c r="BB984" s="551"/>
      <c r="BC984" s="551"/>
      <c r="BD984" s="551"/>
      <c r="BE984" s="551"/>
      <c r="BF984" s="551"/>
      <c r="BG984" s="551"/>
      <c r="BH984" s="551"/>
      <c r="BI984" s="551"/>
      <c r="BJ984" s="551"/>
    </row>
    <row r="985" spans="1:62" ht="12.75" customHeight="1">
      <c r="A985" s="551"/>
      <c r="B985" s="551"/>
      <c r="C985" s="551"/>
      <c r="D985" s="551"/>
      <c r="E985" s="551"/>
      <c r="F985" s="551"/>
      <c r="G985" s="551"/>
      <c r="H985" s="551"/>
      <c r="I985" s="551"/>
      <c r="J985" s="551"/>
      <c r="K985" s="551"/>
      <c r="L985" s="551"/>
      <c r="M985" s="551"/>
      <c r="N985" s="551"/>
      <c r="O985" s="551"/>
      <c r="P985" s="551"/>
      <c r="Q985" s="551"/>
      <c r="R985" s="551"/>
      <c r="S985" s="551"/>
      <c r="T985" s="551"/>
      <c r="U985" s="551"/>
      <c r="V985" s="551"/>
      <c r="W985" s="551"/>
      <c r="X985" s="551"/>
      <c r="Y985" s="551"/>
      <c r="Z985" s="551"/>
      <c r="AA985" s="551"/>
      <c r="AB985" s="551"/>
      <c r="AC985" s="551"/>
      <c r="AD985" s="551"/>
      <c r="AE985" s="551"/>
      <c r="AF985" s="551"/>
      <c r="AG985" s="551"/>
      <c r="AH985" s="551"/>
      <c r="AI985" s="551"/>
      <c r="AJ985" s="551"/>
      <c r="AK985" s="551"/>
      <c r="AL985" s="551"/>
      <c r="AM985" s="551"/>
      <c r="AN985" s="551"/>
      <c r="AO985" s="551"/>
      <c r="AP985" s="551"/>
      <c r="AQ985" s="551"/>
      <c r="AR985" s="551"/>
      <c r="AS985" s="551"/>
      <c r="AT985" s="551"/>
      <c r="AU985" s="551"/>
      <c r="AV985" s="551"/>
      <c r="AW985" s="551"/>
      <c r="AX985" s="551"/>
      <c r="AY985" s="551"/>
      <c r="AZ985" s="551"/>
      <c r="BA985" s="551"/>
      <c r="BB985" s="551"/>
      <c r="BC985" s="551"/>
      <c r="BD985" s="551"/>
      <c r="BE985" s="551"/>
      <c r="BF985" s="551"/>
      <c r="BG985" s="551"/>
      <c r="BH985" s="551"/>
      <c r="BI985" s="551"/>
      <c r="BJ985" s="551"/>
    </row>
    <row r="986" spans="1:62" ht="12.75" customHeight="1">
      <c r="A986" s="551"/>
      <c r="B986" s="551"/>
      <c r="C986" s="551"/>
      <c r="D986" s="551"/>
      <c r="E986" s="551"/>
      <c r="F986" s="551"/>
      <c r="G986" s="551"/>
      <c r="H986" s="551"/>
      <c r="I986" s="551"/>
      <c r="J986" s="551"/>
      <c r="K986" s="551"/>
      <c r="L986" s="551"/>
      <c r="M986" s="551"/>
      <c r="N986" s="551"/>
      <c r="O986" s="551"/>
      <c r="P986" s="551"/>
      <c r="Q986" s="551"/>
      <c r="R986" s="551"/>
      <c r="S986" s="551"/>
      <c r="T986" s="551"/>
      <c r="U986" s="551"/>
      <c r="V986" s="551"/>
      <c r="W986" s="551"/>
      <c r="X986" s="551"/>
      <c r="Y986" s="551"/>
      <c r="Z986" s="551"/>
      <c r="AA986" s="551"/>
      <c r="AB986" s="551"/>
      <c r="AC986" s="551"/>
      <c r="AD986" s="551"/>
      <c r="AE986" s="551"/>
      <c r="AF986" s="551"/>
      <c r="AG986" s="551"/>
      <c r="AH986" s="551"/>
      <c r="AI986" s="551"/>
      <c r="AJ986" s="551"/>
      <c r="AK986" s="551"/>
      <c r="AL986" s="551"/>
      <c r="AM986" s="551"/>
      <c r="AN986" s="551"/>
      <c r="AO986" s="551"/>
      <c r="AP986" s="551"/>
      <c r="AQ986" s="551"/>
      <c r="AR986" s="551"/>
      <c r="AS986" s="551"/>
      <c r="AT986" s="551"/>
      <c r="AU986" s="551"/>
      <c r="AV986" s="551"/>
      <c r="AW986" s="551"/>
      <c r="AX986" s="551"/>
      <c r="AY986" s="551"/>
      <c r="AZ986" s="551"/>
      <c r="BA986" s="551"/>
      <c r="BB986" s="551"/>
      <c r="BC986" s="551"/>
      <c r="BD986" s="551"/>
      <c r="BE986" s="551"/>
      <c r="BF986" s="551"/>
      <c r="BG986" s="551"/>
      <c r="BH986" s="551"/>
      <c r="BI986" s="551"/>
      <c r="BJ986" s="551"/>
    </row>
    <row r="987" spans="1:62" ht="12.75" customHeight="1">
      <c r="A987" s="551"/>
      <c r="B987" s="551"/>
      <c r="C987" s="551"/>
      <c r="D987" s="551"/>
      <c r="E987" s="551"/>
      <c r="F987" s="551"/>
      <c r="G987" s="551"/>
      <c r="H987" s="551"/>
      <c r="I987" s="551"/>
      <c r="J987" s="551"/>
      <c r="K987" s="551"/>
      <c r="L987" s="551"/>
      <c r="M987" s="551"/>
      <c r="N987" s="551"/>
      <c r="O987" s="551"/>
      <c r="P987" s="551"/>
      <c r="Q987" s="551"/>
      <c r="R987" s="551"/>
      <c r="S987" s="551"/>
      <c r="T987" s="551"/>
      <c r="U987" s="551"/>
      <c r="V987" s="551"/>
      <c r="W987" s="551"/>
      <c r="X987" s="551"/>
      <c r="Y987" s="551"/>
      <c r="Z987" s="551"/>
      <c r="AA987" s="551"/>
      <c r="AB987" s="551"/>
      <c r="AC987" s="551"/>
      <c r="AD987" s="551"/>
      <c r="AE987" s="551"/>
      <c r="AF987" s="551"/>
      <c r="AG987" s="551"/>
      <c r="AH987" s="551"/>
      <c r="AI987" s="551"/>
      <c r="AJ987" s="551"/>
      <c r="AK987" s="551"/>
      <c r="AL987" s="551"/>
      <c r="AM987" s="551"/>
      <c r="AN987" s="551"/>
      <c r="AO987" s="551"/>
      <c r="AP987" s="551"/>
      <c r="AQ987" s="551"/>
      <c r="AR987" s="551"/>
      <c r="AS987" s="551"/>
      <c r="AT987" s="551"/>
      <c r="AU987" s="551"/>
      <c r="AV987" s="551"/>
      <c r="AW987" s="551"/>
      <c r="AX987" s="551"/>
      <c r="AY987" s="551"/>
      <c r="AZ987" s="551"/>
      <c r="BA987" s="551"/>
      <c r="BB987" s="551"/>
      <c r="BC987" s="551"/>
      <c r="BD987" s="551"/>
      <c r="BE987" s="551"/>
      <c r="BF987" s="551"/>
      <c r="BG987" s="551"/>
      <c r="BH987" s="551"/>
      <c r="BI987" s="551"/>
      <c r="BJ987" s="551"/>
    </row>
    <row r="988" spans="1:62" ht="12.75" customHeight="1">
      <c r="A988" s="551"/>
      <c r="B988" s="551"/>
      <c r="C988" s="551"/>
      <c r="D988" s="551"/>
      <c r="E988" s="551"/>
      <c r="F988" s="551"/>
      <c r="G988" s="551"/>
      <c r="H988" s="551"/>
      <c r="I988" s="551"/>
      <c r="J988" s="551"/>
      <c r="K988" s="551"/>
      <c r="L988" s="551"/>
      <c r="M988" s="551"/>
      <c r="N988" s="551"/>
      <c r="O988" s="551"/>
      <c r="P988" s="551"/>
      <c r="Q988" s="551"/>
      <c r="R988" s="551"/>
      <c r="S988" s="551"/>
      <c r="T988" s="551"/>
      <c r="U988" s="551"/>
      <c r="V988" s="551"/>
      <c r="W988" s="551"/>
      <c r="X988" s="551"/>
      <c r="Y988" s="551"/>
      <c r="Z988" s="551"/>
      <c r="AA988" s="551"/>
      <c r="AB988" s="551"/>
      <c r="AC988" s="551"/>
      <c r="AD988" s="551"/>
      <c r="AE988" s="551"/>
      <c r="AF988" s="551"/>
      <c r="AG988" s="551"/>
      <c r="AH988" s="551"/>
      <c r="AI988" s="551"/>
      <c r="AJ988" s="551"/>
      <c r="AK988" s="551"/>
      <c r="AL988" s="551"/>
      <c r="AM988" s="551"/>
      <c r="AN988" s="551"/>
      <c r="AO988" s="551"/>
      <c r="AP988" s="551"/>
      <c r="AQ988" s="551"/>
      <c r="AR988" s="551"/>
      <c r="AS988" s="551"/>
      <c r="AT988" s="551"/>
      <c r="AU988" s="551"/>
      <c r="AV988" s="551"/>
      <c r="AW988" s="551"/>
      <c r="AX988" s="551"/>
      <c r="AY988" s="551"/>
      <c r="AZ988" s="551"/>
      <c r="BA988" s="551"/>
      <c r="BB988" s="551"/>
      <c r="BC988" s="551"/>
      <c r="BD988" s="551"/>
      <c r="BE988" s="551"/>
      <c r="BF988" s="551"/>
      <c r="BG988" s="551"/>
      <c r="BH988" s="551"/>
      <c r="BI988" s="551"/>
      <c r="BJ988" s="551"/>
    </row>
    <row r="989" spans="1:62" ht="12.75" customHeight="1">
      <c r="A989" s="551"/>
      <c r="B989" s="551"/>
      <c r="C989" s="551"/>
      <c r="D989" s="551"/>
      <c r="E989" s="551"/>
      <c r="F989" s="551"/>
      <c r="G989" s="551"/>
      <c r="H989" s="551"/>
      <c r="I989" s="551"/>
      <c r="J989" s="551"/>
      <c r="K989" s="551"/>
      <c r="L989" s="551"/>
      <c r="M989" s="551"/>
      <c r="N989" s="551"/>
      <c r="O989" s="551"/>
      <c r="P989" s="551"/>
      <c r="Q989" s="551"/>
      <c r="R989" s="551"/>
      <c r="S989" s="551"/>
      <c r="T989" s="551"/>
      <c r="U989" s="551"/>
      <c r="V989" s="551"/>
      <c r="W989" s="551"/>
      <c r="X989" s="551"/>
      <c r="Y989" s="551"/>
      <c r="Z989" s="551"/>
      <c r="AA989" s="551"/>
      <c r="AB989" s="551"/>
      <c r="AC989" s="551"/>
      <c r="AD989" s="551"/>
      <c r="AE989" s="551"/>
      <c r="AF989" s="551"/>
      <c r="AG989" s="551"/>
      <c r="AH989" s="551"/>
      <c r="AI989" s="551"/>
      <c r="AJ989" s="551"/>
      <c r="AK989" s="551"/>
      <c r="AL989" s="551"/>
      <c r="AM989" s="551"/>
      <c r="AN989" s="551"/>
      <c r="AO989" s="551"/>
      <c r="AP989" s="551"/>
      <c r="AQ989" s="551"/>
      <c r="AR989" s="551"/>
      <c r="AS989" s="551"/>
      <c r="AT989" s="551"/>
      <c r="AU989" s="551"/>
      <c r="AV989" s="551"/>
      <c r="AW989" s="551"/>
      <c r="AX989" s="551"/>
      <c r="AY989" s="551"/>
      <c r="AZ989" s="551"/>
      <c r="BA989" s="551"/>
      <c r="BB989" s="551"/>
      <c r="BC989" s="551"/>
      <c r="BD989" s="551"/>
      <c r="BE989" s="551"/>
      <c r="BF989" s="551"/>
      <c r="BG989" s="551"/>
      <c r="BH989" s="551"/>
      <c r="BI989" s="551"/>
      <c r="BJ989" s="551"/>
    </row>
    <row r="990" spans="1:62" ht="12.75" customHeight="1">
      <c r="A990" s="551"/>
      <c r="B990" s="551"/>
      <c r="C990" s="551"/>
      <c r="D990" s="551"/>
      <c r="E990" s="551"/>
      <c r="F990" s="551"/>
      <c r="G990" s="551"/>
      <c r="H990" s="551"/>
      <c r="I990" s="551"/>
      <c r="J990" s="551"/>
      <c r="K990" s="551"/>
      <c r="L990" s="551"/>
      <c r="M990" s="551"/>
      <c r="N990" s="551"/>
      <c r="O990" s="551"/>
      <c r="P990" s="551"/>
      <c r="Q990" s="551"/>
      <c r="R990" s="551"/>
      <c r="S990" s="551"/>
      <c r="T990" s="551"/>
      <c r="U990" s="551"/>
      <c r="V990" s="551"/>
      <c r="W990" s="551"/>
      <c r="X990" s="551"/>
      <c r="Y990" s="551"/>
      <c r="Z990" s="551"/>
      <c r="AA990" s="551"/>
      <c r="AB990" s="551"/>
      <c r="AC990" s="551"/>
      <c r="AD990" s="551"/>
      <c r="AE990" s="551"/>
      <c r="AF990" s="551"/>
      <c r="AG990" s="551"/>
      <c r="AH990" s="551"/>
      <c r="AI990" s="551"/>
      <c r="AJ990" s="551"/>
      <c r="AK990" s="551"/>
      <c r="AL990" s="551"/>
      <c r="AM990" s="551"/>
      <c r="AN990" s="551"/>
      <c r="AO990" s="551"/>
      <c r="AP990" s="551"/>
      <c r="AQ990" s="551"/>
      <c r="AR990" s="551"/>
      <c r="AS990" s="551"/>
      <c r="AT990" s="551"/>
      <c r="AU990" s="551"/>
      <c r="AV990" s="551"/>
      <c r="AW990" s="551"/>
      <c r="AX990" s="551"/>
      <c r="AY990" s="551"/>
      <c r="AZ990" s="551"/>
      <c r="BA990" s="551"/>
      <c r="BB990" s="551"/>
      <c r="BC990" s="551"/>
      <c r="BD990" s="551"/>
      <c r="BE990" s="551"/>
      <c r="BF990" s="551"/>
      <c r="BG990" s="551"/>
      <c r="BH990" s="551"/>
      <c r="BI990" s="551"/>
      <c r="BJ990" s="551"/>
    </row>
    <row r="991" spans="1:62" ht="12.75" customHeight="1">
      <c r="A991" s="551"/>
      <c r="B991" s="551"/>
      <c r="C991" s="551"/>
      <c r="D991" s="551"/>
      <c r="E991" s="551"/>
      <c r="F991" s="551"/>
      <c r="G991" s="551"/>
      <c r="H991" s="551"/>
      <c r="I991" s="551"/>
      <c r="J991" s="551"/>
      <c r="K991" s="551"/>
      <c r="L991" s="551"/>
      <c r="M991" s="551"/>
      <c r="N991" s="551"/>
      <c r="O991" s="551"/>
      <c r="P991" s="551"/>
      <c r="Q991" s="551"/>
      <c r="R991" s="551"/>
      <c r="S991" s="551"/>
      <c r="T991" s="551"/>
      <c r="U991" s="551"/>
      <c r="V991" s="551"/>
      <c r="W991" s="551"/>
      <c r="X991" s="551"/>
      <c r="Y991" s="551"/>
      <c r="Z991" s="551"/>
      <c r="AA991" s="551"/>
      <c r="AB991" s="551"/>
      <c r="AC991" s="551"/>
      <c r="AD991" s="551"/>
      <c r="AE991" s="551"/>
      <c r="AF991" s="551"/>
      <c r="AG991" s="551"/>
      <c r="AH991" s="551"/>
      <c r="AI991" s="551"/>
      <c r="AJ991" s="551"/>
      <c r="AK991" s="551"/>
      <c r="AL991" s="551"/>
      <c r="AM991" s="551"/>
      <c r="AN991" s="551"/>
      <c r="AO991" s="551"/>
      <c r="AP991" s="551"/>
      <c r="AQ991" s="551"/>
      <c r="AR991" s="551"/>
      <c r="AS991" s="551"/>
      <c r="AT991" s="551"/>
      <c r="AU991" s="551"/>
      <c r="AV991" s="551"/>
      <c r="AW991" s="551"/>
      <c r="AX991" s="551"/>
      <c r="AY991" s="551"/>
      <c r="AZ991" s="551"/>
      <c r="BA991" s="551"/>
      <c r="BB991" s="551"/>
      <c r="BC991" s="551"/>
      <c r="BD991" s="551"/>
      <c r="BE991" s="551"/>
      <c r="BF991" s="551"/>
      <c r="BG991" s="551"/>
      <c r="BH991" s="551"/>
      <c r="BI991" s="551"/>
      <c r="BJ991" s="551"/>
    </row>
    <row r="992" spans="1:62" ht="12.75" customHeight="1">
      <c r="A992" s="551"/>
      <c r="B992" s="551"/>
      <c r="C992" s="551"/>
      <c r="D992" s="551"/>
      <c r="E992" s="551"/>
      <c r="F992" s="551"/>
      <c r="G992" s="551"/>
      <c r="H992" s="551"/>
      <c r="I992" s="551"/>
      <c r="J992" s="551"/>
      <c r="K992" s="551"/>
      <c r="L992" s="551"/>
      <c r="M992" s="551"/>
      <c r="N992" s="551"/>
      <c r="O992" s="551"/>
      <c r="P992" s="551"/>
      <c r="Q992" s="551"/>
      <c r="R992" s="551"/>
      <c r="S992" s="551"/>
      <c r="T992" s="551"/>
      <c r="U992" s="551"/>
      <c r="V992" s="551"/>
      <c r="W992" s="551"/>
      <c r="X992" s="551"/>
      <c r="Y992" s="551"/>
      <c r="Z992" s="551"/>
      <c r="AA992" s="551"/>
      <c r="AB992" s="551"/>
      <c r="AC992" s="551"/>
      <c r="AD992" s="551"/>
      <c r="AE992" s="551"/>
      <c r="AF992" s="551"/>
      <c r="AG992" s="551"/>
      <c r="AH992" s="551"/>
      <c r="AI992" s="551"/>
      <c r="AJ992" s="551"/>
      <c r="AK992" s="551"/>
      <c r="AL992" s="551"/>
      <c r="AM992" s="551"/>
      <c r="AN992" s="551"/>
      <c r="AO992" s="551"/>
      <c r="AP992" s="551"/>
      <c r="AQ992" s="551"/>
      <c r="AR992" s="551"/>
      <c r="AS992" s="551"/>
      <c r="AT992" s="551"/>
      <c r="AU992" s="551"/>
      <c r="AV992" s="551"/>
      <c r="AW992" s="551"/>
      <c r="AX992" s="551"/>
      <c r="AY992" s="551"/>
      <c r="AZ992" s="551"/>
      <c r="BA992" s="551"/>
      <c r="BB992" s="551"/>
      <c r="BC992" s="551"/>
      <c r="BD992" s="551"/>
      <c r="BE992" s="551"/>
      <c r="BF992" s="551"/>
      <c r="BG992" s="551"/>
      <c r="BH992" s="551"/>
      <c r="BI992" s="551"/>
      <c r="BJ992" s="551"/>
    </row>
    <row r="993" spans="1:62" ht="12.75" customHeight="1">
      <c r="A993" s="551"/>
      <c r="B993" s="551"/>
      <c r="C993" s="551"/>
      <c r="D993" s="551"/>
      <c r="E993" s="551"/>
      <c r="F993" s="551"/>
      <c r="G993" s="551"/>
      <c r="H993" s="551"/>
      <c r="I993" s="551"/>
      <c r="J993" s="551"/>
      <c r="K993" s="551"/>
      <c r="L993" s="551"/>
      <c r="M993" s="551"/>
      <c r="N993" s="551"/>
      <c r="O993" s="551"/>
      <c r="P993" s="551"/>
      <c r="Q993" s="551"/>
      <c r="R993" s="551"/>
      <c r="S993" s="551"/>
      <c r="T993" s="551"/>
      <c r="U993" s="551"/>
      <c r="V993" s="551"/>
      <c r="W993" s="551"/>
      <c r="X993" s="551"/>
      <c r="Y993" s="551"/>
      <c r="Z993" s="551"/>
      <c r="AA993" s="551"/>
      <c r="AB993" s="551"/>
      <c r="AC993" s="551"/>
      <c r="AD993" s="551"/>
      <c r="AE993" s="551"/>
      <c r="AF993" s="551"/>
      <c r="AG993" s="551"/>
      <c r="AH993" s="551"/>
      <c r="AI993" s="551"/>
      <c r="AJ993" s="551"/>
      <c r="AK993" s="551"/>
      <c r="AL993" s="551"/>
      <c r="AM993" s="551"/>
      <c r="AN993" s="551"/>
      <c r="AO993" s="551"/>
      <c r="AP993" s="551"/>
      <c r="AQ993" s="551"/>
      <c r="AR993" s="551"/>
      <c r="AS993" s="551"/>
      <c r="AT993" s="551"/>
      <c r="AU993" s="551"/>
      <c r="AV993" s="551"/>
      <c r="AW993" s="551"/>
      <c r="AX993" s="551"/>
      <c r="AY993" s="551"/>
      <c r="AZ993" s="551"/>
      <c r="BA993" s="551"/>
      <c r="BB993" s="551"/>
      <c r="BC993" s="551"/>
      <c r="BD993" s="551"/>
      <c r="BE993" s="551"/>
      <c r="BF993" s="551"/>
      <c r="BG993" s="551"/>
      <c r="BH993" s="551"/>
      <c r="BI993" s="551"/>
      <c r="BJ993" s="551"/>
    </row>
    <row r="994" spans="1:62" ht="12.75" customHeight="1">
      <c r="A994" s="551"/>
      <c r="B994" s="551"/>
      <c r="C994" s="551"/>
      <c r="D994" s="551"/>
      <c r="E994" s="551"/>
      <c r="F994" s="551"/>
      <c r="G994" s="551"/>
      <c r="H994" s="551"/>
      <c r="I994" s="551"/>
      <c r="J994" s="551"/>
      <c r="K994" s="551"/>
      <c r="L994" s="551"/>
      <c r="M994" s="551"/>
      <c r="N994" s="551"/>
      <c r="O994" s="551"/>
      <c r="P994" s="551"/>
      <c r="Q994" s="551"/>
      <c r="R994" s="551"/>
      <c r="S994" s="551"/>
      <c r="T994" s="551"/>
      <c r="U994" s="551"/>
      <c r="V994" s="551"/>
      <c r="W994" s="551"/>
      <c r="X994" s="551"/>
      <c r="Y994" s="551"/>
      <c r="Z994" s="551"/>
      <c r="AA994" s="551"/>
      <c r="AB994" s="551"/>
      <c r="AC994" s="551"/>
      <c r="AD994" s="551"/>
      <c r="AE994" s="551"/>
      <c r="AF994" s="551"/>
      <c r="AG994" s="551"/>
      <c r="AH994" s="551"/>
      <c r="AI994" s="551"/>
      <c r="AJ994" s="551"/>
      <c r="AK994" s="551"/>
      <c r="AL994" s="551"/>
      <c r="AM994" s="551"/>
      <c r="AN994" s="551"/>
      <c r="AO994" s="551"/>
      <c r="AP994" s="551"/>
      <c r="AQ994" s="551"/>
      <c r="AR994" s="551"/>
      <c r="AS994" s="551"/>
      <c r="AT994" s="551"/>
      <c r="AU994" s="551"/>
      <c r="AV994" s="551"/>
      <c r="AW994" s="551"/>
      <c r="AX994" s="551"/>
      <c r="AY994" s="551"/>
      <c r="AZ994" s="551"/>
      <c r="BA994" s="551"/>
      <c r="BB994" s="551"/>
      <c r="BC994" s="551"/>
      <c r="BD994" s="551"/>
      <c r="BE994" s="551"/>
      <c r="BF994" s="551"/>
      <c r="BG994" s="551"/>
      <c r="BH994" s="551"/>
      <c r="BI994" s="551"/>
      <c r="BJ994" s="551"/>
    </row>
    <row r="995" spans="1:62" ht="12.75" customHeight="1">
      <c r="A995" s="551"/>
      <c r="B995" s="551"/>
      <c r="C995" s="551"/>
      <c r="D995" s="551"/>
      <c r="E995" s="551"/>
      <c r="F995" s="551"/>
      <c r="G995" s="551"/>
      <c r="H995" s="551"/>
      <c r="I995" s="551"/>
      <c r="J995" s="551"/>
      <c r="K995" s="551"/>
      <c r="L995" s="551"/>
      <c r="M995" s="551"/>
      <c r="N995" s="551"/>
      <c r="O995" s="551"/>
      <c r="P995" s="551"/>
      <c r="Q995" s="551"/>
      <c r="R995" s="551"/>
      <c r="S995" s="551"/>
      <c r="T995" s="551"/>
      <c r="U995" s="551"/>
      <c r="V995" s="551"/>
      <c r="W995" s="551"/>
      <c r="X995" s="551"/>
      <c r="Y995" s="551"/>
      <c r="Z995" s="551"/>
      <c r="AA995" s="551"/>
      <c r="AB995" s="551"/>
      <c r="AC995" s="551"/>
      <c r="AD995" s="551"/>
      <c r="AE995" s="551"/>
      <c r="AF995" s="551"/>
      <c r="AG995" s="551"/>
      <c r="AH995" s="551"/>
      <c r="AI995" s="551"/>
      <c r="AJ995" s="551"/>
      <c r="AK995" s="551"/>
      <c r="AL995" s="551"/>
      <c r="AM995" s="551"/>
      <c r="AN995" s="551"/>
      <c r="AO995" s="551"/>
      <c r="AP995" s="551"/>
      <c r="AQ995" s="551"/>
      <c r="AR995" s="551"/>
      <c r="AS995" s="551"/>
      <c r="AT995" s="551"/>
      <c r="AU995" s="551"/>
      <c r="AV995" s="551"/>
      <c r="AW995" s="551"/>
      <c r="AX995" s="551"/>
      <c r="AY995" s="551"/>
      <c r="AZ995" s="551"/>
      <c r="BA995" s="551"/>
      <c r="BB995" s="551"/>
      <c r="BC995" s="551"/>
      <c r="BD995" s="551"/>
      <c r="BE995" s="551"/>
      <c r="BF995" s="551"/>
      <c r="BG995" s="551"/>
      <c r="BH995" s="551"/>
      <c r="BI995" s="551"/>
      <c r="BJ995" s="551"/>
    </row>
    <row r="996" spans="1:62" ht="12.75" customHeight="1">
      <c r="A996" s="551"/>
      <c r="B996" s="551"/>
      <c r="C996" s="551"/>
      <c r="D996" s="551"/>
      <c r="E996" s="551"/>
      <c r="F996" s="551"/>
      <c r="G996" s="551"/>
      <c r="H996" s="551"/>
      <c r="I996" s="551"/>
      <c r="J996" s="551"/>
      <c r="K996" s="551"/>
      <c r="L996" s="551"/>
      <c r="M996" s="551"/>
      <c r="N996" s="551"/>
      <c r="O996" s="551"/>
      <c r="P996" s="551"/>
      <c r="Q996" s="551"/>
      <c r="R996" s="551"/>
      <c r="S996" s="551"/>
      <c r="T996" s="551"/>
      <c r="U996" s="551"/>
      <c r="V996" s="551"/>
      <c r="W996" s="551"/>
      <c r="X996" s="551"/>
      <c r="Y996" s="551"/>
      <c r="Z996" s="551"/>
      <c r="AA996" s="551"/>
      <c r="AB996" s="551"/>
      <c r="AC996" s="551"/>
      <c r="AD996" s="551"/>
      <c r="AE996" s="551"/>
      <c r="AF996" s="551"/>
      <c r="AG996" s="551"/>
      <c r="AH996" s="551"/>
      <c r="AI996" s="551"/>
      <c r="AJ996" s="551"/>
      <c r="AK996" s="551"/>
      <c r="AL996" s="551"/>
      <c r="AM996" s="551"/>
      <c r="AN996" s="551"/>
      <c r="AO996" s="551"/>
      <c r="AP996" s="551"/>
      <c r="AQ996" s="551"/>
      <c r="AR996" s="551"/>
      <c r="AS996" s="551"/>
      <c r="AT996" s="551"/>
      <c r="AU996" s="551"/>
      <c r="AV996" s="551"/>
      <c r="AW996" s="551"/>
      <c r="AX996" s="551"/>
      <c r="AY996" s="551"/>
      <c r="AZ996" s="551"/>
      <c r="BA996" s="551"/>
      <c r="BB996" s="551"/>
      <c r="BC996" s="551"/>
      <c r="BD996" s="551"/>
      <c r="BE996" s="551"/>
      <c r="BF996" s="551"/>
      <c r="BG996" s="551"/>
      <c r="BH996" s="551"/>
      <c r="BI996" s="551"/>
      <c r="BJ996" s="551"/>
    </row>
    <row r="997" spans="1:62" ht="12.75" customHeight="1">
      <c r="A997" s="551"/>
      <c r="B997" s="551"/>
      <c r="C997" s="551"/>
      <c r="D997" s="551"/>
      <c r="E997" s="551"/>
      <c r="F997" s="551"/>
      <c r="G997" s="551"/>
      <c r="H997" s="551"/>
      <c r="I997" s="551"/>
      <c r="J997" s="551"/>
      <c r="K997" s="551"/>
      <c r="L997" s="551"/>
      <c r="M997" s="551"/>
      <c r="N997" s="551"/>
      <c r="O997" s="551"/>
      <c r="P997" s="551"/>
      <c r="Q997" s="551"/>
      <c r="R997" s="551"/>
      <c r="S997" s="551"/>
      <c r="T997" s="551"/>
      <c r="U997" s="551"/>
      <c r="V997" s="551"/>
      <c r="W997" s="551"/>
      <c r="X997" s="551"/>
      <c r="Y997" s="551"/>
      <c r="Z997" s="551"/>
      <c r="AA997" s="551"/>
      <c r="AB997" s="551"/>
      <c r="AC997" s="551"/>
      <c r="AD997" s="551"/>
      <c r="AE997" s="551"/>
      <c r="AF997" s="551"/>
      <c r="AG997" s="551"/>
      <c r="AH997" s="551"/>
      <c r="AI997" s="551"/>
      <c r="AJ997" s="551"/>
      <c r="AK997" s="551"/>
      <c r="AL997" s="551"/>
      <c r="AM997" s="551"/>
      <c r="AN997" s="551"/>
      <c r="AO997" s="551"/>
      <c r="AP997" s="551"/>
      <c r="AQ997" s="551"/>
      <c r="AR997" s="551"/>
      <c r="AS997" s="551"/>
      <c r="AT997" s="551"/>
      <c r="AU997" s="551"/>
      <c r="AV997" s="551"/>
      <c r="AW997" s="551"/>
      <c r="AX997" s="551"/>
      <c r="AY997" s="551"/>
      <c r="AZ997" s="551"/>
      <c r="BA997" s="551"/>
      <c r="BB997" s="551"/>
      <c r="BC997" s="551"/>
      <c r="BD997" s="551"/>
      <c r="BE997" s="551"/>
      <c r="BF997" s="551"/>
      <c r="BG997" s="551"/>
      <c r="BH997" s="551"/>
      <c r="BI997" s="551"/>
      <c r="BJ997" s="551"/>
    </row>
    <row r="998" spans="1:62" ht="12.75" customHeight="1">
      <c r="A998" s="551"/>
      <c r="B998" s="551"/>
      <c r="C998" s="551"/>
      <c r="D998" s="551"/>
      <c r="E998" s="551"/>
      <c r="F998" s="551"/>
      <c r="G998" s="551"/>
      <c r="H998" s="551"/>
      <c r="I998" s="551"/>
      <c r="J998" s="551"/>
      <c r="K998" s="551"/>
      <c r="L998" s="551"/>
      <c r="M998" s="551"/>
      <c r="N998" s="551"/>
      <c r="O998" s="551"/>
      <c r="P998" s="551"/>
      <c r="Q998" s="551"/>
      <c r="R998" s="551"/>
      <c r="S998" s="551"/>
      <c r="T998" s="551"/>
      <c r="U998" s="551"/>
      <c r="V998" s="551"/>
      <c r="W998" s="551"/>
      <c r="X998" s="551"/>
      <c r="Y998" s="551"/>
      <c r="Z998" s="551"/>
      <c r="AA998" s="551"/>
      <c r="AB998" s="551"/>
      <c r="AC998" s="551"/>
      <c r="AD998" s="551"/>
      <c r="AE998" s="551"/>
      <c r="AF998" s="551"/>
      <c r="AG998" s="551"/>
      <c r="AH998" s="551"/>
      <c r="AI998" s="551"/>
      <c r="AJ998" s="551"/>
      <c r="AK998" s="551"/>
      <c r="AL998" s="551"/>
      <c r="AM998" s="551"/>
      <c r="AN998" s="551"/>
      <c r="AO998" s="551"/>
      <c r="AP998" s="551"/>
      <c r="AQ998" s="551"/>
      <c r="AR998" s="551"/>
      <c r="AS998" s="551"/>
      <c r="AT998" s="551"/>
      <c r="AU998" s="551"/>
      <c r="AV998" s="551"/>
      <c r="AW998" s="551"/>
      <c r="AX998" s="551"/>
      <c r="AY998" s="551"/>
      <c r="AZ998" s="551"/>
      <c r="BA998" s="551"/>
      <c r="BB998" s="551"/>
      <c r="BC998" s="551"/>
      <c r="BD998" s="551"/>
      <c r="BE998" s="551"/>
      <c r="BF998" s="551"/>
      <c r="BG998" s="551"/>
      <c r="BH998" s="551"/>
      <c r="BI998" s="551"/>
      <c r="BJ998" s="551"/>
    </row>
    <row r="999" spans="1:62" ht="12.75" customHeight="1">
      <c r="A999" s="551"/>
      <c r="B999" s="551"/>
      <c r="C999" s="551"/>
      <c r="D999" s="551"/>
      <c r="E999" s="551"/>
      <c r="F999" s="551"/>
      <c r="G999" s="551"/>
      <c r="H999" s="551"/>
      <c r="I999" s="551"/>
      <c r="J999" s="551"/>
      <c r="K999" s="551"/>
      <c r="L999" s="551"/>
      <c r="M999" s="551"/>
      <c r="N999" s="551"/>
      <c r="O999" s="551"/>
      <c r="P999" s="551"/>
      <c r="Q999" s="551"/>
      <c r="R999" s="551"/>
      <c r="S999" s="551"/>
      <c r="T999" s="551"/>
      <c r="U999" s="551"/>
      <c r="V999" s="551"/>
      <c r="W999" s="551"/>
      <c r="X999" s="551"/>
      <c r="Y999" s="551"/>
      <c r="Z999" s="551"/>
      <c r="AA999" s="551"/>
      <c r="AB999" s="551"/>
      <c r="AC999" s="551"/>
      <c r="AD999" s="551"/>
      <c r="AE999" s="551"/>
      <c r="AF999" s="551"/>
      <c r="AG999" s="551"/>
      <c r="AH999" s="551"/>
      <c r="AI999" s="551"/>
      <c r="AJ999" s="551"/>
      <c r="AK999" s="551"/>
      <c r="AL999" s="551"/>
      <c r="AM999" s="551"/>
      <c r="AN999" s="551"/>
      <c r="AO999" s="551"/>
      <c r="AP999" s="551"/>
      <c r="AQ999" s="551"/>
      <c r="AR999" s="551"/>
      <c r="AS999" s="551"/>
      <c r="AT999" s="551"/>
      <c r="AU999" s="551"/>
      <c r="AV999" s="551"/>
      <c r="AW999" s="551"/>
      <c r="AX999" s="551"/>
      <c r="AY999" s="551"/>
      <c r="AZ999" s="551"/>
      <c r="BA999" s="551"/>
      <c r="BB999" s="551"/>
      <c r="BC999" s="551"/>
      <c r="BD999" s="551"/>
      <c r="BE999" s="551"/>
      <c r="BF999" s="551"/>
      <c r="BG999" s="551"/>
      <c r="BH999" s="551"/>
      <c r="BI999" s="551"/>
      <c r="BJ999" s="551"/>
    </row>
    <row r="1000" spans="1:62" ht="12.75" customHeight="1">
      <c r="A1000" s="551"/>
      <c r="B1000" s="551"/>
      <c r="C1000" s="551"/>
      <c r="D1000" s="551"/>
      <c r="E1000" s="551"/>
      <c r="F1000" s="551"/>
      <c r="G1000" s="551"/>
      <c r="H1000" s="551"/>
      <c r="I1000" s="551"/>
      <c r="J1000" s="551"/>
      <c r="K1000" s="551"/>
      <c r="L1000" s="551"/>
      <c r="M1000" s="551"/>
      <c r="N1000" s="551"/>
      <c r="O1000" s="551"/>
      <c r="P1000" s="551"/>
      <c r="Q1000" s="551"/>
      <c r="R1000" s="551"/>
      <c r="S1000" s="551"/>
      <c r="T1000" s="551"/>
      <c r="U1000" s="551"/>
      <c r="V1000" s="551"/>
      <c r="W1000" s="551"/>
      <c r="X1000" s="551"/>
      <c r="Y1000" s="551"/>
      <c r="Z1000" s="551"/>
      <c r="AA1000" s="551"/>
      <c r="AB1000" s="551"/>
      <c r="AC1000" s="551"/>
      <c r="AD1000" s="551"/>
      <c r="AE1000" s="551"/>
      <c r="AF1000" s="551"/>
      <c r="AG1000" s="551"/>
      <c r="AH1000" s="551"/>
      <c r="AI1000" s="551"/>
      <c r="AJ1000" s="551"/>
      <c r="AK1000" s="551"/>
      <c r="AL1000" s="551"/>
      <c r="AM1000" s="551"/>
      <c r="AN1000" s="551"/>
      <c r="AO1000" s="551"/>
      <c r="AP1000" s="551"/>
      <c r="AQ1000" s="551"/>
      <c r="AR1000" s="551"/>
      <c r="AS1000" s="551"/>
      <c r="AT1000" s="551"/>
      <c r="AU1000" s="551"/>
      <c r="AV1000" s="551"/>
      <c r="AW1000" s="551"/>
      <c r="AX1000" s="551"/>
      <c r="AY1000" s="551"/>
      <c r="AZ1000" s="551"/>
      <c r="BA1000" s="551"/>
      <c r="BB1000" s="551"/>
      <c r="BC1000" s="551"/>
      <c r="BD1000" s="551"/>
      <c r="BE1000" s="551"/>
      <c r="BF1000" s="551"/>
      <c r="BG1000" s="551"/>
      <c r="BH1000" s="551"/>
      <c r="BI1000" s="551"/>
      <c r="BJ1000" s="551"/>
    </row>
    <row r="1001" spans="1:62" ht="12.75" customHeight="1">
      <c r="A1001" s="551"/>
      <c r="B1001" s="551"/>
      <c r="C1001" s="551"/>
      <c r="D1001" s="551"/>
      <c r="E1001" s="551"/>
      <c r="F1001" s="551"/>
      <c r="G1001" s="551"/>
      <c r="H1001" s="551"/>
      <c r="I1001" s="551"/>
      <c r="J1001" s="551"/>
      <c r="K1001" s="551"/>
      <c r="L1001" s="551"/>
      <c r="M1001" s="551"/>
      <c r="N1001" s="551"/>
      <c r="O1001" s="551"/>
      <c r="P1001" s="551"/>
      <c r="Q1001" s="551"/>
      <c r="R1001" s="551"/>
      <c r="S1001" s="551"/>
      <c r="T1001" s="551"/>
      <c r="U1001" s="551"/>
      <c r="V1001" s="551"/>
      <c r="W1001" s="551"/>
      <c r="X1001" s="551"/>
      <c r="Y1001" s="551"/>
      <c r="Z1001" s="551"/>
      <c r="AA1001" s="551"/>
      <c r="AB1001" s="551"/>
      <c r="AC1001" s="551"/>
      <c r="AD1001" s="551"/>
      <c r="AE1001" s="551"/>
      <c r="AF1001" s="551"/>
      <c r="AG1001" s="551"/>
      <c r="AH1001" s="551"/>
      <c r="AI1001" s="551"/>
      <c r="AJ1001" s="551"/>
      <c r="AK1001" s="551"/>
      <c r="AL1001" s="551"/>
      <c r="AM1001" s="551"/>
      <c r="AN1001" s="551"/>
      <c r="AO1001" s="551"/>
      <c r="AP1001" s="551"/>
      <c r="AQ1001" s="551"/>
      <c r="AR1001" s="551"/>
      <c r="AS1001" s="551"/>
      <c r="AT1001" s="551"/>
      <c r="AU1001" s="551"/>
      <c r="AV1001" s="551"/>
      <c r="AW1001" s="551"/>
      <c r="AX1001" s="551"/>
      <c r="AY1001" s="551"/>
      <c r="AZ1001" s="551"/>
      <c r="BA1001" s="551"/>
      <c r="BB1001" s="551"/>
      <c r="BC1001" s="551"/>
      <c r="BD1001" s="551"/>
      <c r="BE1001" s="551"/>
      <c r="BF1001" s="551"/>
      <c r="BG1001" s="551"/>
      <c r="BH1001" s="551"/>
      <c r="BI1001" s="551"/>
      <c r="BJ1001" s="551"/>
    </row>
    <row r="1002" spans="1:62" ht="12.75" customHeight="1">
      <c r="A1002" s="551"/>
      <c r="B1002" s="551"/>
      <c r="C1002" s="551"/>
      <c r="D1002" s="551"/>
      <c r="E1002" s="551"/>
      <c r="F1002" s="551"/>
      <c r="G1002" s="551"/>
      <c r="H1002" s="551"/>
      <c r="I1002" s="551"/>
      <c r="J1002" s="551"/>
      <c r="K1002" s="551"/>
      <c r="L1002" s="551"/>
      <c r="M1002" s="551"/>
      <c r="N1002" s="551"/>
      <c r="O1002" s="551"/>
      <c r="P1002" s="551"/>
      <c r="Q1002" s="551"/>
      <c r="R1002" s="551"/>
      <c r="S1002" s="551"/>
      <c r="T1002" s="551"/>
      <c r="U1002" s="551"/>
      <c r="V1002" s="551"/>
      <c r="W1002" s="551"/>
      <c r="X1002" s="551"/>
      <c r="Y1002" s="551"/>
      <c r="Z1002" s="551"/>
      <c r="AA1002" s="551"/>
      <c r="AB1002" s="551"/>
      <c r="AC1002" s="551"/>
      <c r="AD1002" s="551"/>
      <c r="AE1002" s="551"/>
      <c r="AF1002" s="551"/>
      <c r="AG1002" s="551"/>
      <c r="AH1002" s="551"/>
      <c r="AI1002" s="551"/>
      <c r="AJ1002" s="551"/>
      <c r="AK1002" s="551"/>
      <c r="AL1002" s="551"/>
      <c r="AM1002" s="551"/>
      <c r="AN1002" s="551"/>
      <c r="AO1002" s="551"/>
      <c r="AP1002" s="551"/>
      <c r="AQ1002" s="551"/>
      <c r="AR1002" s="551"/>
      <c r="AS1002" s="551"/>
      <c r="AT1002" s="551"/>
      <c r="AU1002" s="551"/>
      <c r="AV1002" s="551"/>
      <c r="AW1002" s="551"/>
      <c r="AX1002" s="551"/>
      <c r="AY1002" s="551"/>
      <c r="AZ1002" s="551"/>
      <c r="BA1002" s="551"/>
      <c r="BB1002" s="551"/>
      <c r="BC1002" s="551"/>
      <c r="BD1002" s="551"/>
      <c r="BE1002" s="551"/>
      <c r="BF1002" s="551"/>
      <c r="BG1002" s="551"/>
      <c r="BH1002" s="551"/>
      <c r="BI1002" s="551"/>
      <c r="BJ1002" s="551"/>
    </row>
    <row r="1003" spans="1:62" ht="12.75" customHeight="1">
      <c r="A1003" s="551"/>
      <c r="B1003" s="551"/>
      <c r="C1003" s="551"/>
      <c r="D1003" s="551"/>
      <c r="E1003" s="551"/>
      <c r="F1003" s="551"/>
      <c r="G1003" s="551"/>
      <c r="H1003" s="551"/>
      <c r="I1003" s="551"/>
      <c r="J1003" s="551"/>
      <c r="K1003" s="551"/>
      <c r="L1003" s="551"/>
      <c r="M1003" s="551"/>
      <c r="N1003" s="551"/>
      <c r="O1003" s="551"/>
      <c r="P1003" s="551"/>
      <c r="Q1003" s="551"/>
      <c r="R1003" s="551"/>
      <c r="S1003" s="551"/>
      <c r="T1003" s="551"/>
      <c r="U1003" s="551"/>
      <c r="V1003" s="551"/>
      <c r="W1003" s="551"/>
      <c r="X1003" s="551"/>
      <c r="Y1003" s="551"/>
      <c r="Z1003" s="551"/>
      <c r="AA1003" s="551"/>
      <c r="AB1003" s="551"/>
      <c r="AC1003" s="551"/>
      <c r="AD1003" s="551"/>
      <c r="AE1003" s="551"/>
      <c r="AF1003" s="551"/>
      <c r="AG1003" s="551"/>
      <c r="AH1003" s="551"/>
      <c r="AI1003" s="551"/>
      <c r="AJ1003" s="551"/>
      <c r="AK1003" s="551"/>
      <c r="AL1003" s="551"/>
      <c r="AM1003" s="551"/>
      <c r="AN1003" s="551"/>
      <c r="AO1003" s="551"/>
      <c r="AP1003" s="551"/>
      <c r="AQ1003" s="551"/>
      <c r="AR1003" s="551"/>
      <c r="AS1003" s="551"/>
      <c r="AT1003" s="551"/>
      <c r="AU1003" s="551"/>
      <c r="AV1003" s="551"/>
      <c r="AW1003" s="551"/>
      <c r="AX1003" s="551"/>
      <c r="AY1003" s="551"/>
      <c r="AZ1003" s="551"/>
      <c r="BA1003" s="551"/>
      <c r="BB1003" s="551"/>
      <c r="BC1003" s="551"/>
      <c r="BD1003" s="551"/>
      <c r="BE1003" s="551"/>
      <c r="BF1003" s="551"/>
      <c r="BG1003" s="551"/>
      <c r="BH1003" s="551"/>
      <c r="BI1003" s="551"/>
      <c r="BJ1003" s="551"/>
    </row>
    <row r="1004" spans="1:62" ht="12.75" customHeight="1">
      <c r="A1004" s="551"/>
      <c r="B1004" s="551"/>
      <c r="C1004" s="551"/>
      <c r="D1004" s="551"/>
      <c r="E1004" s="551"/>
      <c r="F1004" s="551"/>
      <c r="G1004" s="551"/>
      <c r="H1004" s="551"/>
      <c r="I1004" s="551"/>
      <c r="J1004" s="551"/>
      <c r="K1004" s="551"/>
      <c r="L1004" s="551"/>
      <c r="M1004" s="551"/>
      <c r="N1004" s="551"/>
      <c r="O1004" s="551"/>
      <c r="P1004" s="551"/>
      <c r="Q1004" s="551"/>
      <c r="R1004" s="551"/>
      <c r="S1004" s="551"/>
      <c r="T1004" s="551"/>
      <c r="U1004" s="551"/>
      <c r="V1004" s="551"/>
      <c r="W1004" s="551"/>
      <c r="X1004" s="551"/>
      <c r="Y1004" s="551"/>
      <c r="Z1004" s="551"/>
      <c r="AA1004" s="551"/>
      <c r="AB1004" s="551"/>
      <c r="AC1004" s="551"/>
      <c r="AD1004" s="551"/>
      <c r="AE1004" s="551"/>
      <c r="AF1004" s="551"/>
      <c r="AG1004" s="551"/>
      <c r="AH1004" s="551"/>
      <c r="AI1004" s="551"/>
      <c r="AJ1004" s="551"/>
      <c r="AK1004" s="551"/>
      <c r="AL1004" s="551"/>
      <c r="AM1004" s="551"/>
      <c r="AN1004" s="551"/>
      <c r="AO1004" s="551"/>
      <c r="AP1004" s="551"/>
      <c r="AQ1004" s="551"/>
      <c r="AR1004" s="551"/>
      <c r="AS1004" s="551"/>
      <c r="AT1004" s="551"/>
      <c r="AU1004" s="551"/>
      <c r="AV1004" s="551"/>
      <c r="AW1004" s="551"/>
      <c r="AX1004" s="551"/>
      <c r="AY1004" s="551"/>
      <c r="AZ1004" s="551"/>
      <c r="BA1004" s="551"/>
      <c r="BB1004" s="551"/>
      <c r="BC1004" s="551"/>
      <c r="BD1004" s="551"/>
      <c r="BE1004" s="551"/>
      <c r="BF1004" s="551"/>
      <c r="BG1004" s="551"/>
      <c r="BH1004" s="551"/>
      <c r="BI1004" s="551"/>
      <c r="BJ1004" s="551"/>
    </row>
    <row r="1005" spans="1:62" ht="12.75" customHeight="1">
      <c r="A1005" s="551"/>
      <c r="B1005" s="551"/>
      <c r="C1005" s="551"/>
      <c r="D1005" s="551"/>
      <c r="E1005" s="551"/>
      <c r="F1005" s="551"/>
      <c r="G1005" s="551"/>
      <c r="H1005" s="551"/>
      <c r="I1005" s="551"/>
      <c r="J1005" s="551"/>
      <c r="K1005" s="551"/>
      <c r="L1005" s="551"/>
      <c r="M1005" s="551"/>
      <c r="N1005" s="551"/>
      <c r="O1005" s="551"/>
      <c r="P1005" s="551"/>
      <c r="Q1005" s="551"/>
      <c r="R1005" s="551"/>
      <c r="S1005" s="551"/>
      <c r="T1005" s="551"/>
      <c r="U1005" s="551"/>
      <c r="V1005" s="551"/>
      <c r="W1005" s="551"/>
      <c r="X1005" s="551"/>
      <c r="Y1005" s="551"/>
      <c r="Z1005" s="551"/>
      <c r="AA1005" s="551"/>
      <c r="AB1005" s="551"/>
      <c r="AC1005" s="551"/>
      <c r="AD1005" s="551"/>
      <c r="AE1005" s="551"/>
      <c r="AF1005" s="551"/>
      <c r="AG1005" s="551"/>
      <c r="AH1005" s="551"/>
      <c r="AI1005" s="551"/>
      <c r="AJ1005" s="551"/>
      <c r="AK1005" s="551"/>
      <c r="AL1005" s="551"/>
      <c r="AM1005" s="551"/>
      <c r="AN1005" s="551"/>
      <c r="AO1005" s="551"/>
      <c r="AP1005" s="551"/>
      <c r="AQ1005" s="551"/>
      <c r="AR1005" s="551"/>
      <c r="AS1005" s="551"/>
      <c r="AT1005" s="551"/>
      <c r="AU1005" s="551"/>
      <c r="AV1005" s="551"/>
      <c r="AW1005" s="551"/>
      <c r="AX1005" s="551"/>
      <c r="AY1005" s="551"/>
      <c r="AZ1005" s="551"/>
      <c r="BA1005" s="551"/>
      <c r="BB1005" s="551"/>
      <c r="BC1005" s="551"/>
      <c r="BD1005" s="551"/>
      <c r="BE1005" s="551"/>
      <c r="BF1005" s="551"/>
      <c r="BG1005" s="551"/>
      <c r="BH1005" s="551"/>
      <c r="BI1005" s="551"/>
      <c r="BJ1005" s="551"/>
    </row>
    <row r="1006" spans="1:62" ht="12.75" customHeight="1">
      <c r="A1006" s="551"/>
      <c r="B1006" s="551"/>
      <c r="C1006" s="551"/>
      <c r="D1006" s="551"/>
      <c r="E1006" s="551"/>
      <c r="F1006" s="551"/>
      <c r="G1006" s="551"/>
      <c r="H1006" s="551"/>
      <c r="I1006" s="551"/>
      <c r="J1006" s="551"/>
      <c r="K1006" s="551"/>
      <c r="L1006" s="551"/>
      <c r="M1006" s="551"/>
      <c r="N1006" s="551"/>
      <c r="O1006" s="551"/>
      <c r="P1006" s="551"/>
      <c r="Q1006" s="551"/>
      <c r="R1006" s="551"/>
      <c r="S1006" s="551"/>
      <c r="T1006" s="551"/>
      <c r="U1006" s="551"/>
      <c r="V1006" s="551"/>
      <c r="W1006" s="551"/>
      <c r="X1006" s="551"/>
      <c r="Y1006" s="551"/>
      <c r="Z1006" s="551"/>
      <c r="AA1006" s="551"/>
      <c r="AB1006" s="551"/>
      <c r="AC1006" s="551"/>
      <c r="AD1006" s="551"/>
      <c r="AE1006" s="551"/>
      <c r="AF1006" s="551"/>
      <c r="AG1006" s="551"/>
      <c r="AH1006" s="551"/>
      <c r="AI1006" s="551"/>
      <c r="AJ1006" s="551"/>
      <c r="AK1006" s="551"/>
      <c r="AL1006" s="551"/>
      <c r="AM1006" s="551"/>
      <c r="AN1006" s="551"/>
      <c r="AO1006" s="551"/>
      <c r="AP1006" s="551"/>
      <c r="AQ1006" s="551"/>
      <c r="AR1006" s="551"/>
      <c r="AS1006" s="551"/>
      <c r="AT1006" s="551"/>
      <c r="AU1006" s="551"/>
      <c r="AV1006" s="551"/>
      <c r="AW1006" s="551"/>
      <c r="AX1006" s="551"/>
      <c r="AY1006" s="551"/>
      <c r="AZ1006" s="551"/>
      <c r="BA1006" s="551"/>
      <c r="BB1006" s="551"/>
      <c r="BC1006" s="551"/>
      <c r="BD1006" s="551"/>
      <c r="BE1006" s="551"/>
      <c r="BF1006" s="551"/>
      <c r="BG1006" s="551"/>
      <c r="BH1006" s="551"/>
      <c r="BI1006" s="551"/>
      <c r="BJ1006" s="551"/>
    </row>
    <row r="1007" spans="1:62" ht="12.75" customHeight="1">
      <c r="A1007" s="551"/>
      <c r="B1007" s="551"/>
      <c r="C1007" s="551"/>
      <c r="D1007" s="551"/>
      <c r="E1007" s="551"/>
      <c r="F1007" s="551"/>
      <c r="G1007" s="551"/>
      <c r="H1007" s="551"/>
      <c r="I1007" s="551"/>
      <c r="J1007" s="551"/>
      <c r="K1007" s="551"/>
      <c r="L1007" s="551"/>
      <c r="M1007" s="551"/>
      <c r="N1007" s="551"/>
      <c r="O1007" s="551"/>
      <c r="P1007" s="551"/>
      <c r="Q1007" s="551"/>
      <c r="R1007" s="551"/>
      <c r="S1007" s="551"/>
      <c r="T1007" s="551"/>
      <c r="U1007" s="551"/>
      <c r="V1007" s="551"/>
      <c r="W1007" s="551"/>
      <c r="X1007" s="551"/>
      <c r="Y1007" s="551"/>
      <c r="Z1007" s="551"/>
      <c r="AA1007" s="551"/>
      <c r="AB1007" s="551"/>
      <c r="AC1007" s="551"/>
      <c r="AD1007" s="551"/>
      <c r="AE1007" s="551"/>
      <c r="AF1007" s="551"/>
      <c r="AG1007" s="551"/>
      <c r="AH1007" s="551"/>
      <c r="AI1007" s="551"/>
      <c r="AJ1007" s="551"/>
      <c r="AK1007" s="551"/>
      <c r="AL1007" s="551"/>
      <c r="AM1007" s="551"/>
      <c r="AN1007" s="551"/>
      <c r="AO1007" s="551"/>
      <c r="AP1007" s="551"/>
      <c r="AQ1007" s="551"/>
      <c r="AR1007" s="551"/>
      <c r="AS1007" s="551"/>
      <c r="AT1007" s="551"/>
      <c r="AU1007" s="551"/>
      <c r="AV1007" s="551"/>
      <c r="AW1007" s="551"/>
      <c r="AX1007" s="551"/>
      <c r="AY1007" s="551"/>
      <c r="AZ1007" s="551"/>
      <c r="BA1007" s="551"/>
      <c r="BB1007" s="551"/>
      <c r="BC1007" s="551"/>
      <c r="BD1007" s="551"/>
      <c r="BE1007" s="551"/>
      <c r="BF1007" s="551"/>
      <c r="BG1007" s="551"/>
      <c r="BH1007" s="551"/>
      <c r="BI1007" s="551"/>
      <c r="BJ1007" s="551"/>
    </row>
    <row r="1008" spans="1:62" ht="12.75" customHeight="1">
      <c r="A1008" s="551"/>
      <c r="B1008" s="551"/>
      <c r="C1008" s="551"/>
      <c r="D1008" s="551"/>
      <c r="E1008" s="551"/>
      <c r="F1008" s="551"/>
      <c r="G1008" s="551"/>
      <c r="H1008" s="551"/>
      <c r="I1008" s="551"/>
      <c r="J1008" s="551"/>
      <c r="K1008" s="551"/>
      <c r="L1008" s="551"/>
      <c r="M1008" s="551"/>
      <c r="N1008" s="551"/>
      <c r="O1008" s="551"/>
      <c r="P1008" s="551"/>
      <c r="Q1008" s="551"/>
      <c r="R1008" s="551"/>
      <c r="S1008" s="551"/>
      <c r="T1008" s="551"/>
      <c r="U1008" s="551"/>
      <c r="V1008" s="551"/>
      <c r="W1008" s="551"/>
      <c r="X1008" s="551"/>
      <c r="Y1008" s="551"/>
      <c r="Z1008" s="551"/>
      <c r="AA1008" s="551"/>
      <c r="AB1008" s="551"/>
      <c r="AC1008" s="551"/>
      <c r="AD1008" s="551"/>
      <c r="AE1008" s="551"/>
      <c r="AF1008" s="551"/>
      <c r="AG1008" s="551"/>
      <c r="AH1008" s="551"/>
      <c r="AI1008" s="551"/>
      <c r="AJ1008" s="551"/>
      <c r="AK1008" s="551"/>
      <c r="AL1008" s="551"/>
      <c r="AM1008" s="551"/>
      <c r="AN1008" s="551"/>
      <c r="AO1008" s="551"/>
      <c r="AP1008" s="551"/>
      <c r="AQ1008" s="551"/>
      <c r="AR1008" s="551"/>
      <c r="AS1008" s="551"/>
      <c r="AT1008" s="551"/>
      <c r="AU1008" s="551"/>
      <c r="AV1008" s="551"/>
      <c r="AW1008" s="551"/>
      <c r="AX1008" s="551"/>
      <c r="AY1008" s="551"/>
      <c r="AZ1008" s="551"/>
      <c r="BA1008" s="551"/>
      <c r="BB1008" s="551"/>
      <c r="BC1008" s="551"/>
      <c r="BD1008" s="551"/>
      <c r="BE1008" s="551"/>
      <c r="BF1008" s="551"/>
      <c r="BG1008" s="551"/>
      <c r="BH1008" s="551"/>
      <c r="BI1008" s="551"/>
      <c r="BJ1008" s="551"/>
    </row>
    <row r="1009" spans="1:62" ht="12.75" customHeight="1">
      <c r="A1009" s="551"/>
      <c r="B1009" s="551"/>
      <c r="C1009" s="551"/>
      <c r="D1009" s="551"/>
      <c r="E1009" s="551"/>
      <c r="F1009" s="551"/>
      <c r="G1009" s="551"/>
      <c r="H1009" s="551"/>
      <c r="I1009" s="551"/>
      <c r="J1009" s="551"/>
      <c r="K1009" s="551"/>
      <c r="L1009" s="551"/>
      <c r="M1009" s="551"/>
      <c r="N1009" s="551"/>
      <c r="O1009" s="551"/>
      <c r="P1009" s="551"/>
      <c r="Q1009" s="551"/>
      <c r="R1009" s="551"/>
      <c r="S1009" s="551"/>
      <c r="T1009" s="551"/>
      <c r="U1009" s="551"/>
      <c r="V1009" s="551"/>
      <c r="W1009" s="551"/>
      <c r="X1009" s="551"/>
      <c r="Y1009" s="551"/>
      <c r="Z1009" s="551"/>
      <c r="AA1009" s="551"/>
      <c r="AB1009" s="551"/>
      <c r="AC1009" s="551"/>
      <c r="AD1009" s="551"/>
      <c r="AE1009" s="551"/>
      <c r="AF1009" s="551"/>
      <c r="AG1009" s="551"/>
      <c r="AH1009" s="551"/>
      <c r="AI1009" s="551"/>
      <c r="AJ1009" s="551"/>
      <c r="AK1009" s="551"/>
      <c r="AL1009" s="551"/>
      <c r="AM1009" s="551"/>
      <c r="AN1009" s="551"/>
      <c r="AO1009" s="551"/>
      <c r="AP1009" s="551"/>
      <c r="AQ1009" s="551"/>
      <c r="AR1009" s="551"/>
      <c r="AS1009" s="551"/>
      <c r="AT1009" s="551"/>
      <c r="AU1009" s="551"/>
      <c r="AV1009" s="551"/>
      <c r="AW1009" s="551"/>
      <c r="AX1009" s="551"/>
      <c r="AY1009" s="551"/>
      <c r="AZ1009" s="551"/>
      <c r="BA1009" s="551"/>
      <c r="BB1009" s="551"/>
      <c r="BC1009" s="551"/>
      <c r="BD1009" s="551"/>
      <c r="BE1009" s="551"/>
      <c r="BF1009" s="551"/>
      <c r="BG1009" s="551"/>
      <c r="BH1009" s="551"/>
      <c r="BI1009" s="551"/>
      <c r="BJ1009" s="551"/>
    </row>
    <row r="1010" spans="1:62">
      <c r="BI1010" s="551"/>
      <c r="BJ1010" s="551"/>
    </row>
    <row r="1011" spans="1:62">
      <c r="BI1011" s="551"/>
      <c r="BJ1011" s="551"/>
    </row>
  </sheetData>
  <mergeCells count="55">
    <mergeCell ref="J4:J5"/>
    <mergeCell ref="C4:C5"/>
    <mergeCell ref="E4:E5"/>
    <mergeCell ref="F4:F5"/>
    <mergeCell ref="G4:G5"/>
    <mergeCell ref="H4:H5"/>
    <mergeCell ref="D4:D5"/>
    <mergeCell ref="W4:W5"/>
    <mergeCell ref="K4:K5"/>
    <mergeCell ref="L4:L5"/>
    <mergeCell ref="M4:M5"/>
    <mergeCell ref="N4:N5"/>
    <mergeCell ref="P4:P5"/>
    <mergeCell ref="Q4:Q5"/>
    <mergeCell ref="R4:R5"/>
    <mergeCell ref="S4:S5"/>
    <mergeCell ref="T4:T5"/>
    <mergeCell ref="U4:U5"/>
    <mergeCell ref="V4:V5"/>
    <mergeCell ref="AI4:AI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X4:AX5"/>
    <mergeCell ref="AJ4:AJ5"/>
    <mergeCell ref="AK4:AK5"/>
    <mergeCell ref="AL4:AL5"/>
    <mergeCell ref="AM4:AM5"/>
    <mergeCell ref="AN4:AN5"/>
    <mergeCell ref="AR4:AR5"/>
    <mergeCell ref="AS4:AS5"/>
    <mergeCell ref="AT4:AT5"/>
    <mergeCell ref="AU4:AU5"/>
    <mergeCell ref="AV4:AV5"/>
    <mergeCell ref="AW4:AW5"/>
    <mergeCell ref="AO4:AO5"/>
    <mergeCell ref="AP4:AP5"/>
    <mergeCell ref="AQ4:AQ5"/>
    <mergeCell ref="BE4:BE5"/>
    <mergeCell ref="BF4:BF5"/>
    <mergeCell ref="BG4:BG5"/>
    <mergeCell ref="AY4:AY5"/>
    <mergeCell ref="AZ4:AZ5"/>
    <mergeCell ref="BA4:BA5"/>
    <mergeCell ref="BB4:BB5"/>
    <mergeCell ref="BC4:BC5"/>
    <mergeCell ref="BD4:B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C3E8-9228-43ED-AB87-6DA575AC950A}">
  <sheetPr>
    <tabColor rgb="FFCC66FF"/>
  </sheetPr>
  <dimension ref="A1:BE1005"/>
  <sheetViews>
    <sheetView showGridLines="0" workbookViewId="0">
      <pane xSplit="3" ySplit="5" topLeftCell="AF6" activePane="bottomRight" state="frozen"/>
      <selection pane="bottomRight" sqref="A1:XFD1048576"/>
      <selection pane="bottomLeft" activeCell="A6" sqref="A6"/>
      <selection pane="topRight" activeCell="D1" sqref="D1"/>
    </sheetView>
  </sheetViews>
  <sheetFormatPr defaultColWidth="14.42578125" defaultRowHeight="12.6"/>
  <cols>
    <col min="1" max="1" width="35.42578125" style="519" customWidth="1"/>
    <col min="2" max="2" width="17.5703125" style="519" customWidth="1"/>
    <col min="3" max="34" width="15.5703125" style="519" customWidth="1"/>
    <col min="35" max="35" width="18" style="519" customWidth="1"/>
    <col min="36" max="53" width="15.5703125" style="519" customWidth="1"/>
    <col min="54" max="54" width="16.42578125" style="519" customWidth="1"/>
    <col min="55" max="55" width="15.5703125" style="519" customWidth="1"/>
    <col min="56" max="57" width="13.5703125" style="519" bestFit="1" customWidth="1"/>
    <col min="58" max="16384" width="14.42578125" style="519"/>
  </cols>
  <sheetData>
    <row r="1" spans="1:57" ht="12.75" customHeight="1">
      <c r="A1" s="551" t="s">
        <v>186</v>
      </c>
      <c r="B1" s="973">
        <f>SUM(C7:W7)</f>
        <v>331143637453</v>
      </c>
      <c r="C1" s="977">
        <f>B1-'BS Konsol-Des 24'!K42</f>
        <v>0</v>
      </c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7"/>
      <c r="AS1" s="517"/>
      <c r="AT1" s="517"/>
      <c r="AU1" s="517"/>
      <c r="AV1" s="517"/>
      <c r="AW1" s="517"/>
      <c r="AX1" s="517"/>
      <c r="AY1" s="517"/>
      <c r="AZ1" s="517"/>
      <c r="BA1" s="517"/>
      <c r="BB1" s="517"/>
      <c r="BC1" s="518"/>
      <c r="BD1" s="518"/>
      <c r="BE1" s="518"/>
    </row>
    <row r="2" spans="1:57" ht="12.75" customHeight="1">
      <c r="A2" s="551" t="s">
        <v>187</v>
      </c>
      <c r="B2" s="551">
        <f>SUM(X7:AL7)</f>
        <v>-222773447401</v>
      </c>
      <c r="C2" s="977">
        <f>B2+'BS Konsol-Des 24'!K82</f>
        <v>0</v>
      </c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517"/>
      <c r="AK2" s="517"/>
      <c r="AL2" s="517"/>
      <c r="AM2" s="517"/>
      <c r="AN2" s="517"/>
      <c r="AO2" s="517"/>
      <c r="AP2" s="517"/>
      <c r="AQ2" s="517" t="s">
        <v>1536</v>
      </c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8"/>
      <c r="BD2" s="518"/>
      <c r="BE2" s="518"/>
    </row>
    <row r="3" spans="1:57" ht="12.75" customHeight="1">
      <c r="A3" s="551" t="s">
        <v>93</v>
      </c>
      <c r="B3" s="551">
        <f>SUM(AM7:BB7)</f>
        <v>-108370190052</v>
      </c>
      <c r="C3" s="977">
        <f>B3+'BS Konsol-Des 24'!K107</f>
        <v>0</v>
      </c>
      <c r="D3" s="521"/>
      <c r="E3" s="521"/>
      <c r="F3" s="521"/>
      <c r="G3" s="521"/>
      <c r="H3" s="521"/>
      <c r="I3" s="521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  <c r="AM3" s="517"/>
      <c r="AN3" s="517"/>
      <c r="AO3" s="517"/>
      <c r="AP3" s="517"/>
      <c r="AQ3" s="517"/>
      <c r="AR3" s="517"/>
      <c r="AS3" s="517"/>
      <c r="AT3" s="517"/>
      <c r="AU3" s="517"/>
      <c r="AV3" s="517"/>
      <c r="AW3" s="517"/>
      <c r="AX3" s="517"/>
      <c r="AY3" s="517"/>
      <c r="AZ3" s="517"/>
      <c r="BA3" s="517"/>
      <c r="BB3" s="517"/>
      <c r="BC3" s="518"/>
      <c r="BD3" s="518"/>
      <c r="BE3" s="518"/>
    </row>
    <row r="4" spans="1:57" ht="12.75" customHeight="1">
      <c r="A4" s="522"/>
      <c r="B4" s="522"/>
      <c r="C4" s="2464" t="s">
        <v>188</v>
      </c>
      <c r="D4" s="2464" t="s">
        <v>189</v>
      </c>
      <c r="E4" s="2464" t="s">
        <v>190</v>
      </c>
      <c r="F4" s="2464" t="s">
        <v>191</v>
      </c>
      <c r="G4" s="2464" t="s">
        <v>192</v>
      </c>
      <c r="H4" s="523" t="s">
        <v>193</v>
      </c>
      <c r="I4" s="2464" t="s">
        <v>194</v>
      </c>
      <c r="J4" s="2464" t="s">
        <v>59</v>
      </c>
      <c r="K4" s="2464" t="s">
        <v>195</v>
      </c>
      <c r="L4" s="2464" t="s">
        <v>1537</v>
      </c>
      <c r="M4" s="2464" t="s">
        <v>196</v>
      </c>
      <c r="N4" s="523" t="s">
        <v>197</v>
      </c>
      <c r="O4" s="2475" t="s">
        <v>198</v>
      </c>
      <c r="P4" s="2475" t="s">
        <v>199</v>
      </c>
      <c r="Q4" s="2475" t="s">
        <v>200</v>
      </c>
      <c r="R4" s="2464" t="s">
        <v>201</v>
      </c>
      <c r="S4" s="2464" t="s">
        <v>202</v>
      </c>
      <c r="T4" s="2464" t="s">
        <v>203</v>
      </c>
      <c r="U4" s="2476" t="s">
        <v>204</v>
      </c>
      <c r="V4" s="2464" t="s">
        <v>68</v>
      </c>
      <c r="W4" s="2464" t="s">
        <v>1538</v>
      </c>
      <c r="X4" s="2474" t="s">
        <v>206</v>
      </c>
      <c r="Y4" s="2464" t="s">
        <v>207</v>
      </c>
      <c r="Z4" s="2464" t="s">
        <v>208</v>
      </c>
      <c r="AA4" s="2464" t="s">
        <v>209</v>
      </c>
      <c r="AB4" s="2464" t="s">
        <v>210</v>
      </c>
      <c r="AC4" s="2464" t="s">
        <v>211</v>
      </c>
      <c r="AD4" s="2464" t="s">
        <v>212</v>
      </c>
      <c r="AE4" s="2464" t="s">
        <v>213</v>
      </c>
      <c r="AF4" s="2464" t="s">
        <v>1539</v>
      </c>
      <c r="AG4" s="2464" t="s">
        <v>1528</v>
      </c>
      <c r="AH4" s="2464" t="s">
        <v>216</v>
      </c>
      <c r="AI4" s="2464" t="s">
        <v>217</v>
      </c>
      <c r="AJ4" s="2464" t="s">
        <v>1540</v>
      </c>
      <c r="AK4" s="2464" t="s">
        <v>219</v>
      </c>
      <c r="AL4" s="2471" t="s">
        <v>1541</v>
      </c>
      <c r="AM4" s="2472" t="s">
        <v>94</v>
      </c>
      <c r="AN4" s="2472" t="s">
        <v>95</v>
      </c>
      <c r="AO4" s="2472" t="s">
        <v>220</v>
      </c>
      <c r="AP4" s="2472" t="s">
        <v>221</v>
      </c>
      <c r="AQ4" s="2473" t="s">
        <v>1542</v>
      </c>
      <c r="AR4" s="2378" t="s">
        <v>1543</v>
      </c>
      <c r="AS4" s="2378" t="s">
        <v>1544</v>
      </c>
      <c r="AT4" s="2470" t="s">
        <v>98</v>
      </c>
      <c r="AU4" s="2464" t="s">
        <v>163</v>
      </c>
      <c r="AV4" s="2465" t="s">
        <v>225</v>
      </c>
      <c r="AW4" s="2465" t="s">
        <v>115</v>
      </c>
      <c r="AX4" s="2466" t="s">
        <v>226</v>
      </c>
      <c r="AY4" s="2467" t="s">
        <v>227</v>
      </c>
      <c r="AZ4" s="2468" t="s">
        <v>228</v>
      </c>
      <c r="BA4" s="2462" t="s">
        <v>229</v>
      </c>
      <c r="BB4" s="2463" t="s">
        <v>231</v>
      </c>
      <c r="BC4" s="524"/>
      <c r="BD4" s="518"/>
      <c r="BE4" s="518"/>
    </row>
    <row r="5" spans="1:57" ht="24.75" customHeight="1">
      <c r="A5" s="525"/>
      <c r="B5" s="525"/>
      <c r="C5" s="2504"/>
      <c r="D5" s="2504"/>
      <c r="E5" s="2504"/>
      <c r="F5" s="2504"/>
      <c r="G5" s="2504"/>
      <c r="H5" s="523" t="s">
        <v>87</v>
      </c>
      <c r="I5" s="2504"/>
      <c r="J5" s="2504"/>
      <c r="K5" s="2464"/>
      <c r="L5" s="2464"/>
      <c r="M5" s="2464"/>
      <c r="N5" s="523" t="s">
        <v>232</v>
      </c>
      <c r="O5" s="2504"/>
      <c r="P5" s="2504"/>
      <c r="Q5" s="2504"/>
      <c r="R5" s="2504"/>
      <c r="S5" s="2504"/>
      <c r="T5" s="2504"/>
      <c r="U5" s="2505"/>
      <c r="V5" s="2504"/>
      <c r="W5" s="2464"/>
      <c r="X5" s="2474"/>
      <c r="Y5" s="2464"/>
      <c r="Z5" s="2504"/>
      <c r="AA5" s="2504"/>
      <c r="AB5" s="2504"/>
      <c r="AC5" s="2504"/>
      <c r="AD5" s="2504"/>
      <c r="AE5" s="2504"/>
      <c r="AF5" s="2504"/>
      <c r="AG5" s="2504"/>
      <c r="AH5" s="2504"/>
      <c r="AI5" s="2504"/>
      <c r="AJ5" s="2504"/>
      <c r="AK5" s="2504"/>
      <c r="AL5" s="2506"/>
      <c r="AM5" s="2504"/>
      <c r="AN5" s="2504"/>
      <c r="AO5" s="2504"/>
      <c r="AP5" s="2504"/>
      <c r="AQ5" s="2507"/>
      <c r="AR5" s="2379"/>
      <c r="AS5" s="2379"/>
      <c r="AT5" s="2504"/>
      <c r="AU5" s="2504"/>
      <c r="AV5" s="2504"/>
      <c r="AW5" s="2504"/>
      <c r="AX5" s="2504"/>
      <c r="AY5" s="2504"/>
      <c r="AZ5" s="2469"/>
      <c r="BA5" s="2504"/>
      <c r="BB5" s="2504"/>
      <c r="BC5" s="518"/>
      <c r="BD5" s="518"/>
      <c r="BE5" s="518"/>
    </row>
    <row r="6" spans="1:57" ht="12.75" customHeight="1">
      <c r="A6" s="525"/>
      <c r="B6" s="526"/>
      <c r="C6" s="527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28"/>
      <c r="U6" s="528"/>
      <c r="V6" s="528"/>
      <c r="W6" s="528"/>
      <c r="X6" s="528"/>
      <c r="Y6" s="528"/>
      <c r="Z6" s="528"/>
      <c r="AA6" s="528"/>
      <c r="AB6" s="528"/>
      <c r="AC6" s="528"/>
      <c r="AD6" s="528"/>
      <c r="AE6" s="528"/>
      <c r="AF6" s="528"/>
      <c r="AG6" s="528"/>
      <c r="AH6" s="528"/>
      <c r="AI6" s="528"/>
      <c r="AJ6" s="528"/>
      <c r="AK6" s="528"/>
      <c r="AL6" s="528"/>
      <c r="AM6" s="528"/>
      <c r="AN6" s="528"/>
      <c r="AO6" s="528"/>
      <c r="AP6" s="528"/>
      <c r="AQ6" s="528"/>
      <c r="AR6" s="528"/>
      <c r="AS6" s="528"/>
      <c r="AT6" s="581"/>
      <c r="AU6" s="581"/>
      <c r="AV6" s="581"/>
      <c r="AW6" s="581"/>
      <c r="AX6" s="582"/>
      <c r="AY6" s="582"/>
      <c r="AZ6" s="582"/>
      <c r="BA6" s="582"/>
      <c r="BB6" s="582"/>
      <c r="BC6" s="518"/>
      <c r="BD6" s="518"/>
      <c r="BE6" s="515"/>
    </row>
    <row r="7" spans="1:57" ht="12.75" customHeight="1">
      <c r="A7" s="529"/>
      <c r="B7" s="526">
        <v>45199</v>
      </c>
      <c r="C7" s="530">
        <f>'BS Konsol-Des 24'!K11</f>
        <v>2814373246</v>
      </c>
      <c r="D7" s="530">
        <f>'BS Konsol-Des 24'!K14</f>
        <v>5523361062</v>
      </c>
      <c r="E7" s="530">
        <f>'BS Konsol-Des 24'!K13</f>
        <v>482874409</v>
      </c>
      <c r="F7" s="530"/>
      <c r="G7" s="530"/>
      <c r="H7" s="530">
        <f>'BS Konsol-Des 24'!K28</f>
        <v>7148897634</v>
      </c>
      <c r="I7" s="530">
        <f>'BS Konsol-Des 24'!K15</f>
        <v>638756399</v>
      </c>
      <c r="J7" s="530">
        <f>'BS Konsol-Des 24'!K16</f>
        <v>215160428159</v>
      </c>
      <c r="K7" s="530"/>
      <c r="L7" s="530">
        <v>0</v>
      </c>
      <c r="M7" s="530">
        <f>'BS Konsol-Des 24'!K18</f>
        <v>9387594367</v>
      </c>
      <c r="N7" s="530">
        <v>0</v>
      </c>
      <c r="O7" s="530"/>
      <c r="P7" s="530"/>
      <c r="Q7" s="530"/>
      <c r="R7" s="530">
        <f>'BS Konsol-Des 24'!K17+'BS Konsol-Des 24'!K29</f>
        <v>79604409274</v>
      </c>
      <c r="S7" s="530">
        <f>'BS Konsol-Des 24'!K20</f>
        <v>924473645</v>
      </c>
      <c r="T7" s="530"/>
      <c r="U7" s="530">
        <f>'BS Konsol-Des 24'!K33</f>
        <v>7950191953</v>
      </c>
      <c r="V7" s="530">
        <f>'BS Konsol-Des 24'!K37</f>
        <v>1508277305</v>
      </c>
      <c r="W7" s="530"/>
      <c r="X7" s="530">
        <f>-'BS Konsol-Des 24'!K55</f>
        <v>-175110562667</v>
      </c>
      <c r="Y7" s="530">
        <f>-'BS Konsol-Des 24'!K64</f>
        <v>-850908333</v>
      </c>
      <c r="Z7" s="530">
        <v>0</v>
      </c>
      <c r="AA7" s="531">
        <f>-'BS Konsol-Des 24'!K52</f>
        <v>-20367712664</v>
      </c>
      <c r="AB7" s="530"/>
      <c r="AC7" s="530">
        <f>-'BS Konsol-Des 24'!K56</f>
        <v>-6409271318</v>
      </c>
      <c r="AD7" s="530">
        <f>-'BS Konsol-Des 24'!K72</f>
        <v>-41000000</v>
      </c>
      <c r="AE7" s="531">
        <f>-'BS Konsol-Des 24'!K71</f>
        <v>-1288271695</v>
      </c>
      <c r="AF7" s="530">
        <f>-'BS Konsol-Des 24'!K63</f>
        <v>-3533493723</v>
      </c>
      <c r="AG7" s="530">
        <f>-'BS Konsol-Des 24'!K74-'BS Konsol-Des 24'!K61</f>
        <v>-94019213</v>
      </c>
      <c r="AH7" s="530">
        <f>-'BS Konsol-Des 24'!K73</f>
        <v>-3403633336</v>
      </c>
      <c r="AI7" s="530">
        <f>-'BS Konsol-Des 24'!K57</f>
        <v>-2337914037</v>
      </c>
      <c r="AJ7" s="530"/>
      <c r="AK7" s="530">
        <f>-'BS Konsol-Des 24'!K76</f>
        <v>-8706660415</v>
      </c>
      <c r="AL7" s="530">
        <f>-'BS Konsol-Des 24'!K75</f>
        <v>-630000000</v>
      </c>
      <c r="AM7" s="532">
        <f>-'BS Konsol-Des 24'!K98</f>
        <v>-40000000000</v>
      </c>
      <c r="AN7" s="532">
        <f>-'BS Konsol-Des 24'!K99</f>
        <v>-49739416785</v>
      </c>
      <c r="AO7" s="532">
        <v>0</v>
      </c>
      <c r="AP7" s="532">
        <f>-'BS Konsol-Des 24'!K102</f>
        <v>368797440</v>
      </c>
      <c r="AQ7" s="533">
        <f>AQ8</f>
        <v>0</v>
      </c>
      <c r="AR7" s="533">
        <f>-'BS Konsol-Des 24'!K104</f>
        <v>-410000000</v>
      </c>
      <c r="AS7" s="1042">
        <v>461224443</v>
      </c>
      <c r="AT7" s="533">
        <f>AT8</f>
        <v>-18237502879</v>
      </c>
      <c r="AU7" s="532">
        <f>-'PL Konsol'!H11</f>
        <v>-149774869471</v>
      </c>
      <c r="AV7" s="532">
        <f>-'PL Konsol'!H12</f>
        <v>97141890286</v>
      </c>
      <c r="AW7" s="532">
        <f>-'PL Konsol'!H16</f>
        <v>18108262146</v>
      </c>
      <c r="AX7" s="532">
        <f>-'PL Konsol'!H17</f>
        <v>20819164640</v>
      </c>
      <c r="AY7" s="532">
        <f>-'PL Konsol'!H18</f>
        <v>906733107</v>
      </c>
      <c r="AZ7" s="532">
        <f>-'PL Konsol'!H19</f>
        <v>11466799581</v>
      </c>
      <c r="BA7" s="532">
        <f>-'PL Konsol'!H25</f>
        <v>518727440</v>
      </c>
      <c r="BB7" s="534"/>
      <c r="BC7" s="515">
        <f>SUM(C7:BB7)</f>
        <v>0</v>
      </c>
      <c r="BD7" s="535"/>
      <c r="BE7" s="536">
        <f>BC7/2</f>
        <v>0</v>
      </c>
    </row>
    <row r="8" spans="1:57" ht="12.75" customHeight="1">
      <c r="A8" s="529"/>
      <c r="B8" s="583">
        <v>44926</v>
      </c>
      <c r="C8" s="537">
        <f>'BS Konsol'!N11</f>
        <v>4920468963</v>
      </c>
      <c r="D8" s="537">
        <f>'BS Konsol'!N14</f>
        <v>53102808880</v>
      </c>
      <c r="E8" s="537">
        <f>'BS Konsol'!N13</f>
        <v>1729176327</v>
      </c>
      <c r="F8" s="537"/>
      <c r="G8" s="537"/>
      <c r="H8" s="537">
        <f>'BS Konsol'!N26</f>
        <v>7197443207</v>
      </c>
      <c r="I8" s="537">
        <f>'BS Konsol'!N16</f>
        <v>549732399</v>
      </c>
      <c r="J8" s="537">
        <f>'BS Konsol'!N17</f>
        <v>137179893500</v>
      </c>
      <c r="K8" s="537"/>
      <c r="L8" s="537">
        <v>0</v>
      </c>
      <c r="M8" s="537">
        <f>'BS Konsol'!N19</f>
        <v>8035438770</v>
      </c>
      <c r="N8" s="537">
        <f>'[194]BS Konsol'!Q23</f>
        <v>0</v>
      </c>
      <c r="O8" s="537"/>
      <c r="P8" s="537"/>
      <c r="Q8" s="537"/>
      <c r="R8" s="537">
        <f>'BS Konsol'!N34+'BS Konsol'!N18</f>
        <v>84899538624</v>
      </c>
      <c r="S8" s="537">
        <f>'BS Konsol'!N20</f>
        <v>349309986</v>
      </c>
      <c r="T8" s="537"/>
      <c r="U8" s="537">
        <f>'BS Konsol'!N43</f>
        <v>8186336269</v>
      </c>
      <c r="V8" s="537">
        <f>'BS Konsol'!N45</f>
        <v>1508277305</v>
      </c>
      <c r="W8" s="537"/>
      <c r="X8" s="537">
        <f>-'BS Konsol'!N61</f>
        <v>-155339616431</v>
      </c>
      <c r="Y8" s="537">
        <f>-'BS Konsol'!N69</f>
        <v>-3403633332</v>
      </c>
      <c r="Z8" s="537">
        <v>0</v>
      </c>
      <c r="AA8" s="538">
        <f>-'BS Konsol'!N58</f>
        <v>-12347357380</v>
      </c>
      <c r="AB8" s="537"/>
      <c r="AC8" s="537">
        <f>-'BS Konsol'!N62</f>
        <v>-5031429971</v>
      </c>
      <c r="AD8" s="537">
        <f>-'BS Konsol'!N77</f>
        <v>-41000000</v>
      </c>
      <c r="AE8" s="538">
        <f>-'BS Konsol'!N76</f>
        <v>-533174595</v>
      </c>
      <c r="AF8" s="537">
        <f>-'BS Konsol'!N68</f>
        <v>-3539216266</v>
      </c>
      <c r="AG8" s="537">
        <f>-'BS Konsol'!N79-'BS Konsol'!N66</f>
        <v>-143835319</v>
      </c>
      <c r="AH8" s="537">
        <f>-'BS Konsol'!N78</f>
        <v>-8526229378</v>
      </c>
      <c r="AI8" s="537">
        <f>-'BS Konsol'!N63</f>
        <v>-2152621331</v>
      </c>
      <c r="AJ8" s="537"/>
      <c r="AK8" s="537">
        <f>-'BS Konsol'!N81</f>
        <v>-8419134989</v>
      </c>
      <c r="AL8" s="537">
        <f>-'BS Konsol'!N80</f>
        <v>-624277457</v>
      </c>
      <c r="AM8" s="539">
        <f>-'BS Konsol'!N97</f>
        <v>-40000000000</v>
      </c>
      <c r="AN8" s="539">
        <f>-'BS Konsol'!N99</f>
        <v>-25871690669</v>
      </c>
      <c r="AO8" s="539">
        <v>0</v>
      </c>
      <c r="AP8" s="539">
        <f>-'BS Konsol'!N102</f>
        <v>368797440</v>
      </c>
      <c r="AQ8" s="537"/>
      <c r="AR8" s="537">
        <f>-'BS Konsol'!N104</f>
        <v>-410000000</v>
      </c>
      <c r="AS8" s="537">
        <f>-'BS Konsol'!N100</f>
        <v>-23406501672.86277</v>
      </c>
      <c r="AT8" s="537">
        <f>-'BS Konsol'!N105</f>
        <v>-18237502879</v>
      </c>
      <c r="AU8" s="539"/>
      <c r="AV8" s="539"/>
      <c r="AW8" s="539"/>
      <c r="AX8" s="539"/>
      <c r="AY8" s="539"/>
      <c r="AZ8" s="539"/>
      <c r="BA8" s="539"/>
      <c r="BB8" s="539"/>
      <c r="BC8" s="515">
        <f>SUM(C8:BB8)</f>
        <v>0.13722991943359375</v>
      </c>
      <c r="BD8" s="535"/>
      <c r="BE8" s="536"/>
    </row>
    <row r="9" spans="1:57" ht="12.75" customHeight="1">
      <c r="A9" s="525"/>
      <c r="B9" s="540" t="s">
        <v>233</v>
      </c>
      <c r="C9" s="541">
        <f>C7-C8</f>
        <v>-2106095717</v>
      </c>
      <c r="D9" s="541">
        <f t="shared" ref="D9:N9" si="0">D7-D8</f>
        <v>-47579447818</v>
      </c>
      <c r="E9" s="541">
        <f t="shared" si="0"/>
        <v>-1246301918</v>
      </c>
      <c r="F9" s="541">
        <f t="shared" si="0"/>
        <v>0</v>
      </c>
      <c r="G9" s="541">
        <f t="shared" si="0"/>
        <v>0</v>
      </c>
      <c r="H9" s="541">
        <f>H7-H8</f>
        <v>-48545573</v>
      </c>
      <c r="I9" s="541">
        <f>I7-I8</f>
        <v>89024000</v>
      </c>
      <c r="J9" s="541">
        <f t="shared" si="0"/>
        <v>77980534659</v>
      </c>
      <c r="K9" s="541">
        <f t="shared" si="0"/>
        <v>0</v>
      </c>
      <c r="L9" s="541">
        <f t="shared" si="0"/>
        <v>0</v>
      </c>
      <c r="M9" s="541">
        <f>M7-M8</f>
        <v>1352155597</v>
      </c>
      <c r="N9" s="541">
        <f t="shared" si="0"/>
        <v>0</v>
      </c>
      <c r="O9" s="541"/>
      <c r="P9" s="541">
        <f t="shared" ref="P9:AP9" si="1">P7-P8</f>
        <v>0</v>
      </c>
      <c r="Q9" s="541">
        <f t="shared" si="1"/>
        <v>0</v>
      </c>
      <c r="R9" s="541">
        <f t="shared" si="1"/>
        <v>-5295129350</v>
      </c>
      <c r="S9" s="541">
        <f>S7-S8</f>
        <v>575163659</v>
      </c>
      <c r="T9" s="541">
        <f t="shared" si="1"/>
        <v>0</v>
      </c>
      <c r="U9" s="541">
        <f t="shared" si="1"/>
        <v>-236144316</v>
      </c>
      <c r="V9" s="541">
        <f t="shared" si="1"/>
        <v>0</v>
      </c>
      <c r="W9" s="541">
        <f t="shared" si="1"/>
        <v>0</v>
      </c>
      <c r="X9" s="541">
        <f t="shared" si="1"/>
        <v>-19770946236</v>
      </c>
      <c r="Y9" s="541">
        <f t="shared" si="1"/>
        <v>2552724999</v>
      </c>
      <c r="Z9" s="541">
        <f t="shared" si="1"/>
        <v>0</v>
      </c>
      <c r="AA9" s="541">
        <f t="shared" si="1"/>
        <v>-8020355284</v>
      </c>
      <c r="AB9" s="541">
        <f t="shared" si="1"/>
        <v>0</v>
      </c>
      <c r="AC9" s="541">
        <f t="shared" si="1"/>
        <v>-1377841347</v>
      </c>
      <c r="AD9" s="541">
        <f t="shared" si="1"/>
        <v>0</v>
      </c>
      <c r="AE9" s="541">
        <f t="shared" si="1"/>
        <v>-755097100</v>
      </c>
      <c r="AF9" s="541">
        <f t="shared" si="1"/>
        <v>5722543</v>
      </c>
      <c r="AG9" s="541">
        <f t="shared" si="1"/>
        <v>49816106</v>
      </c>
      <c r="AH9" s="541">
        <f t="shared" si="1"/>
        <v>5122596042</v>
      </c>
      <c r="AI9" s="541">
        <f t="shared" si="1"/>
        <v>-185292706</v>
      </c>
      <c r="AJ9" s="541">
        <f t="shared" si="1"/>
        <v>0</v>
      </c>
      <c r="AK9" s="541">
        <f t="shared" si="1"/>
        <v>-287525426</v>
      </c>
      <c r="AL9" s="541">
        <f t="shared" si="1"/>
        <v>-5722543</v>
      </c>
      <c r="AM9" s="541">
        <f t="shared" si="1"/>
        <v>0</v>
      </c>
      <c r="AN9" s="541">
        <f t="shared" si="1"/>
        <v>-23867726116</v>
      </c>
      <c r="AO9" s="541">
        <f t="shared" si="1"/>
        <v>0</v>
      </c>
      <c r="AP9" s="541">
        <f t="shared" si="1"/>
        <v>0</v>
      </c>
      <c r="AQ9" s="541"/>
      <c r="AR9" s="541">
        <f t="shared" ref="AR9:AZ9" si="2">AR7-AR8</f>
        <v>0</v>
      </c>
      <c r="AS9" s="541">
        <f t="shared" si="2"/>
        <v>23867726115.86277</v>
      </c>
      <c r="AT9" s="541">
        <f t="shared" si="2"/>
        <v>0</v>
      </c>
      <c r="AU9" s="541">
        <f t="shared" si="2"/>
        <v>-149774869471</v>
      </c>
      <c r="AV9" s="541">
        <f t="shared" si="2"/>
        <v>97141890286</v>
      </c>
      <c r="AW9" s="541">
        <f t="shared" si="2"/>
        <v>18108262146</v>
      </c>
      <c r="AX9" s="541">
        <f t="shared" si="2"/>
        <v>20819164640</v>
      </c>
      <c r="AY9" s="541">
        <f t="shared" si="2"/>
        <v>906733107</v>
      </c>
      <c r="AZ9" s="541">
        <f t="shared" si="2"/>
        <v>11466799581</v>
      </c>
      <c r="BA9" s="541">
        <f>BA7-BA8</f>
        <v>518727440</v>
      </c>
      <c r="BB9" s="541">
        <f>BB7-BB8</f>
        <v>0</v>
      </c>
      <c r="BC9" s="515">
        <f>SUM(C9:BB9)</f>
        <v>-0.137237548828125</v>
      </c>
      <c r="BD9" s="542">
        <f>BC9/2</f>
        <v>-6.86187744140625E-2</v>
      </c>
      <c r="BE9" s="520">
        <f>BC9*2</f>
        <v>-0.27447509765625</v>
      </c>
    </row>
    <row r="10" spans="1:57" ht="12.75" customHeight="1">
      <c r="A10" s="543"/>
      <c r="B10" s="544" t="s">
        <v>234</v>
      </c>
      <c r="C10" s="518"/>
      <c r="D10" s="518"/>
      <c r="E10" s="518"/>
      <c r="F10" s="518"/>
      <c r="G10" s="518"/>
      <c r="H10" s="518"/>
      <c r="I10" s="518"/>
      <c r="J10" s="518"/>
      <c r="K10" s="518"/>
      <c r="L10" s="518"/>
      <c r="M10" s="518"/>
      <c r="N10" s="518"/>
      <c r="O10" s="518"/>
      <c r="P10" s="518"/>
      <c r="Q10" s="518"/>
      <c r="R10" s="518"/>
      <c r="S10" s="518"/>
      <c r="T10" s="518"/>
      <c r="U10" s="518"/>
      <c r="V10" s="518"/>
      <c r="W10" s="518"/>
      <c r="X10" s="518"/>
      <c r="Y10" s="518"/>
      <c r="Z10" s="518"/>
      <c r="AA10" s="518"/>
      <c r="AB10" s="518"/>
      <c r="AC10" s="518"/>
      <c r="AD10" s="518"/>
      <c r="AE10" s="518"/>
      <c r="AF10" s="518"/>
      <c r="AG10" s="518"/>
      <c r="AH10" s="518"/>
      <c r="AI10" s="518"/>
      <c r="AJ10" s="518"/>
      <c r="AK10" s="518"/>
      <c r="AL10" s="518"/>
      <c r="AM10" s="518"/>
      <c r="AN10" s="518"/>
      <c r="AO10" s="518"/>
      <c r="AP10" s="515"/>
      <c r="AQ10" s="518"/>
      <c r="AR10" s="518"/>
      <c r="AS10" s="518"/>
      <c r="AT10" s="518"/>
      <c r="AU10" s="518"/>
      <c r="AV10" s="518"/>
      <c r="AW10" s="518"/>
      <c r="AX10" s="518"/>
      <c r="AY10" s="518"/>
      <c r="AZ10" s="518"/>
      <c r="BA10" s="518"/>
      <c r="BB10" s="518"/>
      <c r="BC10" s="515"/>
      <c r="BD10" s="518"/>
      <c r="BE10" s="518"/>
    </row>
    <row r="11" spans="1:57" ht="12.75" customHeight="1">
      <c r="A11" s="545" t="s">
        <v>235</v>
      </c>
      <c r="B11" s="546"/>
      <c r="C11" s="547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  <c r="O11" s="515"/>
      <c r="P11" s="515"/>
      <c r="Q11" s="515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8"/>
      <c r="AH11" s="518"/>
      <c r="AI11" s="518"/>
      <c r="AJ11" s="518"/>
      <c r="AK11" s="518"/>
      <c r="AL11" s="518"/>
      <c r="AM11" s="518"/>
      <c r="AN11" s="518"/>
      <c r="AO11" s="518"/>
      <c r="AP11" s="515"/>
      <c r="AQ11" s="515"/>
      <c r="AR11" s="515"/>
      <c r="AS11" s="515"/>
      <c r="AT11" s="515"/>
      <c r="AU11" s="518"/>
      <c r="AV11" s="518"/>
      <c r="AW11" s="518"/>
      <c r="AX11" s="518"/>
      <c r="AY11" s="518"/>
      <c r="AZ11" s="518"/>
      <c r="BA11" s="518"/>
      <c r="BB11" s="518"/>
      <c r="BC11" s="515"/>
      <c r="BD11" s="518"/>
      <c r="BE11" s="518"/>
    </row>
    <row r="12" spans="1:57" ht="12.75" customHeight="1">
      <c r="A12" s="548" t="s">
        <v>236</v>
      </c>
      <c r="B12" s="584">
        <f>SUM(D12:BB12)</f>
        <v>198600619207</v>
      </c>
      <c r="C12" s="547"/>
      <c r="D12" s="550">
        <f>-D9</f>
        <v>47579447818</v>
      </c>
      <c r="E12" s="550">
        <f>-E9</f>
        <v>1246301918</v>
      </c>
      <c r="F12" s="550">
        <f>-F9</f>
        <v>0</v>
      </c>
      <c r="G12" s="550"/>
      <c r="H12" s="550"/>
      <c r="I12" s="550"/>
      <c r="J12" s="550"/>
      <c r="K12" s="550"/>
      <c r="L12" s="550"/>
      <c r="M12" s="550"/>
      <c r="N12" s="550"/>
      <c r="O12" s="550"/>
      <c r="P12" s="550"/>
      <c r="Q12" s="550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5">
        <f>-AB9</f>
        <v>0</v>
      </c>
      <c r="AC12" s="515"/>
      <c r="AD12" s="550"/>
      <c r="AE12" s="550"/>
      <c r="AF12" s="550"/>
      <c r="AG12" s="550"/>
      <c r="AH12" s="550"/>
      <c r="AI12" s="518"/>
      <c r="AJ12" s="518"/>
      <c r="AK12" s="518"/>
      <c r="AL12" s="518"/>
      <c r="AM12" s="515"/>
      <c r="AN12" s="518"/>
      <c r="AO12" s="518"/>
      <c r="AP12" s="518"/>
      <c r="AQ12" s="518"/>
      <c r="AR12" s="518"/>
      <c r="AS12" s="518"/>
      <c r="AT12" s="518"/>
      <c r="AU12" s="550">
        <f>-AU9</f>
        <v>149774869471</v>
      </c>
      <c r="AV12" s="518"/>
      <c r="AW12" s="518"/>
      <c r="AX12" s="518"/>
      <c r="AY12" s="550"/>
      <c r="AZ12" s="550"/>
      <c r="BA12" s="515"/>
      <c r="BB12" s="518"/>
      <c r="BC12" s="551"/>
      <c r="BD12" s="518"/>
      <c r="BE12" s="518"/>
    </row>
    <row r="13" spans="1:57" ht="12.75" customHeight="1">
      <c r="A13" s="548" t="s">
        <v>237</v>
      </c>
      <c r="B13" s="584">
        <f t="shared" ref="B13:B21" si="3">SUM(D13:BB13)</f>
        <v>-153671439280</v>
      </c>
      <c r="C13" s="547"/>
      <c r="D13" s="518"/>
      <c r="E13" s="518"/>
      <c r="F13" s="518"/>
      <c r="G13" s="518"/>
      <c r="H13" s="552">
        <f>-H9</f>
        <v>48545573</v>
      </c>
      <c r="I13" s="553">
        <f>-I9</f>
        <v>-89024000</v>
      </c>
      <c r="J13" s="553">
        <f>-J9</f>
        <v>-77980534659</v>
      </c>
      <c r="K13" s="553">
        <f t="shared" ref="K13:L13" si="4">-K9</f>
        <v>0</v>
      </c>
      <c r="L13" s="553">
        <f t="shared" si="4"/>
        <v>0</v>
      </c>
      <c r="M13" s="553"/>
      <c r="N13" s="553">
        <f>-N9</f>
        <v>0</v>
      </c>
      <c r="O13" s="553"/>
      <c r="P13" s="553">
        <f>-P9</f>
        <v>0</v>
      </c>
      <c r="Q13" s="553">
        <f>-Q9</f>
        <v>0</v>
      </c>
      <c r="R13" s="515"/>
      <c r="S13" s="568">
        <f>-S9</f>
        <v>-575163659</v>
      </c>
      <c r="T13" s="515"/>
      <c r="U13" s="515"/>
      <c r="V13" s="515"/>
      <c r="W13" s="515">
        <f>-W9</f>
        <v>0</v>
      </c>
      <c r="X13" s="515"/>
      <c r="Y13" s="515"/>
      <c r="Z13" s="553">
        <f>-Z9</f>
        <v>0</v>
      </c>
      <c r="AA13" s="553">
        <f>-AA9</f>
        <v>8020355284</v>
      </c>
      <c r="AB13" s="553"/>
      <c r="AC13" s="553">
        <f>-AC9</f>
        <v>1377841347</v>
      </c>
      <c r="AF13" s="553"/>
      <c r="AG13" s="553">
        <f>-AG9</f>
        <v>-49816106</v>
      </c>
      <c r="AH13" s="515"/>
      <c r="AI13" s="553"/>
      <c r="AJ13" s="553"/>
      <c r="AK13" s="553"/>
      <c r="AL13" s="553"/>
      <c r="AM13" s="553"/>
      <c r="AN13" s="515"/>
      <c r="AO13" s="515"/>
      <c r="AP13" s="515">
        <f>-AP9-AP29</f>
        <v>0</v>
      </c>
      <c r="AQ13" s="515"/>
      <c r="AR13" s="515"/>
      <c r="AS13" s="515"/>
      <c r="AT13" s="515"/>
      <c r="AU13" s="515"/>
      <c r="AV13" s="553">
        <f>-AV9-AV14-AV15</f>
        <v>-77623289205</v>
      </c>
      <c r="AW13" s="554"/>
      <c r="AX13" s="553">
        <f>-AX9-AX14-AX15</f>
        <v>-6800353855</v>
      </c>
      <c r="AY13" s="553"/>
      <c r="AZ13" s="553"/>
      <c r="BA13" s="551"/>
      <c r="BB13" s="515">
        <f>-BB9*0</f>
        <v>0</v>
      </c>
      <c r="BC13" s="551"/>
      <c r="BD13" s="518"/>
      <c r="BE13" s="518"/>
    </row>
    <row r="14" spans="1:57" ht="12.75" customHeight="1">
      <c r="A14" s="548" t="s">
        <v>238</v>
      </c>
      <c r="B14" s="584">
        <f t="shared" si="3"/>
        <v>-25590754706</v>
      </c>
      <c r="C14" s="555"/>
      <c r="D14" s="518"/>
      <c r="E14" s="518"/>
      <c r="F14" s="518"/>
      <c r="G14" s="515">
        <f>-G9</f>
        <v>0</v>
      </c>
      <c r="H14" s="515"/>
      <c r="I14" s="518"/>
      <c r="J14" s="518"/>
      <c r="K14" s="518"/>
      <c r="L14" s="518"/>
      <c r="M14" s="518"/>
      <c r="N14" s="518"/>
      <c r="O14" s="518"/>
      <c r="P14" s="518"/>
      <c r="Q14" s="518"/>
      <c r="R14" s="515"/>
      <c r="S14" s="515"/>
      <c r="T14" s="515"/>
      <c r="U14" s="515"/>
      <c r="V14" s="515"/>
      <c r="W14" s="515"/>
      <c r="X14" s="515"/>
      <c r="Y14" s="515"/>
      <c r="Z14" s="553"/>
      <c r="AA14" s="553"/>
      <c r="AB14" s="553"/>
      <c r="AC14" s="553"/>
      <c r="AD14" s="518"/>
      <c r="AE14" s="518"/>
      <c r="AF14" s="518"/>
      <c r="AG14" s="518"/>
      <c r="AH14" s="515"/>
      <c r="AI14" s="553"/>
      <c r="AJ14" s="553"/>
      <c r="AK14" s="556"/>
      <c r="AL14" s="556"/>
      <c r="AM14" s="515"/>
      <c r="AN14" s="515"/>
      <c r="AO14" s="515"/>
      <c r="AP14" s="515"/>
      <c r="AQ14" s="515"/>
      <c r="AR14" s="515"/>
      <c r="AS14" s="515"/>
      <c r="AT14" s="515"/>
      <c r="AU14" s="515"/>
      <c r="AV14" s="553">
        <f>-(SUM('WS Konsol'!AT609:AT614)+'WS Konsol'!AT617+'WS Konsol'!AT620)</f>
        <v>-12241387544</v>
      </c>
      <c r="AW14" s="554"/>
      <c r="AX14" s="553">
        <f>-'WS Konsol'!AU665</f>
        <v>-13349367162</v>
      </c>
      <c r="AY14" s="515"/>
      <c r="AZ14" s="515"/>
      <c r="BA14" s="518"/>
      <c r="BB14" s="518"/>
      <c r="BC14" s="551"/>
      <c r="BD14" s="518"/>
      <c r="BE14" s="518"/>
    </row>
    <row r="15" spans="1:57" ht="12.75" customHeight="1">
      <c r="A15" s="548" t="s">
        <v>239</v>
      </c>
      <c r="B15" s="584">
        <f t="shared" si="3"/>
        <v>-12898952618.86277</v>
      </c>
      <c r="C15" s="555"/>
      <c r="D15" s="518"/>
      <c r="E15" s="518"/>
      <c r="F15" s="518"/>
      <c r="G15" s="515"/>
      <c r="H15" s="515"/>
      <c r="I15" s="518"/>
      <c r="J15" s="518"/>
      <c r="K15" s="518"/>
      <c r="L15" s="518"/>
      <c r="M15" s="515">
        <f>-M9</f>
        <v>-1352155597</v>
      </c>
      <c r="N15" s="518"/>
      <c r="O15" s="518"/>
      <c r="P15" s="518"/>
      <c r="Q15" s="518"/>
      <c r="R15" s="515">
        <f>-R9-R28</f>
        <v>5444244350</v>
      </c>
      <c r="S15" s="515"/>
      <c r="T15" s="515"/>
      <c r="U15" s="515">
        <f>-U9</f>
        <v>236144316</v>
      </c>
      <c r="V15" s="515">
        <f>-V9</f>
        <v>0</v>
      </c>
      <c r="W15" s="515"/>
      <c r="X15" s="515">
        <f>-X9-X37-X38</f>
        <v>7675321041</v>
      </c>
      <c r="Y15" s="515"/>
      <c r="Z15" s="553"/>
      <c r="AA15" s="553"/>
      <c r="AB15" s="553"/>
      <c r="AC15" s="553"/>
      <c r="AD15" s="518"/>
      <c r="AE15" s="518"/>
      <c r="AF15" s="518"/>
      <c r="AG15" s="518"/>
      <c r="AH15" s="515"/>
      <c r="AI15" s="515">
        <f>-AI9-AI21</f>
        <v>2465806552</v>
      </c>
      <c r="AJ15" s="553"/>
      <c r="AK15" s="553">
        <f>-AK9</f>
        <v>287525426</v>
      </c>
      <c r="AL15" s="553"/>
      <c r="AM15" s="515"/>
      <c r="AN15" s="515">
        <f>-AN9</f>
        <v>23867726116</v>
      </c>
      <c r="AO15" s="515"/>
      <c r="AP15" s="515"/>
      <c r="AQ15" s="515"/>
      <c r="AR15" s="515"/>
      <c r="AS15" s="515">
        <f>-AS9</f>
        <v>-23867726115.86277</v>
      </c>
      <c r="AT15" s="515"/>
      <c r="AU15" s="515"/>
      <c r="AV15" s="553">
        <f>-'WS Konsol'!AT623-'WS Konsol'!AT619</f>
        <v>-7277213537</v>
      </c>
      <c r="AW15" s="554">
        <f>-AW9</f>
        <v>-18108262146</v>
      </c>
      <c r="AX15" s="553">
        <f>-SUM('WS Konsol'!AT707:AT718)</f>
        <v>-669443623</v>
      </c>
      <c r="AY15" s="515">
        <f>-AY9</f>
        <v>-906733107</v>
      </c>
      <c r="AZ15" s="1044">
        <f>-AZ9-AZ20</f>
        <v>-175458854</v>
      </c>
      <c r="BA15" s="515">
        <f>-BA9</f>
        <v>-518727440</v>
      </c>
      <c r="BB15" s="518"/>
      <c r="BC15" s="551"/>
      <c r="BD15" s="518"/>
      <c r="BE15" s="518"/>
    </row>
    <row r="16" spans="1:57" ht="12.75" customHeight="1">
      <c r="A16" s="548" t="s">
        <v>240</v>
      </c>
      <c r="B16" s="584">
        <f t="shared" si="3"/>
        <v>0</v>
      </c>
      <c r="C16" s="547"/>
      <c r="D16" s="518"/>
      <c r="E16" s="518"/>
      <c r="F16" s="518"/>
      <c r="G16" s="518"/>
      <c r="H16" s="518"/>
      <c r="I16" s="518"/>
      <c r="J16" s="518"/>
      <c r="K16" s="518"/>
      <c r="L16" s="518"/>
      <c r="M16" s="518"/>
      <c r="N16" s="518"/>
      <c r="O16" s="518"/>
      <c r="P16" s="518"/>
      <c r="Q16" s="518"/>
      <c r="R16" s="515"/>
      <c r="S16" s="515"/>
      <c r="T16" s="515"/>
      <c r="U16" s="515"/>
      <c r="V16" s="515"/>
      <c r="W16" s="515"/>
      <c r="X16" s="515"/>
      <c r="Y16" s="515"/>
      <c r="Z16" s="553"/>
      <c r="AA16" s="553"/>
      <c r="AB16" s="553"/>
      <c r="AC16" s="553"/>
      <c r="AD16" s="518"/>
      <c r="AE16" s="518"/>
      <c r="AF16" s="518"/>
      <c r="AG16" s="518"/>
      <c r="AH16" s="515"/>
      <c r="AI16" s="553"/>
      <c r="AJ16" s="553"/>
      <c r="AK16" s="553"/>
      <c r="AL16" s="553"/>
      <c r="AM16" s="515"/>
      <c r="AN16" s="515"/>
      <c r="AO16" s="515"/>
      <c r="AP16" s="515"/>
      <c r="AQ16" s="515"/>
      <c r="AR16" s="515"/>
      <c r="AS16" s="515"/>
      <c r="AT16" s="515"/>
      <c r="AU16" s="515"/>
      <c r="AV16" s="554"/>
      <c r="AW16" s="554"/>
      <c r="AX16" s="557"/>
      <c r="AZ16" s="515"/>
      <c r="BA16" s="518"/>
      <c r="BB16" s="518"/>
      <c r="BC16" s="551"/>
      <c r="BD16" s="518"/>
      <c r="BE16" s="518"/>
    </row>
    <row r="17" spans="1:57" ht="12.75" customHeight="1">
      <c r="A17" s="558" t="s">
        <v>241</v>
      </c>
      <c r="B17" s="584">
        <f t="shared" si="3"/>
        <v>0</v>
      </c>
      <c r="C17" s="547"/>
      <c r="D17" s="518"/>
      <c r="E17" s="518"/>
      <c r="F17" s="518"/>
      <c r="G17" s="518"/>
      <c r="H17" s="518"/>
      <c r="I17" s="518"/>
      <c r="J17" s="518"/>
      <c r="K17" s="518"/>
      <c r="L17" s="518"/>
      <c r="M17" s="518"/>
      <c r="N17" s="518"/>
      <c r="O17" s="518"/>
      <c r="P17" s="518"/>
      <c r="Q17" s="518"/>
      <c r="R17" s="515"/>
      <c r="S17" s="515"/>
      <c r="T17" s="515"/>
      <c r="U17" s="515"/>
      <c r="W17" s="515"/>
      <c r="X17" s="515"/>
      <c r="Y17" s="515"/>
      <c r="Z17" s="553"/>
      <c r="AA17" s="553"/>
      <c r="AB17" s="553"/>
      <c r="AC17" s="553"/>
      <c r="AD17" s="518"/>
      <c r="AE17" s="518"/>
      <c r="AF17" s="518"/>
      <c r="AG17" s="518"/>
      <c r="AH17" s="515"/>
      <c r="AI17" s="554"/>
      <c r="AJ17" s="553"/>
      <c r="AK17" s="553"/>
      <c r="AL17" s="553"/>
      <c r="AM17" s="515"/>
      <c r="AN17" s="515"/>
      <c r="AO17" s="515"/>
      <c r="AP17" s="515"/>
      <c r="AQ17" s="515"/>
      <c r="AR17" s="515"/>
      <c r="AS17" s="515"/>
      <c r="AT17" s="515"/>
      <c r="AU17" s="515"/>
      <c r="AV17" s="554"/>
      <c r="AW17" s="554"/>
      <c r="AX17" s="554"/>
      <c r="AY17" s="515"/>
      <c r="AZ17" s="515"/>
      <c r="BA17" s="518"/>
      <c r="BB17" s="536">
        <v>0</v>
      </c>
      <c r="BC17" s="551"/>
      <c r="BD17" s="518"/>
      <c r="BE17" s="518"/>
    </row>
    <row r="18" spans="1:57" ht="12.75" customHeight="1">
      <c r="A18" s="558" t="s">
        <v>242</v>
      </c>
      <c r="B18" s="584">
        <f t="shared" si="3"/>
        <v>0</v>
      </c>
      <c r="C18" s="547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5"/>
      <c r="S18" s="515"/>
      <c r="T18" s="515"/>
      <c r="U18" s="515"/>
      <c r="V18" s="515"/>
      <c r="W18" s="515"/>
      <c r="X18" s="515"/>
      <c r="Y18" s="515"/>
      <c r="Z18" s="553"/>
      <c r="AA18" s="553"/>
      <c r="AB18" s="553"/>
      <c r="AC18" s="553"/>
      <c r="AD18" s="518"/>
      <c r="AE18" s="518"/>
      <c r="AF18" s="518"/>
      <c r="AG18" s="518"/>
      <c r="AH18" s="515"/>
      <c r="AI18" s="554"/>
      <c r="AJ18" s="553"/>
      <c r="AM18" s="515"/>
      <c r="AN18" s="515"/>
      <c r="AO18" s="515"/>
      <c r="AP18" s="515"/>
      <c r="AQ18" s="515"/>
      <c r="AR18" s="515"/>
      <c r="AS18" s="515"/>
      <c r="AT18" s="515"/>
      <c r="AU18" s="515"/>
      <c r="AV18" s="554"/>
      <c r="AW18" s="554"/>
      <c r="AX18" s="554"/>
      <c r="AY18" s="515"/>
      <c r="AZ18" s="515"/>
      <c r="BA18" s="518"/>
      <c r="BB18" s="536"/>
      <c r="BC18" s="551"/>
      <c r="BD18" s="518"/>
      <c r="BE18" s="518"/>
    </row>
    <row r="19" spans="1:57" ht="12.75" customHeight="1">
      <c r="A19" s="548" t="s">
        <v>243</v>
      </c>
      <c r="B19" s="584">
        <f t="shared" si="3"/>
        <v>0</v>
      </c>
      <c r="C19" s="547"/>
      <c r="D19" s="518"/>
      <c r="E19" s="518"/>
      <c r="F19" s="518"/>
      <c r="G19" s="518"/>
      <c r="H19" s="518"/>
      <c r="I19" s="518"/>
      <c r="J19" s="518"/>
      <c r="K19" s="518"/>
      <c r="L19" s="518"/>
      <c r="M19" s="518"/>
      <c r="N19" s="518"/>
      <c r="O19" s="518"/>
      <c r="P19" s="518"/>
      <c r="Q19" s="518"/>
      <c r="R19" s="515"/>
      <c r="S19" s="515"/>
      <c r="T19" s="515"/>
      <c r="U19" s="515"/>
      <c r="V19" s="515"/>
      <c r="W19" s="515"/>
      <c r="X19" s="515"/>
      <c r="Y19" s="515"/>
      <c r="Z19" s="553"/>
      <c r="AA19" s="553"/>
      <c r="AB19" s="553"/>
      <c r="AC19" s="553"/>
      <c r="AD19" s="518"/>
      <c r="AE19" s="518"/>
      <c r="AF19" s="518"/>
      <c r="AG19" s="518"/>
      <c r="AH19" s="515"/>
      <c r="AI19" s="554"/>
      <c r="AJ19" s="553"/>
      <c r="AK19" s="553"/>
      <c r="AL19" s="553"/>
      <c r="AM19" s="515">
        <f>-AM9</f>
        <v>0</v>
      </c>
      <c r="AN19" s="515"/>
      <c r="AO19" s="515"/>
      <c r="AP19" s="515"/>
      <c r="AQ19" s="515"/>
      <c r="AR19" s="515"/>
      <c r="AS19" s="515"/>
      <c r="AT19" s="515"/>
      <c r="AU19" s="515"/>
      <c r="AV19" s="554"/>
      <c r="AW19" s="554"/>
      <c r="AX19" s="554"/>
      <c r="AY19" s="515"/>
      <c r="AZ19" s="515"/>
      <c r="BA19" s="518"/>
      <c r="BB19" s="518"/>
      <c r="BC19" s="551"/>
      <c r="BD19" s="518"/>
      <c r="BE19" s="518"/>
    </row>
    <row r="20" spans="1:57" ht="12.75" customHeight="1">
      <c r="A20" s="548" t="s">
        <v>244</v>
      </c>
      <c r="B20" s="584">
        <f t="shared" si="3"/>
        <v>-11291340727</v>
      </c>
      <c r="C20" s="547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5"/>
      <c r="S20" s="515"/>
      <c r="T20" s="515"/>
      <c r="U20" s="515"/>
      <c r="V20" s="515"/>
      <c r="W20" s="515"/>
      <c r="X20" s="515"/>
      <c r="Y20" s="515"/>
      <c r="Z20" s="553"/>
      <c r="AA20" s="553"/>
      <c r="AB20" s="553"/>
      <c r="AC20" s="553"/>
      <c r="AD20" s="518"/>
      <c r="AE20" s="518"/>
      <c r="AF20" s="518"/>
      <c r="AG20" s="518"/>
      <c r="AH20" s="515"/>
      <c r="AI20" s="554"/>
      <c r="AJ20" s="553"/>
      <c r="AK20" s="553"/>
      <c r="AL20" s="553"/>
      <c r="AM20" s="515"/>
      <c r="AN20" s="515"/>
      <c r="AO20" s="515"/>
      <c r="AP20" s="515"/>
      <c r="AQ20" s="515"/>
      <c r="AR20" s="515"/>
      <c r="AS20" s="515"/>
      <c r="AT20" s="515"/>
      <c r="AU20" s="515"/>
      <c r="AV20" s="554"/>
      <c r="AW20" s="554"/>
      <c r="AX20" s="554"/>
      <c r="AY20" s="515"/>
      <c r="AZ20" s="515">
        <f>-('WS Konsol'!AT737+'WS Konsol'!AT738)</f>
        <v>-11291340727</v>
      </c>
      <c r="BA20" s="518"/>
      <c r="BB20" s="515"/>
      <c r="BC20" s="551"/>
      <c r="BD20" s="518"/>
      <c r="BE20" s="518"/>
    </row>
    <row r="21" spans="1:57" ht="12.75" customHeight="1">
      <c r="A21" s="548" t="s">
        <v>246</v>
      </c>
      <c r="B21" s="584">
        <f t="shared" si="3"/>
        <v>-2280513846</v>
      </c>
      <c r="C21" s="547"/>
      <c r="D21" s="518"/>
      <c r="E21" s="518"/>
      <c r="F21" s="518"/>
      <c r="G21" s="518"/>
      <c r="H21" s="518"/>
      <c r="I21" s="518"/>
      <c r="J21" s="518"/>
      <c r="K21" s="518"/>
      <c r="L21" s="518"/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  <c r="Z21" s="518"/>
      <c r="AA21" s="515"/>
      <c r="AB21" s="515"/>
      <c r="AC21" s="515"/>
      <c r="AD21" s="518"/>
      <c r="AE21" s="518"/>
      <c r="AF21" s="518"/>
      <c r="AG21" s="518"/>
      <c r="AH21" s="518"/>
      <c r="AI21" s="1043">
        <f>-SUM('WS Konsol'!AT442:AT449)</f>
        <v>-2280513846</v>
      </c>
      <c r="AJ21" s="559"/>
      <c r="AK21" s="559"/>
      <c r="AL21" s="559"/>
      <c r="AM21" s="518"/>
      <c r="AN21" s="518"/>
      <c r="AO21" s="518"/>
      <c r="AP21" s="518"/>
      <c r="AQ21" s="518"/>
      <c r="AR21" s="518"/>
      <c r="AS21" s="518"/>
      <c r="AT21" s="518"/>
      <c r="AU21" s="518"/>
      <c r="AV21" s="518"/>
      <c r="AW21" s="518"/>
      <c r="AX21" s="560"/>
      <c r="AY21" s="518"/>
      <c r="BA21" s="515"/>
      <c r="BB21" s="561"/>
      <c r="BC21" s="515"/>
      <c r="BD21" s="518"/>
      <c r="BE21" s="518"/>
    </row>
    <row r="22" spans="1:57" ht="12.75" customHeight="1">
      <c r="A22" s="562" t="s">
        <v>248</v>
      </c>
      <c r="B22" s="563">
        <f>SUM(B12:B21)</f>
        <v>-7132381970.8627701</v>
      </c>
      <c r="C22" s="547"/>
      <c r="D22" s="518"/>
      <c r="E22" s="518"/>
      <c r="F22" s="518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  <c r="AU22" s="518"/>
      <c r="AV22" s="518"/>
      <c r="AW22" s="518"/>
      <c r="AX22" s="518"/>
      <c r="AY22" s="518"/>
      <c r="AZ22" s="518"/>
      <c r="BA22" s="518"/>
      <c r="BB22" s="518"/>
      <c r="BC22" s="518"/>
      <c r="BD22" s="518"/>
      <c r="BE22" s="518"/>
    </row>
    <row r="23" spans="1:57" ht="12.75" customHeight="1">
      <c r="A23" s="564"/>
      <c r="B23" s="565"/>
      <c r="C23" s="547"/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  <c r="AA23" s="518"/>
      <c r="AB23" s="518"/>
      <c r="AC23" s="518"/>
      <c r="AD23" s="518"/>
      <c r="AE23" s="518"/>
      <c r="AF23" s="518"/>
      <c r="AG23" s="518"/>
      <c r="AH23" s="518"/>
      <c r="AI23" s="518"/>
      <c r="AJ23" s="518"/>
      <c r="AK23" s="518"/>
      <c r="AL23" s="518"/>
      <c r="AM23" s="518"/>
      <c r="AN23" s="518"/>
      <c r="AO23" s="518"/>
      <c r="AP23" s="518"/>
      <c r="AQ23" s="518"/>
      <c r="AR23" s="518"/>
      <c r="AS23" s="518"/>
      <c r="AT23" s="518"/>
      <c r="AU23" s="518"/>
      <c r="AV23" s="518"/>
      <c r="AW23" s="518"/>
      <c r="AX23" s="518"/>
      <c r="AY23" s="518"/>
      <c r="AZ23" s="518"/>
      <c r="BA23" s="518"/>
      <c r="BB23" s="518"/>
      <c r="BC23" s="518"/>
      <c r="BD23" s="518"/>
      <c r="BE23" s="518"/>
    </row>
    <row r="24" spans="1:57" ht="12.75" customHeight="1">
      <c r="A24" s="548"/>
      <c r="B24" s="565"/>
      <c r="C24" s="547"/>
      <c r="D24" s="518"/>
      <c r="E24" s="518"/>
      <c r="F24" s="518"/>
      <c r="G24" s="518"/>
      <c r="H24" s="518"/>
      <c r="I24" s="518"/>
      <c r="J24" s="518"/>
      <c r="K24" s="518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8"/>
      <c r="Z24" s="518"/>
      <c r="AA24" s="518"/>
      <c r="AB24" s="518"/>
      <c r="AC24" s="518"/>
      <c r="AD24" s="518"/>
      <c r="AE24" s="518"/>
      <c r="AF24" s="518"/>
      <c r="AG24" s="518"/>
      <c r="AH24" s="518"/>
      <c r="AI24" s="518"/>
      <c r="AJ24" s="518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  <c r="AU24" s="518"/>
      <c r="AV24" s="518"/>
      <c r="AW24" s="518"/>
      <c r="AX24" s="518"/>
      <c r="AY24" s="518"/>
      <c r="AZ24" s="518"/>
      <c r="BA24" s="518"/>
      <c r="BB24" s="518"/>
      <c r="BC24" s="518"/>
      <c r="BD24" s="518"/>
      <c r="BE24" s="518"/>
    </row>
    <row r="25" spans="1:57" ht="12.75" customHeight="1">
      <c r="A25" s="566" t="s">
        <v>251</v>
      </c>
      <c r="B25" s="565"/>
      <c r="C25" s="547"/>
      <c r="D25" s="518"/>
      <c r="E25" s="518"/>
      <c r="F25" s="518"/>
      <c r="G25" s="51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8"/>
      <c r="Z25" s="518"/>
      <c r="AA25" s="518"/>
      <c r="AB25" s="518"/>
      <c r="AC25" s="518"/>
      <c r="AD25" s="518"/>
      <c r="AE25" s="518"/>
      <c r="AF25" s="518"/>
      <c r="AG25" s="518"/>
      <c r="AH25" s="518"/>
      <c r="AI25" s="518"/>
      <c r="AJ25" s="518"/>
      <c r="AK25" s="518"/>
      <c r="AL25" s="518"/>
      <c r="AM25" s="518"/>
      <c r="AN25" s="518"/>
      <c r="AO25" s="518"/>
      <c r="AP25" s="518"/>
      <c r="AQ25" s="518"/>
      <c r="AR25" s="518"/>
      <c r="AS25" s="518"/>
      <c r="AT25" s="518"/>
      <c r="AU25" s="518"/>
      <c r="AV25" s="518"/>
      <c r="AW25" s="518"/>
      <c r="AX25" s="518"/>
      <c r="AY25" s="518"/>
      <c r="AZ25" s="518"/>
      <c r="BA25" s="518"/>
      <c r="BB25" s="518"/>
      <c r="BC25" s="518"/>
      <c r="BD25" s="518"/>
      <c r="BE25" s="518"/>
    </row>
    <row r="26" spans="1:57" ht="12.75" customHeight="1">
      <c r="A26" s="548"/>
      <c r="B26" s="565"/>
      <c r="C26" s="547"/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  <c r="AA26" s="518"/>
      <c r="AB26" s="518"/>
      <c r="AC26" s="518"/>
      <c r="AD26" s="518"/>
      <c r="AE26" s="518"/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S26" s="518"/>
      <c r="AT26" s="518"/>
      <c r="AU26" s="518"/>
      <c r="AV26" s="518"/>
      <c r="AW26" s="518"/>
      <c r="AX26" s="518"/>
      <c r="AY26" s="518"/>
      <c r="AZ26" s="518"/>
      <c r="BA26" s="518"/>
      <c r="BB26" s="518"/>
      <c r="BC26" s="518"/>
      <c r="BD26" s="518"/>
      <c r="BE26" s="518"/>
    </row>
    <row r="27" spans="1:57" ht="12.75" customHeight="1">
      <c r="A27" s="566" t="s">
        <v>253</v>
      </c>
      <c r="B27" s="565"/>
      <c r="C27" s="547"/>
      <c r="D27" s="518"/>
      <c r="E27" s="518"/>
      <c r="F27" s="518"/>
      <c r="G27" s="518"/>
      <c r="H27" s="518"/>
      <c r="I27" s="518"/>
      <c r="J27" s="518"/>
      <c r="K27" s="518"/>
      <c r="L27" s="518"/>
      <c r="M27" s="518"/>
      <c r="N27" s="518"/>
      <c r="O27" s="518"/>
      <c r="P27" s="518"/>
      <c r="Q27" s="518"/>
      <c r="R27" s="518"/>
      <c r="S27" s="518"/>
      <c r="T27" s="518"/>
      <c r="U27" s="518"/>
      <c r="V27" s="518"/>
      <c r="W27" s="518"/>
      <c r="X27" s="518"/>
      <c r="Y27" s="518"/>
      <c r="Z27" s="518"/>
      <c r="AA27" s="518"/>
      <c r="AB27" s="518"/>
      <c r="AC27" s="518"/>
      <c r="AD27" s="518"/>
      <c r="AE27" s="518"/>
      <c r="AF27" s="518"/>
      <c r="AG27" s="518"/>
      <c r="AH27" s="518"/>
      <c r="AI27" s="518"/>
      <c r="AJ27" s="518"/>
      <c r="AK27" s="518"/>
      <c r="AL27" s="518"/>
      <c r="AM27" s="518"/>
      <c r="AN27" s="518"/>
      <c r="AO27" s="518"/>
      <c r="AP27" s="518"/>
      <c r="AQ27" s="518"/>
      <c r="AR27" s="518"/>
      <c r="AS27" s="518"/>
      <c r="AT27" s="518"/>
      <c r="AU27" s="518"/>
      <c r="AV27" s="518"/>
      <c r="AW27" s="518"/>
      <c r="AX27" s="518"/>
      <c r="AY27" s="518"/>
      <c r="AZ27" s="518"/>
      <c r="BA27" s="518"/>
      <c r="BB27" s="518"/>
      <c r="BC27" s="518"/>
      <c r="BD27" s="518"/>
      <c r="BE27" s="518"/>
    </row>
    <row r="28" spans="1:57" ht="12.75" customHeight="1">
      <c r="A28" s="567" t="s">
        <v>254</v>
      </c>
      <c r="B28" s="584">
        <f t="shared" ref="B28:B33" si="5">SUM(D28:BB28)</f>
        <v>-149115000</v>
      </c>
      <c r="C28" s="547"/>
      <c r="D28" s="518"/>
      <c r="E28" s="518"/>
      <c r="F28" s="518"/>
      <c r="G28" s="518"/>
      <c r="H28" s="518"/>
      <c r="I28" s="518"/>
      <c r="J28" s="518"/>
      <c r="K28" s="518"/>
      <c r="L28" s="518"/>
      <c r="M28" s="518"/>
      <c r="N28" s="518"/>
      <c r="O28" s="518"/>
      <c r="P28" s="568"/>
      <c r="Q28" s="568"/>
      <c r="R28" s="568">
        <v>-149115000</v>
      </c>
      <c r="T28" s="568"/>
      <c r="V28" s="568"/>
      <c r="W28" s="568"/>
      <c r="X28" s="568"/>
      <c r="Y28" s="568"/>
      <c r="Z28" s="518"/>
      <c r="AA28" s="518"/>
      <c r="AB28" s="518"/>
      <c r="AC28" s="518"/>
      <c r="AD28" s="518"/>
      <c r="AE28" s="518"/>
      <c r="AF28" s="518"/>
      <c r="AG28" s="518"/>
      <c r="AH28" s="518"/>
      <c r="AI28" s="518"/>
      <c r="AJ28" s="518"/>
      <c r="AK28" s="518"/>
      <c r="AL28" s="518"/>
      <c r="AM28" s="518"/>
      <c r="AN28" s="518"/>
      <c r="AO28" s="518"/>
      <c r="AP28" s="518"/>
      <c r="AQ28" s="568">
        <f>-AQ9</f>
        <v>0</v>
      </c>
      <c r="AR28" s="568"/>
      <c r="AS28" s="568"/>
      <c r="AT28" s="568">
        <f>-AT9</f>
        <v>0</v>
      </c>
      <c r="AU28" s="518"/>
      <c r="AV28" s="518"/>
      <c r="AW28" s="518"/>
      <c r="AX28" s="551"/>
      <c r="AY28" s="551"/>
      <c r="AZ28" s="551"/>
      <c r="BA28" s="518"/>
      <c r="BB28" s="518"/>
      <c r="BC28" s="518"/>
      <c r="BD28" s="518"/>
      <c r="BE28" s="518"/>
    </row>
    <row r="29" spans="1:57" ht="12.75" customHeight="1">
      <c r="A29" s="548" t="s">
        <v>256</v>
      </c>
      <c r="B29" s="584">
        <f t="shared" si="5"/>
        <v>0</v>
      </c>
      <c r="C29" s="547"/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8"/>
      <c r="P29" s="518"/>
      <c r="Q29" s="518"/>
      <c r="R29" s="568"/>
      <c r="S29" s="568"/>
      <c r="T29" s="568"/>
      <c r="U29" s="568"/>
      <c r="V29" s="568"/>
      <c r="W29" s="568"/>
      <c r="X29" s="568"/>
      <c r="Y29" s="568"/>
      <c r="Z29" s="518"/>
      <c r="AA29" s="518"/>
      <c r="AB29" s="518"/>
      <c r="AC29" s="518"/>
      <c r="AD29" s="518"/>
      <c r="AE29" s="518"/>
      <c r="AF29" s="518"/>
      <c r="AG29" s="518"/>
      <c r="AH29" s="518"/>
      <c r="AI29" s="518"/>
      <c r="AJ29" s="518"/>
      <c r="AK29" s="518"/>
      <c r="AL29" s="518"/>
      <c r="AM29" s="518"/>
      <c r="AN29" s="518"/>
      <c r="AO29" s="518"/>
      <c r="AP29" s="518"/>
      <c r="AQ29" s="518"/>
      <c r="AR29" s="518"/>
      <c r="AS29" s="518"/>
      <c r="AT29" s="518"/>
      <c r="AU29" s="518"/>
      <c r="AV29" s="518"/>
      <c r="AW29" s="518"/>
      <c r="AX29" s="551"/>
      <c r="AY29" s="551"/>
      <c r="AZ29" s="551"/>
      <c r="BA29" s="518"/>
      <c r="BB29" s="518"/>
      <c r="BC29" s="518"/>
      <c r="BD29" s="518"/>
      <c r="BE29" s="515"/>
    </row>
    <row r="30" spans="1:57" ht="12.75" customHeight="1">
      <c r="A30" s="548" t="s">
        <v>257</v>
      </c>
      <c r="B30" s="584">
        <f t="shared" si="5"/>
        <v>0</v>
      </c>
      <c r="C30" s="547"/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68"/>
      <c r="S30" s="568"/>
      <c r="T30" s="568"/>
      <c r="U30" s="568"/>
      <c r="V30" s="568"/>
      <c r="W30" s="568"/>
      <c r="X30" s="568"/>
      <c r="Y30" s="56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518"/>
      <c r="AQ30" s="518"/>
      <c r="AR30" s="518"/>
      <c r="AS30" s="518"/>
      <c r="AT30" s="518"/>
      <c r="AU30" s="518"/>
      <c r="AV30" s="518"/>
      <c r="AW30" s="518"/>
      <c r="AX30" s="551"/>
      <c r="AY30" s="551"/>
      <c r="AZ30" s="551"/>
      <c r="BA30" s="518"/>
      <c r="BB30" s="518"/>
      <c r="BC30" s="518"/>
      <c r="BD30" s="518"/>
      <c r="BE30" s="551"/>
    </row>
    <row r="31" spans="1:57" ht="12.75" customHeight="1">
      <c r="A31" s="548" t="s">
        <v>258</v>
      </c>
      <c r="B31" s="584">
        <f t="shared" si="5"/>
        <v>0</v>
      </c>
      <c r="C31" s="547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Q31" s="518"/>
      <c r="R31" s="568"/>
      <c r="S31" s="568"/>
      <c r="T31" s="568"/>
      <c r="U31" s="568"/>
      <c r="V31" s="568"/>
      <c r="W31" s="568"/>
      <c r="X31" s="568"/>
      <c r="Y31" s="568"/>
      <c r="Z31" s="518"/>
      <c r="AA31" s="518"/>
      <c r="AB31" s="518"/>
      <c r="AC31" s="518"/>
      <c r="AD31" s="518"/>
      <c r="AE31" s="518"/>
      <c r="AF31" s="518"/>
      <c r="AG31" s="518"/>
      <c r="AH31" s="518"/>
      <c r="AI31" s="518"/>
      <c r="AJ31" s="518"/>
      <c r="AK31" s="518"/>
      <c r="AL31" s="518"/>
      <c r="AM31" s="518"/>
      <c r="AN31" s="518"/>
      <c r="AO31" s="518"/>
      <c r="AP31" s="518"/>
      <c r="AQ31" s="518"/>
      <c r="AR31" s="518"/>
      <c r="AS31" s="518"/>
      <c r="AT31" s="518"/>
      <c r="AU31" s="518"/>
      <c r="AV31" s="518"/>
      <c r="AW31" s="518"/>
      <c r="AX31" s="551"/>
      <c r="AY31" s="550"/>
      <c r="AZ31" s="550"/>
      <c r="BA31" s="518"/>
      <c r="BB31" s="518"/>
      <c r="BC31" s="518"/>
      <c r="BD31" s="518"/>
      <c r="BE31" s="551"/>
    </row>
    <row r="32" spans="1:57" ht="12.75" customHeight="1">
      <c r="A32" s="548" t="s">
        <v>260</v>
      </c>
      <c r="B32" s="584">
        <f t="shared" si="5"/>
        <v>0</v>
      </c>
      <c r="C32" s="547"/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8"/>
      <c r="P32" s="518"/>
      <c r="Q32" s="518"/>
      <c r="R32" s="568"/>
      <c r="S32" s="568"/>
      <c r="T32" s="568"/>
      <c r="U32" s="568"/>
      <c r="V32" s="568"/>
      <c r="W32" s="568"/>
      <c r="X32" s="568"/>
      <c r="Y32" s="568"/>
      <c r="Z32" s="518"/>
      <c r="AA32" s="518"/>
      <c r="AB32" s="518"/>
      <c r="AC32" s="518"/>
      <c r="AD32" s="518"/>
      <c r="AE32" s="518"/>
      <c r="AF32" s="518"/>
      <c r="AG32" s="518"/>
      <c r="AH32" s="518"/>
      <c r="AI32" s="518"/>
      <c r="AJ32" s="515"/>
      <c r="AK32" s="518"/>
      <c r="AL32" s="518"/>
      <c r="AM32" s="518"/>
      <c r="AN32" s="518"/>
      <c r="AO32" s="518"/>
      <c r="AP32" s="518"/>
      <c r="AQ32" s="518"/>
      <c r="AR32" s="518"/>
      <c r="AS32" s="518"/>
      <c r="AT32" s="518"/>
      <c r="AU32" s="518"/>
      <c r="AV32" s="518"/>
      <c r="AW32" s="518"/>
      <c r="AX32" s="551"/>
      <c r="AY32" s="550"/>
      <c r="AZ32" s="550"/>
      <c r="BA32" s="518"/>
      <c r="BB32" s="518"/>
      <c r="BC32" s="518"/>
      <c r="BD32" s="518"/>
      <c r="BE32" s="518"/>
    </row>
    <row r="33" spans="1:57" ht="12.75" customHeight="1">
      <c r="A33" s="548" t="s">
        <v>261</v>
      </c>
      <c r="B33" s="584">
        <f t="shared" si="5"/>
        <v>0</v>
      </c>
      <c r="C33" s="547"/>
      <c r="D33" s="515"/>
      <c r="E33" s="515"/>
      <c r="F33" s="515"/>
      <c r="G33" s="515"/>
      <c r="H33" s="515"/>
      <c r="I33" s="515"/>
      <c r="J33" s="515"/>
      <c r="K33" s="515"/>
      <c r="L33" s="515"/>
      <c r="M33" s="515"/>
      <c r="N33" s="515"/>
      <c r="O33" s="515"/>
      <c r="P33" s="515"/>
      <c r="Q33" s="515"/>
      <c r="R33" s="568"/>
      <c r="S33" s="568"/>
      <c r="T33" s="568"/>
      <c r="U33" s="568"/>
      <c r="V33" s="568"/>
      <c r="W33" s="568"/>
      <c r="X33" s="568"/>
      <c r="Y33" s="568"/>
      <c r="Z33" s="518"/>
      <c r="AA33" s="518"/>
      <c r="AB33" s="518"/>
      <c r="AC33" s="518"/>
      <c r="AD33" s="515"/>
      <c r="AE33" s="515"/>
      <c r="AF33" s="515"/>
      <c r="AG33" s="515"/>
      <c r="AH33" s="518"/>
      <c r="AI33" s="518"/>
      <c r="AJ33" s="518"/>
      <c r="AK33" s="518"/>
      <c r="AL33" s="518"/>
      <c r="AM33" s="518"/>
      <c r="AN33" s="518"/>
      <c r="AO33" s="518"/>
      <c r="AP33" s="518"/>
      <c r="AQ33" s="518"/>
      <c r="AR33" s="518"/>
      <c r="AS33" s="518"/>
      <c r="AT33" s="518"/>
      <c r="AU33" s="518"/>
      <c r="AV33" s="518"/>
      <c r="AW33" s="518"/>
      <c r="AX33" s="551"/>
      <c r="AY33" s="551"/>
      <c r="AZ33" s="551"/>
      <c r="BA33" s="518"/>
      <c r="BB33" s="518"/>
      <c r="BC33" s="518"/>
      <c r="BD33" s="518"/>
      <c r="BE33" s="518"/>
    </row>
    <row r="34" spans="1:57" ht="12.75" customHeight="1">
      <c r="A34" s="548" t="s">
        <v>263</v>
      </c>
      <c r="B34" s="569">
        <f>SUM(B28:B33)</f>
        <v>-149115000</v>
      </c>
      <c r="C34" s="547"/>
      <c r="D34" s="518"/>
      <c r="E34" s="518"/>
      <c r="F34" s="518"/>
      <c r="G34" s="518"/>
      <c r="H34" s="518"/>
      <c r="I34" s="518"/>
      <c r="J34" s="518"/>
      <c r="K34" s="518"/>
      <c r="L34" s="518"/>
      <c r="M34" s="518"/>
      <c r="N34" s="518"/>
      <c r="O34" s="518"/>
      <c r="P34" s="518"/>
      <c r="Q34" s="518"/>
      <c r="R34" s="518"/>
      <c r="S34" s="518"/>
      <c r="T34" s="518"/>
      <c r="U34" s="518"/>
      <c r="V34" s="518"/>
      <c r="W34" s="518"/>
      <c r="X34" s="518"/>
      <c r="Y34" s="518"/>
      <c r="Z34" s="518"/>
      <c r="AA34" s="518"/>
      <c r="AB34" s="518"/>
      <c r="AC34" s="518"/>
      <c r="AD34" s="518"/>
      <c r="AE34" s="518"/>
      <c r="AF34" s="518"/>
      <c r="AG34" s="518"/>
      <c r="AH34" s="518"/>
      <c r="AI34" s="518"/>
      <c r="AJ34" s="518"/>
      <c r="AK34" s="518"/>
      <c r="AL34" s="518"/>
      <c r="AM34" s="518"/>
      <c r="AN34" s="518"/>
      <c r="AO34" s="518"/>
      <c r="AP34" s="518"/>
      <c r="AQ34" s="518"/>
      <c r="AR34" s="518"/>
      <c r="AS34" s="518"/>
      <c r="AT34" s="518"/>
      <c r="AU34" s="518"/>
      <c r="AV34" s="518"/>
      <c r="AW34" s="518"/>
      <c r="AX34" s="518"/>
      <c r="AY34" s="518"/>
      <c r="AZ34" s="518"/>
      <c r="BA34" s="518"/>
      <c r="BB34" s="518"/>
      <c r="BC34" s="518"/>
      <c r="BD34" s="518"/>
      <c r="BE34" s="518"/>
    </row>
    <row r="35" spans="1:57" ht="12.75" customHeight="1">
      <c r="A35" s="548"/>
      <c r="B35" s="549"/>
      <c r="C35" s="547"/>
      <c r="D35" s="518"/>
      <c r="E35" s="518"/>
      <c r="F35" s="518"/>
      <c r="G35" s="518"/>
      <c r="H35" s="518"/>
      <c r="I35" s="518"/>
      <c r="J35" s="518"/>
      <c r="K35" s="518"/>
      <c r="L35" s="518"/>
      <c r="M35" s="518"/>
      <c r="N35" s="518"/>
      <c r="O35" s="518"/>
      <c r="P35" s="518"/>
      <c r="Q35" s="518"/>
      <c r="R35" s="518"/>
      <c r="S35" s="518"/>
      <c r="T35" s="518"/>
      <c r="U35" s="518"/>
      <c r="V35" s="518"/>
      <c r="W35" s="518"/>
      <c r="X35" s="518"/>
      <c r="Y35" s="518"/>
      <c r="Z35" s="518"/>
      <c r="AA35" s="518"/>
      <c r="AB35" s="518"/>
      <c r="AC35" s="518"/>
      <c r="AD35" s="518"/>
      <c r="AE35" s="518"/>
      <c r="AF35" s="518"/>
      <c r="AG35" s="518"/>
      <c r="AH35" s="518"/>
      <c r="AI35" s="518"/>
      <c r="AJ35" s="518"/>
      <c r="AK35" s="518"/>
      <c r="AL35" s="518"/>
      <c r="AM35" s="518"/>
      <c r="AN35" s="518"/>
      <c r="AO35" s="518"/>
      <c r="AP35" s="518"/>
      <c r="AQ35" s="518"/>
      <c r="AR35" s="518"/>
      <c r="AS35" s="518"/>
      <c r="AT35" s="518"/>
      <c r="AU35" s="518"/>
      <c r="AV35" s="518"/>
      <c r="AW35" s="518"/>
      <c r="AX35" s="518"/>
      <c r="AY35" s="518"/>
      <c r="AZ35" s="518"/>
      <c r="BA35" s="518"/>
      <c r="BB35" s="518"/>
      <c r="BC35" s="518"/>
      <c r="BD35" s="518"/>
      <c r="BE35" s="518"/>
    </row>
    <row r="36" spans="1:57" ht="12.75" customHeight="1">
      <c r="A36" s="566" t="s">
        <v>265</v>
      </c>
      <c r="B36" s="570"/>
      <c r="C36" s="547"/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8"/>
      <c r="T36" s="518"/>
      <c r="U36" s="518"/>
      <c r="V36" s="518"/>
      <c r="W36" s="518"/>
      <c r="X36" s="518"/>
      <c r="Y36" s="518"/>
      <c r="Z36" s="518"/>
      <c r="AA36" s="518"/>
      <c r="AB36" s="518"/>
      <c r="AC36" s="518"/>
      <c r="AD36" s="518"/>
      <c r="AE36" s="518"/>
      <c r="AF36" s="518"/>
      <c r="AG36" s="518"/>
      <c r="AH36" s="518"/>
      <c r="AI36" s="518"/>
      <c r="AJ36" s="518"/>
      <c r="AK36" s="518"/>
      <c r="AL36" s="518"/>
      <c r="AM36" s="518"/>
      <c r="AN36" s="518"/>
      <c r="AO36" s="518"/>
      <c r="AP36" s="518"/>
      <c r="AQ36" s="518"/>
      <c r="AR36" s="518"/>
      <c r="AS36" s="518"/>
      <c r="AT36" s="518"/>
      <c r="AU36" s="518"/>
      <c r="AV36" s="518"/>
      <c r="AW36" s="518"/>
      <c r="AX36" s="518"/>
      <c r="AY36" s="518"/>
      <c r="AZ36" s="518"/>
      <c r="BA36" s="518"/>
      <c r="BB36" s="518"/>
      <c r="BC36" s="518"/>
      <c r="BD36" s="518"/>
      <c r="BE36" s="518"/>
    </row>
    <row r="37" spans="1:57" ht="12.75" customHeight="1">
      <c r="A37" s="548" t="s">
        <v>267</v>
      </c>
      <c r="B37" s="584">
        <f t="shared" ref="B37:B43" si="6">SUM(D37:BB37)</f>
        <v>320718850062</v>
      </c>
      <c r="C37" s="547"/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18"/>
      <c r="X37" s="1466">
        <f>'Hutang Bank'!M62</f>
        <v>320718850062</v>
      </c>
      <c r="Y37" s="515"/>
      <c r="Z37" s="518"/>
      <c r="AA37" s="518"/>
      <c r="AB37" s="551"/>
      <c r="AC37" s="551"/>
      <c r="AD37" s="515"/>
      <c r="AE37" s="515"/>
      <c r="AF37" s="515"/>
      <c r="AG37" s="515"/>
      <c r="AH37" s="515"/>
      <c r="AI37" s="518"/>
      <c r="AJ37" s="515"/>
      <c r="AK37" s="515"/>
      <c r="AL37" s="515"/>
      <c r="AM37" s="518"/>
      <c r="AN37" s="518"/>
      <c r="AO37" s="518"/>
      <c r="AP37" s="518"/>
      <c r="AQ37" s="518"/>
      <c r="AR37" s="518"/>
      <c r="AS37" s="518"/>
      <c r="AT37" s="518"/>
      <c r="AU37" s="518"/>
      <c r="AV37" s="518"/>
      <c r="AW37" s="518"/>
      <c r="AX37" s="518"/>
      <c r="AY37" s="518"/>
      <c r="AZ37" s="518"/>
      <c r="BA37" s="518"/>
      <c r="BB37" s="518"/>
      <c r="BC37" s="518"/>
      <c r="BD37" s="518"/>
      <c r="BE37" s="518"/>
    </row>
    <row r="38" spans="1:57" ht="12.75" customHeight="1">
      <c r="A38" s="548" t="s">
        <v>268</v>
      </c>
      <c r="B38" s="584">
        <f t="shared" si="6"/>
        <v>-316298545908</v>
      </c>
      <c r="C38" s="547"/>
      <c r="D38" s="518"/>
      <c r="E38" s="518"/>
      <c r="F38" s="518"/>
      <c r="G38" s="518"/>
      <c r="H38" s="518"/>
      <c r="I38" s="518"/>
      <c r="J38" s="518"/>
      <c r="K38" s="518"/>
      <c r="L38" s="518"/>
      <c r="M38" s="518"/>
      <c r="N38" s="518"/>
      <c r="O38" s="518"/>
      <c r="P38" s="518"/>
      <c r="Q38" s="518"/>
      <c r="R38" s="518"/>
      <c r="S38" s="518"/>
      <c r="T38" s="518"/>
      <c r="U38" s="518"/>
      <c r="V38" s="518"/>
      <c r="W38" s="518"/>
      <c r="X38" s="1466">
        <f>-'Hutang Bank'!L62</f>
        <v>-308623224867</v>
      </c>
      <c r="Y38" s="515">
        <f>-Y9</f>
        <v>-2552724999</v>
      </c>
      <c r="Z38" s="518"/>
      <c r="AA38" s="518"/>
      <c r="AB38" s="551"/>
      <c r="AC38" s="551"/>
      <c r="AD38" s="515"/>
      <c r="AE38" s="515"/>
      <c r="AF38" s="515"/>
      <c r="AG38" s="515"/>
      <c r="AH38" s="1045">
        <f>-AH9</f>
        <v>-5122596042</v>
      </c>
      <c r="AI38" s="518"/>
      <c r="AJ38" s="515"/>
      <c r="AK38" s="515"/>
      <c r="AL38" s="515"/>
      <c r="AM38" s="518"/>
      <c r="AN38" s="518"/>
      <c r="AO38" s="518"/>
      <c r="AP38" s="518"/>
      <c r="AQ38" s="518"/>
      <c r="AR38" s="518"/>
      <c r="AS38" s="518"/>
      <c r="AT38" s="518"/>
      <c r="AU38" s="518"/>
      <c r="AV38" s="518"/>
      <c r="AW38" s="518"/>
      <c r="AX38" s="518"/>
      <c r="AY38" s="518"/>
      <c r="AZ38" s="518"/>
      <c r="BA38" s="518"/>
      <c r="BB38" s="518"/>
      <c r="BC38" s="518"/>
      <c r="BD38" s="518"/>
      <c r="BE38" s="518"/>
    </row>
    <row r="39" spans="1:57" ht="12.75" customHeight="1">
      <c r="A39" s="548" t="s">
        <v>1539</v>
      </c>
      <c r="B39" s="584">
        <f t="shared" si="6"/>
        <v>0</v>
      </c>
      <c r="C39" s="547"/>
      <c r="D39" s="518"/>
      <c r="E39" s="518"/>
      <c r="F39" s="518"/>
      <c r="G39" s="518"/>
      <c r="H39" s="518"/>
      <c r="I39" s="518"/>
      <c r="J39" s="518"/>
      <c r="K39" s="518"/>
      <c r="L39" s="518"/>
      <c r="M39" s="518"/>
      <c r="N39" s="518"/>
      <c r="O39" s="518"/>
      <c r="P39" s="518"/>
      <c r="Q39" s="518"/>
      <c r="R39" s="518"/>
      <c r="S39" s="518"/>
      <c r="T39" s="518"/>
      <c r="U39" s="518"/>
      <c r="V39" s="518"/>
      <c r="W39" s="518"/>
      <c r="X39" s="518"/>
      <c r="Y39" s="518"/>
      <c r="Z39" s="518"/>
      <c r="AA39" s="518"/>
      <c r="AB39" s="551"/>
      <c r="AC39" s="551"/>
      <c r="AD39" s="515"/>
      <c r="AE39" s="515"/>
      <c r="AF39" s="515">
        <f>-AF9</f>
        <v>-5722543</v>
      </c>
      <c r="AG39" s="515"/>
      <c r="AH39" s="515"/>
      <c r="AI39" s="518"/>
      <c r="AJ39" s="515"/>
      <c r="AK39" s="515"/>
      <c r="AL39" s="515">
        <f>-AL9</f>
        <v>5722543</v>
      </c>
      <c r="AM39" s="518"/>
      <c r="AN39" s="518"/>
      <c r="AO39" s="518"/>
      <c r="AP39" s="518"/>
      <c r="AQ39" s="518"/>
      <c r="AR39" s="518"/>
      <c r="AS39" s="518"/>
      <c r="AT39" s="518"/>
      <c r="AU39" s="518"/>
      <c r="AV39" s="518"/>
      <c r="AW39" s="518"/>
      <c r="AX39" s="518"/>
      <c r="AY39" s="518"/>
      <c r="AZ39" s="518"/>
      <c r="BA39" s="518"/>
      <c r="BB39" s="518"/>
      <c r="BC39" s="518"/>
      <c r="BD39" s="518"/>
      <c r="BE39" s="518"/>
    </row>
    <row r="40" spans="1:57" ht="12.75" customHeight="1">
      <c r="A40" s="548" t="s">
        <v>270</v>
      </c>
      <c r="B40" s="584">
        <f t="shared" si="6"/>
        <v>0</v>
      </c>
      <c r="C40" s="547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518"/>
      <c r="Q40" s="518"/>
      <c r="R40" s="518"/>
      <c r="S40" s="518"/>
      <c r="T40" s="518"/>
      <c r="U40" s="518"/>
      <c r="V40" s="518"/>
      <c r="W40" s="518"/>
      <c r="X40" s="518"/>
      <c r="Y40" s="518"/>
      <c r="Z40" s="518"/>
      <c r="AA40" s="518"/>
      <c r="AB40" s="551"/>
      <c r="AC40" s="551"/>
      <c r="AD40" s="515"/>
      <c r="AE40" s="515"/>
      <c r="AF40" s="515"/>
      <c r="AG40" s="515"/>
      <c r="AH40" s="515"/>
      <c r="AI40" s="518"/>
      <c r="AJ40" s="515"/>
      <c r="AK40" s="515"/>
      <c r="AL40" s="515"/>
      <c r="AM40" s="518"/>
      <c r="AN40" s="518"/>
      <c r="AO40" s="518"/>
      <c r="AP40" s="518"/>
      <c r="AQ40" s="518"/>
      <c r="AR40" s="518"/>
      <c r="AS40" s="518"/>
      <c r="AT40" s="518"/>
      <c r="AU40" s="518"/>
      <c r="AV40" s="518"/>
      <c r="AW40" s="518"/>
      <c r="AX40" s="518"/>
      <c r="AY40" s="518"/>
      <c r="AZ40" s="518"/>
      <c r="BA40" s="518"/>
      <c r="BB40" s="518"/>
      <c r="BC40" s="518"/>
      <c r="BD40" s="518"/>
      <c r="BE40" s="518"/>
    </row>
    <row r="41" spans="1:57" ht="12.75" customHeight="1">
      <c r="A41" s="548" t="s">
        <v>1545</v>
      </c>
      <c r="B41" s="584">
        <f t="shared" si="6"/>
        <v>0</v>
      </c>
      <c r="C41" s="547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518"/>
      <c r="Q41" s="518"/>
      <c r="R41" s="518"/>
      <c r="S41" s="518"/>
      <c r="T41" s="518"/>
      <c r="U41" s="518"/>
      <c r="V41" s="518"/>
      <c r="W41" s="518"/>
      <c r="X41" s="518"/>
      <c r="Y41" s="518"/>
      <c r="Z41" s="518"/>
      <c r="AA41" s="518"/>
      <c r="AB41" s="551"/>
      <c r="AC41" s="551"/>
      <c r="AD41" s="515"/>
      <c r="AE41" s="515"/>
      <c r="AF41" s="515"/>
      <c r="AG41" s="515"/>
      <c r="AH41" s="518"/>
      <c r="AI41" s="518"/>
      <c r="AJ41" s="515"/>
      <c r="AK41" s="515"/>
      <c r="AL41" s="515"/>
      <c r="AM41" s="518"/>
      <c r="AN41" s="518"/>
      <c r="AO41" s="518"/>
      <c r="AP41" s="518"/>
      <c r="AQ41" s="518"/>
      <c r="AR41" s="518"/>
      <c r="AS41" s="518"/>
      <c r="AT41" s="518"/>
      <c r="AU41" s="518"/>
      <c r="AV41" s="518"/>
      <c r="AW41" s="518"/>
      <c r="AX41" s="518"/>
      <c r="AY41" s="518"/>
      <c r="AZ41" s="518"/>
      <c r="BA41" s="518"/>
      <c r="BB41" s="518"/>
      <c r="BC41" s="518"/>
      <c r="BD41" s="518"/>
      <c r="BE41" s="518"/>
    </row>
    <row r="42" spans="1:57" ht="12.75" customHeight="1">
      <c r="A42" s="548" t="s">
        <v>272</v>
      </c>
      <c r="B42" s="584">
        <f t="shared" si="6"/>
        <v>0</v>
      </c>
      <c r="C42" s="547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8"/>
      <c r="T42" s="518"/>
      <c r="U42" s="518"/>
      <c r="V42" s="518"/>
      <c r="W42" s="518"/>
      <c r="X42" s="518"/>
      <c r="Y42" s="518"/>
      <c r="Z42" s="518"/>
      <c r="AA42" s="518"/>
      <c r="AB42" s="551"/>
      <c r="AC42" s="551"/>
      <c r="AD42" s="515"/>
      <c r="AE42" s="515"/>
      <c r="AF42" s="515"/>
      <c r="AG42" s="515"/>
      <c r="AH42" s="518"/>
      <c r="AI42" s="518"/>
      <c r="AJ42" s="515"/>
      <c r="AK42" s="515"/>
      <c r="AL42" s="515"/>
      <c r="AM42" s="518"/>
      <c r="AN42" s="518"/>
      <c r="AO42" s="518"/>
      <c r="AP42" s="518"/>
      <c r="AQ42" s="518"/>
      <c r="AR42" s="518"/>
      <c r="AS42" s="518"/>
      <c r="AT42" s="518"/>
      <c r="AU42" s="518"/>
      <c r="AV42" s="518"/>
      <c r="AW42" s="518"/>
      <c r="AX42" s="518"/>
      <c r="AY42" s="518"/>
      <c r="AZ42" s="518"/>
      <c r="BA42" s="518"/>
      <c r="BB42" s="518"/>
      <c r="BC42" s="518"/>
      <c r="BD42" s="518"/>
      <c r="BE42" s="518"/>
    </row>
    <row r="43" spans="1:57" ht="12.75" customHeight="1">
      <c r="A43" s="548" t="s">
        <v>273</v>
      </c>
      <c r="B43" s="584">
        <f t="shared" si="6"/>
        <v>755097100</v>
      </c>
      <c r="C43" s="547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518"/>
      <c r="P43" s="518"/>
      <c r="Q43" s="518"/>
      <c r="R43" s="518"/>
      <c r="S43" s="518"/>
      <c r="T43" s="518"/>
      <c r="U43" s="518"/>
      <c r="V43" s="518"/>
      <c r="W43" s="518"/>
      <c r="X43" s="518"/>
      <c r="Y43" s="518"/>
      <c r="Z43" s="515"/>
      <c r="AA43" s="515"/>
      <c r="AB43" s="515"/>
      <c r="AC43" s="515"/>
      <c r="AD43" s="553">
        <f>-AD9</f>
        <v>0</v>
      </c>
      <c r="AE43" s="553">
        <f>-AE9</f>
        <v>755097100</v>
      </c>
      <c r="AF43" s="515"/>
      <c r="AG43" s="518"/>
      <c r="AH43" s="518"/>
      <c r="AI43" s="518"/>
      <c r="AJ43" s="515">
        <f>-AJ9</f>
        <v>0</v>
      </c>
      <c r="AK43" s="518"/>
      <c r="AL43" s="515"/>
      <c r="AM43" s="515"/>
      <c r="AN43" s="515"/>
      <c r="AO43" s="515"/>
      <c r="AP43" s="515"/>
      <c r="AQ43" s="518"/>
      <c r="AR43" s="518"/>
      <c r="AS43" s="518"/>
      <c r="AT43" s="518"/>
      <c r="AU43" s="518"/>
      <c r="AV43" s="518"/>
      <c r="AW43" s="518"/>
      <c r="AX43" s="518"/>
      <c r="AY43" s="518"/>
      <c r="AZ43" s="518"/>
      <c r="BA43" s="518"/>
      <c r="BB43" s="518"/>
      <c r="BC43" s="518"/>
      <c r="BD43" s="518"/>
      <c r="BE43" s="518"/>
    </row>
    <row r="44" spans="1:57" ht="12.75" customHeight="1">
      <c r="A44" s="571" t="s">
        <v>274</v>
      </c>
      <c r="B44" s="572">
        <f>SUM(B37:B43)</f>
        <v>5175401254</v>
      </c>
      <c r="C44" s="547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518"/>
      <c r="Q44" s="518"/>
      <c r="R44" s="518"/>
      <c r="S44" s="518"/>
      <c r="T44" s="518"/>
      <c r="U44" s="518"/>
      <c r="V44" s="518"/>
      <c r="W44" s="518"/>
      <c r="X44" s="518"/>
      <c r="Y44" s="518"/>
      <c r="Z44" s="518"/>
      <c r="AA44" s="518"/>
      <c r="AB44" s="518"/>
      <c r="AC44" s="518"/>
      <c r="AD44" s="518"/>
      <c r="AE44" s="518"/>
      <c r="AF44" s="518"/>
      <c r="AG44" s="518"/>
      <c r="AH44" s="518"/>
      <c r="AI44" s="518"/>
      <c r="AJ44" s="518"/>
      <c r="AK44" s="518"/>
      <c r="AL44" s="518"/>
      <c r="AM44" s="518"/>
      <c r="AN44" s="518"/>
      <c r="AO44" s="518"/>
      <c r="AP44" s="518"/>
      <c r="AQ44" s="518"/>
      <c r="AR44" s="518"/>
      <c r="AS44" s="518"/>
      <c r="AT44" s="518"/>
      <c r="AU44" s="518"/>
      <c r="AV44" s="518"/>
      <c r="AW44" s="518"/>
      <c r="AX44" s="518"/>
      <c r="AY44" s="518"/>
      <c r="AZ44" s="518"/>
      <c r="BA44" s="518"/>
      <c r="BB44" s="518"/>
      <c r="BC44" s="518"/>
      <c r="BD44" s="518"/>
      <c r="BE44" s="518"/>
    </row>
    <row r="45" spans="1:57" ht="12.75" customHeight="1">
      <c r="A45" s="571"/>
      <c r="B45" s="565"/>
      <c r="C45" s="547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518"/>
      <c r="P45" s="518"/>
      <c r="Q45" s="518"/>
      <c r="R45" s="518"/>
      <c r="S45" s="518"/>
      <c r="T45" s="518"/>
      <c r="U45" s="518"/>
      <c r="V45" s="518"/>
      <c r="W45" s="518"/>
      <c r="X45" s="518"/>
      <c r="Y45" s="518"/>
      <c r="Z45" s="518"/>
      <c r="AA45" s="518"/>
      <c r="AB45" s="518"/>
      <c r="AC45" s="518"/>
      <c r="AD45" s="518"/>
      <c r="AE45" s="518"/>
      <c r="AF45" s="518"/>
      <c r="AG45" s="518"/>
      <c r="AH45" s="518"/>
      <c r="AI45" s="518"/>
      <c r="AJ45" s="518"/>
      <c r="AK45" s="518"/>
      <c r="AL45" s="518"/>
      <c r="AM45" s="518"/>
      <c r="AN45" s="518"/>
      <c r="AO45" s="518"/>
      <c r="AP45" s="518"/>
      <c r="AQ45" s="518"/>
      <c r="AR45" s="518"/>
      <c r="AS45" s="518"/>
      <c r="AT45" s="518"/>
      <c r="AU45" s="518"/>
      <c r="AV45" s="518"/>
      <c r="AW45" s="518"/>
      <c r="AX45" s="518"/>
      <c r="AY45" s="518"/>
      <c r="AZ45" s="518"/>
      <c r="BA45" s="518"/>
      <c r="BB45" s="518"/>
      <c r="BC45" s="518"/>
      <c r="BD45" s="518"/>
      <c r="BE45" s="518"/>
    </row>
    <row r="46" spans="1:57" ht="12.75" customHeight="1">
      <c r="A46" s="571" t="s">
        <v>275</v>
      </c>
      <c r="B46" s="565"/>
      <c r="C46" s="547"/>
      <c r="D46" s="518"/>
      <c r="E46" s="518"/>
      <c r="F46" s="518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518"/>
      <c r="S46" s="518"/>
      <c r="T46" s="518"/>
      <c r="U46" s="518"/>
      <c r="V46" s="518"/>
      <c r="W46" s="518"/>
      <c r="X46" s="518"/>
      <c r="Y46" s="518"/>
      <c r="Z46" s="518"/>
      <c r="AA46" s="518"/>
      <c r="AB46" s="518"/>
      <c r="AC46" s="518"/>
      <c r="AD46" s="518"/>
      <c r="AE46" s="518"/>
      <c r="AF46" s="518"/>
      <c r="AG46" s="518"/>
      <c r="AH46" s="518"/>
      <c r="AI46" s="518"/>
      <c r="AJ46" s="518"/>
      <c r="AK46" s="518"/>
      <c r="AL46" s="518"/>
      <c r="AM46" s="518"/>
      <c r="AN46" s="518"/>
      <c r="AO46" s="518"/>
      <c r="AP46" s="518"/>
      <c r="AQ46" s="518"/>
      <c r="AR46" s="518"/>
      <c r="AS46" s="518"/>
      <c r="AT46" s="518"/>
      <c r="AU46" s="518"/>
      <c r="AV46" s="518"/>
      <c r="AW46" s="518"/>
      <c r="AX46" s="518"/>
      <c r="AY46" s="518"/>
      <c r="AZ46" s="518"/>
      <c r="BA46" s="518"/>
      <c r="BB46" s="518"/>
      <c r="BC46" s="518"/>
      <c r="BD46" s="518"/>
      <c r="BE46" s="518"/>
    </row>
    <row r="47" spans="1:57" ht="12.75" customHeight="1">
      <c r="A47" s="571"/>
      <c r="B47" s="565"/>
      <c r="C47" s="547"/>
      <c r="D47" s="518"/>
      <c r="E47" s="518"/>
      <c r="F47" s="518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518"/>
      <c r="S47" s="518"/>
      <c r="T47" s="518"/>
      <c r="U47" s="518"/>
      <c r="V47" s="518"/>
      <c r="W47" s="518"/>
      <c r="X47" s="518"/>
      <c r="Y47" s="518"/>
      <c r="Z47" s="518"/>
      <c r="AA47" s="518"/>
      <c r="AB47" s="518"/>
      <c r="AC47" s="518"/>
      <c r="AD47" s="518"/>
      <c r="AE47" s="518"/>
      <c r="AF47" s="518"/>
      <c r="AG47" s="518"/>
      <c r="AH47" s="518"/>
      <c r="AI47" s="518"/>
      <c r="AJ47" s="518"/>
      <c r="AK47" s="518"/>
      <c r="AL47" s="518"/>
      <c r="AM47" s="518"/>
      <c r="AN47" s="518"/>
      <c r="AO47" s="518"/>
      <c r="AP47" s="518"/>
      <c r="AQ47" s="518"/>
      <c r="AR47" s="518"/>
      <c r="AS47" s="518"/>
      <c r="AT47" s="518"/>
      <c r="AU47" s="518"/>
      <c r="AV47" s="518"/>
      <c r="AW47" s="518"/>
      <c r="AX47" s="518"/>
      <c r="AY47" s="518"/>
      <c r="AZ47" s="518"/>
      <c r="BA47" s="518"/>
      <c r="BB47" s="518"/>
      <c r="BC47" s="518"/>
      <c r="BD47" s="518"/>
      <c r="BE47" s="518"/>
    </row>
    <row r="48" spans="1:57" ht="12.75" customHeight="1">
      <c r="A48" s="548"/>
      <c r="B48" s="565"/>
      <c r="C48" s="547"/>
      <c r="D48" s="518"/>
      <c r="E48" s="518"/>
      <c r="F48" s="518"/>
      <c r="G48" s="518"/>
      <c r="H48" s="518"/>
      <c r="I48" s="518"/>
      <c r="J48" s="518"/>
      <c r="K48" s="518"/>
      <c r="L48" s="518"/>
      <c r="M48" s="518"/>
      <c r="N48" s="518"/>
      <c r="O48" s="518"/>
      <c r="P48" s="518"/>
      <c r="Q48" s="518"/>
      <c r="R48" s="518"/>
      <c r="S48" s="518"/>
      <c r="T48" s="518"/>
      <c r="U48" s="518"/>
      <c r="V48" s="518"/>
      <c r="W48" s="518"/>
      <c r="X48" s="518"/>
      <c r="Y48" s="518"/>
      <c r="Z48" s="518"/>
      <c r="AA48" s="518"/>
      <c r="AB48" s="518"/>
      <c r="AC48" s="518"/>
      <c r="AD48" s="518"/>
      <c r="AE48" s="518"/>
      <c r="AF48" s="518"/>
      <c r="AG48" s="518"/>
      <c r="AH48" s="518"/>
      <c r="AI48" s="518"/>
      <c r="AJ48" s="518"/>
      <c r="AK48" s="518"/>
      <c r="AL48" s="518"/>
      <c r="AM48" s="518"/>
      <c r="AN48" s="518"/>
      <c r="AO48" s="518"/>
      <c r="AP48" s="518"/>
      <c r="AQ48" s="518"/>
      <c r="AR48" s="518"/>
      <c r="AS48" s="518"/>
      <c r="AT48" s="518"/>
      <c r="AU48" s="518"/>
      <c r="AV48" s="518"/>
      <c r="AW48" s="518"/>
      <c r="AX48" s="518"/>
      <c r="AY48" s="518"/>
      <c r="AZ48" s="518"/>
      <c r="BA48" s="518"/>
      <c r="BB48" s="518"/>
      <c r="BC48" s="518"/>
      <c r="BD48" s="518"/>
      <c r="BE48" s="518"/>
    </row>
    <row r="49" spans="1:57" ht="12.75" customHeight="1">
      <c r="A49" s="566" t="s">
        <v>276</v>
      </c>
      <c r="B49" s="565">
        <f>B44+B34+B22</f>
        <v>-2106095716.8627701</v>
      </c>
      <c r="C49" s="555"/>
      <c r="D49" s="518"/>
      <c r="E49" s="518"/>
      <c r="F49" s="518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518"/>
      <c r="S49" s="518"/>
      <c r="T49" s="518"/>
      <c r="U49" s="518"/>
      <c r="V49" s="518"/>
      <c r="W49" s="518"/>
      <c r="X49" s="518"/>
      <c r="Y49" s="518"/>
      <c r="Z49" s="518"/>
      <c r="AA49" s="518"/>
      <c r="AB49" s="518"/>
      <c r="AC49" s="518"/>
      <c r="AD49" s="518"/>
      <c r="AE49" s="518"/>
      <c r="AF49" s="518"/>
      <c r="AG49" s="518"/>
      <c r="AH49" s="518"/>
      <c r="AI49" s="518"/>
      <c r="AJ49" s="518"/>
      <c r="AK49" s="518"/>
      <c r="AL49" s="518"/>
      <c r="AM49" s="518"/>
      <c r="AN49" s="518"/>
      <c r="AO49" s="518"/>
      <c r="AP49" s="518"/>
      <c r="AQ49" s="518"/>
      <c r="AR49" s="518"/>
      <c r="AS49" s="518"/>
      <c r="AT49" s="518"/>
      <c r="AU49" s="518"/>
      <c r="AV49" s="518"/>
      <c r="AW49" s="518"/>
      <c r="AX49" s="518"/>
      <c r="AY49" s="518"/>
      <c r="AZ49" s="518"/>
      <c r="BA49" s="518"/>
      <c r="BB49" s="518"/>
      <c r="BC49" s="518"/>
      <c r="BD49" s="518"/>
      <c r="BE49" s="518"/>
    </row>
    <row r="50" spans="1:57" ht="12.75" customHeight="1">
      <c r="A50" s="566"/>
      <c r="B50" s="565"/>
      <c r="C50" s="547"/>
      <c r="D50" s="518"/>
      <c r="E50" s="518"/>
      <c r="F50" s="518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18"/>
      <c r="Z50" s="518"/>
      <c r="AA50" s="518"/>
      <c r="AB50" s="518"/>
      <c r="AC50" s="518"/>
      <c r="AD50" s="518"/>
      <c r="AE50" s="518"/>
      <c r="AF50" s="518"/>
      <c r="AG50" s="518"/>
      <c r="AH50" s="518"/>
      <c r="AI50" s="518"/>
      <c r="AJ50" s="518"/>
      <c r="AK50" s="518"/>
      <c r="AL50" s="518"/>
      <c r="AM50" s="518"/>
      <c r="AN50" s="518"/>
      <c r="AO50" s="518"/>
      <c r="AP50" s="518"/>
      <c r="AQ50" s="518"/>
      <c r="AR50" s="518"/>
      <c r="AS50" s="518"/>
      <c r="AT50" s="518"/>
      <c r="AU50" s="518"/>
      <c r="AV50" s="518"/>
      <c r="AW50" s="518"/>
      <c r="AX50" s="518"/>
      <c r="AY50" s="518"/>
      <c r="AZ50" s="518"/>
      <c r="BA50" s="518"/>
      <c r="BB50" s="518"/>
      <c r="BC50" s="518"/>
      <c r="BD50" s="518"/>
      <c r="BE50" s="518"/>
    </row>
    <row r="51" spans="1:57" ht="12.75" customHeight="1">
      <c r="A51" s="566" t="s">
        <v>277</v>
      </c>
      <c r="B51" s="565">
        <f>C8</f>
        <v>4920468963</v>
      </c>
      <c r="C51" s="547"/>
      <c r="D51" s="518"/>
      <c r="E51" s="518"/>
      <c r="F51" s="518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518"/>
      <c r="S51" s="518"/>
      <c r="T51" s="518"/>
      <c r="U51" s="518"/>
      <c r="V51" s="518"/>
      <c r="W51" s="518"/>
      <c r="X51" s="518"/>
      <c r="Y51" s="518"/>
      <c r="Z51" s="518"/>
      <c r="AA51" s="518"/>
      <c r="AB51" s="518"/>
      <c r="AC51" s="518"/>
      <c r="AD51" s="518"/>
      <c r="AE51" s="518"/>
      <c r="AF51" s="518"/>
      <c r="AG51" s="518"/>
      <c r="AH51" s="518"/>
      <c r="AI51" s="518"/>
      <c r="AJ51" s="518"/>
      <c r="AK51" s="518"/>
      <c r="AL51" s="518"/>
      <c r="AM51" s="518"/>
      <c r="AN51" s="518"/>
      <c r="AO51" s="518"/>
      <c r="AP51" s="518"/>
      <c r="AQ51" s="518"/>
      <c r="AR51" s="518"/>
      <c r="AS51" s="518"/>
      <c r="AT51" s="518"/>
      <c r="AU51" s="518"/>
      <c r="AV51" s="518"/>
      <c r="AW51" s="518"/>
      <c r="AX51" s="518"/>
      <c r="AY51" s="518"/>
      <c r="AZ51" s="518"/>
      <c r="BA51" s="518"/>
      <c r="BB51" s="518"/>
      <c r="BC51" s="518"/>
      <c r="BD51" s="518"/>
      <c r="BE51" s="518"/>
    </row>
    <row r="52" spans="1:57" ht="12.75" customHeight="1">
      <c r="A52" s="566"/>
      <c r="B52" s="573"/>
      <c r="C52" s="547"/>
      <c r="D52" s="518"/>
      <c r="E52" s="518"/>
      <c r="F52" s="518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18"/>
      <c r="S52" s="518"/>
      <c r="T52" s="518"/>
      <c r="U52" s="518"/>
      <c r="V52" s="518"/>
      <c r="W52" s="518"/>
      <c r="X52" s="518"/>
      <c r="Y52" s="518"/>
      <c r="Z52" s="518"/>
      <c r="AA52" s="518"/>
      <c r="AB52" s="518"/>
      <c r="AC52" s="518"/>
      <c r="AD52" s="518"/>
      <c r="AE52" s="518"/>
      <c r="AF52" s="518"/>
      <c r="AG52" s="518"/>
      <c r="AH52" s="518"/>
      <c r="AI52" s="518"/>
      <c r="AJ52" s="518"/>
      <c r="AK52" s="518"/>
      <c r="AL52" s="518"/>
      <c r="AM52" s="518"/>
      <c r="AN52" s="518"/>
      <c r="AO52" s="518"/>
      <c r="AP52" s="518"/>
      <c r="AQ52" s="518"/>
      <c r="AR52" s="518"/>
      <c r="AS52" s="518"/>
      <c r="AT52" s="518"/>
      <c r="AU52" s="518"/>
      <c r="AV52" s="518"/>
      <c r="AW52" s="518"/>
      <c r="AX52" s="518"/>
      <c r="AY52" s="518"/>
      <c r="AZ52" s="518"/>
      <c r="BA52" s="518"/>
      <c r="BB52" s="518"/>
      <c r="BC52" s="518"/>
      <c r="BD52" s="518"/>
      <c r="BE52" s="518"/>
    </row>
    <row r="53" spans="1:57" ht="12.75" customHeight="1">
      <c r="A53" s="574" t="s">
        <v>278</v>
      </c>
      <c r="B53" s="575">
        <f>B49+B51</f>
        <v>2814373246.1372299</v>
      </c>
      <c r="C53" s="576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  <c r="AE53" s="577"/>
      <c r="AF53" s="577"/>
      <c r="AG53" s="577"/>
      <c r="AH53" s="577"/>
      <c r="AI53" s="577"/>
      <c r="AJ53" s="577"/>
      <c r="AK53" s="577"/>
      <c r="AL53" s="577"/>
      <c r="AM53" s="577"/>
      <c r="AN53" s="577"/>
      <c r="AO53" s="577"/>
      <c r="AP53" s="577"/>
      <c r="AQ53" s="577"/>
      <c r="AR53" s="577"/>
      <c r="AS53" s="577"/>
      <c r="AT53" s="577"/>
      <c r="AU53" s="577"/>
      <c r="AV53" s="577"/>
      <c r="AW53" s="518"/>
      <c r="AX53" s="518"/>
      <c r="AY53" s="518"/>
      <c r="AZ53" s="518"/>
      <c r="BA53" s="518"/>
      <c r="BB53" s="518"/>
      <c r="BC53" s="518"/>
      <c r="BD53" s="518"/>
      <c r="BE53" s="518"/>
    </row>
    <row r="54" spans="1:57" ht="12.75" customHeight="1">
      <c r="A54" s="578"/>
      <c r="B54" s="515"/>
      <c r="C54" s="579">
        <f t="shared" ref="C54:X54" si="7">SUM(C9:C53)</f>
        <v>-2106095717</v>
      </c>
      <c r="D54" s="579">
        <f t="shared" si="7"/>
        <v>0</v>
      </c>
      <c r="E54" s="579">
        <f t="shared" si="7"/>
        <v>0</v>
      </c>
      <c r="F54" s="579">
        <f t="shared" si="7"/>
        <v>0</v>
      </c>
      <c r="G54" s="579">
        <f t="shared" si="7"/>
        <v>0</v>
      </c>
      <c r="H54" s="579">
        <f t="shared" si="7"/>
        <v>0</v>
      </c>
      <c r="I54" s="579">
        <f t="shared" si="7"/>
        <v>0</v>
      </c>
      <c r="J54" s="579">
        <f t="shared" si="7"/>
        <v>0</v>
      </c>
      <c r="K54" s="579">
        <f t="shared" si="7"/>
        <v>0</v>
      </c>
      <c r="L54" s="579">
        <f t="shared" si="7"/>
        <v>0</v>
      </c>
      <c r="M54" s="579">
        <f t="shared" si="7"/>
        <v>0</v>
      </c>
      <c r="N54" s="579">
        <f t="shared" si="7"/>
        <v>0</v>
      </c>
      <c r="O54" s="579">
        <f t="shared" si="7"/>
        <v>0</v>
      </c>
      <c r="P54" s="579">
        <f t="shared" si="7"/>
        <v>0</v>
      </c>
      <c r="Q54" s="579">
        <f t="shared" si="7"/>
        <v>0</v>
      </c>
      <c r="R54" s="579">
        <f t="shared" si="7"/>
        <v>0</v>
      </c>
      <c r="S54" s="579">
        <f t="shared" si="7"/>
        <v>0</v>
      </c>
      <c r="T54" s="579">
        <f t="shared" si="7"/>
        <v>0</v>
      </c>
      <c r="U54" s="579">
        <f t="shared" si="7"/>
        <v>0</v>
      </c>
      <c r="V54" s="579">
        <f t="shared" si="7"/>
        <v>0</v>
      </c>
      <c r="W54" s="579">
        <f t="shared" si="7"/>
        <v>0</v>
      </c>
      <c r="X54" s="579">
        <f t="shared" si="7"/>
        <v>0</v>
      </c>
      <c r="Y54" s="579"/>
      <c r="Z54" s="579">
        <f t="shared" ref="Z54:BB54" si="8">SUM(Z9:Z53)</f>
        <v>0</v>
      </c>
      <c r="AA54" s="579">
        <f t="shared" si="8"/>
        <v>0</v>
      </c>
      <c r="AB54" s="579">
        <f t="shared" si="8"/>
        <v>0</v>
      </c>
      <c r="AC54" s="579">
        <f t="shared" si="8"/>
        <v>0</v>
      </c>
      <c r="AD54" s="579">
        <f t="shared" si="8"/>
        <v>0</v>
      </c>
      <c r="AE54" s="579">
        <f t="shared" si="8"/>
        <v>0</v>
      </c>
      <c r="AF54" s="579">
        <f t="shared" si="8"/>
        <v>0</v>
      </c>
      <c r="AG54" s="579">
        <f t="shared" si="8"/>
        <v>0</v>
      </c>
      <c r="AH54" s="579">
        <f t="shared" si="8"/>
        <v>0</v>
      </c>
      <c r="AI54" s="579">
        <f t="shared" si="8"/>
        <v>0</v>
      </c>
      <c r="AJ54" s="579">
        <f t="shared" si="8"/>
        <v>0</v>
      </c>
      <c r="AK54" s="579">
        <f t="shared" si="8"/>
        <v>0</v>
      </c>
      <c r="AL54" s="579">
        <f t="shared" si="8"/>
        <v>0</v>
      </c>
      <c r="AM54" s="579">
        <f t="shared" si="8"/>
        <v>0</v>
      </c>
      <c r="AN54" s="579">
        <f t="shared" si="8"/>
        <v>0</v>
      </c>
      <c r="AO54" s="579">
        <f t="shared" si="8"/>
        <v>0</v>
      </c>
      <c r="AP54" s="579">
        <f t="shared" si="8"/>
        <v>0</v>
      </c>
      <c r="AQ54" s="579">
        <f t="shared" si="8"/>
        <v>0</v>
      </c>
      <c r="AR54" s="579"/>
      <c r="AS54" s="579"/>
      <c r="AT54" s="579">
        <f t="shared" si="8"/>
        <v>0</v>
      </c>
      <c r="AU54" s="579">
        <f t="shared" si="8"/>
        <v>0</v>
      </c>
      <c r="AV54" s="579">
        <f t="shared" si="8"/>
        <v>0</v>
      </c>
      <c r="AW54" s="579"/>
      <c r="AX54" s="579">
        <f>SUM(AX9:AX53)</f>
        <v>0</v>
      </c>
      <c r="AY54" s="579">
        <f>SUM(AY9:AY53)</f>
        <v>0</v>
      </c>
      <c r="AZ54" s="579"/>
      <c r="BA54" s="579">
        <f>SUM(BA9:BA53)</f>
        <v>0</v>
      </c>
      <c r="BB54" s="579">
        <f t="shared" si="8"/>
        <v>0</v>
      </c>
      <c r="BC54" s="515">
        <f>SUM(D54:BB54)</f>
        <v>0</v>
      </c>
      <c r="BD54" s="518"/>
      <c r="BE54" s="518"/>
    </row>
    <row r="55" spans="1:57" ht="12.75" customHeight="1">
      <c r="A55" s="518"/>
      <c r="B55" s="515"/>
      <c r="C55" s="518"/>
      <c r="D55" s="518"/>
      <c r="E55" s="518"/>
      <c r="F55" s="518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518"/>
      <c r="S55" s="518"/>
      <c r="T55" s="518"/>
      <c r="U55" s="518"/>
      <c r="V55" s="518"/>
      <c r="W55" s="518"/>
      <c r="X55" s="518"/>
      <c r="Y55" s="518"/>
      <c r="Z55" s="518"/>
      <c r="AA55" s="518"/>
      <c r="AB55" s="518"/>
      <c r="AC55" s="518"/>
      <c r="AD55" s="518"/>
      <c r="AE55" s="518"/>
      <c r="AF55" s="518"/>
      <c r="AG55" s="518"/>
      <c r="AH55" s="518"/>
      <c r="AI55" s="518"/>
      <c r="AJ55" s="518"/>
      <c r="AK55" s="518"/>
      <c r="AL55" s="518"/>
      <c r="AM55" s="518"/>
      <c r="AN55" s="518"/>
      <c r="AO55" s="518"/>
      <c r="AP55" s="518"/>
      <c r="AQ55" s="518"/>
      <c r="AR55" s="518"/>
      <c r="AS55" s="518"/>
      <c r="AT55" s="518"/>
      <c r="AU55" s="518"/>
      <c r="AV55" s="518"/>
      <c r="AW55" s="518"/>
      <c r="AX55" s="518"/>
      <c r="AY55" s="518"/>
      <c r="AZ55" s="518"/>
      <c r="BA55" s="518"/>
      <c r="BB55" s="518"/>
      <c r="BC55" s="518"/>
      <c r="BD55" s="518"/>
      <c r="BE55" s="518"/>
    </row>
    <row r="56" spans="1:57" ht="12.75" customHeight="1">
      <c r="A56" s="518"/>
      <c r="B56" s="515"/>
      <c r="C56" s="518"/>
      <c r="D56" s="518"/>
      <c r="E56" s="518"/>
      <c r="F56" s="518"/>
      <c r="G56" s="518"/>
      <c r="H56" s="518"/>
      <c r="I56" s="518"/>
      <c r="J56" s="518"/>
      <c r="K56" s="518"/>
      <c r="L56" s="518"/>
      <c r="M56" s="518"/>
      <c r="N56" s="518"/>
      <c r="O56" s="518"/>
      <c r="P56" s="518"/>
      <c r="Q56" s="518"/>
      <c r="R56" s="518"/>
      <c r="S56" s="518"/>
      <c r="T56" s="518"/>
      <c r="U56" s="518"/>
      <c r="V56" s="518"/>
      <c r="W56" s="518"/>
      <c r="X56" s="518"/>
      <c r="Y56" s="518"/>
      <c r="Z56" s="518"/>
      <c r="AA56" s="518"/>
      <c r="AB56" s="518"/>
      <c r="AC56" s="518"/>
      <c r="AD56" s="518"/>
      <c r="AE56" s="518"/>
      <c r="AF56" s="518"/>
      <c r="AG56" s="518"/>
      <c r="AH56" s="518"/>
      <c r="AI56" s="518"/>
      <c r="AJ56" s="518"/>
      <c r="AK56" s="518"/>
      <c r="AL56" s="518"/>
      <c r="AM56" s="518"/>
      <c r="AN56" s="518"/>
      <c r="AO56" s="518"/>
      <c r="AP56" s="518"/>
      <c r="AQ56" s="518"/>
      <c r="AR56" s="518"/>
      <c r="AS56" s="518"/>
      <c r="AT56" s="518"/>
      <c r="AU56" s="518"/>
      <c r="AV56" s="518"/>
      <c r="AW56" s="518"/>
      <c r="AX56" s="518"/>
      <c r="AY56" s="518"/>
      <c r="AZ56" s="518"/>
      <c r="BA56" s="518"/>
      <c r="BB56" s="518"/>
      <c r="BC56" s="518"/>
      <c r="BD56" s="518"/>
      <c r="BE56" s="518"/>
    </row>
    <row r="57" spans="1:57" ht="12.75" customHeight="1">
      <c r="A57" s="518"/>
      <c r="B57" s="580">
        <f>'BS Konsol-Des 24'!K11</f>
        <v>2814373246</v>
      </c>
      <c r="C57" s="518"/>
      <c r="D57" s="518"/>
      <c r="E57" s="518"/>
      <c r="F57" s="518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8"/>
      <c r="AB57" s="518"/>
      <c r="AC57" s="518"/>
      <c r="AD57" s="518"/>
      <c r="AE57" s="518"/>
      <c r="AF57" s="518"/>
      <c r="AG57" s="518"/>
      <c r="AH57" s="518"/>
      <c r="AI57" s="518"/>
      <c r="AJ57" s="518"/>
      <c r="AK57" s="518"/>
      <c r="AL57" s="518"/>
      <c r="AM57" s="518"/>
      <c r="AN57" s="518"/>
      <c r="AO57" s="518"/>
      <c r="AP57" s="518"/>
      <c r="AQ57" s="518"/>
      <c r="AR57" s="518"/>
      <c r="AS57" s="518"/>
      <c r="AT57" s="518"/>
      <c r="AU57" s="518"/>
      <c r="AV57" s="518"/>
      <c r="AW57" s="518"/>
      <c r="AX57" s="518"/>
      <c r="AY57" s="518"/>
      <c r="AZ57" s="518"/>
      <c r="BA57" s="518"/>
      <c r="BB57" s="518"/>
      <c r="BC57" s="518"/>
      <c r="BD57" s="518"/>
      <c r="BE57" s="518"/>
    </row>
    <row r="58" spans="1:57" ht="12.75" customHeight="1">
      <c r="A58" s="518" t="s">
        <v>279</v>
      </c>
      <c r="B58" s="515">
        <f>B57-B53</f>
        <v>-0.13722991943359375</v>
      </c>
      <c r="C58" s="518"/>
      <c r="D58" s="518"/>
      <c r="E58" s="518"/>
      <c r="F58" s="518"/>
      <c r="G58" s="518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8"/>
      <c r="AB58" s="518"/>
      <c r="AC58" s="518"/>
      <c r="AD58" s="518"/>
      <c r="AE58" s="518"/>
      <c r="AF58" s="518"/>
      <c r="AG58" s="518"/>
      <c r="AH58" s="518"/>
      <c r="AI58" s="518"/>
      <c r="AJ58" s="518"/>
      <c r="AK58" s="518"/>
      <c r="AL58" s="518"/>
      <c r="AM58" s="518"/>
      <c r="AN58" s="518"/>
      <c r="AO58" s="518"/>
      <c r="AP58" s="518"/>
      <c r="AQ58" s="518"/>
      <c r="AR58" s="518"/>
      <c r="AS58" s="518"/>
      <c r="AT58" s="518"/>
      <c r="AU58" s="518"/>
      <c r="AV58" s="518"/>
      <c r="AW58" s="518"/>
      <c r="AX58" s="518"/>
      <c r="AY58" s="518"/>
      <c r="AZ58" s="518"/>
      <c r="BA58" s="518"/>
      <c r="BB58" s="518"/>
      <c r="BC58" s="518"/>
      <c r="BD58" s="518"/>
      <c r="BE58" s="518"/>
    </row>
    <row r="59" spans="1:57" ht="12.75" customHeight="1">
      <c r="A59" s="518"/>
      <c r="B59" s="515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8"/>
      <c r="AB59" s="518"/>
      <c r="AC59" s="518"/>
      <c r="AD59" s="518"/>
      <c r="AE59" s="518"/>
      <c r="AF59" s="518"/>
      <c r="AG59" s="518"/>
      <c r="AH59" s="518"/>
      <c r="AI59" s="518"/>
      <c r="AJ59" s="518"/>
      <c r="AK59" s="518"/>
      <c r="AL59" s="518"/>
      <c r="AM59" s="518"/>
      <c r="AN59" s="518"/>
      <c r="AO59" s="518"/>
      <c r="AP59" s="518"/>
      <c r="AQ59" s="518"/>
      <c r="AR59" s="518"/>
      <c r="AS59" s="518"/>
      <c r="AT59" s="518"/>
      <c r="AU59" s="518"/>
      <c r="AV59" s="518"/>
      <c r="AW59" s="518"/>
      <c r="AX59" s="518"/>
      <c r="AY59" s="518"/>
      <c r="AZ59" s="518"/>
      <c r="BA59" s="518"/>
      <c r="BB59" s="518"/>
      <c r="BC59" s="518"/>
      <c r="BD59" s="518"/>
      <c r="BE59" s="518"/>
    </row>
    <row r="60" spans="1:57" ht="12.75" customHeight="1">
      <c r="A60" s="518"/>
      <c r="B60" s="515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518"/>
      <c r="AN60" s="518"/>
      <c r="AO60" s="518"/>
      <c r="AP60" s="518"/>
      <c r="AQ60" s="518"/>
      <c r="AR60" s="518"/>
      <c r="AS60" s="518"/>
      <c r="AT60" s="518"/>
      <c r="AU60" s="518"/>
      <c r="AV60" s="518"/>
      <c r="AW60" s="518"/>
      <c r="AX60" s="518"/>
      <c r="AY60" s="518"/>
      <c r="AZ60" s="518"/>
      <c r="BA60" s="518"/>
      <c r="BB60" s="518"/>
      <c r="BC60" s="518"/>
      <c r="BD60" s="518"/>
      <c r="BE60" s="518"/>
    </row>
    <row r="61" spans="1:57" ht="12.75" customHeight="1">
      <c r="A61" s="518"/>
      <c r="B61" s="515"/>
      <c r="C61" s="518"/>
      <c r="D61" s="518"/>
      <c r="E61" s="518"/>
      <c r="F61" s="518"/>
      <c r="G61" s="518"/>
      <c r="H61" s="518"/>
      <c r="I61" s="518"/>
      <c r="J61" s="518"/>
      <c r="K61" s="518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8"/>
      <c r="AB61" s="518"/>
      <c r="AC61" s="518"/>
      <c r="AD61" s="518"/>
      <c r="AE61" s="518"/>
      <c r="AF61" s="518"/>
      <c r="AG61" s="518"/>
      <c r="AH61" s="518"/>
      <c r="AI61" s="518"/>
      <c r="AJ61" s="518"/>
      <c r="AK61" s="518"/>
      <c r="AL61" s="518"/>
      <c r="AM61" s="518"/>
      <c r="AN61" s="518"/>
      <c r="AO61" s="518"/>
      <c r="AP61" s="518"/>
      <c r="AQ61" s="518"/>
      <c r="AR61" s="518"/>
      <c r="AS61" s="518"/>
      <c r="AT61" s="518"/>
      <c r="AU61" s="518"/>
      <c r="AV61" s="518"/>
      <c r="AW61" s="518"/>
      <c r="AX61" s="518"/>
      <c r="AY61" s="518"/>
      <c r="AZ61" s="518"/>
      <c r="BA61" s="518"/>
      <c r="BB61" s="518"/>
      <c r="BC61" s="518"/>
      <c r="BD61" s="518"/>
      <c r="BE61" s="518"/>
    </row>
    <row r="62" spans="1:57" ht="12.75" customHeight="1">
      <c r="A62" s="518"/>
      <c r="B62" s="515"/>
      <c r="C62" s="518"/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8"/>
      <c r="AB62" s="518"/>
      <c r="AC62" s="518"/>
      <c r="AD62" s="518"/>
      <c r="AE62" s="518"/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  <c r="AU62" s="518"/>
      <c r="AV62" s="518"/>
      <c r="AW62" s="518"/>
      <c r="AX62" s="518"/>
      <c r="AY62" s="518"/>
      <c r="AZ62" s="518"/>
      <c r="BA62" s="518"/>
      <c r="BB62" s="518"/>
      <c r="BC62" s="518"/>
      <c r="BD62" s="518"/>
      <c r="BE62" s="518"/>
    </row>
    <row r="63" spans="1:57" ht="12.75" customHeight="1">
      <c r="A63" s="518"/>
      <c r="B63" s="515"/>
      <c r="C63" s="518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/>
      <c r="AC63" s="518"/>
      <c r="AD63" s="518"/>
      <c r="AE63" s="518"/>
      <c r="AF63" s="518"/>
      <c r="AG63" s="518"/>
      <c r="AH63" s="518"/>
      <c r="AI63" s="518"/>
      <c r="AJ63" s="518"/>
      <c r="AK63" s="518"/>
      <c r="AL63" s="518"/>
      <c r="AM63" s="518"/>
      <c r="AN63" s="518"/>
      <c r="AO63" s="518"/>
      <c r="AP63" s="518"/>
      <c r="AQ63" s="518"/>
      <c r="AR63" s="518"/>
      <c r="AS63" s="518"/>
      <c r="AT63" s="518"/>
      <c r="AU63" s="518"/>
      <c r="AV63" s="518"/>
      <c r="AW63" s="518"/>
      <c r="AX63" s="518"/>
      <c r="AY63" s="518"/>
      <c r="AZ63" s="518"/>
      <c r="BA63" s="518"/>
      <c r="BB63" s="518"/>
      <c r="BC63" s="518"/>
      <c r="BD63" s="518"/>
      <c r="BE63" s="518"/>
    </row>
    <row r="64" spans="1:57" ht="12.75" customHeight="1">
      <c r="A64" s="518"/>
      <c r="B64" s="515"/>
      <c r="C64" s="518"/>
      <c r="D64" s="518"/>
      <c r="E64" s="518"/>
      <c r="F64" s="518"/>
      <c r="G64" s="518"/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518"/>
      <c r="AF64" s="518"/>
      <c r="AG64" s="518"/>
      <c r="AH64" s="518"/>
      <c r="AI64" s="518"/>
      <c r="AJ64" s="518"/>
      <c r="AK64" s="518"/>
      <c r="AL64" s="518"/>
      <c r="AM64" s="518"/>
      <c r="AN64" s="518"/>
      <c r="AO64" s="518"/>
      <c r="AP64" s="518"/>
      <c r="AQ64" s="518"/>
      <c r="AR64" s="518"/>
      <c r="AS64" s="518"/>
      <c r="AT64" s="518"/>
      <c r="AU64" s="518"/>
      <c r="AV64" s="518"/>
      <c r="AW64" s="518"/>
      <c r="AX64" s="518"/>
      <c r="AY64" s="518"/>
      <c r="AZ64" s="518"/>
      <c r="BA64" s="518"/>
      <c r="BB64" s="518"/>
      <c r="BC64" s="518"/>
      <c r="BD64" s="518"/>
      <c r="BE64" s="518"/>
    </row>
    <row r="65" spans="1:57" ht="12.75" customHeight="1">
      <c r="A65" s="518"/>
      <c r="B65" s="515"/>
      <c r="C65" s="518"/>
      <c r="D65" s="518"/>
      <c r="E65" s="518"/>
      <c r="F65" s="518"/>
      <c r="G65" s="518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18"/>
      <c r="AM65" s="518"/>
      <c r="AN65" s="518"/>
      <c r="AO65" s="518"/>
      <c r="AP65" s="518"/>
      <c r="AQ65" s="518"/>
      <c r="AR65" s="518"/>
      <c r="AS65" s="518"/>
      <c r="AT65" s="518"/>
      <c r="AU65" s="518"/>
      <c r="AV65" s="518"/>
      <c r="AW65" s="518"/>
      <c r="AX65" s="518"/>
      <c r="AY65" s="518"/>
      <c r="AZ65" s="518"/>
      <c r="BA65" s="518"/>
      <c r="BB65" s="518"/>
      <c r="BC65" s="518"/>
      <c r="BD65" s="518"/>
      <c r="BE65" s="518"/>
    </row>
    <row r="66" spans="1:57" ht="12.75" customHeight="1">
      <c r="A66" s="518"/>
      <c r="B66" s="515"/>
      <c r="C66" s="518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</row>
    <row r="67" spans="1:57" ht="12.75" customHeight="1">
      <c r="A67" s="518"/>
      <c r="B67" s="518"/>
      <c r="C67" s="518"/>
      <c r="D67" s="518"/>
      <c r="E67" s="518"/>
      <c r="F67" s="518"/>
      <c r="G67" s="518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8"/>
      <c r="AB67" s="518"/>
      <c r="AC67" s="518"/>
      <c r="AD67" s="518"/>
      <c r="AE67" s="518"/>
      <c r="AF67" s="518"/>
      <c r="AG67" s="518"/>
      <c r="AH67" s="518"/>
      <c r="AI67" s="518"/>
      <c r="AJ67" s="518"/>
      <c r="AK67" s="518"/>
      <c r="AL67" s="518"/>
      <c r="AM67" s="518"/>
      <c r="AN67" s="518"/>
      <c r="AO67" s="518"/>
      <c r="AP67" s="518"/>
      <c r="AQ67" s="518"/>
      <c r="AR67" s="518"/>
      <c r="AS67" s="518"/>
      <c r="AT67" s="518"/>
      <c r="AU67" s="518"/>
      <c r="AV67" s="518"/>
      <c r="AW67" s="518"/>
      <c r="AX67" s="518"/>
      <c r="AY67" s="518"/>
      <c r="AZ67" s="518"/>
      <c r="BA67" s="518"/>
      <c r="BB67" s="518"/>
      <c r="BC67" s="518"/>
      <c r="BD67" s="518"/>
      <c r="BE67" s="518"/>
    </row>
    <row r="68" spans="1:57" ht="12.75" customHeight="1">
      <c r="A68" s="518"/>
      <c r="B68" s="518"/>
      <c r="C68" s="518"/>
      <c r="D68" s="518"/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8"/>
      <c r="AB68" s="518"/>
      <c r="AC68" s="518"/>
      <c r="AD68" s="518"/>
      <c r="AE68" s="518"/>
      <c r="AF68" s="518"/>
      <c r="AG68" s="518"/>
      <c r="AH68" s="518"/>
      <c r="AI68" s="518"/>
      <c r="AJ68" s="518"/>
      <c r="AK68" s="518"/>
      <c r="AL68" s="518"/>
      <c r="AM68" s="518"/>
      <c r="AN68" s="518"/>
      <c r="AO68" s="518"/>
      <c r="AP68" s="518"/>
      <c r="AQ68" s="518"/>
      <c r="AR68" s="518"/>
      <c r="AS68" s="518"/>
      <c r="AT68" s="518"/>
      <c r="AU68" s="518"/>
      <c r="AV68" s="518"/>
      <c r="AW68" s="518"/>
      <c r="AX68" s="518"/>
      <c r="AY68" s="518"/>
      <c r="AZ68" s="518"/>
      <c r="BA68" s="518"/>
      <c r="BB68" s="518"/>
      <c r="BC68" s="518"/>
      <c r="BD68" s="518"/>
      <c r="BE68" s="518"/>
    </row>
    <row r="69" spans="1:57" ht="12.75" customHeight="1">
      <c r="A69" s="518"/>
      <c r="B69" s="518"/>
      <c r="C69" s="518"/>
      <c r="D69" s="518"/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18"/>
      <c r="AM69" s="518"/>
      <c r="AN69" s="518"/>
      <c r="AO69" s="518"/>
      <c r="AP69" s="518"/>
      <c r="AQ69" s="518"/>
      <c r="AR69" s="518"/>
      <c r="AS69" s="518"/>
      <c r="AT69" s="518"/>
      <c r="AU69" s="518"/>
      <c r="AV69" s="518"/>
      <c r="AW69" s="518"/>
      <c r="AX69" s="518"/>
      <c r="AY69" s="518"/>
      <c r="AZ69" s="518"/>
      <c r="BA69" s="518"/>
      <c r="BB69" s="518"/>
      <c r="BC69" s="518"/>
      <c r="BD69" s="518"/>
      <c r="BE69" s="518"/>
    </row>
    <row r="70" spans="1:57" ht="12.75" customHeight="1">
      <c r="A70" s="518"/>
      <c r="B70" s="518"/>
      <c r="C70" s="518"/>
      <c r="D70" s="518"/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8"/>
      <c r="AB70" s="518"/>
      <c r="AC70" s="518"/>
      <c r="AD70" s="518"/>
      <c r="AE70" s="518"/>
      <c r="AF70" s="518"/>
      <c r="AG70" s="518"/>
      <c r="AH70" s="518"/>
      <c r="AI70" s="518"/>
      <c r="AJ70" s="518"/>
      <c r="AK70" s="518"/>
      <c r="AL70" s="518"/>
      <c r="AM70" s="518"/>
      <c r="AN70" s="518"/>
      <c r="AO70" s="518"/>
      <c r="AP70" s="518"/>
      <c r="AQ70" s="518"/>
      <c r="AR70" s="518"/>
      <c r="AS70" s="518"/>
      <c r="AT70" s="518"/>
      <c r="AU70" s="518"/>
      <c r="AV70" s="518"/>
      <c r="AW70" s="518"/>
      <c r="AX70" s="518"/>
      <c r="AY70" s="518"/>
      <c r="AZ70" s="518"/>
      <c r="BA70" s="518"/>
      <c r="BB70" s="518"/>
      <c r="BC70" s="518"/>
      <c r="BD70" s="518"/>
      <c r="BE70" s="518"/>
    </row>
    <row r="71" spans="1:57" ht="12.75" customHeight="1">
      <c r="A71" s="518"/>
      <c r="B71" s="518"/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8"/>
      <c r="AB71" s="518"/>
      <c r="AC71" s="518"/>
      <c r="AD71" s="518"/>
      <c r="AE71" s="518"/>
      <c r="AF71" s="518"/>
      <c r="AG71" s="518"/>
      <c r="AH71" s="518"/>
      <c r="AI71" s="518"/>
      <c r="AJ71" s="518"/>
      <c r="AK71" s="518"/>
      <c r="AL71" s="518"/>
      <c r="AM71" s="518"/>
      <c r="AN71" s="518"/>
      <c r="AO71" s="518"/>
      <c r="AP71" s="518"/>
      <c r="AQ71" s="518"/>
      <c r="AR71" s="518"/>
      <c r="AS71" s="518"/>
      <c r="AT71" s="518"/>
      <c r="AU71" s="518"/>
      <c r="AV71" s="518"/>
      <c r="AW71" s="518"/>
      <c r="AX71" s="518"/>
      <c r="AY71" s="518"/>
      <c r="AZ71" s="518"/>
      <c r="BA71" s="518"/>
      <c r="BB71" s="518"/>
      <c r="BC71" s="518"/>
      <c r="BD71" s="518"/>
      <c r="BE71" s="518"/>
    </row>
    <row r="72" spans="1:57" ht="12.75" customHeight="1">
      <c r="A72" s="518"/>
      <c r="B72" s="518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8"/>
      <c r="AB72" s="518"/>
      <c r="AC72" s="518"/>
      <c r="AD72" s="518"/>
      <c r="AE72" s="518"/>
      <c r="AF72" s="518"/>
      <c r="AG72" s="518"/>
      <c r="AH72" s="518"/>
      <c r="AI72" s="518"/>
      <c r="AJ72" s="518"/>
      <c r="AK72" s="518"/>
      <c r="AL72" s="518"/>
      <c r="AM72" s="518"/>
      <c r="AN72" s="518"/>
      <c r="AO72" s="518"/>
      <c r="AP72" s="518"/>
      <c r="AQ72" s="518"/>
      <c r="AR72" s="518"/>
      <c r="AS72" s="518"/>
      <c r="AT72" s="518"/>
      <c r="AU72" s="518"/>
      <c r="AV72" s="518"/>
      <c r="AW72" s="518"/>
      <c r="AX72" s="518"/>
      <c r="AY72" s="518"/>
      <c r="AZ72" s="518"/>
      <c r="BA72" s="518"/>
      <c r="BB72" s="518"/>
      <c r="BC72" s="518"/>
      <c r="BD72" s="518"/>
      <c r="BE72" s="518"/>
    </row>
    <row r="73" spans="1:57" ht="12.75" customHeight="1">
      <c r="A73" s="518"/>
      <c r="B73" s="518"/>
      <c r="C73" s="518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</row>
    <row r="74" spans="1:57" ht="12.75" customHeight="1">
      <c r="A74" s="518"/>
      <c r="B74" s="518"/>
      <c r="C74" s="518"/>
      <c r="D74" s="518"/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8"/>
      <c r="AB74" s="518"/>
      <c r="AC74" s="518"/>
      <c r="AD74" s="518"/>
      <c r="AE74" s="518"/>
      <c r="AF74" s="518"/>
      <c r="AG74" s="518"/>
      <c r="AH74" s="518"/>
      <c r="AI74" s="518"/>
      <c r="AJ74" s="518"/>
      <c r="AK74" s="518"/>
      <c r="AL74" s="518"/>
      <c r="AM74" s="518"/>
      <c r="AN74" s="518"/>
      <c r="AO74" s="518"/>
      <c r="AP74" s="518"/>
      <c r="AQ74" s="518"/>
      <c r="AR74" s="518"/>
      <c r="AS74" s="518"/>
      <c r="AT74" s="518"/>
      <c r="AU74" s="518"/>
      <c r="AV74" s="518"/>
      <c r="AW74" s="518"/>
      <c r="AX74" s="518"/>
      <c r="AY74" s="518"/>
      <c r="AZ74" s="518"/>
      <c r="BA74" s="518"/>
      <c r="BB74" s="518"/>
      <c r="BC74" s="518"/>
      <c r="BD74" s="518"/>
      <c r="BE74" s="518"/>
    </row>
    <row r="75" spans="1:57" ht="12.75" customHeight="1">
      <c r="A75" s="518"/>
      <c r="B75" s="518"/>
      <c r="C75" s="518"/>
      <c r="D75" s="518"/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8"/>
      <c r="AB75" s="518"/>
      <c r="AC75" s="518"/>
      <c r="AD75" s="518"/>
      <c r="AE75" s="518"/>
      <c r="AF75" s="518"/>
      <c r="AG75" s="518"/>
      <c r="AH75" s="518"/>
      <c r="AI75" s="518"/>
      <c r="AJ75" s="518"/>
      <c r="AK75" s="518"/>
      <c r="AL75" s="518"/>
      <c r="AM75" s="518"/>
      <c r="AN75" s="518"/>
      <c r="AO75" s="518"/>
      <c r="AP75" s="518"/>
      <c r="AQ75" s="518"/>
      <c r="AR75" s="518"/>
      <c r="AS75" s="518"/>
      <c r="AT75" s="518"/>
      <c r="AU75" s="518"/>
      <c r="AV75" s="518"/>
      <c r="AW75" s="518"/>
      <c r="AX75" s="518"/>
      <c r="AY75" s="518"/>
      <c r="AZ75" s="518"/>
      <c r="BA75" s="518"/>
      <c r="BB75" s="518"/>
      <c r="BC75" s="518"/>
      <c r="BD75" s="518"/>
      <c r="BE75" s="518"/>
    </row>
    <row r="76" spans="1:57" ht="12.75" customHeight="1">
      <c r="A76" s="518"/>
      <c r="B76" s="518"/>
      <c r="C76" s="518"/>
      <c r="D76" s="518"/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  <c r="AC76" s="518"/>
      <c r="AD76" s="518"/>
      <c r="AE76" s="518"/>
      <c r="AF76" s="518"/>
      <c r="AG76" s="518"/>
      <c r="AH76" s="518"/>
      <c r="AI76" s="518"/>
      <c r="AJ76" s="518"/>
      <c r="AK76" s="518"/>
      <c r="AL76" s="518"/>
      <c r="AM76" s="518"/>
      <c r="AN76" s="518"/>
      <c r="AO76" s="518"/>
      <c r="AP76" s="518"/>
      <c r="AQ76" s="518"/>
      <c r="AR76" s="518"/>
      <c r="AS76" s="518"/>
      <c r="AT76" s="518"/>
      <c r="AU76" s="518"/>
      <c r="AV76" s="518"/>
      <c r="AW76" s="518"/>
      <c r="AX76" s="518"/>
      <c r="AY76" s="518"/>
      <c r="AZ76" s="518"/>
      <c r="BA76" s="518"/>
      <c r="BB76" s="518"/>
      <c r="BC76" s="518"/>
      <c r="BD76" s="518"/>
      <c r="BE76" s="518"/>
    </row>
    <row r="77" spans="1:57" ht="12.75" customHeight="1">
      <c r="A77" s="518"/>
      <c r="B77" s="518"/>
      <c r="C77" s="518"/>
      <c r="D77" s="518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8"/>
      <c r="AB77" s="518"/>
      <c r="AC77" s="518"/>
      <c r="AD77" s="518"/>
      <c r="AE77" s="518"/>
      <c r="AF77" s="518"/>
      <c r="AG77" s="518"/>
      <c r="AH77" s="518"/>
      <c r="AI77" s="518"/>
      <c r="AJ77" s="518"/>
      <c r="AK77" s="518"/>
      <c r="AL77" s="518"/>
      <c r="AM77" s="518"/>
      <c r="AN77" s="518"/>
      <c r="AO77" s="518"/>
      <c r="AP77" s="518"/>
      <c r="AQ77" s="518"/>
      <c r="AR77" s="518"/>
      <c r="AS77" s="518"/>
      <c r="AT77" s="518"/>
      <c r="AU77" s="518"/>
      <c r="AV77" s="518"/>
      <c r="AW77" s="518"/>
      <c r="AX77" s="518"/>
      <c r="AY77" s="518"/>
      <c r="AZ77" s="518"/>
      <c r="BA77" s="518"/>
      <c r="BB77" s="518"/>
      <c r="BC77" s="518"/>
      <c r="BD77" s="518"/>
      <c r="BE77" s="518"/>
    </row>
    <row r="78" spans="1:57" ht="12.75" customHeight="1">
      <c r="A78" s="518"/>
      <c r="B78" s="518"/>
      <c r="C78" s="518"/>
      <c r="D78" s="518"/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  <c r="AC78" s="518"/>
      <c r="AD78" s="518"/>
      <c r="AE78" s="518"/>
      <c r="AF78" s="518"/>
      <c r="AG78" s="518"/>
      <c r="AH78" s="518"/>
      <c r="AI78" s="518"/>
      <c r="AJ78" s="518"/>
      <c r="AK78" s="518"/>
      <c r="AL78" s="518"/>
      <c r="AM78" s="518"/>
      <c r="AN78" s="518"/>
      <c r="AO78" s="518"/>
      <c r="AP78" s="518"/>
      <c r="AQ78" s="518"/>
      <c r="AR78" s="518"/>
      <c r="AS78" s="518"/>
      <c r="AT78" s="518"/>
      <c r="AU78" s="518"/>
      <c r="AV78" s="518"/>
      <c r="AW78" s="518"/>
      <c r="AX78" s="518"/>
      <c r="AY78" s="518"/>
      <c r="AZ78" s="518"/>
      <c r="BA78" s="518"/>
      <c r="BB78" s="518"/>
      <c r="BC78" s="518"/>
      <c r="BD78" s="518"/>
      <c r="BE78" s="518"/>
    </row>
    <row r="79" spans="1:57" ht="12.75" customHeight="1">
      <c r="A79" s="518"/>
      <c r="B79" s="518"/>
      <c r="C79" s="518"/>
      <c r="D79" s="518"/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  <c r="AC79" s="518"/>
      <c r="AD79" s="518"/>
      <c r="AE79" s="518"/>
      <c r="AF79" s="518"/>
      <c r="AG79" s="518"/>
      <c r="AH79" s="518"/>
      <c r="AI79" s="518"/>
      <c r="AJ79" s="518"/>
      <c r="AK79" s="518"/>
      <c r="AL79" s="518"/>
      <c r="AM79" s="518"/>
      <c r="AN79" s="518"/>
      <c r="AO79" s="518"/>
      <c r="AP79" s="518"/>
      <c r="AQ79" s="518"/>
      <c r="AR79" s="518"/>
      <c r="AS79" s="518"/>
      <c r="AT79" s="518"/>
      <c r="AU79" s="518"/>
      <c r="AV79" s="518"/>
      <c r="AW79" s="518"/>
      <c r="AX79" s="518"/>
      <c r="AY79" s="518"/>
      <c r="AZ79" s="518"/>
      <c r="BA79" s="518"/>
      <c r="BB79" s="518"/>
      <c r="BC79" s="518"/>
      <c r="BD79" s="518"/>
      <c r="BE79" s="518"/>
    </row>
    <row r="80" spans="1:57" ht="12.75" customHeight="1">
      <c r="A80" s="518"/>
      <c r="B80" s="518"/>
      <c r="C80" s="518"/>
      <c r="D80" s="518"/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8"/>
      <c r="AB80" s="518"/>
      <c r="AC80" s="518"/>
      <c r="AD80" s="518"/>
      <c r="AE80" s="518"/>
      <c r="AF80" s="518"/>
      <c r="AG80" s="518"/>
      <c r="AH80" s="518"/>
      <c r="AI80" s="518"/>
      <c r="AJ80" s="518"/>
      <c r="AK80" s="518"/>
      <c r="AL80" s="518"/>
      <c r="AM80" s="518"/>
      <c r="AN80" s="518"/>
      <c r="AO80" s="518"/>
      <c r="AP80" s="518"/>
      <c r="AQ80" s="518"/>
      <c r="AR80" s="518"/>
      <c r="AS80" s="518"/>
      <c r="AT80" s="518"/>
      <c r="AU80" s="518"/>
      <c r="AV80" s="518"/>
      <c r="AW80" s="518"/>
      <c r="AX80" s="518"/>
      <c r="AY80" s="518"/>
      <c r="AZ80" s="518"/>
      <c r="BA80" s="518"/>
      <c r="BB80" s="518"/>
      <c r="BC80" s="518"/>
      <c r="BD80" s="518"/>
      <c r="BE80" s="518"/>
    </row>
    <row r="81" spans="1:57" ht="12.75" customHeight="1">
      <c r="A81" s="518"/>
      <c r="B81" s="518"/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8"/>
      <c r="AB81" s="518"/>
      <c r="AC81" s="518"/>
      <c r="AD81" s="518"/>
      <c r="AE81" s="518"/>
      <c r="AF81" s="518"/>
      <c r="AG81" s="518"/>
      <c r="AH81" s="518"/>
      <c r="AI81" s="518"/>
      <c r="AJ81" s="518"/>
      <c r="AK81" s="518"/>
      <c r="AL81" s="518"/>
      <c r="AM81" s="518"/>
      <c r="AN81" s="518"/>
      <c r="AO81" s="518"/>
      <c r="AP81" s="518"/>
      <c r="AQ81" s="518"/>
      <c r="AR81" s="518"/>
      <c r="AS81" s="518"/>
      <c r="AT81" s="518"/>
      <c r="AU81" s="518"/>
      <c r="AV81" s="518"/>
      <c r="AW81" s="518"/>
      <c r="AX81" s="518"/>
      <c r="AY81" s="518"/>
      <c r="AZ81" s="518"/>
      <c r="BA81" s="518"/>
      <c r="BB81" s="518"/>
      <c r="BC81" s="518"/>
      <c r="BD81" s="518"/>
      <c r="BE81" s="518"/>
    </row>
    <row r="82" spans="1:57" ht="12.75" customHeight="1">
      <c r="A82" s="518"/>
      <c r="B82" s="518"/>
      <c r="C82" s="518"/>
      <c r="D82" s="518"/>
      <c r="E82" s="518"/>
      <c r="F82" s="518"/>
      <c r="G82" s="518"/>
      <c r="H82" s="518"/>
      <c r="I82" s="518"/>
      <c r="J82" s="518"/>
      <c r="K82" s="518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8"/>
      <c r="AB82" s="518"/>
      <c r="AC82" s="518"/>
      <c r="AD82" s="518"/>
      <c r="AE82" s="518"/>
      <c r="AF82" s="518"/>
      <c r="AG82" s="518"/>
      <c r="AH82" s="518"/>
      <c r="AI82" s="518"/>
      <c r="AJ82" s="518"/>
      <c r="AK82" s="518"/>
      <c r="AL82" s="518"/>
      <c r="AM82" s="518"/>
      <c r="AN82" s="518"/>
      <c r="AO82" s="518"/>
      <c r="AP82" s="518"/>
      <c r="AQ82" s="518"/>
      <c r="AR82" s="518"/>
      <c r="AS82" s="518"/>
      <c r="AT82" s="518"/>
      <c r="AU82" s="518"/>
      <c r="AV82" s="518"/>
      <c r="AW82" s="518"/>
      <c r="AX82" s="518"/>
      <c r="AY82" s="518"/>
      <c r="AZ82" s="518"/>
      <c r="BA82" s="518"/>
      <c r="BB82" s="518"/>
      <c r="BC82" s="518"/>
      <c r="BD82" s="518"/>
      <c r="BE82" s="518"/>
    </row>
    <row r="83" spans="1:57" ht="12.75" customHeight="1">
      <c r="A83" s="518"/>
      <c r="B83" s="518"/>
      <c r="C83" s="518"/>
      <c r="D83" s="518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8"/>
      <c r="AB83" s="518"/>
      <c r="AC83" s="518"/>
      <c r="AD83" s="518"/>
      <c r="AE83" s="518"/>
      <c r="AF83" s="518"/>
      <c r="AG83" s="518"/>
      <c r="AH83" s="518"/>
      <c r="AI83" s="518"/>
      <c r="AJ83" s="518"/>
      <c r="AK83" s="518"/>
      <c r="AL83" s="518"/>
      <c r="AM83" s="518"/>
      <c r="AN83" s="518"/>
      <c r="AO83" s="518"/>
      <c r="AP83" s="518"/>
      <c r="AQ83" s="518"/>
      <c r="AR83" s="518"/>
      <c r="AS83" s="518"/>
      <c r="AT83" s="518"/>
      <c r="AU83" s="518"/>
      <c r="AV83" s="518"/>
      <c r="AW83" s="518"/>
      <c r="AX83" s="518"/>
      <c r="AY83" s="518"/>
      <c r="AZ83" s="518"/>
      <c r="BA83" s="518"/>
      <c r="BB83" s="518"/>
      <c r="BC83" s="518"/>
      <c r="BD83" s="518"/>
      <c r="BE83" s="518"/>
    </row>
    <row r="84" spans="1:57" ht="12.75" customHeight="1">
      <c r="A84" s="518"/>
      <c r="B84" s="518"/>
      <c r="C84" s="518"/>
      <c r="D84" s="518"/>
      <c r="E84" s="518"/>
      <c r="F84" s="518"/>
      <c r="G84" s="518"/>
      <c r="H84" s="518"/>
      <c r="I84" s="518"/>
      <c r="J84" s="518"/>
      <c r="K84" s="518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8"/>
      <c r="AB84" s="518"/>
      <c r="AC84" s="518"/>
      <c r="AD84" s="518"/>
      <c r="AE84" s="518"/>
      <c r="AF84" s="518"/>
      <c r="AG84" s="518"/>
      <c r="AH84" s="518"/>
      <c r="AI84" s="518"/>
      <c r="AJ84" s="518"/>
      <c r="AK84" s="518"/>
      <c r="AL84" s="518"/>
      <c r="AM84" s="518"/>
      <c r="AN84" s="518"/>
      <c r="AO84" s="518"/>
      <c r="AP84" s="518"/>
      <c r="AQ84" s="518"/>
      <c r="AR84" s="518"/>
      <c r="AS84" s="518"/>
      <c r="AT84" s="518"/>
      <c r="AU84" s="518"/>
      <c r="AV84" s="518"/>
      <c r="AW84" s="518"/>
      <c r="AX84" s="518"/>
      <c r="AY84" s="518"/>
      <c r="AZ84" s="518"/>
      <c r="BA84" s="518"/>
      <c r="BB84" s="518"/>
      <c r="BC84" s="518"/>
      <c r="BD84" s="518"/>
      <c r="BE84" s="518"/>
    </row>
    <row r="85" spans="1:57" ht="12.75" customHeight="1">
      <c r="A85" s="518"/>
      <c r="B85" s="518"/>
      <c r="C85" s="518"/>
      <c r="D85" s="518"/>
      <c r="E85" s="518"/>
      <c r="F85" s="518"/>
      <c r="G85" s="518"/>
      <c r="H85" s="518"/>
      <c r="I85" s="518"/>
      <c r="J85" s="518"/>
      <c r="K85" s="518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8"/>
      <c r="AB85" s="518"/>
      <c r="AC85" s="518"/>
      <c r="AD85" s="518"/>
      <c r="AE85" s="518"/>
      <c r="AF85" s="518"/>
      <c r="AG85" s="518"/>
      <c r="AH85" s="518"/>
      <c r="AI85" s="518"/>
      <c r="AJ85" s="518"/>
      <c r="AK85" s="518"/>
      <c r="AL85" s="518"/>
      <c r="AM85" s="518"/>
      <c r="AN85" s="518"/>
      <c r="AO85" s="518"/>
      <c r="AP85" s="518"/>
      <c r="AQ85" s="518"/>
      <c r="AR85" s="518"/>
      <c r="AS85" s="518"/>
      <c r="AT85" s="518"/>
      <c r="AU85" s="518"/>
      <c r="AV85" s="518"/>
      <c r="AW85" s="518"/>
      <c r="AX85" s="518"/>
      <c r="AY85" s="518"/>
      <c r="AZ85" s="518"/>
      <c r="BA85" s="518"/>
      <c r="BB85" s="518"/>
      <c r="BC85" s="518"/>
      <c r="BD85" s="518"/>
      <c r="BE85" s="518"/>
    </row>
    <row r="86" spans="1:57" ht="12.75" customHeight="1">
      <c r="A86" s="518"/>
      <c r="B86" s="518"/>
      <c r="C86" s="518"/>
      <c r="D86" s="518"/>
      <c r="E86" s="518"/>
      <c r="F86" s="518"/>
      <c r="G86" s="518"/>
      <c r="H86" s="518"/>
      <c r="I86" s="518"/>
      <c r="J86" s="518"/>
      <c r="K86" s="518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8"/>
      <c r="AB86" s="518"/>
      <c r="AC86" s="518"/>
      <c r="AD86" s="518"/>
      <c r="AE86" s="518"/>
      <c r="AF86" s="518"/>
      <c r="AG86" s="518"/>
      <c r="AH86" s="518"/>
      <c r="AI86" s="518"/>
      <c r="AJ86" s="518"/>
      <c r="AK86" s="518"/>
      <c r="AL86" s="518"/>
      <c r="AM86" s="518"/>
      <c r="AN86" s="518"/>
      <c r="AO86" s="518"/>
      <c r="AP86" s="518"/>
      <c r="AQ86" s="518"/>
      <c r="AR86" s="518"/>
      <c r="AS86" s="518"/>
      <c r="AT86" s="518"/>
      <c r="AU86" s="518"/>
      <c r="AV86" s="518"/>
      <c r="AW86" s="518"/>
      <c r="AX86" s="518"/>
      <c r="AY86" s="518"/>
      <c r="AZ86" s="518"/>
      <c r="BA86" s="518"/>
      <c r="BB86" s="518"/>
      <c r="BC86" s="518"/>
      <c r="BD86" s="518"/>
      <c r="BE86" s="518"/>
    </row>
    <row r="87" spans="1:57" ht="12.75" customHeight="1">
      <c r="A87" s="518"/>
      <c r="B87" s="518"/>
      <c r="C87" s="518"/>
      <c r="D87" s="518"/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8"/>
      <c r="AB87" s="518"/>
      <c r="AC87" s="518"/>
      <c r="AD87" s="518"/>
      <c r="AE87" s="518"/>
      <c r="AF87" s="518"/>
      <c r="AG87" s="518"/>
      <c r="AH87" s="518"/>
      <c r="AI87" s="518"/>
      <c r="AJ87" s="518"/>
      <c r="AK87" s="518"/>
      <c r="AL87" s="518"/>
      <c r="AM87" s="518"/>
      <c r="AN87" s="518"/>
      <c r="AO87" s="518"/>
      <c r="AP87" s="518"/>
      <c r="AQ87" s="518"/>
      <c r="AR87" s="518"/>
      <c r="AS87" s="518"/>
      <c r="AT87" s="518"/>
      <c r="AU87" s="518"/>
      <c r="AV87" s="518"/>
      <c r="AW87" s="518"/>
      <c r="AX87" s="518"/>
      <c r="AY87" s="518"/>
      <c r="AZ87" s="518"/>
      <c r="BA87" s="518"/>
      <c r="BB87" s="518"/>
      <c r="BC87" s="518"/>
      <c r="BD87" s="518"/>
      <c r="BE87" s="518"/>
    </row>
    <row r="88" spans="1:57" ht="12.75" customHeight="1">
      <c r="A88" s="518"/>
      <c r="B88" s="518"/>
      <c r="C88" s="518"/>
      <c r="D88" s="518"/>
      <c r="E88" s="518"/>
      <c r="F88" s="518"/>
      <c r="G88" s="518"/>
      <c r="H88" s="518"/>
      <c r="I88" s="518"/>
      <c r="J88" s="518"/>
      <c r="K88" s="518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  <c r="AC88" s="518"/>
      <c r="AD88" s="518"/>
      <c r="AE88" s="518"/>
      <c r="AF88" s="518"/>
      <c r="AG88" s="518"/>
      <c r="AH88" s="518"/>
      <c r="AI88" s="518"/>
      <c r="AJ88" s="518"/>
      <c r="AK88" s="518"/>
      <c r="AL88" s="518"/>
      <c r="AM88" s="518"/>
      <c r="AN88" s="518"/>
      <c r="AO88" s="518"/>
      <c r="AP88" s="518"/>
      <c r="AQ88" s="518"/>
      <c r="AR88" s="518"/>
      <c r="AS88" s="518"/>
      <c r="AT88" s="518"/>
      <c r="AU88" s="518"/>
      <c r="AV88" s="518"/>
      <c r="AW88" s="518"/>
      <c r="AX88" s="518"/>
      <c r="AY88" s="518"/>
      <c r="AZ88" s="518"/>
      <c r="BA88" s="518"/>
      <c r="BB88" s="518"/>
      <c r="BC88" s="518"/>
      <c r="BD88" s="518"/>
      <c r="BE88" s="518"/>
    </row>
    <row r="89" spans="1:57" ht="12.75" customHeight="1">
      <c r="A89" s="518"/>
      <c r="B89" s="518"/>
      <c r="C89" s="518"/>
      <c r="D89" s="518"/>
      <c r="E89" s="518"/>
      <c r="F89" s="518"/>
      <c r="G89" s="518"/>
      <c r="H89" s="518"/>
      <c r="I89" s="518"/>
      <c r="J89" s="518"/>
      <c r="K89" s="518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  <c r="AC89" s="518"/>
      <c r="AD89" s="518"/>
      <c r="AE89" s="518"/>
      <c r="AF89" s="518"/>
      <c r="AG89" s="518"/>
      <c r="AH89" s="518"/>
      <c r="AI89" s="518"/>
      <c r="AJ89" s="518"/>
      <c r="AK89" s="518"/>
      <c r="AL89" s="518"/>
      <c r="AM89" s="518"/>
      <c r="AN89" s="518"/>
      <c r="AO89" s="518"/>
      <c r="AP89" s="518"/>
      <c r="AQ89" s="518"/>
      <c r="AR89" s="518"/>
      <c r="AS89" s="518"/>
      <c r="AT89" s="518"/>
      <c r="AU89" s="518"/>
      <c r="AV89" s="518"/>
      <c r="AW89" s="518"/>
      <c r="AX89" s="518"/>
      <c r="AY89" s="518"/>
      <c r="AZ89" s="518"/>
      <c r="BA89" s="518"/>
      <c r="BB89" s="518"/>
      <c r="BC89" s="518"/>
      <c r="BD89" s="518"/>
      <c r="BE89" s="518"/>
    </row>
    <row r="90" spans="1:57" ht="12.75" customHeight="1">
      <c r="A90" s="518"/>
      <c r="B90" s="518"/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  <c r="AC90" s="518"/>
      <c r="AD90" s="518"/>
      <c r="AE90" s="518"/>
      <c r="AF90" s="518"/>
      <c r="AG90" s="518"/>
      <c r="AH90" s="518"/>
      <c r="AI90" s="518"/>
      <c r="AJ90" s="518"/>
      <c r="AK90" s="518"/>
      <c r="AL90" s="518"/>
      <c r="AM90" s="518"/>
      <c r="AN90" s="518"/>
      <c r="AO90" s="518"/>
      <c r="AP90" s="518"/>
      <c r="AQ90" s="518"/>
      <c r="AR90" s="518"/>
      <c r="AS90" s="518"/>
      <c r="AT90" s="518"/>
      <c r="AU90" s="518"/>
      <c r="AV90" s="518"/>
      <c r="AW90" s="518"/>
      <c r="AX90" s="518"/>
      <c r="AY90" s="518"/>
      <c r="AZ90" s="518"/>
      <c r="BA90" s="518"/>
      <c r="BB90" s="518"/>
      <c r="BC90" s="518"/>
      <c r="BD90" s="518"/>
      <c r="BE90" s="518"/>
    </row>
    <row r="91" spans="1:57" ht="12.75" customHeight="1">
      <c r="A91" s="518"/>
      <c r="B91" s="518"/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  <c r="AC91" s="518"/>
      <c r="AD91" s="518"/>
      <c r="AE91" s="518"/>
      <c r="AF91" s="518"/>
      <c r="AG91" s="518"/>
      <c r="AH91" s="518"/>
      <c r="AI91" s="518"/>
      <c r="AJ91" s="518"/>
      <c r="AK91" s="518"/>
      <c r="AL91" s="518"/>
      <c r="AM91" s="518"/>
      <c r="AN91" s="518"/>
      <c r="AO91" s="518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</row>
    <row r="92" spans="1:57" ht="12.75" customHeight="1">
      <c r="A92" s="518"/>
      <c r="B92" s="518"/>
      <c r="C92" s="518"/>
      <c r="D92" s="518"/>
      <c r="E92" s="518"/>
      <c r="F92" s="518"/>
      <c r="G92" s="518"/>
      <c r="H92" s="518"/>
      <c r="I92" s="518"/>
      <c r="J92" s="518"/>
      <c r="K92" s="518"/>
      <c r="L92" s="51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  <c r="AB92" s="518"/>
      <c r="AC92" s="518"/>
      <c r="AD92" s="518"/>
      <c r="AE92" s="518"/>
      <c r="AF92" s="518"/>
      <c r="AG92" s="518"/>
      <c r="AH92" s="518"/>
      <c r="AI92" s="518"/>
      <c r="AJ92" s="518"/>
      <c r="AK92" s="518"/>
      <c r="AL92" s="518"/>
      <c r="AM92" s="518"/>
      <c r="AN92" s="518"/>
      <c r="AO92" s="518"/>
      <c r="AP92" s="518"/>
      <c r="AQ92" s="518"/>
      <c r="AR92" s="518"/>
      <c r="AS92" s="518"/>
      <c r="AT92" s="518"/>
      <c r="AU92" s="518"/>
      <c r="AV92" s="518"/>
      <c r="AW92" s="518"/>
      <c r="AX92" s="518"/>
      <c r="AY92" s="518"/>
      <c r="AZ92" s="518"/>
      <c r="BA92" s="518"/>
      <c r="BB92" s="518"/>
      <c r="BC92" s="518"/>
      <c r="BD92" s="518"/>
      <c r="BE92" s="518"/>
    </row>
    <row r="93" spans="1:57" ht="12.75" customHeight="1">
      <c r="A93" s="518"/>
      <c r="B93" s="518"/>
      <c r="C93" s="518"/>
      <c r="D93" s="518"/>
      <c r="E93" s="518"/>
      <c r="F93" s="518"/>
      <c r="G93" s="518"/>
      <c r="H93" s="518"/>
      <c r="I93" s="518"/>
      <c r="J93" s="518"/>
      <c r="K93" s="518"/>
      <c r="L93" s="518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518"/>
      <c r="AF93" s="518"/>
      <c r="AG93" s="518"/>
      <c r="AH93" s="518"/>
      <c r="AI93" s="518"/>
      <c r="AJ93" s="518"/>
      <c r="AK93" s="518"/>
      <c r="AL93" s="518"/>
      <c r="AM93" s="518"/>
      <c r="AN93" s="518"/>
      <c r="AO93" s="518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</row>
    <row r="94" spans="1:57" ht="12.75" customHeight="1">
      <c r="A94" s="518"/>
      <c r="B94" s="518"/>
      <c r="C94" s="518"/>
      <c r="D94" s="518"/>
      <c r="E94" s="518"/>
      <c r="F94" s="518"/>
      <c r="G94" s="518"/>
      <c r="H94" s="518"/>
      <c r="I94" s="518"/>
      <c r="J94" s="518"/>
      <c r="K94" s="518"/>
      <c r="L94" s="518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  <c r="AB94" s="518"/>
      <c r="AC94" s="518"/>
      <c r="AD94" s="518"/>
      <c r="AE94" s="518"/>
      <c r="AF94" s="518"/>
      <c r="AG94" s="518"/>
      <c r="AH94" s="518"/>
      <c r="AI94" s="518"/>
      <c r="AJ94" s="518"/>
      <c r="AK94" s="518"/>
      <c r="AL94" s="518"/>
      <c r="AM94" s="518"/>
      <c r="AN94" s="518"/>
      <c r="AO94" s="518"/>
      <c r="AP94" s="518"/>
      <c r="AQ94" s="518"/>
      <c r="AR94" s="518"/>
      <c r="AS94" s="518"/>
      <c r="AT94" s="518"/>
      <c r="AU94" s="518"/>
      <c r="AV94" s="518"/>
      <c r="AW94" s="518"/>
      <c r="AX94" s="518"/>
      <c r="AY94" s="518"/>
      <c r="AZ94" s="518"/>
      <c r="BA94" s="518"/>
      <c r="BB94" s="518"/>
      <c r="BC94" s="518"/>
      <c r="BD94" s="518"/>
      <c r="BE94" s="518"/>
    </row>
    <row r="95" spans="1:57" ht="12.75" customHeight="1">
      <c r="A95" s="518"/>
      <c r="B95" s="518"/>
      <c r="C95" s="518"/>
      <c r="D95" s="518"/>
      <c r="E95" s="518"/>
      <c r="F95" s="518"/>
      <c r="G95" s="518"/>
      <c r="H95" s="518"/>
      <c r="I95" s="518"/>
      <c r="J95" s="518"/>
      <c r="K95" s="518"/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  <c r="AB95" s="518"/>
      <c r="AC95" s="518"/>
      <c r="AD95" s="518"/>
      <c r="AE95" s="518"/>
      <c r="AF95" s="518"/>
      <c r="AG95" s="518"/>
      <c r="AH95" s="518"/>
      <c r="AI95" s="518"/>
      <c r="AJ95" s="518"/>
      <c r="AK95" s="518"/>
      <c r="AL95" s="518"/>
      <c r="AM95" s="518"/>
      <c r="AN95" s="518"/>
      <c r="AO95" s="518"/>
      <c r="AP95" s="518"/>
      <c r="AQ95" s="518"/>
      <c r="AR95" s="518"/>
      <c r="AS95" s="518"/>
      <c r="AT95" s="518"/>
      <c r="AU95" s="518"/>
      <c r="AV95" s="518"/>
      <c r="AW95" s="518"/>
      <c r="AX95" s="518"/>
      <c r="AY95" s="518"/>
      <c r="AZ95" s="518"/>
      <c r="BA95" s="518"/>
      <c r="BB95" s="518"/>
      <c r="BC95" s="518"/>
      <c r="BD95" s="518"/>
      <c r="BE95" s="518"/>
    </row>
    <row r="96" spans="1:57" ht="12.75" customHeight="1">
      <c r="A96" s="518"/>
      <c r="B96" s="518"/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  <c r="R96" s="518"/>
      <c r="S96" s="518"/>
      <c r="T96" s="518"/>
      <c r="U96" s="518"/>
      <c r="V96" s="518"/>
      <c r="W96" s="518"/>
      <c r="X96" s="518"/>
      <c r="Y96" s="518"/>
      <c r="Z96" s="518"/>
      <c r="AA96" s="518"/>
      <c r="AB96" s="518"/>
      <c r="AC96" s="518"/>
      <c r="AD96" s="518"/>
      <c r="AE96" s="518"/>
      <c r="AF96" s="518"/>
      <c r="AG96" s="518"/>
      <c r="AH96" s="518"/>
      <c r="AI96" s="518"/>
      <c r="AJ96" s="518"/>
      <c r="AK96" s="518"/>
      <c r="AL96" s="518"/>
      <c r="AM96" s="518"/>
      <c r="AN96" s="518"/>
      <c r="AO96" s="518"/>
      <c r="AP96" s="518"/>
      <c r="AQ96" s="518"/>
      <c r="AR96" s="518"/>
      <c r="AS96" s="518"/>
      <c r="AT96" s="518"/>
      <c r="AU96" s="518"/>
      <c r="AV96" s="518"/>
      <c r="AW96" s="518"/>
      <c r="AX96" s="518"/>
      <c r="AY96" s="518"/>
      <c r="AZ96" s="518"/>
      <c r="BA96" s="518"/>
      <c r="BB96" s="518"/>
      <c r="BC96" s="518"/>
      <c r="BD96" s="518"/>
      <c r="BE96" s="518"/>
    </row>
    <row r="97" spans="1:57" ht="12.75" customHeight="1">
      <c r="A97" s="518"/>
      <c r="B97" s="518"/>
      <c r="C97" s="518"/>
      <c r="D97" s="518"/>
      <c r="E97" s="518"/>
      <c r="F97" s="518"/>
      <c r="G97" s="518"/>
      <c r="H97" s="518"/>
      <c r="I97" s="518"/>
      <c r="J97" s="518"/>
      <c r="K97" s="518"/>
      <c r="L97" s="518"/>
      <c r="M97" s="518"/>
      <c r="N97" s="518"/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  <c r="Z97" s="518"/>
      <c r="AA97" s="518"/>
      <c r="AB97" s="518"/>
      <c r="AC97" s="518"/>
      <c r="AD97" s="518"/>
      <c r="AE97" s="518"/>
      <c r="AF97" s="518"/>
      <c r="AG97" s="518"/>
      <c r="AH97" s="518"/>
      <c r="AI97" s="518"/>
      <c r="AJ97" s="518"/>
      <c r="AK97" s="518"/>
      <c r="AL97" s="518"/>
      <c r="AM97" s="518"/>
      <c r="AN97" s="518"/>
      <c r="AO97" s="518"/>
      <c r="AP97" s="518"/>
      <c r="AQ97" s="518"/>
      <c r="AR97" s="518"/>
      <c r="AS97" s="518"/>
      <c r="AT97" s="518"/>
      <c r="AU97" s="518"/>
      <c r="AV97" s="518"/>
      <c r="AW97" s="518"/>
      <c r="AX97" s="518"/>
      <c r="AY97" s="518"/>
      <c r="AZ97" s="518"/>
      <c r="BA97" s="518"/>
      <c r="BB97" s="518"/>
      <c r="BC97" s="518"/>
      <c r="BD97" s="518"/>
      <c r="BE97" s="518"/>
    </row>
    <row r="98" spans="1:57" ht="12.75" customHeight="1">
      <c r="A98" s="518"/>
      <c r="B98" s="518"/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8"/>
      <c r="O98" s="518"/>
      <c r="P98" s="518"/>
      <c r="Q98" s="518"/>
      <c r="R98" s="518"/>
      <c r="S98" s="518"/>
      <c r="T98" s="518"/>
      <c r="U98" s="518"/>
      <c r="V98" s="518"/>
      <c r="W98" s="518"/>
      <c r="X98" s="518"/>
      <c r="Y98" s="518"/>
      <c r="Z98" s="518"/>
      <c r="AA98" s="518"/>
      <c r="AB98" s="518"/>
      <c r="AC98" s="518"/>
      <c r="AD98" s="518"/>
      <c r="AE98" s="518"/>
      <c r="AF98" s="518"/>
      <c r="AG98" s="518"/>
      <c r="AH98" s="518"/>
      <c r="AI98" s="518"/>
      <c r="AJ98" s="518"/>
      <c r="AK98" s="518"/>
      <c r="AL98" s="518"/>
      <c r="AM98" s="518"/>
      <c r="AN98" s="518"/>
      <c r="AO98" s="518"/>
      <c r="AP98" s="518"/>
      <c r="AQ98" s="518"/>
      <c r="AR98" s="518"/>
      <c r="AS98" s="518"/>
      <c r="AT98" s="518"/>
      <c r="AU98" s="518"/>
      <c r="AV98" s="518"/>
      <c r="AW98" s="518"/>
      <c r="AX98" s="518"/>
      <c r="AY98" s="518"/>
      <c r="AZ98" s="518"/>
      <c r="BA98" s="518"/>
      <c r="BB98" s="518"/>
      <c r="BC98" s="518"/>
      <c r="BD98" s="518"/>
      <c r="BE98" s="518"/>
    </row>
    <row r="99" spans="1:57" ht="12.75" customHeight="1">
      <c r="A99" s="518"/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518"/>
      <c r="U99" s="518"/>
      <c r="V99" s="518"/>
      <c r="W99" s="518"/>
      <c r="X99" s="518"/>
      <c r="Y99" s="518"/>
      <c r="Z99" s="518"/>
      <c r="AA99" s="518"/>
      <c r="AB99" s="518"/>
      <c r="AC99" s="518"/>
      <c r="AD99" s="518"/>
      <c r="AE99" s="518"/>
      <c r="AF99" s="518"/>
      <c r="AG99" s="518"/>
      <c r="AH99" s="518"/>
      <c r="AI99" s="518"/>
      <c r="AJ99" s="518"/>
      <c r="AK99" s="518"/>
      <c r="AL99" s="518"/>
      <c r="AM99" s="518"/>
      <c r="AN99" s="518"/>
      <c r="AO99" s="518"/>
      <c r="AP99" s="518"/>
      <c r="AQ99" s="518"/>
      <c r="AR99" s="518"/>
      <c r="AS99" s="518"/>
      <c r="AT99" s="518"/>
      <c r="AU99" s="518"/>
      <c r="AV99" s="518"/>
      <c r="AW99" s="518"/>
      <c r="AX99" s="518"/>
      <c r="AY99" s="518"/>
      <c r="AZ99" s="518"/>
      <c r="BA99" s="518"/>
      <c r="BB99" s="518"/>
      <c r="BC99" s="518"/>
      <c r="BD99" s="518"/>
      <c r="BE99" s="518"/>
    </row>
    <row r="100" spans="1:57" ht="12.75" customHeight="1">
      <c r="A100" s="518"/>
      <c r="B100" s="518"/>
      <c r="C100" s="518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  <c r="AC100" s="518"/>
      <c r="AD100" s="518"/>
      <c r="AE100" s="518"/>
      <c r="AF100" s="518"/>
      <c r="AG100" s="518"/>
      <c r="AH100" s="518"/>
      <c r="AI100" s="518"/>
      <c r="AJ100" s="518"/>
      <c r="AK100" s="518"/>
      <c r="AL100" s="518"/>
      <c r="AM100" s="518"/>
      <c r="AN100" s="518"/>
      <c r="AO100" s="518"/>
      <c r="AP100" s="518"/>
      <c r="AQ100" s="518"/>
      <c r="AR100" s="518"/>
      <c r="AS100" s="518"/>
      <c r="AT100" s="518"/>
      <c r="AU100" s="518"/>
      <c r="AV100" s="518"/>
      <c r="AW100" s="518"/>
      <c r="AX100" s="518"/>
      <c r="AY100" s="518"/>
      <c r="AZ100" s="518"/>
      <c r="BA100" s="518"/>
      <c r="BB100" s="518"/>
      <c r="BC100" s="518"/>
      <c r="BD100" s="518"/>
      <c r="BE100" s="518"/>
    </row>
    <row r="101" spans="1:57" ht="12.75" customHeight="1">
      <c r="A101" s="518"/>
      <c r="B101" s="518"/>
      <c r="C101" s="518"/>
      <c r="D101" s="518"/>
      <c r="E101" s="518"/>
      <c r="F101" s="518"/>
      <c r="G101" s="518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  <c r="AA101" s="518"/>
      <c r="AB101" s="518"/>
      <c r="AC101" s="518"/>
      <c r="AD101" s="518"/>
      <c r="AE101" s="518"/>
      <c r="AF101" s="518"/>
      <c r="AG101" s="518"/>
      <c r="AH101" s="518"/>
      <c r="AI101" s="518"/>
      <c r="AJ101" s="518"/>
      <c r="AK101" s="518"/>
      <c r="AL101" s="518"/>
      <c r="AM101" s="518"/>
      <c r="AN101" s="518"/>
      <c r="AO101" s="518"/>
      <c r="AP101" s="518"/>
      <c r="AQ101" s="518"/>
      <c r="AR101" s="518"/>
      <c r="AS101" s="518"/>
      <c r="AT101" s="518"/>
      <c r="AU101" s="518"/>
      <c r="AV101" s="518"/>
      <c r="AW101" s="518"/>
      <c r="AX101" s="518"/>
      <c r="AY101" s="518"/>
      <c r="AZ101" s="518"/>
      <c r="BA101" s="518"/>
      <c r="BB101" s="518"/>
      <c r="BC101" s="518"/>
      <c r="BD101" s="518"/>
      <c r="BE101" s="518"/>
    </row>
    <row r="102" spans="1:57" ht="12.75" customHeight="1">
      <c r="A102" s="518"/>
      <c r="B102" s="518"/>
      <c r="C102" s="518"/>
      <c r="D102" s="518"/>
      <c r="E102" s="518"/>
      <c r="F102" s="518"/>
      <c r="G102" s="518"/>
      <c r="H102" s="518"/>
      <c r="I102" s="518"/>
      <c r="J102" s="518"/>
      <c r="K102" s="518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  <c r="AA102" s="518"/>
      <c r="AB102" s="518"/>
      <c r="AC102" s="518"/>
      <c r="AD102" s="518"/>
      <c r="AE102" s="518"/>
      <c r="AF102" s="518"/>
      <c r="AG102" s="518"/>
      <c r="AH102" s="518"/>
      <c r="AI102" s="518"/>
      <c r="AJ102" s="518"/>
      <c r="AK102" s="518"/>
      <c r="AL102" s="518"/>
      <c r="AM102" s="518"/>
      <c r="AN102" s="518"/>
      <c r="AO102" s="518"/>
      <c r="AP102" s="518"/>
      <c r="AQ102" s="518"/>
      <c r="AR102" s="518"/>
      <c r="AS102" s="518"/>
      <c r="AT102" s="518"/>
      <c r="AU102" s="518"/>
      <c r="AV102" s="518"/>
      <c r="AW102" s="518"/>
      <c r="AX102" s="518"/>
      <c r="AY102" s="518"/>
      <c r="AZ102" s="518"/>
      <c r="BA102" s="518"/>
      <c r="BB102" s="518"/>
      <c r="BC102" s="518"/>
      <c r="BD102" s="518"/>
      <c r="BE102" s="518"/>
    </row>
    <row r="103" spans="1:57" ht="12.75" customHeight="1">
      <c r="A103" s="518"/>
      <c r="B103" s="518"/>
      <c r="C103" s="518"/>
      <c r="D103" s="518"/>
      <c r="E103" s="518"/>
      <c r="F103" s="518"/>
      <c r="G103" s="518"/>
      <c r="H103" s="518"/>
      <c r="I103" s="518"/>
      <c r="J103" s="518"/>
      <c r="K103" s="518"/>
      <c r="L103" s="518"/>
      <c r="M103" s="518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8"/>
      <c r="Y103" s="518"/>
      <c r="Z103" s="518"/>
      <c r="AA103" s="518"/>
      <c r="AB103" s="518"/>
      <c r="AC103" s="518"/>
      <c r="AD103" s="518"/>
      <c r="AE103" s="518"/>
      <c r="AF103" s="518"/>
      <c r="AG103" s="518"/>
      <c r="AH103" s="518"/>
      <c r="AI103" s="518"/>
      <c r="AJ103" s="518"/>
      <c r="AK103" s="518"/>
      <c r="AL103" s="518"/>
      <c r="AM103" s="518"/>
      <c r="AN103" s="518"/>
      <c r="AO103" s="518"/>
      <c r="AP103" s="518"/>
      <c r="AQ103" s="518"/>
      <c r="AR103" s="518"/>
      <c r="AS103" s="518"/>
      <c r="AT103" s="518"/>
      <c r="AU103" s="518"/>
      <c r="AV103" s="518"/>
      <c r="AW103" s="518"/>
      <c r="AX103" s="518"/>
      <c r="AY103" s="518"/>
      <c r="AZ103" s="518"/>
      <c r="BA103" s="518"/>
      <c r="BB103" s="518"/>
      <c r="BC103" s="518"/>
      <c r="BD103" s="518"/>
      <c r="BE103" s="518"/>
    </row>
    <row r="104" spans="1:57" ht="12.75" customHeight="1">
      <c r="A104" s="518"/>
      <c r="B104" s="518"/>
      <c r="C104" s="518"/>
      <c r="D104" s="518"/>
      <c r="E104" s="518"/>
      <c r="F104" s="518"/>
      <c r="G104" s="518"/>
      <c r="H104" s="518"/>
      <c r="I104" s="518"/>
      <c r="J104" s="518"/>
      <c r="K104" s="518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  <c r="AA104" s="518"/>
      <c r="AB104" s="518"/>
      <c r="AC104" s="518"/>
      <c r="AD104" s="518"/>
      <c r="AE104" s="518"/>
      <c r="AF104" s="518"/>
      <c r="AG104" s="518"/>
      <c r="AH104" s="518"/>
      <c r="AI104" s="518"/>
      <c r="AJ104" s="518"/>
      <c r="AK104" s="518"/>
      <c r="AL104" s="518"/>
      <c r="AM104" s="518"/>
      <c r="AN104" s="518"/>
      <c r="AO104" s="518"/>
      <c r="AP104" s="518"/>
      <c r="AQ104" s="518"/>
      <c r="AR104" s="518"/>
      <c r="AS104" s="518"/>
      <c r="AT104" s="518"/>
      <c r="AU104" s="518"/>
      <c r="AV104" s="518"/>
      <c r="AW104" s="518"/>
      <c r="AX104" s="518"/>
      <c r="AY104" s="518"/>
      <c r="AZ104" s="518"/>
      <c r="BA104" s="518"/>
      <c r="BB104" s="518"/>
      <c r="BC104" s="518"/>
      <c r="BD104" s="518"/>
      <c r="BE104" s="518"/>
    </row>
    <row r="105" spans="1:57" ht="12.75" customHeight="1">
      <c r="A105" s="518"/>
      <c r="B105" s="518"/>
      <c r="C105" s="518"/>
      <c r="D105" s="518"/>
      <c r="E105" s="518"/>
      <c r="F105" s="518"/>
      <c r="G105" s="518"/>
      <c r="H105" s="518"/>
      <c r="I105" s="518"/>
      <c r="J105" s="518"/>
      <c r="K105" s="518"/>
      <c r="L105" s="518"/>
      <c r="M105" s="518"/>
      <c r="N105" s="518"/>
      <c r="O105" s="518"/>
      <c r="P105" s="518"/>
      <c r="Q105" s="518"/>
      <c r="R105" s="518"/>
      <c r="S105" s="518"/>
      <c r="T105" s="518"/>
      <c r="U105" s="518"/>
      <c r="V105" s="518"/>
      <c r="W105" s="518"/>
      <c r="X105" s="518"/>
      <c r="Y105" s="518"/>
      <c r="Z105" s="518"/>
      <c r="AA105" s="518"/>
      <c r="AB105" s="518"/>
      <c r="AC105" s="518"/>
      <c r="AD105" s="518"/>
      <c r="AE105" s="518"/>
      <c r="AF105" s="518"/>
      <c r="AG105" s="518"/>
      <c r="AH105" s="518"/>
      <c r="AI105" s="518"/>
      <c r="AJ105" s="518"/>
      <c r="AK105" s="518"/>
      <c r="AL105" s="518"/>
      <c r="AM105" s="518"/>
      <c r="AN105" s="518"/>
      <c r="AO105" s="518"/>
      <c r="AP105" s="518"/>
      <c r="AQ105" s="518"/>
      <c r="AR105" s="518"/>
      <c r="AS105" s="518"/>
      <c r="AT105" s="518"/>
      <c r="AU105" s="518"/>
      <c r="AV105" s="518"/>
      <c r="AW105" s="518"/>
      <c r="AX105" s="518"/>
      <c r="AY105" s="518"/>
      <c r="AZ105" s="518"/>
      <c r="BA105" s="518"/>
      <c r="BB105" s="518"/>
      <c r="BC105" s="518"/>
      <c r="BD105" s="518"/>
      <c r="BE105" s="518"/>
    </row>
    <row r="106" spans="1:57" ht="12.75" customHeight="1">
      <c r="A106" s="518"/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518"/>
      <c r="T106" s="518"/>
      <c r="U106" s="518"/>
      <c r="V106" s="518"/>
      <c r="W106" s="518"/>
      <c r="X106" s="518"/>
      <c r="Y106" s="518"/>
      <c r="Z106" s="518"/>
      <c r="AA106" s="518"/>
      <c r="AB106" s="518"/>
      <c r="AC106" s="518"/>
      <c r="AD106" s="518"/>
      <c r="AE106" s="518"/>
      <c r="AF106" s="518"/>
      <c r="AG106" s="518"/>
      <c r="AH106" s="518"/>
      <c r="AI106" s="518"/>
      <c r="AJ106" s="518"/>
      <c r="AK106" s="518"/>
      <c r="AL106" s="518"/>
      <c r="AM106" s="518"/>
      <c r="AN106" s="518"/>
      <c r="AO106" s="518"/>
      <c r="AP106" s="518"/>
      <c r="AQ106" s="518"/>
      <c r="AR106" s="518"/>
      <c r="AS106" s="518"/>
      <c r="AT106" s="518"/>
      <c r="AU106" s="518"/>
      <c r="AV106" s="518"/>
      <c r="AW106" s="518"/>
      <c r="AX106" s="518"/>
      <c r="AY106" s="518"/>
      <c r="AZ106" s="518"/>
      <c r="BA106" s="518"/>
      <c r="BB106" s="518"/>
      <c r="BC106" s="518"/>
      <c r="BD106" s="518"/>
      <c r="BE106" s="518"/>
    </row>
    <row r="107" spans="1:57" ht="12.75" customHeight="1">
      <c r="A107" s="518"/>
      <c r="B107" s="518"/>
      <c r="C107" s="518"/>
      <c r="D107" s="518"/>
      <c r="E107" s="518"/>
      <c r="F107" s="518"/>
      <c r="G107" s="518"/>
      <c r="H107" s="518"/>
      <c r="I107" s="518"/>
      <c r="J107" s="518"/>
      <c r="K107" s="518"/>
      <c r="L107" s="518"/>
      <c r="M107" s="518"/>
      <c r="N107" s="518"/>
      <c r="O107" s="518"/>
      <c r="P107" s="518"/>
      <c r="Q107" s="518"/>
      <c r="R107" s="518"/>
      <c r="S107" s="518"/>
      <c r="T107" s="518"/>
      <c r="U107" s="518"/>
      <c r="V107" s="518"/>
      <c r="W107" s="518"/>
      <c r="X107" s="518"/>
      <c r="Y107" s="518"/>
      <c r="Z107" s="518"/>
      <c r="AA107" s="518"/>
      <c r="AB107" s="518"/>
      <c r="AC107" s="518"/>
      <c r="AD107" s="518"/>
      <c r="AE107" s="518"/>
      <c r="AF107" s="518"/>
      <c r="AG107" s="518"/>
      <c r="AH107" s="518"/>
      <c r="AI107" s="518"/>
      <c r="AJ107" s="518"/>
      <c r="AK107" s="518"/>
      <c r="AL107" s="518"/>
      <c r="AM107" s="518"/>
      <c r="AN107" s="518"/>
      <c r="AO107" s="518"/>
      <c r="AP107" s="518"/>
      <c r="AQ107" s="518"/>
      <c r="AR107" s="518"/>
      <c r="AS107" s="518"/>
      <c r="AT107" s="518"/>
      <c r="AU107" s="518"/>
      <c r="AV107" s="518"/>
      <c r="AW107" s="518"/>
      <c r="AX107" s="518"/>
      <c r="AY107" s="518"/>
      <c r="AZ107" s="518"/>
      <c r="BA107" s="518"/>
      <c r="BB107" s="518"/>
      <c r="BC107" s="518"/>
      <c r="BD107" s="518"/>
      <c r="BE107" s="518"/>
    </row>
    <row r="108" spans="1:57" ht="12.75" customHeight="1">
      <c r="A108" s="518"/>
      <c r="B108" s="518"/>
      <c r="C108" s="518"/>
      <c r="D108" s="518"/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518"/>
      <c r="P108" s="518"/>
      <c r="Q108" s="518"/>
      <c r="R108" s="518"/>
      <c r="S108" s="518"/>
      <c r="T108" s="518"/>
      <c r="U108" s="518"/>
      <c r="V108" s="518"/>
      <c r="W108" s="518"/>
      <c r="X108" s="518"/>
      <c r="Y108" s="518"/>
      <c r="Z108" s="518"/>
      <c r="AA108" s="518"/>
      <c r="AB108" s="518"/>
      <c r="AC108" s="518"/>
      <c r="AD108" s="518"/>
      <c r="AE108" s="518"/>
      <c r="AF108" s="518"/>
      <c r="AG108" s="518"/>
      <c r="AH108" s="518"/>
      <c r="AI108" s="518"/>
      <c r="AJ108" s="518"/>
      <c r="AK108" s="518"/>
      <c r="AL108" s="518"/>
      <c r="AM108" s="518"/>
      <c r="AN108" s="518"/>
      <c r="AO108" s="518"/>
      <c r="AP108" s="518"/>
      <c r="AQ108" s="518"/>
      <c r="AR108" s="518"/>
      <c r="AS108" s="518"/>
      <c r="AT108" s="518"/>
      <c r="AU108" s="518"/>
      <c r="AV108" s="518"/>
      <c r="AW108" s="518"/>
      <c r="AX108" s="518"/>
      <c r="AY108" s="518"/>
      <c r="AZ108" s="518"/>
      <c r="BA108" s="518"/>
      <c r="BB108" s="518"/>
      <c r="BC108" s="518"/>
      <c r="BD108" s="518"/>
      <c r="BE108" s="518"/>
    </row>
    <row r="109" spans="1:57" ht="12.75" customHeight="1">
      <c r="A109" s="518"/>
      <c r="B109" s="518"/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518"/>
      <c r="R109" s="518"/>
      <c r="S109" s="518"/>
      <c r="T109" s="518"/>
      <c r="U109" s="518"/>
      <c r="V109" s="518"/>
      <c r="W109" s="518"/>
      <c r="X109" s="518"/>
      <c r="Y109" s="518"/>
      <c r="Z109" s="518"/>
      <c r="AA109" s="518"/>
      <c r="AB109" s="518"/>
      <c r="AC109" s="518"/>
      <c r="AD109" s="518"/>
      <c r="AE109" s="518"/>
      <c r="AF109" s="518"/>
      <c r="AG109" s="518"/>
      <c r="AH109" s="518"/>
      <c r="AI109" s="518"/>
      <c r="AJ109" s="518"/>
      <c r="AK109" s="518"/>
      <c r="AL109" s="518"/>
      <c r="AM109" s="518"/>
      <c r="AN109" s="518"/>
      <c r="AO109" s="518"/>
      <c r="AP109" s="518"/>
      <c r="AQ109" s="518"/>
      <c r="AR109" s="518"/>
      <c r="AS109" s="518"/>
      <c r="AT109" s="518"/>
      <c r="AU109" s="518"/>
      <c r="AV109" s="518"/>
      <c r="AW109" s="518"/>
      <c r="AX109" s="518"/>
      <c r="AY109" s="518"/>
      <c r="AZ109" s="518"/>
      <c r="BA109" s="518"/>
      <c r="BB109" s="518"/>
      <c r="BC109" s="518"/>
      <c r="BD109" s="518"/>
      <c r="BE109" s="518"/>
    </row>
    <row r="110" spans="1:57" ht="12.75" customHeight="1">
      <c r="A110" s="518"/>
      <c r="B110" s="518"/>
      <c r="C110" s="518"/>
      <c r="D110" s="518"/>
      <c r="E110" s="518"/>
      <c r="F110" s="518"/>
      <c r="G110" s="518"/>
      <c r="H110" s="518"/>
      <c r="I110" s="518"/>
      <c r="J110" s="518"/>
      <c r="K110" s="518"/>
      <c r="L110" s="518"/>
      <c r="M110" s="518"/>
      <c r="N110" s="518"/>
      <c r="O110" s="518"/>
      <c r="P110" s="518"/>
      <c r="Q110" s="518"/>
      <c r="R110" s="518"/>
      <c r="S110" s="518"/>
      <c r="T110" s="518"/>
      <c r="U110" s="518"/>
      <c r="V110" s="518"/>
      <c r="W110" s="518"/>
      <c r="X110" s="518"/>
      <c r="Y110" s="518"/>
      <c r="Z110" s="518"/>
      <c r="AA110" s="518"/>
      <c r="AB110" s="518"/>
      <c r="AC110" s="518"/>
      <c r="AD110" s="518"/>
      <c r="AE110" s="518"/>
      <c r="AF110" s="518"/>
      <c r="AG110" s="518"/>
      <c r="AH110" s="518"/>
      <c r="AI110" s="518"/>
      <c r="AJ110" s="518"/>
      <c r="AK110" s="518"/>
      <c r="AL110" s="518"/>
      <c r="AM110" s="518"/>
      <c r="AN110" s="518"/>
      <c r="AO110" s="518"/>
      <c r="AP110" s="518"/>
      <c r="AQ110" s="518"/>
      <c r="AR110" s="518"/>
      <c r="AS110" s="518"/>
      <c r="AT110" s="518"/>
      <c r="AU110" s="518"/>
      <c r="AV110" s="518"/>
      <c r="AW110" s="518"/>
      <c r="AX110" s="518"/>
      <c r="AY110" s="518"/>
      <c r="AZ110" s="518"/>
      <c r="BA110" s="518"/>
      <c r="BB110" s="518"/>
      <c r="BC110" s="518"/>
      <c r="BD110" s="518"/>
      <c r="BE110" s="518"/>
    </row>
    <row r="111" spans="1:57" ht="12.75" customHeight="1">
      <c r="A111" s="518"/>
      <c r="B111" s="518"/>
      <c r="C111" s="518"/>
      <c r="D111" s="518"/>
      <c r="E111" s="518"/>
      <c r="F111" s="518"/>
      <c r="G111" s="518"/>
      <c r="H111" s="518"/>
      <c r="I111" s="518"/>
      <c r="J111" s="518"/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8"/>
      <c r="V111" s="518"/>
      <c r="W111" s="518"/>
      <c r="X111" s="518"/>
      <c r="Y111" s="518"/>
      <c r="Z111" s="518"/>
      <c r="AA111" s="518"/>
      <c r="AB111" s="518"/>
      <c r="AC111" s="518"/>
      <c r="AD111" s="518"/>
      <c r="AE111" s="518"/>
      <c r="AF111" s="518"/>
      <c r="AG111" s="518"/>
      <c r="AH111" s="518"/>
      <c r="AI111" s="518"/>
      <c r="AJ111" s="518"/>
      <c r="AK111" s="518"/>
      <c r="AL111" s="518"/>
      <c r="AM111" s="518"/>
      <c r="AN111" s="518"/>
      <c r="AO111" s="518"/>
      <c r="AP111" s="518"/>
      <c r="AQ111" s="518"/>
      <c r="AR111" s="518"/>
      <c r="AS111" s="518"/>
      <c r="AT111" s="518"/>
      <c r="AU111" s="518"/>
      <c r="AV111" s="518"/>
      <c r="AW111" s="518"/>
      <c r="AX111" s="518"/>
      <c r="AY111" s="518"/>
      <c r="AZ111" s="518"/>
      <c r="BA111" s="518"/>
      <c r="BB111" s="518"/>
      <c r="BC111" s="518"/>
      <c r="BD111" s="518"/>
      <c r="BE111" s="518"/>
    </row>
    <row r="112" spans="1:57" ht="12.75" customHeight="1">
      <c r="A112" s="518"/>
      <c r="B112" s="518"/>
      <c r="C112" s="518"/>
      <c r="D112" s="518"/>
      <c r="E112" s="518"/>
      <c r="F112" s="518"/>
      <c r="G112" s="518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8"/>
      <c r="V112" s="518"/>
      <c r="W112" s="518"/>
      <c r="X112" s="518"/>
      <c r="Y112" s="518"/>
      <c r="Z112" s="518"/>
      <c r="AA112" s="518"/>
      <c r="AB112" s="518"/>
      <c r="AC112" s="518"/>
      <c r="AD112" s="518"/>
      <c r="AE112" s="518"/>
      <c r="AF112" s="518"/>
      <c r="AG112" s="518"/>
      <c r="AH112" s="518"/>
      <c r="AI112" s="518"/>
      <c r="AJ112" s="518"/>
      <c r="AK112" s="518"/>
      <c r="AL112" s="518"/>
      <c r="AM112" s="518"/>
      <c r="AN112" s="518"/>
      <c r="AO112" s="518"/>
      <c r="AP112" s="518"/>
      <c r="AQ112" s="518"/>
      <c r="AR112" s="518"/>
      <c r="AS112" s="518"/>
      <c r="AT112" s="518"/>
      <c r="AU112" s="518"/>
      <c r="AV112" s="518"/>
      <c r="AW112" s="518"/>
      <c r="AX112" s="518"/>
      <c r="AY112" s="518"/>
      <c r="AZ112" s="518"/>
      <c r="BA112" s="518"/>
      <c r="BB112" s="518"/>
      <c r="BC112" s="518"/>
      <c r="BD112" s="518"/>
      <c r="BE112" s="518"/>
    </row>
    <row r="113" spans="1:57" ht="12.75" customHeight="1">
      <c r="A113" s="518"/>
      <c r="B113" s="518"/>
      <c r="C113" s="518"/>
      <c r="D113" s="518"/>
      <c r="E113" s="518"/>
      <c r="F113" s="518"/>
      <c r="G113" s="518"/>
      <c r="H113" s="518"/>
      <c r="I113" s="518"/>
      <c r="J113" s="518"/>
      <c r="K113" s="518"/>
      <c r="L113" s="518"/>
      <c r="M113" s="518"/>
      <c r="N113" s="518"/>
      <c r="O113" s="518"/>
      <c r="P113" s="518"/>
      <c r="Q113" s="518"/>
      <c r="R113" s="518"/>
      <c r="S113" s="518"/>
      <c r="T113" s="518"/>
      <c r="U113" s="518"/>
      <c r="V113" s="518"/>
      <c r="W113" s="518"/>
      <c r="X113" s="518"/>
      <c r="Y113" s="518"/>
      <c r="Z113" s="518"/>
      <c r="AA113" s="518"/>
      <c r="AB113" s="518"/>
      <c r="AC113" s="518"/>
      <c r="AD113" s="518"/>
      <c r="AE113" s="518"/>
      <c r="AF113" s="518"/>
      <c r="AG113" s="518"/>
      <c r="AH113" s="518"/>
      <c r="AI113" s="518"/>
      <c r="AJ113" s="518"/>
      <c r="AK113" s="518"/>
      <c r="AL113" s="518"/>
      <c r="AM113" s="518"/>
      <c r="AN113" s="518"/>
      <c r="AO113" s="518"/>
      <c r="AP113" s="518"/>
      <c r="AQ113" s="518"/>
      <c r="AR113" s="518"/>
      <c r="AS113" s="518"/>
      <c r="AT113" s="518"/>
      <c r="AU113" s="518"/>
      <c r="AV113" s="518"/>
      <c r="AW113" s="518"/>
      <c r="AX113" s="518"/>
      <c r="AY113" s="518"/>
      <c r="AZ113" s="518"/>
      <c r="BA113" s="518"/>
      <c r="BB113" s="518"/>
      <c r="BC113" s="518"/>
      <c r="BD113" s="518"/>
      <c r="BE113" s="518"/>
    </row>
    <row r="114" spans="1:57" ht="12.75" customHeight="1">
      <c r="A114" s="518"/>
      <c r="B114" s="518"/>
      <c r="C114" s="518"/>
      <c r="D114" s="518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8"/>
      <c r="V114" s="518"/>
      <c r="W114" s="518"/>
      <c r="X114" s="518"/>
      <c r="Y114" s="518"/>
      <c r="Z114" s="518"/>
      <c r="AA114" s="518"/>
      <c r="AB114" s="518"/>
      <c r="AC114" s="518"/>
      <c r="AD114" s="518"/>
      <c r="AE114" s="518"/>
      <c r="AF114" s="518"/>
      <c r="AG114" s="518"/>
      <c r="AH114" s="518"/>
      <c r="AI114" s="518"/>
      <c r="AJ114" s="518"/>
      <c r="AK114" s="518"/>
      <c r="AL114" s="518"/>
      <c r="AM114" s="518"/>
      <c r="AN114" s="518"/>
      <c r="AO114" s="518"/>
      <c r="AP114" s="518"/>
      <c r="AQ114" s="518"/>
      <c r="AR114" s="518"/>
      <c r="AS114" s="518"/>
      <c r="AT114" s="518"/>
      <c r="AU114" s="518"/>
      <c r="AV114" s="518"/>
      <c r="AW114" s="518"/>
      <c r="AX114" s="518"/>
      <c r="AY114" s="518"/>
      <c r="AZ114" s="518"/>
      <c r="BA114" s="518"/>
      <c r="BB114" s="518"/>
      <c r="BC114" s="518"/>
      <c r="BD114" s="518"/>
      <c r="BE114" s="518"/>
    </row>
    <row r="115" spans="1:57" ht="12.75" customHeight="1">
      <c r="A115" s="518"/>
      <c r="B115" s="518"/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  <c r="AA115" s="518"/>
      <c r="AB115" s="518"/>
      <c r="AC115" s="518"/>
      <c r="AD115" s="518"/>
      <c r="AE115" s="518"/>
      <c r="AF115" s="518"/>
      <c r="AG115" s="518"/>
      <c r="AH115" s="518"/>
      <c r="AI115" s="518"/>
      <c r="AJ115" s="518"/>
      <c r="AK115" s="518"/>
      <c r="AL115" s="518"/>
      <c r="AM115" s="518"/>
      <c r="AN115" s="518"/>
      <c r="AO115" s="518"/>
      <c r="AP115" s="518"/>
      <c r="AQ115" s="518"/>
      <c r="AR115" s="518"/>
      <c r="AS115" s="518"/>
      <c r="AT115" s="518"/>
      <c r="AU115" s="518"/>
      <c r="AV115" s="518"/>
      <c r="AW115" s="518"/>
      <c r="AX115" s="518"/>
      <c r="AY115" s="518"/>
      <c r="AZ115" s="518"/>
      <c r="BA115" s="518"/>
      <c r="BB115" s="518"/>
      <c r="BC115" s="518"/>
      <c r="BD115" s="518"/>
      <c r="BE115" s="518"/>
    </row>
    <row r="116" spans="1:57" ht="12.75" customHeight="1">
      <c r="A116" s="518"/>
      <c r="B116" s="518"/>
      <c r="C116" s="518"/>
      <c r="D116" s="518"/>
      <c r="E116" s="518"/>
      <c r="F116" s="518"/>
      <c r="G116" s="518"/>
      <c r="H116" s="518"/>
      <c r="I116" s="518"/>
      <c r="J116" s="518"/>
      <c r="K116" s="518"/>
      <c r="L116" s="518"/>
      <c r="M116" s="518"/>
      <c r="N116" s="518"/>
      <c r="O116" s="518"/>
      <c r="P116" s="518"/>
      <c r="Q116" s="518"/>
      <c r="R116" s="518"/>
      <c r="S116" s="518"/>
      <c r="T116" s="518"/>
      <c r="U116" s="518"/>
      <c r="V116" s="518"/>
      <c r="W116" s="518"/>
      <c r="X116" s="518"/>
      <c r="Y116" s="518"/>
      <c r="Z116" s="518"/>
      <c r="AA116" s="518"/>
      <c r="AB116" s="518"/>
      <c r="AC116" s="518"/>
      <c r="AD116" s="518"/>
      <c r="AE116" s="518"/>
      <c r="AF116" s="518"/>
      <c r="AG116" s="518"/>
      <c r="AH116" s="518"/>
      <c r="AI116" s="518"/>
      <c r="AJ116" s="518"/>
      <c r="AK116" s="518"/>
      <c r="AL116" s="518"/>
      <c r="AM116" s="518"/>
      <c r="AN116" s="518"/>
      <c r="AO116" s="518"/>
      <c r="AP116" s="518"/>
      <c r="AQ116" s="518"/>
      <c r="AR116" s="518"/>
      <c r="AS116" s="518"/>
      <c r="AT116" s="518"/>
      <c r="AU116" s="518"/>
      <c r="AV116" s="518"/>
      <c r="AW116" s="518"/>
      <c r="AX116" s="518"/>
      <c r="AY116" s="518"/>
      <c r="AZ116" s="518"/>
      <c r="BA116" s="518"/>
      <c r="BB116" s="518"/>
      <c r="BC116" s="518"/>
      <c r="BD116" s="518"/>
      <c r="BE116" s="518"/>
    </row>
    <row r="117" spans="1:57" ht="12.75" customHeight="1">
      <c r="A117" s="518"/>
      <c r="B117" s="518"/>
      <c r="C117" s="518"/>
      <c r="D117" s="518"/>
      <c r="E117" s="518"/>
      <c r="F117" s="518"/>
      <c r="G117" s="518"/>
      <c r="H117" s="518"/>
      <c r="I117" s="518"/>
      <c r="J117" s="518"/>
      <c r="K117" s="518"/>
      <c r="L117" s="518"/>
      <c r="M117" s="518"/>
      <c r="N117" s="518"/>
      <c r="O117" s="518"/>
      <c r="P117" s="518"/>
      <c r="Q117" s="518"/>
      <c r="R117" s="518"/>
      <c r="S117" s="518"/>
      <c r="T117" s="518"/>
      <c r="U117" s="518"/>
      <c r="V117" s="518"/>
      <c r="W117" s="518"/>
      <c r="X117" s="518"/>
      <c r="Y117" s="518"/>
      <c r="Z117" s="518"/>
      <c r="AA117" s="518"/>
      <c r="AB117" s="518"/>
      <c r="AC117" s="518"/>
      <c r="AD117" s="518"/>
      <c r="AE117" s="518"/>
      <c r="AF117" s="518"/>
      <c r="AG117" s="518"/>
      <c r="AH117" s="518"/>
      <c r="AI117" s="518"/>
      <c r="AJ117" s="518"/>
      <c r="AK117" s="518"/>
      <c r="AL117" s="518"/>
      <c r="AM117" s="518"/>
      <c r="AN117" s="518"/>
      <c r="AO117" s="518"/>
      <c r="AP117" s="518"/>
      <c r="AQ117" s="518"/>
      <c r="AR117" s="518"/>
      <c r="AS117" s="518"/>
      <c r="AT117" s="518"/>
      <c r="AU117" s="518"/>
      <c r="AV117" s="518"/>
      <c r="AW117" s="518"/>
      <c r="AX117" s="518"/>
      <c r="AY117" s="518"/>
      <c r="AZ117" s="518"/>
      <c r="BA117" s="518"/>
      <c r="BB117" s="518"/>
      <c r="BC117" s="518"/>
      <c r="BD117" s="518"/>
      <c r="BE117" s="518"/>
    </row>
    <row r="118" spans="1:57" ht="12.75" customHeight="1">
      <c r="A118" s="518"/>
      <c r="B118" s="518"/>
      <c r="C118" s="518"/>
      <c r="D118" s="518"/>
      <c r="E118" s="518"/>
      <c r="F118" s="518"/>
      <c r="G118" s="518"/>
      <c r="H118" s="518"/>
      <c r="I118" s="518"/>
      <c r="J118" s="518"/>
      <c r="K118" s="518"/>
      <c r="L118" s="518"/>
      <c r="M118" s="518"/>
      <c r="N118" s="518"/>
      <c r="O118" s="518"/>
      <c r="P118" s="518"/>
      <c r="Q118" s="518"/>
      <c r="R118" s="518"/>
      <c r="S118" s="518"/>
      <c r="T118" s="518"/>
      <c r="U118" s="518"/>
      <c r="V118" s="518"/>
      <c r="W118" s="518"/>
      <c r="X118" s="518"/>
      <c r="Y118" s="518"/>
      <c r="Z118" s="518"/>
      <c r="AA118" s="518"/>
      <c r="AB118" s="518"/>
      <c r="AC118" s="518"/>
      <c r="AD118" s="518"/>
      <c r="AE118" s="518"/>
      <c r="AF118" s="518"/>
      <c r="AG118" s="518"/>
      <c r="AH118" s="518"/>
      <c r="AI118" s="518"/>
      <c r="AJ118" s="518"/>
      <c r="AK118" s="518"/>
      <c r="AL118" s="518"/>
      <c r="AM118" s="518"/>
      <c r="AN118" s="518"/>
      <c r="AO118" s="518"/>
      <c r="AP118" s="518"/>
      <c r="AQ118" s="518"/>
      <c r="AR118" s="518"/>
      <c r="AS118" s="518"/>
      <c r="AT118" s="518"/>
      <c r="AU118" s="518"/>
      <c r="AV118" s="518"/>
      <c r="AW118" s="518"/>
      <c r="AX118" s="518"/>
      <c r="AY118" s="518"/>
      <c r="AZ118" s="518"/>
      <c r="BA118" s="518"/>
      <c r="BB118" s="518"/>
      <c r="BC118" s="518"/>
      <c r="BD118" s="518"/>
      <c r="BE118" s="518"/>
    </row>
    <row r="119" spans="1:57" ht="12.75" customHeight="1">
      <c r="A119" s="518"/>
      <c r="B119" s="518"/>
      <c r="C119" s="518"/>
      <c r="D119" s="518"/>
      <c r="E119" s="518"/>
      <c r="F119" s="518"/>
      <c r="G119" s="518"/>
      <c r="H119" s="518"/>
      <c r="I119" s="518"/>
      <c r="J119" s="518"/>
      <c r="K119" s="518"/>
      <c r="L119" s="518"/>
      <c r="M119" s="518"/>
      <c r="N119" s="518"/>
      <c r="O119" s="518"/>
      <c r="P119" s="518"/>
      <c r="Q119" s="518"/>
      <c r="R119" s="518"/>
      <c r="S119" s="518"/>
      <c r="T119" s="518"/>
      <c r="U119" s="518"/>
      <c r="V119" s="518"/>
      <c r="W119" s="518"/>
      <c r="X119" s="518"/>
      <c r="Y119" s="518"/>
      <c r="Z119" s="518"/>
      <c r="AA119" s="518"/>
      <c r="AB119" s="518"/>
      <c r="AC119" s="518"/>
      <c r="AD119" s="518"/>
      <c r="AE119" s="518"/>
      <c r="AF119" s="518"/>
      <c r="AG119" s="518"/>
      <c r="AH119" s="518"/>
      <c r="AI119" s="518"/>
      <c r="AJ119" s="518"/>
      <c r="AK119" s="518"/>
      <c r="AL119" s="518"/>
      <c r="AM119" s="518"/>
      <c r="AN119" s="518"/>
      <c r="AO119" s="518"/>
      <c r="AP119" s="518"/>
      <c r="AQ119" s="518"/>
      <c r="AR119" s="518"/>
      <c r="AS119" s="518"/>
      <c r="AT119" s="518"/>
      <c r="AU119" s="518"/>
      <c r="AV119" s="518"/>
      <c r="AW119" s="518"/>
      <c r="AX119" s="518"/>
      <c r="AY119" s="518"/>
      <c r="AZ119" s="518"/>
      <c r="BA119" s="518"/>
      <c r="BB119" s="518"/>
      <c r="BC119" s="518"/>
      <c r="BD119" s="518"/>
      <c r="BE119" s="518"/>
    </row>
    <row r="120" spans="1:57" ht="12.75" customHeight="1">
      <c r="A120" s="518"/>
      <c r="B120" s="518"/>
      <c r="C120" s="518"/>
      <c r="D120" s="518"/>
      <c r="E120" s="518"/>
      <c r="F120" s="518"/>
      <c r="G120" s="518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18"/>
      <c r="T120" s="518"/>
      <c r="U120" s="518"/>
      <c r="V120" s="518"/>
      <c r="W120" s="518"/>
      <c r="X120" s="518"/>
      <c r="Y120" s="518"/>
      <c r="Z120" s="518"/>
      <c r="AA120" s="518"/>
      <c r="AB120" s="518"/>
      <c r="AC120" s="518"/>
      <c r="AD120" s="518"/>
      <c r="AE120" s="518"/>
      <c r="AF120" s="518"/>
      <c r="AG120" s="518"/>
      <c r="AH120" s="518"/>
      <c r="AI120" s="518"/>
      <c r="AJ120" s="518"/>
      <c r="AK120" s="518"/>
      <c r="AL120" s="518"/>
      <c r="AM120" s="518"/>
      <c r="AN120" s="518"/>
      <c r="AO120" s="518"/>
      <c r="AP120" s="518"/>
      <c r="AQ120" s="518"/>
      <c r="AR120" s="518"/>
      <c r="AS120" s="518"/>
      <c r="AT120" s="518"/>
      <c r="AU120" s="518"/>
      <c r="AV120" s="518"/>
      <c r="AW120" s="518"/>
      <c r="AX120" s="518"/>
      <c r="AY120" s="518"/>
      <c r="AZ120" s="518"/>
      <c r="BA120" s="518"/>
      <c r="BB120" s="518"/>
      <c r="BC120" s="518"/>
      <c r="BD120" s="518"/>
      <c r="BE120" s="518"/>
    </row>
    <row r="121" spans="1:57" ht="12.75" customHeight="1">
      <c r="A121" s="518"/>
      <c r="B121" s="518"/>
      <c r="C121" s="518"/>
      <c r="D121" s="518"/>
      <c r="E121" s="518"/>
      <c r="F121" s="518"/>
      <c r="G121" s="518"/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8"/>
      <c r="V121" s="518"/>
      <c r="W121" s="518"/>
      <c r="X121" s="518"/>
      <c r="Y121" s="518"/>
      <c r="Z121" s="518"/>
      <c r="AA121" s="518"/>
      <c r="AB121" s="518"/>
      <c r="AC121" s="518"/>
      <c r="AD121" s="518"/>
      <c r="AE121" s="518"/>
      <c r="AF121" s="518"/>
      <c r="AG121" s="518"/>
      <c r="AH121" s="518"/>
      <c r="AI121" s="518"/>
      <c r="AJ121" s="518"/>
      <c r="AK121" s="518"/>
      <c r="AL121" s="518"/>
      <c r="AM121" s="518"/>
      <c r="AN121" s="518"/>
      <c r="AO121" s="518"/>
      <c r="AP121" s="518"/>
      <c r="AQ121" s="518"/>
      <c r="AR121" s="518"/>
      <c r="AS121" s="518"/>
      <c r="AT121" s="518"/>
      <c r="AU121" s="518"/>
      <c r="AV121" s="518"/>
      <c r="AW121" s="518"/>
      <c r="AX121" s="518"/>
      <c r="AY121" s="518"/>
      <c r="AZ121" s="518"/>
      <c r="BA121" s="518"/>
      <c r="BB121" s="518"/>
      <c r="BC121" s="518"/>
      <c r="BD121" s="518"/>
      <c r="BE121" s="518"/>
    </row>
    <row r="122" spans="1:57" ht="12.75" customHeight="1">
      <c r="A122" s="518"/>
      <c r="B122" s="518"/>
      <c r="C122" s="518"/>
      <c r="D122" s="518"/>
      <c r="E122" s="518"/>
      <c r="F122" s="518"/>
      <c r="G122" s="518"/>
      <c r="H122" s="518"/>
      <c r="I122" s="518"/>
      <c r="J122" s="518"/>
      <c r="K122" s="518"/>
      <c r="L122" s="518"/>
      <c r="M122" s="518"/>
      <c r="N122" s="518"/>
      <c r="O122" s="518"/>
      <c r="P122" s="518"/>
      <c r="Q122" s="518"/>
      <c r="R122" s="518"/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518"/>
      <c r="AF122" s="518"/>
      <c r="AG122" s="518"/>
      <c r="AH122" s="518"/>
      <c r="AI122" s="518"/>
      <c r="AJ122" s="518"/>
      <c r="AK122" s="518"/>
      <c r="AL122" s="518"/>
      <c r="AM122" s="518"/>
      <c r="AN122" s="518"/>
      <c r="AO122" s="518"/>
      <c r="AP122" s="518"/>
      <c r="AQ122" s="518"/>
      <c r="AR122" s="518"/>
      <c r="AS122" s="518"/>
      <c r="AT122" s="518"/>
      <c r="AU122" s="518"/>
      <c r="AV122" s="518"/>
      <c r="AW122" s="518"/>
      <c r="AX122" s="518"/>
      <c r="AY122" s="518"/>
      <c r="AZ122" s="518"/>
      <c r="BA122" s="518"/>
      <c r="BB122" s="518"/>
      <c r="BC122" s="518"/>
      <c r="BD122" s="518"/>
      <c r="BE122" s="518"/>
    </row>
    <row r="123" spans="1:57" ht="12.75" customHeight="1">
      <c r="A123" s="518"/>
      <c r="B123" s="518"/>
      <c r="C123" s="518"/>
      <c r="D123" s="518"/>
      <c r="E123" s="518"/>
      <c r="F123" s="518"/>
      <c r="G123" s="518"/>
      <c r="H123" s="518"/>
      <c r="I123" s="518"/>
      <c r="J123" s="518"/>
      <c r="K123" s="518"/>
      <c r="L123" s="518"/>
      <c r="M123" s="518"/>
      <c r="N123" s="518"/>
      <c r="O123" s="518"/>
      <c r="P123" s="518"/>
      <c r="Q123" s="518"/>
      <c r="R123" s="518"/>
      <c r="S123" s="518"/>
      <c r="T123" s="518"/>
      <c r="U123" s="518"/>
      <c r="V123" s="518"/>
      <c r="W123" s="518"/>
      <c r="X123" s="518"/>
      <c r="Y123" s="518"/>
      <c r="Z123" s="518"/>
      <c r="AA123" s="518"/>
      <c r="AB123" s="518"/>
      <c r="AC123" s="518"/>
      <c r="AD123" s="518"/>
      <c r="AE123" s="518"/>
      <c r="AF123" s="518"/>
      <c r="AG123" s="518"/>
      <c r="AH123" s="518"/>
      <c r="AI123" s="518"/>
      <c r="AJ123" s="518"/>
      <c r="AK123" s="518"/>
      <c r="AL123" s="518"/>
      <c r="AM123" s="518"/>
      <c r="AN123" s="518"/>
      <c r="AO123" s="518"/>
      <c r="AP123" s="518"/>
      <c r="AQ123" s="518"/>
      <c r="AR123" s="518"/>
      <c r="AS123" s="518"/>
      <c r="AT123" s="518"/>
      <c r="AU123" s="518"/>
      <c r="AV123" s="518"/>
      <c r="AW123" s="518"/>
      <c r="AX123" s="518"/>
      <c r="AY123" s="518"/>
      <c r="AZ123" s="518"/>
      <c r="BA123" s="518"/>
      <c r="BB123" s="518"/>
      <c r="BC123" s="518"/>
      <c r="BD123" s="518"/>
      <c r="BE123" s="518"/>
    </row>
    <row r="124" spans="1:57" ht="12.75" customHeight="1">
      <c r="A124" s="518"/>
      <c r="B124" s="518"/>
      <c r="C124" s="518"/>
      <c r="D124" s="518"/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518"/>
      <c r="P124" s="518"/>
      <c r="Q124" s="518"/>
      <c r="R124" s="518"/>
      <c r="S124" s="518"/>
      <c r="T124" s="518"/>
      <c r="U124" s="518"/>
      <c r="V124" s="518"/>
      <c r="W124" s="518"/>
      <c r="X124" s="518"/>
      <c r="Y124" s="518"/>
      <c r="Z124" s="518"/>
      <c r="AA124" s="518"/>
      <c r="AB124" s="518"/>
      <c r="AC124" s="518"/>
      <c r="AD124" s="518"/>
      <c r="AE124" s="518"/>
      <c r="AF124" s="518"/>
      <c r="AG124" s="518"/>
      <c r="AH124" s="518"/>
      <c r="AI124" s="518"/>
      <c r="AJ124" s="518"/>
      <c r="AK124" s="518"/>
      <c r="AL124" s="518"/>
      <c r="AM124" s="518"/>
      <c r="AN124" s="518"/>
      <c r="AO124" s="518"/>
      <c r="AP124" s="518"/>
      <c r="AQ124" s="518"/>
      <c r="AR124" s="518"/>
      <c r="AS124" s="518"/>
      <c r="AT124" s="518"/>
      <c r="AU124" s="518"/>
      <c r="AV124" s="518"/>
      <c r="AW124" s="518"/>
      <c r="AX124" s="518"/>
      <c r="AY124" s="518"/>
      <c r="AZ124" s="518"/>
      <c r="BA124" s="518"/>
      <c r="BB124" s="518"/>
      <c r="BC124" s="518"/>
      <c r="BD124" s="518"/>
      <c r="BE124" s="518"/>
    </row>
    <row r="125" spans="1:57" ht="12.75" customHeight="1">
      <c r="A125" s="518"/>
      <c r="B125" s="518"/>
      <c r="C125" s="518"/>
      <c r="D125" s="518"/>
      <c r="E125" s="518"/>
      <c r="F125" s="518"/>
      <c r="G125" s="518"/>
      <c r="H125" s="518"/>
      <c r="I125" s="518"/>
      <c r="J125" s="518"/>
      <c r="K125" s="518"/>
      <c r="L125" s="518"/>
      <c r="M125" s="518"/>
      <c r="N125" s="518"/>
      <c r="O125" s="518"/>
      <c r="P125" s="518"/>
      <c r="Q125" s="518"/>
      <c r="R125" s="518"/>
      <c r="S125" s="518"/>
      <c r="T125" s="518"/>
      <c r="U125" s="518"/>
      <c r="V125" s="518"/>
      <c r="W125" s="518"/>
      <c r="X125" s="518"/>
      <c r="Y125" s="518"/>
      <c r="Z125" s="518"/>
      <c r="AA125" s="518"/>
      <c r="AB125" s="518"/>
      <c r="AC125" s="518"/>
      <c r="AD125" s="518"/>
      <c r="AE125" s="518"/>
      <c r="AF125" s="518"/>
      <c r="AG125" s="518"/>
      <c r="AH125" s="518"/>
      <c r="AI125" s="518"/>
      <c r="AJ125" s="518"/>
      <c r="AK125" s="518"/>
      <c r="AL125" s="518"/>
      <c r="AM125" s="518"/>
      <c r="AN125" s="518"/>
      <c r="AO125" s="518"/>
      <c r="AP125" s="518"/>
      <c r="AQ125" s="518"/>
      <c r="AR125" s="518"/>
      <c r="AS125" s="518"/>
      <c r="AT125" s="518"/>
      <c r="AU125" s="518"/>
      <c r="AV125" s="518"/>
      <c r="AW125" s="518"/>
      <c r="AX125" s="518"/>
      <c r="AY125" s="518"/>
      <c r="AZ125" s="518"/>
      <c r="BA125" s="518"/>
      <c r="BB125" s="518"/>
      <c r="BC125" s="518"/>
      <c r="BD125" s="518"/>
      <c r="BE125" s="518"/>
    </row>
    <row r="126" spans="1:57" ht="12.75" customHeight="1">
      <c r="A126" s="518"/>
      <c r="B126" s="518"/>
      <c r="C126" s="518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</row>
    <row r="127" spans="1:57" ht="12.75" customHeight="1">
      <c r="A127" s="518"/>
      <c r="B127" s="518"/>
      <c r="C127" s="518"/>
      <c r="D127" s="518"/>
      <c r="E127" s="518"/>
      <c r="F127" s="518"/>
      <c r="G127" s="518"/>
      <c r="H127" s="518"/>
      <c r="I127" s="518"/>
      <c r="J127" s="518"/>
      <c r="K127" s="518"/>
      <c r="L127" s="518"/>
      <c r="M127" s="518"/>
      <c r="N127" s="518"/>
      <c r="O127" s="518"/>
      <c r="P127" s="518"/>
      <c r="Q127" s="518"/>
      <c r="R127" s="518"/>
      <c r="S127" s="518"/>
      <c r="T127" s="518"/>
      <c r="U127" s="518"/>
      <c r="V127" s="518"/>
      <c r="W127" s="518"/>
      <c r="X127" s="518"/>
      <c r="Y127" s="518"/>
      <c r="Z127" s="518"/>
      <c r="AA127" s="518"/>
      <c r="AB127" s="518"/>
      <c r="AC127" s="518"/>
      <c r="AD127" s="518"/>
      <c r="AE127" s="518"/>
      <c r="AF127" s="518"/>
      <c r="AG127" s="518"/>
      <c r="AH127" s="518"/>
      <c r="AI127" s="518"/>
      <c r="AJ127" s="518"/>
      <c r="AK127" s="518"/>
      <c r="AL127" s="518"/>
      <c r="AM127" s="518"/>
      <c r="AN127" s="518"/>
      <c r="AO127" s="518"/>
      <c r="AP127" s="518"/>
      <c r="AQ127" s="518"/>
      <c r="AR127" s="518"/>
      <c r="AS127" s="518"/>
      <c r="AT127" s="518"/>
      <c r="AU127" s="518"/>
      <c r="AV127" s="518"/>
      <c r="AW127" s="518"/>
      <c r="AX127" s="518"/>
      <c r="AY127" s="518"/>
      <c r="AZ127" s="518"/>
      <c r="BA127" s="518"/>
      <c r="BB127" s="518"/>
      <c r="BC127" s="518"/>
      <c r="BD127" s="518"/>
      <c r="BE127" s="518"/>
    </row>
    <row r="128" spans="1:57" ht="12.75" customHeight="1">
      <c r="A128" s="518"/>
      <c r="B128" s="518"/>
      <c r="C128" s="518"/>
      <c r="D128" s="518"/>
      <c r="E128" s="518"/>
      <c r="F128" s="518"/>
      <c r="G128" s="518"/>
      <c r="H128" s="518"/>
      <c r="I128" s="518"/>
      <c r="J128" s="518"/>
      <c r="K128" s="518"/>
      <c r="L128" s="518"/>
      <c r="M128" s="518"/>
      <c r="N128" s="518"/>
      <c r="O128" s="518"/>
      <c r="P128" s="518"/>
      <c r="Q128" s="518"/>
      <c r="R128" s="518"/>
      <c r="S128" s="518"/>
      <c r="T128" s="518"/>
      <c r="U128" s="518"/>
      <c r="V128" s="518"/>
      <c r="W128" s="518"/>
      <c r="X128" s="518"/>
      <c r="Y128" s="518"/>
      <c r="Z128" s="518"/>
      <c r="AA128" s="518"/>
      <c r="AB128" s="518"/>
      <c r="AC128" s="518"/>
      <c r="AD128" s="518"/>
      <c r="AE128" s="518"/>
      <c r="AF128" s="518"/>
      <c r="AG128" s="518"/>
      <c r="AH128" s="518"/>
      <c r="AI128" s="518"/>
      <c r="AJ128" s="518"/>
      <c r="AK128" s="518"/>
      <c r="AL128" s="518"/>
      <c r="AM128" s="518"/>
      <c r="AN128" s="518"/>
      <c r="AO128" s="518"/>
      <c r="AP128" s="518"/>
      <c r="AQ128" s="518"/>
      <c r="AR128" s="518"/>
      <c r="AS128" s="518"/>
      <c r="AT128" s="518"/>
      <c r="AU128" s="518"/>
      <c r="AV128" s="518"/>
      <c r="AW128" s="518"/>
      <c r="AX128" s="518"/>
      <c r="AY128" s="518"/>
      <c r="AZ128" s="518"/>
      <c r="BA128" s="518"/>
      <c r="BB128" s="518"/>
      <c r="BC128" s="518"/>
      <c r="BD128" s="518"/>
      <c r="BE128" s="518"/>
    </row>
    <row r="129" spans="1:57" ht="12.75" customHeight="1">
      <c r="A129" s="518"/>
      <c r="B129" s="518"/>
      <c r="C129" s="518"/>
      <c r="D129" s="518"/>
      <c r="E129" s="518"/>
      <c r="F129" s="518"/>
      <c r="G129" s="518"/>
      <c r="H129" s="518"/>
      <c r="I129" s="518"/>
      <c r="J129" s="518"/>
      <c r="K129" s="518"/>
      <c r="L129" s="518"/>
      <c r="M129" s="518"/>
      <c r="N129" s="518"/>
      <c r="O129" s="518"/>
      <c r="P129" s="518"/>
      <c r="Q129" s="518"/>
      <c r="R129" s="518"/>
      <c r="S129" s="518"/>
      <c r="T129" s="518"/>
      <c r="U129" s="518"/>
      <c r="V129" s="518"/>
      <c r="W129" s="518"/>
      <c r="X129" s="518"/>
      <c r="Y129" s="518"/>
      <c r="Z129" s="518"/>
      <c r="AA129" s="518"/>
      <c r="AB129" s="518"/>
      <c r="AC129" s="518"/>
      <c r="AD129" s="518"/>
      <c r="AE129" s="518"/>
      <c r="AF129" s="518"/>
      <c r="AG129" s="518"/>
      <c r="AH129" s="518"/>
      <c r="AI129" s="518"/>
      <c r="AJ129" s="518"/>
      <c r="AK129" s="518"/>
      <c r="AL129" s="518"/>
      <c r="AM129" s="518"/>
      <c r="AN129" s="518"/>
      <c r="AO129" s="518"/>
      <c r="AP129" s="518"/>
      <c r="AQ129" s="518"/>
      <c r="AR129" s="518"/>
      <c r="AS129" s="518"/>
      <c r="AT129" s="518"/>
      <c r="AU129" s="518"/>
      <c r="AV129" s="518"/>
      <c r="AW129" s="518"/>
      <c r="AX129" s="518"/>
      <c r="AY129" s="518"/>
      <c r="AZ129" s="518"/>
      <c r="BA129" s="518"/>
      <c r="BB129" s="518"/>
      <c r="BC129" s="518"/>
      <c r="BD129" s="518"/>
      <c r="BE129" s="518"/>
    </row>
    <row r="130" spans="1:57" ht="12.75" customHeight="1">
      <c r="A130" s="518"/>
      <c r="B130" s="518"/>
      <c r="C130" s="518"/>
      <c r="D130" s="518"/>
      <c r="E130" s="518"/>
      <c r="F130" s="518"/>
      <c r="G130" s="518"/>
      <c r="H130" s="518"/>
      <c r="I130" s="518"/>
      <c r="J130" s="518"/>
      <c r="K130" s="518"/>
      <c r="L130" s="518"/>
      <c r="M130" s="518"/>
      <c r="N130" s="518"/>
      <c r="O130" s="518"/>
      <c r="P130" s="518"/>
      <c r="Q130" s="518"/>
      <c r="R130" s="518"/>
      <c r="S130" s="518"/>
      <c r="T130" s="518"/>
      <c r="U130" s="518"/>
      <c r="V130" s="518"/>
      <c r="W130" s="518"/>
      <c r="X130" s="518"/>
      <c r="Y130" s="518"/>
      <c r="Z130" s="518"/>
      <c r="AA130" s="518"/>
      <c r="AB130" s="518"/>
      <c r="AC130" s="518"/>
      <c r="AD130" s="518"/>
      <c r="AE130" s="518"/>
      <c r="AF130" s="518"/>
      <c r="AG130" s="518"/>
      <c r="AH130" s="518"/>
      <c r="AI130" s="518"/>
      <c r="AJ130" s="518"/>
      <c r="AK130" s="518"/>
      <c r="AL130" s="518"/>
      <c r="AM130" s="518"/>
      <c r="AN130" s="518"/>
      <c r="AO130" s="518"/>
      <c r="AP130" s="518"/>
      <c r="AQ130" s="518"/>
      <c r="AR130" s="518"/>
      <c r="AS130" s="518"/>
      <c r="AT130" s="518"/>
      <c r="AU130" s="518"/>
      <c r="AV130" s="518"/>
      <c r="AW130" s="518"/>
      <c r="AX130" s="518"/>
      <c r="AY130" s="518"/>
      <c r="AZ130" s="518"/>
      <c r="BA130" s="518"/>
      <c r="BB130" s="518"/>
      <c r="BC130" s="518"/>
      <c r="BD130" s="518"/>
      <c r="BE130" s="518"/>
    </row>
    <row r="131" spans="1:57" ht="12.75" customHeight="1">
      <c r="A131" s="518"/>
      <c r="B131" s="518"/>
      <c r="C131" s="518"/>
      <c r="D131" s="518"/>
      <c r="E131" s="518"/>
      <c r="F131" s="518"/>
      <c r="G131" s="518"/>
      <c r="H131" s="518"/>
      <c r="I131" s="518"/>
      <c r="J131" s="518"/>
      <c r="K131" s="518"/>
      <c r="L131" s="518"/>
      <c r="M131" s="518"/>
      <c r="N131" s="518"/>
      <c r="O131" s="518"/>
      <c r="P131" s="518"/>
      <c r="Q131" s="518"/>
      <c r="R131" s="518"/>
      <c r="S131" s="518"/>
      <c r="T131" s="518"/>
      <c r="U131" s="518"/>
      <c r="V131" s="518"/>
      <c r="W131" s="518"/>
      <c r="X131" s="518"/>
      <c r="Y131" s="518"/>
      <c r="Z131" s="518"/>
      <c r="AA131" s="518"/>
      <c r="AB131" s="518"/>
      <c r="AC131" s="518"/>
      <c r="AD131" s="518"/>
      <c r="AE131" s="518"/>
      <c r="AF131" s="518"/>
      <c r="AG131" s="518"/>
      <c r="AH131" s="518"/>
      <c r="AI131" s="518"/>
      <c r="AJ131" s="518"/>
      <c r="AK131" s="518"/>
      <c r="AL131" s="518"/>
      <c r="AM131" s="518"/>
      <c r="AN131" s="518"/>
      <c r="AO131" s="518"/>
      <c r="AP131" s="518"/>
      <c r="AQ131" s="518"/>
      <c r="AR131" s="518"/>
      <c r="AS131" s="518"/>
      <c r="AT131" s="518"/>
      <c r="AU131" s="518"/>
      <c r="AV131" s="518"/>
      <c r="AW131" s="518"/>
      <c r="AX131" s="518"/>
      <c r="AY131" s="518"/>
      <c r="AZ131" s="518"/>
      <c r="BA131" s="518"/>
      <c r="BB131" s="518"/>
      <c r="BC131" s="518"/>
      <c r="BD131" s="518"/>
      <c r="BE131" s="518"/>
    </row>
    <row r="132" spans="1:57" ht="12.75" customHeight="1">
      <c r="A132" s="518"/>
      <c r="B132" s="518"/>
      <c r="C132" s="518"/>
      <c r="D132" s="518"/>
      <c r="E132" s="518"/>
      <c r="F132" s="518"/>
      <c r="G132" s="518"/>
      <c r="H132" s="518"/>
      <c r="I132" s="518"/>
      <c r="J132" s="518"/>
      <c r="K132" s="518"/>
      <c r="L132" s="518"/>
      <c r="M132" s="518"/>
      <c r="N132" s="518"/>
      <c r="O132" s="518"/>
      <c r="P132" s="518"/>
      <c r="Q132" s="518"/>
      <c r="R132" s="518"/>
      <c r="S132" s="518"/>
      <c r="T132" s="518"/>
      <c r="U132" s="518"/>
      <c r="V132" s="518"/>
      <c r="W132" s="518"/>
      <c r="X132" s="518"/>
      <c r="Y132" s="518"/>
      <c r="Z132" s="518"/>
      <c r="AA132" s="518"/>
      <c r="AB132" s="518"/>
      <c r="AC132" s="518"/>
      <c r="AD132" s="518"/>
      <c r="AE132" s="518"/>
      <c r="AF132" s="518"/>
      <c r="AG132" s="518"/>
      <c r="AH132" s="518"/>
      <c r="AI132" s="518"/>
      <c r="AJ132" s="518"/>
      <c r="AK132" s="518"/>
      <c r="AL132" s="518"/>
      <c r="AM132" s="518"/>
      <c r="AN132" s="518"/>
      <c r="AO132" s="518"/>
      <c r="AP132" s="518"/>
      <c r="AQ132" s="518"/>
      <c r="AR132" s="518"/>
      <c r="AS132" s="518"/>
      <c r="AT132" s="518"/>
      <c r="AU132" s="518"/>
      <c r="AV132" s="518"/>
      <c r="AW132" s="518"/>
      <c r="AX132" s="518"/>
      <c r="AY132" s="518"/>
      <c r="AZ132" s="518"/>
      <c r="BA132" s="518"/>
      <c r="BB132" s="518"/>
      <c r="BC132" s="518"/>
      <c r="BD132" s="518"/>
      <c r="BE132" s="518"/>
    </row>
    <row r="133" spans="1:57" ht="12.75" customHeight="1">
      <c r="A133" s="518"/>
      <c r="B133" s="518"/>
      <c r="C133" s="518"/>
      <c r="D133" s="518"/>
      <c r="E133" s="518"/>
      <c r="F133" s="518"/>
      <c r="G133" s="518"/>
      <c r="H133" s="518"/>
      <c r="I133" s="518"/>
      <c r="J133" s="518"/>
      <c r="K133" s="518"/>
      <c r="L133" s="518"/>
      <c r="M133" s="518"/>
      <c r="N133" s="518"/>
      <c r="O133" s="518"/>
      <c r="P133" s="518"/>
      <c r="Q133" s="518"/>
      <c r="R133" s="518"/>
      <c r="S133" s="518"/>
      <c r="T133" s="518"/>
      <c r="U133" s="518"/>
      <c r="V133" s="518"/>
      <c r="W133" s="518"/>
      <c r="X133" s="518"/>
      <c r="Y133" s="518"/>
      <c r="Z133" s="518"/>
      <c r="AA133" s="518"/>
      <c r="AB133" s="518"/>
      <c r="AC133" s="518"/>
      <c r="AD133" s="518"/>
      <c r="AE133" s="518"/>
      <c r="AF133" s="518"/>
      <c r="AG133" s="518"/>
      <c r="AH133" s="518"/>
      <c r="AI133" s="518"/>
      <c r="AJ133" s="518"/>
      <c r="AK133" s="518"/>
      <c r="AL133" s="518"/>
      <c r="AM133" s="518"/>
      <c r="AN133" s="518"/>
      <c r="AO133" s="518"/>
      <c r="AP133" s="518"/>
      <c r="AQ133" s="518"/>
      <c r="AR133" s="518"/>
      <c r="AS133" s="518"/>
      <c r="AT133" s="518"/>
      <c r="AU133" s="518"/>
      <c r="AV133" s="518"/>
      <c r="AW133" s="518"/>
      <c r="AX133" s="518"/>
      <c r="AY133" s="518"/>
      <c r="AZ133" s="518"/>
      <c r="BA133" s="518"/>
      <c r="BB133" s="518"/>
      <c r="BC133" s="518"/>
      <c r="BD133" s="518"/>
      <c r="BE133" s="518"/>
    </row>
    <row r="134" spans="1:57" ht="12.75" customHeight="1">
      <c r="A134" s="518"/>
      <c r="B134" s="518"/>
      <c r="C134" s="518"/>
      <c r="D134" s="518"/>
      <c r="E134" s="518"/>
      <c r="F134" s="518"/>
      <c r="G134" s="518"/>
      <c r="H134" s="518"/>
      <c r="I134" s="518"/>
      <c r="J134" s="518"/>
      <c r="K134" s="518"/>
      <c r="L134" s="518"/>
      <c r="M134" s="518"/>
      <c r="N134" s="518"/>
      <c r="O134" s="518"/>
      <c r="P134" s="518"/>
      <c r="Q134" s="518"/>
      <c r="R134" s="518"/>
      <c r="S134" s="518"/>
      <c r="T134" s="518"/>
      <c r="U134" s="518"/>
      <c r="V134" s="518"/>
      <c r="W134" s="518"/>
      <c r="X134" s="518"/>
      <c r="Y134" s="518"/>
      <c r="Z134" s="518"/>
      <c r="AA134" s="518"/>
      <c r="AB134" s="518"/>
      <c r="AC134" s="518"/>
      <c r="AD134" s="518"/>
      <c r="AE134" s="518"/>
      <c r="AF134" s="518"/>
      <c r="AG134" s="518"/>
      <c r="AH134" s="518"/>
      <c r="AI134" s="518"/>
      <c r="AJ134" s="518"/>
      <c r="AK134" s="518"/>
      <c r="AL134" s="518"/>
      <c r="AM134" s="518"/>
      <c r="AN134" s="518"/>
      <c r="AO134" s="518"/>
      <c r="AP134" s="518"/>
      <c r="AQ134" s="518"/>
      <c r="AR134" s="518"/>
      <c r="AS134" s="518"/>
      <c r="AT134" s="518"/>
      <c r="AU134" s="518"/>
      <c r="AV134" s="518"/>
      <c r="AW134" s="518"/>
      <c r="AX134" s="518"/>
      <c r="AY134" s="518"/>
      <c r="AZ134" s="518"/>
      <c r="BA134" s="518"/>
      <c r="BB134" s="518"/>
      <c r="BC134" s="518"/>
      <c r="BD134" s="518"/>
      <c r="BE134" s="518"/>
    </row>
    <row r="135" spans="1:57" ht="12.75" customHeight="1">
      <c r="A135" s="518"/>
      <c r="B135" s="518"/>
      <c r="C135" s="518"/>
      <c r="D135" s="518"/>
      <c r="E135" s="518"/>
      <c r="F135" s="518"/>
      <c r="G135" s="518"/>
      <c r="H135" s="518"/>
      <c r="I135" s="518"/>
      <c r="J135" s="518"/>
      <c r="K135" s="518"/>
      <c r="L135" s="518"/>
      <c r="M135" s="518"/>
      <c r="N135" s="518"/>
      <c r="O135" s="518"/>
      <c r="P135" s="518"/>
      <c r="Q135" s="518"/>
      <c r="R135" s="518"/>
      <c r="S135" s="518"/>
      <c r="T135" s="518"/>
      <c r="U135" s="518"/>
      <c r="V135" s="518"/>
      <c r="W135" s="518"/>
      <c r="X135" s="518"/>
      <c r="Y135" s="518"/>
      <c r="Z135" s="518"/>
      <c r="AA135" s="518"/>
      <c r="AB135" s="518"/>
      <c r="AC135" s="518"/>
      <c r="AD135" s="518"/>
      <c r="AE135" s="518"/>
      <c r="AF135" s="518"/>
      <c r="AG135" s="518"/>
      <c r="AH135" s="518"/>
      <c r="AI135" s="518"/>
      <c r="AJ135" s="518"/>
      <c r="AK135" s="518"/>
      <c r="AL135" s="518"/>
      <c r="AM135" s="518"/>
      <c r="AN135" s="518"/>
      <c r="AO135" s="518"/>
      <c r="AP135" s="518"/>
      <c r="AQ135" s="518"/>
      <c r="AR135" s="518"/>
      <c r="AS135" s="518"/>
      <c r="AT135" s="518"/>
      <c r="AU135" s="518"/>
      <c r="AV135" s="518"/>
      <c r="AW135" s="518"/>
      <c r="AX135" s="518"/>
      <c r="AY135" s="518"/>
      <c r="AZ135" s="518"/>
      <c r="BA135" s="518"/>
      <c r="BB135" s="518"/>
      <c r="BC135" s="518"/>
      <c r="BD135" s="518"/>
      <c r="BE135" s="518"/>
    </row>
    <row r="136" spans="1:57" ht="12.75" customHeight="1">
      <c r="A136" s="518"/>
      <c r="B136" s="518"/>
      <c r="C136" s="518"/>
      <c r="D136" s="518"/>
      <c r="E136" s="518"/>
      <c r="F136" s="518"/>
      <c r="G136" s="518"/>
      <c r="H136" s="518"/>
      <c r="I136" s="518"/>
      <c r="J136" s="518"/>
      <c r="K136" s="518"/>
      <c r="L136" s="518"/>
      <c r="M136" s="518"/>
      <c r="N136" s="518"/>
      <c r="O136" s="518"/>
      <c r="P136" s="518"/>
      <c r="Q136" s="518"/>
      <c r="R136" s="518"/>
      <c r="S136" s="518"/>
      <c r="T136" s="518"/>
      <c r="U136" s="518"/>
      <c r="V136" s="518"/>
      <c r="W136" s="518"/>
      <c r="X136" s="518"/>
      <c r="Y136" s="518"/>
      <c r="Z136" s="518"/>
      <c r="AA136" s="518"/>
      <c r="AB136" s="518"/>
      <c r="AC136" s="518"/>
      <c r="AD136" s="518"/>
      <c r="AE136" s="518"/>
      <c r="AF136" s="518"/>
      <c r="AG136" s="518"/>
      <c r="AH136" s="518"/>
      <c r="AI136" s="518"/>
      <c r="AJ136" s="518"/>
      <c r="AK136" s="518"/>
      <c r="AL136" s="518"/>
      <c r="AM136" s="518"/>
      <c r="AN136" s="518"/>
      <c r="AO136" s="518"/>
      <c r="AP136" s="518"/>
      <c r="AQ136" s="518"/>
      <c r="AR136" s="518"/>
      <c r="AS136" s="518"/>
      <c r="AT136" s="518"/>
      <c r="AU136" s="518"/>
      <c r="AV136" s="518"/>
      <c r="AW136" s="518"/>
      <c r="AX136" s="518"/>
      <c r="AY136" s="518"/>
      <c r="AZ136" s="518"/>
      <c r="BA136" s="518"/>
      <c r="BB136" s="518"/>
      <c r="BC136" s="518"/>
      <c r="BD136" s="518"/>
      <c r="BE136" s="518"/>
    </row>
    <row r="137" spans="1:57" ht="12.75" customHeight="1">
      <c r="A137" s="518"/>
      <c r="B137" s="518"/>
      <c r="C137" s="518"/>
      <c r="D137" s="518"/>
      <c r="E137" s="518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Q137" s="518"/>
      <c r="R137" s="518"/>
      <c r="S137" s="518"/>
      <c r="T137" s="518"/>
      <c r="U137" s="518"/>
      <c r="V137" s="518"/>
      <c r="W137" s="518"/>
      <c r="X137" s="518"/>
      <c r="Y137" s="518"/>
      <c r="Z137" s="518"/>
      <c r="AA137" s="518"/>
      <c r="AB137" s="518"/>
      <c r="AC137" s="518"/>
      <c r="AD137" s="518"/>
      <c r="AE137" s="518"/>
      <c r="AF137" s="518"/>
      <c r="AG137" s="518"/>
      <c r="AH137" s="518"/>
      <c r="AI137" s="518"/>
      <c r="AJ137" s="518"/>
      <c r="AK137" s="518"/>
      <c r="AL137" s="518"/>
      <c r="AM137" s="518"/>
      <c r="AN137" s="518"/>
      <c r="AO137" s="518"/>
      <c r="AP137" s="518"/>
      <c r="AQ137" s="518"/>
      <c r="AR137" s="518"/>
      <c r="AS137" s="518"/>
      <c r="AT137" s="518"/>
      <c r="AU137" s="518"/>
      <c r="AV137" s="518"/>
      <c r="AW137" s="518"/>
      <c r="AX137" s="518"/>
      <c r="AY137" s="518"/>
      <c r="AZ137" s="518"/>
      <c r="BA137" s="518"/>
      <c r="BB137" s="518"/>
      <c r="BC137" s="518"/>
      <c r="BD137" s="518"/>
      <c r="BE137" s="518"/>
    </row>
    <row r="138" spans="1:57" ht="12.75" customHeight="1">
      <c r="A138" s="518"/>
      <c r="B138" s="518"/>
      <c r="C138" s="518"/>
      <c r="D138" s="518"/>
      <c r="E138" s="518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Q138" s="518"/>
      <c r="R138" s="518"/>
      <c r="S138" s="518"/>
      <c r="T138" s="518"/>
      <c r="U138" s="518"/>
      <c r="V138" s="518"/>
      <c r="W138" s="518"/>
      <c r="X138" s="518"/>
      <c r="Y138" s="518"/>
      <c r="Z138" s="518"/>
      <c r="AA138" s="518"/>
      <c r="AB138" s="518"/>
      <c r="AC138" s="518"/>
      <c r="AD138" s="518"/>
      <c r="AE138" s="518"/>
      <c r="AF138" s="518"/>
      <c r="AG138" s="518"/>
      <c r="AH138" s="518"/>
      <c r="AI138" s="518"/>
      <c r="AJ138" s="518"/>
      <c r="AK138" s="518"/>
      <c r="AL138" s="518"/>
      <c r="AM138" s="518"/>
      <c r="AN138" s="518"/>
      <c r="AO138" s="518"/>
      <c r="AP138" s="518"/>
      <c r="AQ138" s="518"/>
      <c r="AR138" s="518"/>
      <c r="AS138" s="518"/>
      <c r="AT138" s="518"/>
      <c r="AU138" s="518"/>
      <c r="AV138" s="518"/>
      <c r="AW138" s="518"/>
      <c r="AX138" s="518"/>
      <c r="AY138" s="518"/>
      <c r="AZ138" s="518"/>
      <c r="BA138" s="518"/>
      <c r="BB138" s="518"/>
      <c r="BC138" s="518"/>
      <c r="BD138" s="518"/>
      <c r="BE138" s="518"/>
    </row>
    <row r="139" spans="1:57" ht="12.75" customHeight="1">
      <c r="A139" s="518"/>
      <c r="B139" s="518"/>
      <c r="C139" s="518"/>
      <c r="D139" s="518"/>
      <c r="E139" s="518"/>
      <c r="F139" s="518"/>
      <c r="G139" s="518"/>
      <c r="H139" s="518"/>
      <c r="I139" s="518"/>
      <c r="J139" s="518"/>
      <c r="K139" s="518"/>
      <c r="L139" s="518"/>
      <c r="M139" s="518"/>
      <c r="N139" s="518"/>
      <c r="O139" s="518"/>
      <c r="P139" s="518"/>
      <c r="Q139" s="518"/>
      <c r="R139" s="518"/>
      <c r="S139" s="518"/>
      <c r="T139" s="518"/>
      <c r="U139" s="518"/>
      <c r="V139" s="518"/>
      <c r="W139" s="518"/>
      <c r="X139" s="518"/>
      <c r="Y139" s="518"/>
      <c r="Z139" s="518"/>
      <c r="AA139" s="518"/>
      <c r="AB139" s="518"/>
      <c r="AC139" s="518"/>
      <c r="AD139" s="518"/>
      <c r="AE139" s="518"/>
      <c r="AF139" s="518"/>
      <c r="AG139" s="518"/>
      <c r="AH139" s="518"/>
      <c r="AI139" s="518"/>
      <c r="AJ139" s="518"/>
      <c r="AK139" s="518"/>
      <c r="AL139" s="518"/>
      <c r="AM139" s="518"/>
      <c r="AN139" s="518"/>
      <c r="AO139" s="518"/>
      <c r="AP139" s="518"/>
      <c r="AQ139" s="518"/>
      <c r="AR139" s="518"/>
      <c r="AS139" s="518"/>
      <c r="AT139" s="518"/>
      <c r="AU139" s="518"/>
      <c r="AV139" s="518"/>
      <c r="AW139" s="518"/>
      <c r="AX139" s="518"/>
      <c r="AY139" s="518"/>
      <c r="AZ139" s="518"/>
      <c r="BA139" s="518"/>
      <c r="BB139" s="518"/>
      <c r="BC139" s="518"/>
      <c r="BD139" s="518"/>
      <c r="BE139" s="518"/>
    </row>
    <row r="140" spans="1:57" ht="12.75" customHeight="1">
      <c r="A140" s="518"/>
      <c r="B140" s="518"/>
      <c r="C140" s="518"/>
      <c r="D140" s="518"/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518"/>
      <c r="P140" s="518"/>
      <c r="Q140" s="518"/>
      <c r="R140" s="518"/>
      <c r="S140" s="518"/>
      <c r="T140" s="518"/>
      <c r="U140" s="518"/>
      <c r="V140" s="518"/>
      <c r="W140" s="518"/>
      <c r="X140" s="518"/>
      <c r="Y140" s="518"/>
      <c r="Z140" s="518"/>
      <c r="AA140" s="518"/>
      <c r="AB140" s="518"/>
      <c r="AC140" s="518"/>
      <c r="AD140" s="518"/>
      <c r="AE140" s="518"/>
      <c r="AF140" s="518"/>
      <c r="AG140" s="518"/>
      <c r="AH140" s="518"/>
      <c r="AI140" s="518"/>
      <c r="AJ140" s="518"/>
      <c r="AK140" s="518"/>
      <c r="AL140" s="518"/>
      <c r="AM140" s="518"/>
      <c r="AN140" s="518"/>
      <c r="AO140" s="518"/>
      <c r="AP140" s="518"/>
      <c r="AQ140" s="518"/>
      <c r="AR140" s="518"/>
      <c r="AS140" s="518"/>
      <c r="AT140" s="518"/>
      <c r="AU140" s="518"/>
      <c r="AV140" s="518"/>
      <c r="AW140" s="518"/>
      <c r="AX140" s="518"/>
      <c r="AY140" s="518"/>
      <c r="AZ140" s="518"/>
      <c r="BA140" s="518"/>
      <c r="BB140" s="518"/>
      <c r="BC140" s="518"/>
      <c r="BD140" s="518"/>
      <c r="BE140" s="518"/>
    </row>
    <row r="141" spans="1:57" ht="12.75" customHeight="1">
      <c r="A141" s="518"/>
      <c r="B141" s="518"/>
      <c r="C141" s="518"/>
      <c r="D141" s="518"/>
      <c r="E141" s="518"/>
      <c r="F141" s="518"/>
      <c r="G141" s="518"/>
      <c r="H141" s="518"/>
      <c r="I141" s="518"/>
      <c r="J141" s="518"/>
      <c r="K141" s="518"/>
      <c r="L141" s="518"/>
      <c r="M141" s="518"/>
      <c r="N141" s="518"/>
      <c r="O141" s="518"/>
      <c r="P141" s="518"/>
      <c r="Q141" s="518"/>
      <c r="R141" s="518"/>
      <c r="S141" s="518"/>
      <c r="T141" s="518"/>
      <c r="U141" s="518"/>
      <c r="V141" s="518"/>
      <c r="W141" s="518"/>
      <c r="X141" s="518"/>
      <c r="Y141" s="518"/>
      <c r="Z141" s="518"/>
      <c r="AA141" s="518"/>
      <c r="AB141" s="518"/>
      <c r="AC141" s="518"/>
      <c r="AD141" s="518"/>
      <c r="AE141" s="518"/>
      <c r="AF141" s="518"/>
      <c r="AG141" s="518"/>
      <c r="AH141" s="518"/>
      <c r="AI141" s="518"/>
      <c r="AJ141" s="518"/>
      <c r="AK141" s="518"/>
      <c r="AL141" s="518"/>
      <c r="AM141" s="518"/>
      <c r="AN141" s="518"/>
      <c r="AO141" s="518"/>
      <c r="AP141" s="518"/>
      <c r="AQ141" s="518"/>
      <c r="AR141" s="518"/>
      <c r="AS141" s="518"/>
      <c r="AT141" s="518"/>
      <c r="AU141" s="518"/>
      <c r="AV141" s="518"/>
      <c r="AW141" s="518"/>
      <c r="AX141" s="518"/>
      <c r="AY141" s="518"/>
      <c r="AZ141" s="518"/>
      <c r="BA141" s="518"/>
      <c r="BB141" s="518"/>
      <c r="BC141" s="518"/>
      <c r="BD141" s="518"/>
      <c r="BE141" s="518"/>
    </row>
    <row r="142" spans="1:57" ht="12.75" customHeight="1">
      <c r="A142" s="518"/>
      <c r="B142" s="518"/>
      <c r="C142" s="518"/>
      <c r="D142" s="518"/>
      <c r="E142" s="518"/>
      <c r="F142" s="518"/>
      <c r="G142" s="518"/>
      <c r="H142" s="518"/>
      <c r="I142" s="518"/>
      <c r="J142" s="518"/>
      <c r="K142" s="518"/>
      <c r="L142" s="518"/>
      <c r="M142" s="518"/>
      <c r="N142" s="518"/>
      <c r="O142" s="518"/>
      <c r="P142" s="518"/>
      <c r="Q142" s="518"/>
      <c r="R142" s="518"/>
      <c r="S142" s="518"/>
      <c r="T142" s="518"/>
      <c r="U142" s="518"/>
      <c r="V142" s="518"/>
      <c r="W142" s="518"/>
      <c r="X142" s="518"/>
      <c r="Y142" s="518"/>
      <c r="Z142" s="518"/>
      <c r="AA142" s="518"/>
      <c r="AB142" s="518"/>
      <c r="AC142" s="518"/>
      <c r="AD142" s="518"/>
      <c r="AE142" s="518"/>
      <c r="AF142" s="518"/>
      <c r="AG142" s="518"/>
      <c r="AH142" s="518"/>
      <c r="AI142" s="518"/>
      <c r="AJ142" s="518"/>
      <c r="AK142" s="518"/>
      <c r="AL142" s="518"/>
      <c r="AM142" s="518"/>
      <c r="AN142" s="518"/>
      <c r="AO142" s="518"/>
      <c r="AP142" s="518"/>
      <c r="AQ142" s="518"/>
      <c r="AR142" s="518"/>
      <c r="AS142" s="518"/>
      <c r="AT142" s="518"/>
      <c r="AU142" s="518"/>
      <c r="AV142" s="518"/>
      <c r="AW142" s="518"/>
      <c r="AX142" s="518"/>
      <c r="AY142" s="518"/>
      <c r="AZ142" s="518"/>
      <c r="BA142" s="518"/>
      <c r="BB142" s="518"/>
      <c r="BC142" s="518"/>
      <c r="BD142" s="518"/>
      <c r="BE142" s="518"/>
    </row>
    <row r="143" spans="1:57" ht="12.75" customHeight="1">
      <c r="A143" s="518"/>
      <c r="B143" s="518"/>
      <c r="C143" s="518"/>
      <c r="D143" s="518"/>
      <c r="E143" s="518"/>
      <c r="F143" s="518"/>
      <c r="G143" s="518"/>
      <c r="H143" s="518"/>
      <c r="I143" s="518"/>
      <c r="J143" s="518"/>
      <c r="K143" s="518"/>
      <c r="L143" s="518"/>
      <c r="M143" s="518"/>
      <c r="N143" s="518"/>
      <c r="O143" s="518"/>
      <c r="P143" s="518"/>
      <c r="Q143" s="518"/>
      <c r="R143" s="518"/>
      <c r="S143" s="518"/>
      <c r="T143" s="518"/>
      <c r="U143" s="518"/>
      <c r="V143" s="518"/>
      <c r="W143" s="518"/>
      <c r="X143" s="518"/>
      <c r="Y143" s="518"/>
      <c r="Z143" s="518"/>
      <c r="AA143" s="518"/>
      <c r="AB143" s="518"/>
      <c r="AC143" s="518"/>
      <c r="AD143" s="518"/>
      <c r="AE143" s="518"/>
      <c r="AF143" s="518"/>
      <c r="AG143" s="518"/>
      <c r="AH143" s="518"/>
      <c r="AI143" s="518"/>
      <c r="AJ143" s="518"/>
      <c r="AK143" s="518"/>
      <c r="AL143" s="518"/>
      <c r="AM143" s="518"/>
      <c r="AN143" s="518"/>
      <c r="AO143" s="518"/>
      <c r="AP143" s="518"/>
      <c r="AQ143" s="518"/>
      <c r="AR143" s="518"/>
      <c r="AS143" s="518"/>
      <c r="AT143" s="518"/>
      <c r="AU143" s="518"/>
      <c r="AV143" s="518"/>
      <c r="AW143" s="518"/>
      <c r="AX143" s="518"/>
      <c r="AY143" s="518"/>
      <c r="AZ143" s="518"/>
      <c r="BA143" s="518"/>
      <c r="BB143" s="518"/>
      <c r="BC143" s="518"/>
      <c r="BD143" s="518"/>
      <c r="BE143" s="518"/>
    </row>
    <row r="144" spans="1:57" ht="12.75" customHeight="1">
      <c r="A144" s="518"/>
      <c r="B144" s="518"/>
      <c r="C144" s="518"/>
      <c r="D144" s="518"/>
      <c r="E144" s="518"/>
      <c r="F144" s="518"/>
      <c r="G144" s="518"/>
      <c r="H144" s="518"/>
      <c r="I144" s="518"/>
      <c r="J144" s="518"/>
      <c r="K144" s="518"/>
      <c r="L144" s="518"/>
      <c r="M144" s="518"/>
      <c r="N144" s="518"/>
      <c r="O144" s="518"/>
      <c r="P144" s="518"/>
      <c r="Q144" s="518"/>
      <c r="R144" s="518"/>
      <c r="S144" s="518"/>
      <c r="T144" s="518"/>
      <c r="U144" s="518"/>
      <c r="V144" s="518"/>
      <c r="W144" s="518"/>
      <c r="X144" s="518"/>
      <c r="Y144" s="518"/>
      <c r="Z144" s="518"/>
      <c r="AA144" s="518"/>
      <c r="AB144" s="518"/>
      <c r="AC144" s="518"/>
      <c r="AD144" s="518"/>
      <c r="AE144" s="518"/>
      <c r="AF144" s="518"/>
      <c r="AG144" s="518"/>
      <c r="AH144" s="518"/>
      <c r="AI144" s="518"/>
      <c r="AJ144" s="518"/>
      <c r="AK144" s="518"/>
      <c r="AL144" s="518"/>
      <c r="AM144" s="518"/>
      <c r="AN144" s="518"/>
      <c r="AO144" s="518"/>
      <c r="AP144" s="518"/>
      <c r="AQ144" s="518"/>
      <c r="AR144" s="518"/>
      <c r="AS144" s="518"/>
      <c r="AT144" s="518"/>
      <c r="AU144" s="518"/>
      <c r="AV144" s="518"/>
      <c r="AW144" s="518"/>
      <c r="AX144" s="518"/>
      <c r="AY144" s="518"/>
      <c r="AZ144" s="518"/>
      <c r="BA144" s="518"/>
      <c r="BB144" s="518"/>
      <c r="BC144" s="518"/>
      <c r="BD144" s="518"/>
      <c r="BE144" s="518"/>
    </row>
    <row r="145" spans="1:57" ht="12.75" customHeight="1">
      <c r="A145" s="518"/>
      <c r="B145" s="518"/>
      <c r="C145" s="518"/>
      <c r="D145" s="518"/>
      <c r="E145" s="518"/>
      <c r="F145" s="518"/>
      <c r="G145" s="518"/>
      <c r="H145" s="518"/>
      <c r="I145" s="518"/>
      <c r="J145" s="518"/>
      <c r="K145" s="518"/>
      <c r="L145" s="518"/>
      <c r="M145" s="518"/>
      <c r="N145" s="518"/>
      <c r="O145" s="518"/>
      <c r="P145" s="518"/>
      <c r="Q145" s="518"/>
      <c r="R145" s="518"/>
      <c r="S145" s="518"/>
      <c r="T145" s="518"/>
      <c r="U145" s="518"/>
      <c r="V145" s="518"/>
      <c r="W145" s="518"/>
      <c r="X145" s="518"/>
      <c r="Y145" s="518"/>
      <c r="Z145" s="518"/>
      <c r="AA145" s="518"/>
      <c r="AB145" s="518"/>
      <c r="AC145" s="518"/>
      <c r="AD145" s="518"/>
      <c r="AE145" s="518"/>
      <c r="AF145" s="518"/>
      <c r="AG145" s="518"/>
      <c r="AH145" s="518"/>
      <c r="AI145" s="518"/>
      <c r="AJ145" s="518"/>
      <c r="AK145" s="518"/>
      <c r="AL145" s="518"/>
      <c r="AM145" s="518"/>
      <c r="AN145" s="518"/>
      <c r="AO145" s="518"/>
      <c r="AP145" s="518"/>
      <c r="AQ145" s="518"/>
      <c r="AR145" s="518"/>
      <c r="AS145" s="518"/>
      <c r="AT145" s="518"/>
      <c r="AU145" s="518"/>
      <c r="AV145" s="518"/>
      <c r="AW145" s="518"/>
      <c r="AX145" s="518"/>
      <c r="AY145" s="518"/>
      <c r="AZ145" s="518"/>
      <c r="BA145" s="518"/>
      <c r="BB145" s="518"/>
      <c r="BC145" s="518"/>
      <c r="BD145" s="518"/>
      <c r="BE145" s="518"/>
    </row>
    <row r="146" spans="1:57" ht="12.75" customHeight="1">
      <c r="A146" s="518"/>
      <c r="B146" s="518"/>
      <c r="C146" s="518"/>
      <c r="D146" s="518"/>
      <c r="E146" s="518"/>
      <c r="F146" s="518"/>
      <c r="G146" s="518"/>
      <c r="H146" s="518"/>
      <c r="I146" s="518"/>
      <c r="J146" s="518"/>
      <c r="K146" s="518"/>
      <c r="L146" s="518"/>
      <c r="M146" s="518"/>
      <c r="N146" s="518"/>
      <c r="O146" s="518"/>
      <c r="P146" s="518"/>
      <c r="Q146" s="518"/>
      <c r="R146" s="518"/>
      <c r="S146" s="518"/>
      <c r="T146" s="518"/>
      <c r="U146" s="518"/>
      <c r="V146" s="518"/>
      <c r="W146" s="518"/>
      <c r="X146" s="518"/>
      <c r="Y146" s="518"/>
      <c r="Z146" s="518"/>
      <c r="AA146" s="518"/>
      <c r="AB146" s="518"/>
      <c r="AC146" s="518"/>
      <c r="AD146" s="518"/>
      <c r="AE146" s="518"/>
      <c r="AF146" s="518"/>
      <c r="AG146" s="518"/>
      <c r="AH146" s="518"/>
      <c r="AI146" s="518"/>
      <c r="AJ146" s="518"/>
      <c r="AK146" s="518"/>
      <c r="AL146" s="518"/>
      <c r="AM146" s="518"/>
      <c r="AN146" s="518"/>
      <c r="AO146" s="518"/>
      <c r="AP146" s="518"/>
      <c r="AQ146" s="518"/>
      <c r="AR146" s="518"/>
      <c r="AS146" s="518"/>
      <c r="AT146" s="518"/>
      <c r="AU146" s="518"/>
      <c r="AV146" s="518"/>
      <c r="AW146" s="518"/>
      <c r="AX146" s="518"/>
      <c r="AY146" s="518"/>
      <c r="AZ146" s="518"/>
      <c r="BA146" s="518"/>
      <c r="BB146" s="518"/>
      <c r="BC146" s="518"/>
      <c r="BD146" s="518"/>
      <c r="BE146" s="518"/>
    </row>
    <row r="147" spans="1:57" ht="12.75" customHeight="1">
      <c r="A147" s="518"/>
      <c r="B147" s="518"/>
      <c r="C147" s="518"/>
      <c r="D147" s="518"/>
      <c r="E147" s="518"/>
      <c r="F147" s="518"/>
      <c r="G147" s="518"/>
      <c r="H147" s="518"/>
      <c r="I147" s="518"/>
      <c r="J147" s="518"/>
      <c r="K147" s="518"/>
      <c r="L147" s="518"/>
      <c r="M147" s="518"/>
      <c r="N147" s="518"/>
      <c r="O147" s="518"/>
      <c r="P147" s="518"/>
      <c r="Q147" s="518"/>
      <c r="R147" s="518"/>
      <c r="S147" s="518"/>
      <c r="T147" s="518"/>
      <c r="U147" s="518"/>
      <c r="V147" s="518"/>
      <c r="W147" s="518"/>
      <c r="X147" s="518"/>
      <c r="Y147" s="518"/>
      <c r="Z147" s="518"/>
      <c r="AA147" s="518"/>
      <c r="AB147" s="518"/>
      <c r="AC147" s="518"/>
      <c r="AD147" s="518"/>
      <c r="AE147" s="518"/>
      <c r="AF147" s="518"/>
      <c r="AG147" s="518"/>
      <c r="AH147" s="518"/>
      <c r="AI147" s="518"/>
      <c r="AJ147" s="518"/>
      <c r="AK147" s="518"/>
      <c r="AL147" s="518"/>
      <c r="AM147" s="518"/>
      <c r="AN147" s="518"/>
      <c r="AO147" s="518"/>
      <c r="AP147" s="518"/>
      <c r="AQ147" s="518"/>
      <c r="AR147" s="518"/>
      <c r="AS147" s="518"/>
      <c r="AT147" s="518"/>
      <c r="AU147" s="518"/>
      <c r="AV147" s="518"/>
      <c r="AW147" s="518"/>
      <c r="AX147" s="518"/>
      <c r="AY147" s="518"/>
      <c r="AZ147" s="518"/>
      <c r="BA147" s="518"/>
      <c r="BB147" s="518"/>
      <c r="BC147" s="518"/>
      <c r="BD147" s="518"/>
      <c r="BE147" s="518"/>
    </row>
    <row r="148" spans="1:57" ht="12.75" customHeight="1">
      <c r="A148" s="518"/>
      <c r="B148" s="518"/>
      <c r="C148" s="518"/>
      <c r="D148" s="518"/>
      <c r="E148" s="518"/>
      <c r="F148" s="518"/>
      <c r="G148" s="518"/>
      <c r="H148" s="518"/>
      <c r="I148" s="518"/>
      <c r="J148" s="518"/>
      <c r="K148" s="518"/>
      <c r="L148" s="518"/>
      <c r="M148" s="518"/>
      <c r="N148" s="518"/>
      <c r="O148" s="518"/>
      <c r="P148" s="518"/>
      <c r="Q148" s="518"/>
      <c r="R148" s="518"/>
      <c r="S148" s="518"/>
      <c r="T148" s="518"/>
      <c r="U148" s="518"/>
      <c r="V148" s="518"/>
      <c r="W148" s="518"/>
      <c r="X148" s="518"/>
      <c r="Y148" s="518"/>
      <c r="Z148" s="518"/>
      <c r="AA148" s="518"/>
      <c r="AB148" s="518"/>
      <c r="AC148" s="518"/>
      <c r="AD148" s="518"/>
      <c r="AE148" s="518"/>
      <c r="AF148" s="518"/>
      <c r="AG148" s="518"/>
      <c r="AH148" s="518"/>
      <c r="AI148" s="518"/>
      <c r="AJ148" s="518"/>
      <c r="AK148" s="518"/>
      <c r="AL148" s="518"/>
      <c r="AM148" s="518"/>
      <c r="AN148" s="518"/>
      <c r="AO148" s="518"/>
      <c r="AP148" s="518"/>
      <c r="AQ148" s="518"/>
      <c r="AR148" s="518"/>
      <c r="AS148" s="518"/>
      <c r="AT148" s="518"/>
      <c r="AU148" s="518"/>
      <c r="AV148" s="518"/>
      <c r="AW148" s="518"/>
      <c r="AX148" s="518"/>
      <c r="AY148" s="518"/>
      <c r="AZ148" s="518"/>
      <c r="BA148" s="518"/>
      <c r="BB148" s="518"/>
      <c r="BC148" s="518"/>
      <c r="BD148" s="518"/>
      <c r="BE148" s="518"/>
    </row>
    <row r="149" spans="1:57" ht="12.75" customHeight="1">
      <c r="A149" s="518"/>
      <c r="B149" s="518"/>
      <c r="C149" s="518"/>
      <c r="D149" s="518"/>
      <c r="E149" s="518"/>
      <c r="F149" s="518"/>
      <c r="G149" s="518"/>
      <c r="H149" s="518"/>
      <c r="I149" s="518"/>
      <c r="J149" s="518"/>
      <c r="K149" s="518"/>
      <c r="L149" s="518"/>
      <c r="M149" s="518"/>
      <c r="N149" s="518"/>
      <c r="O149" s="518"/>
      <c r="P149" s="518"/>
      <c r="Q149" s="518"/>
      <c r="R149" s="518"/>
      <c r="S149" s="518"/>
      <c r="T149" s="518"/>
      <c r="U149" s="518"/>
      <c r="V149" s="518"/>
      <c r="W149" s="518"/>
      <c r="X149" s="518"/>
      <c r="Y149" s="518"/>
      <c r="Z149" s="518"/>
      <c r="AA149" s="518"/>
      <c r="AB149" s="518"/>
      <c r="AC149" s="518"/>
      <c r="AD149" s="518"/>
      <c r="AE149" s="518"/>
      <c r="AF149" s="518"/>
      <c r="AG149" s="518"/>
      <c r="AH149" s="518"/>
      <c r="AI149" s="518"/>
      <c r="AJ149" s="518"/>
      <c r="AK149" s="518"/>
      <c r="AL149" s="518"/>
      <c r="AM149" s="518"/>
      <c r="AN149" s="518"/>
      <c r="AO149" s="518"/>
      <c r="AP149" s="518"/>
      <c r="AQ149" s="518"/>
      <c r="AR149" s="518"/>
      <c r="AS149" s="518"/>
      <c r="AT149" s="518"/>
      <c r="AU149" s="518"/>
      <c r="AV149" s="518"/>
      <c r="AW149" s="518"/>
      <c r="AX149" s="518"/>
      <c r="AY149" s="518"/>
      <c r="AZ149" s="518"/>
      <c r="BA149" s="518"/>
      <c r="BB149" s="518"/>
      <c r="BC149" s="518"/>
      <c r="BD149" s="518"/>
      <c r="BE149" s="518"/>
    </row>
    <row r="150" spans="1:57" ht="12.75" customHeight="1">
      <c r="A150" s="518"/>
      <c r="B150" s="518"/>
      <c r="C150" s="518"/>
      <c r="D150" s="518"/>
      <c r="E150" s="518"/>
      <c r="F150" s="518"/>
      <c r="G150" s="518"/>
      <c r="H150" s="518"/>
      <c r="I150" s="518"/>
      <c r="J150" s="518"/>
      <c r="K150" s="518"/>
      <c r="L150" s="518"/>
      <c r="M150" s="518"/>
      <c r="N150" s="518"/>
      <c r="O150" s="518"/>
      <c r="P150" s="518"/>
      <c r="Q150" s="518"/>
      <c r="R150" s="518"/>
      <c r="S150" s="518"/>
      <c r="T150" s="518"/>
      <c r="U150" s="518"/>
      <c r="V150" s="518"/>
      <c r="W150" s="518"/>
      <c r="X150" s="518"/>
      <c r="Y150" s="518"/>
      <c r="Z150" s="518"/>
      <c r="AA150" s="518"/>
      <c r="AB150" s="518"/>
      <c r="AC150" s="518"/>
      <c r="AD150" s="518"/>
      <c r="AE150" s="518"/>
      <c r="AF150" s="518"/>
      <c r="AG150" s="518"/>
      <c r="AH150" s="518"/>
      <c r="AI150" s="518"/>
      <c r="AJ150" s="518"/>
      <c r="AK150" s="518"/>
      <c r="AL150" s="518"/>
      <c r="AM150" s="518"/>
      <c r="AN150" s="518"/>
      <c r="AO150" s="518"/>
      <c r="AP150" s="518"/>
      <c r="AQ150" s="518"/>
      <c r="AR150" s="518"/>
      <c r="AS150" s="518"/>
      <c r="AT150" s="518"/>
      <c r="AU150" s="518"/>
      <c r="AV150" s="518"/>
      <c r="AW150" s="518"/>
      <c r="AX150" s="518"/>
      <c r="AY150" s="518"/>
      <c r="AZ150" s="518"/>
      <c r="BA150" s="518"/>
      <c r="BB150" s="518"/>
      <c r="BC150" s="518"/>
      <c r="BD150" s="518"/>
      <c r="BE150" s="518"/>
    </row>
    <row r="151" spans="1:57" ht="12.75" customHeight="1">
      <c r="A151" s="518"/>
      <c r="B151" s="518"/>
      <c r="C151" s="518"/>
      <c r="D151" s="518"/>
      <c r="E151" s="518"/>
      <c r="F151" s="518"/>
      <c r="G151" s="518"/>
      <c r="H151" s="518"/>
      <c r="I151" s="518"/>
      <c r="J151" s="518"/>
      <c r="K151" s="518"/>
      <c r="L151" s="518"/>
      <c r="M151" s="518"/>
      <c r="N151" s="518"/>
      <c r="O151" s="518"/>
      <c r="P151" s="518"/>
      <c r="Q151" s="518"/>
      <c r="R151" s="518"/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518"/>
      <c r="AF151" s="518"/>
      <c r="AG151" s="518"/>
      <c r="AH151" s="518"/>
      <c r="AI151" s="518"/>
      <c r="AJ151" s="518"/>
      <c r="AK151" s="518"/>
      <c r="AL151" s="518"/>
      <c r="AM151" s="518"/>
      <c r="AN151" s="518"/>
      <c r="AO151" s="518"/>
      <c r="AP151" s="518"/>
      <c r="AQ151" s="518"/>
      <c r="AR151" s="518"/>
      <c r="AS151" s="518"/>
      <c r="AT151" s="518"/>
      <c r="AU151" s="518"/>
      <c r="AV151" s="518"/>
      <c r="AW151" s="518"/>
      <c r="AX151" s="518"/>
      <c r="AY151" s="518"/>
      <c r="AZ151" s="518"/>
      <c r="BA151" s="518"/>
      <c r="BB151" s="518"/>
      <c r="BC151" s="518"/>
      <c r="BD151" s="518"/>
      <c r="BE151" s="518"/>
    </row>
    <row r="152" spans="1:57" ht="12.75" customHeight="1">
      <c r="A152" s="518"/>
      <c r="B152" s="518"/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8"/>
      <c r="O152" s="518"/>
      <c r="P152" s="518"/>
      <c r="Q152" s="518"/>
      <c r="R152" s="518"/>
      <c r="S152" s="518"/>
      <c r="T152" s="518"/>
      <c r="U152" s="518"/>
      <c r="V152" s="518"/>
      <c r="W152" s="518"/>
      <c r="X152" s="518"/>
      <c r="Y152" s="518"/>
      <c r="Z152" s="518"/>
      <c r="AA152" s="518"/>
      <c r="AB152" s="518"/>
      <c r="AC152" s="518"/>
      <c r="AD152" s="518"/>
      <c r="AE152" s="518"/>
      <c r="AF152" s="518"/>
      <c r="AG152" s="518"/>
      <c r="AH152" s="518"/>
      <c r="AI152" s="518"/>
      <c r="AJ152" s="518"/>
      <c r="AK152" s="518"/>
      <c r="AL152" s="518"/>
      <c r="AM152" s="518"/>
      <c r="AN152" s="518"/>
      <c r="AO152" s="518"/>
      <c r="AP152" s="518"/>
      <c r="AQ152" s="518"/>
      <c r="AR152" s="518"/>
      <c r="AS152" s="518"/>
      <c r="AT152" s="518"/>
      <c r="AU152" s="518"/>
      <c r="AV152" s="518"/>
      <c r="AW152" s="518"/>
      <c r="AX152" s="518"/>
      <c r="AY152" s="518"/>
      <c r="AZ152" s="518"/>
      <c r="BA152" s="518"/>
      <c r="BB152" s="518"/>
      <c r="BC152" s="518"/>
      <c r="BD152" s="518"/>
      <c r="BE152" s="518"/>
    </row>
    <row r="153" spans="1:57" ht="12.75" customHeight="1">
      <c r="A153" s="518"/>
      <c r="B153" s="518"/>
      <c r="C153" s="518"/>
      <c r="D153" s="518"/>
      <c r="E153" s="518"/>
      <c r="F153" s="518"/>
      <c r="G153" s="518"/>
      <c r="H153" s="518"/>
      <c r="I153" s="518"/>
      <c r="J153" s="518"/>
      <c r="K153" s="518"/>
      <c r="L153" s="518"/>
      <c r="M153" s="518"/>
      <c r="N153" s="518"/>
      <c r="O153" s="518"/>
      <c r="P153" s="518"/>
      <c r="Q153" s="518"/>
      <c r="R153" s="518"/>
      <c r="S153" s="518"/>
      <c r="T153" s="518"/>
      <c r="U153" s="518"/>
      <c r="V153" s="518"/>
      <c r="W153" s="518"/>
      <c r="X153" s="518"/>
      <c r="Y153" s="518"/>
      <c r="Z153" s="518"/>
      <c r="AA153" s="518"/>
      <c r="AB153" s="518"/>
      <c r="AC153" s="518"/>
      <c r="AD153" s="518"/>
      <c r="AE153" s="518"/>
      <c r="AF153" s="518"/>
      <c r="AG153" s="518"/>
      <c r="AH153" s="518"/>
      <c r="AI153" s="518"/>
      <c r="AJ153" s="518"/>
      <c r="AK153" s="518"/>
      <c r="AL153" s="518"/>
      <c r="AM153" s="518"/>
      <c r="AN153" s="518"/>
      <c r="AO153" s="518"/>
      <c r="AP153" s="518"/>
      <c r="AQ153" s="518"/>
      <c r="AR153" s="518"/>
      <c r="AS153" s="518"/>
      <c r="AT153" s="518"/>
      <c r="AU153" s="518"/>
      <c r="AV153" s="518"/>
      <c r="AW153" s="518"/>
      <c r="AX153" s="518"/>
      <c r="AY153" s="518"/>
      <c r="AZ153" s="518"/>
      <c r="BA153" s="518"/>
      <c r="BB153" s="518"/>
      <c r="BC153" s="518"/>
      <c r="BD153" s="518"/>
      <c r="BE153" s="518"/>
    </row>
    <row r="154" spans="1:57" ht="12.75" customHeight="1">
      <c r="A154" s="518"/>
      <c r="B154" s="518"/>
      <c r="C154" s="518"/>
      <c r="D154" s="518"/>
      <c r="E154" s="518"/>
      <c r="F154" s="518"/>
      <c r="G154" s="518"/>
      <c r="H154" s="518"/>
      <c r="I154" s="518"/>
      <c r="J154" s="518"/>
      <c r="K154" s="518"/>
      <c r="L154" s="518"/>
      <c r="M154" s="518"/>
      <c r="N154" s="518"/>
      <c r="O154" s="518"/>
      <c r="P154" s="518"/>
      <c r="Q154" s="518"/>
      <c r="R154" s="518"/>
      <c r="S154" s="518"/>
      <c r="T154" s="518"/>
      <c r="U154" s="518"/>
      <c r="V154" s="518"/>
      <c r="W154" s="518"/>
      <c r="X154" s="518"/>
      <c r="Y154" s="518"/>
      <c r="Z154" s="518"/>
      <c r="AA154" s="518"/>
      <c r="AB154" s="518"/>
      <c r="AC154" s="518"/>
      <c r="AD154" s="518"/>
      <c r="AE154" s="518"/>
      <c r="AF154" s="518"/>
      <c r="AG154" s="518"/>
      <c r="AH154" s="518"/>
      <c r="AI154" s="518"/>
      <c r="AJ154" s="518"/>
      <c r="AK154" s="518"/>
      <c r="AL154" s="518"/>
      <c r="AM154" s="518"/>
      <c r="AN154" s="518"/>
      <c r="AO154" s="518"/>
      <c r="AP154" s="518"/>
      <c r="AQ154" s="518"/>
      <c r="AR154" s="518"/>
      <c r="AS154" s="518"/>
      <c r="AT154" s="518"/>
      <c r="AU154" s="518"/>
      <c r="AV154" s="518"/>
      <c r="AW154" s="518"/>
      <c r="AX154" s="518"/>
      <c r="AY154" s="518"/>
      <c r="AZ154" s="518"/>
      <c r="BA154" s="518"/>
      <c r="BB154" s="518"/>
      <c r="BC154" s="518"/>
      <c r="BD154" s="518"/>
      <c r="BE154" s="518"/>
    </row>
    <row r="155" spans="1:57" ht="12.75" customHeight="1">
      <c r="A155" s="518"/>
      <c r="B155" s="518"/>
      <c r="C155" s="518"/>
      <c r="D155" s="518"/>
      <c r="E155" s="518"/>
      <c r="F155" s="518"/>
      <c r="G155" s="518"/>
      <c r="H155" s="518"/>
      <c r="I155" s="518"/>
      <c r="J155" s="518"/>
      <c r="K155" s="518"/>
      <c r="L155" s="518"/>
      <c r="M155" s="518"/>
      <c r="N155" s="518"/>
      <c r="O155" s="518"/>
      <c r="P155" s="518"/>
      <c r="Q155" s="518"/>
      <c r="R155" s="518"/>
      <c r="S155" s="518"/>
      <c r="T155" s="518"/>
      <c r="U155" s="518"/>
      <c r="V155" s="518"/>
      <c r="W155" s="518"/>
      <c r="X155" s="518"/>
      <c r="Y155" s="518"/>
      <c r="Z155" s="518"/>
      <c r="AA155" s="518"/>
      <c r="AB155" s="518"/>
      <c r="AC155" s="518"/>
      <c r="AD155" s="518"/>
      <c r="AE155" s="518"/>
      <c r="AF155" s="518"/>
      <c r="AG155" s="518"/>
      <c r="AH155" s="518"/>
      <c r="AI155" s="518"/>
      <c r="AJ155" s="518"/>
      <c r="AK155" s="518"/>
      <c r="AL155" s="518"/>
      <c r="AM155" s="518"/>
      <c r="AN155" s="518"/>
      <c r="AO155" s="518"/>
      <c r="AP155" s="518"/>
      <c r="AQ155" s="518"/>
      <c r="AR155" s="518"/>
      <c r="AS155" s="518"/>
      <c r="AT155" s="518"/>
      <c r="AU155" s="518"/>
      <c r="AV155" s="518"/>
      <c r="AW155" s="518"/>
      <c r="AX155" s="518"/>
      <c r="AY155" s="518"/>
      <c r="AZ155" s="518"/>
      <c r="BA155" s="518"/>
      <c r="BB155" s="518"/>
      <c r="BC155" s="518"/>
      <c r="BD155" s="518"/>
      <c r="BE155" s="518"/>
    </row>
    <row r="156" spans="1:57" ht="12.75" customHeight="1">
      <c r="A156" s="518"/>
      <c r="B156" s="518"/>
      <c r="C156" s="518"/>
      <c r="D156" s="518"/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518"/>
      <c r="P156" s="518"/>
      <c r="Q156" s="518"/>
      <c r="R156" s="518"/>
      <c r="S156" s="518"/>
      <c r="T156" s="518"/>
      <c r="U156" s="518"/>
      <c r="V156" s="518"/>
      <c r="W156" s="518"/>
      <c r="X156" s="518"/>
      <c r="Y156" s="518"/>
      <c r="Z156" s="518"/>
      <c r="AA156" s="518"/>
      <c r="AB156" s="518"/>
      <c r="AC156" s="518"/>
      <c r="AD156" s="518"/>
      <c r="AE156" s="518"/>
      <c r="AF156" s="518"/>
      <c r="AG156" s="518"/>
      <c r="AH156" s="518"/>
      <c r="AI156" s="518"/>
      <c r="AJ156" s="518"/>
      <c r="AK156" s="518"/>
      <c r="AL156" s="518"/>
      <c r="AM156" s="518"/>
      <c r="AN156" s="518"/>
      <c r="AO156" s="518"/>
      <c r="AP156" s="518"/>
      <c r="AQ156" s="518"/>
      <c r="AR156" s="518"/>
      <c r="AS156" s="518"/>
      <c r="AT156" s="518"/>
      <c r="AU156" s="518"/>
      <c r="AV156" s="518"/>
      <c r="AW156" s="518"/>
      <c r="AX156" s="518"/>
      <c r="AY156" s="518"/>
      <c r="AZ156" s="518"/>
      <c r="BA156" s="518"/>
      <c r="BB156" s="518"/>
      <c r="BC156" s="518"/>
      <c r="BD156" s="518"/>
      <c r="BE156" s="518"/>
    </row>
    <row r="157" spans="1:57" ht="12.75" customHeight="1">
      <c r="A157" s="518"/>
      <c r="B157" s="518"/>
      <c r="C157" s="518"/>
      <c r="D157" s="518"/>
      <c r="E157" s="518"/>
      <c r="F157" s="518"/>
      <c r="G157" s="518"/>
      <c r="H157" s="518"/>
      <c r="I157" s="518"/>
      <c r="J157" s="518"/>
      <c r="K157" s="518"/>
      <c r="L157" s="518"/>
      <c r="M157" s="518"/>
      <c r="N157" s="518"/>
      <c r="O157" s="518"/>
      <c r="P157" s="518"/>
      <c r="Q157" s="518"/>
      <c r="R157" s="518"/>
      <c r="S157" s="518"/>
      <c r="T157" s="518"/>
      <c r="U157" s="518"/>
      <c r="V157" s="518"/>
      <c r="W157" s="518"/>
      <c r="X157" s="518"/>
      <c r="Y157" s="518"/>
      <c r="Z157" s="518"/>
      <c r="AA157" s="518"/>
      <c r="AB157" s="518"/>
      <c r="AC157" s="518"/>
      <c r="AD157" s="518"/>
      <c r="AE157" s="518"/>
      <c r="AF157" s="518"/>
      <c r="AG157" s="518"/>
      <c r="AH157" s="518"/>
      <c r="AI157" s="518"/>
      <c r="AJ157" s="518"/>
      <c r="AK157" s="518"/>
      <c r="AL157" s="518"/>
      <c r="AM157" s="518"/>
      <c r="AN157" s="518"/>
      <c r="AO157" s="518"/>
      <c r="AP157" s="518"/>
      <c r="AQ157" s="518"/>
      <c r="AR157" s="518"/>
      <c r="AS157" s="518"/>
      <c r="AT157" s="518"/>
      <c r="AU157" s="518"/>
      <c r="AV157" s="518"/>
      <c r="AW157" s="518"/>
      <c r="AX157" s="518"/>
      <c r="AY157" s="518"/>
      <c r="AZ157" s="518"/>
      <c r="BA157" s="518"/>
      <c r="BB157" s="518"/>
      <c r="BC157" s="518"/>
      <c r="BD157" s="518"/>
      <c r="BE157" s="518"/>
    </row>
    <row r="158" spans="1:57" ht="12.75" customHeight="1">
      <c r="A158" s="518"/>
      <c r="B158" s="518"/>
      <c r="C158" s="518"/>
      <c r="D158" s="518"/>
      <c r="E158" s="518"/>
      <c r="F158" s="518"/>
      <c r="G158" s="518"/>
      <c r="H158" s="518"/>
      <c r="I158" s="518"/>
      <c r="J158" s="518"/>
      <c r="K158" s="518"/>
      <c r="L158" s="518"/>
      <c r="M158" s="518"/>
      <c r="N158" s="518"/>
      <c r="O158" s="518"/>
      <c r="P158" s="518"/>
      <c r="Q158" s="518"/>
      <c r="R158" s="518"/>
      <c r="S158" s="518"/>
      <c r="T158" s="518"/>
      <c r="U158" s="518"/>
      <c r="V158" s="518"/>
      <c r="W158" s="518"/>
      <c r="X158" s="518"/>
      <c r="Y158" s="518"/>
      <c r="Z158" s="518"/>
      <c r="AA158" s="518"/>
      <c r="AB158" s="518"/>
      <c r="AC158" s="518"/>
      <c r="AD158" s="518"/>
      <c r="AE158" s="518"/>
      <c r="AF158" s="518"/>
      <c r="AG158" s="518"/>
      <c r="AH158" s="518"/>
      <c r="AI158" s="518"/>
      <c r="AJ158" s="518"/>
      <c r="AK158" s="518"/>
      <c r="AL158" s="518"/>
      <c r="AM158" s="518"/>
      <c r="AN158" s="518"/>
      <c r="AO158" s="518"/>
      <c r="AP158" s="518"/>
      <c r="AQ158" s="518"/>
      <c r="AR158" s="518"/>
      <c r="AS158" s="518"/>
      <c r="AT158" s="518"/>
      <c r="AU158" s="518"/>
      <c r="AV158" s="518"/>
      <c r="AW158" s="518"/>
      <c r="AX158" s="518"/>
      <c r="AY158" s="518"/>
      <c r="AZ158" s="518"/>
      <c r="BA158" s="518"/>
      <c r="BB158" s="518"/>
      <c r="BC158" s="518"/>
      <c r="BD158" s="518"/>
      <c r="BE158" s="518"/>
    </row>
    <row r="159" spans="1:57" ht="12.75" customHeight="1">
      <c r="A159" s="518"/>
      <c r="B159" s="518"/>
      <c r="C159" s="518"/>
      <c r="D159" s="518"/>
      <c r="E159" s="518"/>
      <c r="F159" s="518"/>
      <c r="G159" s="518"/>
      <c r="H159" s="518"/>
      <c r="I159" s="518"/>
      <c r="J159" s="518"/>
      <c r="K159" s="518"/>
      <c r="L159" s="518"/>
      <c r="M159" s="518"/>
      <c r="N159" s="518"/>
      <c r="O159" s="518"/>
      <c r="P159" s="518"/>
      <c r="Q159" s="518"/>
      <c r="R159" s="518"/>
      <c r="S159" s="518"/>
      <c r="T159" s="518"/>
      <c r="U159" s="518"/>
      <c r="V159" s="518"/>
      <c r="W159" s="518"/>
      <c r="X159" s="518"/>
      <c r="Y159" s="518"/>
      <c r="Z159" s="518"/>
      <c r="AA159" s="518"/>
      <c r="AB159" s="518"/>
      <c r="AC159" s="518"/>
      <c r="AD159" s="518"/>
      <c r="AE159" s="518"/>
      <c r="AF159" s="518"/>
      <c r="AG159" s="518"/>
      <c r="AH159" s="518"/>
      <c r="AI159" s="518"/>
      <c r="AJ159" s="518"/>
      <c r="AK159" s="518"/>
      <c r="AL159" s="518"/>
      <c r="AM159" s="518"/>
      <c r="AN159" s="518"/>
      <c r="AO159" s="518"/>
      <c r="AP159" s="518"/>
      <c r="AQ159" s="518"/>
      <c r="AR159" s="518"/>
      <c r="AS159" s="518"/>
      <c r="AT159" s="518"/>
      <c r="AU159" s="518"/>
      <c r="AV159" s="518"/>
      <c r="AW159" s="518"/>
      <c r="AX159" s="518"/>
      <c r="AY159" s="518"/>
      <c r="AZ159" s="518"/>
      <c r="BA159" s="518"/>
      <c r="BB159" s="518"/>
      <c r="BC159" s="518"/>
      <c r="BD159" s="518"/>
      <c r="BE159" s="518"/>
    </row>
    <row r="160" spans="1:57" ht="12.75" customHeight="1">
      <c r="A160" s="518"/>
      <c r="B160" s="518"/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P160" s="518"/>
      <c r="Q160" s="518"/>
      <c r="R160" s="518"/>
      <c r="S160" s="518"/>
      <c r="T160" s="518"/>
      <c r="U160" s="518"/>
      <c r="V160" s="518"/>
      <c r="W160" s="518"/>
      <c r="X160" s="518"/>
      <c r="Y160" s="518"/>
      <c r="Z160" s="518"/>
      <c r="AA160" s="518"/>
      <c r="AB160" s="518"/>
      <c r="AC160" s="518"/>
      <c r="AD160" s="518"/>
      <c r="AE160" s="518"/>
      <c r="AF160" s="518"/>
      <c r="AG160" s="518"/>
      <c r="AH160" s="518"/>
      <c r="AI160" s="518"/>
      <c r="AJ160" s="518"/>
      <c r="AK160" s="518"/>
      <c r="AL160" s="518"/>
      <c r="AM160" s="518"/>
      <c r="AN160" s="518"/>
      <c r="AO160" s="518"/>
      <c r="AP160" s="518"/>
      <c r="AQ160" s="518"/>
      <c r="AR160" s="518"/>
      <c r="AS160" s="518"/>
      <c r="AT160" s="518"/>
      <c r="AU160" s="518"/>
      <c r="AV160" s="518"/>
      <c r="AW160" s="518"/>
      <c r="AX160" s="518"/>
      <c r="AY160" s="518"/>
      <c r="AZ160" s="518"/>
      <c r="BA160" s="518"/>
      <c r="BB160" s="518"/>
      <c r="BC160" s="518"/>
      <c r="BD160" s="518"/>
      <c r="BE160" s="518"/>
    </row>
    <row r="161" spans="1:57" ht="12.75" customHeight="1">
      <c r="A161" s="518"/>
      <c r="B161" s="518"/>
      <c r="C161" s="518"/>
      <c r="D161" s="518"/>
      <c r="E161" s="518"/>
      <c r="F161" s="518"/>
      <c r="G161" s="518"/>
      <c r="H161" s="518"/>
      <c r="I161" s="518"/>
      <c r="J161" s="518"/>
      <c r="K161" s="518"/>
      <c r="L161" s="518"/>
      <c r="M161" s="518"/>
      <c r="N161" s="518"/>
      <c r="O161" s="518"/>
      <c r="P161" s="518"/>
      <c r="Q161" s="518"/>
      <c r="R161" s="518"/>
      <c r="S161" s="518"/>
      <c r="T161" s="518"/>
      <c r="U161" s="518"/>
      <c r="V161" s="518"/>
      <c r="W161" s="518"/>
      <c r="X161" s="518"/>
      <c r="Y161" s="518"/>
      <c r="Z161" s="518"/>
      <c r="AA161" s="518"/>
      <c r="AB161" s="518"/>
      <c r="AC161" s="518"/>
      <c r="AD161" s="518"/>
      <c r="AE161" s="518"/>
      <c r="AF161" s="518"/>
      <c r="AG161" s="518"/>
      <c r="AH161" s="518"/>
      <c r="AI161" s="518"/>
      <c r="AJ161" s="518"/>
      <c r="AK161" s="518"/>
      <c r="AL161" s="518"/>
      <c r="AM161" s="518"/>
      <c r="AN161" s="518"/>
      <c r="AO161" s="518"/>
      <c r="AP161" s="518"/>
      <c r="AQ161" s="518"/>
      <c r="AR161" s="518"/>
      <c r="AS161" s="518"/>
      <c r="AT161" s="518"/>
      <c r="AU161" s="518"/>
      <c r="AV161" s="518"/>
      <c r="AW161" s="518"/>
      <c r="AX161" s="518"/>
      <c r="AY161" s="518"/>
      <c r="AZ161" s="518"/>
      <c r="BA161" s="518"/>
      <c r="BB161" s="518"/>
      <c r="BC161" s="518"/>
      <c r="BD161" s="518"/>
      <c r="BE161" s="518"/>
    </row>
    <row r="162" spans="1:57" ht="12.75" customHeight="1">
      <c r="A162" s="518"/>
      <c r="B162" s="518"/>
      <c r="C162" s="518"/>
      <c r="D162" s="518"/>
      <c r="E162" s="518"/>
      <c r="F162" s="518"/>
      <c r="G162" s="518"/>
      <c r="H162" s="518"/>
      <c r="I162" s="518"/>
      <c r="J162" s="518"/>
      <c r="K162" s="518"/>
      <c r="L162" s="518"/>
      <c r="M162" s="518"/>
      <c r="N162" s="518"/>
      <c r="O162" s="518"/>
      <c r="P162" s="518"/>
      <c r="Q162" s="518"/>
      <c r="R162" s="518"/>
      <c r="S162" s="518"/>
      <c r="T162" s="518"/>
      <c r="U162" s="518"/>
      <c r="V162" s="518"/>
      <c r="W162" s="518"/>
      <c r="X162" s="518"/>
      <c r="Y162" s="518"/>
      <c r="Z162" s="518"/>
      <c r="AA162" s="518"/>
      <c r="AB162" s="518"/>
      <c r="AC162" s="518"/>
      <c r="AD162" s="518"/>
      <c r="AE162" s="518"/>
      <c r="AF162" s="518"/>
      <c r="AG162" s="518"/>
      <c r="AH162" s="518"/>
      <c r="AI162" s="518"/>
      <c r="AJ162" s="518"/>
      <c r="AK162" s="518"/>
      <c r="AL162" s="518"/>
      <c r="AM162" s="518"/>
      <c r="AN162" s="518"/>
      <c r="AO162" s="518"/>
      <c r="AP162" s="518"/>
      <c r="AQ162" s="518"/>
      <c r="AR162" s="518"/>
      <c r="AS162" s="518"/>
      <c r="AT162" s="518"/>
      <c r="AU162" s="518"/>
      <c r="AV162" s="518"/>
      <c r="AW162" s="518"/>
      <c r="AX162" s="518"/>
      <c r="AY162" s="518"/>
      <c r="AZ162" s="518"/>
      <c r="BA162" s="518"/>
      <c r="BB162" s="518"/>
      <c r="BC162" s="518"/>
      <c r="BD162" s="518"/>
      <c r="BE162" s="518"/>
    </row>
    <row r="163" spans="1:57" ht="12.75" customHeight="1">
      <c r="A163" s="518"/>
      <c r="B163" s="518"/>
      <c r="C163" s="518"/>
      <c r="D163" s="518"/>
      <c r="E163" s="518"/>
      <c r="F163" s="518"/>
      <c r="G163" s="518"/>
      <c r="H163" s="518"/>
      <c r="I163" s="518"/>
      <c r="J163" s="518"/>
      <c r="K163" s="518"/>
      <c r="L163" s="518"/>
      <c r="M163" s="518"/>
      <c r="N163" s="518"/>
      <c r="O163" s="518"/>
      <c r="P163" s="518"/>
      <c r="Q163" s="518"/>
      <c r="R163" s="518"/>
      <c r="S163" s="518"/>
      <c r="T163" s="518"/>
      <c r="U163" s="518"/>
      <c r="V163" s="518"/>
      <c r="W163" s="518"/>
      <c r="X163" s="518"/>
      <c r="Y163" s="518"/>
      <c r="Z163" s="518"/>
      <c r="AA163" s="518"/>
      <c r="AB163" s="518"/>
      <c r="AC163" s="518"/>
      <c r="AD163" s="518"/>
      <c r="AE163" s="518"/>
      <c r="AF163" s="518"/>
      <c r="AG163" s="518"/>
      <c r="AH163" s="518"/>
      <c r="AI163" s="518"/>
      <c r="AJ163" s="518"/>
      <c r="AK163" s="518"/>
      <c r="AL163" s="518"/>
      <c r="AM163" s="518"/>
      <c r="AN163" s="518"/>
      <c r="AO163" s="518"/>
      <c r="AP163" s="518"/>
      <c r="AQ163" s="518"/>
      <c r="AR163" s="518"/>
      <c r="AS163" s="518"/>
      <c r="AT163" s="518"/>
      <c r="AU163" s="518"/>
      <c r="AV163" s="518"/>
      <c r="AW163" s="518"/>
      <c r="AX163" s="518"/>
      <c r="AY163" s="518"/>
      <c r="AZ163" s="518"/>
      <c r="BA163" s="518"/>
      <c r="BB163" s="518"/>
      <c r="BC163" s="518"/>
      <c r="BD163" s="518"/>
      <c r="BE163" s="518"/>
    </row>
    <row r="164" spans="1:57" ht="12.75" customHeight="1">
      <c r="A164" s="518"/>
      <c r="B164" s="518"/>
      <c r="C164" s="518"/>
      <c r="D164" s="518"/>
      <c r="E164" s="518"/>
      <c r="F164" s="518"/>
      <c r="G164" s="518"/>
      <c r="H164" s="518"/>
      <c r="I164" s="518"/>
      <c r="J164" s="518"/>
      <c r="K164" s="518"/>
      <c r="L164" s="518"/>
      <c r="M164" s="518"/>
      <c r="N164" s="518"/>
      <c r="O164" s="518"/>
      <c r="P164" s="518"/>
      <c r="Q164" s="518"/>
      <c r="R164" s="518"/>
      <c r="S164" s="518"/>
      <c r="T164" s="518"/>
      <c r="U164" s="518"/>
      <c r="V164" s="518"/>
      <c r="W164" s="518"/>
      <c r="X164" s="518"/>
      <c r="Y164" s="518"/>
      <c r="Z164" s="518"/>
      <c r="AA164" s="518"/>
      <c r="AB164" s="518"/>
      <c r="AC164" s="518"/>
      <c r="AD164" s="518"/>
      <c r="AE164" s="518"/>
      <c r="AF164" s="518"/>
      <c r="AG164" s="518"/>
      <c r="AH164" s="518"/>
      <c r="AI164" s="518"/>
      <c r="AJ164" s="518"/>
      <c r="AK164" s="518"/>
      <c r="AL164" s="518"/>
      <c r="AM164" s="518"/>
      <c r="AN164" s="518"/>
      <c r="AO164" s="518"/>
      <c r="AP164" s="518"/>
      <c r="AQ164" s="518"/>
      <c r="AR164" s="518"/>
      <c r="AS164" s="518"/>
      <c r="AT164" s="518"/>
      <c r="AU164" s="518"/>
      <c r="AV164" s="518"/>
      <c r="AW164" s="518"/>
      <c r="AX164" s="518"/>
      <c r="AY164" s="518"/>
      <c r="AZ164" s="518"/>
      <c r="BA164" s="518"/>
      <c r="BB164" s="518"/>
      <c r="BC164" s="518"/>
      <c r="BD164" s="518"/>
      <c r="BE164" s="518"/>
    </row>
    <row r="165" spans="1:57" ht="12.75" customHeight="1">
      <c r="A165" s="518"/>
      <c r="B165" s="518"/>
      <c r="C165" s="518"/>
      <c r="D165" s="518"/>
      <c r="E165" s="518"/>
      <c r="F165" s="518"/>
      <c r="G165" s="518"/>
      <c r="H165" s="518"/>
      <c r="I165" s="518"/>
      <c r="J165" s="518"/>
      <c r="K165" s="518"/>
      <c r="L165" s="518"/>
      <c r="M165" s="518"/>
      <c r="N165" s="518"/>
      <c r="O165" s="518"/>
      <c r="P165" s="518"/>
      <c r="Q165" s="518"/>
      <c r="R165" s="518"/>
      <c r="S165" s="518"/>
      <c r="T165" s="518"/>
      <c r="U165" s="518"/>
      <c r="V165" s="518"/>
      <c r="W165" s="518"/>
      <c r="X165" s="518"/>
      <c r="Y165" s="518"/>
      <c r="Z165" s="518"/>
      <c r="AA165" s="518"/>
      <c r="AB165" s="518"/>
      <c r="AC165" s="518"/>
      <c r="AD165" s="518"/>
      <c r="AE165" s="518"/>
      <c r="AF165" s="518"/>
      <c r="AG165" s="518"/>
      <c r="AH165" s="518"/>
      <c r="AI165" s="518"/>
      <c r="AJ165" s="518"/>
      <c r="AK165" s="518"/>
      <c r="AL165" s="518"/>
      <c r="AM165" s="518"/>
      <c r="AN165" s="518"/>
      <c r="AO165" s="518"/>
      <c r="AP165" s="518"/>
      <c r="AQ165" s="518"/>
      <c r="AR165" s="518"/>
      <c r="AS165" s="518"/>
      <c r="AT165" s="518"/>
      <c r="AU165" s="518"/>
      <c r="AV165" s="518"/>
      <c r="AW165" s="518"/>
      <c r="AX165" s="518"/>
      <c r="AY165" s="518"/>
      <c r="AZ165" s="518"/>
      <c r="BA165" s="518"/>
      <c r="BB165" s="518"/>
      <c r="BC165" s="518"/>
      <c r="BD165" s="518"/>
      <c r="BE165" s="518"/>
    </row>
    <row r="166" spans="1:57" ht="12.75" customHeight="1">
      <c r="A166" s="518"/>
      <c r="B166" s="518"/>
      <c r="C166" s="518"/>
      <c r="D166" s="518"/>
      <c r="E166" s="518"/>
      <c r="F166" s="518"/>
      <c r="G166" s="518"/>
      <c r="H166" s="518"/>
      <c r="I166" s="518"/>
      <c r="J166" s="518"/>
      <c r="K166" s="518"/>
      <c r="L166" s="518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  <c r="AB166" s="518"/>
      <c r="AC166" s="518"/>
      <c r="AD166" s="518"/>
      <c r="AE166" s="518"/>
      <c r="AF166" s="518"/>
      <c r="AG166" s="518"/>
      <c r="AH166" s="518"/>
      <c r="AI166" s="518"/>
      <c r="AJ166" s="518"/>
      <c r="AK166" s="518"/>
      <c r="AL166" s="518"/>
      <c r="AM166" s="518"/>
      <c r="AN166" s="518"/>
      <c r="AO166" s="518"/>
      <c r="AP166" s="518"/>
      <c r="AQ166" s="518"/>
      <c r="AR166" s="518"/>
      <c r="AS166" s="518"/>
      <c r="AT166" s="518"/>
      <c r="AU166" s="518"/>
      <c r="AV166" s="518"/>
      <c r="AW166" s="518"/>
      <c r="AX166" s="518"/>
      <c r="AY166" s="518"/>
      <c r="AZ166" s="518"/>
      <c r="BA166" s="518"/>
      <c r="BB166" s="518"/>
      <c r="BC166" s="518"/>
      <c r="BD166" s="518"/>
      <c r="BE166" s="518"/>
    </row>
    <row r="167" spans="1:57" ht="12.75" customHeight="1">
      <c r="A167" s="518"/>
      <c r="B167" s="518"/>
      <c r="C167" s="518"/>
      <c r="D167" s="518"/>
      <c r="E167" s="518"/>
      <c r="F167" s="518"/>
      <c r="G167" s="518"/>
      <c r="H167" s="518"/>
      <c r="I167" s="518"/>
      <c r="J167" s="518"/>
      <c r="K167" s="518"/>
      <c r="L167" s="518"/>
      <c r="M167" s="518"/>
      <c r="N167" s="518"/>
      <c r="O167" s="518"/>
      <c r="P167" s="518"/>
      <c r="Q167" s="518"/>
      <c r="R167" s="518"/>
      <c r="S167" s="518"/>
      <c r="T167" s="518"/>
      <c r="U167" s="518"/>
      <c r="V167" s="518"/>
      <c r="W167" s="518"/>
      <c r="X167" s="518"/>
      <c r="Y167" s="518"/>
      <c r="Z167" s="518"/>
      <c r="AA167" s="518"/>
      <c r="AB167" s="518"/>
      <c r="AC167" s="518"/>
      <c r="AD167" s="518"/>
      <c r="AE167" s="518"/>
      <c r="AF167" s="518"/>
      <c r="AG167" s="518"/>
      <c r="AH167" s="518"/>
      <c r="AI167" s="518"/>
      <c r="AJ167" s="518"/>
      <c r="AK167" s="518"/>
      <c r="AL167" s="518"/>
      <c r="AM167" s="518"/>
      <c r="AN167" s="518"/>
      <c r="AO167" s="518"/>
      <c r="AP167" s="518"/>
      <c r="AQ167" s="518"/>
      <c r="AR167" s="518"/>
      <c r="AS167" s="518"/>
      <c r="AT167" s="518"/>
      <c r="AU167" s="518"/>
      <c r="AV167" s="518"/>
      <c r="AW167" s="518"/>
      <c r="AX167" s="518"/>
      <c r="AY167" s="518"/>
      <c r="AZ167" s="518"/>
      <c r="BA167" s="518"/>
      <c r="BB167" s="518"/>
      <c r="BC167" s="518"/>
      <c r="BD167" s="518"/>
      <c r="BE167" s="518"/>
    </row>
    <row r="168" spans="1:57" ht="12.75" customHeight="1">
      <c r="A168" s="518"/>
      <c r="B168" s="518"/>
      <c r="C168" s="518"/>
      <c r="D168" s="518"/>
      <c r="E168" s="518"/>
      <c r="F168" s="518"/>
      <c r="G168" s="518"/>
      <c r="H168" s="518"/>
      <c r="I168" s="518"/>
      <c r="J168" s="518"/>
      <c r="K168" s="518"/>
      <c r="L168" s="518"/>
      <c r="M168" s="518"/>
      <c r="N168" s="518"/>
      <c r="O168" s="518"/>
      <c r="P168" s="518"/>
      <c r="Q168" s="518"/>
      <c r="R168" s="518"/>
      <c r="S168" s="518"/>
      <c r="T168" s="518"/>
      <c r="U168" s="518"/>
      <c r="V168" s="518"/>
      <c r="W168" s="518"/>
      <c r="X168" s="518"/>
      <c r="Y168" s="518"/>
      <c r="Z168" s="518"/>
      <c r="AA168" s="518"/>
      <c r="AB168" s="518"/>
      <c r="AC168" s="518"/>
      <c r="AD168" s="518"/>
      <c r="AE168" s="518"/>
      <c r="AF168" s="518"/>
      <c r="AG168" s="518"/>
      <c r="AH168" s="518"/>
      <c r="AI168" s="518"/>
      <c r="AJ168" s="518"/>
      <c r="AK168" s="518"/>
      <c r="AL168" s="518"/>
      <c r="AM168" s="518"/>
      <c r="AN168" s="518"/>
      <c r="AO168" s="518"/>
      <c r="AP168" s="518"/>
      <c r="AQ168" s="518"/>
      <c r="AR168" s="518"/>
      <c r="AS168" s="518"/>
      <c r="AT168" s="518"/>
      <c r="AU168" s="518"/>
      <c r="AV168" s="518"/>
      <c r="AW168" s="518"/>
      <c r="AX168" s="518"/>
      <c r="AY168" s="518"/>
      <c r="AZ168" s="518"/>
      <c r="BA168" s="518"/>
      <c r="BB168" s="518"/>
      <c r="BC168" s="518"/>
      <c r="BD168" s="518"/>
      <c r="BE168" s="518"/>
    </row>
    <row r="169" spans="1:57" ht="12.75" customHeight="1">
      <c r="A169" s="518"/>
      <c r="B169" s="518"/>
      <c r="C169" s="518"/>
      <c r="D169" s="518"/>
      <c r="E169" s="518"/>
      <c r="F169" s="518"/>
      <c r="G169" s="518"/>
      <c r="H169" s="518"/>
      <c r="I169" s="518"/>
      <c r="J169" s="518"/>
      <c r="K169" s="518"/>
      <c r="L169" s="518"/>
      <c r="M169" s="518"/>
      <c r="N169" s="518"/>
      <c r="O169" s="518"/>
      <c r="P169" s="518"/>
      <c r="Q169" s="518"/>
      <c r="R169" s="518"/>
      <c r="S169" s="518"/>
      <c r="T169" s="518"/>
      <c r="U169" s="518"/>
      <c r="V169" s="518"/>
      <c r="W169" s="518"/>
      <c r="X169" s="518"/>
      <c r="Y169" s="518"/>
      <c r="Z169" s="518"/>
      <c r="AA169" s="518"/>
      <c r="AB169" s="518"/>
      <c r="AC169" s="518"/>
      <c r="AD169" s="518"/>
      <c r="AE169" s="518"/>
      <c r="AF169" s="518"/>
      <c r="AG169" s="518"/>
      <c r="AH169" s="518"/>
      <c r="AI169" s="518"/>
      <c r="AJ169" s="518"/>
      <c r="AK169" s="518"/>
      <c r="AL169" s="518"/>
      <c r="AM169" s="518"/>
      <c r="AN169" s="518"/>
      <c r="AO169" s="518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</row>
    <row r="170" spans="1:57" ht="12.75" customHeight="1">
      <c r="A170" s="518"/>
      <c r="B170" s="518"/>
      <c r="C170" s="518"/>
      <c r="D170" s="518"/>
      <c r="E170" s="518"/>
      <c r="F170" s="518"/>
      <c r="G170" s="518"/>
      <c r="H170" s="518"/>
      <c r="I170" s="518"/>
      <c r="J170" s="518"/>
      <c r="K170" s="518"/>
      <c r="L170" s="518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  <c r="AB170" s="518"/>
      <c r="AC170" s="518"/>
      <c r="AD170" s="518"/>
      <c r="AE170" s="518"/>
      <c r="AF170" s="518"/>
      <c r="AG170" s="518"/>
      <c r="AH170" s="518"/>
      <c r="AI170" s="518"/>
      <c r="AJ170" s="518"/>
      <c r="AK170" s="518"/>
      <c r="AL170" s="518"/>
      <c r="AM170" s="518"/>
      <c r="AN170" s="518"/>
      <c r="AO170" s="518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</row>
    <row r="171" spans="1:57" ht="12.75" customHeight="1">
      <c r="A171" s="518"/>
      <c r="B171" s="518"/>
      <c r="C171" s="518"/>
      <c r="D171" s="518"/>
      <c r="E171" s="518"/>
      <c r="F171" s="518"/>
      <c r="G171" s="518"/>
      <c r="H171" s="518"/>
      <c r="I171" s="518"/>
      <c r="J171" s="518"/>
      <c r="K171" s="518"/>
      <c r="L171" s="518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  <c r="AB171" s="518"/>
      <c r="AC171" s="518"/>
      <c r="AD171" s="518"/>
      <c r="AE171" s="518"/>
      <c r="AF171" s="518"/>
      <c r="AG171" s="518"/>
      <c r="AH171" s="518"/>
      <c r="AI171" s="518"/>
      <c r="AJ171" s="518"/>
      <c r="AK171" s="518"/>
      <c r="AL171" s="518"/>
      <c r="AM171" s="518"/>
      <c r="AN171" s="518"/>
      <c r="AO171" s="518"/>
      <c r="AP171" s="518"/>
      <c r="AQ171" s="518"/>
      <c r="AR171" s="518"/>
      <c r="AS171" s="518"/>
      <c r="AT171" s="518"/>
      <c r="AU171" s="518"/>
      <c r="AV171" s="518"/>
      <c r="AW171" s="518"/>
      <c r="AX171" s="518"/>
      <c r="AY171" s="518"/>
      <c r="AZ171" s="518"/>
      <c r="BA171" s="518"/>
      <c r="BB171" s="518"/>
      <c r="BC171" s="518"/>
      <c r="BD171" s="518"/>
      <c r="BE171" s="518"/>
    </row>
    <row r="172" spans="1:57" ht="12.75" customHeight="1">
      <c r="A172" s="518"/>
      <c r="B172" s="518"/>
      <c r="C172" s="518"/>
      <c r="D172" s="518"/>
      <c r="E172" s="518"/>
      <c r="F172" s="518"/>
      <c r="G172" s="518"/>
      <c r="H172" s="518"/>
      <c r="I172" s="518"/>
      <c r="J172" s="518"/>
      <c r="K172" s="518"/>
      <c r="L172" s="518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  <c r="AB172" s="518"/>
      <c r="AC172" s="518"/>
      <c r="AD172" s="518"/>
      <c r="AE172" s="518"/>
      <c r="AF172" s="518"/>
      <c r="AG172" s="518"/>
      <c r="AH172" s="518"/>
      <c r="AI172" s="518"/>
      <c r="AJ172" s="518"/>
      <c r="AK172" s="518"/>
      <c r="AL172" s="518"/>
      <c r="AM172" s="518"/>
      <c r="AN172" s="518"/>
      <c r="AO172" s="518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</row>
    <row r="173" spans="1:57" ht="12.75" customHeight="1">
      <c r="A173" s="518"/>
      <c r="B173" s="518"/>
      <c r="C173" s="518"/>
      <c r="D173" s="518"/>
      <c r="E173" s="518"/>
      <c r="F173" s="518"/>
      <c r="G173" s="518"/>
      <c r="H173" s="518"/>
      <c r="I173" s="518"/>
      <c r="J173" s="518"/>
      <c r="K173" s="518"/>
      <c r="L173" s="518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  <c r="AB173" s="518"/>
      <c r="AC173" s="518"/>
      <c r="AD173" s="518"/>
      <c r="AE173" s="518"/>
      <c r="AF173" s="518"/>
      <c r="AG173" s="518"/>
      <c r="AH173" s="518"/>
      <c r="AI173" s="518"/>
      <c r="AJ173" s="518"/>
      <c r="AK173" s="518"/>
      <c r="AL173" s="518"/>
      <c r="AM173" s="518"/>
      <c r="AN173" s="518"/>
      <c r="AO173" s="518"/>
      <c r="AP173" s="518"/>
      <c r="AQ173" s="518"/>
      <c r="AR173" s="518"/>
      <c r="AS173" s="518"/>
      <c r="AT173" s="518"/>
      <c r="AU173" s="518"/>
      <c r="AV173" s="518"/>
      <c r="AW173" s="518"/>
      <c r="AX173" s="518"/>
      <c r="AY173" s="518"/>
      <c r="AZ173" s="518"/>
      <c r="BA173" s="518"/>
      <c r="BB173" s="518"/>
      <c r="BC173" s="518"/>
      <c r="BD173" s="518"/>
      <c r="BE173" s="518"/>
    </row>
    <row r="174" spans="1:57" ht="12.75" customHeight="1">
      <c r="A174" s="518"/>
      <c r="B174" s="518"/>
      <c r="C174" s="518"/>
      <c r="D174" s="518"/>
      <c r="E174" s="518"/>
      <c r="F174" s="518"/>
      <c r="G174" s="518"/>
      <c r="H174" s="518"/>
      <c r="I174" s="518"/>
      <c r="J174" s="518"/>
      <c r="K174" s="518"/>
      <c r="L174" s="518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  <c r="AB174" s="518"/>
      <c r="AC174" s="518"/>
      <c r="AD174" s="518"/>
      <c r="AE174" s="518"/>
      <c r="AF174" s="518"/>
      <c r="AG174" s="518"/>
      <c r="AH174" s="518"/>
      <c r="AI174" s="518"/>
      <c r="AJ174" s="518"/>
      <c r="AK174" s="518"/>
      <c r="AL174" s="518"/>
      <c r="AM174" s="518"/>
      <c r="AN174" s="518"/>
      <c r="AO174" s="518"/>
      <c r="AP174" s="518"/>
      <c r="AQ174" s="518"/>
      <c r="AR174" s="518"/>
      <c r="AS174" s="518"/>
      <c r="AT174" s="518"/>
      <c r="AU174" s="518"/>
      <c r="AV174" s="518"/>
      <c r="AW174" s="518"/>
      <c r="AX174" s="518"/>
      <c r="AY174" s="518"/>
      <c r="AZ174" s="518"/>
      <c r="BA174" s="518"/>
      <c r="BB174" s="518"/>
      <c r="BC174" s="518"/>
      <c r="BD174" s="518"/>
      <c r="BE174" s="518"/>
    </row>
    <row r="175" spans="1:57" ht="12.75" customHeight="1">
      <c r="A175" s="518"/>
      <c r="B175" s="518"/>
      <c r="C175" s="518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  <c r="AB175" s="518"/>
      <c r="AC175" s="518"/>
      <c r="AD175" s="518"/>
      <c r="AE175" s="518"/>
      <c r="AF175" s="518"/>
      <c r="AG175" s="518"/>
      <c r="AH175" s="518"/>
      <c r="AI175" s="518"/>
      <c r="AJ175" s="518"/>
      <c r="AK175" s="518"/>
      <c r="AL175" s="518"/>
      <c r="AM175" s="518"/>
      <c r="AN175" s="518"/>
      <c r="AO175" s="518"/>
      <c r="AP175" s="518"/>
      <c r="AQ175" s="518"/>
      <c r="AR175" s="518"/>
      <c r="AS175" s="518"/>
      <c r="AT175" s="518"/>
      <c r="AU175" s="518"/>
      <c r="AV175" s="518"/>
      <c r="AW175" s="518"/>
      <c r="AX175" s="518"/>
      <c r="AY175" s="518"/>
      <c r="AZ175" s="518"/>
      <c r="BA175" s="518"/>
      <c r="BB175" s="518"/>
      <c r="BC175" s="518"/>
      <c r="BD175" s="518"/>
      <c r="BE175" s="518"/>
    </row>
    <row r="176" spans="1:57" ht="12.75" customHeight="1">
      <c r="A176" s="518"/>
      <c r="B176" s="518"/>
      <c r="C176" s="518"/>
      <c r="D176" s="518"/>
      <c r="E176" s="518"/>
      <c r="F176" s="518"/>
      <c r="G176" s="518"/>
      <c r="H176" s="518"/>
      <c r="I176" s="518"/>
      <c r="J176" s="518"/>
      <c r="K176" s="518"/>
      <c r="L176" s="518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  <c r="AB176" s="518"/>
      <c r="AC176" s="518"/>
      <c r="AD176" s="518"/>
      <c r="AE176" s="518"/>
      <c r="AF176" s="518"/>
      <c r="AG176" s="518"/>
      <c r="AH176" s="518"/>
      <c r="AI176" s="518"/>
      <c r="AJ176" s="518"/>
      <c r="AK176" s="518"/>
      <c r="AL176" s="518"/>
      <c r="AM176" s="518"/>
      <c r="AN176" s="518"/>
      <c r="AO176" s="518"/>
      <c r="AP176" s="518"/>
      <c r="AQ176" s="518"/>
      <c r="AR176" s="518"/>
      <c r="AS176" s="518"/>
      <c r="AT176" s="518"/>
      <c r="AU176" s="518"/>
      <c r="AV176" s="518"/>
      <c r="AW176" s="518"/>
      <c r="AX176" s="518"/>
      <c r="AY176" s="518"/>
      <c r="AZ176" s="518"/>
      <c r="BA176" s="518"/>
      <c r="BB176" s="518"/>
      <c r="BC176" s="518"/>
      <c r="BD176" s="518"/>
      <c r="BE176" s="518"/>
    </row>
    <row r="177" spans="1:57" ht="12.75" customHeight="1">
      <c r="A177" s="518"/>
      <c r="B177" s="518"/>
      <c r="C177" s="518"/>
      <c r="D177" s="518"/>
      <c r="E177" s="518"/>
      <c r="F177" s="518"/>
      <c r="G177" s="518"/>
      <c r="H177" s="518"/>
      <c r="I177" s="518"/>
      <c r="J177" s="518"/>
      <c r="K177" s="518"/>
      <c r="L177" s="518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  <c r="AB177" s="518"/>
      <c r="AC177" s="518"/>
      <c r="AD177" s="518"/>
      <c r="AE177" s="518"/>
      <c r="AF177" s="518"/>
      <c r="AG177" s="518"/>
      <c r="AH177" s="518"/>
      <c r="AI177" s="518"/>
      <c r="AJ177" s="518"/>
      <c r="AK177" s="518"/>
      <c r="AL177" s="518"/>
      <c r="AM177" s="518"/>
      <c r="AN177" s="518"/>
      <c r="AO177" s="518"/>
      <c r="AP177" s="518"/>
      <c r="AQ177" s="518"/>
      <c r="AR177" s="518"/>
      <c r="AS177" s="518"/>
      <c r="AT177" s="518"/>
      <c r="AU177" s="518"/>
      <c r="AV177" s="518"/>
      <c r="AW177" s="518"/>
      <c r="AX177" s="518"/>
      <c r="AY177" s="518"/>
      <c r="AZ177" s="518"/>
      <c r="BA177" s="518"/>
      <c r="BB177" s="518"/>
      <c r="BC177" s="518"/>
      <c r="BD177" s="518"/>
      <c r="BE177" s="518"/>
    </row>
    <row r="178" spans="1:57" ht="12.75" customHeight="1">
      <c r="A178" s="518"/>
      <c r="B178" s="518"/>
      <c r="C178" s="518"/>
      <c r="D178" s="518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  <c r="AB178" s="518"/>
      <c r="AC178" s="518"/>
      <c r="AD178" s="518"/>
      <c r="AE178" s="518"/>
      <c r="AF178" s="518"/>
      <c r="AG178" s="518"/>
      <c r="AH178" s="518"/>
      <c r="AI178" s="518"/>
      <c r="AJ178" s="518"/>
      <c r="AK178" s="518"/>
      <c r="AL178" s="518"/>
      <c r="AM178" s="518"/>
      <c r="AN178" s="518"/>
      <c r="AO178" s="518"/>
      <c r="AP178" s="518"/>
      <c r="AQ178" s="518"/>
      <c r="AR178" s="518"/>
      <c r="AS178" s="518"/>
      <c r="AT178" s="518"/>
      <c r="AU178" s="518"/>
      <c r="AV178" s="518"/>
      <c r="AW178" s="518"/>
      <c r="AX178" s="518"/>
      <c r="AY178" s="518"/>
      <c r="AZ178" s="518"/>
      <c r="BA178" s="518"/>
      <c r="BB178" s="518"/>
      <c r="BC178" s="518"/>
      <c r="BD178" s="518"/>
      <c r="BE178" s="518"/>
    </row>
    <row r="179" spans="1:57" ht="12.75" customHeight="1">
      <c r="A179" s="518"/>
      <c r="B179" s="518"/>
      <c r="C179" s="518"/>
      <c r="D179" s="518"/>
      <c r="E179" s="518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  <c r="AB179" s="518"/>
      <c r="AC179" s="518"/>
      <c r="AD179" s="518"/>
      <c r="AE179" s="518"/>
      <c r="AF179" s="518"/>
      <c r="AG179" s="518"/>
      <c r="AH179" s="518"/>
      <c r="AI179" s="518"/>
      <c r="AJ179" s="518"/>
      <c r="AK179" s="518"/>
      <c r="AL179" s="518"/>
      <c r="AM179" s="518"/>
      <c r="AN179" s="518"/>
      <c r="AO179" s="518"/>
      <c r="AP179" s="518"/>
      <c r="AQ179" s="518"/>
      <c r="AR179" s="518"/>
      <c r="AS179" s="518"/>
      <c r="AT179" s="518"/>
      <c r="AU179" s="518"/>
      <c r="AV179" s="518"/>
      <c r="AW179" s="518"/>
      <c r="AX179" s="518"/>
      <c r="AY179" s="518"/>
      <c r="AZ179" s="518"/>
      <c r="BA179" s="518"/>
      <c r="BB179" s="518"/>
      <c r="BC179" s="518"/>
      <c r="BD179" s="518"/>
      <c r="BE179" s="518"/>
    </row>
    <row r="180" spans="1:57" ht="12.75" customHeight="1">
      <c r="A180" s="518"/>
      <c r="B180" s="518"/>
      <c r="C180" s="518"/>
      <c r="D180" s="518"/>
      <c r="E180" s="518"/>
      <c r="F180" s="518"/>
      <c r="G180" s="518"/>
      <c r="H180" s="518"/>
      <c r="I180" s="518"/>
      <c r="J180" s="518"/>
      <c r="K180" s="518"/>
      <c r="L180" s="518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  <c r="AB180" s="518"/>
      <c r="AC180" s="518"/>
      <c r="AD180" s="518"/>
      <c r="AE180" s="518"/>
      <c r="AF180" s="518"/>
      <c r="AG180" s="518"/>
      <c r="AH180" s="518"/>
      <c r="AI180" s="518"/>
      <c r="AJ180" s="518"/>
      <c r="AK180" s="518"/>
      <c r="AL180" s="518"/>
      <c r="AM180" s="518"/>
      <c r="AN180" s="518"/>
      <c r="AO180" s="518"/>
      <c r="AP180" s="518"/>
      <c r="AQ180" s="518"/>
      <c r="AR180" s="518"/>
      <c r="AS180" s="518"/>
      <c r="AT180" s="518"/>
      <c r="AU180" s="518"/>
      <c r="AV180" s="518"/>
      <c r="AW180" s="518"/>
      <c r="AX180" s="518"/>
      <c r="AY180" s="518"/>
      <c r="AZ180" s="518"/>
      <c r="BA180" s="518"/>
      <c r="BB180" s="518"/>
      <c r="BC180" s="518"/>
      <c r="BD180" s="518"/>
      <c r="BE180" s="518"/>
    </row>
    <row r="181" spans="1:57" ht="12.75" customHeight="1">
      <c r="A181" s="518"/>
      <c r="B181" s="518"/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  <c r="AB181" s="518"/>
      <c r="AC181" s="518"/>
      <c r="AD181" s="518"/>
      <c r="AE181" s="518"/>
      <c r="AF181" s="518"/>
      <c r="AG181" s="518"/>
      <c r="AH181" s="518"/>
      <c r="AI181" s="518"/>
      <c r="AJ181" s="518"/>
      <c r="AK181" s="518"/>
      <c r="AL181" s="518"/>
      <c r="AM181" s="518"/>
      <c r="AN181" s="518"/>
      <c r="AO181" s="518"/>
      <c r="AP181" s="518"/>
      <c r="AQ181" s="518"/>
      <c r="AR181" s="518"/>
      <c r="AS181" s="518"/>
      <c r="AT181" s="518"/>
      <c r="AU181" s="518"/>
      <c r="AV181" s="518"/>
      <c r="AW181" s="518"/>
      <c r="AX181" s="518"/>
      <c r="AY181" s="518"/>
      <c r="AZ181" s="518"/>
      <c r="BA181" s="518"/>
      <c r="BB181" s="518"/>
      <c r="BC181" s="518"/>
      <c r="BD181" s="518"/>
      <c r="BE181" s="518"/>
    </row>
    <row r="182" spans="1:57" ht="12.75" customHeight="1">
      <c r="A182" s="518"/>
      <c r="B182" s="518"/>
      <c r="C182" s="518"/>
      <c r="D182" s="518"/>
      <c r="E182" s="518"/>
      <c r="F182" s="518"/>
      <c r="G182" s="518"/>
      <c r="H182" s="518"/>
      <c r="I182" s="518"/>
      <c r="J182" s="518"/>
      <c r="K182" s="518"/>
      <c r="L182" s="518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  <c r="AB182" s="518"/>
      <c r="AC182" s="518"/>
      <c r="AD182" s="518"/>
      <c r="AE182" s="518"/>
      <c r="AF182" s="518"/>
      <c r="AG182" s="518"/>
      <c r="AH182" s="518"/>
      <c r="AI182" s="518"/>
      <c r="AJ182" s="518"/>
      <c r="AK182" s="518"/>
      <c r="AL182" s="518"/>
      <c r="AM182" s="518"/>
      <c r="AN182" s="518"/>
      <c r="AO182" s="518"/>
      <c r="AP182" s="518"/>
      <c r="AQ182" s="518"/>
      <c r="AR182" s="518"/>
      <c r="AS182" s="518"/>
      <c r="AT182" s="518"/>
      <c r="AU182" s="518"/>
      <c r="AV182" s="518"/>
      <c r="AW182" s="518"/>
      <c r="AX182" s="518"/>
      <c r="AY182" s="518"/>
      <c r="AZ182" s="518"/>
      <c r="BA182" s="518"/>
      <c r="BB182" s="518"/>
      <c r="BC182" s="518"/>
      <c r="BD182" s="518"/>
      <c r="BE182" s="518"/>
    </row>
    <row r="183" spans="1:57" ht="12.75" customHeight="1">
      <c r="A183" s="518"/>
      <c r="B183" s="518"/>
      <c r="C183" s="518"/>
      <c r="D183" s="518"/>
      <c r="E183" s="518"/>
      <c r="F183" s="518"/>
      <c r="G183" s="518"/>
      <c r="H183" s="518"/>
      <c r="I183" s="518"/>
      <c r="J183" s="518"/>
      <c r="K183" s="518"/>
      <c r="L183" s="518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  <c r="AB183" s="518"/>
      <c r="AC183" s="518"/>
      <c r="AD183" s="518"/>
      <c r="AE183" s="518"/>
      <c r="AF183" s="518"/>
      <c r="AG183" s="518"/>
      <c r="AH183" s="518"/>
      <c r="AI183" s="518"/>
      <c r="AJ183" s="518"/>
      <c r="AK183" s="518"/>
      <c r="AL183" s="518"/>
      <c r="AM183" s="518"/>
      <c r="AN183" s="518"/>
      <c r="AO183" s="518"/>
      <c r="AP183" s="518"/>
      <c r="AQ183" s="518"/>
      <c r="AR183" s="518"/>
      <c r="AS183" s="518"/>
      <c r="AT183" s="518"/>
      <c r="AU183" s="518"/>
      <c r="AV183" s="518"/>
      <c r="AW183" s="518"/>
      <c r="AX183" s="518"/>
      <c r="AY183" s="518"/>
      <c r="AZ183" s="518"/>
      <c r="BA183" s="518"/>
      <c r="BB183" s="518"/>
      <c r="BC183" s="518"/>
      <c r="BD183" s="518"/>
      <c r="BE183" s="518"/>
    </row>
    <row r="184" spans="1:57" ht="12.75" customHeight="1">
      <c r="A184" s="518"/>
      <c r="B184" s="518"/>
      <c r="C184" s="518"/>
      <c r="D184" s="518"/>
      <c r="E184" s="518"/>
      <c r="F184" s="518"/>
      <c r="G184" s="518"/>
      <c r="H184" s="518"/>
      <c r="I184" s="518"/>
      <c r="J184" s="518"/>
      <c r="K184" s="518"/>
      <c r="L184" s="518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  <c r="AB184" s="518"/>
      <c r="AC184" s="518"/>
      <c r="AD184" s="518"/>
      <c r="AE184" s="518"/>
      <c r="AF184" s="518"/>
      <c r="AG184" s="518"/>
      <c r="AH184" s="518"/>
      <c r="AI184" s="518"/>
      <c r="AJ184" s="518"/>
      <c r="AK184" s="518"/>
      <c r="AL184" s="518"/>
      <c r="AM184" s="518"/>
      <c r="AN184" s="518"/>
      <c r="AO184" s="518"/>
      <c r="AP184" s="518"/>
      <c r="AQ184" s="518"/>
      <c r="AR184" s="518"/>
      <c r="AS184" s="518"/>
      <c r="AT184" s="518"/>
      <c r="AU184" s="518"/>
      <c r="AV184" s="518"/>
      <c r="AW184" s="518"/>
      <c r="AX184" s="518"/>
      <c r="AY184" s="518"/>
      <c r="AZ184" s="518"/>
      <c r="BA184" s="518"/>
      <c r="BB184" s="518"/>
      <c r="BC184" s="518"/>
      <c r="BD184" s="518"/>
      <c r="BE184" s="518"/>
    </row>
    <row r="185" spans="1:57" ht="12.75" customHeight="1">
      <c r="A185" s="518"/>
      <c r="B185" s="518"/>
      <c r="C185" s="518"/>
      <c r="D185" s="518"/>
      <c r="E185" s="518"/>
      <c r="F185" s="518"/>
      <c r="G185" s="518"/>
      <c r="H185" s="518"/>
      <c r="I185" s="518"/>
      <c r="J185" s="518"/>
      <c r="K185" s="518"/>
      <c r="L185" s="518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  <c r="AB185" s="518"/>
      <c r="AC185" s="518"/>
      <c r="AD185" s="518"/>
      <c r="AE185" s="518"/>
      <c r="AF185" s="518"/>
      <c r="AG185" s="518"/>
      <c r="AH185" s="518"/>
      <c r="AI185" s="518"/>
      <c r="AJ185" s="518"/>
      <c r="AK185" s="518"/>
      <c r="AL185" s="518"/>
      <c r="AM185" s="518"/>
      <c r="AN185" s="518"/>
      <c r="AO185" s="518"/>
      <c r="AP185" s="518"/>
      <c r="AQ185" s="518"/>
      <c r="AR185" s="518"/>
      <c r="AS185" s="518"/>
      <c r="AT185" s="518"/>
      <c r="AU185" s="518"/>
      <c r="AV185" s="518"/>
      <c r="AW185" s="518"/>
      <c r="AX185" s="518"/>
      <c r="AY185" s="518"/>
      <c r="AZ185" s="518"/>
      <c r="BA185" s="518"/>
      <c r="BB185" s="518"/>
      <c r="BC185" s="518"/>
      <c r="BD185" s="518"/>
      <c r="BE185" s="518"/>
    </row>
    <row r="186" spans="1:57" ht="12.75" customHeight="1">
      <c r="A186" s="518"/>
      <c r="B186" s="518"/>
      <c r="C186" s="518"/>
      <c r="D186" s="518"/>
      <c r="E186" s="518"/>
      <c r="F186" s="518"/>
      <c r="G186" s="518"/>
      <c r="H186" s="518"/>
      <c r="I186" s="518"/>
      <c r="J186" s="518"/>
      <c r="K186" s="518"/>
      <c r="L186" s="518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  <c r="AB186" s="518"/>
      <c r="AC186" s="518"/>
      <c r="AD186" s="518"/>
      <c r="AE186" s="518"/>
      <c r="AF186" s="518"/>
      <c r="AG186" s="518"/>
      <c r="AH186" s="518"/>
      <c r="AI186" s="518"/>
      <c r="AJ186" s="518"/>
      <c r="AK186" s="518"/>
      <c r="AL186" s="518"/>
      <c r="AM186" s="518"/>
      <c r="AN186" s="518"/>
      <c r="AO186" s="518"/>
      <c r="AP186" s="518"/>
      <c r="AQ186" s="518"/>
      <c r="AR186" s="518"/>
      <c r="AS186" s="518"/>
      <c r="AT186" s="518"/>
      <c r="AU186" s="518"/>
      <c r="AV186" s="518"/>
      <c r="AW186" s="518"/>
      <c r="AX186" s="518"/>
      <c r="AY186" s="518"/>
      <c r="AZ186" s="518"/>
      <c r="BA186" s="518"/>
      <c r="BB186" s="518"/>
      <c r="BC186" s="518"/>
      <c r="BD186" s="518"/>
      <c r="BE186" s="518"/>
    </row>
    <row r="187" spans="1:57" ht="12.75" customHeight="1">
      <c r="A187" s="518"/>
      <c r="B187" s="518"/>
      <c r="C187" s="518"/>
      <c r="D187" s="518"/>
      <c r="E187" s="518"/>
      <c r="F187" s="518"/>
      <c r="G187" s="518"/>
      <c r="H187" s="518"/>
      <c r="I187" s="518"/>
      <c r="J187" s="518"/>
      <c r="K187" s="518"/>
      <c r="L187" s="518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  <c r="AB187" s="518"/>
      <c r="AC187" s="518"/>
      <c r="AD187" s="518"/>
      <c r="AE187" s="518"/>
      <c r="AF187" s="518"/>
      <c r="AG187" s="518"/>
      <c r="AH187" s="518"/>
      <c r="AI187" s="518"/>
      <c r="AJ187" s="518"/>
      <c r="AK187" s="518"/>
      <c r="AL187" s="518"/>
      <c r="AM187" s="518"/>
      <c r="AN187" s="518"/>
      <c r="AO187" s="518"/>
      <c r="AP187" s="518"/>
      <c r="AQ187" s="518"/>
      <c r="AR187" s="518"/>
      <c r="AS187" s="518"/>
      <c r="AT187" s="518"/>
      <c r="AU187" s="518"/>
      <c r="AV187" s="518"/>
      <c r="AW187" s="518"/>
      <c r="AX187" s="518"/>
      <c r="AY187" s="518"/>
      <c r="AZ187" s="518"/>
      <c r="BA187" s="518"/>
      <c r="BB187" s="518"/>
      <c r="BC187" s="518"/>
      <c r="BD187" s="518"/>
      <c r="BE187" s="518"/>
    </row>
    <row r="188" spans="1:57" ht="12.75" customHeight="1">
      <c r="A188" s="518"/>
      <c r="B188" s="518"/>
      <c r="C188" s="518"/>
      <c r="D188" s="518"/>
      <c r="E188" s="518"/>
      <c r="F188" s="518"/>
      <c r="G188" s="518"/>
      <c r="H188" s="518"/>
      <c r="I188" s="518"/>
      <c r="J188" s="518"/>
      <c r="K188" s="518"/>
      <c r="L188" s="518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  <c r="AB188" s="518"/>
      <c r="AC188" s="518"/>
      <c r="AD188" s="518"/>
      <c r="AE188" s="518"/>
      <c r="AF188" s="518"/>
      <c r="AG188" s="518"/>
      <c r="AH188" s="518"/>
      <c r="AI188" s="518"/>
      <c r="AJ188" s="518"/>
      <c r="AK188" s="518"/>
      <c r="AL188" s="518"/>
      <c r="AM188" s="518"/>
      <c r="AN188" s="518"/>
      <c r="AO188" s="518"/>
      <c r="AP188" s="518"/>
      <c r="AQ188" s="518"/>
      <c r="AR188" s="518"/>
      <c r="AS188" s="518"/>
      <c r="AT188" s="518"/>
      <c r="AU188" s="518"/>
      <c r="AV188" s="518"/>
      <c r="AW188" s="518"/>
      <c r="AX188" s="518"/>
      <c r="AY188" s="518"/>
      <c r="AZ188" s="518"/>
      <c r="BA188" s="518"/>
      <c r="BB188" s="518"/>
      <c r="BC188" s="518"/>
      <c r="BD188" s="518"/>
      <c r="BE188" s="518"/>
    </row>
    <row r="189" spans="1:57" ht="12.75" customHeight="1">
      <c r="A189" s="518"/>
      <c r="B189" s="518"/>
      <c r="C189" s="518"/>
      <c r="D189" s="518"/>
      <c r="E189" s="518"/>
      <c r="F189" s="518"/>
      <c r="G189" s="518"/>
      <c r="H189" s="518"/>
      <c r="I189" s="518"/>
      <c r="J189" s="518"/>
      <c r="K189" s="518"/>
      <c r="L189" s="518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  <c r="AB189" s="518"/>
      <c r="AC189" s="518"/>
      <c r="AD189" s="518"/>
      <c r="AE189" s="518"/>
      <c r="AF189" s="518"/>
      <c r="AG189" s="518"/>
      <c r="AH189" s="518"/>
      <c r="AI189" s="518"/>
      <c r="AJ189" s="518"/>
      <c r="AK189" s="518"/>
      <c r="AL189" s="518"/>
      <c r="AM189" s="518"/>
      <c r="AN189" s="518"/>
      <c r="AO189" s="518"/>
      <c r="AP189" s="518"/>
      <c r="AQ189" s="518"/>
      <c r="AR189" s="518"/>
      <c r="AS189" s="518"/>
      <c r="AT189" s="518"/>
      <c r="AU189" s="518"/>
      <c r="AV189" s="518"/>
      <c r="AW189" s="518"/>
      <c r="AX189" s="518"/>
      <c r="AY189" s="518"/>
      <c r="AZ189" s="518"/>
      <c r="BA189" s="518"/>
      <c r="BB189" s="518"/>
      <c r="BC189" s="518"/>
      <c r="BD189" s="518"/>
      <c r="BE189" s="518"/>
    </row>
    <row r="190" spans="1:57" ht="12.75" customHeight="1">
      <c r="A190" s="518"/>
      <c r="B190" s="518"/>
      <c r="C190" s="518"/>
      <c r="D190" s="518"/>
      <c r="E190" s="518"/>
      <c r="F190" s="518"/>
      <c r="G190" s="518"/>
      <c r="H190" s="518"/>
      <c r="I190" s="518"/>
      <c r="J190" s="518"/>
      <c r="K190" s="518"/>
      <c r="L190" s="518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  <c r="AB190" s="518"/>
      <c r="AC190" s="518"/>
      <c r="AD190" s="518"/>
      <c r="AE190" s="518"/>
      <c r="AF190" s="518"/>
      <c r="AG190" s="518"/>
      <c r="AH190" s="518"/>
      <c r="AI190" s="518"/>
      <c r="AJ190" s="518"/>
      <c r="AK190" s="518"/>
      <c r="AL190" s="518"/>
      <c r="AM190" s="518"/>
      <c r="AN190" s="518"/>
      <c r="AO190" s="518"/>
      <c r="AP190" s="518"/>
      <c r="AQ190" s="518"/>
      <c r="AR190" s="518"/>
      <c r="AS190" s="518"/>
      <c r="AT190" s="518"/>
      <c r="AU190" s="518"/>
      <c r="AV190" s="518"/>
      <c r="AW190" s="518"/>
      <c r="AX190" s="518"/>
      <c r="AY190" s="518"/>
      <c r="AZ190" s="518"/>
      <c r="BA190" s="518"/>
      <c r="BB190" s="518"/>
      <c r="BC190" s="518"/>
      <c r="BD190" s="518"/>
      <c r="BE190" s="518"/>
    </row>
    <row r="191" spans="1:57" ht="12.75" customHeight="1">
      <c r="A191" s="518"/>
      <c r="B191" s="518"/>
      <c r="C191" s="518"/>
      <c r="D191" s="518"/>
      <c r="E191" s="518"/>
      <c r="F191" s="518"/>
      <c r="G191" s="518"/>
      <c r="H191" s="518"/>
      <c r="I191" s="518"/>
      <c r="J191" s="518"/>
      <c r="K191" s="518"/>
      <c r="L191" s="518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  <c r="AB191" s="518"/>
      <c r="AC191" s="518"/>
      <c r="AD191" s="518"/>
      <c r="AE191" s="518"/>
      <c r="AF191" s="518"/>
      <c r="AG191" s="518"/>
      <c r="AH191" s="518"/>
      <c r="AI191" s="518"/>
      <c r="AJ191" s="518"/>
      <c r="AK191" s="518"/>
      <c r="AL191" s="518"/>
      <c r="AM191" s="518"/>
      <c r="AN191" s="518"/>
      <c r="AO191" s="518"/>
      <c r="AP191" s="518"/>
      <c r="AQ191" s="518"/>
      <c r="AR191" s="518"/>
      <c r="AS191" s="518"/>
      <c r="AT191" s="518"/>
      <c r="AU191" s="518"/>
      <c r="AV191" s="518"/>
      <c r="AW191" s="518"/>
      <c r="AX191" s="518"/>
      <c r="AY191" s="518"/>
      <c r="AZ191" s="518"/>
      <c r="BA191" s="518"/>
      <c r="BB191" s="518"/>
      <c r="BC191" s="518"/>
      <c r="BD191" s="518"/>
      <c r="BE191" s="518"/>
    </row>
    <row r="192" spans="1:57" ht="12.75" customHeight="1">
      <c r="A192" s="518"/>
      <c r="B192" s="518"/>
      <c r="C192" s="518"/>
      <c r="D192" s="518"/>
      <c r="E192" s="518"/>
      <c r="F192" s="518"/>
      <c r="G192" s="518"/>
      <c r="H192" s="518"/>
      <c r="I192" s="518"/>
      <c r="J192" s="518"/>
      <c r="K192" s="518"/>
      <c r="L192" s="518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  <c r="AB192" s="518"/>
      <c r="AC192" s="518"/>
      <c r="AD192" s="518"/>
      <c r="AE192" s="518"/>
      <c r="AF192" s="518"/>
      <c r="AG192" s="518"/>
      <c r="AH192" s="518"/>
      <c r="AI192" s="518"/>
      <c r="AJ192" s="518"/>
      <c r="AK192" s="518"/>
      <c r="AL192" s="518"/>
      <c r="AM192" s="518"/>
      <c r="AN192" s="518"/>
      <c r="AO192" s="518"/>
      <c r="AP192" s="518"/>
      <c r="AQ192" s="518"/>
      <c r="AR192" s="518"/>
      <c r="AS192" s="518"/>
      <c r="AT192" s="518"/>
      <c r="AU192" s="518"/>
      <c r="AV192" s="518"/>
      <c r="AW192" s="518"/>
      <c r="AX192" s="518"/>
      <c r="AY192" s="518"/>
      <c r="AZ192" s="518"/>
      <c r="BA192" s="518"/>
      <c r="BB192" s="518"/>
      <c r="BC192" s="518"/>
      <c r="BD192" s="518"/>
      <c r="BE192" s="518"/>
    </row>
    <row r="193" spans="1:57" ht="12.75" customHeight="1">
      <c r="A193" s="518"/>
      <c r="B193" s="518"/>
      <c r="C193" s="518"/>
      <c r="D193" s="518"/>
      <c r="E193" s="518"/>
      <c r="F193" s="518"/>
      <c r="G193" s="518"/>
      <c r="H193" s="518"/>
      <c r="I193" s="518"/>
      <c r="J193" s="518"/>
      <c r="K193" s="518"/>
      <c r="L193" s="518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  <c r="AB193" s="518"/>
      <c r="AC193" s="518"/>
      <c r="AD193" s="518"/>
      <c r="AE193" s="518"/>
      <c r="AF193" s="518"/>
      <c r="AG193" s="518"/>
      <c r="AH193" s="518"/>
      <c r="AI193" s="518"/>
      <c r="AJ193" s="518"/>
      <c r="AK193" s="518"/>
      <c r="AL193" s="518"/>
      <c r="AM193" s="518"/>
      <c r="AN193" s="518"/>
      <c r="AO193" s="518"/>
      <c r="AP193" s="518"/>
      <c r="AQ193" s="518"/>
      <c r="AR193" s="518"/>
      <c r="AS193" s="518"/>
      <c r="AT193" s="518"/>
      <c r="AU193" s="518"/>
      <c r="AV193" s="518"/>
      <c r="AW193" s="518"/>
      <c r="AX193" s="518"/>
      <c r="AY193" s="518"/>
      <c r="AZ193" s="518"/>
      <c r="BA193" s="518"/>
      <c r="BB193" s="518"/>
      <c r="BC193" s="518"/>
      <c r="BD193" s="518"/>
      <c r="BE193" s="518"/>
    </row>
    <row r="194" spans="1:57" ht="12.75" customHeight="1">
      <c r="A194" s="518"/>
      <c r="B194" s="518"/>
      <c r="C194" s="518"/>
      <c r="D194" s="518"/>
      <c r="E194" s="518"/>
      <c r="F194" s="518"/>
      <c r="G194" s="518"/>
      <c r="H194" s="518"/>
      <c r="I194" s="518"/>
      <c r="J194" s="518"/>
      <c r="K194" s="518"/>
      <c r="L194" s="518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  <c r="AB194" s="518"/>
      <c r="AC194" s="518"/>
      <c r="AD194" s="518"/>
      <c r="AE194" s="518"/>
      <c r="AF194" s="518"/>
      <c r="AG194" s="518"/>
      <c r="AH194" s="518"/>
      <c r="AI194" s="518"/>
      <c r="AJ194" s="518"/>
      <c r="AK194" s="518"/>
      <c r="AL194" s="518"/>
      <c r="AM194" s="518"/>
      <c r="AN194" s="518"/>
      <c r="AO194" s="518"/>
      <c r="AP194" s="518"/>
      <c r="AQ194" s="518"/>
      <c r="AR194" s="518"/>
      <c r="AS194" s="518"/>
      <c r="AT194" s="518"/>
      <c r="AU194" s="518"/>
      <c r="AV194" s="518"/>
      <c r="AW194" s="518"/>
      <c r="AX194" s="518"/>
      <c r="AY194" s="518"/>
      <c r="AZ194" s="518"/>
      <c r="BA194" s="518"/>
      <c r="BB194" s="518"/>
      <c r="BC194" s="518"/>
      <c r="BD194" s="518"/>
      <c r="BE194" s="518"/>
    </row>
    <row r="195" spans="1:57" ht="12.75" customHeight="1">
      <c r="A195" s="518"/>
      <c r="B195" s="518"/>
      <c r="C195" s="518"/>
      <c r="D195" s="518"/>
      <c r="E195" s="518"/>
      <c r="F195" s="518"/>
      <c r="G195" s="518"/>
      <c r="H195" s="518"/>
      <c r="I195" s="518"/>
      <c r="J195" s="518"/>
      <c r="K195" s="518"/>
      <c r="L195" s="518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  <c r="AB195" s="518"/>
      <c r="AC195" s="518"/>
      <c r="AD195" s="518"/>
      <c r="AE195" s="518"/>
      <c r="AF195" s="518"/>
      <c r="AG195" s="518"/>
      <c r="AH195" s="518"/>
      <c r="AI195" s="518"/>
      <c r="AJ195" s="518"/>
      <c r="AK195" s="518"/>
      <c r="AL195" s="518"/>
      <c r="AM195" s="518"/>
      <c r="AN195" s="518"/>
      <c r="AO195" s="518"/>
      <c r="AP195" s="518"/>
      <c r="AQ195" s="518"/>
      <c r="AR195" s="518"/>
      <c r="AS195" s="518"/>
      <c r="AT195" s="518"/>
      <c r="AU195" s="518"/>
      <c r="AV195" s="518"/>
      <c r="AW195" s="518"/>
      <c r="AX195" s="518"/>
      <c r="AY195" s="518"/>
      <c r="AZ195" s="518"/>
      <c r="BA195" s="518"/>
      <c r="BB195" s="518"/>
      <c r="BC195" s="518"/>
      <c r="BD195" s="518"/>
      <c r="BE195" s="518"/>
    </row>
    <row r="196" spans="1:57" ht="12.75" customHeight="1">
      <c r="A196" s="518"/>
      <c r="B196" s="518"/>
      <c r="C196" s="518"/>
      <c r="D196" s="518"/>
      <c r="E196" s="518"/>
      <c r="F196" s="518"/>
      <c r="G196" s="518"/>
      <c r="H196" s="518"/>
      <c r="I196" s="518"/>
      <c r="J196" s="518"/>
      <c r="K196" s="518"/>
      <c r="L196" s="518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  <c r="AB196" s="518"/>
      <c r="AC196" s="518"/>
      <c r="AD196" s="518"/>
      <c r="AE196" s="518"/>
      <c r="AF196" s="518"/>
      <c r="AG196" s="518"/>
      <c r="AH196" s="518"/>
      <c r="AI196" s="518"/>
      <c r="AJ196" s="518"/>
      <c r="AK196" s="518"/>
      <c r="AL196" s="518"/>
      <c r="AM196" s="518"/>
      <c r="AN196" s="518"/>
      <c r="AO196" s="518"/>
      <c r="AP196" s="518"/>
      <c r="AQ196" s="518"/>
      <c r="AR196" s="518"/>
      <c r="AS196" s="518"/>
      <c r="AT196" s="518"/>
      <c r="AU196" s="518"/>
      <c r="AV196" s="518"/>
      <c r="AW196" s="518"/>
      <c r="AX196" s="518"/>
      <c r="AY196" s="518"/>
      <c r="AZ196" s="518"/>
      <c r="BA196" s="518"/>
      <c r="BB196" s="518"/>
      <c r="BC196" s="518"/>
      <c r="BD196" s="518"/>
      <c r="BE196" s="518"/>
    </row>
    <row r="197" spans="1:57" ht="12.75" customHeight="1">
      <c r="A197" s="518"/>
      <c r="B197" s="518"/>
      <c r="C197" s="518"/>
      <c r="D197" s="518"/>
      <c r="E197" s="518"/>
      <c r="F197" s="518"/>
      <c r="G197" s="518"/>
      <c r="H197" s="518"/>
      <c r="I197" s="518"/>
      <c r="J197" s="518"/>
      <c r="K197" s="518"/>
      <c r="L197" s="518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  <c r="AB197" s="518"/>
      <c r="AC197" s="518"/>
      <c r="AD197" s="518"/>
      <c r="AE197" s="518"/>
      <c r="AF197" s="518"/>
      <c r="AG197" s="518"/>
      <c r="AH197" s="518"/>
      <c r="AI197" s="518"/>
      <c r="AJ197" s="518"/>
      <c r="AK197" s="518"/>
      <c r="AL197" s="518"/>
      <c r="AM197" s="518"/>
      <c r="AN197" s="518"/>
      <c r="AO197" s="518"/>
      <c r="AP197" s="518"/>
      <c r="AQ197" s="518"/>
      <c r="AR197" s="518"/>
      <c r="AS197" s="518"/>
      <c r="AT197" s="518"/>
      <c r="AU197" s="518"/>
      <c r="AV197" s="518"/>
      <c r="AW197" s="518"/>
      <c r="AX197" s="518"/>
      <c r="AY197" s="518"/>
      <c r="AZ197" s="518"/>
      <c r="BA197" s="518"/>
      <c r="BB197" s="518"/>
      <c r="BC197" s="518"/>
      <c r="BD197" s="518"/>
      <c r="BE197" s="518"/>
    </row>
    <row r="198" spans="1:57" ht="12.75" customHeight="1">
      <c r="A198" s="518"/>
      <c r="B198" s="518"/>
      <c r="C198" s="518"/>
      <c r="D198" s="518"/>
      <c r="E198" s="518"/>
      <c r="F198" s="518"/>
      <c r="G198" s="518"/>
      <c r="H198" s="518"/>
      <c r="I198" s="518"/>
      <c r="J198" s="518"/>
      <c r="K198" s="518"/>
      <c r="L198" s="518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  <c r="AB198" s="518"/>
      <c r="AC198" s="518"/>
      <c r="AD198" s="518"/>
      <c r="AE198" s="518"/>
      <c r="AF198" s="518"/>
      <c r="AG198" s="518"/>
      <c r="AH198" s="518"/>
      <c r="AI198" s="518"/>
      <c r="AJ198" s="518"/>
      <c r="AK198" s="518"/>
      <c r="AL198" s="518"/>
      <c r="AM198" s="518"/>
      <c r="AN198" s="518"/>
      <c r="AO198" s="518"/>
      <c r="AP198" s="518"/>
      <c r="AQ198" s="518"/>
      <c r="AR198" s="518"/>
      <c r="AS198" s="518"/>
      <c r="AT198" s="518"/>
      <c r="AU198" s="518"/>
      <c r="AV198" s="518"/>
      <c r="AW198" s="518"/>
      <c r="AX198" s="518"/>
      <c r="AY198" s="518"/>
      <c r="AZ198" s="518"/>
      <c r="BA198" s="518"/>
      <c r="BB198" s="518"/>
      <c r="BC198" s="518"/>
      <c r="BD198" s="518"/>
      <c r="BE198" s="518"/>
    </row>
    <row r="199" spans="1:57" ht="12.75" customHeight="1">
      <c r="A199" s="518"/>
      <c r="B199" s="518"/>
      <c r="C199" s="518"/>
      <c r="D199" s="518"/>
      <c r="E199" s="518"/>
      <c r="F199" s="518"/>
      <c r="G199" s="518"/>
      <c r="H199" s="518"/>
      <c r="I199" s="518"/>
      <c r="J199" s="518"/>
      <c r="K199" s="518"/>
      <c r="L199" s="518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  <c r="AB199" s="518"/>
      <c r="AC199" s="518"/>
      <c r="AD199" s="518"/>
      <c r="AE199" s="518"/>
      <c r="AF199" s="518"/>
      <c r="AG199" s="518"/>
      <c r="AH199" s="518"/>
      <c r="AI199" s="518"/>
      <c r="AJ199" s="518"/>
      <c r="AK199" s="518"/>
      <c r="AL199" s="518"/>
      <c r="AM199" s="518"/>
      <c r="AN199" s="518"/>
      <c r="AO199" s="518"/>
      <c r="AP199" s="518"/>
      <c r="AQ199" s="518"/>
      <c r="AR199" s="518"/>
      <c r="AS199" s="518"/>
      <c r="AT199" s="518"/>
      <c r="AU199" s="518"/>
      <c r="AV199" s="518"/>
      <c r="AW199" s="518"/>
      <c r="AX199" s="518"/>
      <c r="AY199" s="518"/>
      <c r="AZ199" s="518"/>
      <c r="BA199" s="518"/>
      <c r="BB199" s="518"/>
      <c r="BC199" s="518"/>
      <c r="BD199" s="518"/>
      <c r="BE199" s="518"/>
    </row>
    <row r="200" spans="1:57" ht="12.75" customHeight="1">
      <c r="A200" s="518"/>
      <c r="B200" s="518"/>
      <c r="C200" s="518"/>
      <c r="D200" s="518"/>
      <c r="E200" s="518"/>
      <c r="F200" s="518"/>
      <c r="G200" s="518"/>
      <c r="H200" s="518"/>
      <c r="I200" s="518"/>
      <c r="J200" s="518"/>
      <c r="K200" s="518"/>
      <c r="L200" s="518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  <c r="AB200" s="518"/>
      <c r="AC200" s="518"/>
      <c r="AD200" s="518"/>
      <c r="AE200" s="518"/>
      <c r="AF200" s="518"/>
      <c r="AG200" s="518"/>
      <c r="AH200" s="518"/>
      <c r="AI200" s="518"/>
      <c r="AJ200" s="518"/>
      <c r="AK200" s="518"/>
      <c r="AL200" s="518"/>
      <c r="AM200" s="518"/>
      <c r="AN200" s="518"/>
      <c r="AO200" s="518"/>
      <c r="AP200" s="518"/>
      <c r="AQ200" s="518"/>
      <c r="AR200" s="518"/>
      <c r="AS200" s="518"/>
      <c r="AT200" s="518"/>
      <c r="AU200" s="518"/>
      <c r="AV200" s="518"/>
      <c r="AW200" s="518"/>
      <c r="AX200" s="518"/>
      <c r="AY200" s="518"/>
      <c r="AZ200" s="518"/>
      <c r="BA200" s="518"/>
      <c r="BB200" s="518"/>
      <c r="BC200" s="518"/>
      <c r="BD200" s="518"/>
      <c r="BE200" s="518"/>
    </row>
    <row r="201" spans="1:57" ht="12.75" customHeight="1">
      <c r="A201" s="518"/>
      <c r="B201" s="518"/>
      <c r="C201" s="518"/>
      <c r="D201" s="518"/>
      <c r="E201" s="518"/>
      <c r="F201" s="518"/>
      <c r="G201" s="518"/>
      <c r="H201" s="518"/>
      <c r="I201" s="518"/>
      <c r="J201" s="518"/>
      <c r="K201" s="518"/>
      <c r="L201" s="518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  <c r="AB201" s="518"/>
      <c r="AC201" s="518"/>
      <c r="AD201" s="518"/>
      <c r="AE201" s="518"/>
      <c r="AF201" s="518"/>
      <c r="AG201" s="518"/>
      <c r="AH201" s="518"/>
      <c r="AI201" s="518"/>
      <c r="AJ201" s="518"/>
      <c r="AK201" s="518"/>
      <c r="AL201" s="518"/>
      <c r="AM201" s="518"/>
      <c r="AN201" s="518"/>
      <c r="AO201" s="518"/>
      <c r="AP201" s="518"/>
      <c r="AQ201" s="518"/>
      <c r="AR201" s="518"/>
      <c r="AS201" s="518"/>
      <c r="AT201" s="518"/>
      <c r="AU201" s="518"/>
      <c r="AV201" s="518"/>
      <c r="AW201" s="518"/>
      <c r="AX201" s="518"/>
      <c r="AY201" s="518"/>
      <c r="AZ201" s="518"/>
      <c r="BA201" s="518"/>
      <c r="BB201" s="518"/>
      <c r="BC201" s="518"/>
      <c r="BD201" s="518"/>
      <c r="BE201" s="518"/>
    </row>
    <row r="202" spans="1:57" ht="12.75" customHeight="1">
      <c r="A202" s="518"/>
      <c r="B202" s="518"/>
      <c r="C202" s="518"/>
      <c r="D202" s="518"/>
      <c r="E202" s="518"/>
      <c r="F202" s="518"/>
      <c r="G202" s="518"/>
      <c r="H202" s="518"/>
      <c r="I202" s="518"/>
      <c r="J202" s="518"/>
      <c r="K202" s="518"/>
      <c r="L202" s="518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  <c r="AB202" s="518"/>
      <c r="AC202" s="518"/>
      <c r="AD202" s="518"/>
      <c r="AE202" s="518"/>
      <c r="AF202" s="518"/>
      <c r="AG202" s="518"/>
      <c r="AH202" s="518"/>
      <c r="AI202" s="518"/>
      <c r="AJ202" s="518"/>
      <c r="AK202" s="518"/>
      <c r="AL202" s="518"/>
      <c r="AM202" s="518"/>
      <c r="AN202" s="518"/>
      <c r="AO202" s="518"/>
      <c r="AP202" s="518"/>
      <c r="AQ202" s="518"/>
      <c r="AR202" s="518"/>
      <c r="AS202" s="518"/>
      <c r="AT202" s="518"/>
      <c r="AU202" s="518"/>
      <c r="AV202" s="518"/>
      <c r="AW202" s="518"/>
      <c r="AX202" s="518"/>
      <c r="AY202" s="518"/>
      <c r="AZ202" s="518"/>
      <c r="BA202" s="518"/>
      <c r="BB202" s="518"/>
      <c r="BC202" s="518"/>
      <c r="BD202" s="518"/>
      <c r="BE202" s="518"/>
    </row>
    <row r="203" spans="1:57" ht="12.75" customHeight="1">
      <c r="A203" s="518"/>
      <c r="B203" s="518"/>
      <c r="C203" s="518"/>
      <c r="D203" s="518"/>
      <c r="E203" s="518"/>
      <c r="F203" s="518"/>
      <c r="G203" s="518"/>
      <c r="H203" s="518"/>
      <c r="I203" s="518"/>
      <c r="J203" s="518"/>
      <c r="K203" s="518"/>
      <c r="L203" s="518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  <c r="AB203" s="518"/>
      <c r="AC203" s="518"/>
      <c r="AD203" s="518"/>
      <c r="AE203" s="518"/>
      <c r="AF203" s="518"/>
      <c r="AG203" s="518"/>
      <c r="AH203" s="518"/>
      <c r="AI203" s="518"/>
      <c r="AJ203" s="518"/>
      <c r="AK203" s="518"/>
      <c r="AL203" s="518"/>
      <c r="AM203" s="518"/>
      <c r="AN203" s="518"/>
      <c r="AO203" s="518"/>
      <c r="AP203" s="518"/>
      <c r="AQ203" s="518"/>
      <c r="AR203" s="518"/>
      <c r="AS203" s="518"/>
      <c r="AT203" s="518"/>
      <c r="AU203" s="518"/>
      <c r="AV203" s="518"/>
      <c r="AW203" s="518"/>
      <c r="AX203" s="518"/>
      <c r="AY203" s="518"/>
      <c r="AZ203" s="518"/>
      <c r="BA203" s="518"/>
      <c r="BB203" s="518"/>
      <c r="BC203" s="518"/>
      <c r="BD203" s="518"/>
      <c r="BE203" s="518"/>
    </row>
    <row r="204" spans="1:57" ht="12.75" customHeight="1">
      <c r="A204" s="518"/>
      <c r="B204" s="518"/>
      <c r="C204" s="518"/>
      <c r="D204" s="518"/>
      <c r="E204" s="518"/>
      <c r="F204" s="518"/>
      <c r="G204" s="518"/>
      <c r="H204" s="518"/>
      <c r="I204" s="518"/>
      <c r="J204" s="518"/>
      <c r="K204" s="518"/>
      <c r="L204" s="518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  <c r="AB204" s="518"/>
      <c r="AC204" s="518"/>
      <c r="AD204" s="518"/>
      <c r="AE204" s="518"/>
      <c r="AF204" s="518"/>
      <c r="AG204" s="518"/>
      <c r="AH204" s="518"/>
      <c r="AI204" s="518"/>
      <c r="AJ204" s="518"/>
      <c r="AK204" s="518"/>
      <c r="AL204" s="518"/>
      <c r="AM204" s="518"/>
      <c r="AN204" s="518"/>
      <c r="AO204" s="518"/>
      <c r="AP204" s="518"/>
      <c r="AQ204" s="518"/>
      <c r="AR204" s="518"/>
      <c r="AS204" s="518"/>
      <c r="AT204" s="518"/>
      <c r="AU204" s="518"/>
      <c r="AV204" s="518"/>
      <c r="AW204" s="518"/>
      <c r="AX204" s="518"/>
      <c r="AY204" s="518"/>
      <c r="AZ204" s="518"/>
      <c r="BA204" s="518"/>
      <c r="BB204" s="518"/>
      <c r="BC204" s="518"/>
      <c r="BD204" s="518"/>
      <c r="BE204" s="518"/>
    </row>
    <row r="205" spans="1:57" ht="12.75" customHeight="1">
      <c r="A205" s="518"/>
      <c r="B205" s="518"/>
      <c r="C205" s="518"/>
      <c r="D205" s="518"/>
      <c r="E205" s="518"/>
      <c r="F205" s="518"/>
      <c r="G205" s="518"/>
      <c r="H205" s="518"/>
      <c r="I205" s="518"/>
      <c r="J205" s="518"/>
      <c r="K205" s="518"/>
      <c r="L205" s="518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  <c r="AB205" s="518"/>
      <c r="AC205" s="518"/>
      <c r="AD205" s="518"/>
      <c r="AE205" s="518"/>
      <c r="AF205" s="518"/>
      <c r="AG205" s="518"/>
      <c r="AH205" s="518"/>
      <c r="AI205" s="518"/>
      <c r="AJ205" s="518"/>
      <c r="AK205" s="518"/>
      <c r="AL205" s="518"/>
      <c r="AM205" s="518"/>
      <c r="AN205" s="518"/>
      <c r="AO205" s="518"/>
      <c r="AP205" s="518"/>
      <c r="AQ205" s="518"/>
      <c r="AR205" s="518"/>
      <c r="AS205" s="518"/>
      <c r="AT205" s="518"/>
      <c r="AU205" s="518"/>
      <c r="AV205" s="518"/>
      <c r="AW205" s="518"/>
      <c r="AX205" s="518"/>
      <c r="AY205" s="518"/>
      <c r="AZ205" s="518"/>
      <c r="BA205" s="518"/>
      <c r="BB205" s="518"/>
      <c r="BC205" s="518"/>
      <c r="BD205" s="518"/>
      <c r="BE205" s="518"/>
    </row>
    <row r="206" spans="1:57" ht="12.75" customHeight="1">
      <c r="A206" s="518"/>
      <c r="B206" s="518"/>
      <c r="C206" s="518"/>
      <c r="D206" s="518"/>
      <c r="E206" s="518"/>
      <c r="F206" s="518"/>
      <c r="G206" s="518"/>
      <c r="H206" s="518"/>
      <c r="I206" s="518"/>
      <c r="J206" s="518"/>
      <c r="K206" s="518"/>
      <c r="L206" s="518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  <c r="AB206" s="518"/>
      <c r="AC206" s="518"/>
      <c r="AD206" s="518"/>
      <c r="AE206" s="518"/>
      <c r="AF206" s="518"/>
      <c r="AG206" s="518"/>
      <c r="AH206" s="518"/>
      <c r="AI206" s="518"/>
      <c r="AJ206" s="518"/>
      <c r="AK206" s="518"/>
      <c r="AL206" s="518"/>
      <c r="AM206" s="518"/>
      <c r="AN206" s="518"/>
      <c r="AO206" s="518"/>
      <c r="AP206" s="518"/>
      <c r="AQ206" s="518"/>
      <c r="AR206" s="518"/>
      <c r="AS206" s="518"/>
      <c r="AT206" s="518"/>
      <c r="AU206" s="518"/>
      <c r="AV206" s="518"/>
      <c r="AW206" s="518"/>
      <c r="AX206" s="518"/>
      <c r="AY206" s="518"/>
      <c r="AZ206" s="518"/>
      <c r="BA206" s="518"/>
      <c r="BB206" s="518"/>
      <c r="BC206" s="518"/>
      <c r="BD206" s="518"/>
      <c r="BE206" s="518"/>
    </row>
    <row r="207" spans="1:57" ht="12.75" customHeight="1">
      <c r="A207" s="518"/>
      <c r="B207" s="518"/>
      <c r="C207" s="518"/>
      <c r="D207" s="518"/>
      <c r="E207" s="518"/>
      <c r="F207" s="518"/>
      <c r="G207" s="518"/>
      <c r="H207" s="518"/>
      <c r="I207" s="518"/>
      <c r="J207" s="518"/>
      <c r="K207" s="518"/>
      <c r="L207" s="518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  <c r="AB207" s="518"/>
      <c r="AC207" s="518"/>
      <c r="AD207" s="518"/>
      <c r="AE207" s="518"/>
      <c r="AF207" s="518"/>
      <c r="AG207" s="518"/>
      <c r="AH207" s="518"/>
      <c r="AI207" s="518"/>
      <c r="AJ207" s="518"/>
      <c r="AK207" s="518"/>
      <c r="AL207" s="518"/>
      <c r="AM207" s="518"/>
      <c r="AN207" s="518"/>
      <c r="AO207" s="518"/>
      <c r="AP207" s="518"/>
      <c r="AQ207" s="518"/>
      <c r="AR207" s="518"/>
      <c r="AS207" s="518"/>
      <c r="AT207" s="518"/>
      <c r="AU207" s="518"/>
      <c r="AV207" s="518"/>
      <c r="AW207" s="518"/>
      <c r="AX207" s="518"/>
      <c r="AY207" s="518"/>
      <c r="AZ207" s="518"/>
      <c r="BA207" s="518"/>
      <c r="BB207" s="518"/>
      <c r="BC207" s="518"/>
      <c r="BD207" s="518"/>
      <c r="BE207" s="518"/>
    </row>
    <row r="208" spans="1:57" ht="12.75" customHeight="1">
      <c r="A208" s="518"/>
      <c r="B208" s="518"/>
      <c r="C208" s="518"/>
      <c r="D208" s="518"/>
      <c r="E208" s="518"/>
      <c r="F208" s="518"/>
      <c r="G208" s="518"/>
      <c r="H208" s="518"/>
      <c r="I208" s="518"/>
      <c r="J208" s="518"/>
      <c r="K208" s="518"/>
      <c r="L208" s="518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  <c r="AB208" s="518"/>
      <c r="AC208" s="518"/>
      <c r="AD208" s="518"/>
      <c r="AE208" s="518"/>
      <c r="AF208" s="518"/>
      <c r="AG208" s="518"/>
      <c r="AH208" s="518"/>
      <c r="AI208" s="518"/>
      <c r="AJ208" s="518"/>
      <c r="AK208" s="518"/>
      <c r="AL208" s="518"/>
      <c r="AM208" s="518"/>
      <c r="AN208" s="518"/>
      <c r="AO208" s="518"/>
      <c r="AP208" s="518"/>
      <c r="AQ208" s="518"/>
      <c r="AR208" s="518"/>
      <c r="AS208" s="518"/>
      <c r="AT208" s="518"/>
      <c r="AU208" s="518"/>
      <c r="AV208" s="518"/>
      <c r="AW208" s="518"/>
      <c r="AX208" s="518"/>
      <c r="AY208" s="518"/>
      <c r="AZ208" s="518"/>
      <c r="BA208" s="518"/>
      <c r="BB208" s="518"/>
      <c r="BC208" s="518"/>
      <c r="BD208" s="518"/>
      <c r="BE208" s="518"/>
    </row>
    <row r="209" spans="1:57" ht="12.75" customHeight="1">
      <c r="A209" s="518"/>
      <c r="B209" s="518"/>
      <c r="C209" s="518"/>
      <c r="D209" s="518"/>
      <c r="E209" s="518"/>
      <c r="F209" s="518"/>
      <c r="G209" s="518"/>
      <c r="H209" s="518"/>
      <c r="I209" s="518"/>
      <c r="J209" s="518"/>
      <c r="K209" s="518"/>
      <c r="L209" s="518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  <c r="AB209" s="518"/>
      <c r="AC209" s="518"/>
      <c r="AD209" s="518"/>
      <c r="AE209" s="518"/>
      <c r="AF209" s="518"/>
      <c r="AG209" s="518"/>
      <c r="AH209" s="518"/>
      <c r="AI209" s="518"/>
      <c r="AJ209" s="518"/>
      <c r="AK209" s="518"/>
      <c r="AL209" s="518"/>
      <c r="AM209" s="518"/>
      <c r="AN209" s="518"/>
      <c r="AO209" s="518"/>
      <c r="AP209" s="518"/>
      <c r="AQ209" s="518"/>
      <c r="AR209" s="518"/>
      <c r="AS209" s="518"/>
      <c r="AT209" s="518"/>
      <c r="AU209" s="518"/>
      <c r="AV209" s="518"/>
      <c r="AW209" s="518"/>
      <c r="AX209" s="518"/>
      <c r="AY209" s="518"/>
      <c r="AZ209" s="518"/>
      <c r="BA209" s="518"/>
      <c r="BB209" s="518"/>
      <c r="BC209" s="518"/>
      <c r="BD209" s="518"/>
      <c r="BE209" s="518"/>
    </row>
    <row r="210" spans="1:57" ht="12.75" customHeight="1">
      <c r="A210" s="518"/>
      <c r="B210" s="518"/>
      <c r="C210" s="518"/>
      <c r="D210" s="518"/>
      <c r="E210" s="518"/>
      <c r="F210" s="518"/>
      <c r="G210" s="518"/>
      <c r="H210" s="518"/>
      <c r="I210" s="518"/>
      <c r="J210" s="518"/>
      <c r="K210" s="518"/>
      <c r="L210" s="518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  <c r="AB210" s="518"/>
      <c r="AC210" s="518"/>
      <c r="AD210" s="518"/>
      <c r="AE210" s="518"/>
      <c r="AF210" s="518"/>
      <c r="AG210" s="518"/>
      <c r="AH210" s="518"/>
      <c r="AI210" s="518"/>
      <c r="AJ210" s="518"/>
      <c r="AK210" s="518"/>
      <c r="AL210" s="518"/>
      <c r="AM210" s="518"/>
      <c r="AN210" s="518"/>
      <c r="AO210" s="518"/>
      <c r="AP210" s="518"/>
      <c r="AQ210" s="518"/>
      <c r="AR210" s="518"/>
      <c r="AS210" s="518"/>
      <c r="AT210" s="518"/>
      <c r="AU210" s="518"/>
      <c r="AV210" s="518"/>
      <c r="AW210" s="518"/>
      <c r="AX210" s="518"/>
      <c r="AY210" s="518"/>
      <c r="AZ210" s="518"/>
      <c r="BA210" s="518"/>
      <c r="BB210" s="518"/>
      <c r="BC210" s="518"/>
      <c r="BD210" s="518"/>
      <c r="BE210" s="518"/>
    </row>
    <row r="211" spans="1:57" ht="12.75" customHeight="1">
      <c r="A211" s="518"/>
      <c r="B211" s="518"/>
      <c r="C211" s="518"/>
      <c r="D211" s="518"/>
      <c r="E211" s="518"/>
      <c r="F211" s="518"/>
      <c r="G211" s="518"/>
      <c r="H211" s="518"/>
      <c r="I211" s="518"/>
      <c r="J211" s="518"/>
      <c r="K211" s="518"/>
      <c r="L211" s="518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  <c r="AB211" s="518"/>
      <c r="AC211" s="518"/>
      <c r="AD211" s="518"/>
      <c r="AE211" s="518"/>
      <c r="AF211" s="518"/>
      <c r="AG211" s="518"/>
      <c r="AH211" s="518"/>
      <c r="AI211" s="518"/>
      <c r="AJ211" s="518"/>
      <c r="AK211" s="518"/>
      <c r="AL211" s="518"/>
      <c r="AM211" s="518"/>
      <c r="AN211" s="518"/>
      <c r="AO211" s="518"/>
      <c r="AP211" s="518"/>
      <c r="AQ211" s="518"/>
      <c r="AR211" s="518"/>
      <c r="AS211" s="518"/>
      <c r="AT211" s="518"/>
      <c r="AU211" s="518"/>
      <c r="AV211" s="518"/>
      <c r="AW211" s="518"/>
      <c r="AX211" s="518"/>
      <c r="AY211" s="518"/>
      <c r="AZ211" s="518"/>
      <c r="BA211" s="518"/>
      <c r="BB211" s="518"/>
      <c r="BC211" s="518"/>
      <c r="BD211" s="518"/>
      <c r="BE211" s="518"/>
    </row>
    <row r="212" spans="1:57" ht="12.75" customHeight="1">
      <c r="A212" s="518"/>
      <c r="B212" s="518"/>
      <c r="C212" s="518"/>
      <c r="D212" s="518"/>
      <c r="E212" s="518"/>
      <c r="F212" s="518"/>
      <c r="G212" s="518"/>
      <c r="H212" s="518"/>
      <c r="I212" s="518"/>
      <c r="J212" s="518"/>
      <c r="K212" s="518"/>
      <c r="L212" s="518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  <c r="AB212" s="518"/>
      <c r="AC212" s="518"/>
      <c r="AD212" s="518"/>
      <c r="AE212" s="518"/>
      <c r="AF212" s="518"/>
      <c r="AG212" s="518"/>
      <c r="AH212" s="518"/>
      <c r="AI212" s="518"/>
      <c r="AJ212" s="518"/>
      <c r="AK212" s="518"/>
      <c r="AL212" s="518"/>
      <c r="AM212" s="518"/>
      <c r="AN212" s="518"/>
      <c r="AO212" s="518"/>
      <c r="AP212" s="518"/>
      <c r="AQ212" s="518"/>
      <c r="AR212" s="518"/>
      <c r="AS212" s="518"/>
      <c r="AT212" s="518"/>
      <c r="AU212" s="518"/>
      <c r="AV212" s="518"/>
      <c r="AW212" s="518"/>
      <c r="AX212" s="518"/>
      <c r="AY212" s="518"/>
      <c r="AZ212" s="518"/>
      <c r="BA212" s="518"/>
      <c r="BB212" s="518"/>
      <c r="BC212" s="518"/>
      <c r="BD212" s="518"/>
      <c r="BE212" s="518"/>
    </row>
    <row r="213" spans="1:57" ht="12.75" customHeight="1">
      <c r="A213" s="518"/>
      <c r="B213" s="518"/>
      <c r="C213" s="518"/>
      <c r="D213" s="518"/>
      <c r="E213" s="518"/>
      <c r="F213" s="518"/>
      <c r="G213" s="518"/>
      <c r="H213" s="518"/>
      <c r="I213" s="518"/>
      <c r="J213" s="518"/>
      <c r="K213" s="518"/>
      <c r="L213" s="518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  <c r="AB213" s="518"/>
      <c r="AC213" s="518"/>
      <c r="AD213" s="518"/>
      <c r="AE213" s="518"/>
      <c r="AF213" s="518"/>
      <c r="AG213" s="518"/>
      <c r="AH213" s="518"/>
      <c r="AI213" s="518"/>
      <c r="AJ213" s="518"/>
      <c r="AK213" s="518"/>
      <c r="AL213" s="518"/>
      <c r="AM213" s="518"/>
      <c r="AN213" s="518"/>
      <c r="AO213" s="518"/>
      <c r="AP213" s="518"/>
      <c r="AQ213" s="518"/>
      <c r="AR213" s="518"/>
      <c r="AS213" s="518"/>
      <c r="AT213" s="518"/>
      <c r="AU213" s="518"/>
      <c r="AV213" s="518"/>
      <c r="AW213" s="518"/>
      <c r="AX213" s="518"/>
      <c r="AY213" s="518"/>
      <c r="AZ213" s="518"/>
      <c r="BA213" s="518"/>
      <c r="BB213" s="518"/>
      <c r="BC213" s="518"/>
      <c r="BD213" s="518"/>
      <c r="BE213" s="518"/>
    </row>
    <row r="214" spans="1:57" ht="12.75" customHeight="1">
      <c r="A214" s="518"/>
      <c r="B214" s="518"/>
      <c r="C214" s="518"/>
      <c r="D214" s="518"/>
      <c r="E214" s="518"/>
      <c r="F214" s="518"/>
      <c r="G214" s="518"/>
      <c r="H214" s="518"/>
      <c r="I214" s="518"/>
      <c r="J214" s="518"/>
      <c r="K214" s="518"/>
      <c r="L214" s="518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  <c r="AB214" s="518"/>
      <c r="AC214" s="518"/>
      <c r="AD214" s="518"/>
      <c r="AE214" s="518"/>
      <c r="AF214" s="518"/>
      <c r="AG214" s="518"/>
      <c r="AH214" s="518"/>
      <c r="AI214" s="518"/>
      <c r="AJ214" s="518"/>
      <c r="AK214" s="518"/>
      <c r="AL214" s="518"/>
      <c r="AM214" s="518"/>
      <c r="AN214" s="518"/>
      <c r="AO214" s="518"/>
      <c r="AP214" s="518"/>
      <c r="AQ214" s="518"/>
      <c r="AR214" s="518"/>
      <c r="AS214" s="518"/>
      <c r="AT214" s="518"/>
      <c r="AU214" s="518"/>
      <c r="AV214" s="518"/>
      <c r="AW214" s="518"/>
      <c r="AX214" s="518"/>
      <c r="AY214" s="518"/>
      <c r="AZ214" s="518"/>
      <c r="BA214" s="518"/>
      <c r="BB214" s="518"/>
      <c r="BC214" s="518"/>
      <c r="BD214" s="518"/>
      <c r="BE214" s="518"/>
    </row>
    <row r="215" spans="1:57" ht="12.75" customHeight="1">
      <c r="A215" s="518"/>
      <c r="B215" s="518"/>
      <c r="C215" s="518"/>
      <c r="D215" s="518"/>
      <c r="E215" s="518"/>
      <c r="F215" s="518"/>
      <c r="G215" s="518"/>
      <c r="H215" s="518"/>
      <c r="I215" s="518"/>
      <c r="J215" s="518"/>
      <c r="K215" s="518"/>
      <c r="L215" s="518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  <c r="AB215" s="518"/>
      <c r="AC215" s="518"/>
      <c r="AD215" s="518"/>
      <c r="AE215" s="518"/>
      <c r="AF215" s="518"/>
      <c r="AG215" s="518"/>
      <c r="AH215" s="518"/>
      <c r="AI215" s="518"/>
      <c r="AJ215" s="518"/>
      <c r="AK215" s="518"/>
      <c r="AL215" s="518"/>
      <c r="AM215" s="518"/>
      <c r="AN215" s="518"/>
      <c r="AO215" s="518"/>
      <c r="AP215" s="518"/>
      <c r="AQ215" s="518"/>
      <c r="AR215" s="518"/>
      <c r="AS215" s="518"/>
      <c r="AT215" s="518"/>
      <c r="AU215" s="518"/>
      <c r="AV215" s="518"/>
      <c r="AW215" s="518"/>
      <c r="AX215" s="518"/>
      <c r="AY215" s="518"/>
      <c r="AZ215" s="518"/>
      <c r="BA215" s="518"/>
      <c r="BB215" s="518"/>
      <c r="BC215" s="518"/>
      <c r="BD215" s="518"/>
      <c r="BE215" s="518"/>
    </row>
    <row r="216" spans="1:57" ht="12.75" customHeight="1">
      <c r="A216" s="518"/>
      <c r="B216" s="518"/>
      <c r="C216" s="518"/>
      <c r="D216" s="518"/>
      <c r="E216" s="518"/>
      <c r="F216" s="518"/>
      <c r="G216" s="518"/>
      <c r="H216" s="518"/>
      <c r="I216" s="518"/>
      <c r="J216" s="518"/>
      <c r="K216" s="518"/>
      <c r="L216" s="518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  <c r="AB216" s="518"/>
      <c r="AC216" s="518"/>
      <c r="AD216" s="518"/>
      <c r="AE216" s="518"/>
      <c r="AF216" s="518"/>
      <c r="AG216" s="518"/>
      <c r="AH216" s="518"/>
      <c r="AI216" s="518"/>
      <c r="AJ216" s="518"/>
      <c r="AK216" s="518"/>
      <c r="AL216" s="518"/>
      <c r="AM216" s="518"/>
      <c r="AN216" s="518"/>
      <c r="AO216" s="518"/>
      <c r="AP216" s="518"/>
      <c r="AQ216" s="518"/>
      <c r="AR216" s="518"/>
      <c r="AS216" s="518"/>
      <c r="AT216" s="518"/>
      <c r="AU216" s="518"/>
      <c r="AV216" s="518"/>
      <c r="AW216" s="518"/>
      <c r="AX216" s="518"/>
      <c r="AY216" s="518"/>
      <c r="AZ216" s="518"/>
      <c r="BA216" s="518"/>
      <c r="BB216" s="518"/>
      <c r="BC216" s="518"/>
      <c r="BD216" s="518"/>
      <c r="BE216" s="518"/>
    </row>
    <row r="217" spans="1:57" ht="12.75" customHeight="1">
      <c r="A217" s="518"/>
      <c r="B217" s="518"/>
      <c r="C217" s="518"/>
      <c r="D217" s="518"/>
      <c r="E217" s="518"/>
      <c r="F217" s="518"/>
      <c r="G217" s="518"/>
      <c r="H217" s="518"/>
      <c r="I217" s="518"/>
      <c r="J217" s="518"/>
      <c r="K217" s="518"/>
      <c r="L217" s="518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  <c r="AB217" s="518"/>
      <c r="AC217" s="518"/>
      <c r="AD217" s="518"/>
      <c r="AE217" s="518"/>
      <c r="AF217" s="518"/>
      <c r="AG217" s="518"/>
      <c r="AH217" s="518"/>
      <c r="AI217" s="518"/>
      <c r="AJ217" s="518"/>
      <c r="AK217" s="518"/>
      <c r="AL217" s="518"/>
      <c r="AM217" s="518"/>
      <c r="AN217" s="518"/>
      <c r="AO217" s="518"/>
      <c r="AP217" s="518"/>
      <c r="AQ217" s="518"/>
      <c r="AR217" s="518"/>
      <c r="AS217" s="518"/>
      <c r="AT217" s="518"/>
      <c r="AU217" s="518"/>
      <c r="AV217" s="518"/>
      <c r="AW217" s="518"/>
      <c r="AX217" s="518"/>
      <c r="AY217" s="518"/>
      <c r="AZ217" s="518"/>
      <c r="BA217" s="518"/>
      <c r="BB217" s="518"/>
      <c r="BC217" s="518"/>
      <c r="BD217" s="518"/>
      <c r="BE217" s="518"/>
    </row>
    <row r="218" spans="1:57" ht="12.75" customHeight="1">
      <c r="A218" s="518"/>
      <c r="B218" s="518"/>
      <c r="C218" s="518"/>
      <c r="D218" s="518"/>
      <c r="E218" s="518"/>
      <c r="F218" s="518"/>
      <c r="G218" s="518"/>
      <c r="H218" s="518"/>
      <c r="I218" s="518"/>
      <c r="J218" s="518"/>
      <c r="K218" s="518"/>
      <c r="L218" s="518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  <c r="AB218" s="518"/>
      <c r="AC218" s="518"/>
      <c r="AD218" s="518"/>
      <c r="AE218" s="518"/>
      <c r="AF218" s="518"/>
      <c r="AG218" s="518"/>
      <c r="AH218" s="518"/>
      <c r="AI218" s="518"/>
      <c r="AJ218" s="518"/>
      <c r="AK218" s="518"/>
      <c r="AL218" s="518"/>
      <c r="AM218" s="518"/>
      <c r="AN218" s="518"/>
      <c r="AO218" s="518"/>
      <c r="AP218" s="518"/>
      <c r="AQ218" s="518"/>
      <c r="AR218" s="518"/>
      <c r="AS218" s="518"/>
      <c r="AT218" s="518"/>
      <c r="AU218" s="518"/>
      <c r="AV218" s="518"/>
      <c r="AW218" s="518"/>
      <c r="AX218" s="518"/>
      <c r="AY218" s="518"/>
      <c r="AZ218" s="518"/>
      <c r="BA218" s="518"/>
      <c r="BB218" s="518"/>
      <c r="BC218" s="518"/>
      <c r="BD218" s="518"/>
      <c r="BE218" s="518"/>
    </row>
    <row r="219" spans="1:57" ht="12.75" customHeight="1">
      <c r="A219" s="518"/>
      <c r="B219" s="518"/>
      <c r="C219" s="518"/>
      <c r="D219" s="518"/>
      <c r="E219" s="518"/>
      <c r="F219" s="518"/>
      <c r="G219" s="518"/>
      <c r="H219" s="518"/>
      <c r="I219" s="518"/>
      <c r="J219" s="518"/>
      <c r="K219" s="518"/>
      <c r="L219" s="518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  <c r="AB219" s="518"/>
      <c r="AC219" s="518"/>
      <c r="AD219" s="518"/>
      <c r="AE219" s="518"/>
      <c r="AF219" s="518"/>
      <c r="AG219" s="518"/>
      <c r="AH219" s="518"/>
      <c r="AI219" s="518"/>
      <c r="AJ219" s="518"/>
      <c r="AK219" s="518"/>
      <c r="AL219" s="518"/>
      <c r="AM219" s="518"/>
      <c r="AN219" s="518"/>
      <c r="AO219" s="518"/>
      <c r="AP219" s="518"/>
      <c r="AQ219" s="518"/>
      <c r="AR219" s="518"/>
      <c r="AS219" s="518"/>
      <c r="AT219" s="518"/>
      <c r="AU219" s="518"/>
      <c r="AV219" s="518"/>
      <c r="AW219" s="518"/>
      <c r="AX219" s="518"/>
      <c r="AY219" s="518"/>
      <c r="AZ219" s="518"/>
      <c r="BA219" s="518"/>
      <c r="BB219" s="518"/>
      <c r="BC219" s="518"/>
      <c r="BD219" s="518"/>
      <c r="BE219" s="518"/>
    </row>
    <row r="220" spans="1:57" ht="12.75" customHeight="1">
      <c r="A220" s="518"/>
      <c r="B220" s="518"/>
      <c r="C220" s="518"/>
      <c r="D220" s="518"/>
      <c r="E220" s="518"/>
      <c r="F220" s="518"/>
      <c r="G220" s="518"/>
      <c r="H220" s="518"/>
      <c r="I220" s="518"/>
      <c r="J220" s="518"/>
      <c r="K220" s="518"/>
      <c r="L220" s="518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  <c r="AB220" s="518"/>
      <c r="AC220" s="518"/>
      <c r="AD220" s="518"/>
      <c r="AE220" s="518"/>
      <c r="AF220" s="518"/>
      <c r="AG220" s="518"/>
      <c r="AH220" s="518"/>
      <c r="AI220" s="518"/>
      <c r="AJ220" s="518"/>
      <c r="AK220" s="518"/>
      <c r="AL220" s="518"/>
      <c r="AM220" s="518"/>
      <c r="AN220" s="518"/>
      <c r="AO220" s="518"/>
      <c r="AP220" s="518"/>
      <c r="AQ220" s="518"/>
      <c r="AR220" s="518"/>
      <c r="AS220" s="518"/>
      <c r="AT220" s="518"/>
      <c r="AU220" s="518"/>
      <c r="AV220" s="518"/>
      <c r="AW220" s="518"/>
      <c r="AX220" s="518"/>
      <c r="AY220" s="518"/>
      <c r="AZ220" s="518"/>
      <c r="BA220" s="518"/>
      <c r="BB220" s="518"/>
      <c r="BC220" s="518"/>
      <c r="BD220" s="518"/>
      <c r="BE220" s="518"/>
    </row>
    <row r="221" spans="1:57" ht="12.75" customHeight="1">
      <c r="A221" s="518"/>
      <c r="B221" s="518"/>
      <c r="C221" s="518"/>
      <c r="D221" s="518"/>
      <c r="E221" s="518"/>
      <c r="F221" s="518"/>
      <c r="G221" s="518"/>
      <c r="H221" s="518"/>
      <c r="I221" s="518"/>
      <c r="J221" s="518"/>
      <c r="K221" s="518"/>
      <c r="L221" s="518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  <c r="AB221" s="518"/>
      <c r="AC221" s="518"/>
      <c r="AD221" s="518"/>
      <c r="AE221" s="518"/>
      <c r="AF221" s="518"/>
      <c r="AG221" s="518"/>
      <c r="AH221" s="518"/>
      <c r="AI221" s="518"/>
      <c r="AJ221" s="518"/>
      <c r="AK221" s="518"/>
      <c r="AL221" s="518"/>
      <c r="AM221" s="518"/>
      <c r="AN221" s="518"/>
      <c r="AO221" s="518"/>
      <c r="AP221" s="518"/>
      <c r="AQ221" s="518"/>
      <c r="AR221" s="518"/>
      <c r="AS221" s="518"/>
      <c r="AT221" s="518"/>
      <c r="AU221" s="518"/>
      <c r="AV221" s="518"/>
      <c r="AW221" s="518"/>
      <c r="AX221" s="518"/>
      <c r="AY221" s="518"/>
      <c r="AZ221" s="518"/>
      <c r="BA221" s="518"/>
      <c r="BB221" s="518"/>
      <c r="BC221" s="518"/>
      <c r="BD221" s="518"/>
      <c r="BE221" s="518"/>
    </row>
    <row r="222" spans="1:57" ht="12.75" customHeight="1">
      <c r="A222" s="518"/>
      <c r="B222" s="518"/>
      <c r="C222" s="518"/>
      <c r="D222" s="518"/>
      <c r="E222" s="518"/>
      <c r="F222" s="518"/>
      <c r="G222" s="518"/>
      <c r="H222" s="518"/>
      <c r="I222" s="518"/>
      <c r="J222" s="518"/>
      <c r="K222" s="518"/>
      <c r="L222" s="518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  <c r="AB222" s="518"/>
      <c r="AC222" s="518"/>
      <c r="AD222" s="518"/>
      <c r="AE222" s="518"/>
      <c r="AF222" s="518"/>
      <c r="AG222" s="518"/>
      <c r="AH222" s="518"/>
      <c r="AI222" s="518"/>
      <c r="AJ222" s="518"/>
      <c r="AK222" s="518"/>
      <c r="AL222" s="518"/>
      <c r="AM222" s="518"/>
      <c r="AN222" s="518"/>
      <c r="AO222" s="518"/>
      <c r="AP222" s="518"/>
      <c r="AQ222" s="518"/>
      <c r="AR222" s="518"/>
      <c r="AS222" s="518"/>
      <c r="AT222" s="518"/>
      <c r="AU222" s="518"/>
      <c r="AV222" s="518"/>
      <c r="AW222" s="518"/>
      <c r="AX222" s="518"/>
      <c r="AY222" s="518"/>
      <c r="AZ222" s="518"/>
      <c r="BA222" s="518"/>
      <c r="BB222" s="518"/>
      <c r="BC222" s="518"/>
      <c r="BD222" s="518"/>
      <c r="BE222" s="518"/>
    </row>
    <row r="223" spans="1:57" ht="12.75" customHeight="1">
      <c r="A223" s="518"/>
      <c r="B223" s="518"/>
      <c r="C223" s="518"/>
      <c r="D223" s="518"/>
      <c r="E223" s="518"/>
      <c r="F223" s="518"/>
      <c r="G223" s="518"/>
      <c r="H223" s="518"/>
      <c r="I223" s="518"/>
      <c r="J223" s="518"/>
      <c r="K223" s="518"/>
      <c r="L223" s="518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  <c r="AB223" s="518"/>
      <c r="AC223" s="518"/>
      <c r="AD223" s="518"/>
      <c r="AE223" s="518"/>
      <c r="AF223" s="518"/>
      <c r="AG223" s="518"/>
      <c r="AH223" s="518"/>
      <c r="AI223" s="518"/>
      <c r="AJ223" s="518"/>
      <c r="AK223" s="518"/>
      <c r="AL223" s="518"/>
      <c r="AM223" s="518"/>
      <c r="AN223" s="518"/>
      <c r="AO223" s="518"/>
      <c r="AP223" s="518"/>
      <c r="AQ223" s="518"/>
      <c r="AR223" s="518"/>
      <c r="AS223" s="518"/>
      <c r="AT223" s="518"/>
      <c r="AU223" s="518"/>
      <c r="AV223" s="518"/>
      <c r="AW223" s="518"/>
      <c r="AX223" s="518"/>
      <c r="AY223" s="518"/>
      <c r="AZ223" s="518"/>
      <c r="BA223" s="518"/>
      <c r="BB223" s="518"/>
      <c r="BC223" s="518"/>
      <c r="BD223" s="518"/>
      <c r="BE223" s="518"/>
    </row>
    <row r="224" spans="1:57" ht="12.75" customHeight="1">
      <c r="A224" s="518"/>
      <c r="B224" s="518"/>
      <c r="C224" s="518"/>
      <c r="D224" s="518"/>
      <c r="E224" s="518"/>
      <c r="F224" s="518"/>
      <c r="G224" s="518"/>
      <c r="H224" s="518"/>
      <c r="I224" s="518"/>
      <c r="J224" s="518"/>
      <c r="K224" s="518"/>
      <c r="L224" s="518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  <c r="AB224" s="518"/>
      <c r="AC224" s="518"/>
      <c r="AD224" s="518"/>
      <c r="AE224" s="518"/>
      <c r="AF224" s="518"/>
      <c r="AG224" s="518"/>
      <c r="AH224" s="518"/>
      <c r="AI224" s="518"/>
      <c r="AJ224" s="518"/>
      <c r="AK224" s="518"/>
      <c r="AL224" s="518"/>
      <c r="AM224" s="518"/>
      <c r="AN224" s="518"/>
      <c r="AO224" s="518"/>
      <c r="AP224" s="518"/>
      <c r="AQ224" s="518"/>
      <c r="AR224" s="518"/>
      <c r="AS224" s="518"/>
      <c r="AT224" s="518"/>
      <c r="AU224" s="518"/>
      <c r="AV224" s="518"/>
      <c r="AW224" s="518"/>
      <c r="AX224" s="518"/>
      <c r="AY224" s="518"/>
      <c r="AZ224" s="518"/>
      <c r="BA224" s="518"/>
      <c r="BB224" s="518"/>
      <c r="BC224" s="518"/>
      <c r="BD224" s="518"/>
      <c r="BE224" s="518"/>
    </row>
    <row r="225" spans="1:57" ht="12.75" customHeight="1">
      <c r="A225" s="518"/>
      <c r="B225" s="518"/>
      <c r="C225" s="518"/>
      <c r="D225" s="518"/>
      <c r="E225" s="518"/>
      <c r="F225" s="518"/>
      <c r="G225" s="518"/>
      <c r="H225" s="518"/>
      <c r="I225" s="518"/>
      <c r="J225" s="518"/>
      <c r="K225" s="518"/>
      <c r="L225" s="518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  <c r="AB225" s="518"/>
      <c r="AC225" s="518"/>
      <c r="AD225" s="518"/>
      <c r="AE225" s="518"/>
      <c r="AF225" s="518"/>
      <c r="AG225" s="518"/>
      <c r="AH225" s="518"/>
      <c r="AI225" s="518"/>
      <c r="AJ225" s="518"/>
      <c r="AK225" s="518"/>
      <c r="AL225" s="518"/>
      <c r="AM225" s="518"/>
      <c r="AN225" s="518"/>
      <c r="AO225" s="518"/>
      <c r="AP225" s="518"/>
      <c r="AQ225" s="518"/>
      <c r="AR225" s="518"/>
      <c r="AS225" s="518"/>
      <c r="AT225" s="518"/>
      <c r="AU225" s="518"/>
      <c r="AV225" s="518"/>
      <c r="AW225" s="518"/>
      <c r="AX225" s="518"/>
      <c r="AY225" s="518"/>
      <c r="AZ225" s="518"/>
      <c r="BA225" s="518"/>
      <c r="BB225" s="518"/>
      <c r="BC225" s="518"/>
      <c r="BD225" s="518"/>
      <c r="BE225" s="518"/>
    </row>
    <row r="226" spans="1:57" ht="12.75" customHeight="1">
      <c r="A226" s="518"/>
      <c r="B226" s="518"/>
      <c r="C226" s="518"/>
      <c r="D226" s="518"/>
      <c r="E226" s="518"/>
      <c r="F226" s="518"/>
      <c r="G226" s="518"/>
      <c r="H226" s="518"/>
      <c r="I226" s="518"/>
      <c r="J226" s="518"/>
      <c r="K226" s="518"/>
      <c r="L226" s="518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  <c r="AB226" s="518"/>
      <c r="AC226" s="518"/>
      <c r="AD226" s="518"/>
      <c r="AE226" s="518"/>
      <c r="AF226" s="518"/>
      <c r="AG226" s="518"/>
      <c r="AH226" s="518"/>
      <c r="AI226" s="518"/>
      <c r="AJ226" s="518"/>
      <c r="AK226" s="518"/>
      <c r="AL226" s="518"/>
      <c r="AM226" s="518"/>
      <c r="AN226" s="518"/>
      <c r="AO226" s="518"/>
      <c r="AP226" s="518"/>
      <c r="AQ226" s="518"/>
      <c r="AR226" s="518"/>
      <c r="AS226" s="518"/>
      <c r="AT226" s="518"/>
      <c r="AU226" s="518"/>
      <c r="AV226" s="518"/>
      <c r="AW226" s="518"/>
      <c r="AX226" s="518"/>
      <c r="AY226" s="518"/>
      <c r="AZ226" s="518"/>
      <c r="BA226" s="518"/>
      <c r="BB226" s="518"/>
      <c r="BC226" s="518"/>
      <c r="BD226" s="518"/>
      <c r="BE226" s="518"/>
    </row>
    <row r="227" spans="1:57" ht="12.75" customHeight="1">
      <c r="A227" s="518"/>
      <c r="B227" s="518"/>
      <c r="C227" s="518"/>
      <c r="D227" s="518"/>
      <c r="E227" s="518"/>
      <c r="F227" s="518"/>
      <c r="G227" s="518"/>
      <c r="H227" s="518"/>
      <c r="I227" s="518"/>
      <c r="J227" s="518"/>
      <c r="K227" s="518"/>
      <c r="L227" s="518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  <c r="AB227" s="518"/>
      <c r="AC227" s="518"/>
      <c r="AD227" s="518"/>
      <c r="AE227" s="518"/>
      <c r="AF227" s="518"/>
      <c r="AG227" s="518"/>
      <c r="AH227" s="518"/>
      <c r="AI227" s="518"/>
      <c r="AJ227" s="518"/>
      <c r="AK227" s="518"/>
      <c r="AL227" s="518"/>
      <c r="AM227" s="518"/>
      <c r="AN227" s="518"/>
      <c r="AO227" s="518"/>
      <c r="AP227" s="518"/>
      <c r="AQ227" s="518"/>
      <c r="AR227" s="518"/>
      <c r="AS227" s="518"/>
      <c r="AT227" s="518"/>
      <c r="AU227" s="518"/>
      <c r="AV227" s="518"/>
      <c r="AW227" s="518"/>
      <c r="AX227" s="518"/>
      <c r="AY227" s="518"/>
      <c r="AZ227" s="518"/>
      <c r="BA227" s="518"/>
      <c r="BB227" s="518"/>
      <c r="BC227" s="518"/>
      <c r="BD227" s="518"/>
      <c r="BE227" s="518"/>
    </row>
    <row r="228" spans="1:57" ht="12.75" customHeight="1">
      <c r="A228" s="518"/>
      <c r="B228" s="518"/>
      <c r="C228" s="518"/>
      <c r="D228" s="518"/>
      <c r="E228" s="518"/>
      <c r="F228" s="518"/>
      <c r="G228" s="518"/>
      <c r="H228" s="518"/>
      <c r="I228" s="518"/>
      <c r="J228" s="518"/>
      <c r="K228" s="518"/>
      <c r="L228" s="518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  <c r="AB228" s="518"/>
      <c r="AC228" s="518"/>
      <c r="AD228" s="518"/>
      <c r="AE228" s="518"/>
      <c r="AF228" s="518"/>
      <c r="AG228" s="518"/>
      <c r="AH228" s="518"/>
      <c r="AI228" s="518"/>
      <c r="AJ228" s="518"/>
      <c r="AK228" s="518"/>
      <c r="AL228" s="518"/>
      <c r="AM228" s="518"/>
      <c r="AN228" s="518"/>
      <c r="AO228" s="518"/>
      <c r="AP228" s="518"/>
      <c r="AQ228" s="518"/>
      <c r="AR228" s="518"/>
      <c r="AS228" s="518"/>
      <c r="AT228" s="518"/>
      <c r="AU228" s="518"/>
      <c r="AV228" s="518"/>
      <c r="AW228" s="518"/>
      <c r="AX228" s="518"/>
      <c r="AY228" s="518"/>
      <c r="AZ228" s="518"/>
      <c r="BA228" s="518"/>
      <c r="BB228" s="518"/>
      <c r="BC228" s="518"/>
      <c r="BD228" s="518"/>
      <c r="BE228" s="518"/>
    </row>
    <row r="229" spans="1:57" ht="12.75" customHeight="1">
      <c r="A229" s="518"/>
      <c r="B229" s="518"/>
      <c r="C229" s="518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  <c r="AB229" s="518"/>
      <c r="AC229" s="518"/>
      <c r="AD229" s="518"/>
      <c r="AE229" s="518"/>
      <c r="AF229" s="518"/>
      <c r="AG229" s="518"/>
      <c r="AH229" s="518"/>
      <c r="AI229" s="518"/>
      <c r="AJ229" s="518"/>
      <c r="AK229" s="518"/>
      <c r="AL229" s="518"/>
      <c r="AM229" s="518"/>
      <c r="AN229" s="518"/>
      <c r="AO229" s="518"/>
      <c r="AP229" s="518"/>
      <c r="AQ229" s="518"/>
      <c r="AR229" s="518"/>
      <c r="AS229" s="518"/>
      <c r="AT229" s="518"/>
      <c r="AU229" s="518"/>
      <c r="AV229" s="518"/>
      <c r="AW229" s="518"/>
      <c r="AX229" s="518"/>
      <c r="AY229" s="518"/>
      <c r="AZ229" s="518"/>
      <c r="BA229" s="518"/>
      <c r="BB229" s="518"/>
      <c r="BC229" s="518"/>
      <c r="BD229" s="518"/>
      <c r="BE229" s="518"/>
    </row>
    <row r="230" spans="1:57" ht="12.75" customHeight="1">
      <c r="A230" s="518"/>
      <c r="B230" s="518"/>
      <c r="C230" s="518"/>
      <c r="D230" s="518"/>
      <c r="E230" s="518"/>
      <c r="F230" s="518"/>
      <c r="G230" s="518"/>
      <c r="H230" s="518"/>
      <c r="I230" s="518"/>
      <c r="J230" s="518"/>
      <c r="K230" s="518"/>
      <c r="L230" s="518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  <c r="AB230" s="518"/>
      <c r="AC230" s="518"/>
      <c r="AD230" s="518"/>
      <c r="AE230" s="518"/>
      <c r="AF230" s="518"/>
      <c r="AG230" s="518"/>
      <c r="AH230" s="518"/>
      <c r="AI230" s="518"/>
      <c r="AJ230" s="518"/>
      <c r="AK230" s="518"/>
      <c r="AL230" s="518"/>
      <c r="AM230" s="518"/>
      <c r="AN230" s="518"/>
      <c r="AO230" s="518"/>
      <c r="AP230" s="518"/>
      <c r="AQ230" s="518"/>
      <c r="AR230" s="518"/>
      <c r="AS230" s="518"/>
      <c r="AT230" s="518"/>
      <c r="AU230" s="518"/>
      <c r="AV230" s="518"/>
      <c r="AW230" s="518"/>
      <c r="AX230" s="518"/>
      <c r="AY230" s="518"/>
      <c r="AZ230" s="518"/>
      <c r="BA230" s="518"/>
      <c r="BB230" s="518"/>
      <c r="BC230" s="518"/>
      <c r="BD230" s="518"/>
      <c r="BE230" s="518"/>
    </row>
    <row r="231" spans="1:57" ht="12.75" customHeight="1">
      <c r="A231" s="518"/>
      <c r="B231" s="518"/>
      <c r="C231" s="518"/>
      <c r="D231" s="518"/>
      <c r="E231" s="518"/>
      <c r="F231" s="518"/>
      <c r="G231" s="518"/>
      <c r="H231" s="518"/>
      <c r="I231" s="518"/>
      <c r="J231" s="518"/>
      <c r="K231" s="518"/>
      <c r="L231" s="518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  <c r="AB231" s="518"/>
      <c r="AC231" s="518"/>
      <c r="AD231" s="518"/>
      <c r="AE231" s="518"/>
      <c r="AF231" s="518"/>
      <c r="AG231" s="518"/>
      <c r="AH231" s="518"/>
      <c r="AI231" s="518"/>
      <c r="AJ231" s="518"/>
      <c r="AK231" s="518"/>
      <c r="AL231" s="518"/>
      <c r="AM231" s="518"/>
      <c r="AN231" s="518"/>
      <c r="AO231" s="518"/>
      <c r="AP231" s="518"/>
      <c r="AQ231" s="518"/>
      <c r="AR231" s="518"/>
      <c r="AS231" s="518"/>
      <c r="AT231" s="518"/>
      <c r="AU231" s="518"/>
      <c r="AV231" s="518"/>
      <c r="AW231" s="518"/>
      <c r="AX231" s="518"/>
      <c r="AY231" s="518"/>
      <c r="AZ231" s="518"/>
      <c r="BA231" s="518"/>
      <c r="BB231" s="518"/>
      <c r="BC231" s="518"/>
      <c r="BD231" s="518"/>
      <c r="BE231" s="518"/>
    </row>
    <row r="232" spans="1:57" ht="12.75" customHeight="1">
      <c r="A232" s="518"/>
      <c r="B232" s="518"/>
      <c r="C232" s="518"/>
      <c r="D232" s="518"/>
      <c r="E232" s="518"/>
      <c r="F232" s="518"/>
      <c r="G232" s="518"/>
      <c r="H232" s="518"/>
      <c r="I232" s="518"/>
      <c r="J232" s="518"/>
      <c r="K232" s="518"/>
      <c r="L232" s="518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  <c r="AB232" s="518"/>
      <c r="AC232" s="518"/>
      <c r="AD232" s="518"/>
      <c r="AE232" s="518"/>
      <c r="AF232" s="518"/>
      <c r="AG232" s="518"/>
      <c r="AH232" s="518"/>
      <c r="AI232" s="518"/>
      <c r="AJ232" s="518"/>
      <c r="AK232" s="518"/>
      <c r="AL232" s="518"/>
      <c r="AM232" s="518"/>
      <c r="AN232" s="518"/>
      <c r="AO232" s="518"/>
      <c r="AP232" s="518"/>
      <c r="AQ232" s="518"/>
      <c r="AR232" s="518"/>
      <c r="AS232" s="518"/>
      <c r="AT232" s="518"/>
      <c r="AU232" s="518"/>
      <c r="AV232" s="518"/>
      <c r="AW232" s="518"/>
      <c r="AX232" s="518"/>
      <c r="AY232" s="518"/>
      <c r="AZ232" s="518"/>
      <c r="BA232" s="518"/>
      <c r="BB232" s="518"/>
      <c r="BC232" s="518"/>
      <c r="BD232" s="518"/>
      <c r="BE232" s="518"/>
    </row>
    <row r="233" spans="1:57" ht="12.75" customHeight="1">
      <c r="A233" s="518"/>
      <c r="B233" s="518"/>
      <c r="C233" s="518"/>
      <c r="D233" s="518"/>
      <c r="E233" s="518"/>
      <c r="F233" s="518"/>
      <c r="G233" s="518"/>
      <c r="H233" s="518"/>
      <c r="I233" s="518"/>
      <c r="J233" s="518"/>
      <c r="K233" s="518"/>
      <c r="L233" s="518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  <c r="AB233" s="518"/>
      <c r="AC233" s="518"/>
      <c r="AD233" s="518"/>
      <c r="AE233" s="518"/>
      <c r="AF233" s="518"/>
      <c r="AG233" s="518"/>
      <c r="AH233" s="518"/>
      <c r="AI233" s="518"/>
      <c r="AJ233" s="518"/>
      <c r="AK233" s="518"/>
      <c r="AL233" s="518"/>
      <c r="AM233" s="518"/>
      <c r="AN233" s="518"/>
      <c r="AO233" s="518"/>
      <c r="AP233" s="518"/>
      <c r="AQ233" s="518"/>
      <c r="AR233" s="518"/>
      <c r="AS233" s="518"/>
      <c r="AT233" s="518"/>
      <c r="AU233" s="518"/>
      <c r="AV233" s="518"/>
      <c r="AW233" s="518"/>
      <c r="AX233" s="518"/>
      <c r="AY233" s="518"/>
      <c r="AZ233" s="518"/>
      <c r="BA233" s="518"/>
      <c r="BB233" s="518"/>
      <c r="BC233" s="518"/>
      <c r="BD233" s="518"/>
      <c r="BE233" s="518"/>
    </row>
    <row r="234" spans="1:57" ht="12.75" customHeight="1">
      <c r="A234" s="518"/>
      <c r="B234" s="518"/>
      <c r="C234" s="518"/>
      <c r="D234" s="518"/>
      <c r="E234" s="518"/>
      <c r="F234" s="518"/>
      <c r="G234" s="518"/>
      <c r="H234" s="518"/>
      <c r="I234" s="518"/>
      <c r="J234" s="518"/>
      <c r="K234" s="518"/>
      <c r="L234" s="518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  <c r="AB234" s="518"/>
      <c r="AC234" s="518"/>
      <c r="AD234" s="518"/>
      <c r="AE234" s="518"/>
      <c r="AF234" s="518"/>
      <c r="AG234" s="518"/>
      <c r="AH234" s="518"/>
      <c r="AI234" s="518"/>
      <c r="AJ234" s="518"/>
      <c r="AK234" s="518"/>
      <c r="AL234" s="518"/>
      <c r="AM234" s="518"/>
      <c r="AN234" s="518"/>
      <c r="AO234" s="518"/>
      <c r="AP234" s="518"/>
      <c r="AQ234" s="518"/>
      <c r="AR234" s="518"/>
      <c r="AS234" s="518"/>
      <c r="AT234" s="518"/>
      <c r="AU234" s="518"/>
      <c r="AV234" s="518"/>
      <c r="AW234" s="518"/>
      <c r="AX234" s="518"/>
      <c r="AY234" s="518"/>
      <c r="AZ234" s="518"/>
      <c r="BA234" s="518"/>
      <c r="BB234" s="518"/>
      <c r="BC234" s="518"/>
      <c r="BD234" s="518"/>
      <c r="BE234" s="518"/>
    </row>
    <row r="235" spans="1:57" ht="12.75" customHeight="1">
      <c r="A235" s="518"/>
      <c r="B235" s="518"/>
      <c r="C235" s="518"/>
      <c r="D235" s="518"/>
      <c r="E235" s="518"/>
      <c r="F235" s="518"/>
      <c r="G235" s="518"/>
      <c r="H235" s="518"/>
      <c r="I235" s="518"/>
      <c r="J235" s="518"/>
      <c r="K235" s="518"/>
      <c r="L235" s="518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  <c r="AB235" s="518"/>
      <c r="AC235" s="518"/>
      <c r="AD235" s="518"/>
      <c r="AE235" s="518"/>
      <c r="AF235" s="518"/>
      <c r="AG235" s="518"/>
      <c r="AH235" s="518"/>
      <c r="AI235" s="518"/>
      <c r="AJ235" s="518"/>
      <c r="AK235" s="518"/>
      <c r="AL235" s="518"/>
      <c r="AM235" s="518"/>
      <c r="AN235" s="518"/>
      <c r="AO235" s="518"/>
      <c r="AP235" s="518"/>
      <c r="AQ235" s="518"/>
      <c r="AR235" s="518"/>
      <c r="AS235" s="518"/>
      <c r="AT235" s="518"/>
      <c r="AU235" s="518"/>
      <c r="AV235" s="518"/>
      <c r="AW235" s="518"/>
      <c r="AX235" s="518"/>
      <c r="AY235" s="518"/>
      <c r="AZ235" s="518"/>
      <c r="BA235" s="518"/>
      <c r="BB235" s="518"/>
      <c r="BC235" s="518"/>
      <c r="BD235" s="518"/>
      <c r="BE235" s="518"/>
    </row>
    <row r="236" spans="1:57" ht="12.75" customHeight="1">
      <c r="A236" s="518"/>
      <c r="B236" s="518"/>
      <c r="C236" s="518"/>
      <c r="D236" s="518"/>
      <c r="E236" s="518"/>
      <c r="F236" s="518"/>
      <c r="G236" s="518"/>
      <c r="H236" s="518"/>
      <c r="I236" s="518"/>
      <c r="J236" s="518"/>
      <c r="K236" s="518"/>
      <c r="L236" s="518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  <c r="AB236" s="518"/>
      <c r="AC236" s="518"/>
      <c r="AD236" s="518"/>
      <c r="AE236" s="518"/>
      <c r="AF236" s="518"/>
      <c r="AG236" s="518"/>
      <c r="AH236" s="518"/>
      <c r="AI236" s="518"/>
      <c r="AJ236" s="518"/>
      <c r="AK236" s="518"/>
      <c r="AL236" s="518"/>
      <c r="AM236" s="518"/>
      <c r="AN236" s="518"/>
      <c r="AO236" s="518"/>
      <c r="AP236" s="518"/>
      <c r="AQ236" s="518"/>
      <c r="AR236" s="518"/>
      <c r="AS236" s="518"/>
      <c r="AT236" s="518"/>
      <c r="AU236" s="518"/>
      <c r="AV236" s="518"/>
      <c r="AW236" s="518"/>
      <c r="AX236" s="518"/>
      <c r="AY236" s="518"/>
      <c r="AZ236" s="518"/>
      <c r="BA236" s="518"/>
      <c r="BB236" s="518"/>
      <c r="BC236" s="518"/>
      <c r="BD236" s="518"/>
      <c r="BE236" s="518"/>
    </row>
    <row r="237" spans="1:57" ht="12.75" customHeight="1">
      <c r="A237" s="518"/>
      <c r="B237" s="518"/>
      <c r="C237" s="518"/>
      <c r="D237" s="518"/>
      <c r="E237" s="518"/>
      <c r="F237" s="518"/>
      <c r="G237" s="518"/>
      <c r="H237" s="518"/>
      <c r="I237" s="518"/>
      <c r="J237" s="518"/>
      <c r="K237" s="518"/>
      <c r="L237" s="518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  <c r="AB237" s="518"/>
      <c r="AC237" s="518"/>
      <c r="AD237" s="518"/>
      <c r="AE237" s="518"/>
      <c r="AF237" s="518"/>
      <c r="AG237" s="518"/>
      <c r="AH237" s="518"/>
      <c r="AI237" s="518"/>
      <c r="AJ237" s="518"/>
      <c r="AK237" s="518"/>
      <c r="AL237" s="518"/>
      <c r="AM237" s="518"/>
      <c r="AN237" s="518"/>
      <c r="AO237" s="518"/>
      <c r="AP237" s="518"/>
      <c r="AQ237" s="518"/>
      <c r="AR237" s="518"/>
      <c r="AS237" s="518"/>
      <c r="AT237" s="518"/>
      <c r="AU237" s="518"/>
      <c r="AV237" s="518"/>
      <c r="AW237" s="518"/>
      <c r="AX237" s="518"/>
      <c r="AY237" s="518"/>
      <c r="AZ237" s="518"/>
      <c r="BA237" s="518"/>
      <c r="BB237" s="518"/>
      <c r="BC237" s="518"/>
      <c r="BD237" s="518"/>
      <c r="BE237" s="518"/>
    </row>
    <row r="238" spans="1:57" ht="12.75" customHeight="1">
      <c r="A238" s="518"/>
      <c r="B238" s="518"/>
      <c r="C238" s="518"/>
      <c r="D238" s="518"/>
      <c r="E238" s="518"/>
      <c r="F238" s="518"/>
      <c r="G238" s="518"/>
      <c r="H238" s="518"/>
      <c r="I238" s="518"/>
      <c r="J238" s="518"/>
      <c r="K238" s="518"/>
      <c r="L238" s="518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  <c r="AB238" s="518"/>
      <c r="AC238" s="518"/>
      <c r="AD238" s="518"/>
      <c r="AE238" s="518"/>
      <c r="AF238" s="518"/>
      <c r="AG238" s="518"/>
      <c r="AH238" s="518"/>
      <c r="AI238" s="518"/>
      <c r="AJ238" s="518"/>
      <c r="AK238" s="518"/>
      <c r="AL238" s="518"/>
      <c r="AM238" s="518"/>
      <c r="AN238" s="518"/>
      <c r="AO238" s="518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</row>
    <row r="239" spans="1:57" ht="12.75" customHeight="1">
      <c r="A239" s="518"/>
      <c r="B239" s="518"/>
      <c r="C239" s="518"/>
      <c r="D239" s="518"/>
      <c r="E239" s="518"/>
      <c r="F239" s="518"/>
      <c r="G239" s="518"/>
      <c r="H239" s="518"/>
      <c r="I239" s="518"/>
      <c r="J239" s="518"/>
      <c r="K239" s="518"/>
      <c r="L239" s="518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  <c r="AB239" s="518"/>
      <c r="AC239" s="518"/>
      <c r="AD239" s="518"/>
      <c r="AE239" s="518"/>
      <c r="AF239" s="518"/>
      <c r="AG239" s="518"/>
      <c r="AH239" s="518"/>
      <c r="AI239" s="518"/>
      <c r="AJ239" s="518"/>
      <c r="AK239" s="518"/>
      <c r="AL239" s="518"/>
      <c r="AM239" s="518"/>
      <c r="AN239" s="518"/>
      <c r="AO239" s="518"/>
      <c r="AP239" s="518"/>
      <c r="AQ239" s="518"/>
      <c r="AR239" s="518"/>
      <c r="AS239" s="518"/>
      <c r="AT239" s="518"/>
      <c r="AU239" s="518"/>
      <c r="AV239" s="518"/>
      <c r="AW239" s="518"/>
      <c r="AX239" s="518"/>
      <c r="AY239" s="518"/>
      <c r="AZ239" s="518"/>
      <c r="BA239" s="518"/>
      <c r="BB239" s="518"/>
      <c r="BC239" s="518"/>
      <c r="BD239" s="518"/>
      <c r="BE239" s="518"/>
    </row>
    <row r="240" spans="1:57" ht="12.75" customHeight="1">
      <c r="A240" s="518"/>
      <c r="B240" s="518"/>
      <c r="C240" s="518"/>
      <c r="D240" s="518"/>
      <c r="E240" s="518"/>
      <c r="F240" s="518"/>
      <c r="G240" s="518"/>
      <c r="H240" s="518"/>
      <c r="I240" s="518"/>
      <c r="J240" s="518"/>
      <c r="K240" s="518"/>
      <c r="L240" s="518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  <c r="AB240" s="518"/>
      <c r="AC240" s="518"/>
      <c r="AD240" s="518"/>
      <c r="AE240" s="518"/>
      <c r="AF240" s="518"/>
      <c r="AG240" s="518"/>
      <c r="AH240" s="518"/>
      <c r="AI240" s="518"/>
      <c r="AJ240" s="518"/>
      <c r="AK240" s="518"/>
      <c r="AL240" s="518"/>
      <c r="AM240" s="518"/>
      <c r="AN240" s="518"/>
      <c r="AO240" s="518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</row>
    <row r="241" spans="1:57" ht="12.75" customHeight="1">
      <c r="A241" s="518"/>
      <c r="B241" s="518"/>
      <c r="C241" s="518"/>
      <c r="D241" s="518"/>
      <c r="E241" s="518"/>
      <c r="F241" s="518"/>
      <c r="G241" s="518"/>
      <c r="H241" s="518"/>
      <c r="I241" s="518"/>
      <c r="J241" s="518"/>
      <c r="K241" s="518"/>
      <c r="L241" s="518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  <c r="AB241" s="518"/>
      <c r="AC241" s="518"/>
      <c r="AD241" s="518"/>
      <c r="AE241" s="518"/>
      <c r="AF241" s="518"/>
      <c r="AG241" s="518"/>
      <c r="AH241" s="518"/>
      <c r="AI241" s="518"/>
      <c r="AJ241" s="518"/>
      <c r="AK241" s="518"/>
      <c r="AL241" s="518"/>
      <c r="AM241" s="518"/>
      <c r="AN241" s="518"/>
      <c r="AO241" s="518"/>
      <c r="AP241" s="518"/>
      <c r="AQ241" s="518"/>
      <c r="AR241" s="518"/>
      <c r="AS241" s="518"/>
      <c r="AT241" s="518"/>
      <c r="AU241" s="518"/>
      <c r="AV241" s="518"/>
      <c r="AW241" s="518"/>
      <c r="AX241" s="518"/>
      <c r="AY241" s="518"/>
      <c r="AZ241" s="518"/>
      <c r="BA241" s="518"/>
      <c r="BB241" s="518"/>
      <c r="BC241" s="518"/>
      <c r="BD241" s="518"/>
      <c r="BE241" s="518"/>
    </row>
    <row r="242" spans="1:57" ht="12.75" customHeight="1">
      <c r="A242" s="518"/>
      <c r="B242" s="518"/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  <c r="AB242" s="518"/>
      <c r="AC242" s="518"/>
      <c r="AD242" s="518"/>
      <c r="AE242" s="518"/>
      <c r="AF242" s="518"/>
      <c r="AG242" s="518"/>
      <c r="AH242" s="518"/>
      <c r="AI242" s="518"/>
      <c r="AJ242" s="518"/>
      <c r="AK242" s="518"/>
      <c r="AL242" s="518"/>
      <c r="AM242" s="518"/>
      <c r="AN242" s="518"/>
      <c r="AO242" s="518"/>
      <c r="AP242" s="518"/>
      <c r="AQ242" s="518"/>
      <c r="AR242" s="518"/>
      <c r="AS242" s="518"/>
      <c r="AT242" s="518"/>
      <c r="AU242" s="518"/>
      <c r="AV242" s="518"/>
      <c r="AW242" s="518"/>
      <c r="AX242" s="518"/>
      <c r="AY242" s="518"/>
      <c r="AZ242" s="518"/>
      <c r="BA242" s="518"/>
      <c r="BB242" s="518"/>
      <c r="BC242" s="518"/>
      <c r="BD242" s="518"/>
      <c r="BE242" s="518"/>
    </row>
    <row r="243" spans="1:57" ht="12.75" customHeight="1">
      <c r="A243" s="518"/>
      <c r="B243" s="518"/>
      <c r="C243" s="518"/>
      <c r="D243" s="518"/>
      <c r="E243" s="518"/>
      <c r="F243" s="518"/>
      <c r="G243" s="518"/>
      <c r="H243" s="518"/>
      <c r="I243" s="518"/>
      <c r="J243" s="518"/>
      <c r="K243" s="518"/>
      <c r="L243" s="518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  <c r="AB243" s="518"/>
      <c r="AC243" s="518"/>
      <c r="AD243" s="518"/>
      <c r="AE243" s="518"/>
      <c r="AF243" s="518"/>
      <c r="AG243" s="518"/>
      <c r="AH243" s="518"/>
      <c r="AI243" s="518"/>
      <c r="AJ243" s="518"/>
      <c r="AK243" s="518"/>
      <c r="AL243" s="518"/>
      <c r="AM243" s="518"/>
      <c r="AN243" s="518"/>
      <c r="AO243" s="518"/>
      <c r="AP243" s="518"/>
      <c r="AQ243" s="518"/>
      <c r="AR243" s="518"/>
      <c r="AS243" s="518"/>
      <c r="AT243" s="518"/>
      <c r="AU243" s="518"/>
      <c r="AV243" s="518"/>
      <c r="AW243" s="518"/>
      <c r="AX243" s="518"/>
      <c r="AY243" s="518"/>
      <c r="AZ243" s="518"/>
      <c r="BA243" s="518"/>
      <c r="BB243" s="518"/>
      <c r="BC243" s="518"/>
      <c r="BD243" s="518"/>
      <c r="BE243" s="518"/>
    </row>
    <row r="244" spans="1:57" ht="12.75" customHeight="1">
      <c r="A244" s="518"/>
      <c r="B244" s="518"/>
      <c r="C244" s="518"/>
      <c r="D244" s="518"/>
      <c r="E244" s="518"/>
      <c r="F244" s="518"/>
      <c r="G244" s="518"/>
      <c r="H244" s="518"/>
      <c r="I244" s="518"/>
      <c r="J244" s="518"/>
      <c r="K244" s="518"/>
      <c r="L244" s="518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  <c r="AB244" s="518"/>
      <c r="AC244" s="518"/>
      <c r="AD244" s="518"/>
      <c r="AE244" s="518"/>
      <c r="AF244" s="518"/>
      <c r="AG244" s="518"/>
      <c r="AH244" s="518"/>
      <c r="AI244" s="518"/>
      <c r="AJ244" s="518"/>
      <c r="AK244" s="518"/>
      <c r="AL244" s="518"/>
      <c r="AM244" s="518"/>
      <c r="AN244" s="518"/>
      <c r="AO244" s="518"/>
      <c r="AP244" s="518"/>
      <c r="AQ244" s="518"/>
      <c r="AR244" s="518"/>
      <c r="AS244" s="518"/>
      <c r="AT244" s="518"/>
      <c r="AU244" s="518"/>
      <c r="AV244" s="518"/>
      <c r="AW244" s="518"/>
      <c r="AX244" s="518"/>
      <c r="AY244" s="518"/>
      <c r="AZ244" s="518"/>
      <c r="BA244" s="518"/>
      <c r="BB244" s="518"/>
      <c r="BC244" s="518"/>
      <c r="BD244" s="518"/>
      <c r="BE244" s="518"/>
    </row>
    <row r="245" spans="1:57" ht="12.75" customHeight="1">
      <c r="A245" s="518"/>
      <c r="B245" s="518"/>
      <c r="C245" s="518"/>
      <c r="D245" s="518"/>
      <c r="E245" s="518"/>
      <c r="F245" s="518"/>
      <c r="G245" s="518"/>
      <c r="H245" s="518"/>
      <c r="I245" s="518"/>
      <c r="J245" s="518"/>
      <c r="K245" s="518"/>
      <c r="L245" s="518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  <c r="AB245" s="518"/>
      <c r="AC245" s="518"/>
      <c r="AD245" s="518"/>
      <c r="AE245" s="518"/>
      <c r="AF245" s="518"/>
      <c r="AG245" s="518"/>
      <c r="AH245" s="518"/>
      <c r="AI245" s="518"/>
      <c r="AJ245" s="518"/>
      <c r="AK245" s="518"/>
      <c r="AL245" s="518"/>
      <c r="AM245" s="518"/>
      <c r="AN245" s="518"/>
      <c r="AO245" s="518"/>
      <c r="AP245" s="518"/>
      <c r="AQ245" s="518"/>
      <c r="AR245" s="518"/>
      <c r="AS245" s="518"/>
      <c r="AT245" s="518"/>
      <c r="AU245" s="518"/>
      <c r="AV245" s="518"/>
      <c r="AW245" s="518"/>
      <c r="AX245" s="518"/>
      <c r="AY245" s="518"/>
      <c r="AZ245" s="518"/>
      <c r="BA245" s="518"/>
      <c r="BB245" s="518"/>
      <c r="BC245" s="518"/>
      <c r="BD245" s="518"/>
      <c r="BE245" s="518"/>
    </row>
    <row r="246" spans="1:57" ht="12.75" customHeight="1">
      <c r="A246" s="518"/>
      <c r="B246" s="518"/>
      <c r="C246" s="518"/>
      <c r="D246" s="518"/>
      <c r="E246" s="518"/>
      <c r="F246" s="518"/>
      <c r="G246" s="518"/>
      <c r="H246" s="518"/>
      <c r="I246" s="518"/>
      <c r="J246" s="518"/>
      <c r="K246" s="518"/>
      <c r="L246" s="518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  <c r="AB246" s="518"/>
      <c r="AC246" s="518"/>
      <c r="AD246" s="518"/>
      <c r="AE246" s="518"/>
      <c r="AF246" s="518"/>
      <c r="AG246" s="518"/>
      <c r="AH246" s="518"/>
      <c r="AI246" s="518"/>
      <c r="AJ246" s="518"/>
      <c r="AK246" s="518"/>
      <c r="AL246" s="518"/>
      <c r="AM246" s="518"/>
      <c r="AN246" s="518"/>
      <c r="AO246" s="518"/>
      <c r="AP246" s="518"/>
      <c r="AQ246" s="518"/>
      <c r="AR246" s="518"/>
      <c r="AS246" s="518"/>
      <c r="AT246" s="518"/>
      <c r="AU246" s="518"/>
      <c r="AV246" s="518"/>
      <c r="AW246" s="518"/>
      <c r="AX246" s="518"/>
      <c r="AY246" s="518"/>
      <c r="AZ246" s="518"/>
      <c r="BA246" s="518"/>
      <c r="BB246" s="518"/>
      <c r="BC246" s="518"/>
      <c r="BD246" s="518"/>
      <c r="BE246" s="518"/>
    </row>
    <row r="247" spans="1:57" ht="12.75" customHeight="1">
      <c r="A247" s="518"/>
      <c r="B247" s="518"/>
      <c r="C247" s="518"/>
      <c r="D247" s="518"/>
      <c r="E247" s="518"/>
      <c r="F247" s="518"/>
      <c r="G247" s="518"/>
      <c r="H247" s="518"/>
      <c r="I247" s="518"/>
      <c r="J247" s="518"/>
      <c r="K247" s="518"/>
      <c r="L247" s="518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  <c r="AB247" s="518"/>
      <c r="AC247" s="518"/>
      <c r="AD247" s="518"/>
      <c r="AE247" s="518"/>
      <c r="AF247" s="518"/>
      <c r="AG247" s="518"/>
      <c r="AH247" s="518"/>
      <c r="AI247" s="518"/>
      <c r="AJ247" s="518"/>
      <c r="AK247" s="518"/>
      <c r="AL247" s="518"/>
      <c r="AM247" s="518"/>
      <c r="AN247" s="518"/>
      <c r="AO247" s="518"/>
      <c r="AP247" s="518"/>
      <c r="AQ247" s="518"/>
      <c r="AR247" s="518"/>
      <c r="AS247" s="518"/>
      <c r="AT247" s="518"/>
      <c r="AU247" s="518"/>
      <c r="AV247" s="518"/>
      <c r="AW247" s="518"/>
      <c r="AX247" s="518"/>
      <c r="AY247" s="518"/>
      <c r="AZ247" s="518"/>
      <c r="BA247" s="518"/>
      <c r="BB247" s="518"/>
      <c r="BC247" s="518"/>
      <c r="BD247" s="518"/>
      <c r="BE247" s="518"/>
    </row>
    <row r="248" spans="1:57" ht="12.75" customHeight="1">
      <c r="A248" s="518"/>
      <c r="B248" s="518"/>
      <c r="C248" s="518"/>
      <c r="D248" s="518"/>
      <c r="E248" s="518"/>
      <c r="F248" s="518"/>
      <c r="G248" s="518"/>
      <c r="H248" s="518"/>
      <c r="I248" s="518"/>
      <c r="J248" s="518"/>
      <c r="K248" s="518"/>
      <c r="L248" s="518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  <c r="AB248" s="518"/>
      <c r="AC248" s="518"/>
      <c r="AD248" s="518"/>
      <c r="AE248" s="518"/>
      <c r="AF248" s="518"/>
      <c r="AG248" s="518"/>
      <c r="AH248" s="518"/>
      <c r="AI248" s="518"/>
      <c r="AJ248" s="518"/>
      <c r="AK248" s="518"/>
      <c r="AL248" s="518"/>
      <c r="AM248" s="518"/>
      <c r="AN248" s="518"/>
      <c r="AO248" s="518"/>
      <c r="AP248" s="518"/>
      <c r="AQ248" s="518"/>
      <c r="AR248" s="518"/>
      <c r="AS248" s="518"/>
      <c r="AT248" s="518"/>
      <c r="AU248" s="518"/>
      <c r="AV248" s="518"/>
      <c r="AW248" s="518"/>
      <c r="AX248" s="518"/>
      <c r="AY248" s="518"/>
      <c r="AZ248" s="518"/>
      <c r="BA248" s="518"/>
      <c r="BB248" s="518"/>
      <c r="BC248" s="518"/>
      <c r="BD248" s="518"/>
      <c r="BE248" s="518"/>
    </row>
    <row r="249" spans="1:57" ht="12.75" customHeight="1">
      <c r="A249" s="518"/>
      <c r="B249" s="518"/>
      <c r="C249" s="518"/>
      <c r="D249" s="518"/>
      <c r="E249" s="518"/>
      <c r="F249" s="518"/>
      <c r="G249" s="518"/>
      <c r="H249" s="518"/>
      <c r="I249" s="518"/>
      <c r="J249" s="518"/>
      <c r="K249" s="518"/>
      <c r="L249" s="518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  <c r="AB249" s="518"/>
      <c r="AC249" s="518"/>
      <c r="AD249" s="518"/>
      <c r="AE249" s="518"/>
      <c r="AF249" s="518"/>
      <c r="AG249" s="518"/>
      <c r="AH249" s="518"/>
      <c r="AI249" s="518"/>
      <c r="AJ249" s="518"/>
      <c r="AK249" s="518"/>
      <c r="AL249" s="518"/>
      <c r="AM249" s="518"/>
      <c r="AN249" s="518"/>
      <c r="AO249" s="518"/>
      <c r="AP249" s="518"/>
      <c r="AQ249" s="518"/>
      <c r="AR249" s="518"/>
      <c r="AS249" s="518"/>
      <c r="AT249" s="518"/>
      <c r="AU249" s="518"/>
      <c r="AV249" s="518"/>
      <c r="AW249" s="518"/>
      <c r="AX249" s="518"/>
      <c r="AY249" s="518"/>
      <c r="AZ249" s="518"/>
      <c r="BA249" s="518"/>
      <c r="BB249" s="518"/>
      <c r="BC249" s="518"/>
      <c r="BD249" s="518"/>
      <c r="BE249" s="518"/>
    </row>
    <row r="250" spans="1:57" ht="12.75" customHeight="1">
      <c r="A250" s="518"/>
      <c r="B250" s="518"/>
      <c r="C250" s="518"/>
      <c r="D250" s="518"/>
      <c r="E250" s="518"/>
      <c r="F250" s="518"/>
      <c r="G250" s="518"/>
      <c r="H250" s="518"/>
      <c r="I250" s="518"/>
      <c r="J250" s="518"/>
      <c r="K250" s="518"/>
      <c r="L250" s="518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  <c r="AB250" s="518"/>
      <c r="AC250" s="518"/>
      <c r="AD250" s="518"/>
      <c r="AE250" s="518"/>
      <c r="AF250" s="518"/>
      <c r="AG250" s="518"/>
      <c r="AH250" s="518"/>
      <c r="AI250" s="518"/>
      <c r="AJ250" s="518"/>
      <c r="AK250" s="518"/>
      <c r="AL250" s="518"/>
      <c r="AM250" s="518"/>
      <c r="AN250" s="518"/>
      <c r="AO250" s="518"/>
      <c r="AP250" s="518"/>
      <c r="AQ250" s="518"/>
      <c r="AR250" s="518"/>
      <c r="AS250" s="518"/>
      <c r="AT250" s="518"/>
      <c r="AU250" s="518"/>
      <c r="AV250" s="518"/>
      <c r="AW250" s="518"/>
      <c r="AX250" s="518"/>
      <c r="AY250" s="518"/>
      <c r="AZ250" s="518"/>
      <c r="BA250" s="518"/>
      <c r="BB250" s="518"/>
      <c r="BC250" s="518"/>
      <c r="BD250" s="518"/>
      <c r="BE250" s="518"/>
    </row>
    <row r="251" spans="1:57" ht="12.75" customHeight="1">
      <c r="A251" s="518"/>
      <c r="B251" s="518"/>
      <c r="C251" s="518"/>
      <c r="D251" s="518"/>
      <c r="E251" s="518"/>
      <c r="F251" s="518"/>
      <c r="G251" s="518"/>
      <c r="H251" s="518"/>
      <c r="I251" s="518"/>
      <c r="J251" s="518"/>
      <c r="K251" s="518"/>
      <c r="L251" s="518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  <c r="AB251" s="518"/>
      <c r="AC251" s="518"/>
      <c r="AD251" s="518"/>
      <c r="AE251" s="518"/>
      <c r="AF251" s="518"/>
      <c r="AG251" s="518"/>
      <c r="AH251" s="518"/>
      <c r="AI251" s="518"/>
      <c r="AJ251" s="518"/>
      <c r="AK251" s="518"/>
      <c r="AL251" s="518"/>
      <c r="AM251" s="518"/>
      <c r="AN251" s="518"/>
      <c r="AO251" s="518"/>
      <c r="AP251" s="518"/>
      <c r="AQ251" s="518"/>
      <c r="AR251" s="518"/>
      <c r="AS251" s="518"/>
      <c r="AT251" s="518"/>
      <c r="AU251" s="518"/>
      <c r="AV251" s="518"/>
      <c r="AW251" s="518"/>
      <c r="AX251" s="518"/>
      <c r="AY251" s="518"/>
      <c r="AZ251" s="518"/>
      <c r="BA251" s="518"/>
      <c r="BB251" s="518"/>
      <c r="BC251" s="518"/>
      <c r="BD251" s="518"/>
      <c r="BE251" s="518"/>
    </row>
    <row r="252" spans="1:57" ht="12.75" customHeight="1">
      <c r="A252" s="518"/>
      <c r="B252" s="518"/>
      <c r="C252" s="518"/>
      <c r="D252" s="518"/>
      <c r="E252" s="518"/>
      <c r="F252" s="518"/>
      <c r="G252" s="518"/>
      <c r="H252" s="518"/>
      <c r="I252" s="518"/>
      <c r="J252" s="518"/>
      <c r="K252" s="518"/>
      <c r="L252" s="518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  <c r="AB252" s="518"/>
      <c r="AC252" s="518"/>
      <c r="AD252" s="518"/>
      <c r="AE252" s="518"/>
      <c r="AF252" s="518"/>
      <c r="AG252" s="518"/>
      <c r="AH252" s="518"/>
      <c r="AI252" s="518"/>
      <c r="AJ252" s="518"/>
      <c r="AK252" s="518"/>
      <c r="AL252" s="518"/>
      <c r="AM252" s="518"/>
      <c r="AN252" s="518"/>
      <c r="AO252" s="518"/>
      <c r="AP252" s="518"/>
      <c r="AQ252" s="518"/>
      <c r="AR252" s="518"/>
      <c r="AS252" s="518"/>
      <c r="AT252" s="518"/>
      <c r="AU252" s="518"/>
      <c r="AV252" s="518"/>
      <c r="AW252" s="518"/>
      <c r="AX252" s="518"/>
      <c r="AY252" s="518"/>
      <c r="AZ252" s="518"/>
      <c r="BA252" s="518"/>
      <c r="BB252" s="518"/>
      <c r="BC252" s="518"/>
      <c r="BD252" s="518"/>
      <c r="BE252" s="518"/>
    </row>
    <row r="253" spans="1:57" ht="12.75" customHeight="1">
      <c r="A253" s="518"/>
      <c r="B253" s="518"/>
      <c r="C253" s="518"/>
      <c r="D253" s="518"/>
      <c r="E253" s="518"/>
      <c r="F253" s="518"/>
      <c r="G253" s="518"/>
      <c r="H253" s="518"/>
      <c r="I253" s="518"/>
      <c r="J253" s="518"/>
      <c r="K253" s="518"/>
      <c r="L253" s="518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  <c r="AB253" s="518"/>
      <c r="AC253" s="518"/>
      <c r="AD253" s="518"/>
      <c r="AE253" s="518"/>
      <c r="AF253" s="518"/>
      <c r="AG253" s="518"/>
      <c r="AH253" s="518"/>
      <c r="AI253" s="518"/>
      <c r="AJ253" s="518"/>
      <c r="AK253" s="518"/>
      <c r="AL253" s="518"/>
      <c r="AM253" s="518"/>
      <c r="AN253" s="518"/>
      <c r="AO253" s="518"/>
      <c r="AP253" s="518"/>
      <c r="AQ253" s="518"/>
      <c r="AR253" s="518"/>
      <c r="AS253" s="518"/>
      <c r="AT253" s="518"/>
      <c r="AU253" s="518"/>
      <c r="AV253" s="518"/>
      <c r="AW253" s="518"/>
      <c r="AX253" s="518"/>
      <c r="AY253" s="518"/>
      <c r="AZ253" s="518"/>
      <c r="BA253" s="518"/>
      <c r="BB253" s="518"/>
      <c r="BC253" s="518"/>
      <c r="BD253" s="518"/>
      <c r="BE253" s="518"/>
    </row>
    <row r="254" spans="1:57" ht="12.75" customHeight="1">
      <c r="A254" s="518"/>
      <c r="B254" s="518"/>
      <c r="C254" s="518"/>
      <c r="D254" s="518"/>
      <c r="E254" s="518"/>
      <c r="F254" s="518"/>
      <c r="G254" s="518"/>
      <c r="H254" s="518"/>
      <c r="I254" s="518"/>
      <c r="J254" s="518"/>
      <c r="K254" s="518"/>
      <c r="L254" s="518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  <c r="AB254" s="518"/>
      <c r="AC254" s="518"/>
      <c r="AD254" s="518"/>
      <c r="AE254" s="518"/>
      <c r="AF254" s="518"/>
      <c r="AG254" s="518"/>
      <c r="AH254" s="518"/>
      <c r="AI254" s="518"/>
      <c r="AJ254" s="518"/>
      <c r="AK254" s="518"/>
      <c r="AL254" s="518"/>
      <c r="AM254" s="518"/>
      <c r="AN254" s="518"/>
      <c r="AO254" s="518"/>
      <c r="AP254" s="518"/>
      <c r="AQ254" s="518"/>
      <c r="AR254" s="518"/>
      <c r="AS254" s="518"/>
      <c r="AT254" s="518"/>
      <c r="AU254" s="518"/>
      <c r="AV254" s="518"/>
      <c r="AW254" s="518"/>
      <c r="AX254" s="518"/>
      <c r="AY254" s="518"/>
      <c r="AZ254" s="518"/>
      <c r="BA254" s="518"/>
      <c r="BB254" s="518"/>
      <c r="BC254" s="518"/>
      <c r="BD254" s="518"/>
      <c r="BE254" s="518"/>
    </row>
    <row r="255" spans="1:57" ht="12.75" customHeight="1">
      <c r="A255" s="518"/>
      <c r="B255" s="518"/>
      <c r="C255" s="518"/>
      <c r="D255" s="518"/>
      <c r="E255" s="518"/>
      <c r="F255" s="518"/>
      <c r="G255" s="518"/>
      <c r="H255" s="518"/>
      <c r="I255" s="518"/>
      <c r="J255" s="518"/>
      <c r="K255" s="518"/>
      <c r="L255" s="518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  <c r="AB255" s="518"/>
      <c r="AC255" s="518"/>
      <c r="AD255" s="518"/>
      <c r="AE255" s="518"/>
      <c r="AF255" s="518"/>
      <c r="AG255" s="518"/>
      <c r="AH255" s="518"/>
      <c r="AI255" s="518"/>
      <c r="AJ255" s="518"/>
      <c r="AK255" s="518"/>
      <c r="AL255" s="518"/>
      <c r="AM255" s="518"/>
      <c r="AN255" s="518"/>
      <c r="AO255" s="518"/>
      <c r="AP255" s="518"/>
      <c r="AQ255" s="518"/>
      <c r="AR255" s="518"/>
      <c r="AS255" s="518"/>
      <c r="AT255" s="518"/>
      <c r="AU255" s="518"/>
      <c r="AV255" s="518"/>
      <c r="AW255" s="518"/>
      <c r="AX255" s="518"/>
      <c r="AY255" s="518"/>
      <c r="AZ255" s="518"/>
      <c r="BA255" s="518"/>
      <c r="BB255" s="518"/>
      <c r="BC255" s="518"/>
      <c r="BD255" s="518"/>
      <c r="BE255" s="518"/>
    </row>
    <row r="256" spans="1:57" ht="12.75" customHeight="1">
      <c r="A256" s="518"/>
      <c r="B256" s="518"/>
      <c r="C256" s="518"/>
      <c r="D256" s="518"/>
      <c r="E256" s="518"/>
      <c r="F256" s="518"/>
      <c r="G256" s="518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  <c r="AB256" s="518"/>
      <c r="AC256" s="518"/>
      <c r="AD256" s="518"/>
      <c r="AE256" s="518"/>
      <c r="AF256" s="518"/>
      <c r="AG256" s="518"/>
      <c r="AH256" s="518"/>
      <c r="AI256" s="518"/>
      <c r="AJ256" s="518"/>
      <c r="AK256" s="518"/>
      <c r="AL256" s="518"/>
      <c r="AM256" s="518"/>
      <c r="AN256" s="518"/>
      <c r="AO256" s="518"/>
      <c r="AP256" s="518"/>
      <c r="AQ256" s="518"/>
      <c r="AR256" s="518"/>
      <c r="AS256" s="518"/>
      <c r="AT256" s="518"/>
      <c r="AU256" s="518"/>
      <c r="AV256" s="518"/>
      <c r="AW256" s="518"/>
      <c r="AX256" s="518"/>
      <c r="AY256" s="518"/>
      <c r="AZ256" s="518"/>
      <c r="BA256" s="518"/>
      <c r="BB256" s="518"/>
      <c r="BC256" s="518"/>
      <c r="BD256" s="518"/>
      <c r="BE256" s="518"/>
    </row>
    <row r="257" spans="1:57" ht="12.75" customHeight="1">
      <c r="A257" s="518"/>
      <c r="B257" s="518"/>
      <c r="C257" s="518"/>
      <c r="D257" s="518"/>
      <c r="E257" s="518"/>
      <c r="F257" s="518"/>
      <c r="G257" s="518"/>
      <c r="H257" s="518"/>
      <c r="I257" s="518"/>
      <c r="J257" s="518"/>
      <c r="K257" s="518"/>
      <c r="L257" s="518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  <c r="AB257" s="518"/>
      <c r="AC257" s="518"/>
      <c r="AD257" s="518"/>
      <c r="AE257" s="518"/>
      <c r="AF257" s="518"/>
      <c r="AG257" s="518"/>
      <c r="AH257" s="518"/>
      <c r="AI257" s="518"/>
      <c r="AJ257" s="518"/>
      <c r="AK257" s="518"/>
      <c r="AL257" s="518"/>
      <c r="AM257" s="518"/>
      <c r="AN257" s="518"/>
      <c r="AO257" s="518"/>
      <c r="AP257" s="518"/>
      <c r="AQ257" s="518"/>
      <c r="AR257" s="518"/>
      <c r="AS257" s="518"/>
      <c r="AT257" s="518"/>
      <c r="AU257" s="518"/>
      <c r="AV257" s="518"/>
      <c r="AW257" s="518"/>
      <c r="AX257" s="518"/>
      <c r="AY257" s="518"/>
      <c r="AZ257" s="518"/>
      <c r="BA257" s="518"/>
      <c r="BB257" s="518"/>
      <c r="BC257" s="518"/>
      <c r="BD257" s="518"/>
      <c r="BE257" s="518"/>
    </row>
    <row r="258" spans="1:57" ht="12.75" customHeight="1">
      <c r="A258" s="518"/>
      <c r="B258" s="518"/>
      <c r="C258" s="518"/>
      <c r="D258" s="518"/>
      <c r="E258" s="518"/>
      <c r="F258" s="518"/>
      <c r="G258" s="518"/>
      <c r="H258" s="518"/>
      <c r="I258" s="518"/>
      <c r="J258" s="518"/>
      <c r="K258" s="518"/>
      <c r="L258" s="518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  <c r="AB258" s="518"/>
      <c r="AC258" s="518"/>
      <c r="AD258" s="518"/>
      <c r="AE258" s="518"/>
      <c r="AF258" s="518"/>
      <c r="AG258" s="518"/>
      <c r="AH258" s="518"/>
      <c r="AI258" s="518"/>
      <c r="AJ258" s="518"/>
      <c r="AK258" s="518"/>
      <c r="AL258" s="518"/>
      <c r="AM258" s="518"/>
      <c r="AN258" s="518"/>
      <c r="AO258" s="518"/>
      <c r="AP258" s="518"/>
      <c r="AQ258" s="518"/>
      <c r="AR258" s="518"/>
      <c r="AS258" s="518"/>
      <c r="AT258" s="518"/>
      <c r="AU258" s="518"/>
      <c r="AV258" s="518"/>
      <c r="AW258" s="518"/>
      <c r="AX258" s="518"/>
      <c r="AY258" s="518"/>
      <c r="AZ258" s="518"/>
      <c r="BA258" s="518"/>
      <c r="BB258" s="518"/>
      <c r="BC258" s="518"/>
      <c r="BD258" s="518"/>
      <c r="BE258" s="518"/>
    </row>
    <row r="259" spans="1:57" ht="12.75" customHeight="1">
      <c r="A259" s="518"/>
      <c r="B259" s="518"/>
      <c r="C259" s="518"/>
      <c r="D259" s="518"/>
      <c r="E259" s="518"/>
      <c r="F259" s="518"/>
      <c r="G259" s="518"/>
      <c r="H259" s="518"/>
      <c r="I259" s="518"/>
      <c r="J259" s="518"/>
      <c r="K259" s="518"/>
      <c r="L259" s="518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  <c r="AB259" s="518"/>
      <c r="AC259" s="518"/>
      <c r="AD259" s="518"/>
      <c r="AE259" s="518"/>
      <c r="AF259" s="518"/>
      <c r="AG259" s="518"/>
      <c r="AH259" s="518"/>
      <c r="AI259" s="518"/>
      <c r="AJ259" s="518"/>
      <c r="AK259" s="518"/>
      <c r="AL259" s="518"/>
      <c r="AM259" s="518"/>
      <c r="AN259" s="518"/>
      <c r="AO259" s="518"/>
      <c r="AP259" s="518"/>
      <c r="AQ259" s="518"/>
      <c r="AR259" s="518"/>
      <c r="AS259" s="518"/>
      <c r="AT259" s="518"/>
      <c r="AU259" s="518"/>
      <c r="AV259" s="518"/>
      <c r="AW259" s="518"/>
      <c r="AX259" s="518"/>
      <c r="AY259" s="518"/>
      <c r="AZ259" s="518"/>
      <c r="BA259" s="518"/>
      <c r="BB259" s="518"/>
      <c r="BC259" s="518"/>
      <c r="BD259" s="518"/>
      <c r="BE259" s="518"/>
    </row>
    <row r="260" spans="1:57" ht="12.75" customHeight="1">
      <c r="A260" s="518"/>
      <c r="B260" s="518"/>
      <c r="C260" s="518"/>
      <c r="D260" s="518"/>
      <c r="E260" s="518"/>
      <c r="F260" s="518"/>
      <c r="G260" s="518"/>
      <c r="H260" s="518"/>
      <c r="I260" s="518"/>
      <c r="J260" s="518"/>
      <c r="K260" s="518"/>
      <c r="L260" s="518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  <c r="AB260" s="518"/>
      <c r="AC260" s="518"/>
      <c r="AD260" s="518"/>
      <c r="AE260" s="518"/>
      <c r="AF260" s="518"/>
      <c r="AG260" s="518"/>
      <c r="AH260" s="518"/>
      <c r="AI260" s="518"/>
      <c r="AJ260" s="518"/>
      <c r="AK260" s="518"/>
      <c r="AL260" s="518"/>
      <c r="AM260" s="518"/>
      <c r="AN260" s="518"/>
      <c r="AO260" s="518"/>
      <c r="AP260" s="518"/>
      <c r="AQ260" s="518"/>
      <c r="AR260" s="518"/>
      <c r="AS260" s="518"/>
      <c r="AT260" s="518"/>
      <c r="AU260" s="518"/>
      <c r="AV260" s="518"/>
      <c r="AW260" s="518"/>
      <c r="AX260" s="518"/>
      <c r="AY260" s="518"/>
      <c r="AZ260" s="518"/>
      <c r="BA260" s="518"/>
      <c r="BB260" s="518"/>
      <c r="BC260" s="518"/>
      <c r="BD260" s="518"/>
      <c r="BE260" s="518"/>
    </row>
    <row r="261" spans="1:57" ht="12.75" customHeight="1">
      <c r="A261" s="518"/>
      <c r="B261" s="518"/>
      <c r="C261" s="518"/>
      <c r="D261" s="518"/>
      <c r="E261" s="518"/>
      <c r="F261" s="518"/>
      <c r="G261" s="518"/>
      <c r="H261" s="518"/>
      <c r="I261" s="518"/>
      <c r="J261" s="518"/>
      <c r="K261" s="518"/>
      <c r="L261" s="518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  <c r="AB261" s="518"/>
      <c r="AC261" s="518"/>
      <c r="AD261" s="518"/>
      <c r="AE261" s="518"/>
      <c r="AF261" s="518"/>
      <c r="AG261" s="518"/>
      <c r="AH261" s="518"/>
      <c r="AI261" s="518"/>
      <c r="AJ261" s="518"/>
      <c r="AK261" s="518"/>
      <c r="AL261" s="518"/>
      <c r="AM261" s="518"/>
      <c r="AN261" s="518"/>
      <c r="AO261" s="518"/>
      <c r="AP261" s="518"/>
      <c r="AQ261" s="518"/>
      <c r="AR261" s="518"/>
      <c r="AS261" s="518"/>
      <c r="AT261" s="518"/>
      <c r="AU261" s="518"/>
      <c r="AV261" s="518"/>
      <c r="AW261" s="518"/>
      <c r="AX261" s="518"/>
      <c r="AY261" s="518"/>
      <c r="AZ261" s="518"/>
      <c r="BA261" s="518"/>
      <c r="BB261" s="518"/>
      <c r="BC261" s="518"/>
      <c r="BD261" s="518"/>
      <c r="BE261" s="518"/>
    </row>
    <row r="262" spans="1:57" ht="12.75" customHeight="1">
      <c r="A262" s="518"/>
      <c r="B262" s="518"/>
      <c r="C262" s="518"/>
      <c r="D262" s="518"/>
      <c r="E262" s="518"/>
      <c r="F262" s="518"/>
      <c r="G262" s="518"/>
      <c r="H262" s="518"/>
      <c r="I262" s="518"/>
      <c r="J262" s="518"/>
      <c r="K262" s="518"/>
      <c r="L262" s="518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  <c r="AB262" s="518"/>
      <c r="AC262" s="518"/>
      <c r="AD262" s="518"/>
      <c r="AE262" s="518"/>
      <c r="AF262" s="518"/>
      <c r="AG262" s="518"/>
      <c r="AH262" s="518"/>
      <c r="AI262" s="518"/>
      <c r="AJ262" s="518"/>
      <c r="AK262" s="518"/>
      <c r="AL262" s="518"/>
      <c r="AM262" s="518"/>
      <c r="AN262" s="518"/>
      <c r="AO262" s="518"/>
      <c r="AP262" s="518"/>
      <c r="AQ262" s="518"/>
      <c r="AR262" s="518"/>
      <c r="AS262" s="518"/>
      <c r="AT262" s="518"/>
      <c r="AU262" s="518"/>
      <c r="AV262" s="518"/>
      <c r="AW262" s="518"/>
      <c r="AX262" s="518"/>
      <c r="AY262" s="518"/>
      <c r="AZ262" s="518"/>
      <c r="BA262" s="518"/>
      <c r="BB262" s="518"/>
      <c r="BC262" s="518"/>
      <c r="BD262" s="518"/>
      <c r="BE262" s="518"/>
    </row>
    <row r="263" spans="1:57" ht="12.75" customHeight="1">
      <c r="A263" s="518"/>
      <c r="B263" s="518"/>
      <c r="C263" s="518"/>
      <c r="D263" s="518"/>
      <c r="E263" s="518"/>
      <c r="F263" s="518"/>
      <c r="G263" s="518"/>
      <c r="H263" s="518"/>
      <c r="I263" s="518"/>
      <c r="J263" s="518"/>
      <c r="K263" s="518"/>
      <c r="L263" s="518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  <c r="AB263" s="518"/>
      <c r="AC263" s="518"/>
      <c r="AD263" s="518"/>
      <c r="AE263" s="518"/>
      <c r="AF263" s="518"/>
      <c r="AG263" s="518"/>
      <c r="AH263" s="518"/>
      <c r="AI263" s="518"/>
      <c r="AJ263" s="518"/>
      <c r="AK263" s="518"/>
      <c r="AL263" s="518"/>
      <c r="AM263" s="518"/>
      <c r="AN263" s="518"/>
      <c r="AO263" s="518"/>
      <c r="AP263" s="518"/>
      <c r="AQ263" s="518"/>
      <c r="AR263" s="518"/>
      <c r="AS263" s="518"/>
      <c r="AT263" s="518"/>
      <c r="AU263" s="518"/>
      <c r="AV263" s="518"/>
      <c r="AW263" s="518"/>
      <c r="AX263" s="518"/>
      <c r="AY263" s="518"/>
      <c r="AZ263" s="518"/>
      <c r="BA263" s="518"/>
      <c r="BB263" s="518"/>
      <c r="BC263" s="518"/>
      <c r="BD263" s="518"/>
      <c r="BE263" s="518"/>
    </row>
    <row r="264" spans="1:57" ht="12.75" customHeight="1">
      <c r="A264" s="518"/>
      <c r="B264" s="518"/>
      <c r="C264" s="518"/>
      <c r="D264" s="518"/>
      <c r="E264" s="518"/>
      <c r="F264" s="518"/>
      <c r="G264" s="518"/>
      <c r="H264" s="518"/>
      <c r="I264" s="518"/>
      <c r="J264" s="518"/>
      <c r="K264" s="518"/>
      <c r="L264" s="518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  <c r="AB264" s="518"/>
      <c r="AC264" s="518"/>
      <c r="AD264" s="518"/>
      <c r="AE264" s="518"/>
      <c r="AF264" s="518"/>
      <c r="AG264" s="518"/>
      <c r="AH264" s="518"/>
      <c r="AI264" s="518"/>
      <c r="AJ264" s="518"/>
      <c r="AK264" s="518"/>
      <c r="AL264" s="518"/>
      <c r="AM264" s="518"/>
      <c r="AN264" s="518"/>
      <c r="AO264" s="518"/>
      <c r="AP264" s="518"/>
      <c r="AQ264" s="518"/>
      <c r="AR264" s="518"/>
      <c r="AS264" s="518"/>
      <c r="AT264" s="518"/>
      <c r="AU264" s="518"/>
      <c r="AV264" s="518"/>
      <c r="AW264" s="518"/>
      <c r="AX264" s="518"/>
      <c r="AY264" s="518"/>
      <c r="AZ264" s="518"/>
      <c r="BA264" s="518"/>
      <c r="BB264" s="518"/>
      <c r="BC264" s="518"/>
      <c r="BD264" s="518"/>
      <c r="BE264" s="518"/>
    </row>
    <row r="265" spans="1:57" ht="12.75" customHeight="1">
      <c r="A265" s="518"/>
      <c r="B265" s="518"/>
      <c r="C265" s="518"/>
      <c r="D265" s="518"/>
      <c r="E265" s="518"/>
      <c r="F265" s="518"/>
      <c r="G265" s="518"/>
      <c r="H265" s="518"/>
      <c r="I265" s="518"/>
      <c r="J265" s="518"/>
      <c r="K265" s="518"/>
      <c r="L265" s="518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  <c r="AB265" s="518"/>
      <c r="AC265" s="518"/>
      <c r="AD265" s="518"/>
      <c r="AE265" s="518"/>
      <c r="AF265" s="518"/>
      <c r="AG265" s="518"/>
      <c r="AH265" s="518"/>
      <c r="AI265" s="518"/>
      <c r="AJ265" s="518"/>
      <c r="AK265" s="518"/>
      <c r="AL265" s="518"/>
      <c r="AM265" s="518"/>
      <c r="AN265" s="518"/>
      <c r="AO265" s="518"/>
      <c r="AP265" s="518"/>
      <c r="AQ265" s="518"/>
      <c r="AR265" s="518"/>
      <c r="AS265" s="518"/>
      <c r="AT265" s="518"/>
      <c r="AU265" s="518"/>
      <c r="AV265" s="518"/>
      <c r="AW265" s="518"/>
      <c r="AX265" s="518"/>
      <c r="AY265" s="518"/>
      <c r="AZ265" s="518"/>
      <c r="BA265" s="518"/>
      <c r="BB265" s="518"/>
      <c r="BC265" s="518"/>
      <c r="BD265" s="518"/>
      <c r="BE265" s="518"/>
    </row>
    <row r="266" spans="1:57" ht="12.75" customHeight="1">
      <c r="A266" s="518"/>
      <c r="B266" s="518"/>
      <c r="C266" s="518"/>
      <c r="D266" s="518"/>
      <c r="E266" s="518"/>
      <c r="F266" s="518"/>
      <c r="G266" s="518"/>
      <c r="H266" s="518"/>
      <c r="I266" s="518"/>
      <c r="J266" s="518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  <c r="AB266" s="518"/>
      <c r="AC266" s="518"/>
      <c r="AD266" s="518"/>
      <c r="AE266" s="518"/>
      <c r="AF266" s="518"/>
      <c r="AG266" s="518"/>
      <c r="AH266" s="518"/>
      <c r="AI266" s="518"/>
      <c r="AJ266" s="518"/>
      <c r="AK266" s="518"/>
      <c r="AL266" s="518"/>
      <c r="AM266" s="518"/>
      <c r="AN266" s="518"/>
      <c r="AO266" s="518"/>
      <c r="AP266" s="518"/>
      <c r="AQ266" s="518"/>
      <c r="AR266" s="518"/>
      <c r="AS266" s="518"/>
      <c r="AT266" s="518"/>
      <c r="AU266" s="518"/>
      <c r="AV266" s="518"/>
      <c r="AW266" s="518"/>
      <c r="AX266" s="518"/>
      <c r="AY266" s="518"/>
      <c r="AZ266" s="518"/>
      <c r="BA266" s="518"/>
      <c r="BB266" s="518"/>
      <c r="BC266" s="518"/>
      <c r="BD266" s="518"/>
      <c r="BE266" s="518"/>
    </row>
    <row r="267" spans="1:57" ht="12.75" customHeight="1">
      <c r="A267" s="518"/>
      <c r="B267" s="518"/>
      <c r="C267" s="518"/>
      <c r="D267" s="518"/>
      <c r="E267" s="518"/>
      <c r="F267" s="518"/>
      <c r="G267" s="518"/>
      <c r="H267" s="518"/>
      <c r="I267" s="518"/>
      <c r="J267" s="518"/>
      <c r="K267" s="518"/>
      <c r="L267" s="518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  <c r="AB267" s="518"/>
      <c r="AC267" s="518"/>
      <c r="AD267" s="518"/>
      <c r="AE267" s="518"/>
      <c r="AF267" s="518"/>
      <c r="AG267" s="518"/>
      <c r="AH267" s="518"/>
      <c r="AI267" s="518"/>
      <c r="AJ267" s="518"/>
      <c r="AK267" s="518"/>
      <c r="AL267" s="518"/>
      <c r="AM267" s="518"/>
      <c r="AN267" s="518"/>
      <c r="AO267" s="518"/>
      <c r="AP267" s="518"/>
      <c r="AQ267" s="518"/>
      <c r="AR267" s="518"/>
      <c r="AS267" s="518"/>
      <c r="AT267" s="518"/>
      <c r="AU267" s="518"/>
      <c r="AV267" s="518"/>
      <c r="AW267" s="518"/>
      <c r="AX267" s="518"/>
      <c r="AY267" s="518"/>
      <c r="AZ267" s="518"/>
      <c r="BA267" s="518"/>
      <c r="BB267" s="518"/>
      <c r="BC267" s="518"/>
      <c r="BD267" s="518"/>
      <c r="BE267" s="518"/>
    </row>
    <row r="268" spans="1:57" ht="12.75" customHeight="1">
      <c r="A268" s="518"/>
      <c r="B268" s="518"/>
      <c r="C268" s="518"/>
      <c r="D268" s="518"/>
      <c r="E268" s="518"/>
      <c r="F268" s="518"/>
      <c r="G268" s="518"/>
      <c r="H268" s="518"/>
      <c r="I268" s="518"/>
      <c r="J268" s="518"/>
      <c r="K268" s="518"/>
      <c r="L268" s="518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  <c r="AB268" s="518"/>
      <c r="AC268" s="518"/>
      <c r="AD268" s="518"/>
      <c r="AE268" s="518"/>
      <c r="AF268" s="518"/>
      <c r="AG268" s="518"/>
      <c r="AH268" s="518"/>
      <c r="AI268" s="518"/>
      <c r="AJ268" s="518"/>
      <c r="AK268" s="518"/>
      <c r="AL268" s="518"/>
      <c r="AM268" s="518"/>
      <c r="AN268" s="518"/>
      <c r="AO268" s="518"/>
      <c r="AP268" s="518"/>
      <c r="AQ268" s="518"/>
      <c r="AR268" s="518"/>
      <c r="AS268" s="518"/>
      <c r="AT268" s="518"/>
      <c r="AU268" s="518"/>
      <c r="AV268" s="518"/>
      <c r="AW268" s="518"/>
      <c r="AX268" s="518"/>
      <c r="AY268" s="518"/>
      <c r="AZ268" s="518"/>
      <c r="BA268" s="518"/>
      <c r="BB268" s="518"/>
      <c r="BC268" s="518"/>
      <c r="BD268" s="518"/>
      <c r="BE268" s="518"/>
    </row>
    <row r="269" spans="1:57" ht="12.75" customHeight="1">
      <c r="A269" s="518"/>
      <c r="B269" s="518"/>
      <c r="C269" s="518"/>
      <c r="D269" s="518"/>
      <c r="E269" s="518"/>
      <c r="F269" s="518"/>
      <c r="G269" s="518"/>
      <c r="H269" s="518"/>
      <c r="I269" s="518"/>
      <c r="J269" s="518"/>
      <c r="K269" s="518"/>
      <c r="L269" s="518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  <c r="AB269" s="518"/>
      <c r="AC269" s="518"/>
      <c r="AD269" s="518"/>
      <c r="AE269" s="518"/>
      <c r="AF269" s="518"/>
      <c r="AG269" s="518"/>
      <c r="AH269" s="518"/>
      <c r="AI269" s="518"/>
      <c r="AJ269" s="518"/>
      <c r="AK269" s="518"/>
      <c r="AL269" s="518"/>
      <c r="AM269" s="518"/>
      <c r="AN269" s="518"/>
      <c r="AO269" s="518"/>
      <c r="AP269" s="518"/>
      <c r="AQ269" s="518"/>
      <c r="AR269" s="518"/>
      <c r="AS269" s="518"/>
      <c r="AT269" s="518"/>
      <c r="AU269" s="518"/>
      <c r="AV269" s="518"/>
      <c r="AW269" s="518"/>
      <c r="AX269" s="518"/>
      <c r="AY269" s="518"/>
      <c r="AZ269" s="518"/>
      <c r="BA269" s="518"/>
      <c r="BB269" s="518"/>
      <c r="BC269" s="518"/>
      <c r="BD269" s="518"/>
      <c r="BE269" s="518"/>
    </row>
    <row r="270" spans="1:57" ht="12.75" customHeight="1">
      <c r="A270" s="518"/>
      <c r="B270" s="518"/>
      <c r="C270" s="518"/>
      <c r="D270" s="518"/>
      <c r="E270" s="518"/>
      <c r="F270" s="518"/>
      <c r="G270" s="518"/>
      <c r="H270" s="518"/>
      <c r="I270" s="518"/>
      <c r="J270" s="518"/>
      <c r="K270" s="518"/>
      <c r="L270" s="518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  <c r="AB270" s="518"/>
      <c r="AC270" s="518"/>
      <c r="AD270" s="518"/>
      <c r="AE270" s="518"/>
      <c r="AF270" s="518"/>
      <c r="AG270" s="518"/>
      <c r="AH270" s="518"/>
      <c r="AI270" s="518"/>
      <c r="AJ270" s="518"/>
      <c r="AK270" s="518"/>
      <c r="AL270" s="518"/>
      <c r="AM270" s="518"/>
      <c r="AN270" s="518"/>
      <c r="AO270" s="518"/>
      <c r="AP270" s="518"/>
      <c r="AQ270" s="518"/>
      <c r="AR270" s="518"/>
      <c r="AS270" s="518"/>
      <c r="AT270" s="518"/>
      <c r="AU270" s="518"/>
      <c r="AV270" s="518"/>
      <c r="AW270" s="518"/>
      <c r="AX270" s="518"/>
      <c r="AY270" s="518"/>
      <c r="AZ270" s="518"/>
      <c r="BA270" s="518"/>
      <c r="BB270" s="518"/>
      <c r="BC270" s="518"/>
      <c r="BD270" s="518"/>
      <c r="BE270" s="518"/>
    </row>
    <row r="271" spans="1:57" ht="12.75" customHeight="1">
      <c r="A271" s="518"/>
      <c r="B271" s="518"/>
      <c r="C271" s="518"/>
      <c r="D271" s="518"/>
      <c r="E271" s="518"/>
      <c r="F271" s="518"/>
      <c r="G271" s="518"/>
      <c r="H271" s="518"/>
      <c r="I271" s="518"/>
      <c r="J271" s="518"/>
      <c r="K271" s="518"/>
      <c r="L271" s="518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  <c r="AB271" s="518"/>
      <c r="AC271" s="518"/>
      <c r="AD271" s="518"/>
      <c r="AE271" s="518"/>
      <c r="AF271" s="518"/>
      <c r="AG271" s="518"/>
      <c r="AH271" s="518"/>
      <c r="AI271" s="518"/>
      <c r="AJ271" s="518"/>
      <c r="AK271" s="518"/>
      <c r="AL271" s="518"/>
      <c r="AM271" s="518"/>
      <c r="AN271" s="518"/>
      <c r="AO271" s="518"/>
      <c r="AP271" s="518"/>
      <c r="AQ271" s="518"/>
      <c r="AR271" s="518"/>
      <c r="AS271" s="518"/>
      <c r="AT271" s="518"/>
      <c r="AU271" s="518"/>
      <c r="AV271" s="518"/>
      <c r="AW271" s="518"/>
      <c r="AX271" s="518"/>
      <c r="AY271" s="518"/>
      <c r="AZ271" s="518"/>
      <c r="BA271" s="518"/>
      <c r="BB271" s="518"/>
      <c r="BC271" s="518"/>
      <c r="BD271" s="518"/>
      <c r="BE271" s="518"/>
    </row>
    <row r="272" spans="1:57" ht="12.75" customHeight="1">
      <c r="A272" s="518"/>
      <c r="B272" s="518"/>
      <c r="C272" s="518"/>
      <c r="D272" s="518"/>
      <c r="E272" s="518"/>
      <c r="F272" s="518"/>
      <c r="G272" s="518"/>
      <c r="H272" s="518"/>
      <c r="I272" s="518"/>
      <c r="J272" s="518"/>
      <c r="K272" s="518"/>
      <c r="L272" s="518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  <c r="AB272" s="518"/>
      <c r="AC272" s="518"/>
      <c r="AD272" s="518"/>
      <c r="AE272" s="518"/>
      <c r="AF272" s="518"/>
      <c r="AG272" s="518"/>
      <c r="AH272" s="518"/>
      <c r="AI272" s="518"/>
      <c r="AJ272" s="518"/>
      <c r="AK272" s="518"/>
      <c r="AL272" s="518"/>
      <c r="AM272" s="518"/>
      <c r="AN272" s="518"/>
      <c r="AO272" s="518"/>
      <c r="AP272" s="518"/>
      <c r="AQ272" s="518"/>
      <c r="AR272" s="518"/>
      <c r="AS272" s="518"/>
      <c r="AT272" s="518"/>
      <c r="AU272" s="518"/>
      <c r="AV272" s="518"/>
      <c r="AW272" s="518"/>
      <c r="AX272" s="518"/>
      <c r="AY272" s="518"/>
      <c r="AZ272" s="518"/>
      <c r="BA272" s="518"/>
      <c r="BB272" s="518"/>
      <c r="BC272" s="518"/>
      <c r="BD272" s="518"/>
      <c r="BE272" s="518"/>
    </row>
    <row r="273" spans="1:57" ht="12.75" customHeight="1">
      <c r="A273" s="518"/>
      <c r="B273" s="518"/>
      <c r="C273" s="518"/>
      <c r="D273" s="518"/>
      <c r="E273" s="518"/>
      <c r="F273" s="518"/>
      <c r="G273" s="518"/>
      <c r="H273" s="518"/>
      <c r="I273" s="518"/>
      <c r="J273" s="518"/>
      <c r="K273" s="518"/>
      <c r="L273" s="518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  <c r="AB273" s="518"/>
      <c r="AC273" s="518"/>
      <c r="AD273" s="518"/>
      <c r="AE273" s="518"/>
      <c r="AF273" s="518"/>
      <c r="AG273" s="518"/>
      <c r="AH273" s="518"/>
      <c r="AI273" s="518"/>
      <c r="AJ273" s="518"/>
      <c r="AK273" s="518"/>
      <c r="AL273" s="518"/>
      <c r="AM273" s="518"/>
      <c r="AN273" s="518"/>
      <c r="AO273" s="518"/>
      <c r="AP273" s="518"/>
      <c r="AQ273" s="518"/>
      <c r="AR273" s="518"/>
      <c r="AS273" s="518"/>
      <c r="AT273" s="518"/>
      <c r="AU273" s="518"/>
      <c r="AV273" s="518"/>
      <c r="AW273" s="518"/>
      <c r="AX273" s="518"/>
      <c r="AY273" s="518"/>
      <c r="AZ273" s="518"/>
      <c r="BA273" s="518"/>
      <c r="BB273" s="518"/>
      <c r="BC273" s="518"/>
      <c r="BD273" s="518"/>
      <c r="BE273" s="518"/>
    </row>
    <row r="274" spans="1:57" ht="12.75" customHeight="1">
      <c r="A274" s="518"/>
      <c r="B274" s="518"/>
      <c r="C274" s="518"/>
      <c r="D274" s="518"/>
      <c r="E274" s="518"/>
      <c r="F274" s="518"/>
      <c r="G274" s="518"/>
      <c r="H274" s="518"/>
      <c r="I274" s="518"/>
      <c r="J274" s="518"/>
      <c r="K274" s="518"/>
      <c r="L274" s="518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  <c r="AB274" s="518"/>
      <c r="AC274" s="518"/>
      <c r="AD274" s="518"/>
      <c r="AE274" s="518"/>
      <c r="AF274" s="518"/>
      <c r="AG274" s="518"/>
      <c r="AH274" s="518"/>
      <c r="AI274" s="518"/>
      <c r="AJ274" s="518"/>
      <c r="AK274" s="518"/>
      <c r="AL274" s="518"/>
      <c r="AM274" s="518"/>
      <c r="AN274" s="518"/>
      <c r="AO274" s="518"/>
      <c r="AP274" s="518"/>
      <c r="AQ274" s="518"/>
      <c r="AR274" s="518"/>
      <c r="AS274" s="518"/>
      <c r="AT274" s="518"/>
      <c r="AU274" s="518"/>
      <c r="AV274" s="518"/>
      <c r="AW274" s="518"/>
      <c r="AX274" s="518"/>
      <c r="AY274" s="518"/>
      <c r="AZ274" s="518"/>
      <c r="BA274" s="518"/>
      <c r="BB274" s="518"/>
      <c r="BC274" s="518"/>
      <c r="BD274" s="518"/>
      <c r="BE274" s="518"/>
    </row>
    <row r="275" spans="1:57" ht="12.75" customHeight="1">
      <c r="A275" s="518"/>
      <c r="B275" s="518"/>
      <c r="C275" s="518"/>
      <c r="D275" s="518"/>
      <c r="E275" s="518"/>
      <c r="F275" s="518"/>
      <c r="G275" s="518"/>
      <c r="H275" s="518"/>
      <c r="I275" s="518"/>
      <c r="J275" s="518"/>
      <c r="K275" s="518"/>
      <c r="L275" s="518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  <c r="AB275" s="518"/>
      <c r="AC275" s="518"/>
      <c r="AD275" s="518"/>
      <c r="AE275" s="518"/>
      <c r="AF275" s="518"/>
      <c r="AG275" s="518"/>
      <c r="AH275" s="518"/>
      <c r="AI275" s="518"/>
      <c r="AJ275" s="518"/>
      <c r="AK275" s="518"/>
      <c r="AL275" s="518"/>
      <c r="AM275" s="518"/>
      <c r="AN275" s="518"/>
      <c r="AO275" s="518"/>
      <c r="AP275" s="518"/>
      <c r="AQ275" s="518"/>
      <c r="AR275" s="518"/>
      <c r="AS275" s="518"/>
      <c r="AT275" s="518"/>
      <c r="AU275" s="518"/>
      <c r="AV275" s="518"/>
      <c r="AW275" s="518"/>
      <c r="AX275" s="518"/>
      <c r="AY275" s="518"/>
      <c r="AZ275" s="518"/>
      <c r="BA275" s="518"/>
      <c r="BB275" s="518"/>
      <c r="BC275" s="518"/>
      <c r="BD275" s="518"/>
      <c r="BE275" s="518"/>
    </row>
    <row r="276" spans="1:57" ht="12.75" customHeight="1">
      <c r="A276" s="518"/>
      <c r="B276" s="518"/>
      <c r="C276" s="518"/>
      <c r="D276" s="518"/>
      <c r="E276" s="518"/>
      <c r="F276" s="518"/>
      <c r="G276" s="518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  <c r="AB276" s="518"/>
      <c r="AC276" s="518"/>
      <c r="AD276" s="518"/>
      <c r="AE276" s="518"/>
      <c r="AF276" s="518"/>
      <c r="AG276" s="518"/>
      <c r="AH276" s="518"/>
      <c r="AI276" s="518"/>
      <c r="AJ276" s="518"/>
      <c r="AK276" s="518"/>
      <c r="AL276" s="518"/>
      <c r="AM276" s="518"/>
      <c r="AN276" s="518"/>
      <c r="AO276" s="518"/>
      <c r="AP276" s="518"/>
      <c r="AQ276" s="518"/>
      <c r="AR276" s="518"/>
      <c r="AS276" s="518"/>
      <c r="AT276" s="518"/>
      <c r="AU276" s="518"/>
      <c r="AV276" s="518"/>
      <c r="AW276" s="518"/>
      <c r="AX276" s="518"/>
      <c r="AY276" s="518"/>
      <c r="AZ276" s="518"/>
      <c r="BA276" s="518"/>
      <c r="BB276" s="518"/>
      <c r="BC276" s="518"/>
      <c r="BD276" s="518"/>
      <c r="BE276" s="518"/>
    </row>
    <row r="277" spans="1:57" ht="12.75" customHeight="1">
      <c r="A277" s="518"/>
      <c r="B277" s="518"/>
      <c r="C277" s="518"/>
      <c r="D277" s="518"/>
      <c r="E277" s="518"/>
      <c r="F277" s="518"/>
      <c r="G277" s="518"/>
      <c r="H277" s="518"/>
      <c r="I277" s="518"/>
      <c r="J277" s="518"/>
      <c r="K277" s="518"/>
      <c r="L277" s="518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  <c r="AB277" s="518"/>
      <c r="AC277" s="518"/>
      <c r="AD277" s="518"/>
      <c r="AE277" s="518"/>
      <c r="AF277" s="518"/>
      <c r="AG277" s="518"/>
      <c r="AH277" s="518"/>
      <c r="AI277" s="518"/>
      <c r="AJ277" s="518"/>
      <c r="AK277" s="518"/>
      <c r="AL277" s="518"/>
      <c r="AM277" s="518"/>
      <c r="AN277" s="518"/>
      <c r="AO277" s="518"/>
      <c r="AP277" s="518"/>
      <c r="AQ277" s="518"/>
      <c r="AR277" s="518"/>
      <c r="AS277" s="518"/>
      <c r="AT277" s="518"/>
      <c r="AU277" s="518"/>
      <c r="AV277" s="518"/>
      <c r="AW277" s="518"/>
      <c r="AX277" s="518"/>
      <c r="AY277" s="518"/>
      <c r="AZ277" s="518"/>
      <c r="BA277" s="518"/>
      <c r="BB277" s="518"/>
      <c r="BC277" s="518"/>
      <c r="BD277" s="518"/>
      <c r="BE277" s="518"/>
    </row>
    <row r="278" spans="1:57" ht="12.75" customHeight="1">
      <c r="A278" s="518"/>
      <c r="B278" s="518"/>
      <c r="C278" s="518"/>
      <c r="D278" s="518"/>
      <c r="E278" s="518"/>
      <c r="F278" s="518"/>
      <c r="G278" s="518"/>
      <c r="H278" s="518"/>
      <c r="I278" s="518"/>
      <c r="J278" s="518"/>
      <c r="K278" s="518"/>
      <c r="L278" s="518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  <c r="AB278" s="518"/>
      <c r="AC278" s="518"/>
      <c r="AD278" s="518"/>
      <c r="AE278" s="518"/>
      <c r="AF278" s="518"/>
      <c r="AG278" s="518"/>
      <c r="AH278" s="518"/>
      <c r="AI278" s="518"/>
      <c r="AJ278" s="518"/>
      <c r="AK278" s="518"/>
      <c r="AL278" s="518"/>
      <c r="AM278" s="518"/>
      <c r="AN278" s="518"/>
      <c r="AO278" s="518"/>
      <c r="AP278" s="518"/>
      <c r="AQ278" s="518"/>
      <c r="AR278" s="518"/>
      <c r="AS278" s="518"/>
      <c r="AT278" s="518"/>
      <c r="AU278" s="518"/>
      <c r="AV278" s="518"/>
      <c r="AW278" s="518"/>
      <c r="AX278" s="518"/>
      <c r="AY278" s="518"/>
      <c r="AZ278" s="518"/>
      <c r="BA278" s="518"/>
      <c r="BB278" s="518"/>
      <c r="BC278" s="518"/>
      <c r="BD278" s="518"/>
      <c r="BE278" s="518"/>
    </row>
    <row r="279" spans="1:57" ht="12.75" customHeight="1">
      <c r="A279" s="518"/>
      <c r="B279" s="518"/>
      <c r="C279" s="518"/>
      <c r="D279" s="518"/>
      <c r="E279" s="518"/>
      <c r="F279" s="518"/>
      <c r="G279" s="518"/>
      <c r="H279" s="518"/>
      <c r="I279" s="518"/>
      <c r="J279" s="518"/>
      <c r="K279" s="518"/>
      <c r="L279" s="518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  <c r="AB279" s="518"/>
      <c r="AC279" s="518"/>
      <c r="AD279" s="518"/>
      <c r="AE279" s="518"/>
      <c r="AF279" s="518"/>
      <c r="AG279" s="518"/>
      <c r="AH279" s="518"/>
      <c r="AI279" s="518"/>
      <c r="AJ279" s="518"/>
      <c r="AK279" s="518"/>
      <c r="AL279" s="518"/>
      <c r="AM279" s="518"/>
      <c r="AN279" s="518"/>
      <c r="AO279" s="518"/>
      <c r="AP279" s="518"/>
      <c r="AQ279" s="518"/>
      <c r="AR279" s="518"/>
      <c r="AS279" s="518"/>
      <c r="AT279" s="518"/>
      <c r="AU279" s="518"/>
      <c r="AV279" s="518"/>
      <c r="AW279" s="518"/>
      <c r="AX279" s="518"/>
      <c r="AY279" s="518"/>
      <c r="AZ279" s="518"/>
      <c r="BA279" s="518"/>
      <c r="BB279" s="518"/>
      <c r="BC279" s="518"/>
      <c r="BD279" s="518"/>
      <c r="BE279" s="518"/>
    </row>
    <row r="280" spans="1:57" ht="12.75" customHeight="1">
      <c r="A280" s="518"/>
      <c r="B280" s="518"/>
      <c r="C280" s="518"/>
      <c r="D280" s="518"/>
      <c r="E280" s="518"/>
      <c r="F280" s="518"/>
      <c r="G280" s="518"/>
      <c r="H280" s="518"/>
      <c r="I280" s="518"/>
      <c r="J280" s="518"/>
      <c r="K280" s="518"/>
      <c r="L280" s="518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  <c r="AB280" s="518"/>
      <c r="AC280" s="518"/>
      <c r="AD280" s="518"/>
      <c r="AE280" s="518"/>
      <c r="AF280" s="518"/>
      <c r="AG280" s="518"/>
      <c r="AH280" s="518"/>
      <c r="AI280" s="518"/>
      <c r="AJ280" s="518"/>
      <c r="AK280" s="518"/>
      <c r="AL280" s="518"/>
      <c r="AM280" s="518"/>
      <c r="AN280" s="518"/>
      <c r="AO280" s="518"/>
      <c r="AP280" s="518"/>
      <c r="AQ280" s="518"/>
      <c r="AR280" s="518"/>
      <c r="AS280" s="518"/>
      <c r="AT280" s="518"/>
      <c r="AU280" s="518"/>
      <c r="AV280" s="518"/>
      <c r="AW280" s="518"/>
      <c r="AX280" s="518"/>
      <c r="AY280" s="518"/>
      <c r="AZ280" s="518"/>
      <c r="BA280" s="518"/>
      <c r="BB280" s="518"/>
      <c r="BC280" s="518"/>
      <c r="BD280" s="518"/>
      <c r="BE280" s="518"/>
    </row>
    <row r="281" spans="1:57" ht="12.75" customHeight="1">
      <c r="A281" s="518"/>
      <c r="B281" s="518"/>
      <c r="C281" s="518"/>
      <c r="D281" s="518"/>
      <c r="E281" s="518"/>
      <c r="F281" s="518"/>
      <c r="G281" s="518"/>
      <c r="H281" s="518"/>
      <c r="I281" s="518"/>
      <c r="J281" s="518"/>
      <c r="K281" s="518"/>
      <c r="L281" s="518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  <c r="AB281" s="518"/>
      <c r="AC281" s="518"/>
      <c r="AD281" s="518"/>
      <c r="AE281" s="518"/>
      <c r="AF281" s="518"/>
      <c r="AG281" s="518"/>
      <c r="AH281" s="518"/>
      <c r="AI281" s="518"/>
      <c r="AJ281" s="518"/>
      <c r="AK281" s="518"/>
      <c r="AL281" s="518"/>
      <c r="AM281" s="518"/>
      <c r="AN281" s="518"/>
      <c r="AO281" s="518"/>
      <c r="AP281" s="518"/>
      <c r="AQ281" s="518"/>
      <c r="AR281" s="518"/>
      <c r="AS281" s="518"/>
      <c r="AT281" s="518"/>
      <c r="AU281" s="518"/>
      <c r="AV281" s="518"/>
      <c r="AW281" s="518"/>
      <c r="AX281" s="518"/>
      <c r="AY281" s="518"/>
      <c r="AZ281" s="518"/>
      <c r="BA281" s="518"/>
      <c r="BB281" s="518"/>
      <c r="BC281" s="518"/>
      <c r="BD281" s="518"/>
      <c r="BE281" s="518"/>
    </row>
    <row r="282" spans="1:57" ht="12.75" customHeight="1">
      <c r="A282" s="518"/>
      <c r="B282" s="518"/>
      <c r="C282" s="518"/>
      <c r="D282" s="518"/>
      <c r="E282" s="518"/>
      <c r="F282" s="518"/>
      <c r="G282" s="518"/>
      <c r="H282" s="518"/>
      <c r="I282" s="518"/>
      <c r="J282" s="518"/>
      <c r="K282" s="518"/>
      <c r="L282" s="518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  <c r="AB282" s="518"/>
      <c r="AC282" s="518"/>
      <c r="AD282" s="518"/>
      <c r="AE282" s="518"/>
      <c r="AF282" s="518"/>
      <c r="AG282" s="518"/>
      <c r="AH282" s="518"/>
      <c r="AI282" s="518"/>
      <c r="AJ282" s="518"/>
      <c r="AK282" s="518"/>
      <c r="AL282" s="518"/>
      <c r="AM282" s="518"/>
      <c r="AN282" s="518"/>
      <c r="AO282" s="518"/>
      <c r="AP282" s="518"/>
      <c r="AQ282" s="518"/>
      <c r="AR282" s="518"/>
      <c r="AS282" s="518"/>
      <c r="AT282" s="518"/>
      <c r="AU282" s="518"/>
      <c r="AV282" s="518"/>
      <c r="AW282" s="518"/>
      <c r="AX282" s="518"/>
      <c r="AY282" s="518"/>
      <c r="AZ282" s="518"/>
      <c r="BA282" s="518"/>
      <c r="BB282" s="518"/>
      <c r="BC282" s="518"/>
      <c r="BD282" s="518"/>
      <c r="BE282" s="518"/>
    </row>
    <row r="283" spans="1:57" ht="12.75" customHeight="1">
      <c r="A283" s="518"/>
      <c r="B283" s="518"/>
      <c r="C283" s="518"/>
      <c r="D283" s="518"/>
      <c r="E283" s="518"/>
      <c r="F283" s="518"/>
      <c r="G283" s="518"/>
      <c r="H283" s="518"/>
      <c r="I283" s="518"/>
      <c r="J283" s="518"/>
      <c r="K283" s="518"/>
      <c r="L283" s="518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  <c r="AB283" s="518"/>
      <c r="AC283" s="518"/>
      <c r="AD283" s="518"/>
      <c r="AE283" s="518"/>
      <c r="AF283" s="518"/>
      <c r="AG283" s="518"/>
      <c r="AH283" s="518"/>
      <c r="AI283" s="518"/>
      <c r="AJ283" s="518"/>
      <c r="AK283" s="518"/>
      <c r="AL283" s="518"/>
      <c r="AM283" s="518"/>
      <c r="AN283" s="518"/>
      <c r="AO283" s="518"/>
      <c r="AP283" s="518"/>
      <c r="AQ283" s="518"/>
      <c r="AR283" s="518"/>
      <c r="AS283" s="518"/>
      <c r="AT283" s="518"/>
      <c r="AU283" s="518"/>
      <c r="AV283" s="518"/>
      <c r="AW283" s="518"/>
      <c r="AX283" s="518"/>
      <c r="AY283" s="518"/>
      <c r="AZ283" s="518"/>
      <c r="BA283" s="518"/>
      <c r="BB283" s="518"/>
      <c r="BC283" s="518"/>
      <c r="BD283" s="518"/>
      <c r="BE283" s="518"/>
    </row>
    <row r="284" spans="1:57" ht="12.75" customHeight="1">
      <c r="A284" s="518"/>
      <c r="B284" s="518"/>
      <c r="C284" s="518"/>
      <c r="D284" s="518"/>
      <c r="E284" s="518"/>
      <c r="F284" s="518"/>
      <c r="G284" s="518"/>
      <c r="H284" s="518"/>
      <c r="I284" s="518"/>
      <c r="J284" s="518"/>
      <c r="K284" s="518"/>
      <c r="L284" s="518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  <c r="AB284" s="518"/>
      <c r="AC284" s="518"/>
      <c r="AD284" s="518"/>
      <c r="AE284" s="518"/>
      <c r="AF284" s="518"/>
      <c r="AG284" s="518"/>
      <c r="AH284" s="518"/>
      <c r="AI284" s="518"/>
      <c r="AJ284" s="518"/>
      <c r="AK284" s="518"/>
      <c r="AL284" s="518"/>
      <c r="AM284" s="518"/>
      <c r="AN284" s="518"/>
      <c r="AO284" s="518"/>
      <c r="AP284" s="518"/>
      <c r="AQ284" s="518"/>
      <c r="AR284" s="518"/>
      <c r="AS284" s="518"/>
      <c r="AT284" s="518"/>
      <c r="AU284" s="518"/>
      <c r="AV284" s="518"/>
      <c r="AW284" s="518"/>
      <c r="AX284" s="518"/>
      <c r="AY284" s="518"/>
      <c r="AZ284" s="518"/>
      <c r="BA284" s="518"/>
      <c r="BB284" s="518"/>
      <c r="BC284" s="518"/>
      <c r="BD284" s="518"/>
      <c r="BE284" s="518"/>
    </row>
    <row r="285" spans="1:57" ht="12.75" customHeight="1">
      <c r="A285" s="518"/>
      <c r="B285" s="518"/>
      <c r="C285" s="518"/>
      <c r="D285" s="518"/>
      <c r="E285" s="518"/>
      <c r="F285" s="518"/>
      <c r="G285" s="518"/>
      <c r="H285" s="518"/>
      <c r="I285" s="518"/>
      <c r="J285" s="518"/>
      <c r="K285" s="518"/>
      <c r="L285" s="518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  <c r="AB285" s="518"/>
      <c r="AC285" s="518"/>
      <c r="AD285" s="518"/>
      <c r="AE285" s="518"/>
      <c r="AF285" s="518"/>
      <c r="AG285" s="518"/>
      <c r="AH285" s="518"/>
      <c r="AI285" s="518"/>
      <c r="AJ285" s="518"/>
      <c r="AK285" s="518"/>
      <c r="AL285" s="518"/>
      <c r="AM285" s="518"/>
      <c r="AN285" s="518"/>
      <c r="AO285" s="518"/>
      <c r="AP285" s="518"/>
      <c r="AQ285" s="518"/>
      <c r="AR285" s="518"/>
      <c r="AS285" s="518"/>
      <c r="AT285" s="518"/>
      <c r="AU285" s="518"/>
      <c r="AV285" s="518"/>
      <c r="AW285" s="518"/>
      <c r="AX285" s="518"/>
      <c r="AY285" s="518"/>
      <c r="AZ285" s="518"/>
      <c r="BA285" s="518"/>
      <c r="BB285" s="518"/>
      <c r="BC285" s="518"/>
      <c r="BD285" s="518"/>
      <c r="BE285" s="518"/>
    </row>
    <row r="286" spans="1:57" ht="12.75" customHeight="1">
      <c r="A286" s="518"/>
      <c r="B286" s="518"/>
      <c r="C286" s="518"/>
      <c r="D286" s="518"/>
      <c r="E286" s="518"/>
      <c r="F286" s="518"/>
      <c r="G286" s="518"/>
      <c r="H286" s="518"/>
      <c r="I286" s="518"/>
      <c r="J286" s="518"/>
      <c r="K286" s="518"/>
      <c r="L286" s="518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  <c r="AB286" s="518"/>
      <c r="AC286" s="518"/>
      <c r="AD286" s="518"/>
      <c r="AE286" s="518"/>
      <c r="AF286" s="518"/>
      <c r="AG286" s="518"/>
      <c r="AH286" s="518"/>
      <c r="AI286" s="518"/>
      <c r="AJ286" s="518"/>
      <c r="AK286" s="518"/>
      <c r="AL286" s="518"/>
      <c r="AM286" s="518"/>
      <c r="AN286" s="518"/>
      <c r="AO286" s="518"/>
      <c r="AP286" s="518"/>
      <c r="AQ286" s="518"/>
      <c r="AR286" s="518"/>
      <c r="AS286" s="518"/>
      <c r="AT286" s="518"/>
      <c r="AU286" s="518"/>
      <c r="AV286" s="518"/>
      <c r="AW286" s="518"/>
      <c r="AX286" s="518"/>
      <c r="AY286" s="518"/>
      <c r="AZ286" s="518"/>
      <c r="BA286" s="518"/>
      <c r="BB286" s="518"/>
      <c r="BC286" s="518"/>
      <c r="BD286" s="518"/>
      <c r="BE286" s="518"/>
    </row>
    <row r="287" spans="1:57" ht="12.75" customHeight="1">
      <c r="A287" s="518"/>
      <c r="B287" s="518"/>
      <c r="C287" s="518"/>
      <c r="D287" s="518"/>
      <c r="E287" s="518"/>
      <c r="F287" s="518"/>
      <c r="G287" s="518"/>
      <c r="H287" s="518"/>
      <c r="I287" s="518"/>
      <c r="J287" s="518"/>
      <c r="K287" s="518"/>
      <c r="L287" s="518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  <c r="AB287" s="518"/>
      <c r="AC287" s="518"/>
      <c r="AD287" s="518"/>
      <c r="AE287" s="518"/>
      <c r="AF287" s="518"/>
      <c r="AG287" s="518"/>
      <c r="AH287" s="518"/>
      <c r="AI287" s="518"/>
      <c r="AJ287" s="518"/>
      <c r="AK287" s="518"/>
      <c r="AL287" s="518"/>
      <c r="AM287" s="518"/>
      <c r="AN287" s="518"/>
      <c r="AO287" s="518"/>
      <c r="AP287" s="518"/>
      <c r="AQ287" s="518"/>
      <c r="AR287" s="518"/>
      <c r="AS287" s="518"/>
      <c r="AT287" s="518"/>
      <c r="AU287" s="518"/>
      <c r="AV287" s="518"/>
      <c r="AW287" s="518"/>
      <c r="AX287" s="518"/>
      <c r="AY287" s="518"/>
      <c r="AZ287" s="518"/>
      <c r="BA287" s="518"/>
      <c r="BB287" s="518"/>
      <c r="BC287" s="518"/>
      <c r="BD287" s="518"/>
      <c r="BE287" s="518"/>
    </row>
    <row r="288" spans="1:57" ht="12.75" customHeight="1">
      <c r="A288" s="518"/>
      <c r="B288" s="518"/>
      <c r="C288" s="518"/>
      <c r="D288" s="518"/>
      <c r="E288" s="518"/>
      <c r="F288" s="518"/>
      <c r="G288" s="518"/>
      <c r="H288" s="518"/>
      <c r="I288" s="518"/>
      <c r="J288" s="518"/>
      <c r="K288" s="518"/>
      <c r="L288" s="518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  <c r="AB288" s="518"/>
      <c r="AC288" s="518"/>
      <c r="AD288" s="518"/>
      <c r="AE288" s="518"/>
      <c r="AF288" s="518"/>
      <c r="AG288" s="518"/>
      <c r="AH288" s="518"/>
      <c r="AI288" s="518"/>
      <c r="AJ288" s="518"/>
      <c r="AK288" s="518"/>
      <c r="AL288" s="518"/>
      <c r="AM288" s="518"/>
      <c r="AN288" s="518"/>
      <c r="AO288" s="518"/>
      <c r="AP288" s="518"/>
      <c r="AQ288" s="518"/>
      <c r="AR288" s="518"/>
      <c r="AS288" s="518"/>
      <c r="AT288" s="518"/>
      <c r="AU288" s="518"/>
      <c r="AV288" s="518"/>
      <c r="AW288" s="518"/>
      <c r="AX288" s="518"/>
      <c r="AY288" s="518"/>
      <c r="AZ288" s="518"/>
      <c r="BA288" s="518"/>
      <c r="BB288" s="518"/>
      <c r="BC288" s="518"/>
      <c r="BD288" s="518"/>
      <c r="BE288" s="518"/>
    </row>
    <row r="289" spans="1:57" ht="12.75" customHeight="1">
      <c r="A289" s="518"/>
      <c r="B289" s="518"/>
      <c r="C289" s="518"/>
      <c r="D289" s="518"/>
      <c r="E289" s="518"/>
      <c r="F289" s="518"/>
      <c r="G289" s="518"/>
      <c r="H289" s="518"/>
      <c r="I289" s="518"/>
      <c r="J289" s="518"/>
      <c r="K289" s="518"/>
      <c r="L289" s="518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  <c r="AB289" s="518"/>
      <c r="AC289" s="518"/>
      <c r="AD289" s="518"/>
      <c r="AE289" s="518"/>
      <c r="AF289" s="518"/>
      <c r="AG289" s="518"/>
      <c r="AH289" s="518"/>
      <c r="AI289" s="518"/>
      <c r="AJ289" s="518"/>
      <c r="AK289" s="518"/>
      <c r="AL289" s="518"/>
      <c r="AM289" s="518"/>
      <c r="AN289" s="518"/>
      <c r="AO289" s="518"/>
      <c r="AP289" s="518"/>
      <c r="AQ289" s="518"/>
      <c r="AR289" s="518"/>
      <c r="AS289" s="518"/>
      <c r="AT289" s="518"/>
      <c r="AU289" s="518"/>
      <c r="AV289" s="518"/>
      <c r="AW289" s="518"/>
      <c r="AX289" s="518"/>
      <c r="AY289" s="518"/>
      <c r="AZ289" s="518"/>
      <c r="BA289" s="518"/>
      <c r="BB289" s="518"/>
      <c r="BC289" s="518"/>
      <c r="BD289" s="518"/>
      <c r="BE289" s="518"/>
    </row>
    <row r="290" spans="1:57" ht="12.75" customHeight="1">
      <c r="A290" s="518"/>
      <c r="B290" s="518"/>
      <c r="C290" s="518"/>
      <c r="D290" s="518"/>
      <c r="E290" s="518"/>
      <c r="F290" s="518"/>
      <c r="G290" s="518"/>
      <c r="H290" s="518"/>
      <c r="I290" s="518"/>
      <c r="J290" s="518"/>
      <c r="K290" s="518"/>
      <c r="L290" s="518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  <c r="AB290" s="518"/>
      <c r="AC290" s="518"/>
      <c r="AD290" s="518"/>
      <c r="AE290" s="518"/>
      <c r="AF290" s="518"/>
      <c r="AG290" s="518"/>
      <c r="AH290" s="518"/>
      <c r="AI290" s="518"/>
      <c r="AJ290" s="518"/>
      <c r="AK290" s="518"/>
      <c r="AL290" s="518"/>
      <c r="AM290" s="518"/>
      <c r="AN290" s="518"/>
      <c r="AO290" s="518"/>
      <c r="AP290" s="518"/>
      <c r="AQ290" s="518"/>
      <c r="AR290" s="518"/>
      <c r="AS290" s="518"/>
      <c r="AT290" s="518"/>
      <c r="AU290" s="518"/>
      <c r="AV290" s="518"/>
      <c r="AW290" s="518"/>
      <c r="AX290" s="518"/>
      <c r="AY290" s="518"/>
      <c r="AZ290" s="518"/>
      <c r="BA290" s="518"/>
      <c r="BB290" s="518"/>
      <c r="BC290" s="518"/>
      <c r="BD290" s="518"/>
      <c r="BE290" s="518"/>
    </row>
    <row r="291" spans="1:57" ht="12.75" customHeight="1">
      <c r="A291" s="518"/>
      <c r="B291" s="518"/>
      <c r="C291" s="518"/>
      <c r="D291" s="518"/>
      <c r="E291" s="518"/>
      <c r="F291" s="518"/>
      <c r="G291" s="518"/>
      <c r="H291" s="518"/>
      <c r="I291" s="518"/>
      <c r="J291" s="518"/>
      <c r="K291" s="518"/>
      <c r="L291" s="518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  <c r="AB291" s="518"/>
      <c r="AC291" s="518"/>
      <c r="AD291" s="518"/>
      <c r="AE291" s="518"/>
      <c r="AF291" s="518"/>
      <c r="AG291" s="518"/>
      <c r="AH291" s="518"/>
      <c r="AI291" s="518"/>
      <c r="AJ291" s="518"/>
      <c r="AK291" s="518"/>
      <c r="AL291" s="518"/>
      <c r="AM291" s="518"/>
      <c r="AN291" s="518"/>
      <c r="AO291" s="518"/>
      <c r="AP291" s="518"/>
      <c r="AQ291" s="518"/>
      <c r="AR291" s="518"/>
      <c r="AS291" s="518"/>
      <c r="AT291" s="518"/>
      <c r="AU291" s="518"/>
      <c r="AV291" s="518"/>
      <c r="AW291" s="518"/>
      <c r="AX291" s="518"/>
      <c r="AY291" s="518"/>
      <c r="AZ291" s="518"/>
      <c r="BA291" s="518"/>
      <c r="BB291" s="518"/>
      <c r="BC291" s="518"/>
      <c r="BD291" s="518"/>
      <c r="BE291" s="518"/>
    </row>
    <row r="292" spans="1:57" ht="12.75" customHeight="1">
      <c r="A292" s="518"/>
      <c r="B292" s="518"/>
      <c r="C292" s="518"/>
      <c r="D292" s="518"/>
      <c r="E292" s="518"/>
      <c r="F292" s="518"/>
      <c r="G292" s="518"/>
      <c r="H292" s="518"/>
      <c r="I292" s="518"/>
      <c r="J292" s="518"/>
      <c r="K292" s="518"/>
      <c r="L292" s="518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  <c r="AB292" s="518"/>
      <c r="AC292" s="518"/>
      <c r="AD292" s="518"/>
      <c r="AE292" s="518"/>
      <c r="AF292" s="518"/>
      <c r="AG292" s="518"/>
      <c r="AH292" s="518"/>
      <c r="AI292" s="518"/>
      <c r="AJ292" s="518"/>
      <c r="AK292" s="518"/>
      <c r="AL292" s="518"/>
      <c r="AM292" s="518"/>
      <c r="AN292" s="518"/>
      <c r="AO292" s="518"/>
      <c r="AP292" s="518"/>
      <c r="AQ292" s="518"/>
      <c r="AR292" s="518"/>
      <c r="AS292" s="518"/>
      <c r="AT292" s="518"/>
      <c r="AU292" s="518"/>
      <c r="AV292" s="518"/>
      <c r="AW292" s="518"/>
      <c r="AX292" s="518"/>
      <c r="AY292" s="518"/>
      <c r="AZ292" s="518"/>
      <c r="BA292" s="518"/>
      <c r="BB292" s="518"/>
      <c r="BC292" s="518"/>
      <c r="BD292" s="518"/>
      <c r="BE292" s="518"/>
    </row>
    <row r="293" spans="1:57" ht="12.75" customHeight="1">
      <c r="A293" s="518"/>
      <c r="B293" s="518"/>
      <c r="C293" s="518"/>
      <c r="D293" s="518"/>
      <c r="E293" s="518"/>
      <c r="F293" s="518"/>
      <c r="G293" s="518"/>
      <c r="H293" s="518"/>
      <c r="I293" s="518"/>
      <c r="J293" s="518"/>
      <c r="K293" s="518"/>
      <c r="L293" s="518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  <c r="AB293" s="518"/>
      <c r="AC293" s="518"/>
      <c r="AD293" s="518"/>
      <c r="AE293" s="518"/>
      <c r="AF293" s="518"/>
      <c r="AG293" s="518"/>
      <c r="AH293" s="518"/>
      <c r="AI293" s="518"/>
      <c r="AJ293" s="518"/>
      <c r="AK293" s="518"/>
      <c r="AL293" s="518"/>
      <c r="AM293" s="518"/>
      <c r="AN293" s="518"/>
      <c r="AO293" s="518"/>
      <c r="AP293" s="518"/>
      <c r="AQ293" s="518"/>
      <c r="AR293" s="518"/>
      <c r="AS293" s="518"/>
      <c r="AT293" s="518"/>
      <c r="AU293" s="518"/>
      <c r="AV293" s="518"/>
      <c r="AW293" s="518"/>
      <c r="AX293" s="518"/>
      <c r="AY293" s="518"/>
      <c r="AZ293" s="518"/>
      <c r="BA293" s="518"/>
      <c r="BB293" s="518"/>
      <c r="BC293" s="518"/>
      <c r="BD293" s="518"/>
      <c r="BE293" s="518"/>
    </row>
    <row r="294" spans="1:57" ht="12.75" customHeight="1">
      <c r="A294" s="518"/>
      <c r="B294" s="518"/>
      <c r="C294" s="518"/>
      <c r="D294" s="518"/>
      <c r="E294" s="518"/>
      <c r="F294" s="518"/>
      <c r="G294" s="518"/>
      <c r="H294" s="518"/>
      <c r="I294" s="518"/>
      <c r="J294" s="518"/>
      <c r="K294" s="518"/>
      <c r="L294" s="518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  <c r="AB294" s="518"/>
      <c r="AC294" s="518"/>
      <c r="AD294" s="518"/>
      <c r="AE294" s="518"/>
      <c r="AF294" s="518"/>
      <c r="AG294" s="518"/>
      <c r="AH294" s="518"/>
      <c r="AI294" s="518"/>
      <c r="AJ294" s="518"/>
      <c r="AK294" s="518"/>
      <c r="AL294" s="518"/>
      <c r="AM294" s="518"/>
      <c r="AN294" s="518"/>
      <c r="AO294" s="518"/>
      <c r="AP294" s="518"/>
      <c r="AQ294" s="518"/>
      <c r="AR294" s="518"/>
      <c r="AS294" s="518"/>
      <c r="AT294" s="518"/>
      <c r="AU294" s="518"/>
      <c r="AV294" s="518"/>
      <c r="AW294" s="518"/>
      <c r="AX294" s="518"/>
      <c r="AY294" s="518"/>
      <c r="AZ294" s="518"/>
      <c r="BA294" s="518"/>
      <c r="BB294" s="518"/>
      <c r="BC294" s="518"/>
      <c r="BD294" s="518"/>
      <c r="BE294" s="518"/>
    </row>
    <row r="295" spans="1:57" ht="12.75" customHeight="1">
      <c r="A295" s="518"/>
      <c r="B295" s="518"/>
      <c r="C295" s="518"/>
      <c r="D295" s="518"/>
      <c r="E295" s="518"/>
      <c r="F295" s="518"/>
      <c r="G295" s="518"/>
      <c r="H295" s="518"/>
      <c r="I295" s="518"/>
      <c r="J295" s="518"/>
      <c r="K295" s="518"/>
      <c r="L295" s="518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  <c r="AB295" s="518"/>
      <c r="AC295" s="518"/>
      <c r="AD295" s="518"/>
      <c r="AE295" s="518"/>
      <c r="AF295" s="518"/>
      <c r="AG295" s="518"/>
      <c r="AH295" s="518"/>
      <c r="AI295" s="518"/>
      <c r="AJ295" s="518"/>
      <c r="AK295" s="518"/>
      <c r="AL295" s="518"/>
      <c r="AM295" s="518"/>
      <c r="AN295" s="518"/>
      <c r="AO295" s="518"/>
      <c r="AP295" s="518"/>
      <c r="AQ295" s="518"/>
      <c r="AR295" s="518"/>
      <c r="AS295" s="518"/>
      <c r="AT295" s="518"/>
      <c r="AU295" s="518"/>
      <c r="AV295" s="518"/>
      <c r="AW295" s="518"/>
      <c r="AX295" s="518"/>
      <c r="AY295" s="518"/>
      <c r="AZ295" s="518"/>
      <c r="BA295" s="518"/>
      <c r="BB295" s="518"/>
      <c r="BC295" s="518"/>
      <c r="BD295" s="518"/>
      <c r="BE295" s="518"/>
    </row>
    <row r="296" spans="1:57" ht="12.75" customHeight="1">
      <c r="A296" s="518"/>
      <c r="B296" s="518"/>
      <c r="C296" s="518"/>
      <c r="D296" s="518"/>
      <c r="E296" s="518"/>
      <c r="F296" s="518"/>
      <c r="G296" s="518"/>
      <c r="H296" s="518"/>
      <c r="I296" s="518"/>
      <c r="J296" s="518"/>
      <c r="K296" s="518"/>
      <c r="L296" s="518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  <c r="AB296" s="518"/>
      <c r="AC296" s="518"/>
      <c r="AD296" s="518"/>
      <c r="AE296" s="518"/>
      <c r="AF296" s="518"/>
      <c r="AG296" s="518"/>
      <c r="AH296" s="518"/>
      <c r="AI296" s="518"/>
      <c r="AJ296" s="518"/>
      <c r="AK296" s="518"/>
      <c r="AL296" s="518"/>
      <c r="AM296" s="518"/>
      <c r="AN296" s="518"/>
      <c r="AO296" s="518"/>
      <c r="AP296" s="518"/>
      <c r="AQ296" s="518"/>
      <c r="AR296" s="518"/>
      <c r="AS296" s="518"/>
      <c r="AT296" s="518"/>
      <c r="AU296" s="518"/>
      <c r="AV296" s="518"/>
      <c r="AW296" s="518"/>
      <c r="AX296" s="518"/>
      <c r="AY296" s="518"/>
      <c r="AZ296" s="518"/>
      <c r="BA296" s="518"/>
      <c r="BB296" s="518"/>
      <c r="BC296" s="518"/>
      <c r="BD296" s="518"/>
      <c r="BE296" s="518"/>
    </row>
    <row r="297" spans="1:57" ht="12.75" customHeight="1">
      <c r="A297" s="518"/>
      <c r="B297" s="518"/>
      <c r="C297" s="518"/>
      <c r="D297" s="518"/>
      <c r="E297" s="518"/>
      <c r="F297" s="518"/>
      <c r="G297" s="518"/>
      <c r="H297" s="518"/>
      <c r="I297" s="518"/>
      <c r="J297" s="518"/>
      <c r="K297" s="518"/>
      <c r="L297" s="518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  <c r="AB297" s="518"/>
      <c r="AC297" s="518"/>
      <c r="AD297" s="518"/>
      <c r="AE297" s="518"/>
      <c r="AF297" s="518"/>
      <c r="AG297" s="518"/>
      <c r="AH297" s="518"/>
      <c r="AI297" s="518"/>
      <c r="AJ297" s="518"/>
      <c r="AK297" s="518"/>
      <c r="AL297" s="518"/>
      <c r="AM297" s="518"/>
      <c r="AN297" s="518"/>
      <c r="AO297" s="518"/>
      <c r="AP297" s="518"/>
      <c r="AQ297" s="518"/>
      <c r="AR297" s="518"/>
      <c r="AS297" s="518"/>
      <c r="AT297" s="518"/>
      <c r="AU297" s="518"/>
      <c r="AV297" s="518"/>
      <c r="AW297" s="518"/>
      <c r="AX297" s="518"/>
      <c r="AY297" s="518"/>
      <c r="AZ297" s="518"/>
      <c r="BA297" s="518"/>
      <c r="BB297" s="518"/>
      <c r="BC297" s="518"/>
      <c r="BD297" s="518"/>
      <c r="BE297" s="518"/>
    </row>
    <row r="298" spans="1:57" ht="12.75" customHeight="1">
      <c r="A298" s="518"/>
      <c r="B298" s="518"/>
      <c r="C298" s="518"/>
      <c r="D298" s="518"/>
      <c r="E298" s="518"/>
      <c r="F298" s="518"/>
      <c r="G298" s="518"/>
      <c r="H298" s="518"/>
      <c r="I298" s="518"/>
      <c r="J298" s="518"/>
      <c r="K298" s="518"/>
      <c r="L298" s="518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  <c r="AB298" s="518"/>
      <c r="AC298" s="518"/>
      <c r="AD298" s="518"/>
      <c r="AE298" s="518"/>
      <c r="AF298" s="518"/>
      <c r="AG298" s="518"/>
      <c r="AH298" s="518"/>
      <c r="AI298" s="518"/>
      <c r="AJ298" s="518"/>
      <c r="AK298" s="518"/>
      <c r="AL298" s="518"/>
      <c r="AM298" s="518"/>
      <c r="AN298" s="518"/>
      <c r="AO298" s="518"/>
      <c r="AP298" s="518"/>
      <c r="AQ298" s="518"/>
      <c r="AR298" s="518"/>
      <c r="AS298" s="518"/>
      <c r="AT298" s="518"/>
      <c r="AU298" s="518"/>
      <c r="AV298" s="518"/>
      <c r="AW298" s="518"/>
      <c r="AX298" s="518"/>
      <c r="AY298" s="518"/>
      <c r="AZ298" s="518"/>
      <c r="BA298" s="518"/>
      <c r="BB298" s="518"/>
      <c r="BC298" s="518"/>
      <c r="BD298" s="518"/>
      <c r="BE298" s="518"/>
    </row>
    <row r="299" spans="1:57" ht="12.75" customHeight="1">
      <c r="A299" s="518"/>
      <c r="B299" s="518"/>
      <c r="C299" s="518"/>
      <c r="D299" s="518"/>
      <c r="E299" s="518"/>
      <c r="F299" s="518"/>
      <c r="G299" s="518"/>
      <c r="H299" s="518"/>
      <c r="I299" s="518"/>
      <c r="J299" s="518"/>
      <c r="K299" s="518"/>
      <c r="L299" s="518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  <c r="AB299" s="518"/>
      <c r="AC299" s="518"/>
      <c r="AD299" s="518"/>
      <c r="AE299" s="518"/>
      <c r="AF299" s="518"/>
      <c r="AG299" s="518"/>
      <c r="AH299" s="518"/>
      <c r="AI299" s="518"/>
      <c r="AJ299" s="518"/>
      <c r="AK299" s="518"/>
      <c r="AL299" s="518"/>
      <c r="AM299" s="518"/>
      <c r="AN299" s="518"/>
      <c r="AO299" s="518"/>
      <c r="AP299" s="518"/>
      <c r="AQ299" s="518"/>
      <c r="AR299" s="518"/>
      <c r="AS299" s="518"/>
      <c r="AT299" s="518"/>
      <c r="AU299" s="518"/>
      <c r="AV299" s="518"/>
      <c r="AW299" s="518"/>
      <c r="AX299" s="518"/>
      <c r="AY299" s="518"/>
      <c r="AZ299" s="518"/>
      <c r="BA299" s="518"/>
      <c r="BB299" s="518"/>
      <c r="BC299" s="518"/>
      <c r="BD299" s="518"/>
      <c r="BE299" s="518"/>
    </row>
    <row r="300" spans="1:57" ht="12.75" customHeight="1">
      <c r="A300" s="518"/>
      <c r="B300" s="518"/>
      <c r="C300" s="518"/>
      <c r="D300" s="518"/>
      <c r="E300" s="518"/>
      <c r="F300" s="518"/>
      <c r="G300" s="518"/>
      <c r="H300" s="518"/>
      <c r="I300" s="518"/>
      <c r="J300" s="518"/>
      <c r="K300" s="518"/>
      <c r="L300" s="518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  <c r="AB300" s="518"/>
      <c r="AC300" s="518"/>
      <c r="AD300" s="518"/>
      <c r="AE300" s="518"/>
      <c r="AF300" s="518"/>
      <c r="AG300" s="518"/>
      <c r="AH300" s="518"/>
      <c r="AI300" s="518"/>
      <c r="AJ300" s="518"/>
      <c r="AK300" s="518"/>
      <c r="AL300" s="518"/>
      <c r="AM300" s="518"/>
      <c r="AN300" s="518"/>
      <c r="AO300" s="518"/>
      <c r="AP300" s="518"/>
      <c r="AQ300" s="518"/>
      <c r="AR300" s="518"/>
      <c r="AS300" s="518"/>
      <c r="AT300" s="518"/>
      <c r="AU300" s="518"/>
      <c r="AV300" s="518"/>
      <c r="AW300" s="518"/>
      <c r="AX300" s="518"/>
      <c r="AY300" s="518"/>
      <c r="AZ300" s="518"/>
      <c r="BA300" s="518"/>
      <c r="BB300" s="518"/>
      <c r="BC300" s="518"/>
      <c r="BD300" s="518"/>
      <c r="BE300" s="518"/>
    </row>
    <row r="301" spans="1:57" ht="12.75" customHeight="1">
      <c r="A301" s="518"/>
      <c r="B301" s="518"/>
      <c r="C301" s="518"/>
      <c r="D301" s="518"/>
      <c r="E301" s="518"/>
      <c r="F301" s="518"/>
      <c r="G301" s="518"/>
      <c r="H301" s="518"/>
      <c r="I301" s="518"/>
      <c r="J301" s="518"/>
      <c r="K301" s="518"/>
      <c r="L301" s="518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  <c r="AB301" s="518"/>
      <c r="AC301" s="518"/>
      <c r="AD301" s="518"/>
      <c r="AE301" s="518"/>
      <c r="AF301" s="518"/>
      <c r="AG301" s="518"/>
      <c r="AH301" s="518"/>
      <c r="AI301" s="518"/>
      <c r="AJ301" s="518"/>
      <c r="AK301" s="518"/>
      <c r="AL301" s="518"/>
      <c r="AM301" s="518"/>
      <c r="AN301" s="518"/>
      <c r="AO301" s="518"/>
      <c r="AP301" s="518"/>
      <c r="AQ301" s="518"/>
      <c r="AR301" s="518"/>
      <c r="AS301" s="518"/>
      <c r="AT301" s="518"/>
      <c r="AU301" s="518"/>
      <c r="AV301" s="518"/>
      <c r="AW301" s="518"/>
      <c r="AX301" s="518"/>
      <c r="AY301" s="518"/>
      <c r="AZ301" s="518"/>
      <c r="BA301" s="518"/>
      <c r="BB301" s="518"/>
      <c r="BC301" s="518"/>
      <c r="BD301" s="518"/>
      <c r="BE301" s="518"/>
    </row>
    <row r="302" spans="1:57" ht="12.75" customHeight="1">
      <c r="A302" s="518"/>
      <c r="B302" s="518"/>
      <c r="C302" s="518"/>
      <c r="D302" s="518"/>
      <c r="E302" s="518"/>
      <c r="F302" s="518"/>
      <c r="G302" s="518"/>
      <c r="H302" s="518"/>
      <c r="I302" s="518"/>
      <c r="J302" s="518"/>
      <c r="K302" s="518"/>
      <c r="L302" s="518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  <c r="AB302" s="518"/>
      <c r="AC302" s="518"/>
      <c r="AD302" s="518"/>
      <c r="AE302" s="518"/>
      <c r="AF302" s="518"/>
      <c r="AG302" s="518"/>
      <c r="AH302" s="518"/>
      <c r="AI302" s="518"/>
      <c r="AJ302" s="518"/>
      <c r="AK302" s="518"/>
      <c r="AL302" s="518"/>
      <c r="AM302" s="518"/>
      <c r="AN302" s="518"/>
      <c r="AO302" s="518"/>
      <c r="AP302" s="518"/>
      <c r="AQ302" s="518"/>
      <c r="AR302" s="518"/>
      <c r="AS302" s="518"/>
      <c r="AT302" s="518"/>
      <c r="AU302" s="518"/>
      <c r="AV302" s="518"/>
      <c r="AW302" s="518"/>
      <c r="AX302" s="518"/>
      <c r="AY302" s="518"/>
      <c r="AZ302" s="518"/>
      <c r="BA302" s="518"/>
      <c r="BB302" s="518"/>
      <c r="BC302" s="518"/>
      <c r="BD302" s="518"/>
      <c r="BE302" s="518"/>
    </row>
    <row r="303" spans="1:57" ht="12.75" customHeight="1">
      <c r="A303" s="518"/>
      <c r="B303" s="518"/>
      <c r="C303" s="518"/>
      <c r="D303" s="518"/>
      <c r="E303" s="518"/>
      <c r="F303" s="518"/>
      <c r="G303" s="518"/>
      <c r="H303" s="518"/>
      <c r="I303" s="518"/>
      <c r="J303" s="518"/>
      <c r="K303" s="518"/>
      <c r="L303" s="518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  <c r="AB303" s="518"/>
      <c r="AC303" s="518"/>
      <c r="AD303" s="518"/>
      <c r="AE303" s="518"/>
      <c r="AF303" s="518"/>
      <c r="AG303" s="518"/>
      <c r="AH303" s="518"/>
      <c r="AI303" s="518"/>
      <c r="AJ303" s="518"/>
      <c r="AK303" s="518"/>
      <c r="AL303" s="518"/>
      <c r="AM303" s="518"/>
      <c r="AN303" s="518"/>
      <c r="AO303" s="518"/>
      <c r="AP303" s="518"/>
      <c r="AQ303" s="518"/>
      <c r="AR303" s="518"/>
      <c r="AS303" s="518"/>
      <c r="AT303" s="518"/>
      <c r="AU303" s="518"/>
      <c r="AV303" s="518"/>
      <c r="AW303" s="518"/>
      <c r="AX303" s="518"/>
      <c r="AY303" s="518"/>
      <c r="AZ303" s="518"/>
      <c r="BA303" s="518"/>
      <c r="BB303" s="518"/>
      <c r="BC303" s="518"/>
      <c r="BD303" s="518"/>
      <c r="BE303" s="518"/>
    </row>
    <row r="304" spans="1:57" ht="12.75" customHeight="1">
      <c r="A304" s="518"/>
      <c r="B304" s="518"/>
      <c r="C304" s="518"/>
      <c r="D304" s="518"/>
      <c r="E304" s="518"/>
      <c r="F304" s="518"/>
      <c r="G304" s="518"/>
      <c r="H304" s="518"/>
      <c r="I304" s="518"/>
      <c r="J304" s="518"/>
      <c r="K304" s="518"/>
      <c r="L304" s="518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  <c r="AB304" s="518"/>
      <c r="AC304" s="518"/>
      <c r="AD304" s="518"/>
      <c r="AE304" s="518"/>
      <c r="AF304" s="518"/>
      <c r="AG304" s="518"/>
      <c r="AH304" s="518"/>
      <c r="AI304" s="518"/>
      <c r="AJ304" s="518"/>
      <c r="AK304" s="518"/>
      <c r="AL304" s="518"/>
      <c r="AM304" s="518"/>
      <c r="AN304" s="518"/>
      <c r="AO304" s="518"/>
      <c r="AP304" s="518"/>
      <c r="AQ304" s="518"/>
      <c r="AR304" s="518"/>
      <c r="AS304" s="518"/>
      <c r="AT304" s="518"/>
      <c r="AU304" s="518"/>
      <c r="AV304" s="518"/>
      <c r="AW304" s="518"/>
      <c r="AX304" s="518"/>
      <c r="AY304" s="518"/>
      <c r="AZ304" s="518"/>
      <c r="BA304" s="518"/>
      <c r="BB304" s="518"/>
      <c r="BC304" s="518"/>
      <c r="BD304" s="518"/>
      <c r="BE304" s="518"/>
    </row>
    <row r="305" spans="1:57" ht="12.75" customHeight="1">
      <c r="A305" s="518"/>
      <c r="B305" s="518"/>
      <c r="C305" s="518"/>
      <c r="D305" s="518"/>
      <c r="E305" s="518"/>
      <c r="F305" s="518"/>
      <c r="G305" s="518"/>
      <c r="H305" s="518"/>
      <c r="I305" s="518"/>
      <c r="J305" s="518"/>
      <c r="K305" s="518"/>
      <c r="L305" s="518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  <c r="AB305" s="518"/>
      <c r="AC305" s="518"/>
      <c r="AD305" s="518"/>
      <c r="AE305" s="518"/>
      <c r="AF305" s="518"/>
      <c r="AG305" s="518"/>
      <c r="AH305" s="518"/>
      <c r="AI305" s="518"/>
      <c r="AJ305" s="518"/>
      <c r="AK305" s="518"/>
      <c r="AL305" s="518"/>
      <c r="AM305" s="518"/>
      <c r="AN305" s="518"/>
      <c r="AO305" s="518"/>
      <c r="AP305" s="518"/>
      <c r="AQ305" s="518"/>
      <c r="AR305" s="518"/>
      <c r="AS305" s="518"/>
      <c r="AT305" s="518"/>
      <c r="AU305" s="518"/>
      <c r="AV305" s="518"/>
      <c r="AW305" s="518"/>
      <c r="AX305" s="518"/>
      <c r="AY305" s="518"/>
      <c r="AZ305" s="518"/>
      <c r="BA305" s="518"/>
      <c r="BB305" s="518"/>
      <c r="BC305" s="518"/>
      <c r="BD305" s="518"/>
      <c r="BE305" s="518"/>
    </row>
    <row r="306" spans="1:57" ht="12.75" customHeight="1">
      <c r="A306" s="518"/>
      <c r="B306" s="518"/>
      <c r="C306" s="518"/>
      <c r="D306" s="518"/>
      <c r="E306" s="518"/>
      <c r="F306" s="518"/>
      <c r="G306" s="518"/>
      <c r="H306" s="518"/>
      <c r="I306" s="518"/>
      <c r="J306" s="518"/>
      <c r="K306" s="518"/>
      <c r="L306" s="518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  <c r="AB306" s="518"/>
      <c r="AC306" s="518"/>
      <c r="AD306" s="518"/>
      <c r="AE306" s="518"/>
      <c r="AF306" s="518"/>
      <c r="AG306" s="518"/>
      <c r="AH306" s="518"/>
      <c r="AI306" s="518"/>
      <c r="AJ306" s="518"/>
      <c r="AK306" s="518"/>
      <c r="AL306" s="518"/>
      <c r="AM306" s="518"/>
      <c r="AN306" s="518"/>
      <c r="AO306" s="518"/>
      <c r="AP306" s="518"/>
      <c r="AQ306" s="518"/>
      <c r="AR306" s="518"/>
      <c r="AS306" s="518"/>
      <c r="AT306" s="518"/>
      <c r="AU306" s="518"/>
      <c r="AV306" s="518"/>
      <c r="AW306" s="518"/>
      <c r="AX306" s="518"/>
      <c r="AY306" s="518"/>
      <c r="AZ306" s="518"/>
      <c r="BA306" s="518"/>
      <c r="BB306" s="518"/>
      <c r="BC306" s="518"/>
      <c r="BD306" s="518"/>
      <c r="BE306" s="518"/>
    </row>
    <row r="307" spans="1:57" ht="12.75" customHeight="1">
      <c r="A307" s="518"/>
      <c r="B307" s="518"/>
      <c r="C307" s="518"/>
      <c r="D307" s="518"/>
      <c r="E307" s="518"/>
      <c r="F307" s="518"/>
      <c r="G307" s="518"/>
      <c r="H307" s="518"/>
      <c r="I307" s="518"/>
      <c r="J307" s="518"/>
      <c r="K307" s="518"/>
      <c r="L307" s="518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  <c r="AB307" s="518"/>
      <c r="AC307" s="518"/>
      <c r="AD307" s="518"/>
      <c r="AE307" s="518"/>
      <c r="AF307" s="518"/>
      <c r="AG307" s="518"/>
      <c r="AH307" s="518"/>
      <c r="AI307" s="518"/>
      <c r="AJ307" s="518"/>
      <c r="AK307" s="518"/>
      <c r="AL307" s="518"/>
      <c r="AM307" s="518"/>
      <c r="AN307" s="518"/>
      <c r="AO307" s="518"/>
      <c r="AP307" s="518"/>
      <c r="AQ307" s="518"/>
      <c r="AR307" s="518"/>
      <c r="AS307" s="518"/>
      <c r="AT307" s="518"/>
      <c r="AU307" s="518"/>
      <c r="AV307" s="518"/>
      <c r="AW307" s="518"/>
      <c r="AX307" s="518"/>
      <c r="AY307" s="518"/>
      <c r="AZ307" s="518"/>
      <c r="BA307" s="518"/>
      <c r="BB307" s="518"/>
      <c r="BC307" s="518"/>
      <c r="BD307" s="518"/>
      <c r="BE307" s="518"/>
    </row>
    <row r="308" spans="1:57" ht="12.75" customHeight="1">
      <c r="A308" s="518"/>
      <c r="B308" s="518"/>
      <c r="C308" s="518"/>
      <c r="D308" s="518"/>
      <c r="E308" s="518"/>
      <c r="F308" s="518"/>
      <c r="G308" s="518"/>
      <c r="H308" s="518"/>
      <c r="I308" s="518"/>
      <c r="J308" s="518"/>
      <c r="K308" s="518"/>
      <c r="L308" s="518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  <c r="AB308" s="518"/>
      <c r="AC308" s="518"/>
      <c r="AD308" s="518"/>
      <c r="AE308" s="518"/>
      <c r="AF308" s="518"/>
      <c r="AG308" s="518"/>
      <c r="AH308" s="518"/>
      <c r="AI308" s="518"/>
      <c r="AJ308" s="518"/>
      <c r="AK308" s="518"/>
      <c r="AL308" s="518"/>
      <c r="AM308" s="518"/>
      <c r="AN308" s="518"/>
      <c r="AO308" s="518"/>
      <c r="AP308" s="518"/>
      <c r="AQ308" s="518"/>
      <c r="AR308" s="518"/>
      <c r="AS308" s="518"/>
      <c r="AT308" s="518"/>
      <c r="AU308" s="518"/>
      <c r="AV308" s="518"/>
      <c r="AW308" s="518"/>
      <c r="AX308" s="518"/>
      <c r="AY308" s="518"/>
      <c r="AZ308" s="518"/>
      <c r="BA308" s="518"/>
      <c r="BB308" s="518"/>
      <c r="BC308" s="518"/>
      <c r="BD308" s="518"/>
      <c r="BE308" s="518"/>
    </row>
    <row r="309" spans="1:57" ht="12.75" customHeight="1">
      <c r="A309" s="518"/>
      <c r="B309" s="518"/>
      <c r="C309" s="518"/>
      <c r="D309" s="518"/>
      <c r="E309" s="518"/>
      <c r="F309" s="518"/>
      <c r="G309" s="518"/>
      <c r="H309" s="518"/>
      <c r="I309" s="518"/>
      <c r="J309" s="518"/>
      <c r="K309" s="518"/>
      <c r="L309" s="518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  <c r="AB309" s="518"/>
      <c r="AC309" s="518"/>
      <c r="AD309" s="518"/>
      <c r="AE309" s="518"/>
      <c r="AF309" s="518"/>
      <c r="AG309" s="518"/>
      <c r="AH309" s="518"/>
      <c r="AI309" s="518"/>
      <c r="AJ309" s="518"/>
      <c r="AK309" s="518"/>
      <c r="AL309" s="518"/>
      <c r="AM309" s="518"/>
      <c r="AN309" s="518"/>
      <c r="AO309" s="518"/>
      <c r="AP309" s="518"/>
      <c r="AQ309" s="518"/>
      <c r="AR309" s="518"/>
      <c r="AS309" s="518"/>
      <c r="AT309" s="518"/>
      <c r="AU309" s="518"/>
      <c r="AV309" s="518"/>
      <c r="AW309" s="518"/>
      <c r="AX309" s="518"/>
      <c r="AY309" s="518"/>
      <c r="AZ309" s="518"/>
      <c r="BA309" s="518"/>
      <c r="BB309" s="518"/>
      <c r="BC309" s="518"/>
      <c r="BD309" s="518"/>
      <c r="BE309" s="518"/>
    </row>
    <row r="310" spans="1:57" ht="12.75" customHeight="1">
      <c r="A310" s="518"/>
      <c r="B310" s="518"/>
      <c r="C310" s="518"/>
      <c r="D310" s="518"/>
      <c r="E310" s="518"/>
      <c r="F310" s="518"/>
      <c r="G310" s="518"/>
      <c r="H310" s="518"/>
      <c r="I310" s="518"/>
      <c r="J310" s="518"/>
      <c r="K310" s="518"/>
      <c r="L310" s="518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  <c r="AB310" s="518"/>
      <c r="AC310" s="518"/>
      <c r="AD310" s="518"/>
      <c r="AE310" s="518"/>
      <c r="AF310" s="518"/>
      <c r="AG310" s="518"/>
      <c r="AH310" s="518"/>
      <c r="AI310" s="518"/>
      <c r="AJ310" s="518"/>
      <c r="AK310" s="518"/>
      <c r="AL310" s="518"/>
      <c r="AM310" s="518"/>
      <c r="AN310" s="518"/>
      <c r="AO310" s="518"/>
      <c r="AP310" s="518"/>
      <c r="AQ310" s="518"/>
      <c r="AR310" s="518"/>
      <c r="AS310" s="518"/>
      <c r="AT310" s="518"/>
      <c r="AU310" s="518"/>
      <c r="AV310" s="518"/>
      <c r="AW310" s="518"/>
      <c r="AX310" s="518"/>
      <c r="AY310" s="518"/>
      <c r="AZ310" s="518"/>
      <c r="BA310" s="518"/>
      <c r="BB310" s="518"/>
      <c r="BC310" s="518"/>
      <c r="BD310" s="518"/>
      <c r="BE310" s="518"/>
    </row>
    <row r="311" spans="1:57" ht="12.75" customHeight="1">
      <c r="A311" s="518"/>
      <c r="B311" s="518"/>
      <c r="C311" s="518"/>
      <c r="D311" s="518"/>
      <c r="E311" s="518"/>
      <c r="F311" s="518"/>
      <c r="G311" s="518"/>
      <c r="H311" s="518"/>
      <c r="I311" s="518"/>
      <c r="J311" s="518"/>
      <c r="K311" s="518"/>
      <c r="L311" s="518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  <c r="AB311" s="518"/>
      <c r="AC311" s="518"/>
      <c r="AD311" s="518"/>
      <c r="AE311" s="518"/>
      <c r="AF311" s="518"/>
      <c r="AG311" s="518"/>
      <c r="AH311" s="518"/>
      <c r="AI311" s="518"/>
      <c r="AJ311" s="518"/>
      <c r="AK311" s="518"/>
      <c r="AL311" s="518"/>
      <c r="AM311" s="518"/>
      <c r="AN311" s="518"/>
      <c r="AO311" s="518"/>
      <c r="AP311" s="518"/>
      <c r="AQ311" s="518"/>
      <c r="AR311" s="518"/>
      <c r="AS311" s="518"/>
      <c r="AT311" s="518"/>
      <c r="AU311" s="518"/>
      <c r="AV311" s="518"/>
      <c r="AW311" s="518"/>
      <c r="AX311" s="518"/>
      <c r="AY311" s="518"/>
      <c r="AZ311" s="518"/>
      <c r="BA311" s="518"/>
      <c r="BB311" s="518"/>
      <c r="BC311" s="518"/>
      <c r="BD311" s="518"/>
      <c r="BE311" s="518"/>
    </row>
    <row r="312" spans="1:57" ht="12.75" customHeight="1">
      <c r="A312" s="518"/>
      <c r="B312" s="518"/>
      <c r="C312" s="518"/>
      <c r="D312" s="518"/>
      <c r="E312" s="518"/>
      <c r="F312" s="518"/>
      <c r="G312" s="518"/>
      <c r="H312" s="518"/>
      <c r="I312" s="518"/>
      <c r="J312" s="518"/>
      <c r="K312" s="518"/>
      <c r="L312" s="518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  <c r="AB312" s="518"/>
      <c r="AC312" s="518"/>
      <c r="AD312" s="518"/>
      <c r="AE312" s="518"/>
      <c r="AF312" s="518"/>
      <c r="AG312" s="518"/>
      <c r="AH312" s="518"/>
      <c r="AI312" s="518"/>
      <c r="AJ312" s="518"/>
      <c r="AK312" s="518"/>
      <c r="AL312" s="518"/>
      <c r="AM312" s="518"/>
      <c r="AN312" s="518"/>
      <c r="AO312" s="518"/>
      <c r="AP312" s="518"/>
      <c r="AQ312" s="518"/>
      <c r="AR312" s="518"/>
      <c r="AS312" s="518"/>
      <c r="AT312" s="518"/>
      <c r="AU312" s="518"/>
      <c r="AV312" s="518"/>
      <c r="AW312" s="518"/>
      <c r="AX312" s="518"/>
      <c r="AY312" s="518"/>
      <c r="AZ312" s="518"/>
      <c r="BA312" s="518"/>
      <c r="BB312" s="518"/>
      <c r="BC312" s="518"/>
      <c r="BD312" s="518"/>
      <c r="BE312" s="518"/>
    </row>
    <row r="313" spans="1:57" ht="12.75" customHeight="1">
      <c r="A313" s="518"/>
      <c r="B313" s="518"/>
      <c r="C313" s="518"/>
      <c r="D313" s="518"/>
      <c r="E313" s="518"/>
      <c r="F313" s="518"/>
      <c r="G313" s="518"/>
      <c r="H313" s="518"/>
      <c r="I313" s="518"/>
      <c r="J313" s="518"/>
      <c r="K313" s="518"/>
      <c r="L313" s="518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  <c r="AB313" s="518"/>
      <c r="AC313" s="518"/>
      <c r="AD313" s="518"/>
      <c r="AE313" s="518"/>
      <c r="AF313" s="518"/>
      <c r="AG313" s="518"/>
      <c r="AH313" s="518"/>
      <c r="AI313" s="518"/>
      <c r="AJ313" s="518"/>
      <c r="AK313" s="518"/>
      <c r="AL313" s="518"/>
      <c r="AM313" s="518"/>
      <c r="AN313" s="518"/>
      <c r="AO313" s="518"/>
      <c r="AP313" s="518"/>
      <c r="AQ313" s="518"/>
      <c r="AR313" s="518"/>
      <c r="AS313" s="518"/>
      <c r="AT313" s="518"/>
      <c r="AU313" s="518"/>
      <c r="AV313" s="518"/>
      <c r="AW313" s="518"/>
      <c r="AX313" s="518"/>
      <c r="AY313" s="518"/>
      <c r="AZ313" s="518"/>
      <c r="BA313" s="518"/>
      <c r="BB313" s="518"/>
      <c r="BC313" s="518"/>
      <c r="BD313" s="518"/>
      <c r="BE313" s="518"/>
    </row>
    <row r="314" spans="1:57" ht="12.75" customHeight="1">
      <c r="A314" s="518"/>
      <c r="B314" s="518"/>
      <c r="C314" s="518"/>
      <c r="D314" s="518"/>
      <c r="E314" s="518"/>
      <c r="F314" s="518"/>
      <c r="G314" s="518"/>
      <c r="H314" s="518"/>
      <c r="I314" s="518"/>
      <c r="J314" s="518"/>
      <c r="K314" s="518"/>
      <c r="L314" s="518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  <c r="AB314" s="518"/>
      <c r="AC314" s="518"/>
      <c r="AD314" s="518"/>
      <c r="AE314" s="518"/>
      <c r="AF314" s="518"/>
      <c r="AG314" s="518"/>
      <c r="AH314" s="518"/>
      <c r="AI314" s="518"/>
      <c r="AJ314" s="518"/>
      <c r="AK314" s="518"/>
      <c r="AL314" s="518"/>
      <c r="AM314" s="518"/>
      <c r="AN314" s="518"/>
      <c r="AO314" s="518"/>
      <c r="AP314" s="518"/>
      <c r="AQ314" s="518"/>
      <c r="AR314" s="518"/>
      <c r="AS314" s="518"/>
      <c r="AT314" s="518"/>
      <c r="AU314" s="518"/>
      <c r="AV314" s="518"/>
      <c r="AW314" s="518"/>
      <c r="AX314" s="518"/>
      <c r="AY314" s="518"/>
      <c r="AZ314" s="518"/>
      <c r="BA314" s="518"/>
      <c r="BB314" s="518"/>
      <c r="BC314" s="518"/>
      <c r="BD314" s="518"/>
      <c r="BE314" s="518"/>
    </row>
    <row r="315" spans="1:57" ht="12.75" customHeight="1">
      <c r="A315" s="518"/>
      <c r="B315" s="518"/>
      <c r="C315" s="518"/>
      <c r="D315" s="518"/>
      <c r="E315" s="518"/>
      <c r="F315" s="518"/>
      <c r="G315" s="518"/>
      <c r="H315" s="518"/>
      <c r="I315" s="518"/>
      <c r="J315" s="518"/>
      <c r="K315" s="518"/>
      <c r="L315" s="518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  <c r="AB315" s="518"/>
      <c r="AC315" s="518"/>
      <c r="AD315" s="518"/>
      <c r="AE315" s="518"/>
      <c r="AF315" s="518"/>
      <c r="AG315" s="518"/>
      <c r="AH315" s="518"/>
      <c r="AI315" s="518"/>
      <c r="AJ315" s="518"/>
      <c r="AK315" s="518"/>
      <c r="AL315" s="518"/>
      <c r="AM315" s="518"/>
      <c r="AN315" s="518"/>
      <c r="AO315" s="518"/>
      <c r="AP315" s="518"/>
      <c r="AQ315" s="518"/>
      <c r="AR315" s="518"/>
      <c r="AS315" s="518"/>
      <c r="AT315" s="518"/>
      <c r="AU315" s="518"/>
      <c r="AV315" s="518"/>
      <c r="AW315" s="518"/>
      <c r="AX315" s="518"/>
      <c r="AY315" s="518"/>
      <c r="AZ315" s="518"/>
      <c r="BA315" s="518"/>
      <c r="BB315" s="518"/>
      <c r="BC315" s="518"/>
      <c r="BD315" s="518"/>
      <c r="BE315" s="518"/>
    </row>
    <row r="316" spans="1:57" ht="12.75" customHeight="1">
      <c r="A316" s="518"/>
      <c r="B316" s="518"/>
      <c r="C316" s="518"/>
      <c r="D316" s="518"/>
      <c r="E316" s="518"/>
      <c r="F316" s="518"/>
      <c r="G316" s="518"/>
      <c r="H316" s="518"/>
      <c r="I316" s="518"/>
      <c r="J316" s="518"/>
      <c r="K316" s="518"/>
      <c r="L316" s="518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  <c r="AB316" s="518"/>
      <c r="AC316" s="518"/>
      <c r="AD316" s="518"/>
      <c r="AE316" s="518"/>
      <c r="AF316" s="518"/>
      <c r="AG316" s="518"/>
      <c r="AH316" s="518"/>
      <c r="AI316" s="518"/>
      <c r="AJ316" s="518"/>
      <c r="AK316" s="518"/>
      <c r="AL316" s="518"/>
      <c r="AM316" s="518"/>
      <c r="AN316" s="518"/>
      <c r="AO316" s="518"/>
      <c r="AP316" s="518"/>
      <c r="AQ316" s="518"/>
      <c r="AR316" s="518"/>
      <c r="AS316" s="518"/>
      <c r="AT316" s="518"/>
      <c r="AU316" s="518"/>
      <c r="AV316" s="518"/>
      <c r="AW316" s="518"/>
      <c r="AX316" s="518"/>
      <c r="AY316" s="518"/>
      <c r="AZ316" s="518"/>
      <c r="BA316" s="518"/>
      <c r="BB316" s="518"/>
      <c r="BC316" s="518"/>
      <c r="BD316" s="518"/>
      <c r="BE316" s="518"/>
    </row>
    <row r="317" spans="1:57" ht="12.75" customHeight="1">
      <c r="A317" s="518"/>
      <c r="B317" s="518"/>
      <c r="C317" s="518"/>
      <c r="D317" s="518"/>
      <c r="E317" s="518"/>
      <c r="F317" s="518"/>
      <c r="G317" s="518"/>
      <c r="H317" s="518"/>
      <c r="I317" s="518"/>
      <c r="J317" s="518"/>
      <c r="K317" s="518"/>
      <c r="L317" s="518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  <c r="AB317" s="518"/>
      <c r="AC317" s="518"/>
      <c r="AD317" s="518"/>
      <c r="AE317" s="518"/>
      <c r="AF317" s="518"/>
      <c r="AG317" s="518"/>
      <c r="AH317" s="518"/>
      <c r="AI317" s="518"/>
      <c r="AJ317" s="518"/>
      <c r="AK317" s="518"/>
      <c r="AL317" s="518"/>
      <c r="AM317" s="518"/>
      <c r="AN317" s="518"/>
      <c r="AO317" s="518"/>
      <c r="AP317" s="518"/>
      <c r="AQ317" s="518"/>
      <c r="AR317" s="518"/>
      <c r="AS317" s="518"/>
      <c r="AT317" s="518"/>
      <c r="AU317" s="518"/>
      <c r="AV317" s="518"/>
      <c r="AW317" s="518"/>
      <c r="AX317" s="518"/>
      <c r="AY317" s="518"/>
      <c r="AZ317" s="518"/>
      <c r="BA317" s="518"/>
      <c r="BB317" s="518"/>
      <c r="BC317" s="518"/>
      <c r="BD317" s="518"/>
      <c r="BE317" s="518"/>
    </row>
    <row r="318" spans="1:57" ht="12.75" customHeight="1">
      <c r="A318" s="518"/>
      <c r="B318" s="518"/>
      <c r="C318" s="518"/>
      <c r="D318" s="518"/>
      <c r="E318" s="518"/>
      <c r="F318" s="518"/>
      <c r="G318" s="518"/>
      <c r="H318" s="518"/>
      <c r="I318" s="518"/>
      <c r="J318" s="518"/>
      <c r="K318" s="518"/>
      <c r="L318" s="518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  <c r="AB318" s="518"/>
      <c r="AC318" s="518"/>
      <c r="AD318" s="518"/>
      <c r="AE318" s="518"/>
      <c r="AF318" s="518"/>
      <c r="AG318" s="518"/>
      <c r="AH318" s="518"/>
      <c r="AI318" s="518"/>
      <c r="AJ318" s="518"/>
      <c r="AK318" s="518"/>
      <c r="AL318" s="518"/>
      <c r="AM318" s="518"/>
      <c r="AN318" s="518"/>
      <c r="AO318" s="518"/>
      <c r="AP318" s="518"/>
      <c r="AQ318" s="518"/>
      <c r="AR318" s="518"/>
      <c r="AS318" s="518"/>
      <c r="AT318" s="518"/>
      <c r="AU318" s="518"/>
      <c r="AV318" s="518"/>
      <c r="AW318" s="518"/>
      <c r="AX318" s="518"/>
      <c r="AY318" s="518"/>
      <c r="AZ318" s="518"/>
      <c r="BA318" s="518"/>
      <c r="BB318" s="518"/>
      <c r="BC318" s="518"/>
      <c r="BD318" s="518"/>
      <c r="BE318" s="518"/>
    </row>
    <row r="319" spans="1:57" ht="12.75" customHeight="1">
      <c r="A319" s="518"/>
      <c r="B319" s="518"/>
      <c r="C319" s="518"/>
      <c r="D319" s="518"/>
      <c r="E319" s="518"/>
      <c r="F319" s="518"/>
      <c r="G319" s="518"/>
      <c r="H319" s="518"/>
      <c r="I319" s="518"/>
      <c r="J319" s="518"/>
      <c r="K319" s="518"/>
      <c r="L319" s="518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  <c r="AB319" s="518"/>
      <c r="AC319" s="518"/>
      <c r="AD319" s="518"/>
      <c r="AE319" s="518"/>
      <c r="AF319" s="518"/>
      <c r="AG319" s="518"/>
      <c r="AH319" s="518"/>
      <c r="AI319" s="518"/>
      <c r="AJ319" s="518"/>
      <c r="AK319" s="518"/>
      <c r="AL319" s="518"/>
      <c r="AM319" s="518"/>
      <c r="AN319" s="518"/>
      <c r="AO319" s="518"/>
      <c r="AP319" s="518"/>
      <c r="AQ319" s="518"/>
      <c r="AR319" s="518"/>
      <c r="AS319" s="518"/>
      <c r="AT319" s="518"/>
      <c r="AU319" s="518"/>
      <c r="AV319" s="518"/>
      <c r="AW319" s="518"/>
      <c r="AX319" s="518"/>
      <c r="AY319" s="518"/>
      <c r="AZ319" s="518"/>
      <c r="BA319" s="518"/>
      <c r="BB319" s="518"/>
      <c r="BC319" s="518"/>
      <c r="BD319" s="518"/>
      <c r="BE319" s="518"/>
    </row>
    <row r="320" spans="1:57" ht="12.75" customHeight="1">
      <c r="A320" s="518"/>
      <c r="B320" s="518"/>
      <c r="C320" s="518"/>
      <c r="D320" s="518"/>
      <c r="E320" s="518"/>
      <c r="F320" s="518"/>
      <c r="G320" s="518"/>
      <c r="H320" s="518"/>
      <c r="I320" s="518"/>
      <c r="J320" s="518"/>
      <c r="K320" s="518"/>
      <c r="L320" s="518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  <c r="AB320" s="518"/>
      <c r="AC320" s="518"/>
      <c r="AD320" s="518"/>
      <c r="AE320" s="518"/>
      <c r="AF320" s="518"/>
      <c r="AG320" s="518"/>
      <c r="AH320" s="518"/>
      <c r="AI320" s="518"/>
      <c r="AJ320" s="518"/>
      <c r="AK320" s="518"/>
      <c r="AL320" s="518"/>
      <c r="AM320" s="518"/>
      <c r="AN320" s="518"/>
      <c r="AO320" s="518"/>
      <c r="AP320" s="518"/>
      <c r="AQ320" s="518"/>
      <c r="AR320" s="518"/>
      <c r="AS320" s="518"/>
      <c r="AT320" s="518"/>
      <c r="AU320" s="518"/>
      <c r="AV320" s="518"/>
      <c r="AW320" s="518"/>
      <c r="AX320" s="518"/>
      <c r="AY320" s="518"/>
      <c r="AZ320" s="518"/>
      <c r="BA320" s="518"/>
      <c r="BB320" s="518"/>
      <c r="BC320" s="518"/>
      <c r="BD320" s="518"/>
      <c r="BE320" s="518"/>
    </row>
    <row r="321" spans="1:57" ht="12.75" customHeight="1">
      <c r="A321" s="518"/>
      <c r="B321" s="518"/>
      <c r="C321" s="518"/>
      <c r="D321" s="518"/>
      <c r="E321" s="518"/>
      <c r="F321" s="518"/>
      <c r="G321" s="518"/>
      <c r="H321" s="518"/>
      <c r="I321" s="518"/>
      <c r="J321" s="518"/>
      <c r="K321" s="518"/>
      <c r="L321" s="518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  <c r="AB321" s="518"/>
      <c r="AC321" s="518"/>
      <c r="AD321" s="518"/>
      <c r="AE321" s="518"/>
      <c r="AF321" s="518"/>
      <c r="AG321" s="518"/>
      <c r="AH321" s="518"/>
      <c r="AI321" s="518"/>
      <c r="AJ321" s="518"/>
      <c r="AK321" s="518"/>
      <c r="AL321" s="518"/>
      <c r="AM321" s="518"/>
      <c r="AN321" s="518"/>
      <c r="AO321" s="518"/>
      <c r="AP321" s="518"/>
      <c r="AQ321" s="518"/>
      <c r="AR321" s="518"/>
      <c r="AS321" s="518"/>
      <c r="AT321" s="518"/>
      <c r="AU321" s="518"/>
      <c r="AV321" s="518"/>
      <c r="AW321" s="518"/>
      <c r="AX321" s="518"/>
      <c r="AY321" s="518"/>
      <c r="AZ321" s="518"/>
      <c r="BA321" s="518"/>
      <c r="BB321" s="518"/>
      <c r="BC321" s="518"/>
      <c r="BD321" s="518"/>
      <c r="BE321" s="518"/>
    </row>
    <row r="322" spans="1:57" ht="12.75" customHeight="1">
      <c r="A322" s="518"/>
      <c r="B322" s="518"/>
      <c r="C322" s="518"/>
      <c r="D322" s="518"/>
      <c r="E322" s="518"/>
      <c r="F322" s="518"/>
      <c r="G322" s="518"/>
      <c r="H322" s="518"/>
      <c r="I322" s="518"/>
      <c r="J322" s="518"/>
      <c r="K322" s="518"/>
      <c r="L322" s="518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  <c r="AB322" s="518"/>
      <c r="AC322" s="518"/>
      <c r="AD322" s="518"/>
      <c r="AE322" s="518"/>
      <c r="AF322" s="518"/>
      <c r="AG322" s="518"/>
      <c r="AH322" s="518"/>
      <c r="AI322" s="518"/>
      <c r="AJ322" s="518"/>
      <c r="AK322" s="518"/>
      <c r="AL322" s="518"/>
      <c r="AM322" s="518"/>
      <c r="AN322" s="518"/>
      <c r="AO322" s="518"/>
      <c r="AP322" s="518"/>
      <c r="AQ322" s="518"/>
      <c r="AR322" s="518"/>
      <c r="AS322" s="518"/>
      <c r="AT322" s="518"/>
      <c r="AU322" s="518"/>
      <c r="AV322" s="518"/>
      <c r="AW322" s="518"/>
      <c r="AX322" s="518"/>
      <c r="AY322" s="518"/>
      <c r="AZ322" s="518"/>
      <c r="BA322" s="518"/>
      <c r="BB322" s="518"/>
      <c r="BC322" s="518"/>
      <c r="BD322" s="518"/>
      <c r="BE322" s="518"/>
    </row>
    <row r="323" spans="1:57" ht="12.75" customHeight="1">
      <c r="A323" s="518"/>
      <c r="B323" s="518"/>
      <c r="C323" s="518"/>
      <c r="D323" s="518"/>
      <c r="E323" s="518"/>
      <c r="F323" s="518"/>
      <c r="G323" s="518"/>
      <c r="H323" s="518"/>
      <c r="I323" s="518"/>
      <c r="J323" s="518"/>
      <c r="K323" s="518"/>
      <c r="L323" s="518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  <c r="AB323" s="518"/>
      <c r="AC323" s="518"/>
      <c r="AD323" s="518"/>
      <c r="AE323" s="518"/>
      <c r="AF323" s="518"/>
      <c r="AG323" s="518"/>
      <c r="AH323" s="518"/>
      <c r="AI323" s="518"/>
      <c r="AJ323" s="518"/>
      <c r="AK323" s="518"/>
      <c r="AL323" s="518"/>
      <c r="AM323" s="518"/>
      <c r="AN323" s="518"/>
      <c r="AO323" s="518"/>
      <c r="AP323" s="518"/>
      <c r="AQ323" s="518"/>
      <c r="AR323" s="518"/>
      <c r="AS323" s="518"/>
      <c r="AT323" s="518"/>
      <c r="AU323" s="518"/>
      <c r="AV323" s="518"/>
      <c r="AW323" s="518"/>
      <c r="AX323" s="518"/>
      <c r="AY323" s="518"/>
      <c r="AZ323" s="518"/>
      <c r="BA323" s="518"/>
      <c r="BB323" s="518"/>
      <c r="BC323" s="518"/>
      <c r="BD323" s="518"/>
      <c r="BE323" s="518"/>
    </row>
    <row r="324" spans="1:57" ht="12.75" customHeight="1">
      <c r="A324" s="518"/>
      <c r="B324" s="518"/>
      <c r="C324" s="518"/>
      <c r="D324" s="518"/>
      <c r="E324" s="518"/>
      <c r="F324" s="518"/>
      <c r="G324" s="518"/>
      <c r="H324" s="518"/>
      <c r="I324" s="518"/>
      <c r="J324" s="518"/>
      <c r="K324" s="518"/>
      <c r="L324" s="518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  <c r="AB324" s="518"/>
      <c r="AC324" s="518"/>
      <c r="AD324" s="518"/>
      <c r="AE324" s="518"/>
      <c r="AF324" s="518"/>
      <c r="AG324" s="518"/>
      <c r="AH324" s="518"/>
      <c r="AI324" s="518"/>
      <c r="AJ324" s="518"/>
      <c r="AK324" s="518"/>
      <c r="AL324" s="518"/>
      <c r="AM324" s="518"/>
      <c r="AN324" s="518"/>
      <c r="AO324" s="518"/>
      <c r="AP324" s="518"/>
      <c r="AQ324" s="518"/>
      <c r="AR324" s="518"/>
      <c r="AS324" s="518"/>
      <c r="AT324" s="518"/>
      <c r="AU324" s="518"/>
      <c r="AV324" s="518"/>
      <c r="AW324" s="518"/>
      <c r="AX324" s="518"/>
      <c r="AY324" s="518"/>
      <c r="AZ324" s="518"/>
      <c r="BA324" s="518"/>
      <c r="BB324" s="518"/>
      <c r="BC324" s="518"/>
      <c r="BD324" s="518"/>
      <c r="BE324" s="518"/>
    </row>
    <row r="325" spans="1:57" ht="12.75" customHeight="1">
      <c r="A325" s="518"/>
      <c r="B325" s="518"/>
      <c r="C325" s="518"/>
      <c r="D325" s="518"/>
      <c r="E325" s="518"/>
      <c r="F325" s="518"/>
      <c r="G325" s="518"/>
      <c r="H325" s="518"/>
      <c r="I325" s="518"/>
      <c r="J325" s="518"/>
      <c r="K325" s="518"/>
      <c r="L325" s="518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  <c r="AB325" s="518"/>
      <c r="AC325" s="518"/>
      <c r="AD325" s="518"/>
      <c r="AE325" s="518"/>
      <c r="AF325" s="518"/>
      <c r="AG325" s="518"/>
      <c r="AH325" s="518"/>
      <c r="AI325" s="518"/>
      <c r="AJ325" s="518"/>
      <c r="AK325" s="518"/>
      <c r="AL325" s="518"/>
      <c r="AM325" s="518"/>
      <c r="AN325" s="518"/>
      <c r="AO325" s="518"/>
      <c r="AP325" s="518"/>
      <c r="AQ325" s="518"/>
      <c r="AR325" s="518"/>
      <c r="AS325" s="518"/>
      <c r="AT325" s="518"/>
      <c r="AU325" s="518"/>
      <c r="AV325" s="518"/>
      <c r="AW325" s="518"/>
      <c r="AX325" s="518"/>
      <c r="AY325" s="518"/>
      <c r="AZ325" s="518"/>
      <c r="BA325" s="518"/>
      <c r="BB325" s="518"/>
      <c r="BC325" s="518"/>
      <c r="BD325" s="518"/>
      <c r="BE325" s="518"/>
    </row>
    <row r="326" spans="1:57" ht="12.75" customHeight="1">
      <c r="A326" s="518"/>
      <c r="B326" s="518"/>
      <c r="C326" s="518"/>
      <c r="D326" s="518"/>
      <c r="E326" s="518"/>
      <c r="F326" s="518"/>
      <c r="G326" s="518"/>
      <c r="H326" s="518"/>
      <c r="I326" s="518"/>
      <c r="J326" s="518"/>
      <c r="K326" s="518"/>
      <c r="L326" s="518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  <c r="AB326" s="518"/>
      <c r="AC326" s="518"/>
      <c r="AD326" s="518"/>
      <c r="AE326" s="518"/>
      <c r="AF326" s="518"/>
      <c r="AG326" s="518"/>
      <c r="AH326" s="518"/>
      <c r="AI326" s="518"/>
      <c r="AJ326" s="518"/>
      <c r="AK326" s="518"/>
      <c r="AL326" s="518"/>
      <c r="AM326" s="518"/>
      <c r="AN326" s="518"/>
      <c r="AO326" s="518"/>
      <c r="AP326" s="518"/>
      <c r="AQ326" s="518"/>
      <c r="AR326" s="518"/>
      <c r="AS326" s="518"/>
      <c r="AT326" s="518"/>
      <c r="AU326" s="518"/>
      <c r="AV326" s="518"/>
      <c r="AW326" s="518"/>
      <c r="AX326" s="518"/>
      <c r="AY326" s="518"/>
      <c r="AZ326" s="518"/>
      <c r="BA326" s="518"/>
      <c r="BB326" s="518"/>
      <c r="BC326" s="518"/>
      <c r="BD326" s="518"/>
      <c r="BE326" s="518"/>
    </row>
    <row r="327" spans="1:57" ht="12.75" customHeight="1">
      <c r="A327" s="518"/>
      <c r="B327" s="518"/>
      <c r="C327" s="518"/>
      <c r="D327" s="518"/>
      <c r="E327" s="518"/>
      <c r="F327" s="518"/>
      <c r="G327" s="518"/>
      <c r="H327" s="518"/>
      <c r="I327" s="518"/>
      <c r="J327" s="518"/>
      <c r="K327" s="518"/>
      <c r="L327" s="518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  <c r="AB327" s="518"/>
      <c r="AC327" s="518"/>
      <c r="AD327" s="518"/>
      <c r="AE327" s="518"/>
      <c r="AF327" s="518"/>
      <c r="AG327" s="518"/>
      <c r="AH327" s="518"/>
      <c r="AI327" s="518"/>
      <c r="AJ327" s="518"/>
      <c r="AK327" s="518"/>
      <c r="AL327" s="518"/>
      <c r="AM327" s="518"/>
      <c r="AN327" s="518"/>
      <c r="AO327" s="518"/>
      <c r="AP327" s="518"/>
      <c r="AQ327" s="518"/>
      <c r="AR327" s="518"/>
      <c r="AS327" s="518"/>
      <c r="AT327" s="518"/>
      <c r="AU327" s="518"/>
      <c r="AV327" s="518"/>
      <c r="AW327" s="518"/>
      <c r="AX327" s="518"/>
      <c r="AY327" s="518"/>
      <c r="AZ327" s="518"/>
      <c r="BA327" s="518"/>
      <c r="BB327" s="518"/>
      <c r="BC327" s="518"/>
      <c r="BD327" s="518"/>
      <c r="BE327" s="518"/>
    </row>
    <row r="328" spans="1:57" ht="12.75" customHeight="1">
      <c r="A328" s="518"/>
      <c r="B328" s="518"/>
      <c r="C328" s="518"/>
      <c r="D328" s="518"/>
      <c r="E328" s="518"/>
      <c r="F328" s="518"/>
      <c r="G328" s="518"/>
      <c r="H328" s="518"/>
      <c r="I328" s="518"/>
      <c r="J328" s="518"/>
      <c r="K328" s="518"/>
      <c r="L328" s="518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  <c r="AB328" s="518"/>
      <c r="AC328" s="518"/>
      <c r="AD328" s="518"/>
      <c r="AE328" s="518"/>
      <c r="AF328" s="518"/>
      <c r="AG328" s="518"/>
      <c r="AH328" s="518"/>
      <c r="AI328" s="518"/>
      <c r="AJ328" s="518"/>
      <c r="AK328" s="518"/>
      <c r="AL328" s="518"/>
      <c r="AM328" s="518"/>
      <c r="AN328" s="518"/>
      <c r="AO328" s="518"/>
      <c r="AP328" s="518"/>
      <c r="AQ328" s="518"/>
      <c r="AR328" s="518"/>
      <c r="AS328" s="518"/>
      <c r="AT328" s="518"/>
      <c r="AU328" s="518"/>
      <c r="AV328" s="518"/>
      <c r="AW328" s="518"/>
      <c r="AX328" s="518"/>
      <c r="AY328" s="518"/>
      <c r="AZ328" s="518"/>
      <c r="BA328" s="518"/>
      <c r="BB328" s="518"/>
      <c r="BC328" s="518"/>
      <c r="BD328" s="518"/>
      <c r="BE328" s="518"/>
    </row>
    <row r="329" spans="1:57" ht="12.75" customHeight="1">
      <c r="A329" s="518"/>
      <c r="B329" s="518"/>
      <c r="C329" s="518"/>
      <c r="D329" s="518"/>
      <c r="E329" s="518"/>
      <c r="F329" s="518"/>
      <c r="G329" s="518"/>
      <c r="H329" s="518"/>
      <c r="I329" s="518"/>
      <c r="J329" s="518"/>
      <c r="K329" s="518"/>
      <c r="L329" s="518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  <c r="AB329" s="518"/>
      <c r="AC329" s="518"/>
      <c r="AD329" s="518"/>
      <c r="AE329" s="518"/>
      <c r="AF329" s="518"/>
      <c r="AG329" s="518"/>
      <c r="AH329" s="518"/>
      <c r="AI329" s="518"/>
      <c r="AJ329" s="518"/>
      <c r="AK329" s="518"/>
      <c r="AL329" s="518"/>
      <c r="AM329" s="518"/>
      <c r="AN329" s="518"/>
      <c r="AO329" s="518"/>
      <c r="AP329" s="518"/>
      <c r="AQ329" s="518"/>
      <c r="AR329" s="518"/>
      <c r="AS329" s="518"/>
      <c r="AT329" s="518"/>
      <c r="AU329" s="518"/>
      <c r="AV329" s="518"/>
      <c r="AW329" s="518"/>
      <c r="AX329" s="518"/>
      <c r="AY329" s="518"/>
      <c r="AZ329" s="518"/>
      <c r="BA329" s="518"/>
      <c r="BB329" s="518"/>
      <c r="BC329" s="518"/>
      <c r="BD329" s="518"/>
      <c r="BE329" s="518"/>
    </row>
    <row r="330" spans="1:57" ht="12.75" customHeight="1">
      <c r="A330" s="518"/>
      <c r="B330" s="518"/>
      <c r="C330" s="518"/>
      <c r="D330" s="518"/>
      <c r="E330" s="518"/>
      <c r="F330" s="518"/>
      <c r="G330" s="518"/>
      <c r="H330" s="518"/>
      <c r="I330" s="518"/>
      <c r="J330" s="518"/>
      <c r="K330" s="518"/>
      <c r="L330" s="518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  <c r="AB330" s="518"/>
      <c r="AC330" s="518"/>
      <c r="AD330" s="518"/>
      <c r="AE330" s="518"/>
      <c r="AF330" s="518"/>
      <c r="AG330" s="518"/>
      <c r="AH330" s="518"/>
      <c r="AI330" s="518"/>
      <c r="AJ330" s="518"/>
      <c r="AK330" s="518"/>
      <c r="AL330" s="518"/>
      <c r="AM330" s="518"/>
      <c r="AN330" s="518"/>
      <c r="AO330" s="518"/>
      <c r="AP330" s="518"/>
      <c r="AQ330" s="518"/>
      <c r="AR330" s="518"/>
      <c r="AS330" s="518"/>
      <c r="AT330" s="518"/>
      <c r="AU330" s="518"/>
      <c r="AV330" s="518"/>
      <c r="AW330" s="518"/>
      <c r="AX330" s="518"/>
      <c r="AY330" s="518"/>
      <c r="AZ330" s="518"/>
      <c r="BA330" s="518"/>
      <c r="BB330" s="518"/>
      <c r="BC330" s="518"/>
      <c r="BD330" s="518"/>
      <c r="BE330" s="518"/>
    </row>
    <row r="331" spans="1:57" ht="12.75" customHeight="1">
      <c r="A331" s="518"/>
      <c r="B331" s="518"/>
      <c r="C331" s="518"/>
      <c r="D331" s="518"/>
      <c r="E331" s="518"/>
      <c r="F331" s="518"/>
      <c r="G331" s="518"/>
      <c r="H331" s="518"/>
      <c r="I331" s="518"/>
      <c r="J331" s="518"/>
      <c r="K331" s="518"/>
      <c r="L331" s="518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  <c r="AB331" s="518"/>
      <c r="AC331" s="518"/>
      <c r="AD331" s="518"/>
      <c r="AE331" s="518"/>
      <c r="AF331" s="518"/>
      <c r="AG331" s="518"/>
      <c r="AH331" s="518"/>
      <c r="AI331" s="518"/>
      <c r="AJ331" s="518"/>
      <c r="AK331" s="518"/>
      <c r="AL331" s="518"/>
      <c r="AM331" s="518"/>
      <c r="AN331" s="518"/>
      <c r="AO331" s="518"/>
      <c r="AP331" s="518"/>
      <c r="AQ331" s="518"/>
      <c r="AR331" s="518"/>
      <c r="AS331" s="518"/>
      <c r="AT331" s="518"/>
      <c r="AU331" s="518"/>
      <c r="AV331" s="518"/>
      <c r="AW331" s="518"/>
      <c r="AX331" s="518"/>
      <c r="AY331" s="518"/>
      <c r="AZ331" s="518"/>
      <c r="BA331" s="518"/>
      <c r="BB331" s="518"/>
      <c r="BC331" s="518"/>
      <c r="BD331" s="518"/>
      <c r="BE331" s="518"/>
    </row>
    <row r="332" spans="1:57" ht="12.75" customHeight="1">
      <c r="A332" s="518"/>
      <c r="B332" s="518"/>
      <c r="C332" s="518"/>
      <c r="D332" s="518"/>
      <c r="E332" s="518"/>
      <c r="F332" s="518"/>
      <c r="G332" s="518"/>
      <c r="H332" s="518"/>
      <c r="I332" s="518"/>
      <c r="J332" s="518"/>
      <c r="K332" s="518"/>
      <c r="L332" s="518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  <c r="AB332" s="518"/>
      <c r="AC332" s="518"/>
      <c r="AD332" s="518"/>
      <c r="AE332" s="518"/>
      <c r="AF332" s="518"/>
      <c r="AG332" s="518"/>
      <c r="AH332" s="518"/>
      <c r="AI332" s="518"/>
      <c r="AJ332" s="518"/>
      <c r="AK332" s="518"/>
      <c r="AL332" s="518"/>
      <c r="AM332" s="518"/>
      <c r="AN332" s="518"/>
      <c r="AO332" s="518"/>
      <c r="AP332" s="518"/>
      <c r="AQ332" s="518"/>
      <c r="AR332" s="518"/>
      <c r="AS332" s="518"/>
      <c r="AT332" s="518"/>
      <c r="AU332" s="518"/>
      <c r="AV332" s="518"/>
      <c r="AW332" s="518"/>
      <c r="AX332" s="518"/>
      <c r="AY332" s="518"/>
      <c r="AZ332" s="518"/>
      <c r="BA332" s="518"/>
      <c r="BB332" s="518"/>
      <c r="BC332" s="518"/>
      <c r="BD332" s="518"/>
      <c r="BE332" s="518"/>
    </row>
    <row r="333" spans="1:57" ht="12.75" customHeight="1">
      <c r="A333" s="518"/>
      <c r="B333" s="518"/>
      <c r="C333" s="518"/>
      <c r="D333" s="518"/>
      <c r="E333" s="518"/>
      <c r="F333" s="518"/>
      <c r="G333" s="518"/>
      <c r="H333" s="518"/>
      <c r="I333" s="518"/>
      <c r="J333" s="518"/>
      <c r="K333" s="518"/>
      <c r="L333" s="518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  <c r="AB333" s="518"/>
      <c r="AC333" s="518"/>
      <c r="AD333" s="518"/>
      <c r="AE333" s="518"/>
      <c r="AF333" s="518"/>
      <c r="AG333" s="518"/>
      <c r="AH333" s="518"/>
      <c r="AI333" s="518"/>
      <c r="AJ333" s="518"/>
      <c r="AK333" s="518"/>
      <c r="AL333" s="518"/>
      <c r="AM333" s="518"/>
      <c r="AN333" s="518"/>
      <c r="AO333" s="518"/>
      <c r="AP333" s="518"/>
      <c r="AQ333" s="518"/>
      <c r="AR333" s="518"/>
      <c r="AS333" s="518"/>
      <c r="AT333" s="518"/>
      <c r="AU333" s="518"/>
      <c r="AV333" s="518"/>
      <c r="AW333" s="518"/>
      <c r="AX333" s="518"/>
      <c r="AY333" s="518"/>
      <c r="AZ333" s="518"/>
      <c r="BA333" s="518"/>
      <c r="BB333" s="518"/>
      <c r="BC333" s="518"/>
      <c r="BD333" s="518"/>
      <c r="BE333" s="518"/>
    </row>
    <row r="334" spans="1:57" ht="12.75" customHeight="1">
      <c r="A334" s="518"/>
      <c r="B334" s="518"/>
      <c r="C334" s="518"/>
      <c r="D334" s="518"/>
      <c r="E334" s="518"/>
      <c r="F334" s="518"/>
      <c r="G334" s="518"/>
      <c r="H334" s="518"/>
      <c r="I334" s="518"/>
      <c r="J334" s="518"/>
      <c r="K334" s="518"/>
      <c r="L334" s="518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  <c r="AB334" s="518"/>
      <c r="AC334" s="518"/>
      <c r="AD334" s="518"/>
      <c r="AE334" s="518"/>
      <c r="AF334" s="518"/>
      <c r="AG334" s="518"/>
      <c r="AH334" s="518"/>
      <c r="AI334" s="518"/>
      <c r="AJ334" s="518"/>
      <c r="AK334" s="518"/>
      <c r="AL334" s="518"/>
      <c r="AM334" s="518"/>
      <c r="AN334" s="518"/>
      <c r="AO334" s="518"/>
      <c r="AP334" s="518"/>
      <c r="AQ334" s="518"/>
      <c r="AR334" s="518"/>
      <c r="AS334" s="518"/>
      <c r="AT334" s="518"/>
      <c r="AU334" s="518"/>
      <c r="AV334" s="518"/>
      <c r="AW334" s="518"/>
      <c r="AX334" s="518"/>
      <c r="AY334" s="518"/>
      <c r="AZ334" s="518"/>
      <c r="BA334" s="518"/>
      <c r="BB334" s="518"/>
      <c r="BC334" s="518"/>
      <c r="BD334" s="518"/>
      <c r="BE334" s="518"/>
    </row>
    <row r="335" spans="1:57" ht="12.75" customHeight="1">
      <c r="A335" s="518"/>
      <c r="B335" s="518"/>
      <c r="C335" s="518"/>
      <c r="D335" s="518"/>
      <c r="E335" s="518"/>
      <c r="F335" s="518"/>
      <c r="G335" s="518"/>
      <c r="H335" s="518"/>
      <c r="I335" s="518"/>
      <c r="J335" s="518"/>
      <c r="K335" s="518"/>
      <c r="L335" s="518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  <c r="AB335" s="518"/>
      <c r="AC335" s="518"/>
      <c r="AD335" s="518"/>
      <c r="AE335" s="518"/>
      <c r="AF335" s="518"/>
      <c r="AG335" s="518"/>
      <c r="AH335" s="518"/>
      <c r="AI335" s="518"/>
      <c r="AJ335" s="518"/>
      <c r="AK335" s="518"/>
      <c r="AL335" s="518"/>
      <c r="AM335" s="518"/>
      <c r="AN335" s="518"/>
      <c r="AO335" s="518"/>
      <c r="AP335" s="518"/>
      <c r="AQ335" s="518"/>
      <c r="AR335" s="518"/>
      <c r="AS335" s="518"/>
      <c r="AT335" s="518"/>
      <c r="AU335" s="518"/>
      <c r="AV335" s="518"/>
      <c r="AW335" s="518"/>
      <c r="AX335" s="518"/>
      <c r="AY335" s="518"/>
      <c r="AZ335" s="518"/>
      <c r="BA335" s="518"/>
      <c r="BB335" s="518"/>
      <c r="BC335" s="518"/>
      <c r="BD335" s="518"/>
      <c r="BE335" s="518"/>
    </row>
    <row r="336" spans="1:57" ht="12.75" customHeight="1">
      <c r="A336" s="518"/>
      <c r="B336" s="518"/>
      <c r="C336" s="518"/>
      <c r="D336" s="518"/>
      <c r="E336" s="518"/>
      <c r="F336" s="518"/>
      <c r="G336" s="518"/>
      <c r="H336" s="518"/>
      <c r="I336" s="518"/>
      <c r="J336" s="518"/>
      <c r="K336" s="518"/>
      <c r="L336" s="518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  <c r="AB336" s="518"/>
      <c r="AC336" s="518"/>
      <c r="AD336" s="518"/>
      <c r="AE336" s="518"/>
      <c r="AF336" s="518"/>
      <c r="AG336" s="518"/>
      <c r="AH336" s="518"/>
      <c r="AI336" s="518"/>
      <c r="AJ336" s="518"/>
      <c r="AK336" s="518"/>
      <c r="AL336" s="518"/>
      <c r="AM336" s="518"/>
      <c r="AN336" s="518"/>
      <c r="AO336" s="518"/>
      <c r="AP336" s="518"/>
      <c r="AQ336" s="518"/>
      <c r="AR336" s="518"/>
      <c r="AS336" s="518"/>
      <c r="AT336" s="518"/>
      <c r="AU336" s="518"/>
      <c r="AV336" s="518"/>
      <c r="AW336" s="518"/>
      <c r="AX336" s="518"/>
      <c r="AY336" s="518"/>
      <c r="AZ336" s="518"/>
      <c r="BA336" s="518"/>
      <c r="BB336" s="518"/>
      <c r="BC336" s="518"/>
      <c r="BD336" s="518"/>
      <c r="BE336" s="518"/>
    </row>
    <row r="337" spans="1:57" ht="12.75" customHeight="1">
      <c r="A337" s="518"/>
      <c r="B337" s="518"/>
      <c r="C337" s="518"/>
      <c r="D337" s="518"/>
      <c r="E337" s="518"/>
      <c r="F337" s="518"/>
      <c r="G337" s="518"/>
      <c r="H337" s="518"/>
      <c r="I337" s="518"/>
      <c r="J337" s="518"/>
      <c r="K337" s="518"/>
      <c r="L337" s="518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  <c r="AB337" s="518"/>
      <c r="AC337" s="518"/>
      <c r="AD337" s="518"/>
      <c r="AE337" s="518"/>
      <c r="AF337" s="518"/>
      <c r="AG337" s="518"/>
      <c r="AH337" s="518"/>
      <c r="AI337" s="518"/>
      <c r="AJ337" s="518"/>
      <c r="AK337" s="518"/>
      <c r="AL337" s="518"/>
      <c r="AM337" s="518"/>
      <c r="AN337" s="518"/>
      <c r="AO337" s="518"/>
      <c r="AP337" s="518"/>
      <c r="AQ337" s="518"/>
      <c r="AR337" s="518"/>
      <c r="AS337" s="518"/>
      <c r="AT337" s="518"/>
      <c r="AU337" s="518"/>
      <c r="AV337" s="518"/>
      <c r="AW337" s="518"/>
      <c r="AX337" s="518"/>
      <c r="AY337" s="518"/>
      <c r="AZ337" s="518"/>
      <c r="BA337" s="518"/>
      <c r="BB337" s="518"/>
      <c r="BC337" s="518"/>
      <c r="BD337" s="518"/>
      <c r="BE337" s="518"/>
    </row>
    <row r="338" spans="1:57" ht="12.75" customHeight="1">
      <c r="A338" s="518"/>
      <c r="B338" s="518"/>
      <c r="C338" s="518"/>
      <c r="D338" s="518"/>
      <c r="E338" s="518"/>
      <c r="F338" s="518"/>
      <c r="G338" s="518"/>
      <c r="H338" s="518"/>
      <c r="I338" s="518"/>
      <c r="J338" s="518"/>
      <c r="K338" s="518"/>
      <c r="L338" s="518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  <c r="AB338" s="518"/>
      <c r="AC338" s="518"/>
      <c r="AD338" s="518"/>
      <c r="AE338" s="518"/>
      <c r="AF338" s="518"/>
      <c r="AG338" s="518"/>
      <c r="AH338" s="518"/>
      <c r="AI338" s="518"/>
      <c r="AJ338" s="518"/>
      <c r="AK338" s="518"/>
      <c r="AL338" s="518"/>
      <c r="AM338" s="518"/>
      <c r="AN338" s="518"/>
      <c r="AO338" s="518"/>
      <c r="AP338" s="518"/>
      <c r="AQ338" s="518"/>
      <c r="AR338" s="518"/>
      <c r="AS338" s="518"/>
      <c r="AT338" s="518"/>
      <c r="AU338" s="518"/>
      <c r="AV338" s="518"/>
      <c r="AW338" s="518"/>
      <c r="AX338" s="518"/>
      <c r="AY338" s="518"/>
      <c r="AZ338" s="518"/>
      <c r="BA338" s="518"/>
      <c r="BB338" s="518"/>
      <c r="BC338" s="518"/>
      <c r="BD338" s="518"/>
      <c r="BE338" s="518"/>
    </row>
    <row r="339" spans="1:57" ht="12.75" customHeight="1">
      <c r="A339" s="518"/>
      <c r="B339" s="518"/>
      <c r="C339" s="518"/>
      <c r="D339" s="518"/>
      <c r="E339" s="518"/>
      <c r="F339" s="518"/>
      <c r="G339" s="518"/>
      <c r="H339" s="518"/>
      <c r="I339" s="518"/>
      <c r="J339" s="518"/>
      <c r="K339" s="518"/>
      <c r="L339" s="518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  <c r="AB339" s="518"/>
      <c r="AC339" s="518"/>
      <c r="AD339" s="518"/>
      <c r="AE339" s="518"/>
      <c r="AF339" s="518"/>
      <c r="AG339" s="518"/>
      <c r="AH339" s="518"/>
      <c r="AI339" s="518"/>
      <c r="AJ339" s="518"/>
      <c r="AK339" s="518"/>
      <c r="AL339" s="518"/>
      <c r="AM339" s="518"/>
      <c r="AN339" s="518"/>
      <c r="AO339" s="518"/>
      <c r="AP339" s="518"/>
      <c r="AQ339" s="518"/>
      <c r="AR339" s="518"/>
      <c r="AS339" s="518"/>
      <c r="AT339" s="518"/>
      <c r="AU339" s="518"/>
      <c r="AV339" s="518"/>
      <c r="AW339" s="518"/>
      <c r="AX339" s="518"/>
      <c r="AY339" s="518"/>
      <c r="AZ339" s="518"/>
      <c r="BA339" s="518"/>
      <c r="BB339" s="518"/>
      <c r="BC339" s="518"/>
      <c r="BD339" s="518"/>
      <c r="BE339" s="518"/>
    </row>
    <row r="340" spans="1:57" ht="12.75" customHeight="1">
      <c r="A340" s="518"/>
      <c r="B340" s="518"/>
      <c r="C340" s="518"/>
      <c r="D340" s="518"/>
      <c r="E340" s="518"/>
      <c r="F340" s="518"/>
      <c r="G340" s="518"/>
      <c r="H340" s="518"/>
      <c r="I340" s="518"/>
      <c r="J340" s="518"/>
      <c r="K340" s="518"/>
      <c r="L340" s="518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  <c r="AB340" s="518"/>
      <c r="AC340" s="518"/>
      <c r="AD340" s="518"/>
      <c r="AE340" s="518"/>
      <c r="AF340" s="518"/>
      <c r="AG340" s="518"/>
      <c r="AH340" s="518"/>
      <c r="AI340" s="518"/>
      <c r="AJ340" s="518"/>
      <c r="AK340" s="518"/>
      <c r="AL340" s="518"/>
      <c r="AM340" s="518"/>
      <c r="AN340" s="518"/>
      <c r="AO340" s="518"/>
      <c r="AP340" s="518"/>
      <c r="AQ340" s="518"/>
      <c r="AR340" s="518"/>
      <c r="AS340" s="518"/>
      <c r="AT340" s="518"/>
      <c r="AU340" s="518"/>
      <c r="AV340" s="518"/>
      <c r="AW340" s="518"/>
      <c r="AX340" s="518"/>
      <c r="AY340" s="518"/>
      <c r="AZ340" s="518"/>
      <c r="BA340" s="518"/>
      <c r="BB340" s="518"/>
      <c r="BC340" s="518"/>
      <c r="BD340" s="518"/>
      <c r="BE340" s="518"/>
    </row>
    <row r="341" spans="1:57" ht="12.75" customHeight="1">
      <c r="A341" s="518"/>
      <c r="B341" s="518"/>
      <c r="C341" s="518"/>
      <c r="D341" s="518"/>
      <c r="E341" s="518"/>
      <c r="F341" s="518"/>
      <c r="G341" s="518"/>
      <c r="H341" s="518"/>
      <c r="I341" s="518"/>
      <c r="J341" s="518"/>
      <c r="K341" s="518"/>
      <c r="L341" s="518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  <c r="AB341" s="518"/>
      <c r="AC341" s="518"/>
      <c r="AD341" s="518"/>
      <c r="AE341" s="518"/>
      <c r="AF341" s="518"/>
      <c r="AG341" s="518"/>
      <c r="AH341" s="518"/>
      <c r="AI341" s="518"/>
      <c r="AJ341" s="518"/>
      <c r="AK341" s="518"/>
      <c r="AL341" s="518"/>
      <c r="AM341" s="518"/>
      <c r="AN341" s="518"/>
      <c r="AO341" s="518"/>
      <c r="AP341" s="518"/>
      <c r="AQ341" s="518"/>
      <c r="AR341" s="518"/>
      <c r="AS341" s="518"/>
      <c r="AT341" s="518"/>
      <c r="AU341" s="518"/>
      <c r="AV341" s="518"/>
      <c r="AW341" s="518"/>
      <c r="AX341" s="518"/>
      <c r="AY341" s="518"/>
      <c r="AZ341" s="518"/>
      <c r="BA341" s="518"/>
      <c r="BB341" s="518"/>
      <c r="BC341" s="518"/>
      <c r="BD341" s="518"/>
      <c r="BE341" s="518"/>
    </row>
    <row r="342" spans="1:57" ht="12.75" customHeight="1">
      <c r="A342" s="518"/>
      <c r="B342" s="518"/>
      <c r="C342" s="518"/>
      <c r="D342" s="518"/>
      <c r="E342" s="518"/>
      <c r="F342" s="518"/>
      <c r="G342" s="518"/>
      <c r="H342" s="518"/>
      <c r="I342" s="518"/>
      <c r="J342" s="518"/>
      <c r="K342" s="518"/>
      <c r="L342" s="518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  <c r="AB342" s="518"/>
      <c r="AC342" s="518"/>
      <c r="AD342" s="518"/>
      <c r="AE342" s="518"/>
      <c r="AF342" s="518"/>
      <c r="AG342" s="518"/>
      <c r="AH342" s="518"/>
      <c r="AI342" s="518"/>
      <c r="AJ342" s="518"/>
      <c r="AK342" s="518"/>
      <c r="AL342" s="518"/>
      <c r="AM342" s="518"/>
      <c r="AN342" s="518"/>
      <c r="AO342" s="518"/>
      <c r="AP342" s="518"/>
      <c r="AQ342" s="518"/>
      <c r="AR342" s="518"/>
      <c r="AS342" s="518"/>
      <c r="AT342" s="518"/>
      <c r="AU342" s="518"/>
      <c r="AV342" s="518"/>
      <c r="AW342" s="518"/>
      <c r="AX342" s="518"/>
      <c r="AY342" s="518"/>
      <c r="AZ342" s="518"/>
      <c r="BA342" s="518"/>
      <c r="BB342" s="518"/>
      <c r="BC342" s="518"/>
      <c r="BD342" s="518"/>
      <c r="BE342" s="518"/>
    </row>
    <row r="343" spans="1:57" ht="12.75" customHeight="1">
      <c r="A343" s="518"/>
      <c r="B343" s="518"/>
      <c r="C343" s="518"/>
      <c r="D343" s="518"/>
      <c r="E343" s="518"/>
      <c r="F343" s="518"/>
      <c r="G343" s="518"/>
      <c r="H343" s="518"/>
      <c r="I343" s="518"/>
      <c r="J343" s="518"/>
      <c r="K343" s="518"/>
      <c r="L343" s="518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  <c r="AB343" s="518"/>
      <c r="AC343" s="518"/>
      <c r="AD343" s="518"/>
      <c r="AE343" s="518"/>
      <c r="AF343" s="518"/>
      <c r="AG343" s="518"/>
      <c r="AH343" s="518"/>
      <c r="AI343" s="518"/>
      <c r="AJ343" s="518"/>
      <c r="AK343" s="518"/>
      <c r="AL343" s="518"/>
      <c r="AM343" s="518"/>
      <c r="AN343" s="518"/>
      <c r="AO343" s="518"/>
      <c r="AP343" s="518"/>
      <c r="AQ343" s="518"/>
      <c r="AR343" s="518"/>
      <c r="AS343" s="518"/>
      <c r="AT343" s="518"/>
      <c r="AU343" s="518"/>
      <c r="AV343" s="518"/>
      <c r="AW343" s="518"/>
      <c r="AX343" s="518"/>
      <c r="AY343" s="518"/>
      <c r="AZ343" s="518"/>
      <c r="BA343" s="518"/>
      <c r="BB343" s="518"/>
      <c r="BC343" s="518"/>
      <c r="BD343" s="518"/>
      <c r="BE343" s="518"/>
    </row>
    <row r="344" spans="1:57" ht="12.75" customHeight="1">
      <c r="A344" s="518"/>
      <c r="B344" s="518"/>
      <c r="C344" s="518"/>
      <c r="D344" s="518"/>
      <c r="E344" s="518"/>
      <c r="F344" s="518"/>
      <c r="G344" s="518"/>
      <c r="H344" s="518"/>
      <c r="I344" s="518"/>
      <c r="J344" s="518"/>
      <c r="K344" s="518"/>
      <c r="L344" s="518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  <c r="AB344" s="518"/>
      <c r="AC344" s="518"/>
      <c r="AD344" s="518"/>
      <c r="AE344" s="518"/>
      <c r="AF344" s="518"/>
      <c r="AG344" s="518"/>
      <c r="AH344" s="518"/>
      <c r="AI344" s="518"/>
      <c r="AJ344" s="518"/>
      <c r="AK344" s="518"/>
      <c r="AL344" s="518"/>
      <c r="AM344" s="518"/>
      <c r="AN344" s="518"/>
      <c r="AO344" s="518"/>
      <c r="AP344" s="518"/>
      <c r="AQ344" s="518"/>
      <c r="AR344" s="518"/>
      <c r="AS344" s="518"/>
      <c r="AT344" s="518"/>
      <c r="AU344" s="518"/>
      <c r="AV344" s="518"/>
      <c r="AW344" s="518"/>
      <c r="AX344" s="518"/>
      <c r="AY344" s="518"/>
      <c r="AZ344" s="518"/>
      <c r="BA344" s="518"/>
      <c r="BB344" s="518"/>
      <c r="BC344" s="518"/>
      <c r="BD344" s="518"/>
      <c r="BE344" s="518"/>
    </row>
    <row r="345" spans="1:57" ht="12.75" customHeight="1">
      <c r="A345" s="518"/>
      <c r="B345" s="518"/>
      <c r="C345" s="518"/>
      <c r="D345" s="518"/>
      <c r="E345" s="518"/>
      <c r="F345" s="518"/>
      <c r="G345" s="518"/>
      <c r="H345" s="518"/>
      <c r="I345" s="518"/>
      <c r="J345" s="518"/>
      <c r="K345" s="518"/>
      <c r="L345" s="518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  <c r="AB345" s="518"/>
      <c r="AC345" s="518"/>
      <c r="AD345" s="518"/>
      <c r="AE345" s="518"/>
      <c r="AF345" s="518"/>
      <c r="AG345" s="518"/>
      <c r="AH345" s="518"/>
      <c r="AI345" s="518"/>
      <c r="AJ345" s="518"/>
      <c r="AK345" s="518"/>
      <c r="AL345" s="518"/>
      <c r="AM345" s="518"/>
      <c r="AN345" s="518"/>
      <c r="AO345" s="518"/>
      <c r="AP345" s="518"/>
      <c r="AQ345" s="518"/>
      <c r="AR345" s="518"/>
      <c r="AS345" s="518"/>
      <c r="AT345" s="518"/>
      <c r="AU345" s="518"/>
      <c r="AV345" s="518"/>
      <c r="AW345" s="518"/>
      <c r="AX345" s="518"/>
      <c r="AY345" s="518"/>
      <c r="AZ345" s="518"/>
      <c r="BA345" s="518"/>
      <c r="BB345" s="518"/>
      <c r="BC345" s="518"/>
      <c r="BD345" s="518"/>
      <c r="BE345" s="518"/>
    </row>
    <row r="346" spans="1:57" ht="12.75" customHeight="1">
      <c r="A346" s="518"/>
      <c r="B346" s="518"/>
      <c r="C346" s="518"/>
      <c r="D346" s="518"/>
      <c r="E346" s="518"/>
      <c r="F346" s="518"/>
      <c r="G346" s="518"/>
      <c r="H346" s="518"/>
      <c r="I346" s="518"/>
      <c r="J346" s="518"/>
      <c r="K346" s="518"/>
      <c r="L346" s="518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  <c r="AB346" s="518"/>
      <c r="AC346" s="518"/>
      <c r="AD346" s="518"/>
      <c r="AE346" s="518"/>
      <c r="AF346" s="518"/>
      <c r="AG346" s="518"/>
      <c r="AH346" s="518"/>
      <c r="AI346" s="518"/>
      <c r="AJ346" s="518"/>
      <c r="AK346" s="518"/>
      <c r="AL346" s="518"/>
      <c r="AM346" s="518"/>
      <c r="AN346" s="518"/>
      <c r="AO346" s="518"/>
      <c r="AP346" s="518"/>
      <c r="AQ346" s="518"/>
      <c r="AR346" s="518"/>
      <c r="AS346" s="518"/>
      <c r="AT346" s="518"/>
      <c r="AU346" s="518"/>
      <c r="AV346" s="518"/>
      <c r="AW346" s="518"/>
      <c r="AX346" s="518"/>
      <c r="AY346" s="518"/>
      <c r="AZ346" s="518"/>
      <c r="BA346" s="518"/>
      <c r="BB346" s="518"/>
      <c r="BC346" s="518"/>
      <c r="BD346" s="518"/>
      <c r="BE346" s="518"/>
    </row>
    <row r="347" spans="1:57" ht="12.75" customHeight="1">
      <c r="A347" s="518"/>
      <c r="B347" s="518"/>
      <c r="C347" s="518"/>
      <c r="D347" s="518"/>
      <c r="E347" s="518"/>
      <c r="F347" s="518"/>
      <c r="G347" s="518"/>
      <c r="H347" s="518"/>
      <c r="I347" s="518"/>
      <c r="J347" s="518"/>
      <c r="K347" s="518"/>
      <c r="L347" s="518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  <c r="AB347" s="518"/>
      <c r="AC347" s="518"/>
      <c r="AD347" s="518"/>
      <c r="AE347" s="518"/>
      <c r="AF347" s="518"/>
      <c r="AG347" s="518"/>
      <c r="AH347" s="518"/>
      <c r="AI347" s="518"/>
      <c r="AJ347" s="518"/>
      <c r="AK347" s="518"/>
      <c r="AL347" s="518"/>
      <c r="AM347" s="518"/>
      <c r="AN347" s="518"/>
      <c r="AO347" s="518"/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</row>
    <row r="348" spans="1:57" ht="12.75" customHeight="1">
      <c r="A348" s="518"/>
      <c r="B348" s="518"/>
      <c r="C348" s="518"/>
      <c r="D348" s="518"/>
      <c r="E348" s="518"/>
      <c r="F348" s="518"/>
      <c r="G348" s="518"/>
      <c r="H348" s="518"/>
      <c r="I348" s="518"/>
      <c r="J348" s="518"/>
      <c r="K348" s="518"/>
      <c r="L348" s="518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  <c r="AB348" s="518"/>
      <c r="AC348" s="518"/>
      <c r="AD348" s="518"/>
      <c r="AE348" s="518"/>
      <c r="AF348" s="518"/>
      <c r="AG348" s="518"/>
      <c r="AH348" s="518"/>
      <c r="AI348" s="518"/>
      <c r="AJ348" s="518"/>
      <c r="AK348" s="518"/>
      <c r="AL348" s="518"/>
      <c r="AM348" s="518"/>
      <c r="AN348" s="518"/>
      <c r="AO348" s="518"/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</row>
    <row r="349" spans="1:57" ht="12.75" customHeight="1">
      <c r="A349" s="518"/>
      <c r="B349" s="518"/>
      <c r="C349" s="518"/>
      <c r="D349" s="518"/>
      <c r="E349" s="518"/>
      <c r="F349" s="518"/>
      <c r="G349" s="518"/>
      <c r="H349" s="518"/>
      <c r="I349" s="518"/>
      <c r="J349" s="518"/>
      <c r="K349" s="518"/>
      <c r="L349" s="518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  <c r="AB349" s="518"/>
      <c r="AC349" s="518"/>
      <c r="AD349" s="518"/>
      <c r="AE349" s="518"/>
      <c r="AF349" s="518"/>
      <c r="AG349" s="518"/>
      <c r="AH349" s="518"/>
      <c r="AI349" s="518"/>
      <c r="AJ349" s="518"/>
      <c r="AK349" s="518"/>
      <c r="AL349" s="518"/>
      <c r="AM349" s="518"/>
      <c r="AN349" s="518"/>
      <c r="AO349" s="518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</row>
    <row r="350" spans="1:57" ht="12.75" customHeight="1">
      <c r="A350" s="518"/>
      <c r="B350" s="518"/>
      <c r="C350" s="518"/>
      <c r="D350" s="518"/>
      <c r="E350" s="518"/>
      <c r="F350" s="518"/>
      <c r="G350" s="518"/>
      <c r="H350" s="518"/>
      <c r="I350" s="518"/>
      <c r="J350" s="518"/>
      <c r="K350" s="518"/>
      <c r="L350" s="518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  <c r="AB350" s="518"/>
      <c r="AC350" s="518"/>
      <c r="AD350" s="518"/>
      <c r="AE350" s="518"/>
      <c r="AF350" s="518"/>
      <c r="AG350" s="518"/>
      <c r="AH350" s="518"/>
      <c r="AI350" s="518"/>
      <c r="AJ350" s="518"/>
      <c r="AK350" s="518"/>
      <c r="AL350" s="518"/>
      <c r="AM350" s="518"/>
      <c r="AN350" s="518"/>
      <c r="AO350" s="518"/>
      <c r="AP350" s="518"/>
      <c r="AQ350" s="518"/>
      <c r="AR350" s="518"/>
      <c r="AS350" s="518"/>
      <c r="AT350" s="518"/>
      <c r="AU350" s="518"/>
      <c r="AV350" s="518"/>
      <c r="AW350" s="518"/>
      <c r="AX350" s="518"/>
      <c r="AY350" s="518"/>
      <c r="AZ350" s="518"/>
      <c r="BA350" s="518"/>
      <c r="BB350" s="518"/>
      <c r="BC350" s="518"/>
      <c r="BD350" s="518"/>
      <c r="BE350" s="518"/>
    </row>
    <row r="351" spans="1:57" ht="12.75" customHeight="1">
      <c r="A351" s="518"/>
      <c r="B351" s="518"/>
      <c r="C351" s="518"/>
      <c r="D351" s="518"/>
      <c r="E351" s="518"/>
      <c r="F351" s="518"/>
      <c r="G351" s="518"/>
      <c r="H351" s="518"/>
      <c r="I351" s="518"/>
      <c r="J351" s="518"/>
      <c r="K351" s="518"/>
      <c r="L351" s="518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  <c r="AB351" s="518"/>
      <c r="AC351" s="518"/>
      <c r="AD351" s="518"/>
      <c r="AE351" s="518"/>
      <c r="AF351" s="518"/>
      <c r="AG351" s="518"/>
      <c r="AH351" s="518"/>
      <c r="AI351" s="518"/>
      <c r="AJ351" s="518"/>
      <c r="AK351" s="518"/>
      <c r="AL351" s="518"/>
      <c r="AM351" s="518"/>
      <c r="AN351" s="518"/>
      <c r="AO351" s="518"/>
      <c r="AP351" s="518"/>
      <c r="AQ351" s="518"/>
      <c r="AR351" s="518"/>
      <c r="AS351" s="518"/>
      <c r="AT351" s="518"/>
      <c r="AU351" s="518"/>
      <c r="AV351" s="518"/>
      <c r="AW351" s="518"/>
      <c r="AX351" s="518"/>
      <c r="AY351" s="518"/>
      <c r="AZ351" s="518"/>
      <c r="BA351" s="518"/>
      <c r="BB351" s="518"/>
      <c r="BC351" s="518"/>
      <c r="BD351" s="518"/>
      <c r="BE351" s="518"/>
    </row>
    <row r="352" spans="1:57" ht="12.75" customHeight="1">
      <c r="A352" s="518"/>
      <c r="B352" s="518"/>
      <c r="C352" s="518"/>
      <c r="D352" s="518"/>
      <c r="E352" s="518"/>
      <c r="F352" s="518"/>
      <c r="G352" s="518"/>
      <c r="H352" s="518"/>
      <c r="I352" s="518"/>
      <c r="J352" s="518"/>
      <c r="K352" s="518"/>
      <c r="L352" s="518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  <c r="AB352" s="518"/>
      <c r="AC352" s="518"/>
      <c r="AD352" s="518"/>
      <c r="AE352" s="518"/>
      <c r="AF352" s="518"/>
      <c r="AG352" s="518"/>
      <c r="AH352" s="518"/>
      <c r="AI352" s="518"/>
      <c r="AJ352" s="518"/>
      <c r="AK352" s="518"/>
      <c r="AL352" s="518"/>
      <c r="AM352" s="518"/>
      <c r="AN352" s="518"/>
      <c r="AO352" s="518"/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</row>
    <row r="353" spans="1:57" ht="12.75" customHeight="1">
      <c r="A353" s="518"/>
      <c r="B353" s="518"/>
      <c r="C353" s="518"/>
      <c r="D353" s="518"/>
      <c r="E353" s="518"/>
      <c r="F353" s="518"/>
      <c r="G353" s="518"/>
      <c r="H353" s="518"/>
      <c r="I353" s="518"/>
      <c r="J353" s="518"/>
      <c r="K353" s="518"/>
      <c r="L353" s="518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  <c r="AB353" s="518"/>
      <c r="AC353" s="518"/>
      <c r="AD353" s="518"/>
      <c r="AE353" s="518"/>
      <c r="AF353" s="518"/>
      <c r="AG353" s="518"/>
      <c r="AH353" s="518"/>
      <c r="AI353" s="518"/>
      <c r="AJ353" s="518"/>
      <c r="AK353" s="518"/>
      <c r="AL353" s="518"/>
      <c r="AM353" s="518"/>
      <c r="AN353" s="518"/>
      <c r="AO353" s="518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</row>
    <row r="354" spans="1:57" ht="12.75" customHeight="1">
      <c r="A354" s="518"/>
      <c r="B354" s="518"/>
      <c r="C354" s="518"/>
      <c r="D354" s="518"/>
      <c r="E354" s="518"/>
      <c r="F354" s="518"/>
      <c r="G354" s="518"/>
      <c r="H354" s="518"/>
      <c r="I354" s="518"/>
      <c r="J354" s="518"/>
      <c r="K354" s="518"/>
      <c r="L354" s="518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  <c r="AB354" s="518"/>
      <c r="AC354" s="518"/>
      <c r="AD354" s="518"/>
      <c r="AE354" s="518"/>
      <c r="AF354" s="518"/>
      <c r="AG354" s="518"/>
      <c r="AH354" s="518"/>
      <c r="AI354" s="518"/>
      <c r="AJ354" s="518"/>
      <c r="AK354" s="518"/>
      <c r="AL354" s="518"/>
      <c r="AM354" s="518"/>
      <c r="AN354" s="518"/>
      <c r="AO354" s="518"/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</row>
    <row r="355" spans="1:57" ht="12.75" customHeight="1">
      <c r="A355" s="518"/>
      <c r="B355" s="518"/>
      <c r="C355" s="518"/>
      <c r="D355" s="518"/>
      <c r="E355" s="518"/>
      <c r="F355" s="518"/>
      <c r="G355" s="518"/>
      <c r="H355" s="518"/>
      <c r="I355" s="518"/>
      <c r="J355" s="518"/>
      <c r="K355" s="518"/>
      <c r="L355" s="518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  <c r="AB355" s="518"/>
      <c r="AC355" s="518"/>
      <c r="AD355" s="518"/>
      <c r="AE355" s="518"/>
      <c r="AF355" s="518"/>
      <c r="AG355" s="518"/>
      <c r="AH355" s="518"/>
      <c r="AI355" s="518"/>
      <c r="AJ355" s="518"/>
      <c r="AK355" s="518"/>
      <c r="AL355" s="518"/>
      <c r="AM355" s="518"/>
      <c r="AN355" s="518"/>
      <c r="AO355" s="518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</row>
    <row r="356" spans="1:57" ht="12.75" customHeight="1">
      <c r="A356" s="518"/>
      <c r="B356" s="518"/>
      <c r="C356" s="518"/>
      <c r="D356" s="518"/>
      <c r="E356" s="518"/>
      <c r="F356" s="518"/>
      <c r="G356" s="518"/>
      <c r="H356" s="518"/>
      <c r="I356" s="518"/>
      <c r="J356" s="518"/>
      <c r="K356" s="518"/>
      <c r="L356" s="518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  <c r="AB356" s="518"/>
      <c r="AC356" s="518"/>
      <c r="AD356" s="518"/>
      <c r="AE356" s="518"/>
      <c r="AF356" s="518"/>
      <c r="AG356" s="518"/>
      <c r="AH356" s="518"/>
      <c r="AI356" s="518"/>
      <c r="AJ356" s="518"/>
      <c r="AK356" s="518"/>
      <c r="AL356" s="518"/>
      <c r="AM356" s="518"/>
      <c r="AN356" s="518"/>
      <c r="AO356" s="518"/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</row>
    <row r="357" spans="1:57" ht="12.75" customHeight="1">
      <c r="A357" s="518"/>
      <c r="B357" s="518"/>
      <c r="C357" s="518"/>
      <c r="D357" s="518"/>
      <c r="E357" s="518"/>
      <c r="F357" s="518"/>
      <c r="G357" s="518"/>
      <c r="H357" s="518"/>
      <c r="I357" s="518"/>
      <c r="J357" s="518"/>
      <c r="K357" s="518"/>
      <c r="L357" s="518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  <c r="AB357" s="518"/>
      <c r="AC357" s="518"/>
      <c r="AD357" s="518"/>
      <c r="AE357" s="518"/>
      <c r="AF357" s="518"/>
      <c r="AG357" s="518"/>
      <c r="AH357" s="518"/>
      <c r="AI357" s="518"/>
      <c r="AJ357" s="518"/>
      <c r="AK357" s="518"/>
      <c r="AL357" s="518"/>
      <c r="AM357" s="518"/>
      <c r="AN357" s="518"/>
      <c r="AO357" s="518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</row>
    <row r="358" spans="1:57" ht="12.75" customHeight="1">
      <c r="A358" s="518"/>
      <c r="B358" s="518"/>
      <c r="C358" s="518"/>
      <c r="D358" s="518"/>
      <c r="E358" s="518"/>
      <c r="F358" s="518"/>
      <c r="G358" s="518"/>
      <c r="H358" s="518"/>
      <c r="I358" s="518"/>
      <c r="J358" s="518"/>
      <c r="K358" s="518"/>
      <c r="L358" s="518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  <c r="AB358" s="518"/>
      <c r="AC358" s="518"/>
      <c r="AD358" s="518"/>
      <c r="AE358" s="518"/>
      <c r="AF358" s="518"/>
      <c r="AG358" s="518"/>
      <c r="AH358" s="518"/>
      <c r="AI358" s="518"/>
      <c r="AJ358" s="518"/>
      <c r="AK358" s="518"/>
      <c r="AL358" s="518"/>
      <c r="AM358" s="518"/>
      <c r="AN358" s="518"/>
      <c r="AO358" s="518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</row>
    <row r="359" spans="1:57" ht="12.75" customHeight="1">
      <c r="A359" s="518"/>
      <c r="B359" s="518"/>
      <c r="C359" s="518"/>
      <c r="D359" s="518"/>
      <c r="E359" s="518"/>
      <c r="F359" s="518"/>
      <c r="G359" s="518"/>
      <c r="H359" s="518"/>
      <c r="I359" s="518"/>
      <c r="J359" s="518"/>
      <c r="K359" s="518"/>
      <c r="L359" s="518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  <c r="AB359" s="518"/>
      <c r="AC359" s="518"/>
      <c r="AD359" s="518"/>
      <c r="AE359" s="518"/>
      <c r="AF359" s="518"/>
      <c r="AG359" s="518"/>
      <c r="AH359" s="518"/>
      <c r="AI359" s="518"/>
      <c r="AJ359" s="518"/>
      <c r="AK359" s="518"/>
      <c r="AL359" s="518"/>
      <c r="AM359" s="518"/>
      <c r="AN359" s="518"/>
      <c r="AO359" s="51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</row>
    <row r="360" spans="1:57" ht="12.75" customHeight="1">
      <c r="A360" s="518"/>
      <c r="B360" s="518"/>
      <c r="C360" s="518"/>
      <c r="D360" s="518"/>
      <c r="E360" s="518"/>
      <c r="F360" s="518"/>
      <c r="G360" s="518"/>
      <c r="H360" s="518"/>
      <c r="I360" s="518"/>
      <c r="J360" s="518"/>
      <c r="K360" s="518"/>
      <c r="L360" s="518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  <c r="AB360" s="518"/>
      <c r="AC360" s="518"/>
      <c r="AD360" s="518"/>
      <c r="AE360" s="518"/>
      <c r="AF360" s="518"/>
      <c r="AG360" s="518"/>
      <c r="AH360" s="518"/>
      <c r="AI360" s="518"/>
      <c r="AJ360" s="518"/>
      <c r="AK360" s="518"/>
      <c r="AL360" s="518"/>
      <c r="AM360" s="518"/>
      <c r="AN360" s="518"/>
      <c r="AO360" s="518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</row>
    <row r="361" spans="1:57" ht="12.75" customHeight="1">
      <c r="A361" s="518"/>
      <c r="B361" s="518"/>
      <c r="C361" s="518"/>
      <c r="D361" s="518"/>
      <c r="E361" s="518"/>
      <c r="F361" s="518"/>
      <c r="G361" s="518"/>
      <c r="H361" s="518"/>
      <c r="I361" s="518"/>
      <c r="J361" s="518"/>
      <c r="K361" s="518"/>
      <c r="L361" s="518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  <c r="AB361" s="518"/>
      <c r="AC361" s="518"/>
      <c r="AD361" s="518"/>
      <c r="AE361" s="518"/>
      <c r="AF361" s="518"/>
      <c r="AG361" s="518"/>
      <c r="AH361" s="518"/>
      <c r="AI361" s="518"/>
      <c r="AJ361" s="518"/>
      <c r="AK361" s="518"/>
      <c r="AL361" s="518"/>
      <c r="AM361" s="518"/>
      <c r="AN361" s="518"/>
      <c r="AO361" s="518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</row>
    <row r="362" spans="1:57" ht="12.75" customHeight="1">
      <c r="A362" s="518"/>
      <c r="B362" s="518"/>
      <c r="C362" s="518"/>
      <c r="D362" s="518"/>
      <c r="E362" s="518"/>
      <c r="F362" s="518"/>
      <c r="G362" s="518"/>
      <c r="H362" s="518"/>
      <c r="I362" s="518"/>
      <c r="J362" s="518"/>
      <c r="K362" s="518"/>
      <c r="L362" s="518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  <c r="AB362" s="518"/>
      <c r="AC362" s="518"/>
      <c r="AD362" s="518"/>
      <c r="AE362" s="518"/>
      <c r="AF362" s="518"/>
      <c r="AG362" s="518"/>
      <c r="AH362" s="518"/>
      <c r="AI362" s="518"/>
      <c r="AJ362" s="518"/>
      <c r="AK362" s="518"/>
      <c r="AL362" s="518"/>
      <c r="AM362" s="518"/>
      <c r="AN362" s="518"/>
      <c r="AO362" s="518"/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</row>
    <row r="363" spans="1:57" ht="12.75" customHeight="1">
      <c r="A363" s="518"/>
      <c r="B363" s="518"/>
      <c r="C363" s="518"/>
      <c r="D363" s="518"/>
      <c r="E363" s="518"/>
      <c r="F363" s="518"/>
      <c r="G363" s="518"/>
      <c r="H363" s="518"/>
      <c r="I363" s="518"/>
      <c r="J363" s="518"/>
      <c r="K363" s="518"/>
      <c r="L363" s="518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  <c r="AB363" s="518"/>
      <c r="AC363" s="518"/>
      <c r="AD363" s="518"/>
      <c r="AE363" s="518"/>
      <c r="AF363" s="518"/>
      <c r="AG363" s="518"/>
      <c r="AH363" s="518"/>
      <c r="AI363" s="518"/>
      <c r="AJ363" s="518"/>
      <c r="AK363" s="518"/>
      <c r="AL363" s="518"/>
      <c r="AM363" s="518"/>
      <c r="AN363" s="518"/>
      <c r="AO363" s="518"/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</row>
    <row r="364" spans="1:57" ht="12.75" customHeight="1">
      <c r="A364" s="518"/>
      <c r="B364" s="518"/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  <c r="AB364" s="518"/>
      <c r="AC364" s="518"/>
      <c r="AD364" s="518"/>
      <c r="AE364" s="518"/>
      <c r="AF364" s="518"/>
      <c r="AG364" s="518"/>
      <c r="AH364" s="518"/>
      <c r="AI364" s="518"/>
      <c r="AJ364" s="518"/>
      <c r="AK364" s="518"/>
      <c r="AL364" s="518"/>
      <c r="AM364" s="518"/>
      <c r="AN364" s="518"/>
      <c r="AO364" s="51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</row>
    <row r="365" spans="1:57" ht="12.75" customHeight="1">
      <c r="A365" s="518"/>
      <c r="B365" s="518"/>
      <c r="C365" s="518"/>
      <c r="D365" s="518"/>
      <c r="E365" s="518"/>
      <c r="F365" s="518"/>
      <c r="G365" s="518"/>
      <c r="H365" s="518"/>
      <c r="I365" s="518"/>
      <c r="J365" s="518"/>
      <c r="K365" s="518"/>
      <c r="L365" s="518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  <c r="AB365" s="518"/>
      <c r="AC365" s="518"/>
      <c r="AD365" s="518"/>
      <c r="AE365" s="518"/>
      <c r="AF365" s="518"/>
      <c r="AG365" s="518"/>
      <c r="AH365" s="518"/>
      <c r="AI365" s="518"/>
      <c r="AJ365" s="518"/>
      <c r="AK365" s="518"/>
      <c r="AL365" s="518"/>
      <c r="AM365" s="518"/>
      <c r="AN365" s="518"/>
      <c r="AO365" s="518"/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</row>
    <row r="366" spans="1:57" ht="12.75" customHeight="1">
      <c r="A366" s="518"/>
      <c r="B366" s="518"/>
      <c r="C366" s="518"/>
      <c r="D366" s="518"/>
      <c r="E366" s="518"/>
      <c r="F366" s="518"/>
      <c r="G366" s="518"/>
      <c r="H366" s="518"/>
      <c r="I366" s="518"/>
      <c r="J366" s="518"/>
      <c r="K366" s="518"/>
      <c r="L366" s="518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  <c r="AB366" s="518"/>
      <c r="AC366" s="518"/>
      <c r="AD366" s="518"/>
      <c r="AE366" s="518"/>
      <c r="AF366" s="518"/>
      <c r="AG366" s="518"/>
      <c r="AH366" s="518"/>
      <c r="AI366" s="518"/>
      <c r="AJ366" s="518"/>
      <c r="AK366" s="518"/>
      <c r="AL366" s="518"/>
      <c r="AM366" s="518"/>
      <c r="AN366" s="518"/>
      <c r="AO366" s="51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</row>
    <row r="367" spans="1:57" ht="12.75" customHeight="1">
      <c r="A367" s="518"/>
      <c r="B367" s="518"/>
      <c r="C367" s="518"/>
      <c r="D367" s="518"/>
      <c r="E367" s="518"/>
      <c r="F367" s="518"/>
      <c r="G367" s="518"/>
      <c r="H367" s="518"/>
      <c r="I367" s="518"/>
      <c r="J367" s="518"/>
      <c r="K367" s="518"/>
      <c r="L367" s="518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  <c r="AB367" s="518"/>
      <c r="AC367" s="518"/>
      <c r="AD367" s="518"/>
      <c r="AE367" s="518"/>
      <c r="AF367" s="518"/>
      <c r="AG367" s="518"/>
      <c r="AH367" s="518"/>
      <c r="AI367" s="518"/>
      <c r="AJ367" s="518"/>
      <c r="AK367" s="518"/>
      <c r="AL367" s="518"/>
      <c r="AM367" s="518"/>
      <c r="AN367" s="518"/>
      <c r="AO367" s="51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</row>
    <row r="368" spans="1:57" ht="12.75" customHeight="1">
      <c r="A368" s="518"/>
      <c r="B368" s="518"/>
      <c r="C368" s="518"/>
      <c r="D368" s="518"/>
      <c r="E368" s="518"/>
      <c r="F368" s="518"/>
      <c r="G368" s="518"/>
      <c r="H368" s="518"/>
      <c r="I368" s="518"/>
      <c r="J368" s="518"/>
      <c r="K368" s="518"/>
      <c r="L368" s="518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  <c r="AB368" s="518"/>
      <c r="AC368" s="518"/>
      <c r="AD368" s="518"/>
      <c r="AE368" s="518"/>
      <c r="AF368" s="518"/>
      <c r="AG368" s="518"/>
      <c r="AH368" s="518"/>
      <c r="AI368" s="518"/>
      <c r="AJ368" s="518"/>
      <c r="AK368" s="518"/>
      <c r="AL368" s="518"/>
      <c r="AM368" s="518"/>
      <c r="AN368" s="518"/>
      <c r="AO368" s="518"/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</row>
    <row r="369" spans="1:57" ht="12.75" customHeight="1">
      <c r="A369" s="518"/>
      <c r="B369" s="518"/>
      <c r="C369" s="518"/>
      <c r="D369" s="518"/>
      <c r="E369" s="518"/>
      <c r="F369" s="518"/>
      <c r="G369" s="518"/>
      <c r="H369" s="518"/>
      <c r="I369" s="518"/>
      <c r="J369" s="518"/>
      <c r="K369" s="518"/>
      <c r="L369" s="518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  <c r="AB369" s="518"/>
      <c r="AC369" s="518"/>
      <c r="AD369" s="518"/>
      <c r="AE369" s="518"/>
      <c r="AF369" s="518"/>
      <c r="AG369" s="518"/>
      <c r="AH369" s="518"/>
      <c r="AI369" s="518"/>
      <c r="AJ369" s="518"/>
      <c r="AK369" s="518"/>
      <c r="AL369" s="518"/>
      <c r="AM369" s="518"/>
      <c r="AN369" s="518"/>
      <c r="AO369" s="518"/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</row>
    <row r="370" spans="1:57" ht="12.75" customHeight="1">
      <c r="A370" s="518"/>
      <c r="B370" s="518"/>
      <c r="C370" s="518"/>
      <c r="D370" s="518"/>
      <c r="E370" s="518"/>
      <c r="F370" s="518"/>
      <c r="G370" s="518"/>
      <c r="H370" s="518"/>
      <c r="I370" s="518"/>
      <c r="J370" s="518"/>
      <c r="K370" s="518"/>
      <c r="L370" s="518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  <c r="AB370" s="518"/>
      <c r="AC370" s="518"/>
      <c r="AD370" s="518"/>
      <c r="AE370" s="518"/>
      <c r="AF370" s="518"/>
      <c r="AG370" s="518"/>
      <c r="AH370" s="518"/>
      <c r="AI370" s="518"/>
      <c r="AJ370" s="518"/>
      <c r="AK370" s="518"/>
      <c r="AL370" s="518"/>
      <c r="AM370" s="518"/>
      <c r="AN370" s="518"/>
      <c r="AO370" s="518"/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</row>
    <row r="371" spans="1:57" ht="12.75" customHeight="1">
      <c r="A371" s="518"/>
      <c r="B371" s="518"/>
      <c r="C371" s="518"/>
      <c r="D371" s="518"/>
      <c r="E371" s="518"/>
      <c r="F371" s="518"/>
      <c r="G371" s="518"/>
      <c r="H371" s="518"/>
      <c r="I371" s="518"/>
      <c r="J371" s="518"/>
      <c r="K371" s="518"/>
      <c r="L371" s="518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  <c r="AB371" s="518"/>
      <c r="AC371" s="518"/>
      <c r="AD371" s="518"/>
      <c r="AE371" s="518"/>
      <c r="AF371" s="518"/>
      <c r="AG371" s="518"/>
      <c r="AH371" s="518"/>
      <c r="AI371" s="518"/>
      <c r="AJ371" s="518"/>
      <c r="AK371" s="518"/>
      <c r="AL371" s="518"/>
      <c r="AM371" s="518"/>
      <c r="AN371" s="518"/>
      <c r="AO371" s="518"/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</row>
    <row r="372" spans="1:57" ht="12.75" customHeight="1">
      <c r="A372" s="518"/>
      <c r="B372" s="518"/>
      <c r="C372" s="518"/>
      <c r="D372" s="518"/>
      <c r="E372" s="518"/>
      <c r="F372" s="518"/>
      <c r="G372" s="518"/>
      <c r="H372" s="518"/>
      <c r="I372" s="518"/>
      <c r="J372" s="518"/>
      <c r="K372" s="518"/>
      <c r="L372" s="518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  <c r="AB372" s="518"/>
      <c r="AC372" s="518"/>
      <c r="AD372" s="518"/>
      <c r="AE372" s="518"/>
      <c r="AF372" s="518"/>
      <c r="AG372" s="518"/>
      <c r="AH372" s="518"/>
      <c r="AI372" s="518"/>
      <c r="AJ372" s="518"/>
      <c r="AK372" s="518"/>
      <c r="AL372" s="518"/>
      <c r="AM372" s="518"/>
      <c r="AN372" s="518"/>
      <c r="AO372" s="518"/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</row>
    <row r="373" spans="1:57" ht="12.75" customHeight="1">
      <c r="A373" s="518"/>
      <c r="B373" s="518"/>
      <c r="C373" s="518"/>
      <c r="D373" s="518"/>
      <c r="E373" s="518"/>
      <c r="F373" s="518"/>
      <c r="G373" s="518"/>
      <c r="H373" s="518"/>
      <c r="I373" s="518"/>
      <c r="J373" s="518"/>
      <c r="K373" s="518"/>
      <c r="L373" s="518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  <c r="AB373" s="518"/>
      <c r="AC373" s="518"/>
      <c r="AD373" s="518"/>
      <c r="AE373" s="518"/>
      <c r="AF373" s="518"/>
      <c r="AG373" s="518"/>
      <c r="AH373" s="518"/>
      <c r="AI373" s="518"/>
      <c r="AJ373" s="518"/>
      <c r="AK373" s="518"/>
      <c r="AL373" s="518"/>
      <c r="AM373" s="518"/>
      <c r="AN373" s="518"/>
      <c r="AO373" s="518"/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</row>
    <row r="374" spans="1:57" ht="12.75" customHeight="1">
      <c r="A374" s="518"/>
      <c r="B374" s="518"/>
      <c r="C374" s="518"/>
      <c r="D374" s="518"/>
      <c r="E374" s="518"/>
      <c r="F374" s="518"/>
      <c r="G374" s="518"/>
      <c r="H374" s="518"/>
      <c r="I374" s="518"/>
      <c r="J374" s="518"/>
      <c r="K374" s="518"/>
      <c r="L374" s="518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  <c r="AB374" s="518"/>
      <c r="AC374" s="518"/>
      <c r="AD374" s="518"/>
      <c r="AE374" s="518"/>
      <c r="AF374" s="518"/>
      <c r="AG374" s="518"/>
      <c r="AH374" s="518"/>
      <c r="AI374" s="518"/>
      <c r="AJ374" s="518"/>
      <c r="AK374" s="518"/>
      <c r="AL374" s="518"/>
      <c r="AM374" s="518"/>
      <c r="AN374" s="518"/>
      <c r="AO374" s="518"/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</row>
    <row r="375" spans="1:57" ht="12.75" customHeight="1">
      <c r="A375" s="518"/>
      <c r="B375" s="518"/>
      <c r="C375" s="518"/>
      <c r="D375" s="518"/>
      <c r="E375" s="518"/>
      <c r="F375" s="518"/>
      <c r="G375" s="518"/>
      <c r="H375" s="518"/>
      <c r="I375" s="518"/>
      <c r="J375" s="518"/>
      <c r="K375" s="518"/>
      <c r="L375" s="518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  <c r="AB375" s="518"/>
      <c r="AC375" s="518"/>
      <c r="AD375" s="518"/>
      <c r="AE375" s="518"/>
      <c r="AF375" s="518"/>
      <c r="AG375" s="518"/>
      <c r="AH375" s="518"/>
      <c r="AI375" s="518"/>
      <c r="AJ375" s="518"/>
      <c r="AK375" s="518"/>
      <c r="AL375" s="518"/>
      <c r="AM375" s="518"/>
      <c r="AN375" s="518"/>
      <c r="AO375" s="518"/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</row>
    <row r="376" spans="1:57" ht="12.75" customHeight="1">
      <c r="A376" s="518"/>
      <c r="B376" s="518"/>
      <c r="C376" s="518"/>
      <c r="D376" s="518"/>
      <c r="E376" s="518"/>
      <c r="F376" s="518"/>
      <c r="G376" s="518"/>
      <c r="H376" s="518"/>
      <c r="I376" s="518"/>
      <c r="J376" s="518"/>
      <c r="K376" s="518"/>
      <c r="L376" s="518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  <c r="AB376" s="518"/>
      <c r="AC376" s="518"/>
      <c r="AD376" s="518"/>
      <c r="AE376" s="518"/>
      <c r="AF376" s="518"/>
      <c r="AG376" s="518"/>
      <c r="AH376" s="518"/>
      <c r="AI376" s="518"/>
      <c r="AJ376" s="518"/>
      <c r="AK376" s="518"/>
      <c r="AL376" s="518"/>
      <c r="AM376" s="518"/>
      <c r="AN376" s="518"/>
      <c r="AO376" s="518"/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</row>
    <row r="377" spans="1:57" ht="12.75" customHeight="1">
      <c r="A377" s="518"/>
      <c r="B377" s="518"/>
      <c r="C377" s="518"/>
      <c r="D377" s="518"/>
      <c r="E377" s="518"/>
      <c r="F377" s="518"/>
      <c r="G377" s="518"/>
      <c r="H377" s="518"/>
      <c r="I377" s="518"/>
      <c r="J377" s="518"/>
      <c r="K377" s="518"/>
      <c r="L377" s="518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  <c r="AB377" s="518"/>
      <c r="AC377" s="518"/>
      <c r="AD377" s="518"/>
      <c r="AE377" s="518"/>
      <c r="AF377" s="518"/>
      <c r="AG377" s="518"/>
      <c r="AH377" s="518"/>
      <c r="AI377" s="518"/>
      <c r="AJ377" s="518"/>
      <c r="AK377" s="518"/>
      <c r="AL377" s="518"/>
      <c r="AM377" s="518"/>
      <c r="AN377" s="518"/>
      <c r="AO377" s="518"/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</row>
    <row r="378" spans="1:57" ht="12.75" customHeight="1">
      <c r="A378" s="518"/>
      <c r="B378" s="518"/>
      <c r="C378" s="518"/>
      <c r="D378" s="518"/>
      <c r="E378" s="518"/>
      <c r="F378" s="518"/>
      <c r="G378" s="518"/>
      <c r="H378" s="518"/>
      <c r="I378" s="518"/>
      <c r="J378" s="518"/>
      <c r="K378" s="518"/>
      <c r="L378" s="518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  <c r="AB378" s="518"/>
      <c r="AC378" s="518"/>
      <c r="AD378" s="518"/>
      <c r="AE378" s="518"/>
      <c r="AF378" s="518"/>
      <c r="AG378" s="518"/>
      <c r="AH378" s="518"/>
      <c r="AI378" s="518"/>
      <c r="AJ378" s="518"/>
      <c r="AK378" s="518"/>
      <c r="AL378" s="518"/>
      <c r="AM378" s="518"/>
      <c r="AN378" s="518"/>
      <c r="AO378" s="518"/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</row>
    <row r="379" spans="1:57" ht="12.75" customHeight="1">
      <c r="A379" s="518"/>
      <c r="B379" s="518"/>
      <c r="C379" s="518"/>
      <c r="D379" s="518"/>
      <c r="E379" s="518"/>
      <c r="F379" s="518"/>
      <c r="G379" s="518"/>
      <c r="H379" s="518"/>
      <c r="I379" s="518"/>
      <c r="J379" s="518"/>
      <c r="K379" s="518"/>
      <c r="L379" s="518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  <c r="AB379" s="518"/>
      <c r="AC379" s="518"/>
      <c r="AD379" s="518"/>
      <c r="AE379" s="518"/>
      <c r="AF379" s="518"/>
      <c r="AG379" s="518"/>
      <c r="AH379" s="518"/>
      <c r="AI379" s="518"/>
      <c r="AJ379" s="518"/>
      <c r="AK379" s="518"/>
      <c r="AL379" s="518"/>
      <c r="AM379" s="518"/>
      <c r="AN379" s="518"/>
      <c r="AO379" s="518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</row>
    <row r="380" spans="1:57" ht="12.75" customHeight="1">
      <c r="A380" s="518"/>
      <c r="B380" s="518"/>
      <c r="C380" s="518"/>
      <c r="D380" s="518"/>
      <c r="E380" s="518"/>
      <c r="F380" s="518"/>
      <c r="G380" s="518"/>
      <c r="H380" s="518"/>
      <c r="I380" s="518"/>
      <c r="J380" s="518"/>
      <c r="K380" s="518"/>
      <c r="L380" s="518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  <c r="AB380" s="518"/>
      <c r="AC380" s="518"/>
      <c r="AD380" s="518"/>
      <c r="AE380" s="518"/>
      <c r="AF380" s="518"/>
      <c r="AG380" s="518"/>
      <c r="AH380" s="518"/>
      <c r="AI380" s="518"/>
      <c r="AJ380" s="518"/>
      <c r="AK380" s="518"/>
      <c r="AL380" s="518"/>
      <c r="AM380" s="518"/>
      <c r="AN380" s="518"/>
      <c r="AO380" s="518"/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</row>
    <row r="381" spans="1:57" ht="12.75" customHeight="1">
      <c r="A381" s="518"/>
      <c r="B381" s="518"/>
      <c r="C381" s="518"/>
      <c r="D381" s="518"/>
      <c r="E381" s="518"/>
      <c r="F381" s="518"/>
      <c r="G381" s="518"/>
      <c r="H381" s="518"/>
      <c r="I381" s="518"/>
      <c r="J381" s="518"/>
      <c r="K381" s="518"/>
      <c r="L381" s="518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  <c r="AB381" s="518"/>
      <c r="AC381" s="518"/>
      <c r="AD381" s="518"/>
      <c r="AE381" s="518"/>
      <c r="AF381" s="518"/>
      <c r="AG381" s="518"/>
      <c r="AH381" s="518"/>
      <c r="AI381" s="518"/>
      <c r="AJ381" s="518"/>
      <c r="AK381" s="518"/>
      <c r="AL381" s="518"/>
      <c r="AM381" s="518"/>
      <c r="AN381" s="518"/>
      <c r="AO381" s="518"/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</row>
    <row r="382" spans="1:57" ht="12.75" customHeight="1">
      <c r="A382" s="518"/>
      <c r="B382" s="518"/>
      <c r="C382" s="518"/>
      <c r="D382" s="518"/>
      <c r="E382" s="518"/>
      <c r="F382" s="518"/>
      <c r="G382" s="518"/>
      <c r="H382" s="518"/>
      <c r="I382" s="518"/>
      <c r="J382" s="518"/>
      <c r="K382" s="518"/>
      <c r="L382" s="518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  <c r="AB382" s="518"/>
      <c r="AC382" s="518"/>
      <c r="AD382" s="518"/>
      <c r="AE382" s="518"/>
      <c r="AF382" s="518"/>
      <c r="AG382" s="518"/>
      <c r="AH382" s="518"/>
      <c r="AI382" s="518"/>
      <c r="AJ382" s="518"/>
      <c r="AK382" s="518"/>
      <c r="AL382" s="518"/>
      <c r="AM382" s="518"/>
      <c r="AN382" s="518"/>
      <c r="AO382" s="518"/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</row>
    <row r="383" spans="1:57" ht="12.75" customHeight="1">
      <c r="A383" s="518"/>
      <c r="B383" s="518"/>
      <c r="C383" s="518"/>
      <c r="D383" s="518"/>
      <c r="E383" s="518"/>
      <c r="F383" s="518"/>
      <c r="G383" s="518"/>
      <c r="H383" s="518"/>
      <c r="I383" s="518"/>
      <c r="J383" s="518"/>
      <c r="K383" s="518"/>
      <c r="L383" s="518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  <c r="AB383" s="518"/>
      <c r="AC383" s="518"/>
      <c r="AD383" s="518"/>
      <c r="AE383" s="518"/>
      <c r="AF383" s="518"/>
      <c r="AG383" s="518"/>
      <c r="AH383" s="518"/>
      <c r="AI383" s="518"/>
      <c r="AJ383" s="518"/>
      <c r="AK383" s="518"/>
      <c r="AL383" s="518"/>
      <c r="AM383" s="518"/>
      <c r="AN383" s="518"/>
      <c r="AO383" s="518"/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</row>
    <row r="384" spans="1:57" ht="12.75" customHeight="1">
      <c r="A384" s="518"/>
      <c r="B384" s="518"/>
      <c r="C384" s="518"/>
      <c r="D384" s="518"/>
      <c r="E384" s="518"/>
      <c r="F384" s="518"/>
      <c r="G384" s="518"/>
      <c r="H384" s="518"/>
      <c r="I384" s="518"/>
      <c r="J384" s="518"/>
      <c r="K384" s="518"/>
      <c r="L384" s="518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  <c r="AB384" s="518"/>
      <c r="AC384" s="518"/>
      <c r="AD384" s="518"/>
      <c r="AE384" s="518"/>
      <c r="AF384" s="518"/>
      <c r="AG384" s="518"/>
      <c r="AH384" s="518"/>
      <c r="AI384" s="518"/>
      <c r="AJ384" s="518"/>
      <c r="AK384" s="518"/>
      <c r="AL384" s="518"/>
      <c r="AM384" s="518"/>
      <c r="AN384" s="518"/>
      <c r="AO384" s="518"/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</row>
    <row r="385" spans="1:57" ht="12.75" customHeight="1">
      <c r="A385" s="518"/>
      <c r="B385" s="518"/>
      <c r="C385" s="518"/>
      <c r="D385" s="518"/>
      <c r="E385" s="518"/>
      <c r="F385" s="518"/>
      <c r="G385" s="518"/>
      <c r="H385" s="518"/>
      <c r="I385" s="518"/>
      <c r="J385" s="518"/>
      <c r="K385" s="518"/>
      <c r="L385" s="518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  <c r="AB385" s="518"/>
      <c r="AC385" s="518"/>
      <c r="AD385" s="518"/>
      <c r="AE385" s="518"/>
      <c r="AF385" s="518"/>
      <c r="AG385" s="518"/>
      <c r="AH385" s="518"/>
      <c r="AI385" s="518"/>
      <c r="AJ385" s="518"/>
      <c r="AK385" s="518"/>
      <c r="AL385" s="518"/>
      <c r="AM385" s="518"/>
      <c r="AN385" s="518"/>
      <c r="AO385" s="518"/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</row>
    <row r="386" spans="1:57" ht="12.75" customHeight="1">
      <c r="A386" s="518"/>
      <c r="B386" s="518"/>
      <c r="C386" s="518"/>
      <c r="D386" s="518"/>
      <c r="E386" s="518"/>
      <c r="F386" s="518"/>
      <c r="G386" s="518"/>
      <c r="H386" s="518"/>
      <c r="I386" s="518"/>
      <c r="J386" s="518"/>
      <c r="K386" s="518"/>
      <c r="L386" s="518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  <c r="AB386" s="518"/>
      <c r="AC386" s="518"/>
      <c r="AD386" s="518"/>
      <c r="AE386" s="518"/>
      <c r="AF386" s="518"/>
      <c r="AG386" s="518"/>
      <c r="AH386" s="518"/>
      <c r="AI386" s="518"/>
      <c r="AJ386" s="518"/>
      <c r="AK386" s="518"/>
      <c r="AL386" s="518"/>
      <c r="AM386" s="518"/>
      <c r="AN386" s="518"/>
      <c r="AO386" s="518"/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</row>
    <row r="387" spans="1:57" ht="12.75" customHeight="1">
      <c r="A387" s="518"/>
      <c r="B387" s="518"/>
      <c r="C387" s="518"/>
      <c r="D387" s="518"/>
      <c r="E387" s="518"/>
      <c r="F387" s="518"/>
      <c r="G387" s="518"/>
      <c r="H387" s="518"/>
      <c r="I387" s="518"/>
      <c r="J387" s="518"/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  <c r="AB387" s="518"/>
      <c r="AC387" s="518"/>
      <c r="AD387" s="518"/>
      <c r="AE387" s="518"/>
      <c r="AF387" s="518"/>
      <c r="AG387" s="518"/>
      <c r="AH387" s="518"/>
      <c r="AI387" s="518"/>
      <c r="AJ387" s="518"/>
      <c r="AK387" s="518"/>
      <c r="AL387" s="518"/>
      <c r="AM387" s="518"/>
      <c r="AN387" s="518"/>
      <c r="AO387" s="518"/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</row>
    <row r="388" spans="1:57" ht="12.75" customHeight="1">
      <c r="A388" s="518"/>
      <c r="B388" s="518"/>
      <c r="C388" s="518"/>
      <c r="D388" s="518"/>
      <c r="E388" s="518"/>
      <c r="F388" s="518"/>
      <c r="G388" s="518"/>
      <c r="H388" s="518"/>
      <c r="I388" s="518"/>
      <c r="J388" s="518"/>
      <c r="K388" s="518"/>
      <c r="L388" s="518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  <c r="AB388" s="518"/>
      <c r="AC388" s="518"/>
      <c r="AD388" s="518"/>
      <c r="AE388" s="518"/>
      <c r="AF388" s="518"/>
      <c r="AG388" s="518"/>
      <c r="AH388" s="518"/>
      <c r="AI388" s="518"/>
      <c r="AJ388" s="518"/>
      <c r="AK388" s="518"/>
      <c r="AL388" s="518"/>
      <c r="AM388" s="518"/>
      <c r="AN388" s="518"/>
      <c r="AO388" s="518"/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</row>
    <row r="389" spans="1:57" ht="12.75" customHeight="1">
      <c r="A389" s="518"/>
      <c r="B389" s="518"/>
      <c r="C389" s="518"/>
      <c r="D389" s="518"/>
      <c r="E389" s="518"/>
      <c r="F389" s="518"/>
      <c r="G389" s="518"/>
      <c r="H389" s="518"/>
      <c r="I389" s="518"/>
      <c r="J389" s="518"/>
      <c r="K389" s="518"/>
      <c r="L389" s="518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  <c r="AB389" s="518"/>
      <c r="AC389" s="518"/>
      <c r="AD389" s="518"/>
      <c r="AE389" s="518"/>
      <c r="AF389" s="518"/>
      <c r="AG389" s="518"/>
      <c r="AH389" s="518"/>
      <c r="AI389" s="518"/>
      <c r="AJ389" s="518"/>
      <c r="AK389" s="518"/>
      <c r="AL389" s="518"/>
      <c r="AM389" s="518"/>
      <c r="AN389" s="518"/>
      <c r="AO389" s="518"/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</row>
    <row r="390" spans="1:57" ht="12.75" customHeight="1">
      <c r="A390" s="518"/>
      <c r="B390" s="518"/>
      <c r="C390" s="518"/>
      <c r="D390" s="518"/>
      <c r="E390" s="518"/>
      <c r="F390" s="518"/>
      <c r="G390" s="518"/>
      <c r="H390" s="518"/>
      <c r="I390" s="518"/>
      <c r="J390" s="518"/>
      <c r="K390" s="518"/>
      <c r="L390" s="518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  <c r="AB390" s="518"/>
      <c r="AC390" s="518"/>
      <c r="AD390" s="518"/>
      <c r="AE390" s="518"/>
      <c r="AF390" s="518"/>
      <c r="AG390" s="518"/>
      <c r="AH390" s="518"/>
      <c r="AI390" s="518"/>
      <c r="AJ390" s="518"/>
      <c r="AK390" s="518"/>
      <c r="AL390" s="518"/>
      <c r="AM390" s="518"/>
      <c r="AN390" s="518"/>
      <c r="AO390" s="518"/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</row>
    <row r="391" spans="1:57" ht="12.75" customHeight="1">
      <c r="A391" s="518"/>
      <c r="B391" s="518"/>
      <c r="C391" s="518"/>
      <c r="D391" s="518"/>
      <c r="E391" s="518"/>
      <c r="F391" s="518"/>
      <c r="G391" s="518"/>
      <c r="H391" s="518"/>
      <c r="I391" s="518"/>
      <c r="J391" s="518"/>
      <c r="K391" s="518"/>
      <c r="L391" s="518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  <c r="AB391" s="518"/>
      <c r="AC391" s="518"/>
      <c r="AD391" s="518"/>
      <c r="AE391" s="518"/>
      <c r="AF391" s="518"/>
      <c r="AG391" s="518"/>
      <c r="AH391" s="518"/>
      <c r="AI391" s="518"/>
      <c r="AJ391" s="518"/>
      <c r="AK391" s="518"/>
      <c r="AL391" s="518"/>
      <c r="AM391" s="518"/>
      <c r="AN391" s="518"/>
      <c r="AO391" s="518"/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</row>
    <row r="392" spans="1:57" ht="12.75" customHeight="1">
      <c r="A392" s="518"/>
      <c r="B392" s="518"/>
      <c r="C392" s="518"/>
      <c r="D392" s="518"/>
      <c r="E392" s="518"/>
      <c r="F392" s="518"/>
      <c r="G392" s="518"/>
      <c r="H392" s="518"/>
      <c r="I392" s="518"/>
      <c r="J392" s="518"/>
      <c r="K392" s="518"/>
      <c r="L392" s="518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  <c r="AB392" s="518"/>
      <c r="AC392" s="518"/>
      <c r="AD392" s="518"/>
      <c r="AE392" s="518"/>
      <c r="AF392" s="518"/>
      <c r="AG392" s="518"/>
      <c r="AH392" s="518"/>
      <c r="AI392" s="518"/>
      <c r="AJ392" s="518"/>
      <c r="AK392" s="518"/>
      <c r="AL392" s="518"/>
      <c r="AM392" s="518"/>
      <c r="AN392" s="518"/>
      <c r="AO392" s="518"/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</row>
    <row r="393" spans="1:57" ht="12.75" customHeight="1">
      <c r="A393" s="518"/>
      <c r="B393" s="518"/>
      <c r="C393" s="518"/>
      <c r="D393" s="518"/>
      <c r="E393" s="518"/>
      <c r="F393" s="518"/>
      <c r="G393" s="518"/>
      <c r="H393" s="518"/>
      <c r="I393" s="518"/>
      <c r="J393" s="518"/>
      <c r="K393" s="518"/>
      <c r="L393" s="518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  <c r="AB393" s="518"/>
      <c r="AC393" s="518"/>
      <c r="AD393" s="518"/>
      <c r="AE393" s="518"/>
      <c r="AF393" s="518"/>
      <c r="AG393" s="518"/>
      <c r="AH393" s="518"/>
      <c r="AI393" s="518"/>
      <c r="AJ393" s="518"/>
      <c r="AK393" s="518"/>
      <c r="AL393" s="518"/>
      <c r="AM393" s="518"/>
      <c r="AN393" s="518"/>
      <c r="AO393" s="518"/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</row>
    <row r="394" spans="1:57" ht="12.75" customHeight="1">
      <c r="A394" s="518"/>
      <c r="B394" s="518"/>
      <c r="C394" s="518"/>
      <c r="D394" s="518"/>
      <c r="E394" s="518"/>
      <c r="F394" s="518"/>
      <c r="G394" s="518"/>
      <c r="H394" s="518"/>
      <c r="I394" s="518"/>
      <c r="J394" s="518"/>
      <c r="K394" s="518"/>
      <c r="L394" s="518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  <c r="AB394" s="518"/>
      <c r="AC394" s="518"/>
      <c r="AD394" s="518"/>
      <c r="AE394" s="518"/>
      <c r="AF394" s="518"/>
      <c r="AG394" s="518"/>
      <c r="AH394" s="518"/>
      <c r="AI394" s="518"/>
      <c r="AJ394" s="518"/>
      <c r="AK394" s="518"/>
      <c r="AL394" s="518"/>
      <c r="AM394" s="518"/>
      <c r="AN394" s="518"/>
      <c r="AO394" s="518"/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</row>
    <row r="395" spans="1:57" ht="12.75" customHeight="1">
      <c r="A395" s="518"/>
      <c r="B395" s="518"/>
      <c r="C395" s="518"/>
      <c r="D395" s="518"/>
      <c r="E395" s="518"/>
      <c r="F395" s="518"/>
      <c r="G395" s="518"/>
      <c r="H395" s="518"/>
      <c r="I395" s="518"/>
      <c r="J395" s="518"/>
      <c r="K395" s="518"/>
      <c r="L395" s="518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  <c r="AB395" s="518"/>
      <c r="AC395" s="518"/>
      <c r="AD395" s="518"/>
      <c r="AE395" s="518"/>
      <c r="AF395" s="518"/>
      <c r="AG395" s="518"/>
      <c r="AH395" s="518"/>
      <c r="AI395" s="518"/>
      <c r="AJ395" s="518"/>
      <c r="AK395" s="518"/>
      <c r="AL395" s="518"/>
      <c r="AM395" s="518"/>
      <c r="AN395" s="518"/>
      <c r="AO395" s="518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</row>
    <row r="396" spans="1:57" ht="12.75" customHeight="1">
      <c r="A396" s="518"/>
      <c r="B396" s="518"/>
      <c r="C396" s="518"/>
      <c r="D396" s="518"/>
      <c r="E396" s="518"/>
      <c r="F396" s="518"/>
      <c r="G396" s="518"/>
      <c r="H396" s="518"/>
      <c r="I396" s="518"/>
      <c r="J396" s="518"/>
      <c r="K396" s="518"/>
      <c r="L396" s="518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  <c r="AB396" s="518"/>
      <c r="AC396" s="518"/>
      <c r="AD396" s="518"/>
      <c r="AE396" s="518"/>
      <c r="AF396" s="518"/>
      <c r="AG396" s="518"/>
      <c r="AH396" s="518"/>
      <c r="AI396" s="518"/>
      <c r="AJ396" s="518"/>
      <c r="AK396" s="518"/>
      <c r="AL396" s="518"/>
      <c r="AM396" s="518"/>
      <c r="AN396" s="518"/>
      <c r="AO396" s="518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</row>
    <row r="397" spans="1:57" ht="12.75" customHeight="1">
      <c r="A397" s="518"/>
      <c r="B397" s="518"/>
      <c r="C397" s="518"/>
      <c r="D397" s="518"/>
      <c r="E397" s="518"/>
      <c r="F397" s="518"/>
      <c r="G397" s="518"/>
      <c r="H397" s="518"/>
      <c r="I397" s="518"/>
      <c r="J397" s="518"/>
      <c r="K397" s="518"/>
      <c r="L397" s="518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  <c r="AB397" s="518"/>
      <c r="AC397" s="518"/>
      <c r="AD397" s="518"/>
      <c r="AE397" s="518"/>
      <c r="AF397" s="518"/>
      <c r="AG397" s="518"/>
      <c r="AH397" s="518"/>
      <c r="AI397" s="518"/>
      <c r="AJ397" s="518"/>
      <c r="AK397" s="518"/>
      <c r="AL397" s="518"/>
      <c r="AM397" s="518"/>
      <c r="AN397" s="518"/>
      <c r="AO397" s="518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</row>
    <row r="398" spans="1:57" ht="12.75" customHeight="1">
      <c r="A398" s="518"/>
      <c r="B398" s="518"/>
      <c r="C398" s="518"/>
      <c r="D398" s="518"/>
      <c r="E398" s="518"/>
      <c r="F398" s="518"/>
      <c r="G398" s="518"/>
      <c r="H398" s="518"/>
      <c r="I398" s="518"/>
      <c r="J398" s="518"/>
      <c r="K398" s="518"/>
      <c r="L398" s="518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  <c r="AB398" s="518"/>
      <c r="AC398" s="518"/>
      <c r="AD398" s="518"/>
      <c r="AE398" s="518"/>
      <c r="AF398" s="518"/>
      <c r="AG398" s="518"/>
      <c r="AH398" s="518"/>
      <c r="AI398" s="518"/>
      <c r="AJ398" s="518"/>
      <c r="AK398" s="518"/>
      <c r="AL398" s="518"/>
      <c r="AM398" s="518"/>
      <c r="AN398" s="518"/>
      <c r="AO398" s="518"/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</row>
    <row r="399" spans="1:57" ht="12.75" customHeight="1">
      <c r="A399" s="518"/>
      <c r="B399" s="518"/>
      <c r="C399" s="518"/>
      <c r="D399" s="518"/>
      <c r="E399" s="518"/>
      <c r="F399" s="518"/>
      <c r="G399" s="518"/>
      <c r="H399" s="518"/>
      <c r="I399" s="518"/>
      <c r="J399" s="518"/>
      <c r="K399" s="518"/>
      <c r="L399" s="518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  <c r="AB399" s="518"/>
      <c r="AC399" s="518"/>
      <c r="AD399" s="518"/>
      <c r="AE399" s="518"/>
      <c r="AF399" s="518"/>
      <c r="AG399" s="518"/>
      <c r="AH399" s="518"/>
      <c r="AI399" s="518"/>
      <c r="AJ399" s="518"/>
      <c r="AK399" s="518"/>
      <c r="AL399" s="518"/>
      <c r="AM399" s="518"/>
      <c r="AN399" s="518"/>
      <c r="AO399" s="51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</row>
    <row r="400" spans="1:57" ht="12.75" customHeight="1">
      <c r="A400" s="518"/>
      <c r="B400" s="518"/>
      <c r="C400" s="518"/>
      <c r="D400" s="518"/>
      <c r="E400" s="518"/>
      <c r="F400" s="518"/>
      <c r="G400" s="518"/>
      <c r="H400" s="518"/>
      <c r="I400" s="518"/>
      <c r="J400" s="518"/>
      <c r="K400" s="518"/>
      <c r="L400" s="518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  <c r="AB400" s="518"/>
      <c r="AC400" s="518"/>
      <c r="AD400" s="518"/>
      <c r="AE400" s="518"/>
      <c r="AF400" s="518"/>
      <c r="AG400" s="518"/>
      <c r="AH400" s="518"/>
      <c r="AI400" s="518"/>
      <c r="AJ400" s="518"/>
      <c r="AK400" s="518"/>
      <c r="AL400" s="518"/>
      <c r="AM400" s="518"/>
      <c r="AN400" s="518"/>
      <c r="AO400" s="518"/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</row>
    <row r="401" spans="1:57" ht="12.75" customHeight="1">
      <c r="A401" s="518"/>
      <c r="B401" s="518"/>
      <c r="C401" s="518"/>
      <c r="D401" s="518"/>
      <c r="E401" s="518"/>
      <c r="F401" s="518"/>
      <c r="G401" s="518"/>
      <c r="H401" s="518"/>
      <c r="I401" s="518"/>
      <c r="J401" s="518"/>
      <c r="K401" s="518"/>
      <c r="L401" s="518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  <c r="AB401" s="518"/>
      <c r="AC401" s="518"/>
      <c r="AD401" s="518"/>
      <c r="AE401" s="518"/>
      <c r="AF401" s="518"/>
      <c r="AG401" s="518"/>
      <c r="AH401" s="518"/>
      <c r="AI401" s="518"/>
      <c r="AJ401" s="518"/>
      <c r="AK401" s="518"/>
      <c r="AL401" s="518"/>
      <c r="AM401" s="518"/>
      <c r="AN401" s="518"/>
      <c r="AO401" s="518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</row>
    <row r="402" spans="1:57" ht="12.75" customHeight="1">
      <c r="A402" s="518"/>
      <c r="B402" s="518"/>
      <c r="C402" s="518"/>
      <c r="D402" s="518"/>
      <c r="E402" s="518"/>
      <c r="F402" s="518"/>
      <c r="G402" s="518"/>
      <c r="H402" s="518"/>
      <c r="I402" s="518"/>
      <c r="J402" s="518"/>
      <c r="K402" s="518"/>
      <c r="L402" s="518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  <c r="AB402" s="518"/>
      <c r="AC402" s="518"/>
      <c r="AD402" s="518"/>
      <c r="AE402" s="518"/>
      <c r="AF402" s="518"/>
      <c r="AG402" s="518"/>
      <c r="AH402" s="518"/>
      <c r="AI402" s="518"/>
      <c r="AJ402" s="518"/>
      <c r="AK402" s="518"/>
      <c r="AL402" s="518"/>
      <c r="AM402" s="518"/>
      <c r="AN402" s="518"/>
      <c r="AO402" s="518"/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</row>
    <row r="403" spans="1:57" ht="12.75" customHeight="1">
      <c r="A403" s="518"/>
      <c r="B403" s="518"/>
      <c r="C403" s="518"/>
      <c r="D403" s="518"/>
      <c r="E403" s="518"/>
      <c r="F403" s="518"/>
      <c r="G403" s="518"/>
      <c r="H403" s="518"/>
      <c r="I403" s="518"/>
      <c r="J403" s="518"/>
      <c r="K403" s="518"/>
      <c r="L403" s="518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  <c r="AB403" s="518"/>
      <c r="AC403" s="518"/>
      <c r="AD403" s="518"/>
      <c r="AE403" s="518"/>
      <c r="AF403" s="518"/>
      <c r="AG403" s="518"/>
      <c r="AH403" s="518"/>
      <c r="AI403" s="518"/>
      <c r="AJ403" s="518"/>
      <c r="AK403" s="518"/>
      <c r="AL403" s="518"/>
      <c r="AM403" s="518"/>
      <c r="AN403" s="518"/>
      <c r="AO403" s="518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</row>
    <row r="404" spans="1:57" ht="12.75" customHeight="1">
      <c r="A404" s="518"/>
      <c r="B404" s="518"/>
      <c r="C404" s="518"/>
      <c r="D404" s="518"/>
      <c r="E404" s="518"/>
      <c r="F404" s="518"/>
      <c r="G404" s="518"/>
      <c r="H404" s="518"/>
      <c r="I404" s="518"/>
      <c r="J404" s="518"/>
      <c r="K404" s="518"/>
      <c r="L404" s="518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  <c r="AB404" s="518"/>
      <c r="AC404" s="518"/>
      <c r="AD404" s="518"/>
      <c r="AE404" s="518"/>
      <c r="AF404" s="518"/>
      <c r="AG404" s="518"/>
      <c r="AH404" s="518"/>
      <c r="AI404" s="518"/>
      <c r="AJ404" s="518"/>
      <c r="AK404" s="518"/>
      <c r="AL404" s="518"/>
      <c r="AM404" s="518"/>
      <c r="AN404" s="518"/>
      <c r="AO404" s="518"/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</row>
    <row r="405" spans="1:57" ht="12.75" customHeight="1">
      <c r="A405" s="518"/>
      <c r="B405" s="518"/>
      <c r="C405" s="518"/>
      <c r="D405" s="518"/>
      <c r="E405" s="518"/>
      <c r="F405" s="518"/>
      <c r="G405" s="518"/>
      <c r="H405" s="518"/>
      <c r="I405" s="518"/>
      <c r="J405" s="518"/>
      <c r="K405" s="518"/>
      <c r="L405" s="518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  <c r="AB405" s="518"/>
      <c r="AC405" s="518"/>
      <c r="AD405" s="518"/>
      <c r="AE405" s="518"/>
      <c r="AF405" s="518"/>
      <c r="AG405" s="518"/>
      <c r="AH405" s="518"/>
      <c r="AI405" s="518"/>
      <c r="AJ405" s="518"/>
      <c r="AK405" s="518"/>
      <c r="AL405" s="518"/>
      <c r="AM405" s="518"/>
      <c r="AN405" s="518"/>
      <c r="AO405" s="51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</row>
    <row r="406" spans="1:57" ht="12.75" customHeight="1">
      <c r="A406" s="518"/>
      <c r="B406" s="518"/>
      <c r="C406" s="518"/>
      <c r="D406" s="518"/>
      <c r="E406" s="518"/>
      <c r="F406" s="518"/>
      <c r="G406" s="518"/>
      <c r="H406" s="518"/>
      <c r="I406" s="518"/>
      <c r="J406" s="518"/>
      <c r="K406" s="518"/>
      <c r="L406" s="518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  <c r="AB406" s="518"/>
      <c r="AC406" s="518"/>
      <c r="AD406" s="518"/>
      <c r="AE406" s="518"/>
      <c r="AF406" s="518"/>
      <c r="AG406" s="518"/>
      <c r="AH406" s="518"/>
      <c r="AI406" s="518"/>
      <c r="AJ406" s="518"/>
      <c r="AK406" s="518"/>
      <c r="AL406" s="518"/>
      <c r="AM406" s="518"/>
      <c r="AN406" s="518"/>
      <c r="AO406" s="518"/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</row>
    <row r="407" spans="1:57" ht="12.75" customHeight="1">
      <c r="A407" s="518"/>
      <c r="B407" s="518"/>
      <c r="C407" s="518"/>
      <c r="D407" s="518"/>
      <c r="E407" s="518"/>
      <c r="F407" s="518"/>
      <c r="G407" s="518"/>
      <c r="H407" s="518"/>
      <c r="I407" s="518"/>
      <c r="J407" s="518"/>
      <c r="K407" s="518"/>
      <c r="L407" s="518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  <c r="AB407" s="518"/>
      <c r="AC407" s="518"/>
      <c r="AD407" s="518"/>
      <c r="AE407" s="518"/>
      <c r="AF407" s="518"/>
      <c r="AG407" s="518"/>
      <c r="AH407" s="518"/>
      <c r="AI407" s="518"/>
      <c r="AJ407" s="518"/>
      <c r="AK407" s="518"/>
      <c r="AL407" s="518"/>
      <c r="AM407" s="518"/>
      <c r="AN407" s="518"/>
      <c r="AO407" s="518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</row>
    <row r="408" spans="1:57" ht="12.75" customHeight="1">
      <c r="A408" s="518"/>
      <c r="B408" s="518"/>
      <c r="C408" s="518"/>
      <c r="D408" s="518"/>
      <c r="E408" s="518"/>
      <c r="F408" s="518"/>
      <c r="G408" s="518"/>
      <c r="H408" s="518"/>
      <c r="I408" s="518"/>
      <c r="J408" s="518"/>
      <c r="K408" s="518"/>
      <c r="L408" s="518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  <c r="AB408" s="518"/>
      <c r="AC408" s="518"/>
      <c r="AD408" s="518"/>
      <c r="AE408" s="518"/>
      <c r="AF408" s="518"/>
      <c r="AG408" s="518"/>
      <c r="AH408" s="518"/>
      <c r="AI408" s="518"/>
      <c r="AJ408" s="518"/>
      <c r="AK408" s="518"/>
      <c r="AL408" s="518"/>
      <c r="AM408" s="518"/>
      <c r="AN408" s="518"/>
      <c r="AO408" s="518"/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</row>
    <row r="409" spans="1:57" ht="12.75" customHeight="1">
      <c r="A409" s="518"/>
      <c r="B409" s="518"/>
      <c r="C409" s="518"/>
      <c r="D409" s="518"/>
      <c r="E409" s="518"/>
      <c r="F409" s="518"/>
      <c r="G409" s="518"/>
      <c r="H409" s="518"/>
      <c r="I409" s="518"/>
      <c r="J409" s="518"/>
      <c r="K409" s="518"/>
      <c r="L409" s="518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  <c r="AB409" s="518"/>
      <c r="AC409" s="518"/>
      <c r="AD409" s="518"/>
      <c r="AE409" s="518"/>
      <c r="AF409" s="518"/>
      <c r="AG409" s="518"/>
      <c r="AH409" s="518"/>
      <c r="AI409" s="518"/>
      <c r="AJ409" s="518"/>
      <c r="AK409" s="518"/>
      <c r="AL409" s="518"/>
      <c r="AM409" s="518"/>
      <c r="AN409" s="518"/>
      <c r="AO409" s="518"/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</row>
    <row r="410" spans="1:57" ht="12.75" customHeight="1">
      <c r="A410" s="518"/>
      <c r="B410" s="518"/>
      <c r="C410" s="518"/>
      <c r="D410" s="518"/>
      <c r="E410" s="518"/>
      <c r="F410" s="518"/>
      <c r="G410" s="518"/>
      <c r="H410" s="518"/>
      <c r="I410" s="518"/>
      <c r="J410" s="518"/>
      <c r="K410" s="518"/>
      <c r="L410" s="518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  <c r="AB410" s="518"/>
      <c r="AC410" s="518"/>
      <c r="AD410" s="518"/>
      <c r="AE410" s="518"/>
      <c r="AF410" s="518"/>
      <c r="AG410" s="518"/>
      <c r="AH410" s="518"/>
      <c r="AI410" s="518"/>
      <c r="AJ410" s="518"/>
      <c r="AK410" s="518"/>
      <c r="AL410" s="518"/>
      <c r="AM410" s="518"/>
      <c r="AN410" s="518"/>
      <c r="AO410" s="518"/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</row>
    <row r="411" spans="1:57" ht="12.75" customHeight="1">
      <c r="A411" s="518"/>
      <c r="B411" s="518"/>
      <c r="C411" s="518"/>
      <c r="D411" s="518"/>
      <c r="E411" s="518"/>
      <c r="F411" s="518"/>
      <c r="G411" s="518"/>
      <c r="H411" s="518"/>
      <c r="I411" s="518"/>
      <c r="J411" s="518"/>
      <c r="K411" s="518"/>
      <c r="L411" s="518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  <c r="AB411" s="518"/>
      <c r="AC411" s="518"/>
      <c r="AD411" s="518"/>
      <c r="AE411" s="518"/>
      <c r="AF411" s="518"/>
      <c r="AG411" s="518"/>
      <c r="AH411" s="518"/>
      <c r="AI411" s="518"/>
      <c r="AJ411" s="518"/>
      <c r="AK411" s="518"/>
      <c r="AL411" s="518"/>
      <c r="AM411" s="518"/>
      <c r="AN411" s="518"/>
      <c r="AO411" s="518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</row>
    <row r="412" spans="1:57" ht="12.75" customHeight="1">
      <c r="A412" s="518"/>
      <c r="B412" s="518"/>
      <c r="C412" s="518"/>
      <c r="D412" s="518"/>
      <c r="E412" s="518"/>
      <c r="F412" s="518"/>
      <c r="G412" s="518"/>
      <c r="H412" s="518"/>
      <c r="I412" s="518"/>
      <c r="J412" s="518"/>
      <c r="K412" s="518"/>
      <c r="L412" s="518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  <c r="AB412" s="518"/>
      <c r="AC412" s="518"/>
      <c r="AD412" s="518"/>
      <c r="AE412" s="518"/>
      <c r="AF412" s="518"/>
      <c r="AG412" s="518"/>
      <c r="AH412" s="518"/>
      <c r="AI412" s="518"/>
      <c r="AJ412" s="518"/>
      <c r="AK412" s="518"/>
      <c r="AL412" s="518"/>
      <c r="AM412" s="518"/>
      <c r="AN412" s="518"/>
      <c r="AO412" s="518"/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</row>
    <row r="413" spans="1:57" ht="12.75" customHeight="1">
      <c r="A413" s="518"/>
      <c r="B413" s="518"/>
      <c r="C413" s="518"/>
      <c r="D413" s="518"/>
      <c r="E413" s="518"/>
      <c r="F413" s="518"/>
      <c r="G413" s="518"/>
      <c r="H413" s="518"/>
      <c r="I413" s="518"/>
      <c r="J413" s="518"/>
      <c r="K413" s="518"/>
      <c r="L413" s="518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</row>
    <row r="414" spans="1:57" ht="12.75" customHeight="1">
      <c r="A414" s="518"/>
      <c r="B414" s="518"/>
      <c r="C414" s="518"/>
      <c r="D414" s="518"/>
      <c r="E414" s="518"/>
      <c r="F414" s="518"/>
      <c r="G414" s="518"/>
      <c r="H414" s="518"/>
      <c r="I414" s="518"/>
      <c r="J414" s="518"/>
      <c r="K414" s="518"/>
      <c r="L414" s="518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  <c r="AB414" s="518"/>
      <c r="AC414" s="518"/>
      <c r="AD414" s="518"/>
      <c r="AE414" s="518"/>
      <c r="AF414" s="518"/>
      <c r="AG414" s="518"/>
      <c r="AH414" s="518"/>
      <c r="AI414" s="518"/>
      <c r="AJ414" s="518"/>
      <c r="AK414" s="518"/>
      <c r="AL414" s="518"/>
      <c r="AM414" s="518"/>
      <c r="AN414" s="518"/>
      <c r="AO414" s="518"/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</row>
    <row r="415" spans="1:57" ht="12.75" customHeight="1">
      <c r="A415" s="518"/>
      <c r="B415" s="518"/>
      <c r="C415" s="518"/>
      <c r="D415" s="518"/>
      <c r="E415" s="518"/>
      <c r="F415" s="518"/>
      <c r="G415" s="518"/>
      <c r="H415" s="518"/>
      <c r="I415" s="518"/>
      <c r="J415" s="518"/>
      <c r="K415" s="518"/>
      <c r="L415" s="518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  <c r="AB415" s="518"/>
      <c r="AC415" s="518"/>
      <c r="AD415" s="518"/>
      <c r="AE415" s="518"/>
      <c r="AF415" s="518"/>
      <c r="AG415" s="518"/>
      <c r="AH415" s="518"/>
      <c r="AI415" s="518"/>
      <c r="AJ415" s="518"/>
      <c r="AK415" s="518"/>
      <c r="AL415" s="518"/>
      <c r="AM415" s="518"/>
      <c r="AN415" s="518"/>
      <c r="AO415" s="518"/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</row>
    <row r="416" spans="1:57" ht="12.75" customHeight="1">
      <c r="A416" s="518"/>
      <c r="B416" s="518"/>
      <c r="C416" s="518"/>
      <c r="D416" s="518"/>
      <c r="E416" s="518"/>
      <c r="F416" s="518"/>
      <c r="G416" s="518"/>
      <c r="H416" s="518"/>
      <c r="I416" s="518"/>
      <c r="J416" s="518"/>
      <c r="K416" s="518"/>
      <c r="L416" s="518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  <c r="AB416" s="518"/>
      <c r="AC416" s="518"/>
      <c r="AD416" s="518"/>
      <c r="AE416" s="518"/>
      <c r="AF416" s="518"/>
      <c r="AG416" s="518"/>
      <c r="AH416" s="518"/>
      <c r="AI416" s="518"/>
      <c r="AJ416" s="518"/>
      <c r="AK416" s="518"/>
      <c r="AL416" s="518"/>
      <c r="AM416" s="518"/>
      <c r="AN416" s="518"/>
      <c r="AO416" s="518"/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</row>
    <row r="417" spans="1:57" ht="12.75" customHeight="1">
      <c r="A417" s="518"/>
      <c r="B417" s="518"/>
      <c r="C417" s="518"/>
      <c r="D417" s="518"/>
      <c r="E417" s="518"/>
      <c r="F417" s="518"/>
      <c r="G417" s="518"/>
      <c r="H417" s="518"/>
      <c r="I417" s="518"/>
      <c r="J417" s="518"/>
      <c r="K417" s="518"/>
      <c r="L417" s="518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  <c r="AB417" s="518"/>
      <c r="AC417" s="518"/>
      <c r="AD417" s="518"/>
      <c r="AE417" s="518"/>
      <c r="AF417" s="518"/>
      <c r="AG417" s="518"/>
      <c r="AH417" s="518"/>
      <c r="AI417" s="518"/>
      <c r="AJ417" s="518"/>
      <c r="AK417" s="518"/>
      <c r="AL417" s="518"/>
      <c r="AM417" s="518"/>
      <c r="AN417" s="518"/>
      <c r="AO417" s="518"/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</row>
    <row r="418" spans="1:57" ht="12.75" customHeight="1">
      <c r="A418" s="518"/>
      <c r="B418" s="518"/>
      <c r="C418" s="518"/>
      <c r="D418" s="518"/>
      <c r="E418" s="518"/>
      <c r="F418" s="518"/>
      <c r="G418" s="518"/>
      <c r="H418" s="518"/>
      <c r="I418" s="518"/>
      <c r="J418" s="518"/>
      <c r="K418" s="518"/>
      <c r="L418" s="518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  <c r="AB418" s="518"/>
      <c r="AC418" s="518"/>
      <c r="AD418" s="518"/>
      <c r="AE418" s="518"/>
      <c r="AF418" s="518"/>
      <c r="AG418" s="518"/>
      <c r="AH418" s="518"/>
      <c r="AI418" s="518"/>
      <c r="AJ418" s="518"/>
      <c r="AK418" s="518"/>
      <c r="AL418" s="518"/>
      <c r="AM418" s="518"/>
      <c r="AN418" s="518"/>
      <c r="AO418" s="518"/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</row>
    <row r="419" spans="1:57" ht="12.75" customHeight="1">
      <c r="A419" s="518"/>
      <c r="B419" s="518"/>
      <c r="C419" s="518"/>
      <c r="D419" s="518"/>
      <c r="E419" s="518"/>
      <c r="F419" s="518"/>
      <c r="G419" s="518"/>
      <c r="H419" s="518"/>
      <c r="I419" s="518"/>
      <c r="J419" s="518"/>
      <c r="K419" s="518"/>
      <c r="L419" s="518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  <c r="AB419" s="518"/>
      <c r="AC419" s="518"/>
      <c r="AD419" s="518"/>
      <c r="AE419" s="518"/>
      <c r="AF419" s="518"/>
      <c r="AG419" s="518"/>
      <c r="AH419" s="518"/>
      <c r="AI419" s="518"/>
      <c r="AJ419" s="518"/>
      <c r="AK419" s="518"/>
      <c r="AL419" s="518"/>
      <c r="AM419" s="518"/>
      <c r="AN419" s="518"/>
      <c r="AO419" s="518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</row>
    <row r="420" spans="1:57" ht="12.75" customHeight="1">
      <c r="A420" s="518"/>
      <c r="B420" s="518"/>
      <c r="C420" s="518"/>
      <c r="D420" s="518"/>
      <c r="E420" s="518"/>
      <c r="F420" s="518"/>
      <c r="G420" s="518"/>
      <c r="H420" s="518"/>
      <c r="I420" s="518"/>
      <c r="J420" s="518"/>
      <c r="K420" s="518"/>
      <c r="L420" s="518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  <c r="AB420" s="518"/>
      <c r="AC420" s="518"/>
      <c r="AD420" s="518"/>
      <c r="AE420" s="518"/>
      <c r="AF420" s="518"/>
      <c r="AG420" s="518"/>
      <c r="AH420" s="518"/>
      <c r="AI420" s="518"/>
      <c r="AJ420" s="518"/>
      <c r="AK420" s="518"/>
      <c r="AL420" s="518"/>
      <c r="AM420" s="518"/>
      <c r="AN420" s="518"/>
      <c r="AO420" s="518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</row>
    <row r="421" spans="1:57" ht="12.75" customHeight="1">
      <c r="A421" s="518"/>
      <c r="B421" s="518"/>
      <c r="C421" s="518"/>
      <c r="D421" s="518"/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  <c r="AB421" s="518"/>
      <c r="AC421" s="518"/>
      <c r="AD421" s="518"/>
      <c r="AE421" s="518"/>
      <c r="AF421" s="518"/>
      <c r="AG421" s="518"/>
      <c r="AH421" s="518"/>
      <c r="AI421" s="518"/>
      <c r="AJ421" s="518"/>
      <c r="AK421" s="518"/>
      <c r="AL421" s="518"/>
      <c r="AM421" s="518"/>
      <c r="AN421" s="518"/>
      <c r="AO421" s="518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</row>
    <row r="422" spans="1:57" ht="12.75" customHeight="1">
      <c r="A422" s="518"/>
      <c r="B422" s="518"/>
      <c r="C422" s="518"/>
      <c r="D422" s="518"/>
      <c r="E422" s="518"/>
      <c r="F422" s="518"/>
      <c r="G422" s="518"/>
      <c r="H422" s="518"/>
      <c r="I422" s="518"/>
      <c r="J422" s="518"/>
      <c r="K422" s="518"/>
      <c r="L422" s="518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  <c r="AB422" s="518"/>
      <c r="AC422" s="518"/>
      <c r="AD422" s="518"/>
      <c r="AE422" s="518"/>
      <c r="AF422" s="518"/>
      <c r="AG422" s="518"/>
      <c r="AH422" s="518"/>
      <c r="AI422" s="518"/>
      <c r="AJ422" s="518"/>
      <c r="AK422" s="518"/>
      <c r="AL422" s="518"/>
      <c r="AM422" s="518"/>
      <c r="AN422" s="518"/>
      <c r="AO422" s="518"/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</row>
    <row r="423" spans="1:57" ht="12.75" customHeight="1">
      <c r="A423" s="518"/>
      <c r="B423" s="518"/>
      <c r="C423" s="518"/>
      <c r="D423" s="518"/>
      <c r="E423" s="518"/>
      <c r="F423" s="518"/>
      <c r="G423" s="518"/>
      <c r="H423" s="518"/>
      <c r="I423" s="518"/>
      <c r="J423" s="518"/>
      <c r="K423" s="518"/>
      <c r="L423" s="518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  <c r="AB423" s="518"/>
      <c r="AC423" s="518"/>
      <c r="AD423" s="518"/>
      <c r="AE423" s="518"/>
      <c r="AF423" s="518"/>
      <c r="AG423" s="518"/>
      <c r="AH423" s="518"/>
      <c r="AI423" s="518"/>
      <c r="AJ423" s="518"/>
      <c r="AK423" s="518"/>
      <c r="AL423" s="518"/>
      <c r="AM423" s="518"/>
      <c r="AN423" s="518"/>
      <c r="AO423" s="518"/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</row>
    <row r="424" spans="1:57" ht="12.75" customHeight="1">
      <c r="A424" s="518"/>
      <c r="B424" s="518"/>
      <c r="C424" s="518"/>
      <c r="D424" s="518"/>
      <c r="E424" s="518"/>
      <c r="F424" s="518"/>
      <c r="G424" s="518"/>
      <c r="H424" s="518"/>
      <c r="I424" s="518"/>
      <c r="J424" s="518"/>
      <c r="K424" s="518"/>
      <c r="L424" s="518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  <c r="AB424" s="518"/>
      <c r="AC424" s="518"/>
      <c r="AD424" s="518"/>
      <c r="AE424" s="518"/>
      <c r="AF424" s="518"/>
      <c r="AG424" s="518"/>
      <c r="AH424" s="518"/>
      <c r="AI424" s="518"/>
      <c r="AJ424" s="518"/>
      <c r="AK424" s="518"/>
      <c r="AL424" s="518"/>
      <c r="AM424" s="518"/>
      <c r="AN424" s="518"/>
      <c r="AO424" s="518"/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</row>
    <row r="425" spans="1:57" ht="12.75" customHeight="1">
      <c r="A425" s="518"/>
      <c r="B425" s="518"/>
      <c r="C425" s="518"/>
      <c r="D425" s="518"/>
      <c r="E425" s="518"/>
      <c r="F425" s="518"/>
      <c r="G425" s="518"/>
      <c r="H425" s="518"/>
      <c r="I425" s="518"/>
      <c r="J425" s="518"/>
      <c r="K425" s="518"/>
      <c r="L425" s="518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  <c r="AB425" s="518"/>
      <c r="AC425" s="518"/>
      <c r="AD425" s="518"/>
      <c r="AE425" s="518"/>
      <c r="AF425" s="518"/>
      <c r="AG425" s="518"/>
      <c r="AH425" s="518"/>
      <c r="AI425" s="518"/>
      <c r="AJ425" s="518"/>
      <c r="AK425" s="518"/>
      <c r="AL425" s="518"/>
      <c r="AM425" s="518"/>
      <c r="AN425" s="518"/>
      <c r="AO425" s="518"/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</row>
    <row r="426" spans="1:57" ht="12.75" customHeight="1">
      <c r="A426" s="518"/>
      <c r="B426" s="518"/>
      <c r="C426" s="518"/>
      <c r="D426" s="518"/>
      <c r="E426" s="518"/>
      <c r="F426" s="518"/>
      <c r="G426" s="518"/>
      <c r="H426" s="518"/>
      <c r="I426" s="518"/>
      <c r="J426" s="518"/>
      <c r="K426" s="518"/>
      <c r="L426" s="518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  <c r="AB426" s="518"/>
      <c r="AC426" s="518"/>
      <c r="AD426" s="518"/>
      <c r="AE426" s="518"/>
      <c r="AF426" s="518"/>
      <c r="AG426" s="518"/>
      <c r="AH426" s="518"/>
      <c r="AI426" s="518"/>
      <c r="AJ426" s="518"/>
      <c r="AK426" s="518"/>
      <c r="AL426" s="518"/>
      <c r="AM426" s="518"/>
      <c r="AN426" s="518"/>
      <c r="AO426" s="518"/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</row>
    <row r="427" spans="1:57" ht="12.75" customHeight="1">
      <c r="A427" s="518"/>
      <c r="B427" s="518"/>
      <c r="C427" s="518"/>
      <c r="D427" s="518"/>
      <c r="E427" s="518"/>
      <c r="F427" s="518"/>
      <c r="G427" s="518"/>
      <c r="H427" s="518"/>
      <c r="I427" s="518"/>
      <c r="J427" s="518"/>
      <c r="K427" s="518"/>
      <c r="L427" s="518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  <c r="AB427" s="518"/>
      <c r="AC427" s="518"/>
      <c r="AD427" s="518"/>
      <c r="AE427" s="518"/>
      <c r="AF427" s="518"/>
      <c r="AG427" s="518"/>
      <c r="AH427" s="518"/>
      <c r="AI427" s="518"/>
      <c r="AJ427" s="518"/>
      <c r="AK427" s="518"/>
      <c r="AL427" s="518"/>
      <c r="AM427" s="518"/>
      <c r="AN427" s="518"/>
      <c r="AO427" s="518"/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</row>
    <row r="428" spans="1:57" ht="12.75" customHeight="1">
      <c r="A428" s="518"/>
      <c r="B428" s="518"/>
      <c r="C428" s="518"/>
      <c r="D428" s="518"/>
      <c r="E428" s="518"/>
      <c r="F428" s="518"/>
      <c r="G428" s="518"/>
      <c r="H428" s="518"/>
      <c r="I428" s="518"/>
      <c r="J428" s="518"/>
      <c r="K428" s="518"/>
      <c r="L428" s="518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  <c r="AB428" s="518"/>
      <c r="AC428" s="518"/>
      <c r="AD428" s="518"/>
      <c r="AE428" s="518"/>
      <c r="AF428" s="518"/>
      <c r="AG428" s="518"/>
      <c r="AH428" s="518"/>
      <c r="AI428" s="518"/>
      <c r="AJ428" s="518"/>
      <c r="AK428" s="518"/>
      <c r="AL428" s="518"/>
      <c r="AM428" s="518"/>
      <c r="AN428" s="518"/>
      <c r="AO428" s="518"/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</row>
    <row r="429" spans="1:57" ht="12.75" customHeight="1">
      <c r="A429" s="518"/>
      <c r="B429" s="518"/>
      <c r="C429" s="518"/>
      <c r="D429" s="518"/>
      <c r="E429" s="518"/>
      <c r="F429" s="518"/>
      <c r="G429" s="518"/>
      <c r="H429" s="518"/>
      <c r="I429" s="518"/>
      <c r="J429" s="518"/>
      <c r="K429" s="518"/>
      <c r="L429" s="518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  <c r="AB429" s="518"/>
      <c r="AC429" s="518"/>
      <c r="AD429" s="518"/>
      <c r="AE429" s="518"/>
      <c r="AF429" s="518"/>
      <c r="AG429" s="518"/>
      <c r="AH429" s="518"/>
      <c r="AI429" s="518"/>
      <c r="AJ429" s="518"/>
      <c r="AK429" s="518"/>
      <c r="AL429" s="518"/>
      <c r="AM429" s="518"/>
      <c r="AN429" s="518"/>
      <c r="AO429" s="518"/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</row>
    <row r="430" spans="1:57" ht="12.75" customHeight="1">
      <c r="A430" s="518"/>
      <c r="B430" s="518"/>
      <c r="C430" s="518"/>
      <c r="D430" s="518"/>
      <c r="E430" s="518"/>
      <c r="F430" s="518"/>
      <c r="G430" s="518"/>
      <c r="H430" s="518"/>
      <c r="I430" s="518"/>
      <c r="J430" s="518"/>
      <c r="K430" s="518"/>
      <c r="L430" s="518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  <c r="AB430" s="518"/>
      <c r="AC430" s="518"/>
      <c r="AD430" s="518"/>
      <c r="AE430" s="518"/>
      <c r="AF430" s="518"/>
      <c r="AG430" s="518"/>
      <c r="AH430" s="518"/>
      <c r="AI430" s="518"/>
      <c r="AJ430" s="518"/>
      <c r="AK430" s="518"/>
      <c r="AL430" s="518"/>
      <c r="AM430" s="518"/>
      <c r="AN430" s="518"/>
      <c r="AO430" s="518"/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</row>
    <row r="431" spans="1:57" ht="12.75" customHeight="1">
      <c r="A431" s="518"/>
      <c r="B431" s="518"/>
      <c r="C431" s="518"/>
      <c r="D431" s="518"/>
      <c r="E431" s="518"/>
      <c r="F431" s="518"/>
      <c r="G431" s="518"/>
      <c r="H431" s="518"/>
      <c r="I431" s="518"/>
      <c r="J431" s="518"/>
      <c r="K431" s="518"/>
      <c r="L431" s="518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  <c r="AB431" s="518"/>
      <c r="AC431" s="518"/>
      <c r="AD431" s="518"/>
      <c r="AE431" s="518"/>
      <c r="AF431" s="518"/>
      <c r="AG431" s="518"/>
      <c r="AH431" s="518"/>
      <c r="AI431" s="518"/>
      <c r="AJ431" s="518"/>
      <c r="AK431" s="518"/>
      <c r="AL431" s="518"/>
      <c r="AM431" s="518"/>
      <c r="AN431" s="518"/>
      <c r="AO431" s="518"/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</row>
    <row r="432" spans="1:57" ht="12.75" customHeight="1">
      <c r="A432" s="518"/>
      <c r="B432" s="518"/>
      <c r="C432" s="518"/>
      <c r="D432" s="518"/>
      <c r="E432" s="518"/>
      <c r="F432" s="518"/>
      <c r="G432" s="518"/>
      <c r="H432" s="518"/>
      <c r="I432" s="518"/>
      <c r="J432" s="518"/>
      <c r="K432" s="518"/>
      <c r="L432" s="518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  <c r="AB432" s="518"/>
      <c r="AC432" s="518"/>
      <c r="AD432" s="518"/>
      <c r="AE432" s="518"/>
      <c r="AF432" s="518"/>
      <c r="AG432" s="518"/>
      <c r="AH432" s="518"/>
      <c r="AI432" s="518"/>
      <c r="AJ432" s="518"/>
      <c r="AK432" s="518"/>
      <c r="AL432" s="518"/>
      <c r="AM432" s="518"/>
      <c r="AN432" s="518"/>
      <c r="AO432" s="518"/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</row>
    <row r="433" spans="1:57" ht="12.75" customHeight="1">
      <c r="A433" s="518"/>
      <c r="B433" s="518"/>
      <c r="C433" s="518"/>
      <c r="D433" s="518"/>
      <c r="E433" s="518"/>
      <c r="F433" s="518"/>
      <c r="G433" s="518"/>
      <c r="H433" s="518"/>
      <c r="I433" s="518"/>
      <c r="J433" s="518"/>
      <c r="K433" s="518"/>
      <c r="L433" s="518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  <c r="AB433" s="518"/>
      <c r="AC433" s="518"/>
      <c r="AD433" s="518"/>
      <c r="AE433" s="518"/>
      <c r="AF433" s="518"/>
      <c r="AG433" s="518"/>
      <c r="AH433" s="518"/>
      <c r="AI433" s="518"/>
      <c r="AJ433" s="518"/>
      <c r="AK433" s="518"/>
      <c r="AL433" s="518"/>
      <c r="AM433" s="518"/>
      <c r="AN433" s="518"/>
      <c r="AO433" s="518"/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</row>
    <row r="434" spans="1:57" ht="12.75" customHeight="1">
      <c r="A434" s="518"/>
      <c r="B434" s="518"/>
      <c r="C434" s="518"/>
      <c r="D434" s="518"/>
      <c r="E434" s="518"/>
      <c r="F434" s="518"/>
      <c r="G434" s="518"/>
      <c r="H434" s="518"/>
      <c r="I434" s="518"/>
      <c r="J434" s="518"/>
      <c r="K434" s="518"/>
      <c r="L434" s="518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  <c r="AB434" s="518"/>
      <c r="AC434" s="518"/>
      <c r="AD434" s="518"/>
      <c r="AE434" s="518"/>
      <c r="AF434" s="518"/>
      <c r="AG434" s="518"/>
      <c r="AH434" s="518"/>
      <c r="AI434" s="518"/>
      <c r="AJ434" s="518"/>
      <c r="AK434" s="518"/>
      <c r="AL434" s="518"/>
      <c r="AM434" s="518"/>
      <c r="AN434" s="518"/>
      <c r="AO434" s="518"/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</row>
    <row r="435" spans="1:57" ht="12.75" customHeight="1">
      <c r="A435" s="518"/>
      <c r="B435" s="518"/>
      <c r="C435" s="518"/>
      <c r="D435" s="518"/>
      <c r="E435" s="518"/>
      <c r="F435" s="518"/>
      <c r="G435" s="518"/>
      <c r="H435" s="518"/>
      <c r="I435" s="518"/>
      <c r="J435" s="518"/>
      <c r="K435" s="518"/>
      <c r="L435" s="518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  <c r="AB435" s="518"/>
      <c r="AC435" s="518"/>
      <c r="AD435" s="518"/>
      <c r="AE435" s="518"/>
      <c r="AF435" s="518"/>
      <c r="AG435" s="518"/>
      <c r="AH435" s="518"/>
      <c r="AI435" s="518"/>
      <c r="AJ435" s="518"/>
      <c r="AK435" s="518"/>
      <c r="AL435" s="518"/>
      <c r="AM435" s="518"/>
      <c r="AN435" s="518"/>
      <c r="AO435" s="518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</row>
    <row r="436" spans="1:57" ht="12.75" customHeight="1">
      <c r="A436" s="518"/>
      <c r="B436" s="518"/>
      <c r="C436" s="518"/>
      <c r="D436" s="518"/>
      <c r="E436" s="518"/>
      <c r="F436" s="518"/>
      <c r="G436" s="518"/>
      <c r="H436" s="518"/>
      <c r="I436" s="518"/>
      <c r="J436" s="518"/>
      <c r="K436" s="518"/>
      <c r="L436" s="518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  <c r="AB436" s="518"/>
      <c r="AC436" s="518"/>
      <c r="AD436" s="518"/>
      <c r="AE436" s="518"/>
      <c r="AF436" s="518"/>
      <c r="AG436" s="518"/>
      <c r="AH436" s="518"/>
      <c r="AI436" s="518"/>
      <c r="AJ436" s="518"/>
      <c r="AK436" s="518"/>
      <c r="AL436" s="518"/>
      <c r="AM436" s="518"/>
      <c r="AN436" s="518"/>
      <c r="AO436" s="518"/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</row>
    <row r="437" spans="1:57" ht="12.75" customHeight="1">
      <c r="A437" s="518"/>
      <c r="B437" s="518"/>
      <c r="C437" s="518"/>
      <c r="D437" s="518"/>
      <c r="E437" s="518"/>
      <c r="F437" s="518"/>
      <c r="G437" s="518"/>
      <c r="H437" s="518"/>
      <c r="I437" s="518"/>
      <c r="J437" s="518"/>
      <c r="K437" s="518"/>
      <c r="L437" s="518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  <c r="AB437" s="518"/>
      <c r="AC437" s="518"/>
      <c r="AD437" s="518"/>
      <c r="AE437" s="518"/>
      <c r="AF437" s="518"/>
      <c r="AG437" s="518"/>
      <c r="AH437" s="518"/>
      <c r="AI437" s="518"/>
      <c r="AJ437" s="518"/>
      <c r="AK437" s="518"/>
      <c r="AL437" s="518"/>
      <c r="AM437" s="518"/>
      <c r="AN437" s="518"/>
      <c r="AO437" s="518"/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</row>
    <row r="438" spans="1:57" ht="12.75" customHeight="1">
      <c r="A438" s="518"/>
      <c r="B438" s="518"/>
      <c r="C438" s="518"/>
      <c r="D438" s="518"/>
      <c r="E438" s="518"/>
      <c r="F438" s="518"/>
      <c r="G438" s="518"/>
      <c r="H438" s="518"/>
      <c r="I438" s="518"/>
      <c r="J438" s="518"/>
      <c r="K438" s="518"/>
      <c r="L438" s="518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  <c r="AB438" s="518"/>
      <c r="AC438" s="518"/>
      <c r="AD438" s="518"/>
      <c r="AE438" s="518"/>
      <c r="AF438" s="518"/>
      <c r="AG438" s="518"/>
      <c r="AH438" s="518"/>
      <c r="AI438" s="518"/>
      <c r="AJ438" s="518"/>
      <c r="AK438" s="518"/>
      <c r="AL438" s="518"/>
      <c r="AM438" s="518"/>
      <c r="AN438" s="518"/>
      <c r="AO438" s="518"/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</row>
    <row r="439" spans="1:57" ht="12.75" customHeight="1">
      <c r="A439" s="518"/>
      <c r="B439" s="518"/>
      <c r="C439" s="518"/>
      <c r="D439" s="518"/>
      <c r="E439" s="518"/>
      <c r="F439" s="518"/>
      <c r="G439" s="518"/>
      <c r="H439" s="518"/>
      <c r="I439" s="518"/>
      <c r="J439" s="518"/>
      <c r="K439" s="518"/>
      <c r="L439" s="518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  <c r="AB439" s="518"/>
      <c r="AC439" s="518"/>
      <c r="AD439" s="518"/>
      <c r="AE439" s="518"/>
      <c r="AF439" s="518"/>
      <c r="AG439" s="518"/>
      <c r="AH439" s="518"/>
      <c r="AI439" s="518"/>
      <c r="AJ439" s="518"/>
      <c r="AK439" s="518"/>
      <c r="AL439" s="518"/>
      <c r="AM439" s="518"/>
      <c r="AN439" s="518"/>
      <c r="AO439" s="518"/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</row>
    <row r="440" spans="1:57" ht="12.75" customHeight="1">
      <c r="A440" s="518"/>
      <c r="B440" s="518"/>
      <c r="C440" s="518"/>
      <c r="D440" s="518"/>
      <c r="E440" s="518"/>
      <c r="F440" s="518"/>
      <c r="G440" s="518"/>
      <c r="H440" s="518"/>
      <c r="I440" s="518"/>
      <c r="J440" s="518"/>
      <c r="K440" s="518"/>
      <c r="L440" s="518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  <c r="AB440" s="518"/>
      <c r="AC440" s="518"/>
      <c r="AD440" s="518"/>
      <c r="AE440" s="518"/>
      <c r="AF440" s="518"/>
      <c r="AG440" s="518"/>
      <c r="AH440" s="518"/>
      <c r="AI440" s="518"/>
      <c r="AJ440" s="518"/>
      <c r="AK440" s="518"/>
      <c r="AL440" s="518"/>
      <c r="AM440" s="518"/>
      <c r="AN440" s="518"/>
      <c r="AO440" s="518"/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</row>
    <row r="441" spans="1:57" ht="12.75" customHeight="1">
      <c r="A441" s="518"/>
      <c r="B441" s="518"/>
      <c r="C441" s="518"/>
      <c r="D441" s="518"/>
      <c r="E441" s="518"/>
      <c r="F441" s="518"/>
      <c r="G441" s="518"/>
      <c r="H441" s="518"/>
      <c r="I441" s="518"/>
      <c r="J441" s="518"/>
      <c r="K441" s="518"/>
      <c r="L441" s="518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  <c r="AB441" s="518"/>
      <c r="AC441" s="518"/>
      <c r="AD441" s="518"/>
      <c r="AE441" s="518"/>
      <c r="AF441" s="518"/>
      <c r="AG441" s="518"/>
      <c r="AH441" s="518"/>
      <c r="AI441" s="518"/>
      <c r="AJ441" s="518"/>
      <c r="AK441" s="518"/>
      <c r="AL441" s="518"/>
      <c r="AM441" s="518"/>
      <c r="AN441" s="518"/>
      <c r="AO441" s="518"/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</row>
    <row r="442" spans="1:57" ht="12.75" customHeight="1">
      <c r="A442" s="518"/>
      <c r="B442" s="518"/>
      <c r="C442" s="518"/>
      <c r="D442" s="518"/>
      <c r="E442" s="518"/>
      <c r="F442" s="518"/>
      <c r="G442" s="518"/>
      <c r="H442" s="518"/>
      <c r="I442" s="518"/>
      <c r="J442" s="518"/>
      <c r="K442" s="518"/>
      <c r="L442" s="518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  <c r="AB442" s="518"/>
      <c r="AC442" s="518"/>
      <c r="AD442" s="518"/>
      <c r="AE442" s="518"/>
      <c r="AF442" s="518"/>
      <c r="AG442" s="518"/>
      <c r="AH442" s="518"/>
      <c r="AI442" s="518"/>
      <c r="AJ442" s="518"/>
      <c r="AK442" s="518"/>
      <c r="AL442" s="518"/>
      <c r="AM442" s="518"/>
      <c r="AN442" s="518"/>
      <c r="AO442" s="518"/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</row>
    <row r="443" spans="1:57" ht="12.75" customHeight="1">
      <c r="A443" s="518"/>
      <c r="B443" s="518"/>
      <c r="C443" s="518"/>
      <c r="D443" s="518"/>
      <c r="E443" s="518"/>
      <c r="F443" s="518"/>
      <c r="G443" s="518"/>
      <c r="H443" s="518"/>
      <c r="I443" s="518"/>
      <c r="J443" s="518"/>
      <c r="K443" s="518"/>
      <c r="L443" s="518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  <c r="AB443" s="518"/>
      <c r="AC443" s="518"/>
      <c r="AD443" s="518"/>
      <c r="AE443" s="518"/>
      <c r="AF443" s="518"/>
      <c r="AG443" s="518"/>
      <c r="AH443" s="518"/>
      <c r="AI443" s="518"/>
      <c r="AJ443" s="518"/>
      <c r="AK443" s="518"/>
      <c r="AL443" s="518"/>
      <c r="AM443" s="518"/>
      <c r="AN443" s="518"/>
      <c r="AO443" s="518"/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</row>
    <row r="444" spans="1:57" ht="12.75" customHeight="1">
      <c r="A444" s="518"/>
      <c r="B444" s="518"/>
      <c r="C444" s="518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  <c r="AB444" s="518"/>
      <c r="AC444" s="518"/>
      <c r="AD444" s="518"/>
      <c r="AE444" s="518"/>
      <c r="AF444" s="518"/>
      <c r="AG444" s="518"/>
      <c r="AH444" s="518"/>
      <c r="AI444" s="518"/>
      <c r="AJ444" s="518"/>
      <c r="AK444" s="518"/>
      <c r="AL444" s="518"/>
      <c r="AM444" s="518"/>
      <c r="AN444" s="518"/>
      <c r="AO444" s="518"/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</row>
    <row r="445" spans="1:57" ht="12.75" customHeight="1">
      <c r="A445" s="518"/>
      <c r="B445" s="518"/>
      <c r="C445" s="518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  <c r="AB445" s="518"/>
      <c r="AC445" s="518"/>
      <c r="AD445" s="518"/>
      <c r="AE445" s="518"/>
      <c r="AF445" s="518"/>
      <c r="AG445" s="518"/>
      <c r="AH445" s="518"/>
      <c r="AI445" s="518"/>
      <c r="AJ445" s="518"/>
      <c r="AK445" s="518"/>
      <c r="AL445" s="518"/>
      <c r="AM445" s="518"/>
      <c r="AN445" s="518"/>
      <c r="AO445" s="518"/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</row>
    <row r="446" spans="1:57" ht="12.75" customHeight="1">
      <c r="A446" s="518"/>
      <c r="B446" s="518"/>
      <c r="C446" s="518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  <c r="AB446" s="518"/>
      <c r="AC446" s="518"/>
      <c r="AD446" s="518"/>
      <c r="AE446" s="518"/>
      <c r="AF446" s="518"/>
      <c r="AG446" s="518"/>
      <c r="AH446" s="518"/>
      <c r="AI446" s="518"/>
      <c r="AJ446" s="518"/>
      <c r="AK446" s="518"/>
      <c r="AL446" s="518"/>
      <c r="AM446" s="518"/>
      <c r="AN446" s="518"/>
      <c r="AO446" s="518"/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</row>
    <row r="447" spans="1:57" ht="12.75" customHeight="1">
      <c r="A447" s="518"/>
      <c r="B447" s="518"/>
      <c r="C447" s="518"/>
      <c r="D447" s="518"/>
      <c r="E447" s="518"/>
      <c r="F447" s="518"/>
      <c r="G447" s="518"/>
      <c r="H447" s="518"/>
      <c r="I447" s="518"/>
      <c r="J447" s="518"/>
      <c r="K447" s="518"/>
      <c r="L447" s="518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  <c r="AB447" s="518"/>
      <c r="AC447" s="518"/>
      <c r="AD447" s="518"/>
      <c r="AE447" s="518"/>
      <c r="AF447" s="518"/>
      <c r="AG447" s="518"/>
      <c r="AH447" s="518"/>
      <c r="AI447" s="518"/>
      <c r="AJ447" s="518"/>
      <c r="AK447" s="518"/>
      <c r="AL447" s="518"/>
      <c r="AM447" s="518"/>
      <c r="AN447" s="518"/>
      <c r="AO447" s="518"/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</row>
    <row r="448" spans="1:57" ht="12.75" customHeight="1">
      <c r="A448" s="518"/>
      <c r="B448" s="518"/>
      <c r="C448" s="518"/>
      <c r="D448" s="518"/>
      <c r="E448" s="518"/>
      <c r="F448" s="518"/>
      <c r="G448" s="518"/>
      <c r="H448" s="518"/>
      <c r="I448" s="518"/>
      <c r="J448" s="518"/>
      <c r="K448" s="518"/>
      <c r="L448" s="518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  <c r="AB448" s="518"/>
      <c r="AC448" s="518"/>
      <c r="AD448" s="518"/>
      <c r="AE448" s="518"/>
      <c r="AF448" s="518"/>
      <c r="AG448" s="518"/>
      <c r="AH448" s="518"/>
      <c r="AI448" s="518"/>
      <c r="AJ448" s="518"/>
      <c r="AK448" s="518"/>
      <c r="AL448" s="518"/>
      <c r="AM448" s="518"/>
      <c r="AN448" s="518"/>
      <c r="AO448" s="518"/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</row>
    <row r="449" spans="1:57" ht="12.75" customHeight="1">
      <c r="A449" s="518"/>
      <c r="B449" s="518"/>
      <c r="C449" s="518"/>
      <c r="D449" s="518"/>
      <c r="E449" s="518"/>
      <c r="F449" s="518"/>
      <c r="G449" s="518"/>
      <c r="H449" s="518"/>
      <c r="I449" s="518"/>
      <c r="J449" s="518"/>
      <c r="K449" s="518"/>
      <c r="L449" s="518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  <c r="AB449" s="518"/>
      <c r="AC449" s="518"/>
      <c r="AD449" s="518"/>
      <c r="AE449" s="518"/>
      <c r="AF449" s="518"/>
      <c r="AG449" s="518"/>
      <c r="AH449" s="518"/>
      <c r="AI449" s="518"/>
      <c r="AJ449" s="518"/>
      <c r="AK449" s="518"/>
      <c r="AL449" s="518"/>
      <c r="AM449" s="518"/>
      <c r="AN449" s="518"/>
      <c r="AO449" s="518"/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</row>
    <row r="450" spans="1:57" ht="12.75" customHeight="1">
      <c r="A450" s="518"/>
      <c r="B450" s="518"/>
      <c r="C450" s="518"/>
      <c r="D450" s="518"/>
      <c r="E450" s="518"/>
      <c r="F450" s="518"/>
      <c r="G450" s="518"/>
      <c r="H450" s="518"/>
      <c r="I450" s="518"/>
      <c r="J450" s="518"/>
      <c r="K450" s="518"/>
      <c r="L450" s="518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18"/>
      <c r="AN450" s="518"/>
      <c r="AO450" s="518"/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</row>
    <row r="451" spans="1:57" ht="12.75" customHeight="1">
      <c r="A451" s="518"/>
      <c r="B451" s="518"/>
      <c r="C451" s="518"/>
      <c r="D451" s="518"/>
      <c r="E451" s="518"/>
      <c r="F451" s="518"/>
      <c r="G451" s="518"/>
      <c r="H451" s="518"/>
      <c r="I451" s="518"/>
      <c r="J451" s="518"/>
      <c r="K451" s="518"/>
      <c r="L451" s="518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  <c r="AB451" s="518"/>
      <c r="AC451" s="518"/>
      <c r="AD451" s="518"/>
      <c r="AE451" s="518"/>
      <c r="AF451" s="518"/>
      <c r="AG451" s="518"/>
      <c r="AH451" s="518"/>
      <c r="AI451" s="518"/>
      <c r="AJ451" s="518"/>
      <c r="AK451" s="518"/>
      <c r="AL451" s="518"/>
      <c r="AM451" s="518"/>
      <c r="AN451" s="518"/>
      <c r="AO451" s="518"/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</row>
    <row r="452" spans="1:57" ht="12.75" customHeight="1">
      <c r="A452" s="518"/>
      <c r="B452" s="518"/>
      <c r="C452" s="518"/>
      <c r="D452" s="518"/>
      <c r="E452" s="518"/>
      <c r="F452" s="518"/>
      <c r="G452" s="518"/>
      <c r="H452" s="518"/>
      <c r="I452" s="518"/>
      <c r="J452" s="518"/>
      <c r="K452" s="518"/>
      <c r="L452" s="518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  <c r="AB452" s="518"/>
      <c r="AC452" s="518"/>
      <c r="AD452" s="518"/>
      <c r="AE452" s="518"/>
      <c r="AF452" s="518"/>
      <c r="AG452" s="518"/>
      <c r="AH452" s="518"/>
      <c r="AI452" s="518"/>
      <c r="AJ452" s="518"/>
      <c r="AK452" s="518"/>
      <c r="AL452" s="518"/>
      <c r="AM452" s="518"/>
      <c r="AN452" s="518"/>
      <c r="AO452" s="518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</row>
    <row r="453" spans="1:57" ht="12.75" customHeight="1">
      <c r="A453" s="518"/>
      <c r="B453" s="518"/>
      <c r="C453" s="518"/>
      <c r="D453" s="518"/>
      <c r="E453" s="518"/>
      <c r="F453" s="518"/>
      <c r="G453" s="518"/>
      <c r="H453" s="518"/>
      <c r="I453" s="518"/>
      <c r="J453" s="518"/>
      <c r="K453" s="518"/>
      <c r="L453" s="518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  <c r="AB453" s="518"/>
      <c r="AC453" s="518"/>
      <c r="AD453" s="518"/>
      <c r="AE453" s="518"/>
      <c r="AF453" s="518"/>
      <c r="AG453" s="518"/>
      <c r="AH453" s="518"/>
      <c r="AI453" s="518"/>
      <c r="AJ453" s="518"/>
      <c r="AK453" s="518"/>
      <c r="AL453" s="518"/>
      <c r="AM453" s="518"/>
      <c r="AN453" s="518"/>
      <c r="AO453" s="518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</row>
    <row r="454" spans="1:57" ht="12.75" customHeight="1">
      <c r="A454" s="518"/>
      <c r="B454" s="518"/>
      <c r="C454" s="518"/>
      <c r="D454" s="518"/>
      <c r="E454" s="518"/>
      <c r="F454" s="518"/>
      <c r="G454" s="518"/>
      <c r="H454" s="518"/>
      <c r="I454" s="518"/>
      <c r="J454" s="518"/>
      <c r="K454" s="518"/>
      <c r="L454" s="518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18"/>
      <c r="AN454" s="518"/>
      <c r="AO454" s="518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</row>
    <row r="455" spans="1:57" ht="12.75" customHeight="1">
      <c r="A455" s="518"/>
      <c r="B455" s="518"/>
      <c r="C455" s="518"/>
      <c r="D455" s="518"/>
      <c r="E455" s="518"/>
      <c r="F455" s="518"/>
      <c r="G455" s="518"/>
      <c r="H455" s="518"/>
      <c r="I455" s="518"/>
      <c r="J455" s="518"/>
      <c r="K455" s="518"/>
      <c r="L455" s="518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  <c r="AB455" s="518"/>
      <c r="AC455" s="518"/>
      <c r="AD455" s="518"/>
      <c r="AE455" s="518"/>
      <c r="AF455" s="518"/>
      <c r="AG455" s="518"/>
      <c r="AH455" s="518"/>
      <c r="AI455" s="518"/>
      <c r="AJ455" s="518"/>
      <c r="AK455" s="518"/>
      <c r="AL455" s="518"/>
      <c r="AM455" s="518"/>
      <c r="AN455" s="518"/>
      <c r="AO455" s="518"/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</row>
    <row r="456" spans="1:57" ht="12.75" customHeight="1">
      <c r="A456" s="518"/>
      <c r="B456" s="518"/>
      <c r="C456" s="518"/>
      <c r="D456" s="518"/>
      <c r="E456" s="518"/>
      <c r="F456" s="518"/>
      <c r="G456" s="518"/>
      <c r="H456" s="518"/>
      <c r="I456" s="518"/>
      <c r="J456" s="518"/>
      <c r="K456" s="518"/>
      <c r="L456" s="518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  <c r="AB456" s="518"/>
      <c r="AC456" s="518"/>
      <c r="AD456" s="518"/>
      <c r="AE456" s="518"/>
      <c r="AF456" s="518"/>
      <c r="AG456" s="518"/>
      <c r="AH456" s="518"/>
      <c r="AI456" s="518"/>
      <c r="AJ456" s="518"/>
      <c r="AK456" s="518"/>
      <c r="AL456" s="518"/>
      <c r="AM456" s="518"/>
      <c r="AN456" s="518"/>
      <c r="AO456" s="518"/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</row>
    <row r="457" spans="1:57" ht="12.75" customHeight="1">
      <c r="A457" s="518"/>
      <c r="B457" s="518"/>
      <c r="C457" s="518"/>
      <c r="D457" s="518"/>
      <c r="E457" s="518"/>
      <c r="F457" s="518"/>
      <c r="G457" s="518"/>
      <c r="H457" s="518"/>
      <c r="I457" s="518"/>
      <c r="J457" s="518"/>
      <c r="K457" s="518"/>
      <c r="L457" s="518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  <c r="AB457" s="518"/>
      <c r="AC457" s="518"/>
      <c r="AD457" s="518"/>
      <c r="AE457" s="518"/>
      <c r="AF457" s="518"/>
      <c r="AG457" s="518"/>
      <c r="AH457" s="518"/>
      <c r="AI457" s="518"/>
      <c r="AJ457" s="518"/>
      <c r="AK457" s="518"/>
      <c r="AL457" s="518"/>
      <c r="AM457" s="518"/>
      <c r="AN457" s="518"/>
      <c r="AO457" s="518"/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</row>
    <row r="458" spans="1:57" ht="12.75" customHeight="1">
      <c r="A458" s="518"/>
      <c r="B458" s="518"/>
      <c r="C458" s="518"/>
      <c r="D458" s="518"/>
      <c r="E458" s="518"/>
      <c r="F458" s="518"/>
      <c r="G458" s="518"/>
      <c r="H458" s="518"/>
      <c r="I458" s="518"/>
      <c r="J458" s="518"/>
      <c r="K458" s="518"/>
      <c r="L458" s="518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  <c r="AB458" s="518"/>
      <c r="AC458" s="518"/>
      <c r="AD458" s="518"/>
      <c r="AE458" s="518"/>
      <c r="AF458" s="518"/>
      <c r="AG458" s="518"/>
      <c r="AH458" s="518"/>
      <c r="AI458" s="518"/>
      <c r="AJ458" s="518"/>
      <c r="AK458" s="518"/>
      <c r="AL458" s="518"/>
      <c r="AM458" s="518"/>
      <c r="AN458" s="518"/>
      <c r="AO458" s="518"/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</row>
    <row r="459" spans="1:57" ht="12.75" customHeight="1">
      <c r="A459" s="518"/>
      <c r="B459" s="518"/>
      <c r="C459" s="518"/>
      <c r="D459" s="518"/>
      <c r="E459" s="518"/>
      <c r="F459" s="518"/>
      <c r="G459" s="518"/>
      <c r="H459" s="518"/>
      <c r="I459" s="518"/>
      <c r="J459" s="518"/>
      <c r="K459" s="518"/>
      <c r="L459" s="518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  <c r="AB459" s="518"/>
      <c r="AC459" s="518"/>
      <c r="AD459" s="518"/>
      <c r="AE459" s="518"/>
      <c r="AF459" s="518"/>
      <c r="AG459" s="518"/>
      <c r="AH459" s="518"/>
      <c r="AI459" s="518"/>
      <c r="AJ459" s="518"/>
      <c r="AK459" s="518"/>
      <c r="AL459" s="518"/>
      <c r="AM459" s="518"/>
      <c r="AN459" s="518"/>
      <c r="AO459" s="518"/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</row>
    <row r="460" spans="1:57" ht="12.75" customHeight="1">
      <c r="A460" s="518"/>
      <c r="B460" s="518"/>
      <c r="C460" s="518"/>
      <c r="D460" s="518"/>
      <c r="E460" s="518"/>
      <c r="F460" s="518"/>
      <c r="G460" s="518"/>
      <c r="H460" s="518"/>
      <c r="I460" s="518"/>
      <c r="J460" s="518"/>
      <c r="K460" s="518"/>
      <c r="L460" s="518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  <c r="AB460" s="518"/>
      <c r="AC460" s="518"/>
      <c r="AD460" s="518"/>
      <c r="AE460" s="518"/>
      <c r="AF460" s="518"/>
      <c r="AG460" s="518"/>
      <c r="AH460" s="518"/>
      <c r="AI460" s="518"/>
      <c r="AJ460" s="518"/>
      <c r="AK460" s="518"/>
      <c r="AL460" s="518"/>
      <c r="AM460" s="518"/>
      <c r="AN460" s="518"/>
      <c r="AO460" s="518"/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</row>
    <row r="461" spans="1:57" ht="12.75" customHeight="1">
      <c r="A461" s="518"/>
      <c r="B461" s="518"/>
      <c r="C461" s="518"/>
      <c r="D461" s="518"/>
      <c r="E461" s="518"/>
      <c r="F461" s="518"/>
      <c r="G461" s="518"/>
      <c r="H461" s="518"/>
      <c r="I461" s="518"/>
      <c r="J461" s="518"/>
      <c r="K461" s="518"/>
      <c r="L461" s="518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  <c r="AB461" s="518"/>
      <c r="AC461" s="518"/>
      <c r="AD461" s="518"/>
      <c r="AE461" s="518"/>
      <c r="AF461" s="518"/>
      <c r="AG461" s="518"/>
      <c r="AH461" s="518"/>
      <c r="AI461" s="518"/>
      <c r="AJ461" s="518"/>
      <c r="AK461" s="518"/>
      <c r="AL461" s="518"/>
      <c r="AM461" s="518"/>
      <c r="AN461" s="518"/>
      <c r="AO461" s="518"/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</row>
    <row r="462" spans="1:57" ht="12.75" customHeight="1">
      <c r="A462" s="518"/>
      <c r="B462" s="518"/>
      <c r="C462" s="518"/>
      <c r="D462" s="518"/>
      <c r="E462" s="518"/>
      <c r="F462" s="518"/>
      <c r="G462" s="518"/>
      <c r="H462" s="518"/>
      <c r="I462" s="518"/>
      <c r="J462" s="518"/>
      <c r="K462" s="518"/>
      <c r="L462" s="518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  <c r="AB462" s="518"/>
      <c r="AC462" s="518"/>
      <c r="AD462" s="518"/>
      <c r="AE462" s="518"/>
      <c r="AF462" s="518"/>
      <c r="AG462" s="518"/>
      <c r="AH462" s="518"/>
      <c r="AI462" s="518"/>
      <c r="AJ462" s="518"/>
      <c r="AK462" s="518"/>
      <c r="AL462" s="518"/>
      <c r="AM462" s="518"/>
      <c r="AN462" s="518"/>
      <c r="AO462" s="518"/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</row>
    <row r="463" spans="1:57" ht="12.75" customHeight="1">
      <c r="A463" s="518"/>
      <c r="B463" s="518"/>
      <c r="C463" s="518"/>
      <c r="D463" s="518"/>
      <c r="E463" s="518"/>
      <c r="F463" s="518"/>
      <c r="G463" s="518"/>
      <c r="H463" s="518"/>
      <c r="I463" s="518"/>
      <c r="J463" s="518"/>
      <c r="K463" s="518"/>
      <c r="L463" s="518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  <c r="AB463" s="518"/>
      <c r="AC463" s="518"/>
      <c r="AD463" s="518"/>
      <c r="AE463" s="518"/>
      <c r="AF463" s="518"/>
      <c r="AG463" s="518"/>
      <c r="AH463" s="518"/>
      <c r="AI463" s="518"/>
      <c r="AJ463" s="518"/>
      <c r="AK463" s="518"/>
      <c r="AL463" s="518"/>
      <c r="AM463" s="518"/>
      <c r="AN463" s="518"/>
      <c r="AO463" s="518"/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</row>
    <row r="464" spans="1:57" ht="12.75" customHeight="1">
      <c r="A464" s="518"/>
      <c r="B464" s="518"/>
      <c r="C464" s="518"/>
      <c r="D464" s="518"/>
      <c r="E464" s="518"/>
      <c r="F464" s="518"/>
      <c r="G464" s="518"/>
      <c r="H464" s="518"/>
      <c r="I464" s="518"/>
      <c r="J464" s="518"/>
      <c r="K464" s="518"/>
      <c r="L464" s="518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  <c r="AB464" s="518"/>
      <c r="AC464" s="518"/>
      <c r="AD464" s="518"/>
      <c r="AE464" s="518"/>
      <c r="AF464" s="518"/>
      <c r="AG464" s="518"/>
      <c r="AH464" s="518"/>
      <c r="AI464" s="518"/>
      <c r="AJ464" s="518"/>
      <c r="AK464" s="518"/>
      <c r="AL464" s="518"/>
      <c r="AM464" s="518"/>
      <c r="AN464" s="518"/>
      <c r="AO464" s="518"/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</row>
    <row r="465" spans="1:57" ht="12.75" customHeight="1">
      <c r="A465" s="518"/>
      <c r="B465" s="518"/>
      <c r="C465" s="518"/>
      <c r="D465" s="518"/>
      <c r="E465" s="518"/>
      <c r="F465" s="518"/>
      <c r="G465" s="518"/>
      <c r="H465" s="518"/>
      <c r="I465" s="518"/>
      <c r="J465" s="518"/>
      <c r="K465" s="518"/>
      <c r="L465" s="518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  <c r="AB465" s="518"/>
      <c r="AC465" s="518"/>
      <c r="AD465" s="518"/>
      <c r="AE465" s="518"/>
      <c r="AF465" s="518"/>
      <c r="AG465" s="518"/>
      <c r="AH465" s="518"/>
      <c r="AI465" s="518"/>
      <c r="AJ465" s="518"/>
      <c r="AK465" s="518"/>
      <c r="AL465" s="518"/>
      <c r="AM465" s="518"/>
      <c r="AN465" s="518"/>
      <c r="AO465" s="518"/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</row>
    <row r="466" spans="1:57" ht="12.75" customHeight="1">
      <c r="A466" s="518"/>
      <c r="B466" s="518"/>
      <c r="C466" s="518"/>
      <c r="D466" s="518"/>
      <c r="E466" s="518"/>
      <c r="F466" s="518"/>
      <c r="G466" s="518"/>
      <c r="H466" s="518"/>
      <c r="I466" s="518"/>
      <c r="J466" s="518"/>
      <c r="K466" s="518"/>
      <c r="L466" s="518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  <c r="AB466" s="518"/>
      <c r="AC466" s="518"/>
      <c r="AD466" s="518"/>
      <c r="AE466" s="518"/>
      <c r="AF466" s="518"/>
      <c r="AG466" s="518"/>
      <c r="AH466" s="518"/>
      <c r="AI466" s="518"/>
      <c r="AJ466" s="518"/>
      <c r="AK466" s="518"/>
      <c r="AL466" s="518"/>
      <c r="AM466" s="518"/>
      <c r="AN466" s="518"/>
      <c r="AO466" s="518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</row>
    <row r="467" spans="1:57" ht="12.75" customHeight="1">
      <c r="A467" s="518"/>
      <c r="B467" s="518"/>
      <c r="C467" s="518"/>
      <c r="D467" s="518"/>
      <c r="E467" s="518"/>
      <c r="F467" s="518"/>
      <c r="G467" s="518"/>
      <c r="H467" s="518"/>
      <c r="I467" s="518"/>
      <c r="J467" s="518"/>
      <c r="K467" s="518"/>
      <c r="L467" s="518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  <c r="AB467" s="518"/>
      <c r="AC467" s="518"/>
      <c r="AD467" s="518"/>
      <c r="AE467" s="518"/>
      <c r="AF467" s="518"/>
      <c r="AG467" s="518"/>
      <c r="AH467" s="518"/>
      <c r="AI467" s="518"/>
      <c r="AJ467" s="518"/>
      <c r="AK467" s="518"/>
      <c r="AL467" s="518"/>
      <c r="AM467" s="518"/>
      <c r="AN467" s="518"/>
      <c r="AO467" s="518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</row>
    <row r="468" spans="1:57" ht="12.75" customHeight="1">
      <c r="A468" s="518"/>
      <c r="B468" s="518"/>
      <c r="C468" s="518"/>
      <c r="D468" s="518"/>
      <c r="E468" s="518"/>
      <c r="F468" s="518"/>
      <c r="G468" s="518"/>
      <c r="H468" s="518"/>
      <c r="I468" s="518"/>
      <c r="J468" s="518"/>
      <c r="K468" s="518"/>
      <c r="L468" s="518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  <c r="AB468" s="518"/>
      <c r="AC468" s="518"/>
      <c r="AD468" s="518"/>
      <c r="AE468" s="518"/>
      <c r="AF468" s="518"/>
      <c r="AG468" s="518"/>
      <c r="AH468" s="518"/>
      <c r="AI468" s="518"/>
      <c r="AJ468" s="518"/>
      <c r="AK468" s="518"/>
      <c r="AL468" s="518"/>
      <c r="AM468" s="518"/>
      <c r="AN468" s="518"/>
      <c r="AO468" s="518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</row>
    <row r="469" spans="1:57" ht="12.75" customHeight="1">
      <c r="A469" s="518"/>
      <c r="B469" s="518"/>
      <c r="C469" s="518"/>
      <c r="D469" s="518"/>
      <c r="E469" s="518"/>
      <c r="F469" s="518"/>
      <c r="G469" s="518"/>
      <c r="H469" s="518"/>
      <c r="I469" s="518"/>
      <c r="J469" s="518"/>
      <c r="K469" s="518"/>
      <c r="L469" s="518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  <c r="AB469" s="518"/>
      <c r="AC469" s="518"/>
      <c r="AD469" s="518"/>
      <c r="AE469" s="518"/>
      <c r="AF469" s="518"/>
      <c r="AG469" s="518"/>
      <c r="AH469" s="518"/>
      <c r="AI469" s="518"/>
      <c r="AJ469" s="518"/>
      <c r="AK469" s="518"/>
      <c r="AL469" s="518"/>
      <c r="AM469" s="518"/>
      <c r="AN469" s="518"/>
      <c r="AO469" s="518"/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</row>
    <row r="470" spans="1:57" ht="12.75" customHeight="1">
      <c r="A470" s="518"/>
      <c r="B470" s="518"/>
      <c r="C470" s="518"/>
      <c r="D470" s="518"/>
      <c r="E470" s="518"/>
      <c r="F470" s="518"/>
      <c r="G470" s="518"/>
      <c r="H470" s="518"/>
      <c r="I470" s="518"/>
      <c r="J470" s="518"/>
      <c r="K470" s="518"/>
      <c r="L470" s="518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  <c r="AB470" s="518"/>
      <c r="AC470" s="518"/>
      <c r="AD470" s="518"/>
      <c r="AE470" s="518"/>
      <c r="AF470" s="518"/>
      <c r="AG470" s="518"/>
      <c r="AH470" s="518"/>
      <c r="AI470" s="518"/>
      <c r="AJ470" s="518"/>
      <c r="AK470" s="518"/>
      <c r="AL470" s="518"/>
      <c r="AM470" s="518"/>
      <c r="AN470" s="518"/>
      <c r="AO470" s="518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</row>
    <row r="471" spans="1:57" ht="12.75" customHeight="1">
      <c r="A471" s="518"/>
      <c r="B471" s="518"/>
      <c r="C471" s="518"/>
      <c r="D471" s="518"/>
      <c r="E471" s="518"/>
      <c r="F471" s="518"/>
      <c r="G471" s="518"/>
      <c r="H471" s="518"/>
      <c r="I471" s="518"/>
      <c r="J471" s="518"/>
      <c r="K471" s="518"/>
      <c r="L471" s="518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  <c r="AB471" s="518"/>
      <c r="AC471" s="518"/>
      <c r="AD471" s="518"/>
      <c r="AE471" s="518"/>
      <c r="AF471" s="518"/>
      <c r="AG471" s="518"/>
      <c r="AH471" s="518"/>
      <c r="AI471" s="518"/>
      <c r="AJ471" s="518"/>
      <c r="AK471" s="518"/>
      <c r="AL471" s="518"/>
      <c r="AM471" s="518"/>
      <c r="AN471" s="518"/>
      <c r="AO471" s="518"/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</row>
    <row r="472" spans="1:57" ht="12.75" customHeight="1">
      <c r="A472" s="518"/>
      <c r="B472" s="518"/>
      <c r="C472" s="518"/>
      <c r="D472" s="518"/>
      <c r="E472" s="518"/>
      <c r="F472" s="518"/>
      <c r="G472" s="518"/>
      <c r="H472" s="518"/>
      <c r="I472" s="518"/>
      <c r="J472" s="518"/>
      <c r="K472" s="518"/>
      <c r="L472" s="518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  <c r="AB472" s="518"/>
      <c r="AC472" s="518"/>
      <c r="AD472" s="518"/>
      <c r="AE472" s="518"/>
      <c r="AF472" s="518"/>
      <c r="AG472" s="518"/>
      <c r="AH472" s="518"/>
      <c r="AI472" s="518"/>
      <c r="AJ472" s="518"/>
      <c r="AK472" s="518"/>
      <c r="AL472" s="518"/>
      <c r="AM472" s="518"/>
      <c r="AN472" s="518"/>
      <c r="AO472" s="518"/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</row>
    <row r="473" spans="1:57" ht="12.75" customHeight="1">
      <c r="A473" s="518"/>
      <c r="B473" s="518"/>
      <c r="C473" s="518"/>
      <c r="D473" s="518"/>
      <c r="E473" s="518"/>
      <c r="F473" s="518"/>
      <c r="G473" s="518"/>
      <c r="H473" s="518"/>
      <c r="I473" s="518"/>
      <c r="J473" s="518"/>
      <c r="K473" s="518"/>
      <c r="L473" s="518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  <c r="AB473" s="518"/>
      <c r="AC473" s="518"/>
      <c r="AD473" s="518"/>
      <c r="AE473" s="518"/>
      <c r="AF473" s="518"/>
      <c r="AG473" s="518"/>
      <c r="AH473" s="518"/>
      <c r="AI473" s="518"/>
      <c r="AJ473" s="518"/>
      <c r="AK473" s="518"/>
      <c r="AL473" s="518"/>
      <c r="AM473" s="518"/>
      <c r="AN473" s="518"/>
      <c r="AO473" s="518"/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</row>
    <row r="474" spans="1:57" ht="12.75" customHeight="1">
      <c r="A474" s="518"/>
      <c r="B474" s="518"/>
      <c r="C474" s="518"/>
      <c r="D474" s="518"/>
      <c r="E474" s="518"/>
      <c r="F474" s="518"/>
      <c r="G474" s="518"/>
      <c r="H474" s="518"/>
      <c r="I474" s="518"/>
      <c r="J474" s="518"/>
      <c r="K474" s="518"/>
      <c r="L474" s="518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  <c r="AB474" s="518"/>
      <c r="AC474" s="518"/>
      <c r="AD474" s="518"/>
      <c r="AE474" s="518"/>
      <c r="AF474" s="518"/>
      <c r="AG474" s="518"/>
      <c r="AH474" s="518"/>
      <c r="AI474" s="518"/>
      <c r="AJ474" s="518"/>
      <c r="AK474" s="518"/>
      <c r="AL474" s="518"/>
      <c r="AM474" s="518"/>
      <c r="AN474" s="518"/>
      <c r="AO474" s="518"/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</row>
    <row r="475" spans="1:57" ht="12.75" customHeight="1">
      <c r="A475" s="518"/>
      <c r="B475" s="518"/>
      <c r="C475" s="518"/>
      <c r="D475" s="518"/>
      <c r="E475" s="518"/>
      <c r="F475" s="518"/>
      <c r="G475" s="518"/>
      <c r="H475" s="518"/>
      <c r="I475" s="518"/>
      <c r="J475" s="518"/>
      <c r="K475" s="518"/>
      <c r="L475" s="518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  <c r="AB475" s="518"/>
      <c r="AC475" s="518"/>
      <c r="AD475" s="518"/>
      <c r="AE475" s="518"/>
      <c r="AF475" s="518"/>
      <c r="AG475" s="518"/>
      <c r="AH475" s="518"/>
      <c r="AI475" s="518"/>
      <c r="AJ475" s="518"/>
      <c r="AK475" s="518"/>
      <c r="AL475" s="518"/>
      <c r="AM475" s="518"/>
      <c r="AN475" s="518"/>
      <c r="AO475" s="518"/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</row>
    <row r="476" spans="1:57" ht="12.75" customHeight="1">
      <c r="A476" s="518"/>
      <c r="B476" s="518"/>
      <c r="C476" s="518"/>
      <c r="D476" s="518"/>
      <c r="E476" s="518"/>
      <c r="F476" s="518"/>
      <c r="G476" s="518"/>
      <c r="H476" s="518"/>
      <c r="I476" s="518"/>
      <c r="J476" s="518"/>
      <c r="K476" s="518"/>
      <c r="L476" s="518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  <c r="AB476" s="518"/>
      <c r="AC476" s="518"/>
      <c r="AD476" s="518"/>
      <c r="AE476" s="518"/>
      <c r="AF476" s="518"/>
      <c r="AG476" s="518"/>
      <c r="AH476" s="518"/>
      <c r="AI476" s="518"/>
      <c r="AJ476" s="518"/>
      <c r="AK476" s="518"/>
      <c r="AL476" s="518"/>
      <c r="AM476" s="518"/>
      <c r="AN476" s="518"/>
      <c r="AO476" s="518"/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</row>
    <row r="477" spans="1:57" ht="12.75" customHeight="1">
      <c r="A477" s="518"/>
      <c r="B477" s="518"/>
      <c r="C477" s="518"/>
      <c r="D477" s="518"/>
      <c r="E477" s="518"/>
      <c r="F477" s="518"/>
      <c r="G477" s="518"/>
      <c r="H477" s="518"/>
      <c r="I477" s="518"/>
      <c r="J477" s="518"/>
      <c r="K477" s="518"/>
      <c r="L477" s="518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  <c r="AB477" s="518"/>
      <c r="AC477" s="518"/>
      <c r="AD477" s="518"/>
      <c r="AE477" s="518"/>
      <c r="AF477" s="518"/>
      <c r="AG477" s="518"/>
      <c r="AH477" s="518"/>
      <c r="AI477" s="518"/>
      <c r="AJ477" s="518"/>
      <c r="AK477" s="518"/>
      <c r="AL477" s="518"/>
      <c r="AM477" s="518"/>
      <c r="AN477" s="518"/>
      <c r="AO477" s="518"/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</row>
    <row r="478" spans="1:57" ht="12.75" customHeight="1">
      <c r="A478" s="518"/>
      <c r="B478" s="518"/>
      <c r="C478" s="518"/>
      <c r="D478" s="518"/>
      <c r="E478" s="518"/>
      <c r="F478" s="518"/>
      <c r="G478" s="518"/>
      <c r="H478" s="518"/>
      <c r="I478" s="518"/>
      <c r="J478" s="518"/>
      <c r="K478" s="518"/>
      <c r="L478" s="518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  <c r="AB478" s="518"/>
      <c r="AC478" s="518"/>
      <c r="AD478" s="518"/>
      <c r="AE478" s="518"/>
      <c r="AF478" s="518"/>
      <c r="AG478" s="518"/>
      <c r="AH478" s="518"/>
      <c r="AI478" s="518"/>
      <c r="AJ478" s="518"/>
      <c r="AK478" s="518"/>
      <c r="AL478" s="518"/>
      <c r="AM478" s="518"/>
      <c r="AN478" s="518"/>
      <c r="AO478" s="518"/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</row>
    <row r="479" spans="1:57" ht="12.75" customHeight="1">
      <c r="A479" s="518"/>
      <c r="B479" s="518"/>
      <c r="C479" s="518"/>
      <c r="D479" s="518"/>
      <c r="E479" s="518"/>
      <c r="F479" s="518"/>
      <c r="G479" s="518"/>
      <c r="H479" s="518"/>
      <c r="I479" s="518"/>
      <c r="J479" s="518"/>
      <c r="K479" s="518"/>
      <c r="L479" s="518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  <c r="AB479" s="518"/>
      <c r="AC479" s="518"/>
      <c r="AD479" s="518"/>
      <c r="AE479" s="518"/>
      <c r="AF479" s="518"/>
      <c r="AG479" s="518"/>
      <c r="AH479" s="518"/>
      <c r="AI479" s="518"/>
      <c r="AJ479" s="518"/>
      <c r="AK479" s="518"/>
      <c r="AL479" s="518"/>
      <c r="AM479" s="518"/>
      <c r="AN479" s="518"/>
      <c r="AO479" s="518"/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</row>
    <row r="480" spans="1:57" ht="12.75" customHeight="1">
      <c r="A480" s="518"/>
      <c r="B480" s="518"/>
      <c r="C480" s="518"/>
      <c r="D480" s="518"/>
      <c r="E480" s="518"/>
      <c r="F480" s="518"/>
      <c r="G480" s="518"/>
      <c r="H480" s="518"/>
      <c r="I480" s="518"/>
      <c r="J480" s="518"/>
      <c r="K480" s="518"/>
      <c r="L480" s="518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  <c r="AB480" s="518"/>
      <c r="AC480" s="518"/>
      <c r="AD480" s="518"/>
      <c r="AE480" s="518"/>
      <c r="AF480" s="518"/>
      <c r="AG480" s="518"/>
      <c r="AH480" s="518"/>
      <c r="AI480" s="518"/>
      <c r="AJ480" s="518"/>
      <c r="AK480" s="518"/>
      <c r="AL480" s="518"/>
      <c r="AM480" s="518"/>
      <c r="AN480" s="518"/>
      <c r="AO480" s="518"/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</row>
    <row r="481" spans="1:57" ht="12.75" customHeight="1">
      <c r="A481" s="518"/>
      <c r="B481" s="518"/>
      <c r="C481" s="518"/>
      <c r="D481" s="518"/>
      <c r="E481" s="518"/>
      <c r="F481" s="518"/>
      <c r="G481" s="518"/>
      <c r="H481" s="518"/>
      <c r="I481" s="518"/>
      <c r="J481" s="518"/>
      <c r="K481" s="518"/>
      <c r="L481" s="518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  <c r="AB481" s="518"/>
      <c r="AC481" s="518"/>
      <c r="AD481" s="518"/>
      <c r="AE481" s="518"/>
      <c r="AF481" s="518"/>
      <c r="AG481" s="518"/>
      <c r="AH481" s="518"/>
      <c r="AI481" s="518"/>
      <c r="AJ481" s="518"/>
      <c r="AK481" s="518"/>
      <c r="AL481" s="518"/>
      <c r="AM481" s="518"/>
      <c r="AN481" s="518"/>
      <c r="AO481" s="518"/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</row>
    <row r="482" spans="1:57" ht="12.75" customHeight="1">
      <c r="A482" s="518"/>
      <c r="B482" s="518"/>
      <c r="C482" s="518"/>
      <c r="D482" s="518"/>
      <c r="E482" s="518"/>
      <c r="F482" s="518"/>
      <c r="G482" s="518"/>
      <c r="H482" s="518"/>
      <c r="I482" s="518"/>
      <c r="J482" s="518"/>
      <c r="K482" s="518"/>
      <c r="L482" s="518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  <c r="AB482" s="518"/>
      <c r="AC482" s="518"/>
      <c r="AD482" s="518"/>
      <c r="AE482" s="518"/>
      <c r="AF482" s="518"/>
      <c r="AG482" s="518"/>
      <c r="AH482" s="518"/>
      <c r="AI482" s="518"/>
      <c r="AJ482" s="518"/>
      <c r="AK482" s="518"/>
      <c r="AL482" s="518"/>
      <c r="AM482" s="518"/>
      <c r="AN482" s="518"/>
      <c r="AO482" s="518"/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</row>
    <row r="483" spans="1:57" ht="12.75" customHeight="1">
      <c r="A483" s="518"/>
      <c r="B483" s="518"/>
      <c r="C483" s="518"/>
      <c r="D483" s="518"/>
      <c r="E483" s="518"/>
      <c r="F483" s="518"/>
      <c r="G483" s="518"/>
      <c r="H483" s="518"/>
      <c r="I483" s="518"/>
      <c r="J483" s="518"/>
      <c r="K483" s="518"/>
      <c r="L483" s="518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  <c r="AB483" s="518"/>
      <c r="AC483" s="518"/>
      <c r="AD483" s="518"/>
      <c r="AE483" s="518"/>
      <c r="AF483" s="518"/>
      <c r="AG483" s="518"/>
      <c r="AH483" s="518"/>
      <c r="AI483" s="518"/>
      <c r="AJ483" s="518"/>
      <c r="AK483" s="518"/>
      <c r="AL483" s="518"/>
      <c r="AM483" s="518"/>
      <c r="AN483" s="518"/>
      <c r="AO483" s="518"/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</row>
    <row r="484" spans="1:57" ht="12.75" customHeight="1">
      <c r="A484" s="518"/>
      <c r="B484" s="518"/>
      <c r="C484" s="518"/>
      <c r="D484" s="518"/>
      <c r="E484" s="518"/>
      <c r="F484" s="518"/>
      <c r="G484" s="518"/>
      <c r="H484" s="518"/>
      <c r="I484" s="518"/>
      <c r="J484" s="518"/>
      <c r="K484" s="518"/>
      <c r="L484" s="518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  <c r="AB484" s="518"/>
      <c r="AC484" s="518"/>
      <c r="AD484" s="518"/>
      <c r="AE484" s="518"/>
      <c r="AF484" s="518"/>
      <c r="AG484" s="518"/>
      <c r="AH484" s="518"/>
      <c r="AI484" s="518"/>
      <c r="AJ484" s="518"/>
      <c r="AK484" s="518"/>
      <c r="AL484" s="518"/>
      <c r="AM484" s="518"/>
      <c r="AN484" s="518"/>
      <c r="AO484" s="518"/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</row>
    <row r="485" spans="1:57" ht="12.75" customHeight="1">
      <c r="A485" s="518"/>
      <c r="B485" s="518"/>
      <c r="C485" s="518"/>
      <c r="D485" s="518"/>
      <c r="E485" s="518"/>
      <c r="F485" s="518"/>
      <c r="G485" s="518"/>
      <c r="H485" s="518"/>
      <c r="I485" s="518"/>
      <c r="J485" s="518"/>
      <c r="K485" s="518"/>
      <c r="L485" s="518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  <c r="AB485" s="518"/>
      <c r="AC485" s="518"/>
      <c r="AD485" s="518"/>
      <c r="AE485" s="518"/>
      <c r="AF485" s="518"/>
      <c r="AG485" s="518"/>
      <c r="AH485" s="518"/>
      <c r="AI485" s="518"/>
      <c r="AJ485" s="518"/>
      <c r="AK485" s="518"/>
      <c r="AL485" s="518"/>
      <c r="AM485" s="518"/>
      <c r="AN485" s="518"/>
      <c r="AO485" s="518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</row>
    <row r="486" spans="1:57" ht="12.75" customHeight="1">
      <c r="A486" s="518"/>
      <c r="B486" s="518"/>
      <c r="C486" s="518"/>
      <c r="D486" s="518"/>
      <c r="E486" s="518"/>
      <c r="F486" s="518"/>
      <c r="G486" s="518"/>
      <c r="H486" s="518"/>
      <c r="I486" s="518"/>
      <c r="J486" s="518"/>
      <c r="K486" s="518"/>
      <c r="L486" s="518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  <c r="AB486" s="518"/>
      <c r="AC486" s="518"/>
      <c r="AD486" s="518"/>
      <c r="AE486" s="518"/>
      <c r="AF486" s="518"/>
      <c r="AG486" s="518"/>
      <c r="AH486" s="518"/>
      <c r="AI486" s="518"/>
      <c r="AJ486" s="518"/>
      <c r="AK486" s="518"/>
      <c r="AL486" s="518"/>
      <c r="AM486" s="518"/>
      <c r="AN486" s="518"/>
      <c r="AO486" s="518"/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</row>
    <row r="487" spans="1:57" ht="12.75" customHeight="1">
      <c r="A487" s="518"/>
      <c r="B487" s="518"/>
      <c r="C487" s="518"/>
      <c r="D487" s="518"/>
      <c r="E487" s="518"/>
      <c r="F487" s="518"/>
      <c r="G487" s="518"/>
      <c r="H487" s="518"/>
      <c r="I487" s="518"/>
      <c r="J487" s="518"/>
      <c r="K487" s="518"/>
      <c r="L487" s="518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  <c r="AB487" s="518"/>
      <c r="AC487" s="518"/>
      <c r="AD487" s="518"/>
      <c r="AE487" s="518"/>
      <c r="AF487" s="518"/>
      <c r="AG487" s="518"/>
      <c r="AH487" s="518"/>
      <c r="AI487" s="518"/>
      <c r="AJ487" s="518"/>
      <c r="AK487" s="518"/>
      <c r="AL487" s="518"/>
      <c r="AM487" s="518"/>
      <c r="AN487" s="518"/>
      <c r="AO487" s="518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</row>
    <row r="488" spans="1:57" ht="12.75" customHeight="1">
      <c r="A488" s="518"/>
      <c r="B488" s="518"/>
      <c r="C488" s="518"/>
      <c r="D488" s="518"/>
      <c r="E488" s="518"/>
      <c r="F488" s="518"/>
      <c r="G488" s="518"/>
      <c r="H488" s="518"/>
      <c r="I488" s="518"/>
      <c r="J488" s="518"/>
      <c r="K488" s="518"/>
      <c r="L488" s="518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  <c r="AB488" s="518"/>
      <c r="AC488" s="518"/>
      <c r="AD488" s="518"/>
      <c r="AE488" s="518"/>
      <c r="AF488" s="518"/>
      <c r="AG488" s="518"/>
      <c r="AH488" s="518"/>
      <c r="AI488" s="518"/>
      <c r="AJ488" s="518"/>
      <c r="AK488" s="518"/>
      <c r="AL488" s="518"/>
      <c r="AM488" s="518"/>
      <c r="AN488" s="518"/>
      <c r="AO488" s="51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</row>
    <row r="489" spans="1:57" ht="12.75" customHeight="1">
      <c r="A489" s="518"/>
      <c r="B489" s="518"/>
      <c r="C489" s="518"/>
      <c r="D489" s="518"/>
      <c r="E489" s="518"/>
      <c r="F489" s="518"/>
      <c r="G489" s="518"/>
      <c r="H489" s="518"/>
      <c r="I489" s="518"/>
      <c r="J489" s="518"/>
      <c r="K489" s="518"/>
      <c r="L489" s="518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  <c r="AB489" s="518"/>
      <c r="AC489" s="518"/>
      <c r="AD489" s="518"/>
      <c r="AE489" s="518"/>
      <c r="AF489" s="518"/>
      <c r="AG489" s="518"/>
      <c r="AH489" s="518"/>
      <c r="AI489" s="518"/>
      <c r="AJ489" s="518"/>
      <c r="AK489" s="518"/>
      <c r="AL489" s="518"/>
      <c r="AM489" s="518"/>
      <c r="AN489" s="518"/>
      <c r="AO489" s="518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</row>
    <row r="490" spans="1:57" ht="12.75" customHeight="1">
      <c r="A490" s="518"/>
      <c r="B490" s="518"/>
      <c r="C490" s="518"/>
      <c r="D490" s="518"/>
      <c r="E490" s="518"/>
      <c r="F490" s="518"/>
      <c r="G490" s="518"/>
      <c r="H490" s="518"/>
      <c r="I490" s="518"/>
      <c r="J490" s="518"/>
      <c r="K490" s="518"/>
      <c r="L490" s="518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  <c r="AB490" s="518"/>
      <c r="AC490" s="518"/>
      <c r="AD490" s="518"/>
      <c r="AE490" s="518"/>
      <c r="AF490" s="518"/>
      <c r="AG490" s="518"/>
      <c r="AH490" s="518"/>
      <c r="AI490" s="518"/>
      <c r="AJ490" s="518"/>
      <c r="AK490" s="518"/>
      <c r="AL490" s="518"/>
      <c r="AM490" s="518"/>
      <c r="AN490" s="518"/>
      <c r="AO490" s="518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</row>
    <row r="491" spans="1:57" ht="12.75" customHeight="1">
      <c r="A491" s="518"/>
      <c r="B491" s="518"/>
      <c r="C491" s="518"/>
      <c r="D491" s="518"/>
      <c r="E491" s="518"/>
      <c r="F491" s="518"/>
      <c r="G491" s="518"/>
      <c r="H491" s="518"/>
      <c r="I491" s="518"/>
      <c r="J491" s="518"/>
      <c r="K491" s="518"/>
      <c r="L491" s="518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  <c r="AB491" s="518"/>
      <c r="AC491" s="518"/>
      <c r="AD491" s="518"/>
      <c r="AE491" s="518"/>
      <c r="AF491" s="518"/>
      <c r="AG491" s="518"/>
      <c r="AH491" s="518"/>
      <c r="AI491" s="518"/>
      <c r="AJ491" s="518"/>
      <c r="AK491" s="518"/>
      <c r="AL491" s="518"/>
      <c r="AM491" s="518"/>
      <c r="AN491" s="518"/>
      <c r="AO491" s="518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</row>
    <row r="492" spans="1:57" ht="12.75" customHeight="1">
      <c r="A492" s="518"/>
      <c r="B492" s="518"/>
      <c r="C492" s="518"/>
      <c r="D492" s="518"/>
      <c r="E492" s="518"/>
      <c r="F492" s="518"/>
      <c r="G492" s="518"/>
      <c r="H492" s="518"/>
      <c r="I492" s="518"/>
      <c r="J492" s="518"/>
      <c r="K492" s="518"/>
      <c r="L492" s="518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  <c r="AB492" s="518"/>
      <c r="AC492" s="518"/>
      <c r="AD492" s="518"/>
      <c r="AE492" s="518"/>
      <c r="AF492" s="518"/>
      <c r="AG492" s="518"/>
      <c r="AH492" s="518"/>
      <c r="AI492" s="518"/>
      <c r="AJ492" s="518"/>
      <c r="AK492" s="518"/>
      <c r="AL492" s="518"/>
      <c r="AM492" s="518"/>
      <c r="AN492" s="518"/>
      <c r="AO492" s="518"/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</row>
    <row r="493" spans="1:57" ht="12.75" customHeight="1">
      <c r="A493" s="518"/>
      <c r="B493" s="518"/>
      <c r="C493" s="518"/>
      <c r="D493" s="518"/>
      <c r="E493" s="518"/>
      <c r="F493" s="518"/>
      <c r="G493" s="518"/>
      <c r="H493" s="518"/>
      <c r="I493" s="518"/>
      <c r="J493" s="518"/>
      <c r="K493" s="518"/>
      <c r="L493" s="518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  <c r="AB493" s="518"/>
      <c r="AC493" s="518"/>
      <c r="AD493" s="518"/>
      <c r="AE493" s="518"/>
      <c r="AF493" s="518"/>
      <c r="AG493" s="518"/>
      <c r="AH493" s="518"/>
      <c r="AI493" s="518"/>
      <c r="AJ493" s="518"/>
      <c r="AK493" s="518"/>
      <c r="AL493" s="518"/>
      <c r="AM493" s="518"/>
      <c r="AN493" s="518"/>
      <c r="AO493" s="518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</row>
    <row r="494" spans="1:57" ht="12.75" customHeight="1">
      <c r="A494" s="518"/>
      <c r="B494" s="518"/>
      <c r="C494" s="518"/>
      <c r="D494" s="518"/>
      <c r="E494" s="518"/>
      <c r="F494" s="518"/>
      <c r="G494" s="518"/>
      <c r="H494" s="518"/>
      <c r="I494" s="518"/>
      <c r="J494" s="518"/>
      <c r="K494" s="518"/>
      <c r="L494" s="518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  <c r="AB494" s="518"/>
      <c r="AC494" s="518"/>
      <c r="AD494" s="518"/>
      <c r="AE494" s="518"/>
      <c r="AF494" s="518"/>
      <c r="AG494" s="518"/>
      <c r="AH494" s="518"/>
      <c r="AI494" s="518"/>
      <c r="AJ494" s="518"/>
      <c r="AK494" s="518"/>
      <c r="AL494" s="518"/>
      <c r="AM494" s="518"/>
      <c r="AN494" s="518"/>
      <c r="AO494" s="518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</row>
    <row r="495" spans="1:57" ht="12.75" customHeight="1">
      <c r="A495" s="518"/>
      <c r="B495" s="518"/>
      <c r="C495" s="518"/>
      <c r="D495" s="518"/>
      <c r="E495" s="518"/>
      <c r="F495" s="518"/>
      <c r="G495" s="518"/>
      <c r="H495" s="518"/>
      <c r="I495" s="518"/>
      <c r="J495" s="518"/>
      <c r="K495" s="518"/>
      <c r="L495" s="518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  <c r="AB495" s="518"/>
      <c r="AC495" s="518"/>
      <c r="AD495" s="518"/>
      <c r="AE495" s="518"/>
      <c r="AF495" s="518"/>
      <c r="AG495" s="518"/>
      <c r="AH495" s="518"/>
      <c r="AI495" s="518"/>
      <c r="AJ495" s="518"/>
      <c r="AK495" s="518"/>
      <c r="AL495" s="518"/>
      <c r="AM495" s="518"/>
      <c r="AN495" s="518"/>
      <c r="AO495" s="518"/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</row>
    <row r="496" spans="1:57" ht="12.75" customHeight="1">
      <c r="A496" s="518"/>
      <c r="B496" s="518"/>
      <c r="C496" s="518"/>
      <c r="D496" s="518"/>
      <c r="E496" s="518"/>
      <c r="F496" s="518"/>
      <c r="G496" s="518"/>
      <c r="H496" s="518"/>
      <c r="I496" s="518"/>
      <c r="J496" s="518"/>
      <c r="K496" s="518"/>
      <c r="L496" s="518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  <c r="AB496" s="518"/>
      <c r="AC496" s="518"/>
      <c r="AD496" s="518"/>
      <c r="AE496" s="518"/>
      <c r="AF496" s="518"/>
      <c r="AG496" s="518"/>
      <c r="AH496" s="518"/>
      <c r="AI496" s="518"/>
      <c r="AJ496" s="518"/>
      <c r="AK496" s="518"/>
      <c r="AL496" s="518"/>
      <c r="AM496" s="518"/>
      <c r="AN496" s="518"/>
      <c r="AO496" s="518"/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</row>
    <row r="497" spans="1:57" ht="12.75" customHeight="1">
      <c r="A497" s="518"/>
      <c r="B497" s="518"/>
      <c r="C497" s="518"/>
      <c r="D497" s="518"/>
      <c r="E497" s="518"/>
      <c r="F497" s="518"/>
      <c r="G497" s="518"/>
      <c r="H497" s="518"/>
      <c r="I497" s="518"/>
      <c r="J497" s="518"/>
      <c r="K497" s="518"/>
      <c r="L497" s="518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  <c r="AB497" s="518"/>
      <c r="AC497" s="518"/>
      <c r="AD497" s="518"/>
      <c r="AE497" s="518"/>
      <c r="AF497" s="518"/>
      <c r="AG497" s="518"/>
      <c r="AH497" s="518"/>
      <c r="AI497" s="518"/>
      <c r="AJ497" s="518"/>
      <c r="AK497" s="518"/>
      <c r="AL497" s="518"/>
      <c r="AM497" s="518"/>
      <c r="AN497" s="518"/>
      <c r="AO497" s="518"/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</row>
    <row r="498" spans="1:57" ht="12.75" customHeight="1">
      <c r="A498" s="518"/>
      <c r="B498" s="518"/>
      <c r="C498" s="518"/>
      <c r="D498" s="518"/>
      <c r="E498" s="518"/>
      <c r="F498" s="518"/>
      <c r="G498" s="518"/>
      <c r="H498" s="518"/>
      <c r="I498" s="518"/>
      <c r="J498" s="518"/>
      <c r="K498" s="518"/>
      <c r="L498" s="518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  <c r="AB498" s="518"/>
      <c r="AC498" s="518"/>
      <c r="AD498" s="518"/>
      <c r="AE498" s="518"/>
      <c r="AF498" s="518"/>
      <c r="AG498" s="518"/>
      <c r="AH498" s="518"/>
      <c r="AI498" s="518"/>
      <c r="AJ498" s="518"/>
      <c r="AK498" s="518"/>
      <c r="AL498" s="518"/>
      <c r="AM498" s="518"/>
      <c r="AN498" s="518"/>
      <c r="AO498" s="518"/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</row>
    <row r="499" spans="1:57" ht="12.75" customHeight="1">
      <c r="A499" s="518"/>
      <c r="B499" s="518"/>
      <c r="C499" s="518"/>
      <c r="D499" s="518"/>
      <c r="E499" s="518"/>
      <c r="F499" s="518"/>
      <c r="G499" s="518"/>
      <c r="H499" s="518"/>
      <c r="I499" s="518"/>
      <c r="J499" s="518"/>
      <c r="K499" s="518"/>
      <c r="L499" s="518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  <c r="AB499" s="518"/>
      <c r="AC499" s="518"/>
      <c r="AD499" s="518"/>
      <c r="AE499" s="518"/>
      <c r="AF499" s="518"/>
      <c r="AG499" s="518"/>
      <c r="AH499" s="518"/>
      <c r="AI499" s="518"/>
      <c r="AJ499" s="518"/>
      <c r="AK499" s="518"/>
      <c r="AL499" s="518"/>
      <c r="AM499" s="518"/>
      <c r="AN499" s="518"/>
      <c r="AO499" s="518"/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</row>
    <row r="500" spans="1:57" ht="12.75" customHeight="1">
      <c r="A500" s="518"/>
      <c r="B500" s="518"/>
      <c r="C500" s="518"/>
      <c r="D500" s="518"/>
      <c r="E500" s="518"/>
      <c r="F500" s="518"/>
      <c r="G500" s="518"/>
      <c r="H500" s="518"/>
      <c r="I500" s="518"/>
      <c r="J500" s="518"/>
      <c r="K500" s="518"/>
      <c r="L500" s="518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  <c r="AB500" s="518"/>
      <c r="AC500" s="518"/>
      <c r="AD500" s="518"/>
      <c r="AE500" s="518"/>
      <c r="AF500" s="518"/>
      <c r="AG500" s="518"/>
      <c r="AH500" s="518"/>
      <c r="AI500" s="518"/>
      <c r="AJ500" s="518"/>
      <c r="AK500" s="518"/>
      <c r="AL500" s="518"/>
      <c r="AM500" s="518"/>
      <c r="AN500" s="518"/>
      <c r="AO500" s="518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</row>
    <row r="501" spans="1:57" ht="12.75" customHeight="1">
      <c r="A501" s="518"/>
      <c r="B501" s="518"/>
      <c r="C501" s="518"/>
      <c r="D501" s="518"/>
      <c r="E501" s="518"/>
      <c r="F501" s="518"/>
      <c r="G501" s="518"/>
      <c r="H501" s="518"/>
      <c r="I501" s="518"/>
      <c r="J501" s="518"/>
      <c r="K501" s="518"/>
      <c r="L501" s="518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  <c r="AB501" s="518"/>
      <c r="AC501" s="518"/>
      <c r="AD501" s="518"/>
      <c r="AE501" s="518"/>
      <c r="AF501" s="518"/>
      <c r="AG501" s="518"/>
      <c r="AH501" s="518"/>
      <c r="AI501" s="518"/>
      <c r="AJ501" s="518"/>
      <c r="AK501" s="518"/>
      <c r="AL501" s="518"/>
      <c r="AM501" s="518"/>
      <c r="AN501" s="518"/>
      <c r="AO501" s="518"/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</row>
    <row r="502" spans="1:57" ht="12.75" customHeight="1">
      <c r="A502" s="518"/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</row>
    <row r="503" spans="1:57" ht="12.75" customHeight="1">
      <c r="A503" s="518"/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</row>
    <row r="504" spans="1:57" ht="12.75" customHeight="1">
      <c r="A504" s="518"/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</row>
    <row r="505" spans="1:57" ht="12.75" customHeight="1">
      <c r="A505" s="518"/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</row>
    <row r="506" spans="1:57" ht="12.75" customHeight="1">
      <c r="A506" s="518"/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</row>
    <row r="507" spans="1:57" ht="12.75" customHeight="1">
      <c r="A507" s="518"/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</row>
    <row r="508" spans="1:57" ht="12.75" customHeight="1">
      <c r="A508" s="518"/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</row>
    <row r="509" spans="1:57" ht="12.75" customHeight="1">
      <c r="A509" s="518"/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</row>
    <row r="510" spans="1:57" ht="12.75" customHeight="1">
      <c r="A510" s="518"/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</row>
    <row r="511" spans="1:57" ht="12.75" customHeight="1">
      <c r="A511" s="518"/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</row>
    <row r="512" spans="1:57" ht="12.75" customHeight="1">
      <c r="A512" s="518"/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</row>
    <row r="513" spans="1:57" ht="12.75" customHeight="1">
      <c r="A513" s="518"/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</row>
    <row r="514" spans="1:57" ht="12.75" customHeight="1">
      <c r="A514" s="518"/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</row>
    <row r="515" spans="1:57" ht="12.75" customHeight="1">
      <c r="A515" s="518"/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</row>
    <row r="516" spans="1:57" ht="12.75" customHeight="1">
      <c r="A516" s="518"/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</row>
    <row r="517" spans="1:57" ht="12.75" customHeight="1">
      <c r="A517" s="518"/>
      <c r="B517" s="518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</row>
    <row r="518" spans="1:57" ht="12.75" customHeight="1">
      <c r="A518" s="518"/>
      <c r="B518" s="518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</row>
    <row r="519" spans="1:57" ht="12.75" customHeight="1">
      <c r="A519" s="518"/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</row>
    <row r="520" spans="1:57" ht="12.75" customHeight="1">
      <c r="A520" s="518"/>
      <c r="B520" s="518"/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  <c r="AB520" s="518"/>
      <c r="AC520" s="518"/>
      <c r="AD520" s="518"/>
      <c r="AE520" s="518"/>
      <c r="AF520" s="518"/>
      <c r="AG520" s="518"/>
      <c r="AH520" s="518"/>
      <c r="AI520" s="518"/>
      <c r="AJ520" s="518"/>
      <c r="AK520" s="518"/>
      <c r="AL520" s="518"/>
      <c r="AM520" s="518"/>
      <c r="AN520" s="518"/>
      <c r="AO520" s="518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</row>
    <row r="521" spans="1:57" ht="12.75" customHeight="1">
      <c r="A521" s="518"/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</row>
    <row r="522" spans="1:57" ht="12.75" customHeight="1">
      <c r="A522" s="518"/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</row>
    <row r="523" spans="1:57" ht="12.75" customHeight="1">
      <c r="A523" s="518"/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</row>
    <row r="524" spans="1:57" ht="12.75" customHeight="1">
      <c r="A524" s="518"/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</row>
    <row r="525" spans="1:57" ht="12.75" customHeight="1">
      <c r="A525" s="518"/>
      <c r="B525" s="518"/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  <c r="AB525" s="518"/>
      <c r="AC525" s="518"/>
      <c r="AD525" s="518"/>
      <c r="AE525" s="518"/>
      <c r="AF525" s="518"/>
      <c r="AG525" s="518"/>
      <c r="AH525" s="518"/>
      <c r="AI525" s="518"/>
      <c r="AJ525" s="518"/>
      <c r="AK525" s="518"/>
      <c r="AL525" s="518"/>
      <c r="AM525" s="518"/>
      <c r="AN525" s="518"/>
      <c r="AO525" s="518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</row>
    <row r="526" spans="1:57" ht="12.75" customHeight="1">
      <c r="A526" s="518"/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</row>
    <row r="527" spans="1:57" ht="12.75" customHeight="1">
      <c r="A527" s="518"/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</row>
    <row r="528" spans="1:57" ht="12.75" customHeight="1">
      <c r="A528" s="518"/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</row>
    <row r="529" spans="1:57" ht="12.75" customHeight="1">
      <c r="A529" s="518"/>
      <c r="B529" s="518"/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  <c r="AB529" s="518"/>
      <c r="AC529" s="518"/>
      <c r="AD529" s="518"/>
      <c r="AE529" s="518"/>
      <c r="AF529" s="518"/>
      <c r="AG529" s="518"/>
      <c r="AH529" s="518"/>
      <c r="AI529" s="518"/>
      <c r="AJ529" s="518"/>
      <c r="AK529" s="518"/>
      <c r="AL529" s="518"/>
      <c r="AM529" s="518"/>
      <c r="AN529" s="518"/>
      <c r="AO529" s="518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</row>
    <row r="530" spans="1:57" ht="12.75" customHeight="1">
      <c r="A530" s="518"/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</row>
    <row r="531" spans="1:57" ht="12.75" customHeight="1">
      <c r="A531" s="518"/>
      <c r="B531" s="518"/>
      <c r="C531" s="518"/>
      <c r="D531" s="518"/>
      <c r="E531" s="518"/>
      <c r="F531" s="518"/>
      <c r="G531" s="518"/>
      <c r="H531" s="518"/>
      <c r="I531" s="518"/>
      <c r="J531" s="518"/>
      <c r="K531" s="518"/>
      <c r="L531" s="518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  <c r="AB531" s="518"/>
      <c r="AC531" s="518"/>
      <c r="AD531" s="518"/>
      <c r="AE531" s="518"/>
      <c r="AF531" s="518"/>
      <c r="AG531" s="518"/>
      <c r="AH531" s="518"/>
      <c r="AI531" s="518"/>
      <c r="AJ531" s="518"/>
      <c r="AK531" s="518"/>
      <c r="AL531" s="518"/>
      <c r="AM531" s="518"/>
      <c r="AN531" s="518"/>
      <c r="AO531" s="518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</row>
    <row r="532" spans="1:57" ht="12.75" customHeight="1">
      <c r="A532" s="518"/>
      <c r="B532" s="518"/>
      <c r="C532" s="518"/>
      <c r="D532" s="518"/>
      <c r="E532" s="518"/>
      <c r="F532" s="518"/>
      <c r="G532" s="518"/>
      <c r="H532" s="518"/>
      <c r="I532" s="518"/>
      <c r="J532" s="518"/>
      <c r="K532" s="518"/>
      <c r="L532" s="518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  <c r="AB532" s="518"/>
      <c r="AC532" s="518"/>
      <c r="AD532" s="518"/>
      <c r="AE532" s="518"/>
      <c r="AF532" s="518"/>
      <c r="AG532" s="518"/>
      <c r="AH532" s="518"/>
      <c r="AI532" s="518"/>
      <c r="AJ532" s="518"/>
      <c r="AK532" s="518"/>
      <c r="AL532" s="518"/>
      <c r="AM532" s="518"/>
      <c r="AN532" s="518"/>
      <c r="AO532" s="518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</row>
    <row r="533" spans="1:57" ht="12.75" customHeight="1">
      <c r="A533" s="518"/>
      <c r="B533" s="518"/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  <c r="AB533" s="518"/>
      <c r="AC533" s="518"/>
      <c r="AD533" s="518"/>
      <c r="AE533" s="518"/>
      <c r="AF533" s="518"/>
      <c r="AG533" s="518"/>
      <c r="AH533" s="518"/>
      <c r="AI533" s="518"/>
      <c r="AJ533" s="518"/>
      <c r="AK533" s="518"/>
      <c r="AL533" s="518"/>
      <c r="AM533" s="518"/>
      <c r="AN533" s="518"/>
      <c r="AO533" s="518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</row>
    <row r="534" spans="1:57" ht="12.75" customHeight="1">
      <c r="A534" s="518"/>
      <c r="B534" s="518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</row>
    <row r="535" spans="1:57" ht="12.75" customHeight="1">
      <c r="A535" s="518"/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</row>
    <row r="536" spans="1:57" ht="12.75" customHeight="1">
      <c r="A536" s="518"/>
      <c r="B536" s="518"/>
      <c r="C536" s="518"/>
      <c r="D536" s="518"/>
      <c r="E536" s="518"/>
      <c r="F536" s="518"/>
      <c r="G536" s="518"/>
      <c r="H536" s="518"/>
      <c r="I536" s="518"/>
      <c r="J536" s="518"/>
      <c r="K536" s="518"/>
      <c r="L536" s="518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  <c r="AB536" s="518"/>
      <c r="AC536" s="518"/>
      <c r="AD536" s="518"/>
      <c r="AE536" s="518"/>
      <c r="AF536" s="518"/>
      <c r="AG536" s="518"/>
      <c r="AH536" s="518"/>
      <c r="AI536" s="518"/>
      <c r="AJ536" s="518"/>
      <c r="AK536" s="518"/>
      <c r="AL536" s="518"/>
      <c r="AM536" s="518"/>
      <c r="AN536" s="518"/>
      <c r="AO536" s="518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</row>
    <row r="537" spans="1:57" ht="12.75" customHeight="1">
      <c r="A537" s="518"/>
      <c r="B537" s="518"/>
      <c r="C537" s="518"/>
      <c r="D537" s="518"/>
      <c r="E537" s="518"/>
      <c r="F537" s="518"/>
      <c r="G537" s="518"/>
      <c r="H537" s="518"/>
      <c r="I537" s="518"/>
      <c r="J537" s="518"/>
      <c r="K537" s="518"/>
      <c r="L537" s="518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  <c r="AB537" s="518"/>
      <c r="AC537" s="518"/>
      <c r="AD537" s="518"/>
      <c r="AE537" s="518"/>
      <c r="AF537" s="518"/>
      <c r="AG537" s="518"/>
      <c r="AH537" s="518"/>
      <c r="AI537" s="518"/>
      <c r="AJ537" s="518"/>
      <c r="AK537" s="518"/>
      <c r="AL537" s="518"/>
      <c r="AM537" s="518"/>
      <c r="AN537" s="518"/>
      <c r="AO537" s="518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</row>
    <row r="538" spans="1:57" ht="12.75" customHeight="1">
      <c r="A538" s="518"/>
      <c r="B538" s="518"/>
      <c r="C538" s="518"/>
      <c r="D538" s="518"/>
      <c r="E538" s="518"/>
      <c r="F538" s="518"/>
      <c r="G538" s="518"/>
      <c r="H538" s="518"/>
      <c r="I538" s="518"/>
      <c r="J538" s="518"/>
      <c r="K538" s="518"/>
      <c r="L538" s="518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  <c r="AB538" s="518"/>
      <c r="AC538" s="518"/>
      <c r="AD538" s="518"/>
      <c r="AE538" s="518"/>
      <c r="AF538" s="518"/>
      <c r="AG538" s="518"/>
      <c r="AH538" s="518"/>
      <c r="AI538" s="518"/>
      <c r="AJ538" s="518"/>
      <c r="AK538" s="518"/>
      <c r="AL538" s="518"/>
      <c r="AM538" s="518"/>
      <c r="AN538" s="518"/>
      <c r="AO538" s="518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</row>
    <row r="539" spans="1:57" ht="12.75" customHeight="1">
      <c r="A539" s="518"/>
      <c r="B539" s="518"/>
      <c r="C539" s="518"/>
      <c r="D539" s="518"/>
      <c r="E539" s="518"/>
      <c r="F539" s="518"/>
      <c r="G539" s="518"/>
      <c r="H539" s="518"/>
      <c r="I539" s="518"/>
      <c r="J539" s="518"/>
      <c r="K539" s="518"/>
      <c r="L539" s="518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  <c r="AB539" s="518"/>
      <c r="AC539" s="518"/>
      <c r="AD539" s="518"/>
      <c r="AE539" s="518"/>
      <c r="AF539" s="518"/>
      <c r="AG539" s="518"/>
      <c r="AH539" s="518"/>
      <c r="AI539" s="518"/>
      <c r="AJ539" s="518"/>
      <c r="AK539" s="518"/>
      <c r="AL539" s="518"/>
      <c r="AM539" s="518"/>
      <c r="AN539" s="518"/>
      <c r="AO539" s="518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</row>
    <row r="540" spans="1:57" ht="12.75" customHeight="1">
      <c r="A540" s="518"/>
      <c r="B540" s="518"/>
      <c r="C540" s="518"/>
      <c r="D540" s="518"/>
      <c r="E540" s="518"/>
      <c r="F540" s="518"/>
      <c r="G540" s="518"/>
      <c r="H540" s="518"/>
      <c r="I540" s="518"/>
      <c r="J540" s="518"/>
      <c r="K540" s="518"/>
      <c r="L540" s="518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  <c r="AB540" s="518"/>
      <c r="AC540" s="518"/>
      <c r="AD540" s="518"/>
      <c r="AE540" s="518"/>
      <c r="AF540" s="518"/>
      <c r="AG540" s="518"/>
      <c r="AH540" s="518"/>
      <c r="AI540" s="518"/>
      <c r="AJ540" s="518"/>
      <c r="AK540" s="518"/>
      <c r="AL540" s="518"/>
      <c r="AM540" s="518"/>
      <c r="AN540" s="518"/>
      <c r="AO540" s="518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</row>
    <row r="541" spans="1:57" ht="12.75" customHeight="1">
      <c r="A541" s="518"/>
      <c r="B541" s="518"/>
      <c r="C541" s="518"/>
      <c r="D541" s="518"/>
      <c r="E541" s="518"/>
      <c r="F541" s="518"/>
      <c r="G541" s="518"/>
      <c r="H541" s="518"/>
      <c r="I541" s="518"/>
      <c r="J541" s="518"/>
      <c r="K541" s="518"/>
      <c r="L541" s="518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  <c r="AB541" s="518"/>
      <c r="AC541" s="518"/>
      <c r="AD541" s="518"/>
      <c r="AE541" s="518"/>
      <c r="AF541" s="518"/>
      <c r="AG541" s="518"/>
      <c r="AH541" s="518"/>
      <c r="AI541" s="518"/>
      <c r="AJ541" s="518"/>
      <c r="AK541" s="518"/>
      <c r="AL541" s="518"/>
      <c r="AM541" s="518"/>
      <c r="AN541" s="518"/>
      <c r="AO541" s="518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</row>
    <row r="542" spans="1:57" ht="12.75" customHeight="1">
      <c r="A542" s="518"/>
      <c r="B542" s="518"/>
      <c r="C542" s="518"/>
      <c r="D542" s="518"/>
      <c r="E542" s="518"/>
      <c r="F542" s="518"/>
      <c r="G542" s="518"/>
      <c r="H542" s="518"/>
      <c r="I542" s="518"/>
      <c r="J542" s="518"/>
      <c r="K542" s="518"/>
      <c r="L542" s="518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  <c r="AB542" s="518"/>
      <c r="AC542" s="518"/>
      <c r="AD542" s="518"/>
      <c r="AE542" s="518"/>
      <c r="AF542" s="518"/>
      <c r="AG542" s="518"/>
      <c r="AH542" s="518"/>
      <c r="AI542" s="518"/>
      <c r="AJ542" s="518"/>
      <c r="AK542" s="518"/>
      <c r="AL542" s="518"/>
      <c r="AM542" s="518"/>
      <c r="AN542" s="518"/>
      <c r="AO542" s="518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</row>
    <row r="543" spans="1:57" ht="12.75" customHeight="1">
      <c r="A543" s="518"/>
      <c r="B543" s="518"/>
      <c r="C543" s="518"/>
      <c r="D543" s="518"/>
      <c r="E543" s="518"/>
      <c r="F543" s="518"/>
      <c r="G543" s="518"/>
      <c r="H543" s="518"/>
      <c r="I543" s="518"/>
      <c r="J543" s="518"/>
      <c r="K543" s="518"/>
      <c r="L543" s="518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  <c r="AB543" s="518"/>
      <c r="AC543" s="518"/>
      <c r="AD543" s="518"/>
      <c r="AE543" s="518"/>
      <c r="AF543" s="518"/>
      <c r="AG543" s="518"/>
      <c r="AH543" s="518"/>
      <c r="AI543" s="518"/>
      <c r="AJ543" s="518"/>
      <c r="AK543" s="518"/>
      <c r="AL543" s="518"/>
      <c r="AM543" s="518"/>
      <c r="AN543" s="518"/>
      <c r="AO543" s="518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</row>
    <row r="544" spans="1:57" ht="12.75" customHeight="1">
      <c r="A544" s="518"/>
      <c r="B544" s="518"/>
      <c r="C544" s="518"/>
      <c r="D544" s="518"/>
      <c r="E544" s="518"/>
      <c r="F544" s="518"/>
      <c r="G544" s="518"/>
      <c r="H544" s="518"/>
      <c r="I544" s="518"/>
      <c r="J544" s="518"/>
      <c r="K544" s="518"/>
      <c r="L544" s="518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  <c r="AB544" s="518"/>
      <c r="AC544" s="518"/>
      <c r="AD544" s="518"/>
      <c r="AE544" s="518"/>
      <c r="AF544" s="518"/>
      <c r="AG544" s="518"/>
      <c r="AH544" s="518"/>
      <c r="AI544" s="518"/>
      <c r="AJ544" s="518"/>
      <c r="AK544" s="518"/>
      <c r="AL544" s="518"/>
      <c r="AM544" s="518"/>
      <c r="AN544" s="518"/>
      <c r="AO544" s="518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</row>
    <row r="545" spans="1:57" ht="12.75" customHeight="1">
      <c r="A545" s="518"/>
      <c r="B545" s="518"/>
      <c r="C545" s="518"/>
      <c r="D545" s="518"/>
      <c r="E545" s="518"/>
      <c r="F545" s="518"/>
      <c r="G545" s="518"/>
      <c r="H545" s="518"/>
      <c r="I545" s="518"/>
      <c r="J545" s="518"/>
      <c r="K545" s="518"/>
      <c r="L545" s="518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  <c r="AB545" s="518"/>
      <c r="AC545" s="518"/>
      <c r="AD545" s="518"/>
      <c r="AE545" s="518"/>
      <c r="AF545" s="518"/>
      <c r="AG545" s="518"/>
      <c r="AH545" s="518"/>
      <c r="AI545" s="518"/>
      <c r="AJ545" s="518"/>
      <c r="AK545" s="518"/>
      <c r="AL545" s="518"/>
      <c r="AM545" s="518"/>
      <c r="AN545" s="518"/>
      <c r="AO545" s="518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</row>
    <row r="546" spans="1:57" ht="12.75" customHeight="1">
      <c r="A546" s="518"/>
      <c r="B546" s="518"/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  <c r="AB546" s="518"/>
      <c r="AC546" s="518"/>
      <c r="AD546" s="518"/>
      <c r="AE546" s="518"/>
      <c r="AF546" s="518"/>
      <c r="AG546" s="518"/>
      <c r="AH546" s="518"/>
      <c r="AI546" s="518"/>
      <c r="AJ546" s="518"/>
      <c r="AK546" s="518"/>
      <c r="AL546" s="518"/>
      <c r="AM546" s="518"/>
      <c r="AN546" s="518"/>
      <c r="AO546" s="518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</row>
    <row r="547" spans="1:57" ht="12.75" customHeight="1">
      <c r="A547" s="518"/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</row>
    <row r="548" spans="1:57" ht="12.75" customHeight="1">
      <c r="A548" s="518"/>
      <c r="B548" s="518"/>
      <c r="C548" s="518"/>
      <c r="D548" s="518"/>
      <c r="E548" s="518"/>
      <c r="F548" s="518"/>
      <c r="G548" s="518"/>
      <c r="H548" s="518"/>
      <c r="I548" s="518"/>
      <c r="J548" s="518"/>
      <c r="K548" s="518"/>
      <c r="L548" s="518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  <c r="AB548" s="518"/>
      <c r="AC548" s="518"/>
      <c r="AD548" s="518"/>
      <c r="AE548" s="518"/>
      <c r="AF548" s="518"/>
      <c r="AG548" s="518"/>
      <c r="AH548" s="518"/>
      <c r="AI548" s="518"/>
      <c r="AJ548" s="518"/>
      <c r="AK548" s="518"/>
      <c r="AL548" s="518"/>
      <c r="AM548" s="518"/>
      <c r="AN548" s="518"/>
      <c r="AO548" s="518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</row>
    <row r="549" spans="1:57" ht="12.75" customHeight="1">
      <c r="A549" s="518"/>
      <c r="B549" s="518"/>
      <c r="C549" s="518"/>
      <c r="D549" s="518"/>
      <c r="E549" s="518"/>
      <c r="F549" s="518"/>
      <c r="G549" s="518"/>
      <c r="H549" s="518"/>
      <c r="I549" s="518"/>
      <c r="J549" s="518"/>
      <c r="K549" s="518"/>
      <c r="L549" s="518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  <c r="AB549" s="518"/>
      <c r="AC549" s="518"/>
      <c r="AD549" s="518"/>
      <c r="AE549" s="518"/>
      <c r="AF549" s="518"/>
      <c r="AG549" s="518"/>
      <c r="AH549" s="518"/>
      <c r="AI549" s="518"/>
      <c r="AJ549" s="518"/>
      <c r="AK549" s="518"/>
      <c r="AL549" s="518"/>
      <c r="AM549" s="518"/>
      <c r="AN549" s="518"/>
      <c r="AO549" s="518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</row>
    <row r="550" spans="1:57" ht="12.75" customHeight="1">
      <c r="A550" s="518"/>
      <c r="B550" s="518"/>
      <c r="C550" s="518"/>
      <c r="D550" s="518"/>
      <c r="E550" s="518"/>
      <c r="F550" s="518"/>
      <c r="G550" s="518"/>
      <c r="H550" s="518"/>
      <c r="I550" s="518"/>
      <c r="J550" s="518"/>
      <c r="K550" s="518"/>
      <c r="L550" s="518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  <c r="AB550" s="518"/>
      <c r="AC550" s="518"/>
      <c r="AD550" s="518"/>
      <c r="AE550" s="518"/>
      <c r="AF550" s="518"/>
      <c r="AG550" s="518"/>
      <c r="AH550" s="518"/>
      <c r="AI550" s="518"/>
      <c r="AJ550" s="518"/>
      <c r="AK550" s="518"/>
      <c r="AL550" s="518"/>
      <c r="AM550" s="518"/>
      <c r="AN550" s="518"/>
      <c r="AO550" s="518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</row>
    <row r="551" spans="1:57" ht="12.75" customHeight="1">
      <c r="A551" s="518"/>
      <c r="B551" s="518"/>
      <c r="C551" s="518"/>
      <c r="D551" s="518"/>
      <c r="E551" s="518"/>
      <c r="F551" s="518"/>
      <c r="G551" s="518"/>
      <c r="H551" s="518"/>
      <c r="I551" s="518"/>
      <c r="J551" s="518"/>
      <c r="K551" s="518"/>
      <c r="L551" s="518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  <c r="AB551" s="518"/>
      <c r="AC551" s="518"/>
      <c r="AD551" s="518"/>
      <c r="AE551" s="518"/>
      <c r="AF551" s="518"/>
      <c r="AG551" s="518"/>
      <c r="AH551" s="518"/>
      <c r="AI551" s="518"/>
      <c r="AJ551" s="518"/>
      <c r="AK551" s="518"/>
      <c r="AL551" s="518"/>
      <c r="AM551" s="518"/>
      <c r="AN551" s="518"/>
      <c r="AO551" s="518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</row>
    <row r="552" spans="1:57" ht="12.75" customHeight="1">
      <c r="A552" s="518"/>
      <c r="B552" s="518"/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  <c r="AB552" s="518"/>
      <c r="AC552" s="518"/>
      <c r="AD552" s="518"/>
      <c r="AE552" s="518"/>
      <c r="AF552" s="518"/>
      <c r="AG552" s="518"/>
      <c r="AH552" s="518"/>
      <c r="AI552" s="518"/>
      <c r="AJ552" s="518"/>
      <c r="AK552" s="518"/>
      <c r="AL552" s="518"/>
      <c r="AM552" s="518"/>
      <c r="AN552" s="518"/>
      <c r="AO552" s="518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</row>
    <row r="553" spans="1:57" ht="12.75" customHeight="1">
      <c r="A553" s="518"/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</row>
    <row r="554" spans="1:57" ht="12.75" customHeight="1">
      <c r="A554" s="518"/>
      <c r="B554" s="518"/>
      <c r="C554" s="518"/>
      <c r="D554" s="518"/>
      <c r="E554" s="518"/>
      <c r="F554" s="518"/>
      <c r="G554" s="518"/>
      <c r="H554" s="518"/>
      <c r="I554" s="518"/>
      <c r="J554" s="518"/>
      <c r="K554" s="518"/>
      <c r="L554" s="518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  <c r="AB554" s="518"/>
      <c r="AC554" s="518"/>
      <c r="AD554" s="518"/>
      <c r="AE554" s="518"/>
      <c r="AF554" s="518"/>
      <c r="AG554" s="518"/>
      <c r="AH554" s="518"/>
      <c r="AI554" s="518"/>
      <c r="AJ554" s="518"/>
      <c r="AK554" s="518"/>
      <c r="AL554" s="518"/>
      <c r="AM554" s="518"/>
      <c r="AN554" s="518"/>
      <c r="AO554" s="518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</row>
    <row r="555" spans="1:57" ht="12.75" customHeight="1">
      <c r="A555" s="518"/>
      <c r="B555" s="518"/>
      <c r="C555" s="518"/>
      <c r="D555" s="518"/>
      <c r="E555" s="518"/>
      <c r="F555" s="518"/>
      <c r="G555" s="518"/>
      <c r="H555" s="518"/>
      <c r="I555" s="518"/>
      <c r="J555" s="518"/>
      <c r="K555" s="518"/>
      <c r="L555" s="518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  <c r="AB555" s="518"/>
      <c r="AC555" s="518"/>
      <c r="AD555" s="518"/>
      <c r="AE555" s="518"/>
      <c r="AF555" s="518"/>
      <c r="AG555" s="518"/>
      <c r="AH555" s="518"/>
      <c r="AI555" s="518"/>
      <c r="AJ555" s="518"/>
      <c r="AK555" s="518"/>
      <c r="AL555" s="518"/>
      <c r="AM555" s="518"/>
      <c r="AN555" s="518"/>
      <c r="AO555" s="518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</row>
    <row r="556" spans="1:57" ht="12.75" customHeight="1">
      <c r="A556" s="518"/>
      <c r="B556" s="518"/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  <c r="AB556" s="518"/>
      <c r="AC556" s="518"/>
      <c r="AD556" s="518"/>
      <c r="AE556" s="518"/>
      <c r="AF556" s="518"/>
      <c r="AG556" s="518"/>
      <c r="AH556" s="518"/>
      <c r="AI556" s="518"/>
      <c r="AJ556" s="518"/>
      <c r="AK556" s="518"/>
      <c r="AL556" s="518"/>
      <c r="AM556" s="518"/>
      <c r="AN556" s="518"/>
      <c r="AO556" s="518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</row>
    <row r="557" spans="1:57" ht="12.75" customHeight="1">
      <c r="A557" s="518"/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</row>
    <row r="558" spans="1:57" ht="12.75" customHeight="1">
      <c r="A558" s="518"/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</row>
    <row r="559" spans="1:57" ht="12.75" customHeight="1">
      <c r="A559" s="518"/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</row>
    <row r="560" spans="1:57" ht="12.75" customHeight="1">
      <c r="A560" s="518"/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</row>
    <row r="561" spans="1:57" ht="12.75" customHeight="1">
      <c r="A561" s="518"/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</row>
    <row r="562" spans="1:57" ht="12.75" customHeight="1">
      <c r="A562" s="518"/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</row>
    <row r="563" spans="1:57" ht="12.75" customHeight="1">
      <c r="A563" s="518"/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</row>
    <row r="564" spans="1:57" ht="12.75" customHeight="1">
      <c r="A564" s="518"/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</row>
    <row r="565" spans="1:57" ht="12.75" customHeight="1">
      <c r="A565" s="518"/>
      <c r="B565" s="518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</row>
    <row r="566" spans="1:57" ht="12.75" customHeight="1">
      <c r="A566" s="518"/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</row>
    <row r="567" spans="1:57" ht="12.75" customHeight="1">
      <c r="A567" s="518"/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</row>
    <row r="568" spans="1:57" ht="12.75" customHeight="1">
      <c r="A568" s="518"/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</row>
    <row r="569" spans="1:57" ht="12.75" customHeight="1">
      <c r="A569" s="518"/>
      <c r="B569" s="518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</row>
    <row r="570" spans="1:57" ht="12.75" customHeight="1">
      <c r="A570" s="518"/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</row>
    <row r="571" spans="1:57" ht="12.75" customHeight="1">
      <c r="A571" s="518"/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</row>
    <row r="572" spans="1:57" ht="12.75" customHeight="1">
      <c r="A572" s="518"/>
      <c r="B572" s="518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</row>
    <row r="573" spans="1:57" ht="12.75" customHeight="1">
      <c r="A573" s="518"/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</row>
    <row r="574" spans="1:57" ht="12.75" customHeight="1">
      <c r="A574" s="518"/>
      <c r="B574" s="518"/>
      <c r="C574" s="518"/>
      <c r="D574" s="518"/>
      <c r="E574" s="518"/>
      <c r="F574" s="518"/>
      <c r="G574" s="518"/>
      <c r="H574" s="518"/>
      <c r="I574" s="518"/>
      <c r="J574" s="518"/>
      <c r="K574" s="518"/>
      <c r="L574" s="518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  <c r="AB574" s="518"/>
      <c r="AC574" s="518"/>
      <c r="AD574" s="518"/>
      <c r="AE574" s="518"/>
      <c r="AF574" s="518"/>
      <c r="AG574" s="518"/>
      <c r="AH574" s="518"/>
      <c r="AI574" s="518"/>
      <c r="AJ574" s="518"/>
      <c r="AK574" s="518"/>
      <c r="AL574" s="518"/>
      <c r="AM574" s="518"/>
      <c r="AN574" s="518"/>
      <c r="AO574" s="518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</row>
    <row r="575" spans="1:57" ht="12.75" customHeight="1">
      <c r="A575" s="518"/>
      <c r="B575" s="518"/>
      <c r="C575" s="518"/>
      <c r="D575" s="518"/>
      <c r="E575" s="518"/>
      <c r="F575" s="518"/>
      <c r="G575" s="518"/>
      <c r="H575" s="518"/>
      <c r="I575" s="518"/>
      <c r="J575" s="518"/>
      <c r="K575" s="518"/>
      <c r="L575" s="518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  <c r="AB575" s="518"/>
      <c r="AC575" s="518"/>
      <c r="AD575" s="518"/>
      <c r="AE575" s="518"/>
      <c r="AF575" s="518"/>
      <c r="AG575" s="518"/>
      <c r="AH575" s="518"/>
      <c r="AI575" s="518"/>
      <c r="AJ575" s="518"/>
      <c r="AK575" s="518"/>
      <c r="AL575" s="518"/>
      <c r="AM575" s="518"/>
      <c r="AN575" s="518"/>
      <c r="AO575" s="518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</row>
    <row r="576" spans="1:57" ht="12.75" customHeight="1">
      <c r="A576" s="518"/>
      <c r="B576" s="518"/>
      <c r="C576" s="518"/>
      <c r="D576" s="518"/>
      <c r="E576" s="518"/>
      <c r="F576" s="518"/>
      <c r="G576" s="518"/>
      <c r="H576" s="518"/>
      <c r="I576" s="518"/>
      <c r="J576" s="518"/>
      <c r="K576" s="518"/>
      <c r="L576" s="518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  <c r="AB576" s="518"/>
      <c r="AC576" s="518"/>
      <c r="AD576" s="518"/>
      <c r="AE576" s="518"/>
      <c r="AF576" s="518"/>
      <c r="AG576" s="518"/>
      <c r="AH576" s="518"/>
      <c r="AI576" s="518"/>
      <c r="AJ576" s="518"/>
      <c r="AK576" s="518"/>
      <c r="AL576" s="518"/>
      <c r="AM576" s="518"/>
      <c r="AN576" s="518"/>
      <c r="AO576" s="51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</row>
    <row r="577" spans="1:57" ht="12.75" customHeight="1">
      <c r="A577" s="518"/>
      <c r="B577" s="518"/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  <c r="AB577" s="518"/>
      <c r="AC577" s="518"/>
      <c r="AD577" s="518"/>
      <c r="AE577" s="518"/>
      <c r="AF577" s="518"/>
      <c r="AG577" s="518"/>
      <c r="AH577" s="518"/>
      <c r="AI577" s="518"/>
      <c r="AJ577" s="518"/>
      <c r="AK577" s="518"/>
      <c r="AL577" s="518"/>
      <c r="AM577" s="518"/>
      <c r="AN577" s="518"/>
      <c r="AO577" s="51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</row>
    <row r="578" spans="1:57" ht="12.75" customHeight="1">
      <c r="A578" s="518"/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</row>
    <row r="579" spans="1:57" ht="12.75" customHeight="1">
      <c r="A579" s="518"/>
      <c r="B579" s="518"/>
      <c r="C579" s="518"/>
      <c r="D579" s="518"/>
      <c r="E579" s="518"/>
      <c r="F579" s="518"/>
      <c r="G579" s="518"/>
      <c r="H579" s="518"/>
      <c r="I579" s="518"/>
      <c r="J579" s="518"/>
      <c r="K579" s="518"/>
      <c r="L579" s="518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  <c r="AB579" s="518"/>
      <c r="AC579" s="518"/>
      <c r="AD579" s="518"/>
      <c r="AE579" s="518"/>
      <c r="AF579" s="518"/>
      <c r="AG579" s="518"/>
      <c r="AH579" s="518"/>
      <c r="AI579" s="518"/>
      <c r="AJ579" s="518"/>
      <c r="AK579" s="518"/>
      <c r="AL579" s="518"/>
      <c r="AM579" s="518"/>
      <c r="AN579" s="518"/>
      <c r="AO579" s="51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</row>
    <row r="580" spans="1:57" ht="12.75" customHeight="1">
      <c r="A580" s="518"/>
      <c r="B580" s="518"/>
      <c r="C580" s="518"/>
      <c r="D580" s="518"/>
      <c r="E580" s="518"/>
      <c r="F580" s="518"/>
      <c r="G580" s="518"/>
      <c r="H580" s="518"/>
      <c r="I580" s="518"/>
      <c r="J580" s="518"/>
      <c r="K580" s="518"/>
      <c r="L580" s="518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  <c r="AB580" s="518"/>
      <c r="AC580" s="518"/>
      <c r="AD580" s="518"/>
      <c r="AE580" s="518"/>
      <c r="AF580" s="518"/>
      <c r="AG580" s="518"/>
      <c r="AH580" s="518"/>
      <c r="AI580" s="518"/>
      <c r="AJ580" s="518"/>
      <c r="AK580" s="518"/>
      <c r="AL580" s="518"/>
      <c r="AM580" s="518"/>
      <c r="AN580" s="518"/>
      <c r="AO580" s="51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</row>
    <row r="581" spans="1:57" ht="12.75" customHeight="1">
      <c r="A581" s="518"/>
      <c r="B581" s="518"/>
      <c r="C581" s="518"/>
      <c r="D581" s="518"/>
      <c r="E581" s="518"/>
      <c r="F581" s="518"/>
      <c r="G581" s="518"/>
      <c r="H581" s="518"/>
      <c r="I581" s="518"/>
      <c r="J581" s="518"/>
      <c r="K581" s="518"/>
      <c r="L581" s="518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  <c r="AB581" s="518"/>
      <c r="AC581" s="518"/>
      <c r="AD581" s="518"/>
      <c r="AE581" s="518"/>
      <c r="AF581" s="518"/>
      <c r="AG581" s="518"/>
      <c r="AH581" s="518"/>
      <c r="AI581" s="518"/>
      <c r="AJ581" s="518"/>
      <c r="AK581" s="518"/>
      <c r="AL581" s="518"/>
      <c r="AM581" s="518"/>
      <c r="AN581" s="518"/>
      <c r="AO581" s="51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</row>
    <row r="582" spans="1:57" ht="12.75" customHeight="1">
      <c r="A582" s="518"/>
      <c r="B582" s="518"/>
      <c r="C582" s="518"/>
      <c r="D582" s="518"/>
      <c r="E582" s="518"/>
      <c r="F582" s="518"/>
      <c r="G582" s="518"/>
      <c r="H582" s="518"/>
      <c r="I582" s="518"/>
      <c r="J582" s="518"/>
      <c r="K582" s="518"/>
      <c r="L582" s="518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  <c r="AB582" s="518"/>
      <c r="AC582" s="518"/>
      <c r="AD582" s="518"/>
      <c r="AE582" s="518"/>
      <c r="AF582" s="518"/>
      <c r="AG582" s="518"/>
      <c r="AH582" s="518"/>
      <c r="AI582" s="518"/>
      <c r="AJ582" s="518"/>
      <c r="AK582" s="518"/>
      <c r="AL582" s="518"/>
      <c r="AM582" s="518"/>
      <c r="AN582" s="518"/>
      <c r="AO582" s="51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</row>
    <row r="583" spans="1:57" ht="12.75" customHeight="1">
      <c r="A583" s="518"/>
      <c r="B583" s="518"/>
      <c r="C583" s="518"/>
      <c r="D583" s="518"/>
      <c r="E583" s="518"/>
      <c r="F583" s="518"/>
      <c r="G583" s="518"/>
      <c r="H583" s="518"/>
      <c r="I583" s="518"/>
      <c r="J583" s="518"/>
      <c r="K583" s="518"/>
      <c r="L583" s="518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  <c r="AB583" s="518"/>
      <c r="AC583" s="518"/>
      <c r="AD583" s="518"/>
      <c r="AE583" s="518"/>
      <c r="AF583" s="518"/>
      <c r="AG583" s="518"/>
      <c r="AH583" s="518"/>
      <c r="AI583" s="518"/>
      <c r="AJ583" s="518"/>
      <c r="AK583" s="518"/>
      <c r="AL583" s="518"/>
      <c r="AM583" s="518"/>
      <c r="AN583" s="518"/>
      <c r="AO583" s="51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</row>
    <row r="584" spans="1:57" ht="12.75" customHeight="1">
      <c r="A584" s="518"/>
      <c r="B584" s="518"/>
      <c r="C584" s="518"/>
      <c r="D584" s="518"/>
      <c r="E584" s="518"/>
      <c r="F584" s="518"/>
      <c r="G584" s="518"/>
      <c r="H584" s="518"/>
      <c r="I584" s="518"/>
      <c r="J584" s="518"/>
      <c r="K584" s="518"/>
      <c r="L584" s="518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  <c r="AB584" s="518"/>
      <c r="AC584" s="518"/>
      <c r="AD584" s="518"/>
      <c r="AE584" s="518"/>
      <c r="AF584" s="518"/>
      <c r="AG584" s="518"/>
      <c r="AH584" s="518"/>
      <c r="AI584" s="518"/>
      <c r="AJ584" s="518"/>
      <c r="AK584" s="518"/>
      <c r="AL584" s="518"/>
      <c r="AM584" s="518"/>
      <c r="AN584" s="518"/>
      <c r="AO584" s="51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</row>
    <row r="585" spans="1:57" ht="12.75" customHeight="1">
      <c r="A585" s="518"/>
      <c r="B585" s="518"/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  <c r="AB585" s="518"/>
      <c r="AC585" s="518"/>
      <c r="AD585" s="518"/>
      <c r="AE585" s="518"/>
      <c r="AF585" s="518"/>
      <c r="AG585" s="518"/>
      <c r="AH585" s="518"/>
      <c r="AI585" s="518"/>
      <c r="AJ585" s="518"/>
      <c r="AK585" s="518"/>
      <c r="AL585" s="518"/>
      <c r="AM585" s="518"/>
      <c r="AN585" s="518"/>
      <c r="AO585" s="51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</row>
    <row r="586" spans="1:57" ht="12.75" customHeight="1">
      <c r="A586" s="518"/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</row>
    <row r="587" spans="1:57" ht="12.75" customHeight="1">
      <c r="A587" s="518"/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</row>
    <row r="588" spans="1:57" ht="12.75" customHeight="1">
      <c r="A588" s="518"/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</row>
    <row r="589" spans="1:57" ht="12.75" customHeight="1">
      <c r="A589" s="518"/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</row>
    <row r="590" spans="1:57" ht="12.75" customHeight="1">
      <c r="A590" s="518"/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</row>
    <row r="591" spans="1:57" ht="12.75" customHeight="1">
      <c r="A591" s="518"/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</row>
    <row r="592" spans="1:57" ht="12.75" customHeight="1">
      <c r="A592" s="518"/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</row>
    <row r="593" spans="1:57" ht="12.75" customHeight="1">
      <c r="A593" s="518"/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</row>
    <row r="594" spans="1:57" ht="12.75" customHeight="1">
      <c r="A594" s="518"/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</row>
    <row r="595" spans="1:57" ht="12.75" customHeight="1">
      <c r="A595" s="518"/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</row>
    <row r="596" spans="1:57" ht="12.75" customHeight="1">
      <c r="A596" s="518"/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</row>
    <row r="597" spans="1:57" ht="12.75" customHeight="1">
      <c r="A597" s="518"/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</row>
    <row r="598" spans="1:57" ht="12.75" customHeight="1">
      <c r="A598" s="518"/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</row>
    <row r="599" spans="1:57" ht="12.75" customHeight="1">
      <c r="A599" s="518"/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</row>
    <row r="600" spans="1:57" ht="12.75" customHeight="1">
      <c r="A600" s="518"/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</row>
    <row r="601" spans="1:57" ht="12.75" customHeight="1">
      <c r="A601" s="518"/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</row>
    <row r="602" spans="1:57" ht="12.75" customHeight="1">
      <c r="A602" s="518"/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</row>
    <row r="603" spans="1:57" ht="12.75" customHeight="1">
      <c r="A603" s="518"/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</row>
    <row r="604" spans="1:57" ht="12.75" customHeight="1">
      <c r="A604" s="518"/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</row>
    <row r="605" spans="1:57" ht="12.75" customHeight="1">
      <c r="A605" s="518"/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</row>
    <row r="606" spans="1:57" ht="12.75" customHeight="1">
      <c r="A606" s="518"/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</row>
    <row r="607" spans="1:57" ht="12.75" customHeight="1">
      <c r="A607" s="518"/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</row>
    <row r="608" spans="1:57" ht="12.75" customHeight="1">
      <c r="A608" s="518"/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</row>
    <row r="609" spans="1:57" ht="12.75" customHeight="1">
      <c r="A609" s="518"/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</row>
    <row r="610" spans="1:57" ht="12.75" customHeight="1">
      <c r="A610" s="518"/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</row>
    <row r="611" spans="1:57" ht="12.75" customHeight="1">
      <c r="A611" s="518"/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</row>
    <row r="612" spans="1:57" ht="12.75" customHeight="1">
      <c r="A612" s="518"/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</row>
    <row r="613" spans="1:57" ht="12.75" customHeight="1">
      <c r="A613" s="518"/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</row>
    <row r="614" spans="1:57" ht="12.75" customHeight="1">
      <c r="A614" s="518"/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</row>
    <row r="615" spans="1:57" ht="12.75" customHeight="1">
      <c r="A615" s="518"/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</row>
    <row r="616" spans="1:57" ht="12.75" customHeight="1">
      <c r="A616" s="518"/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</row>
    <row r="617" spans="1:57" ht="12.75" customHeight="1">
      <c r="A617" s="518"/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</row>
    <row r="618" spans="1:57" ht="12.75" customHeight="1">
      <c r="A618" s="518"/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</row>
    <row r="619" spans="1:57" ht="12.75" customHeight="1">
      <c r="A619" s="518"/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</row>
    <row r="620" spans="1:57" ht="12.75" customHeight="1">
      <c r="A620" s="518"/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</row>
    <row r="621" spans="1:57" ht="12.75" customHeight="1">
      <c r="A621" s="518"/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</row>
    <row r="622" spans="1:57" ht="12.75" customHeight="1">
      <c r="A622" s="518"/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</row>
    <row r="623" spans="1:57" ht="12.75" customHeight="1">
      <c r="A623" s="518"/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</row>
    <row r="624" spans="1:57" ht="12.75" customHeight="1">
      <c r="A624" s="518"/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</row>
    <row r="625" spans="1:57" ht="12.75" customHeight="1">
      <c r="A625" s="518"/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</row>
    <row r="626" spans="1:57" ht="12.75" customHeight="1">
      <c r="A626" s="518"/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</row>
    <row r="627" spans="1:57" ht="12.75" customHeight="1">
      <c r="A627" s="518"/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</row>
    <row r="628" spans="1:57" ht="12.75" customHeight="1">
      <c r="A628" s="518"/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</row>
    <row r="629" spans="1:57" ht="12.75" customHeight="1">
      <c r="A629" s="518"/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</row>
    <row r="630" spans="1:57" ht="12.75" customHeight="1">
      <c r="A630" s="518"/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</row>
    <row r="631" spans="1:57" ht="12.75" customHeight="1">
      <c r="A631" s="518"/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</row>
    <row r="632" spans="1:57" ht="12.75" customHeight="1">
      <c r="A632" s="518"/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</row>
    <row r="633" spans="1:57" ht="12.75" customHeight="1">
      <c r="A633" s="518"/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</row>
    <row r="634" spans="1:57" ht="12.75" customHeight="1">
      <c r="A634" s="518"/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</row>
    <row r="635" spans="1:57" ht="12.75" customHeight="1">
      <c r="A635" s="518"/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</row>
    <row r="636" spans="1:57" ht="12.75" customHeight="1">
      <c r="A636" s="518"/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</row>
    <row r="637" spans="1:57" ht="12.75" customHeight="1">
      <c r="A637" s="518"/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</row>
    <row r="638" spans="1:57" ht="12.75" customHeight="1">
      <c r="A638" s="518"/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</row>
    <row r="639" spans="1:57" ht="12.75" customHeight="1">
      <c r="A639" s="518"/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</row>
    <row r="640" spans="1:57" ht="12.75" customHeight="1">
      <c r="A640" s="518"/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</row>
    <row r="641" spans="1:57" ht="12.75" customHeight="1">
      <c r="A641" s="518"/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</row>
    <row r="642" spans="1:57" ht="12.75" customHeight="1">
      <c r="A642" s="518"/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</row>
    <row r="643" spans="1:57" ht="12.75" customHeight="1">
      <c r="A643" s="518"/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</row>
    <row r="644" spans="1:57" ht="12.75" customHeight="1">
      <c r="A644" s="518"/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</row>
    <row r="645" spans="1:57" ht="12.75" customHeight="1">
      <c r="A645" s="518"/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</row>
    <row r="646" spans="1:57" ht="12.75" customHeight="1">
      <c r="A646" s="518"/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</row>
    <row r="647" spans="1:57" ht="12.75" customHeight="1">
      <c r="A647" s="518"/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</row>
    <row r="648" spans="1:57" ht="12.75" customHeight="1">
      <c r="A648" s="518"/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</row>
    <row r="649" spans="1:57" ht="12.75" customHeight="1">
      <c r="A649" s="518"/>
      <c r="B649" s="518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</row>
    <row r="650" spans="1:57" ht="12.75" customHeight="1">
      <c r="A650" s="518"/>
      <c r="B650" s="518"/>
      <c r="C650" s="518"/>
      <c r="D650" s="518"/>
      <c r="E650" s="518"/>
      <c r="F650" s="518"/>
      <c r="G650" s="518"/>
      <c r="H650" s="518"/>
      <c r="I650" s="518"/>
      <c r="J650" s="518"/>
      <c r="K650" s="518"/>
      <c r="L650" s="518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  <c r="AB650" s="518"/>
      <c r="AC650" s="518"/>
      <c r="AD650" s="518"/>
      <c r="AE650" s="518"/>
      <c r="AF650" s="518"/>
      <c r="AG650" s="518"/>
      <c r="AH650" s="518"/>
      <c r="AI650" s="518"/>
      <c r="AJ650" s="518"/>
      <c r="AK650" s="518"/>
      <c r="AL650" s="518"/>
      <c r="AM650" s="518"/>
      <c r="AN650" s="518"/>
      <c r="AO650" s="518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</row>
    <row r="651" spans="1:57" ht="12.75" customHeight="1">
      <c r="A651" s="518"/>
      <c r="B651" s="518"/>
      <c r="C651" s="518"/>
      <c r="D651" s="518"/>
      <c r="E651" s="518"/>
      <c r="F651" s="518"/>
      <c r="G651" s="518"/>
      <c r="H651" s="518"/>
      <c r="I651" s="518"/>
      <c r="J651" s="518"/>
      <c r="K651" s="518"/>
      <c r="L651" s="518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  <c r="AB651" s="518"/>
      <c r="AC651" s="518"/>
      <c r="AD651" s="518"/>
      <c r="AE651" s="518"/>
      <c r="AF651" s="518"/>
      <c r="AG651" s="518"/>
      <c r="AH651" s="518"/>
      <c r="AI651" s="518"/>
      <c r="AJ651" s="518"/>
      <c r="AK651" s="518"/>
      <c r="AL651" s="518"/>
      <c r="AM651" s="518"/>
      <c r="AN651" s="518"/>
      <c r="AO651" s="518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</row>
    <row r="652" spans="1:57" ht="12.75" customHeight="1">
      <c r="A652" s="518"/>
      <c r="B652" s="518"/>
      <c r="C652" s="518"/>
      <c r="D652" s="518"/>
      <c r="E652" s="518"/>
      <c r="F652" s="518"/>
      <c r="G652" s="518"/>
      <c r="H652" s="518"/>
      <c r="I652" s="518"/>
      <c r="J652" s="518"/>
      <c r="K652" s="518"/>
      <c r="L652" s="518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  <c r="AB652" s="518"/>
      <c r="AC652" s="518"/>
      <c r="AD652" s="518"/>
      <c r="AE652" s="518"/>
      <c r="AF652" s="518"/>
      <c r="AG652" s="518"/>
      <c r="AH652" s="518"/>
      <c r="AI652" s="518"/>
      <c r="AJ652" s="518"/>
      <c r="AK652" s="518"/>
      <c r="AL652" s="518"/>
      <c r="AM652" s="518"/>
      <c r="AN652" s="518"/>
      <c r="AO652" s="518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</row>
    <row r="653" spans="1:57" ht="12.75" customHeight="1">
      <c r="A653" s="518"/>
      <c r="B653" s="518"/>
      <c r="C653" s="518"/>
      <c r="D653" s="518"/>
      <c r="E653" s="518"/>
      <c r="F653" s="518"/>
      <c r="G653" s="518"/>
      <c r="H653" s="518"/>
      <c r="I653" s="518"/>
      <c r="J653" s="518"/>
      <c r="K653" s="518"/>
      <c r="L653" s="518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  <c r="AB653" s="518"/>
      <c r="AC653" s="518"/>
      <c r="AD653" s="518"/>
      <c r="AE653" s="518"/>
      <c r="AF653" s="518"/>
      <c r="AG653" s="518"/>
      <c r="AH653" s="518"/>
      <c r="AI653" s="518"/>
      <c r="AJ653" s="518"/>
      <c r="AK653" s="518"/>
      <c r="AL653" s="518"/>
      <c r="AM653" s="518"/>
      <c r="AN653" s="518"/>
      <c r="AO653" s="51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</row>
    <row r="654" spans="1:57" ht="12.75" customHeight="1">
      <c r="A654" s="518"/>
      <c r="B654" s="518"/>
      <c r="C654" s="518"/>
      <c r="D654" s="518"/>
      <c r="E654" s="518"/>
      <c r="F654" s="518"/>
      <c r="G654" s="518"/>
      <c r="H654" s="518"/>
      <c r="I654" s="518"/>
      <c r="J654" s="518"/>
      <c r="K654" s="518"/>
      <c r="L654" s="518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  <c r="AB654" s="518"/>
      <c r="AC654" s="518"/>
      <c r="AD654" s="518"/>
      <c r="AE654" s="518"/>
      <c r="AF654" s="518"/>
      <c r="AG654" s="518"/>
      <c r="AH654" s="518"/>
      <c r="AI654" s="518"/>
      <c r="AJ654" s="518"/>
      <c r="AK654" s="518"/>
      <c r="AL654" s="518"/>
      <c r="AM654" s="518"/>
      <c r="AN654" s="518"/>
      <c r="AO654" s="518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</row>
    <row r="655" spans="1:57" ht="12.75" customHeight="1">
      <c r="A655" s="518"/>
      <c r="B655" s="518"/>
      <c r="C655" s="518"/>
      <c r="D655" s="518"/>
      <c r="E655" s="518"/>
      <c r="F655" s="518"/>
      <c r="G655" s="518"/>
      <c r="H655" s="518"/>
      <c r="I655" s="518"/>
      <c r="J655" s="518"/>
      <c r="K655" s="518"/>
      <c r="L655" s="518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  <c r="AB655" s="518"/>
      <c r="AC655" s="518"/>
      <c r="AD655" s="518"/>
      <c r="AE655" s="518"/>
      <c r="AF655" s="518"/>
      <c r="AG655" s="518"/>
      <c r="AH655" s="518"/>
      <c r="AI655" s="518"/>
      <c r="AJ655" s="518"/>
      <c r="AK655" s="518"/>
      <c r="AL655" s="518"/>
      <c r="AM655" s="518"/>
      <c r="AN655" s="518"/>
      <c r="AO655" s="51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</row>
    <row r="656" spans="1:57" ht="12.75" customHeight="1">
      <c r="A656" s="518"/>
      <c r="B656" s="518"/>
      <c r="C656" s="518"/>
      <c r="D656" s="518"/>
      <c r="E656" s="518"/>
      <c r="F656" s="518"/>
      <c r="G656" s="518"/>
      <c r="H656" s="518"/>
      <c r="I656" s="518"/>
      <c r="J656" s="518"/>
      <c r="K656" s="518"/>
      <c r="L656" s="518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  <c r="AB656" s="518"/>
      <c r="AC656" s="518"/>
      <c r="AD656" s="518"/>
      <c r="AE656" s="518"/>
      <c r="AF656" s="518"/>
      <c r="AG656" s="518"/>
      <c r="AH656" s="518"/>
      <c r="AI656" s="518"/>
      <c r="AJ656" s="518"/>
      <c r="AK656" s="518"/>
      <c r="AL656" s="518"/>
      <c r="AM656" s="518"/>
      <c r="AN656" s="518"/>
      <c r="AO656" s="51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</row>
    <row r="657" spans="1:57" ht="12.75" customHeight="1">
      <c r="A657" s="518"/>
      <c r="B657" s="518"/>
      <c r="C657" s="518"/>
      <c r="D657" s="518"/>
      <c r="E657" s="518"/>
      <c r="F657" s="518"/>
      <c r="G657" s="518"/>
      <c r="H657" s="518"/>
      <c r="I657" s="518"/>
      <c r="J657" s="518"/>
      <c r="K657" s="518"/>
      <c r="L657" s="518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  <c r="AB657" s="518"/>
      <c r="AC657" s="518"/>
      <c r="AD657" s="518"/>
      <c r="AE657" s="518"/>
      <c r="AF657" s="518"/>
      <c r="AG657" s="518"/>
      <c r="AH657" s="518"/>
      <c r="AI657" s="518"/>
      <c r="AJ657" s="518"/>
      <c r="AK657" s="518"/>
      <c r="AL657" s="518"/>
      <c r="AM657" s="518"/>
      <c r="AN657" s="518"/>
      <c r="AO657" s="51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</row>
    <row r="658" spans="1:57" ht="12.75" customHeight="1">
      <c r="A658" s="518"/>
      <c r="B658" s="518"/>
      <c r="C658" s="518"/>
      <c r="D658" s="518"/>
      <c r="E658" s="518"/>
      <c r="F658" s="518"/>
      <c r="G658" s="518"/>
      <c r="H658" s="518"/>
      <c r="I658" s="518"/>
      <c r="J658" s="518"/>
      <c r="K658" s="518"/>
      <c r="L658" s="518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  <c r="AB658" s="518"/>
      <c r="AC658" s="518"/>
      <c r="AD658" s="518"/>
      <c r="AE658" s="518"/>
      <c r="AF658" s="518"/>
      <c r="AG658" s="518"/>
      <c r="AH658" s="518"/>
      <c r="AI658" s="518"/>
      <c r="AJ658" s="518"/>
      <c r="AK658" s="518"/>
      <c r="AL658" s="518"/>
      <c r="AM658" s="518"/>
      <c r="AN658" s="518"/>
      <c r="AO658" s="51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</row>
    <row r="659" spans="1:57" ht="12.75" customHeight="1">
      <c r="A659" s="518"/>
      <c r="B659" s="518"/>
      <c r="C659" s="518"/>
      <c r="D659" s="518"/>
      <c r="E659" s="518"/>
      <c r="F659" s="518"/>
      <c r="G659" s="518"/>
      <c r="H659" s="518"/>
      <c r="I659" s="518"/>
      <c r="J659" s="518"/>
      <c r="K659" s="518"/>
      <c r="L659" s="518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  <c r="AB659" s="518"/>
      <c r="AC659" s="518"/>
      <c r="AD659" s="518"/>
      <c r="AE659" s="518"/>
      <c r="AF659" s="518"/>
      <c r="AG659" s="518"/>
      <c r="AH659" s="518"/>
      <c r="AI659" s="518"/>
      <c r="AJ659" s="518"/>
      <c r="AK659" s="518"/>
      <c r="AL659" s="518"/>
      <c r="AM659" s="518"/>
      <c r="AN659" s="518"/>
      <c r="AO659" s="51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</row>
    <row r="660" spans="1:57" ht="12.75" customHeight="1">
      <c r="A660" s="518"/>
      <c r="B660" s="518"/>
      <c r="C660" s="518"/>
      <c r="D660" s="518"/>
      <c r="E660" s="518"/>
      <c r="F660" s="518"/>
      <c r="G660" s="518"/>
      <c r="H660" s="518"/>
      <c r="I660" s="518"/>
      <c r="J660" s="518"/>
      <c r="K660" s="518"/>
      <c r="L660" s="518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  <c r="AB660" s="518"/>
      <c r="AC660" s="518"/>
      <c r="AD660" s="518"/>
      <c r="AE660" s="518"/>
      <c r="AF660" s="518"/>
      <c r="AG660" s="518"/>
      <c r="AH660" s="518"/>
      <c r="AI660" s="518"/>
      <c r="AJ660" s="518"/>
      <c r="AK660" s="518"/>
      <c r="AL660" s="518"/>
      <c r="AM660" s="518"/>
      <c r="AN660" s="518"/>
      <c r="AO660" s="51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</row>
    <row r="661" spans="1:57" ht="12.75" customHeight="1">
      <c r="A661" s="518"/>
      <c r="B661" s="518"/>
      <c r="C661" s="518"/>
      <c r="D661" s="518"/>
      <c r="E661" s="518"/>
      <c r="F661" s="518"/>
      <c r="G661" s="518"/>
      <c r="H661" s="518"/>
      <c r="I661" s="518"/>
      <c r="J661" s="518"/>
      <c r="K661" s="518"/>
      <c r="L661" s="518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  <c r="AB661" s="518"/>
      <c r="AC661" s="518"/>
      <c r="AD661" s="518"/>
      <c r="AE661" s="518"/>
      <c r="AF661" s="518"/>
      <c r="AG661" s="518"/>
      <c r="AH661" s="518"/>
      <c r="AI661" s="518"/>
      <c r="AJ661" s="518"/>
      <c r="AK661" s="518"/>
      <c r="AL661" s="518"/>
      <c r="AM661" s="518"/>
      <c r="AN661" s="518"/>
      <c r="AO661" s="518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</row>
    <row r="662" spans="1:57" ht="12.75" customHeight="1">
      <c r="A662" s="518"/>
      <c r="B662" s="518"/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  <c r="AB662" s="518"/>
      <c r="AC662" s="518"/>
      <c r="AD662" s="518"/>
      <c r="AE662" s="518"/>
      <c r="AF662" s="518"/>
      <c r="AG662" s="518"/>
      <c r="AH662" s="518"/>
      <c r="AI662" s="518"/>
      <c r="AJ662" s="518"/>
      <c r="AK662" s="518"/>
      <c r="AL662" s="518"/>
      <c r="AM662" s="518"/>
      <c r="AN662" s="518"/>
      <c r="AO662" s="51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</row>
    <row r="663" spans="1:57" ht="12.75" customHeight="1">
      <c r="A663" s="518"/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</row>
    <row r="664" spans="1:57" ht="12.75" customHeight="1">
      <c r="A664" s="518"/>
      <c r="B664" s="518"/>
      <c r="C664" s="518"/>
      <c r="D664" s="518"/>
      <c r="E664" s="518"/>
      <c r="F664" s="518"/>
      <c r="G664" s="518"/>
      <c r="H664" s="518"/>
      <c r="I664" s="518"/>
      <c r="J664" s="518"/>
      <c r="K664" s="518"/>
      <c r="L664" s="518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  <c r="AB664" s="518"/>
      <c r="AC664" s="518"/>
      <c r="AD664" s="518"/>
      <c r="AE664" s="518"/>
      <c r="AF664" s="518"/>
      <c r="AG664" s="518"/>
      <c r="AH664" s="518"/>
      <c r="AI664" s="518"/>
      <c r="AJ664" s="518"/>
      <c r="AK664" s="518"/>
      <c r="AL664" s="518"/>
      <c r="AM664" s="518"/>
      <c r="AN664" s="518"/>
      <c r="AO664" s="518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</row>
    <row r="665" spans="1:57" ht="12.75" customHeight="1">
      <c r="A665" s="518"/>
      <c r="B665" s="518"/>
      <c r="C665" s="518"/>
      <c r="D665" s="518"/>
      <c r="E665" s="518"/>
      <c r="F665" s="518"/>
      <c r="G665" s="518"/>
      <c r="H665" s="518"/>
      <c r="I665" s="518"/>
      <c r="J665" s="518"/>
      <c r="K665" s="518"/>
      <c r="L665" s="518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  <c r="AB665" s="518"/>
      <c r="AC665" s="518"/>
      <c r="AD665" s="518"/>
      <c r="AE665" s="518"/>
      <c r="AF665" s="518"/>
      <c r="AG665" s="518"/>
      <c r="AH665" s="518"/>
      <c r="AI665" s="518"/>
      <c r="AJ665" s="518"/>
      <c r="AK665" s="518"/>
      <c r="AL665" s="518"/>
      <c r="AM665" s="518"/>
      <c r="AN665" s="518"/>
      <c r="AO665" s="51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</row>
    <row r="666" spans="1:57" ht="12.75" customHeight="1">
      <c r="A666" s="518"/>
      <c r="B666" s="518"/>
      <c r="C666" s="518"/>
      <c r="D666" s="518"/>
      <c r="E666" s="518"/>
      <c r="F666" s="518"/>
      <c r="G666" s="518"/>
      <c r="H666" s="518"/>
      <c r="I666" s="518"/>
      <c r="J666" s="518"/>
      <c r="K666" s="518"/>
      <c r="L666" s="518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  <c r="AB666" s="518"/>
      <c r="AC666" s="518"/>
      <c r="AD666" s="518"/>
      <c r="AE666" s="518"/>
      <c r="AF666" s="518"/>
      <c r="AG666" s="518"/>
      <c r="AH666" s="518"/>
      <c r="AI666" s="518"/>
      <c r="AJ666" s="518"/>
      <c r="AK666" s="518"/>
      <c r="AL666" s="518"/>
      <c r="AM666" s="518"/>
      <c r="AN666" s="518"/>
      <c r="AO666" s="51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</row>
    <row r="667" spans="1:57" ht="12.75" customHeight="1">
      <c r="A667" s="518"/>
      <c r="B667" s="518"/>
      <c r="C667" s="518"/>
      <c r="D667" s="518"/>
      <c r="E667" s="518"/>
      <c r="F667" s="518"/>
      <c r="G667" s="518"/>
      <c r="H667" s="518"/>
      <c r="I667" s="518"/>
      <c r="J667" s="518"/>
      <c r="K667" s="518"/>
      <c r="L667" s="518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  <c r="AB667" s="518"/>
      <c r="AC667" s="518"/>
      <c r="AD667" s="518"/>
      <c r="AE667" s="518"/>
      <c r="AF667" s="518"/>
      <c r="AG667" s="518"/>
      <c r="AH667" s="518"/>
      <c r="AI667" s="518"/>
      <c r="AJ667" s="518"/>
      <c r="AK667" s="518"/>
      <c r="AL667" s="518"/>
      <c r="AM667" s="518"/>
      <c r="AN667" s="518"/>
      <c r="AO667" s="51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</row>
    <row r="668" spans="1:57" ht="12.75" customHeight="1">
      <c r="A668" s="518"/>
      <c r="B668" s="518"/>
      <c r="C668" s="518"/>
      <c r="D668" s="518"/>
      <c r="E668" s="518"/>
      <c r="F668" s="518"/>
      <c r="G668" s="518"/>
      <c r="H668" s="518"/>
      <c r="I668" s="518"/>
      <c r="J668" s="518"/>
      <c r="K668" s="518"/>
      <c r="L668" s="518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  <c r="AB668" s="518"/>
      <c r="AC668" s="518"/>
      <c r="AD668" s="518"/>
      <c r="AE668" s="518"/>
      <c r="AF668" s="518"/>
      <c r="AG668" s="518"/>
      <c r="AH668" s="518"/>
      <c r="AI668" s="518"/>
      <c r="AJ668" s="518"/>
      <c r="AK668" s="518"/>
      <c r="AL668" s="518"/>
      <c r="AM668" s="518"/>
      <c r="AN668" s="518"/>
      <c r="AO668" s="51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</row>
    <row r="669" spans="1:57" ht="12.75" customHeight="1">
      <c r="A669" s="518"/>
      <c r="B669" s="518"/>
      <c r="C669" s="518"/>
      <c r="D669" s="518"/>
      <c r="E669" s="518"/>
      <c r="F669" s="518"/>
      <c r="G669" s="518"/>
      <c r="H669" s="518"/>
      <c r="I669" s="518"/>
      <c r="J669" s="518"/>
      <c r="K669" s="518"/>
      <c r="L669" s="518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  <c r="AB669" s="518"/>
      <c r="AC669" s="518"/>
      <c r="AD669" s="518"/>
      <c r="AE669" s="518"/>
      <c r="AF669" s="518"/>
      <c r="AG669" s="518"/>
      <c r="AH669" s="518"/>
      <c r="AI669" s="518"/>
      <c r="AJ669" s="518"/>
      <c r="AK669" s="518"/>
      <c r="AL669" s="518"/>
      <c r="AM669" s="518"/>
      <c r="AN669" s="518"/>
      <c r="AO669" s="51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</row>
    <row r="670" spans="1:57" ht="12.75" customHeight="1">
      <c r="A670" s="518"/>
      <c r="B670" s="518"/>
      <c r="C670" s="518"/>
      <c r="D670" s="518"/>
      <c r="E670" s="518"/>
      <c r="F670" s="518"/>
      <c r="G670" s="518"/>
      <c r="H670" s="518"/>
      <c r="I670" s="518"/>
      <c r="J670" s="518"/>
      <c r="K670" s="518"/>
      <c r="L670" s="518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  <c r="AB670" s="518"/>
      <c r="AC670" s="518"/>
      <c r="AD670" s="518"/>
      <c r="AE670" s="518"/>
      <c r="AF670" s="518"/>
      <c r="AG670" s="518"/>
      <c r="AH670" s="518"/>
      <c r="AI670" s="518"/>
      <c r="AJ670" s="518"/>
      <c r="AK670" s="518"/>
      <c r="AL670" s="518"/>
      <c r="AM670" s="518"/>
      <c r="AN670" s="518"/>
      <c r="AO670" s="51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</row>
    <row r="671" spans="1:57" ht="12.75" customHeight="1">
      <c r="A671" s="518"/>
      <c r="B671" s="518"/>
      <c r="C671" s="518"/>
      <c r="D671" s="518"/>
      <c r="E671" s="518"/>
      <c r="F671" s="518"/>
      <c r="G671" s="518"/>
      <c r="H671" s="518"/>
      <c r="I671" s="518"/>
      <c r="J671" s="518"/>
      <c r="K671" s="518"/>
      <c r="L671" s="518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  <c r="AB671" s="518"/>
      <c r="AC671" s="518"/>
      <c r="AD671" s="518"/>
      <c r="AE671" s="518"/>
      <c r="AF671" s="518"/>
      <c r="AG671" s="518"/>
      <c r="AH671" s="518"/>
      <c r="AI671" s="518"/>
      <c r="AJ671" s="518"/>
      <c r="AK671" s="518"/>
      <c r="AL671" s="518"/>
      <c r="AM671" s="518"/>
      <c r="AN671" s="518"/>
      <c r="AO671" s="51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</row>
    <row r="672" spans="1:57" ht="12.75" customHeight="1">
      <c r="A672" s="518"/>
      <c r="B672" s="518"/>
      <c r="C672" s="518"/>
      <c r="D672" s="518"/>
      <c r="E672" s="518"/>
      <c r="F672" s="518"/>
      <c r="G672" s="518"/>
      <c r="H672" s="518"/>
      <c r="I672" s="518"/>
      <c r="J672" s="518"/>
      <c r="K672" s="518"/>
      <c r="L672" s="518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  <c r="AB672" s="518"/>
      <c r="AC672" s="518"/>
      <c r="AD672" s="518"/>
      <c r="AE672" s="518"/>
      <c r="AF672" s="518"/>
      <c r="AG672" s="518"/>
      <c r="AH672" s="518"/>
      <c r="AI672" s="518"/>
      <c r="AJ672" s="518"/>
      <c r="AK672" s="518"/>
      <c r="AL672" s="518"/>
      <c r="AM672" s="518"/>
      <c r="AN672" s="518"/>
      <c r="AO672" s="51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</row>
    <row r="673" spans="1:57" ht="12.75" customHeight="1">
      <c r="A673" s="518"/>
      <c r="B673" s="518"/>
      <c r="C673" s="518"/>
      <c r="D673" s="518"/>
      <c r="E673" s="518"/>
      <c r="F673" s="518"/>
      <c r="G673" s="518"/>
      <c r="H673" s="518"/>
      <c r="I673" s="518"/>
      <c r="J673" s="518"/>
      <c r="K673" s="518"/>
      <c r="L673" s="518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  <c r="AB673" s="518"/>
      <c r="AC673" s="518"/>
      <c r="AD673" s="518"/>
      <c r="AE673" s="518"/>
      <c r="AF673" s="518"/>
      <c r="AG673" s="518"/>
      <c r="AH673" s="518"/>
      <c r="AI673" s="518"/>
      <c r="AJ673" s="518"/>
      <c r="AK673" s="518"/>
      <c r="AL673" s="518"/>
      <c r="AM673" s="518"/>
      <c r="AN673" s="518"/>
      <c r="AO673" s="51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</row>
    <row r="674" spans="1:57" ht="12.75" customHeight="1">
      <c r="A674" s="518"/>
      <c r="B674" s="518"/>
      <c r="C674" s="518"/>
      <c r="D674" s="518"/>
      <c r="E674" s="518"/>
      <c r="F674" s="518"/>
      <c r="G674" s="518"/>
      <c r="H674" s="518"/>
      <c r="I674" s="518"/>
      <c r="J674" s="518"/>
      <c r="K674" s="518"/>
      <c r="L674" s="518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  <c r="AB674" s="518"/>
      <c r="AC674" s="518"/>
      <c r="AD674" s="518"/>
      <c r="AE674" s="518"/>
      <c r="AF674" s="518"/>
      <c r="AG674" s="518"/>
      <c r="AH674" s="518"/>
      <c r="AI674" s="518"/>
      <c r="AJ674" s="518"/>
      <c r="AK674" s="518"/>
      <c r="AL674" s="518"/>
      <c r="AM674" s="518"/>
      <c r="AN674" s="518"/>
      <c r="AO674" s="518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</row>
    <row r="675" spans="1:57" ht="12.75" customHeight="1">
      <c r="A675" s="518"/>
      <c r="B675" s="518"/>
      <c r="C675" s="518"/>
      <c r="D675" s="518"/>
      <c r="E675" s="518"/>
      <c r="F675" s="518"/>
      <c r="G675" s="518"/>
      <c r="H675" s="518"/>
      <c r="I675" s="518"/>
      <c r="J675" s="518"/>
      <c r="K675" s="518"/>
      <c r="L675" s="518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  <c r="AB675" s="518"/>
      <c r="AC675" s="518"/>
      <c r="AD675" s="518"/>
      <c r="AE675" s="518"/>
      <c r="AF675" s="518"/>
      <c r="AG675" s="518"/>
      <c r="AH675" s="518"/>
      <c r="AI675" s="518"/>
      <c r="AJ675" s="518"/>
      <c r="AK675" s="518"/>
      <c r="AL675" s="518"/>
      <c r="AM675" s="518"/>
      <c r="AN675" s="518"/>
      <c r="AO675" s="51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</row>
    <row r="676" spans="1:57" ht="12.75" customHeight="1">
      <c r="A676" s="518"/>
      <c r="B676" s="518"/>
      <c r="C676" s="518"/>
      <c r="D676" s="518"/>
      <c r="E676" s="518"/>
      <c r="F676" s="518"/>
      <c r="G676" s="518"/>
      <c r="H676" s="518"/>
      <c r="I676" s="518"/>
      <c r="J676" s="518"/>
      <c r="K676" s="518"/>
      <c r="L676" s="518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  <c r="AB676" s="518"/>
      <c r="AC676" s="518"/>
      <c r="AD676" s="518"/>
      <c r="AE676" s="518"/>
      <c r="AF676" s="518"/>
      <c r="AG676" s="518"/>
      <c r="AH676" s="518"/>
      <c r="AI676" s="518"/>
      <c r="AJ676" s="518"/>
      <c r="AK676" s="518"/>
      <c r="AL676" s="518"/>
      <c r="AM676" s="518"/>
      <c r="AN676" s="518"/>
      <c r="AO676" s="51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</row>
    <row r="677" spans="1:57" ht="12.75" customHeight="1">
      <c r="A677" s="518"/>
      <c r="B677" s="518"/>
      <c r="C677" s="518"/>
      <c r="D677" s="518"/>
      <c r="E677" s="518"/>
      <c r="F677" s="518"/>
      <c r="G677" s="518"/>
      <c r="H677" s="518"/>
      <c r="I677" s="518"/>
      <c r="J677" s="518"/>
      <c r="K677" s="518"/>
      <c r="L677" s="518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  <c r="AB677" s="518"/>
      <c r="AC677" s="518"/>
      <c r="AD677" s="518"/>
      <c r="AE677" s="518"/>
      <c r="AF677" s="518"/>
      <c r="AG677" s="518"/>
      <c r="AH677" s="518"/>
      <c r="AI677" s="518"/>
      <c r="AJ677" s="518"/>
      <c r="AK677" s="518"/>
      <c r="AL677" s="518"/>
      <c r="AM677" s="518"/>
      <c r="AN677" s="518"/>
      <c r="AO677" s="51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</row>
    <row r="678" spans="1:57" ht="12.75" customHeight="1">
      <c r="A678" s="518"/>
      <c r="B678" s="518"/>
      <c r="C678" s="518"/>
      <c r="D678" s="518"/>
      <c r="E678" s="518"/>
      <c r="F678" s="518"/>
      <c r="G678" s="518"/>
      <c r="H678" s="518"/>
      <c r="I678" s="518"/>
      <c r="J678" s="518"/>
      <c r="K678" s="518"/>
      <c r="L678" s="518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  <c r="AB678" s="518"/>
      <c r="AC678" s="518"/>
      <c r="AD678" s="518"/>
      <c r="AE678" s="518"/>
      <c r="AF678" s="518"/>
      <c r="AG678" s="518"/>
      <c r="AH678" s="518"/>
      <c r="AI678" s="518"/>
      <c r="AJ678" s="518"/>
      <c r="AK678" s="518"/>
      <c r="AL678" s="518"/>
      <c r="AM678" s="518"/>
      <c r="AN678" s="518"/>
      <c r="AO678" s="51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</row>
    <row r="679" spans="1:57" ht="12.75" customHeight="1">
      <c r="A679" s="518"/>
      <c r="B679" s="518"/>
      <c r="C679" s="518"/>
      <c r="D679" s="518"/>
      <c r="E679" s="518"/>
      <c r="F679" s="518"/>
      <c r="G679" s="518"/>
      <c r="H679" s="518"/>
      <c r="I679" s="518"/>
      <c r="J679" s="518"/>
      <c r="K679" s="518"/>
      <c r="L679" s="518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  <c r="AB679" s="518"/>
      <c r="AC679" s="518"/>
      <c r="AD679" s="518"/>
      <c r="AE679" s="518"/>
      <c r="AF679" s="518"/>
      <c r="AG679" s="518"/>
      <c r="AH679" s="518"/>
      <c r="AI679" s="518"/>
      <c r="AJ679" s="518"/>
      <c r="AK679" s="518"/>
      <c r="AL679" s="518"/>
      <c r="AM679" s="518"/>
      <c r="AN679" s="518"/>
      <c r="AO679" s="51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</row>
    <row r="680" spans="1:57" ht="12.75" customHeight="1">
      <c r="A680" s="518"/>
      <c r="B680" s="518"/>
      <c r="C680" s="518"/>
      <c r="D680" s="518"/>
      <c r="E680" s="518"/>
      <c r="F680" s="518"/>
      <c r="G680" s="518"/>
      <c r="H680" s="518"/>
      <c r="I680" s="518"/>
      <c r="J680" s="518"/>
      <c r="K680" s="518"/>
      <c r="L680" s="518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  <c r="AB680" s="518"/>
      <c r="AC680" s="518"/>
      <c r="AD680" s="518"/>
      <c r="AE680" s="518"/>
      <c r="AF680" s="518"/>
      <c r="AG680" s="518"/>
      <c r="AH680" s="518"/>
      <c r="AI680" s="518"/>
      <c r="AJ680" s="518"/>
      <c r="AK680" s="518"/>
      <c r="AL680" s="518"/>
      <c r="AM680" s="518"/>
      <c r="AN680" s="518"/>
      <c r="AO680" s="51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</row>
    <row r="681" spans="1:57" ht="12.75" customHeight="1">
      <c r="A681" s="518"/>
      <c r="B681" s="518"/>
      <c r="C681" s="518"/>
      <c r="D681" s="518"/>
      <c r="E681" s="518"/>
      <c r="F681" s="518"/>
      <c r="G681" s="518"/>
      <c r="H681" s="518"/>
      <c r="I681" s="518"/>
      <c r="J681" s="518"/>
      <c r="K681" s="518"/>
      <c r="L681" s="518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  <c r="AB681" s="518"/>
      <c r="AC681" s="518"/>
      <c r="AD681" s="518"/>
      <c r="AE681" s="518"/>
      <c r="AF681" s="518"/>
      <c r="AG681" s="518"/>
      <c r="AH681" s="518"/>
      <c r="AI681" s="518"/>
      <c r="AJ681" s="518"/>
      <c r="AK681" s="518"/>
      <c r="AL681" s="518"/>
      <c r="AM681" s="518"/>
      <c r="AN681" s="518"/>
      <c r="AO681" s="51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</row>
    <row r="682" spans="1:57" ht="12.75" customHeight="1">
      <c r="A682" s="518"/>
      <c r="B682" s="518"/>
      <c r="C682" s="518"/>
      <c r="D682" s="518"/>
      <c r="E682" s="518"/>
      <c r="F682" s="518"/>
      <c r="G682" s="518"/>
      <c r="H682" s="518"/>
      <c r="I682" s="518"/>
      <c r="J682" s="518"/>
      <c r="K682" s="518"/>
      <c r="L682" s="518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  <c r="AB682" s="518"/>
      <c r="AC682" s="518"/>
      <c r="AD682" s="518"/>
      <c r="AE682" s="518"/>
      <c r="AF682" s="518"/>
      <c r="AG682" s="518"/>
      <c r="AH682" s="518"/>
      <c r="AI682" s="518"/>
      <c r="AJ682" s="518"/>
      <c r="AK682" s="518"/>
      <c r="AL682" s="518"/>
      <c r="AM682" s="518"/>
      <c r="AN682" s="518"/>
      <c r="AO682" s="51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</row>
    <row r="683" spans="1:57" ht="12.75" customHeight="1">
      <c r="A683" s="518"/>
      <c r="B683" s="518"/>
      <c r="C683" s="518"/>
      <c r="D683" s="518"/>
      <c r="E683" s="518"/>
      <c r="F683" s="518"/>
      <c r="G683" s="518"/>
      <c r="H683" s="518"/>
      <c r="I683" s="518"/>
      <c r="J683" s="518"/>
      <c r="K683" s="518"/>
      <c r="L683" s="518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  <c r="AB683" s="518"/>
      <c r="AC683" s="518"/>
      <c r="AD683" s="518"/>
      <c r="AE683" s="518"/>
      <c r="AF683" s="518"/>
      <c r="AG683" s="518"/>
      <c r="AH683" s="518"/>
      <c r="AI683" s="518"/>
      <c r="AJ683" s="518"/>
      <c r="AK683" s="518"/>
      <c r="AL683" s="518"/>
      <c r="AM683" s="518"/>
      <c r="AN683" s="518"/>
      <c r="AO683" s="51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</row>
    <row r="684" spans="1:57" ht="12.75" customHeight="1">
      <c r="A684" s="518"/>
      <c r="B684" s="518"/>
      <c r="C684" s="518"/>
      <c r="D684" s="518"/>
      <c r="E684" s="518"/>
      <c r="F684" s="518"/>
      <c r="G684" s="518"/>
      <c r="H684" s="518"/>
      <c r="I684" s="518"/>
      <c r="J684" s="518"/>
      <c r="K684" s="518"/>
      <c r="L684" s="518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  <c r="AB684" s="518"/>
      <c r="AC684" s="518"/>
      <c r="AD684" s="518"/>
      <c r="AE684" s="518"/>
      <c r="AF684" s="518"/>
      <c r="AG684" s="518"/>
      <c r="AH684" s="518"/>
      <c r="AI684" s="518"/>
      <c r="AJ684" s="518"/>
      <c r="AK684" s="518"/>
      <c r="AL684" s="518"/>
      <c r="AM684" s="518"/>
      <c r="AN684" s="518"/>
      <c r="AO684" s="51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</row>
    <row r="685" spans="1:57" ht="12.75" customHeight="1">
      <c r="A685" s="518"/>
      <c r="B685" s="518"/>
      <c r="C685" s="518"/>
      <c r="D685" s="518"/>
      <c r="E685" s="518"/>
      <c r="F685" s="518"/>
      <c r="G685" s="518"/>
      <c r="H685" s="518"/>
      <c r="I685" s="518"/>
      <c r="J685" s="518"/>
      <c r="K685" s="518"/>
      <c r="L685" s="518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  <c r="AB685" s="518"/>
      <c r="AC685" s="518"/>
      <c r="AD685" s="518"/>
      <c r="AE685" s="518"/>
      <c r="AF685" s="518"/>
      <c r="AG685" s="518"/>
      <c r="AH685" s="518"/>
      <c r="AI685" s="518"/>
      <c r="AJ685" s="518"/>
      <c r="AK685" s="518"/>
      <c r="AL685" s="518"/>
      <c r="AM685" s="518"/>
      <c r="AN685" s="518"/>
      <c r="AO685" s="51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</row>
    <row r="686" spans="1:57" ht="12.75" customHeight="1">
      <c r="A686" s="518"/>
      <c r="B686" s="518"/>
      <c r="C686" s="518"/>
      <c r="D686" s="518"/>
      <c r="E686" s="518"/>
      <c r="F686" s="518"/>
      <c r="G686" s="518"/>
      <c r="H686" s="518"/>
      <c r="I686" s="518"/>
      <c r="J686" s="518"/>
      <c r="K686" s="518"/>
      <c r="L686" s="518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  <c r="AB686" s="518"/>
      <c r="AC686" s="518"/>
      <c r="AD686" s="518"/>
      <c r="AE686" s="518"/>
      <c r="AF686" s="518"/>
      <c r="AG686" s="518"/>
      <c r="AH686" s="518"/>
      <c r="AI686" s="518"/>
      <c r="AJ686" s="518"/>
      <c r="AK686" s="518"/>
      <c r="AL686" s="518"/>
      <c r="AM686" s="518"/>
      <c r="AN686" s="518"/>
      <c r="AO686" s="51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</row>
    <row r="687" spans="1:57" ht="12.75" customHeight="1">
      <c r="A687" s="518"/>
      <c r="B687" s="518"/>
      <c r="C687" s="518"/>
      <c r="D687" s="518"/>
      <c r="E687" s="518"/>
      <c r="F687" s="518"/>
      <c r="G687" s="518"/>
      <c r="H687" s="518"/>
      <c r="I687" s="518"/>
      <c r="J687" s="518"/>
      <c r="K687" s="518"/>
      <c r="L687" s="518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  <c r="AB687" s="518"/>
      <c r="AC687" s="518"/>
      <c r="AD687" s="518"/>
      <c r="AE687" s="518"/>
      <c r="AF687" s="518"/>
      <c r="AG687" s="518"/>
      <c r="AH687" s="518"/>
      <c r="AI687" s="518"/>
      <c r="AJ687" s="518"/>
      <c r="AK687" s="518"/>
      <c r="AL687" s="518"/>
      <c r="AM687" s="518"/>
      <c r="AN687" s="518"/>
      <c r="AO687" s="51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</row>
    <row r="688" spans="1:57" ht="12.75" customHeight="1">
      <c r="A688" s="518"/>
      <c r="B688" s="518"/>
      <c r="C688" s="518"/>
      <c r="D688" s="518"/>
      <c r="E688" s="518"/>
      <c r="F688" s="518"/>
      <c r="G688" s="518"/>
      <c r="H688" s="518"/>
      <c r="I688" s="518"/>
      <c r="J688" s="518"/>
      <c r="K688" s="518"/>
      <c r="L688" s="518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  <c r="AB688" s="518"/>
      <c r="AC688" s="518"/>
      <c r="AD688" s="518"/>
      <c r="AE688" s="518"/>
      <c r="AF688" s="518"/>
      <c r="AG688" s="518"/>
      <c r="AH688" s="518"/>
      <c r="AI688" s="518"/>
      <c r="AJ688" s="518"/>
      <c r="AK688" s="518"/>
      <c r="AL688" s="518"/>
      <c r="AM688" s="518"/>
      <c r="AN688" s="518"/>
      <c r="AO688" s="51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</row>
    <row r="689" spans="1:57" ht="12.75" customHeight="1">
      <c r="A689" s="518"/>
      <c r="B689" s="518"/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  <c r="AB689" s="518"/>
      <c r="AC689" s="518"/>
      <c r="AD689" s="518"/>
      <c r="AE689" s="518"/>
      <c r="AF689" s="518"/>
      <c r="AG689" s="518"/>
      <c r="AH689" s="518"/>
      <c r="AI689" s="518"/>
      <c r="AJ689" s="518"/>
      <c r="AK689" s="518"/>
      <c r="AL689" s="518"/>
      <c r="AM689" s="518"/>
      <c r="AN689" s="518"/>
      <c r="AO689" s="51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</row>
    <row r="690" spans="1:57" ht="12.75" customHeight="1">
      <c r="A690" s="518"/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</row>
    <row r="691" spans="1:57" ht="12.75" customHeight="1">
      <c r="A691" s="518"/>
      <c r="B691" s="518"/>
      <c r="C691" s="518"/>
      <c r="D691" s="518"/>
      <c r="E691" s="518"/>
      <c r="F691" s="518"/>
      <c r="G691" s="518"/>
      <c r="H691" s="518"/>
      <c r="I691" s="518"/>
      <c r="J691" s="518"/>
      <c r="K691" s="518"/>
      <c r="L691" s="518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  <c r="AB691" s="518"/>
      <c r="AC691" s="518"/>
      <c r="AD691" s="518"/>
      <c r="AE691" s="518"/>
      <c r="AF691" s="518"/>
      <c r="AG691" s="518"/>
      <c r="AH691" s="518"/>
      <c r="AI691" s="518"/>
      <c r="AJ691" s="518"/>
      <c r="AK691" s="518"/>
      <c r="AL691" s="518"/>
      <c r="AM691" s="518"/>
      <c r="AN691" s="518"/>
      <c r="AO691" s="518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</row>
    <row r="692" spans="1:57" ht="12.75" customHeight="1">
      <c r="A692" s="518"/>
      <c r="B692" s="518"/>
      <c r="C692" s="518"/>
      <c r="D692" s="518"/>
      <c r="E692" s="518"/>
      <c r="F692" s="518"/>
      <c r="G692" s="518"/>
      <c r="H692" s="518"/>
      <c r="I692" s="518"/>
      <c r="J692" s="518"/>
      <c r="K692" s="518"/>
      <c r="L692" s="518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  <c r="AB692" s="518"/>
      <c r="AC692" s="518"/>
      <c r="AD692" s="518"/>
      <c r="AE692" s="518"/>
      <c r="AF692" s="518"/>
      <c r="AG692" s="518"/>
      <c r="AH692" s="518"/>
      <c r="AI692" s="518"/>
      <c r="AJ692" s="518"/>
      <c r="AK692" s="518"/>
      <c r="AL692" s="518"/>
      <c r="AM692" s="518"/>
      <c r="AN692" s="518"/>
      <c r="AO692" s="51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</row>
    <row r="693" spans="1:57" ht="12.75" customHeight="1">
      <c r="A693" s="518"/>
      <c r="B693" s="518"/>
      <c r="C693" s="518"/>
      <c r="D693" s="518"/>
      <c r="E693" s="518"/>
      <c r="F693" s="518"/>
      <c r="G693" s="518"/>
      <c r="H693" s="518"/>
      <c r="I693" s="518"/>
      <c r="J693" s="518"/>
      <c r="K693" s="518"/>
      <c r="L693" s="518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  <c r="AB693" s="518"/>
      <c r="AC693" s="518"/>
      <c r="AD693" s="518"/>
      <c r="AE693" s="518"/>
      <c r="AF693" s="518"/>
      <c r="AG693" s="518"/>
      <c r="AH693" s="518"/>
      <c r="AI693" s="518"/>
      <c r="AJ693" s="518"/>
      <c r="AK693" s="518"/>
      <c r="AL693" s="518"/>
      <c r="AM693" s="518"/>
      <c r="AN693" s="518"/>
      <c r="AO693" s="51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</row>
    <row r="694" spans="1:57" ht="12.75" customHeight="1">
      <c r="A694" s="518"/>
      <c r="B694" s="518"/>
      <c r="C694" s="518"/>
      <c r="D694" s="518"/>
      <c r="E694" s="518"/>
      <c r="F694" s="518"/>
      <c r="G694" s="518"/>
      <c r="H694" s="518"/>
      <c r="I694" s="518"/>
      <c r="J694" s="518"/>
      <c r="K694" s="518"/>
      <c r="L694" s="518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  <c r="AB694" s="518"/>
      <c r="AC694" s="518"/>
      <c r="AD694" s="518"/>
      <c r="AE694" s="518"/>
      <c r="AF694" s="518"/>
      <c r="AG694" s="518"/>
      <c r="AH694" s="518"/>
      <c r="AI694" s="518"/>
      <c r="AJ694" s="518"/>
      <c r="AK694" s="518"/>
      <c r="AL694" s="518"/>
      <c r="AM694" s="518"/>
      <c r="AN694" s="518"/>
      <c r="AO694" s="51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</row>
    <row r="695" spans="1:57" ht="12.75" customHeight="1">
      <c r="A695" s="518"/>
      <c r="B695" s="518"/>
      <c r="C695" s="518"/>
      <c r="D695" s="518"/>
      <c r="E695" s="518"/>
      <c r="F695" s="518"/>
      <c r="G695" s="518"/>
      <c r="H695" s="518"/>
      <c r="I695" s="518"/>
      <c r="J695" s="518"/>
      <c r="K695" s="518"/>
      <c r="L695" s="518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  <c r="AB695" s="518"/>
      <c r="AC695" s="518"/>
      <c r="AD695" s="518"/>
      <c r="AE695" s="518"/>
      <c r="AF695" s="518"/>
      <c r="AG695" s="518"/>
      <c r="AH695" s="518"/>
      <c r="AI695" s="518"/>
      <c r="AJ695" s="518"/>
      <c r="AK695" s="518"/>
      <c r="AL695" s="518"/>
      <c r="AM695" s="518"/>
      <c r="AN695" s="518"/>
      <c r="AO695" s="51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</row>
    <row r="696" spans="1:57" ht="12.75" customHeight="1">
      <c r="A696" s="518"/>
      <c r="B696" s="518"/>
      <c r="C696" s="518"/>
      <c r="D696" s="518"/>
      <c r="E696" s="518"/>
      <c r="F696" s="518"/>
      <c r="G696" s="518"/>
      <c r="H696" s="518"/>
      <c r="I696" s="518"/>
      <c r="J696" s="518"/>
      <c r="K696" s="518"/>
      <c r="L696" s="518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  <c r="AB696" s="518"/>
      <c r="AC696" s="518"/>
      <c r="AD696" s="518"/>
      <c r="AE696" s="518"/>
      <c r="AF696" s="518"/>
      <c r="AG696" s="518"/>
      <c r="AH696" s="518"/>
      <c r="AI696" s="518"/>
      <c r="AJ696" s="518"/>
      <c r="AK696" s="518"/>
      <c r="AL696" s="518"/>
      <c r="AM696" s="518"/>
      <c r="AN696" s="518"/>
      <c r="AO696" s="51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</row>
    <row r="697" spans="1:57" ht="12.75" customHeight="1">
      <c r="A697" s="518"/>
      <c r="B697" s="518"/>
      <c r="C697" s="518"/>
      <c r="D697" s="518"/>
      <c r="E697" s="518"/>
      <c r="F697" s="518"/>
      <c r="G697" s="518"/>
      <c r="H697" s="518"/>
      <c r="I697" s="518"/>
      <c r="J697" s="518"/>
      <c r="K697" s="518"/>
      <c r="L697" s="518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  <c r="AB697" s="518"/>
      <c r="AC697" s="518"/>
      <c r="AD697" s="518"/>
      <c r="AE697" s="518"/>
      <c r="AF697" s="518"/>
      <c r="AG697" s="518"/>
      <c r="AH697" s="518"/>
      <c r="AI697" s="518"/>
      <c r="AJ697" s="518"/>
      <c r="AK697" s="518"/>
      <c r="AL697" s="518"/>
      <c r="AM697" s="518"/>
      <c r="AN697" s="518"/>
      <c r="AO697" s="51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</row>
    <row r="698" spans="1:57" ht="12.75" customHeight="1">
      <c r="A698" s="518"/>
      <c r="B698" s="518"/>
      <c r="C698" s="518"/>
      <c r="D698" s="518"/>
      <c r="E698" s="518"/>
      <c r="F698" s="518"/>
      <c r="G698" s="518"/>
      <c r="H698" s="518"/>
      <c r="I698" s="518"/>
      <c r="J698" s="518"/>
      <c r="K698" s="518"/>
      <c r="L698" s="518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  <c r="AB698" s="518"/>
      <c r="AC698" s="518"/>
      <c r="AD698" s="518"/>
      <c r="AE698" s="518"/>
      <c r="AF698" s="518"/>
      <c r="AG698" s="518"/>
      <c r="AH698" s="518"/>
      <c r="AI698" s="518"/>
      <c r="AJ698" s="518"/>
      <c r="AK698" s="518"/>
      <c r="AL698" s="518"/>
      <c r="AM698" s="518"/>
      <c r="AN698" s="518"/>
      <c r="AO698" s="518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</row>
    <row r="699" spans="1:57" ht="12.75" customHeight="1">
      <c r="A699" s="518"/>
      <c r="B699" s="518"/>
      <c r="C699" s="518"/>
      <c r="D699" s="518"/>
      <c r="E699" s="518"/>
      <c r="F699" s="518"/>
      <c r="G699" s="518"/>
      <c r="H699" s="518"/>
      <c r="I699" s="518"/>
      <c r="J699" s="518"/>
      <c r="K699" s="518"/>
      <c r="L699" s="518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  <c r="AB699" s="518"/>
      <c r="AC699" s="518"/>
      <c r="AD699" s="518"/>
      <c r="AE699" s="518"/>
      <c r="AF699" s="518"/>
      <c r="AG699" s="518"/>
      <c r="AH699" s="518"/>
      <c r="AI699" s="518"/>
      <c r="AJ699" s="518"/>
      <c r="AK699" s="518"/>
      <c r="AL699" s="518"/>
      <c r="AM699" s="518"/>
      <c r="AN699" s="518"/>
      <c r="AO699" s="51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</row>
    <row r="700" spans="1:57" ht="12.75" customHeight="1">
      <c r="A700" s="518"/>
      <c r="B700" s="518"/>
      <c r="C700" s="518"/>
      <c r="D700" s="518"/>
      <c r="E700" s="518"/>
      <c r="F700" s="518"/>
      <c r="G700" s="518"/>
      <c r="H700" s="518"/>
      <c r="I700" s="518"/>
      <c r="J700" s="518"/>
      <c r="K700" s="518"/>
      <c r="L700" s="518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  <c r="AB700" s="518"/>
      <c r="AC700" s="518"/>
      <c r="AD700" s="518"/>
      <c r="AE700" s="518"/>
      <c r="AF700" s="518"/>
      <c r="AG700" s="518"/>
      <c r="AH700" s="518"/>
      <c r="AI700" s="518"/>
      <c r="AJ700" s="518"/>
      <c r="AK700" s="518"/>
      <c r="AL700" s="518"/>
      <c r="AM700" s="518"/>
      <c r="AN700" s="518"/>
      <c r="AO700" s="51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</row>
    <row r="701" spans="1:57" ht="12.75" customHeight="1">
      <c r="A701" s="518"/>
      <c r="B701" s="518"/>
      <c r="C701" s="518"/>
      <c r="D701" s="518"/>
      <c r="E701" s="518"/>
      <c r="F701" s="518"/>
      <c r="G701" s="518"/>
      <c r="H701" s="518"/>
      <c r="I701" s="518"/>
      <c r="J701" s="518"/>
      <c r="K701" s="518"/>
      <c r="L701" s="518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  <c r="AB701" s="518"/>
      <c r="AC701" s="518"/>
      <c r="AD701" s="518"/>
      <c r="AE701" s="518"/>
      <c r="AF701" s="518"/>
      <c r="AG701" s="518"/>
      <c r="AH701" s="518"/>
      <c r="AI701" s="518"/>
      <c r="AJ701" s="518"/>
      <c r="AK701" s="518"/>
      <c r="AL701" s="518"/>
      <c r="AM701" s="518"/>
      <c r="AN701" s="518"/>
      <c r="AO701" s="51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</row>
    <row r="702" spans="1:57" ht="12.75" customHeight="1">
      <c r="A702" s="518"/>
      <c r="B702" s="518"/>
      <c r="C702" s="518"/>
      <c r="D702" s="518"/>
      <c r="E702" s="518"/>
      <c r="F702" s="518"/>
      <c r="G702" s="518"/>
      <c r="H702" s="518"/>
      <c r="I702" s="518"/>
      <c r="J702" s="518"/>
      <c r="K702" s="518"/>
      <c r="L702" s="518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  <c r="AB702" s="518"/>
      <c r="AC702" s="518"/>
      <c r="AD702" s="518"/>
      <c r="AE702" s="518"/>
      <c r="AF702" s="518"/>
      <c r="AG702" s="518"/>
      <c r="AH702" s="518"/>
      <c r="AI702" s="518"/>
      <c r="AJ702" s="518"/>
      <c r="AK702" s="518"/>
      <c r="AL702" s="518"/>
      <c r="AM702" s="518"/>
      <c r="AN702" s="518"/>
      <c r="AO702" s="51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</row>
    <row r="703" spans="1:57" ht="12.75" customHeight="1">
      <c r="A703" s="518"/>
      <c r="B703" s="518"/>
      <c r="C703" s="518"/>
      <c r="D703" s="518"/>
      <c r="E703" s="518"/>
      <c r="F703" s="518"/>
      <c r="G703" s="518"/>
      <c r="H703" s="518"/>
      <c r="I703" s="518"/>
      <c r="J703" s="518"/>
      <c r="K703" s="518"/>
      <c r="L703" s="518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  <c r="AB703" s="518"/>
      <c r="AC703" s="518"/>
      <c r="AD703" s="518"/>
      <c r="AE703" s="518"/>
      <c r="AF703" s="518"/>
      <c r="AG703" s="518"/>
      <c r="AH703" s="518"/>
      <c r="AI703" s="518"/>
      <c r="AJ703" s="518"/>
      <c r="AK703" s="518"/>
      <c r="AL703" s="518"/>
      <c r="AM703" s="518"/>
      <c r="AN703" s="518"/>
      <c r="AO703" s="51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</row>
    <row r="704" spans="1:57" ht="12.75" customHeight="1">
      <c r="A704" s="518"/>
      <c r="B704" s="518"/>
      <c r="C704" s="518"/>
      <c r="D704" s="518"/>
      <c r="E704" s="518"/>
      <c r="F704" s="518"/>
      <c r="G704" s="518"/>
      <c r="H704" s="518"/>
      <c r="I704" s="518"/>
      <c r="J704" s="518"/>
      <c r="K704" s="518"/>
      <c r="L704" s="518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  <c r="AB704" s="518"/>
      <c r="AC704" s="518"/>
      <c r="AD704" s="518"/>
      <c r="AE704" s="518"/>
      <c r="AF704" s="518"/>
      <c r="AG704" s="518"/>
      <c r="AH704" s="518"/>
      <c r="AI704" s="518"/>
      <c r="AJ704" s="518"/>
      <c r="AK704" s="518"/>
      <c r="AL704" s="518"/>
      <c r="AM704" s="518"/>
      <c r="AN704" s="518"/>
      <c r="AO704" s="51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</row>
    <row r="705" spans="1:57" ht="12.75" customHeight="1">
      <c r="A705" s="518"/>
      <c r="B705" s="518"/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  <c r="AB705" s="518"/>
      <c r="AC705" s="518"/>
      <c r="AD705" s="518"/>
      <c r="AE705" s="518"/>
      <c r="AF705" s="518"/>
      <c r="AG705" s="518"/>
      <c r="AH705" s="518"/>
      <c r="AI705" s="518"/>
      <c r="AJ705" s="518"/>
      <c r="AK705" s="518"/>
      <c r="AL705" s="518"/>
      <c r="AM705" s="518"/>
      <c r="AN705" s="518"/>
      <c r="AO705" s="518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</row>
    <row r="706" spans="1:57" ht="12.75" customHeight="1">
      <c r="A706" s="518"/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</row>
    <row r="707" spans="1:57" ht="12.75" customHeight="1">
      <c r="A707" s="518"/>
      <c r="B707" s="518"/>
      <c r="C707" s="518"/>
      <c r="D707" s="518"/>
      <c r="E707" s="518"/>
      <c r="F707" s="518"/>
      <c r="G707" s="518"/>
      <c r="H707" s="518"/>
      <c r="I707" s="518"/>
      <c r="J707" s="518"/>
      <c r="K707" s="518"/>
      <c r="L707" s="518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  <c r="AB707" s="518"/>
      <c r="AC707" s="518"/>
      <c r="AD707" s="518"/>
      <c r="AE707" s="518"/>
      <c r="AF707" s="518"/>
      <c r="AG707" s="518"/>
      <c r="AH707" s="518"/>
      <c r="AI707" s="518"/>
      <c r="AJ707" s="518"/>
      <c r="AK707" s="518"/>
      <c r="AL707" s="518"/>
      <c r="AM707" s="518"/>
      <c r="AN707" s="518"/>
      <c r="AO707" s="518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</row>
    <row r="708" spans="1:57" ht="12.75" customHeight="1">
      <c r="A708" s="518"/>
      <c r="B708" s="518"/>
      <c r="C708" s="518"/>
      <c r="D708" s="518"/>
      <c r="E708" s="518"/>
      <c r="F708" s="518"/>
      <c r="G708" s="518"/>
      <c r="H708" s="518"/>
      <c r="I708" s="518"/>
      <c r="J708" s="518"/>
      <c r="K708" s="518"/>
      <c r="L708" s="518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  <c r="AB708" s="518"/>
      <c r="AC708" s="518"/>
      <c r="AD708" s="518"/>
      <c r="AE708" s="518"/>
      <c r="AF708" s="518"/>
      <c r="AG708" s="518"/>
      <c r="AH708" s="518"/>
      <c r="AI708" s="518"/>
      <c r="AJ708" s="518"/>
      <c r="AK708" s="518"/>
      <c r="AL708" s="518"/>
      <c r="AM708" s="518"/>
      <c r="AN708" s="518"/>
      <c r="AO708" s="51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</row>
    <row r="709" spans="1:57" ht="12.75" customHeight="1">
      <c r="A709" s="518"/>
      <c r="B709" s="518"/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  <c r="AB709" s="518"/>
      <c r="AC709" s="518"/>
      <c r="AD709" s="518"/>
      <c r="AE709" s="518"/>
      <c r="AF709" s="518"/>
      <c r="AG709" s="518"/>
      <c r="AH709" s="518"/>
      <c r="AI709" s="518"/>
      <c r="AJ709" s="518"/>
      <c r="AK709" s="518"/>
      <c r="AL709" s="518"/>
      <c r="AM709" s="518"/>
      <c r="AN709" s="518"/>
      <c r="AO709" s="518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</row>
    <row r="710" spans="1:57" ht="12.75" customHeight="1">
      <c r="A710" s="518"/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</row>
    <row r="711" spans="1:57" ht="12.75" customHeight="1">
      <c r="A711" s="518"/>
      <c r="B711" s="518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</row>
    <row r="712" spans="1:57" ht="12.75" customHeight="1">
      <c r="A712" s="518"/>
      <c r="B712" s="518"/>
      <c r="C712" s="518"/>
      <c r="D712" s="518"/>
      <c r="E712" s="518"/>
      <c r="F712" s="518"/>
      <c r="G712" s="518"/>
      <c r="H712" s="518"/>
      <c r="I712" s="518"/>
      <c r="J712" s="518"/>
      <c r="K712" s="518"/>
      <c r="L712" s="518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  <c r="AB712" s="518"/>
      <c r="AC712" s="518"/>
      <c r="AD712" s="518"/>
      <c r="AE712" s="518"/>
      <c r="AF712" s="518"/>
      <c r="AG712" s="518"/>
      <c r="AH712" s="518"/>
      <c r="AI712" s="518"/>
      <c r="AJ712" s="518"/>
      <c r="AK712" s="518"/>
      <c r="AL712" s="518"/>
      <c r="AM712" s="518"/>
      <c r="AN712" s="518"/>
      <c r="AO712" s="518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</row>
    <row r="713" spans="1:57" ht="12.75" customHeight="1">
      <c r="A713" s="518"/>
      <c r="B713" s="518"/>
      <c r="C713" s="518"/>
      <c r="D713" s="518"/>
      <c r="E713" s="518"/>
      <c r="F713" s="518"/>
      <c r="G713" s="518"/>
      <c r="H713" s="518"/>
      <c r="I713" s="518"/>
      <c r="J713" s="518"/>
      <c r="K713" s="518"/>
      <c r="L713" s="518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  <c r="AB713" s="518"/>
      <c r="AC713" s="518"/>
      <c r="AD713" s="518"/>
      <c r="AE713" s="518"/>
      <c r="AF713" s="518"/>
      <c r="AG713" s="518"/>
      <c r="AH713" s="518"/>
      <c r="AI713" s="518"/>
      <c r="AJ713" s="518"/>
      <c r="AK713" s="518"/>
      <c r="AL713" s="518"/>
      <c r="AM713" s="518"/>
      <c r="AN713" s="518"/>
      <c r="AO713" s="518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</row>
    <row r="714" spans="1:57" ht="12.75" customHeight="1">
      <c r="A714" s="518"/>
      <c r="B714" s="518"/>
      <c r="C714" s="518"/>
      <c r="D714" s="518"/>
      <c r="E714" s="518"/>
      <c r="F714" s="518"/>
      <c r="G714" s="518"/>
      <c r="H714" s="518"/>
      <c r="I714" s="518"/>
      <c r="J714" s="518"/>
      <c r="K714" s="518"/>
      <c r="L714" s="518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  <c r="AB714" s="518"/>
      <c r="AC714" s="518"/>
      <c r="AD714" s="518"/>
      <c r="AE714" s="518"/>
      <c r="AF714" s="518"/>
      <c r="AG714" s="518"/>
      <c r="AH714" s="518"/>
      <c r="AI714" s="518"/>
      <c r="AJ714" s="518"/>
      <c r="AK714" s="518"/>
      <c r="AL714" s="518"/>
      <c r="AM714" s="518"/>
      <c r="AN714" s="518"/>
      <c r="AO714" s="518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</row>
    <row r="715" spans="1:57" ht="12.75" customHeight="1">
      <c r="A715" s="518"/>
      <c r="B715" s="518"/>
      <c r="C715" s="518"/>
      <c r="D715" s="518"/>
      <c r="E715" s="518"/>
      <c r="F715" s="518"/>
      <c r="G715" s="518"/>
      <c r="H715" s="518"/>
      <c r="I715" s="518"/>
      <c r="J715" s="518"/>
      <c r="K715" s="518"/>
      <c r="L715" s="518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  <c r="AB715" s="518"/>
      <c r="AC715" s="518"/>
      <c r="AD715" s="518"/>
      <c r="AE715" s="518"/>
      <c r="AF715" s="518"/>
      <c r="AG715" s="518"/>
      <c r="AH715" s="518"/>
      <c r="AI715" s="518"/>
      <c r="AJ715" s="518"/>
      <c r="AK715" s="518"/>
      <c r="AL715" s="518"/>
      <c r="AM715" s="518"/>
      <c r="AN715" s="518"/>
      <c r="AO715" s="51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</row>
    <row r="716" spans="1:57" ht="12.75" customHeight="1">
      <c r="A716" s="518"/>
      <c r="B716" s="518"/>
      <c r="C716" s="518"/>
      <c r="D716" s="518"/>
      <c r="E716" s="518"/>
      <c r="F716" s="518"/>
      <c r="G716" s="518"/>
      <c r="H716" s="518"/>
      <c r="I716" s="518"/>
      <c r="J716" s="518"/>
      <c r="K716" s="518"/>
      <c r="L716" s="518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  <c r="AB716" s="518"/>
      <c r="AC716" s="518"/>
      <c r="AD716" s="518"/>
      <c r="AE716" s="518"/>
      <c r="AF716" s="518"/>
      <c r="AG716" s="518"/>
      <c r="AH716" s="518"/>
      <c r="AI716" s="518"/>
      <c r="AJ716" s="518"/>
      <c r="AK716" s="518"/>
      <c r="AL716" s="518"/>
      <c r="AM716" s="518"/>
      <c r="AN716" s="518"/>
      <c r="AO716" s="518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</row>
    <row r="717" spans="1:57" ht="12.75" customHeight="1">
      <c r="A717" s="518"/>
      <c r="B717" s="518"/>
      <c r="C717" s="518"/>
      <c r="D717" s="518"/>
      <c r="E717" s="518"/>
      <c r="F717" s="518"/>
      <c r="G717" s="518"/>
      <c r="H717" s="518"/>
      <c r="I717" s="518"/>
      <c r="J717" s="518"/>
      <c r="K717" s="518"/>
      <c r="L717" s="518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  <c r="AB717" s="518"/>
      <c r="AC717" s="518"/>
      <c r="AD717" s="518"/>
      <c r="AE717" s="518"/>
      <c r="AF717" s="518"/>
      <c r="AG717" s="518"/>
      <c r="AH717" s="518"/>
      <c r="AI717" s="518"/>
      <c r="AJ717" s="518"/>
      <c r="AK717" s="518"/>
      <c r="AL717" s="518"/>
      <c r="AM717" s="518"/>
      <c r="AN717" s="518"/>
      <c r="AO717" s="51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</row>
    <row r="718" spans="1:57" ht="12.75" customHeight="1">
      <c r="A718" s="518"/>
      <c r="B718" s="518"/>
      <c r="C718" s="518"/>
      <c r="D718" s="518"/>
      <c r="E718" s="518"/>
      <c r="F718" s="518"/>
      <c r="G718" s="518"/>
      <c r="H718" s="518"/>
      <c r="I718" s="518"/>
      <c r="J718" s="518"/>
      <c r="K718" s="518"/>
      <c r="L718" s="518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  <c r="AB718" s="518"/>
      <c r="AC718" s="518"/>
      <c r="AD718" s="518"/>
      <c r="AE718" s="518"/>
      <c r="AF718" s="518"/>
      <c r="AG718" s="518"/>
      <c r="AH718" s="518"/>
      <c r="AI718" s="518"/>
      <c r="AJ718" s="518"/>
      <c r="AK718" s="518"/>
      <c r="AL718" s="518"/>
      <c r="AM718" s="518"/>
      <c r="AN718" s="518"/>
      <c r="AO718" s="51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</row>
    <row r="719" spans="1:57" ht="12.75" customHeight="1">
      <c r="A719" s="518"/>
      <c r="B719" s="518"/>
      <c r="C719" s="518"/>
      <c r="D719" s="518"/>
      <c r="E719" s="518"/>
      <c r="F719" s="518"/>
      <c r="G719" s="518"/>
      <c r="H719" s="518"/>
      <c r="I719" s="518"/>
      <c r="J719" s="518"/>
      <c r="K719" s="518"/>
      <c r="L719" s="518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  <c r="AB719" s="518"/>
      <c r="AC719" s="518"/>
      <c r="AD719" s="518"/>
      <c r="AE719" s="518"/>
      <c r="AF719" s="518"/>
      <c r="AG719" s="518"/>
      <c r="AH719" s="518"/>
      <c r="AI719" s="518"/>
      <c r="AJ719" s="518"/>
      <c r="AK719" s="518"/>
      <c r="AL719" s="518"/>
      <c r="AM719" s="518"/>
      <c r="AN719" s="518"/>
      <c r="AO719" s="51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</row>
    <row r="720" spans="1:57" ht="12.75" customHeight="1">
      <c r="A720" s="518"/>
      <c r="B720" s="518"/>
      <c r="C720" s="518"/>
      <c r="D720" s="518"/>
      <c r="E720" s="518"/>
      <c r="F720" s="518"/>
      <c r="G720" s="518"/>
      <c r="H720" s="518"/>
      <c r="I720" s="518"/>
      <c r="J720" s="518"/>
      <c r="K720" s="518"/>
      <c r="L720" s="518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  <c r="AB720" s="518"/>
      <c r="AC720" s="518"/>
      <c r="AD720" s="518"/>
      <c r="AE720" s="518"/>
      <c r="AF720" s="518"/>
      <c r="AG720" s="518"/>
      <c r="AH720" s="518"/>
      <c r="AI720" s="518"/>
      <c r="AJ720" s="518"/>
      <c r="AK720" s="518"/>
      <c r="AL720" s="518"/>
      <c r="AM720" s="518"/>
      <c r="AN720" s="518"/>
      <c r="AO720" s="51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</row>
    <row r="721" spans="1:57" ht="12.75" customHeight="1">
      <c r="A721" s="518"/>
      <c r="B721" s="518"/>
      <c r="C721" s="518"/>
      <c r="D721" s="518"/>
      <c r="E721" s="518"/>
      <c r="F721" s="518"/>
      <c r="G721" s="518"/>
      <c r="H721" s="518"/>
      <c r="I721" s="518"/>
      <c r="J721" s="518"/>
      <c r="K721" s="518"/>
      <c r="L721" s="518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  <c r="AB721" s="518"/>
      <c r="AC721" s="518"/>
      <c r="AD721" s="518"/>
      <c r="AE721" s="518"/>
      <c r="AF721" s="518"/>
      <c r="AG721" s="518"/>
      <c r="AH721" s="518"/>
      <c r="AI721" s="518"/>
      <c r="AJ721" s="518"/>
      <c r="AK721" s="518"/>
      <c r="AL721" s="518"/>
      <c r="AM721" s="518"/>
      <c r="AN721" s="518"/>
      <c r="AO721" s="51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</row>
    <row r="722" spans="1:57" ht="12.75" customHeight="1">
      <c r="A722" s="518"/>
      <c r="B722" s="518"/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  <c r="AB722" s="518"/>
      <c r="AC722" s="518"/>
      <c r="AD722" s="518"/>
      <c r="AE722" s="518"/>
      <c r="AF722" s="518"/>
      <c r="AG722" s="518"/>
      <c r="AH722" s="518"/>
      <c r="AI722" s="518"/>
      <c r="AJ722" s="518"/>
      <c r="AK722" s="518"/>
      <c r="AL722" s="518"/>
      <c r="AM722" s="518"/>
      <c r="AN722" s="518"/>
      <c r="AO722" s="51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</row>
    <row r="723" spans="1:57" ht="12.75" customHeight="1">
      <c r="A723" s="518"/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</row>
    <row r="724" spans="1:57" ht="12.75" customHeight="1">
      <c r="A724" s="518"/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</row>
    <row r="725" spans="1:57" ht="12.75" customHeight="1">
      <c r="A725" s="518"/>
      <c r="B725" s="518"/>
      <c r="C725" s="518"/>
      <c r="D725" s="518"/>
      <c r="E725" s="518"/>
      <c r="F725" s="518"/>
      <c r="G725" s="518"/>
      <c r="H725" s="518"/>
      <c r="I725" s="518"/>
      <c r="J725" s="518"/>
      <c r="K725" s="518"/>
      <c r="L725" s="518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  <c r="AB725" s="518"/>
      <c r="AC725" s="518"/>
      <c r="AD725" s="518"/>
      <c r="AE725" s="518"/>
      <c r="AF725" s="518"/>
      <c r="AG725" s="518"/>
      <c r="AH725" s="518"/>
      <c r="AI725" s="518"/>
      <c r="AJ725" s="518"/>
      <c r="AK725" s="518"/>
      <c r="AL725" s="518"/>
      <c r="AM725" s="518"/>
      <c r="AN725" s="518"/>
      <c r="AO725" s="518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</row>
    <row r="726" spans="1:57" ht="12.75" customHeight="1">
      <c r="A726" s="518"/>
      <c r="B726" s="518"/>
      <c r="C726" s="518"/>
      <c r="D726" s="518"/>
      <c r="E726" s="518"/>
      <c r="F726" s="518"/>
      <c r="G726" s="518"/>
      <c r="H726" s="518"/>
      <c r="I726" s="518"/>
      <c r="J726" s="518"/>
      <c r="K726" s="518"/>
      <c r="L726" s="518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  <c r="AB726" s="518"/>
      <c r="AC726" s="518"/>
      <c r="AD726" s="518"/>
      <c r="AE726" s="518"/>
      <c r="AF726" s="518"/>
      <c r="AG726" s="518"/>
      <c r="AH726" s="518"/>
      <c r="AI726" s="518"/>
      <c r="AJ726" s="518"/>
      <c r="AK726" s="518"/>
      <c r="AL726" s="518"/>
      <c r="AM726" s="518"/>
      <c r="AN726" s="518"/>
      <c r="AO726" s="51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</row>
    <row r="727" spans="1:57" ht="12.75" customHeight="1">
      <c r="A727" s="518"/>
      <c r="B727" s="518"/>
      <c r="C727" s="518"/>
      <c r="D727" s="518"/>
      <c r="E727" s="518"/>
      <c r="F727" s="518"/>
      <c r="G727" s="518"/>
      <c r="H727" s="518"/>
      <c r="I727" s="518"/>
      <c r="J727" s="518"/>
      <c r="K727" s="518"/>
      <c r="L727" s="518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  <c r="AB727" s="518"/>
      <c r="AC727" s="518"/>
      <c r="AD727" s="518"/>
      <c r="AE727" s="518"/>
      <c r="AF727" s="518"/>
      <c r="AG727" s="518"/>
      <c r="AH727" s="518"/>
      <c r="AI727" s="518"/>
      <c r="AJ727" s="518"/>
      <c r="AK727" s="518"/>
      <c r="AL727" s="518"/>
      <c r="AM727" s="518"/>
      <c r="AN727" s="518"/>
      <c r="AO727" s="51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</row>
    <row r="728" spans="1:57" ht="12.75" customHeight="1">
      <c r="A728" s="518"/>
      <c r="B728" s="518"/>
      <c r="C728" s="518"/>
      <c r="D728" s="518"/>
      <c r="E728" s="518"/>
      <c r="F728" s="518"/>
      <c r="G728" s="518"/>
      <c r="H728" s="518"/>
      <c r="I728" s="518"/>
      <c r="J728" s="518"/>
      <c r="K728" s="518"/>
      <c r="L728" s="518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  <c r="AB728" s="518"/>
      <c r="AC728" s="518"/>
      <c r="AD728" s="518"/>
      <c r="AE728" s="518"/>
      <c r="AF728" s="518"/>
      <c r="AG728" s="518"/>
      <c r="AH728" s="518"/>
      <c r="AI728" s="518"/>
      <c r="AJ728" s="518"/>
      <c r="AK728" s="518"/>
      <c r="AL728" s="518"/>
      <c r="AM728" s="518"/>
      <c r="AN728" s="518"/>
      <c r="AO728" s="51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</row>
    <row r="729" spans="1:57" ht="12.75" customHeight="1">
      <c r="A729" s="518"/>
      <c r="B729" s="518"/>
      <c r="C729" s="518"/>
      <c r="D729" s="518"/>
      <c r="E729" s="518"/>
      <c r="F729" s="518"/>
      <c r="G729" s="518"/>
      <c r="H729" s="518"/>
      <c r="I729" s="518"/>
      <c r="J729" s="518"/>
      <c r="K729" s="518"/>
      <c r="L729" s="518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  <c r="AB729" s="518"/>
      <c r="AC729" s="518"/>
      <c r="AD729" s="518"/>
      <c r="AE729" s="518"/>
      <c r="AF729" s="518"/>
      <c r="AG729" s="518"/>
      <c r="AH729" s="518"/>
      <c r="AI729" s="518"/>
      <c r="AJ729" s="518"/>
      <c r="AK729" s="518"/>
      <c r="AL729" s="518"/>
      <c r="AM729" s="518"/>
      <c r="AN729" s="518"/>
      <c r="AO729" s="51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</row>
    <row r="730" spans="1:57" ht="12.75" customHeight="1">
      <c r="A730" s="518"/>
      <c r="B730" s="518"/>
      <c r="C730" s="518"/>
      <c r="D730" s="518"/>
      <c r="E730" s="518"/>
      <c r="F730" s="518"/>
      <c r="G730" s="518"/>
      <c r="H730" s="518"/>
      <c r="I730" s="518"/>
      <c r="J730" s="518"/>
      <c r="K730" s="518"/>
      <c r="L730" s="518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  <c r="AB730" s="518"/>
      <c r="AC730" s="518"/>
      <c r="AD730" s="518"/>
      <c r="AE730" s="518"/>
      <c r="AF730" s="518"/>
      <c r="AG730" s="518"/>
      <c r="AH730" s="518"/>
      <c r="AI730" s="518"/>
      <c r="AJ730" s="518"/>
      <c r="AK730" s="518"/>
      <c r="AL730" s="518"/>
      <c r="AM730" s="518"/>
      <c r="AN730" s="518"/>
      <c r="AO730" s="51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</row>
    <row r="731" spans="1:57" ht="12.75" customHeight="1">
      <c r="A731" s="518"/>
      <c r="B731" s="518"/>
      <c r="C731" s="518"/>
      <c r="D731" s="518"/>
      <c r="E731" s="518"/>
      <c r="F731" s="518"/>
      <c r="G731" s="518"/>
      <c r="H731" s="518"/>
      <c r="I731" s="518"/>
      <c r="J731" s="518"/>
      <c r="K731" s="518"/>
      <c r="L731" s="518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  <c r="AB731" s="518"/>
      <c r="AC731" s="518"/>
      <c r="AD731" s="518"/>
      <c r="AE731" s="518"/>
      <c r="AF731" s="518"/>
      <c r="AG731" s="518"/>
      <c r="AH731" s="518"/>
      <c r="AI731" s="518"/>
      <c r="AJ731" s="518"/>
      <c r="AK731" s="518"/>
      <c r="AL731" s="518"/>
      <c r="AM731" s="518"/>
      <c r="AN731" s="518"/>
      <c r="AO731" s="51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</row>
    <row r="732" spans="1:57" ht="12.75" customHeight="1">
      <c r="A732" s="518"/>
      <c r="B732" s="518"/>
      <c r="C732" s="518"/>
      <c r="D732" s="518"/>
      <c r="E732" s="518"/>
      <c r="F732" s="518"/>
      <c r="G732" s="518"/>
      <c r="H732" s="518"/>
      <c r="I732" s="518"/>
      <c r="J732" s="518"/>
      <c r="K732" s="518"/>
      <c r="L732" s="518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  <c r="AB732" s="518"/>
      <c r="AC732" s="518"/>
      <c r="AD732" s="518"/>
      <c r="AE732" s="518"/>
      <c r="AF732" s="518"/>
      <c r="AG732" s="518"/>
      <c r="AH732" s="518"/>
      <c r="AI732" s="518"/>
      <c r="AJ732" s="518"/>
      <c r="AK732" s="518"/>
      <c r="AL732" s="518"/>
      <c r="AM732" s="518"/>
      <c r="AN732" s="518"/>
      <c r="AO732" s="51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</row>
    <row r="733" spans="1:57" ht="12.75" customHeight="1">
      <c r="A733" s="518"/>
      <c r="B733" s="518"/>
      <c r="C733" s="518"/>
      <c r="D733" s="518"/>
      <c r="E733" s="518"/>
      <c r="F733" s="518"/>
      <c r="G733" s="518"/>
      <c r="H733" s="518"/>
      <c r="I733" s="518"/>
      <c r="J733" s="518"/>
      <c r="K733" s="518"/>
      <c r="L733" s="518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  <c r="AB733" s="518"/>
      <c r="AC733" s="518"/>
      <c r="AD733" s="518"/>
      <c r="AE733" s="518"/>
      <c r="AF733" s="518"/>
      <c r="AG733" s="518"/>
      <c r="AH733" s="518"/>
      <c r="AI733" s="518"/>
      <c r="AJ733" s="518"/>
      <c r="AK733" s="518"/>
      <c r="AL733" s="518"/>
      <c r="AM733" s="518"/>
      <c r="AN733" s="518"/>
      <c r="AO733" s="51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</row>
    <row r="734" spans="1:57" ht="12.75" customHeight="1">
      <c r="A734" s="518"/>
      <c r="B734" s="518"/>
      <c r="C734" s="518"/>
      <c r="D734" s="518"/>
      <c r="E734" s="518"/>
      <c r="F734" s="518"/>
      <c r="G734" s="518"/>
      <c r="H734" s="518"/>
      <c r="I734" s="518"/>
      <c r="J734" s="518"/>
      <c r="K734" s="518"/>
      <c r="L734" s="518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  <c r="AB734" s="518"/>
      <c r="AC734" s="518"/>
      <c r="AD734" s="518"/>
      <c r="AE734" s="518"/>
      <c r="AF734" s="518"/>
      <c r="AG734" s="518"/>
      <c r="AH734" s="518"/>
      <c r="AI734" s="518"/>
      <c r="AJ734" s="518"/>
      <c r="AK734" s="518"/>
      <c r="AL734" s="518"/>
      <c r="AM734" s="518"/>
      <c r="AN734" s="518"/>
      <c r="AO734" s="51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</row>
    <row r="735" spans="1:57" ht="12.75" customHeight="1">
      <c r="A735" s="518"/>
      <c r="B735" s="518"/>
      <c r="C735" s="518"/>
      <c r="D735" s="518"/>
      <c r="E735" s="518"/>
      <c r="F735" s="518"/>
      <c r="G735" s="518"/>
      <c r="H735" s="518"/>
      <c r="I735" s="518"/>
      <c r="J735" s="518"/>
      <c r="K735" s="518"/>
      <c r="L735" s="518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  <c r="AB735" s="518"/>
      <c r="AC735" s="518"/>
      <c r="AD735" s="518"/>
      <c r="AE735" s="518"/>
      <c r="AF735" s="518"/>
      <c r="AG735" s="518"/>
      <c r="AH735" s="518"/>
      <c r="AI735" s="518"/>
      <c r="AJ735" s="518"/>
      <c r="AK735" s="518"/>
      <c r="AL735" s="518"/>
      <c r="AM735" s="518"/>
      <c r="AN735" s="518"/>
      <c r="AO735" s="51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</row>
    <row r="736" spans="1:57" ht="12.75" customHeight="1">
      <c r="A736" s="518"/>
      <c r="B736" s="518"/>
      <c r="C736" s="518"/>
      <c r="D736" s="518"/>
      <c r="E736" s="518"/>
      <c r="F736" s="518"/>
      <c r="G736" s="518"/>
      <c r="H736" s="518"/>
      <c r="I736" s="518"/>
      <c r="J736" s="518"/>
      <c r="K736" s="518"/>
      <c r="L736" s="518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  <c r="AB736" s="518"/>
      <c r="AC736" s="518"/>
      <c r="AD736" s="518"/>
      <c r="AE736" s="518"/>
      <c r="AF736" s="518"/>
      <c r="AG736" s="518"/>
      <c r="AH736" s="518"/>
      <c r="AI736" s="518"/>
      <c r="AJ736" s="518"/>
      <c r="AK736" s="518"/>
      <c r="AL736" s="518"/>
      <c r="AM736" s="518"/>
      <c r="AN736" s="518"/>
      <c r="AO736" s="518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</row>
    <row r="737" spans="1:57" ht="12.75" customHeight="1">
      <c r="A737" s="518"/>
      <c r="B737" s="518"/>
      <c r="C737" s="518"/>
      <c r="D737" s="518"/>
      <c r="E737" s="518"/>
      <c r="F737" s="518"/>
      <c r="G737" s="518"/>
      <c r="H737" s="518"/>
      <c r="I737" s="518"/>
      <c r="J737" s="518"/>
      <c r="K737" s="518"/>
      <c r="L737" s="518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  <c r="AB737" s="518"/>
      <c r="AC737" s="518"/>
      <c r="AD737" s="518"/>
      <c r="AE737" s="518"/>
      <c r="AF737" s="518"/>
      <c r="AG737" s="518"/>
      <c r="AH737" s="518"/>
      <c r="AI737" s="518"/>
      <c r="AJ737" s="518"/>
      <c r="AK737" s="518"/>
      <c r="AL737" s="518"/>
      <c r="AM737" s="518"/>
      <c r="AN737" s="518"/>
      <c r="AO737" s="51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</row>
    <row r="738" spans="1:57" ht="12.75" customHeight="1">
      <c r="A738" s="518"/>
      <c r="B738" s="518"/>
      <c r="C738" s="518"/>
      <c r="D738" s="518"/>
      <c r="E738" s="518"/>
      <c r="F738" s="518"/>
      <c r="G738" s="518"/>
      <c r="H738" s="518"/>
      <c r="I738" s="518"/>
      <c r="J738" s="518"/>
      <c r="K738" s="518"/>
      <c r="L738" s="518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  <c r="AB738" s="518"/>
      <c r="AC738" s="518"/>
      <c r="AD738" s="518"/>
      <c r="AE738" s="518"/>
      <c r="AF738" s="518"/>
      <c r="AG738" s="518"/>
      <c r="AH738" s="518"/>
      <c r="AI738" s="518"/>
      <c r="AJ738" s="518"/>
      <c r="AK738" s="518"/>
      <c r="AL738" s="518"/>
      <c r="AM738" s="518"/>
      <c r="AN738" s="518"/>
      <c r="AO738" s="51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</row>
    <row r="739" spans="1:57" ht="12.75" customHeight="1">
      <c r="A739" s="518"/>
      <c r="B739" s="518"/>
      <c r="C739" s="518"/>
      <c r="D739" s="518"/>
      <c r="E739" s="518"/>
      <c r="F739" s="518"/>
      <c r="G739" s="518"/>
      <c r="H739" s="518"/>
      <c r="I739" s="518"/>
      <c r="J739" s="518"/>
      <c r="K739" s="518"/>
      <c r="L739" s="518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  <c r="AB739" s="518"/>
      <c r="AC739" s="518"/>
      <c r="AD739" s="518"/>
      <c r="AE739" s="518"/>
      <c r="AF739" s="518"/>
      <c r="AG739" s="518"/>
      <c r="AH739" s="518"/>
      <c r="AI739" s="518"/>
      <c r="AJ739" s="518"/>
      <c r="AK739" s="518"/>
      <c r="AL739" s="518"/>
      <c r="AM739" s="518"/>
      <c r="AN739" s="518"/>
      <c r="AO739" s="51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</row>
    <row r="740" spans="1:57" ht="12.75" customHeight="1">
      <c r="A740" s="518"/>
      <c r="B740" s="518"/>
      <c r="C740" s="518"/>
      <c r="D740" s="518"/>
      <c r="E740" s="518"/>
      <c r="F740" s="518"/>
      <c r="G740" s="518"/>
      <c r="H740" s="518"/>
      <c r="I740" s="518"/>
      <c r="J740" s="518"/>
      <c r="K740" s="518"/>
      <c r="L740" s="518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  <c r="AB740" s="518"/>
      <c r="AC740" s="518"/>
      <c r="AD740" s="518"/>
      <c r="AE740" s="518"/>
      <c r="AF740" s="518"/>
      <c r="AG740" s="518"/>
      <c r="AH740" s="518"/>
      <c r="AI740" s="518"/>
      <c r="AJ740" s="518"/>
      <c r="AK740" s="518"/>
      <c r="AL740" s="518"/>
      <c r="AM740" s="518"/>
      <c r="AN740" s="518"/>
      <c r="AO740" s="51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</row>
    <row r="741" spans="1:57" ht="12.75" customHeight="1">
      <c r="A741" s="518"/>
      <c r="B741" s="518"/>
      <c r="C741" s="518"/>
      <c r="D741" s="518"/>
      <c r="E741" s="518"/>
      <c r="F741" s="518"/>
      <c r="G741" s="518"/>
      <c r="H741" s="518"/>
      <c r="I741" s="518"/>
      <c r="J741" s="518"/>
      <c r="K741" s="518"/>
      <c r="L741" s="518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  <c r="AB741" s="518"/>
      <c r="AC741" s="518"/>
      <c r="AD741" s="518"/>
      <c r="AE741" s="518"/>
      <c r="AF741" s="518"/>
      <c r="AG741" s="518"/>
      <c r="AH741" s="518"/>
      <c r="AI741" s="518"/>
      <c r="AJ741" s="518"/>
      <c r="AK741" s="518"/>
      <c r="AL741" s="518"/>
      <c r="AM741" s="518"/>
      <c r="AN741" s="518"/>
      <c r="AO741" s="51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</row>
    <row r="742" spans="1:57" ht="12.75" customHeight="1">
      <c r="A742" s="518"/>
      <c r="B742" s="518"/>
      <c r="C742" s="518"/>
      <c r="D742" s="518"/>
      <c r="E742" s="518"/>
      <c r="F742" s="518"/>
      <c r="G742" s="518"/>
      <c r="H742" s="518"/>
      <c r="I742" s="518"/>
      <c r="J742" s="518"/>
      <c r="K742" s="518"/>
      <c r="L742" s="518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  <c r="AB742" s="518"/>
      <c r="AC742" s="518"/>
      <c r="AD742" s="518"/>
      <c r="AE742" s="518"/>
      <c r="AF742" s="518"/>
      <c r="AG742" s="518"/>
      <c r="AH742" s="518"/>
      <c r="AI742" s="518"/>
      <c r="AJ742" s="518"/>
      <c r="AK742" s="518"/>
      <c r="AL742" s="518"/>
      <c r="AM742" s="518"/>
      <c r="AN742" s="518"/>
      <c r="AO742" s="51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</row>
    <row r="743" spans="1:57" ht="12.75" customHeight="1">
      <c r="A743" s="518"/>
      <c r="B743" s="518"/>
      <c r="C743" s="518"/>
      <c r="D743" s="518"/>
      <c r="E743" s="518"/>
      <c r="F743" s="518"/>
      <c r="G743" s="518"/>
      <c r="H743" s="518"/>
      <c r="I743" s="518"/>
      <c r="J743" s="518"/>
      <c r="K743" s="518"/>
      <c r="L743" s="518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  <c r="AB743" s="518"/>
      <c r="AC743" s="518"/>
      <c r="AD743" s="518"/>
      <c r="AE743" s="518"/>
      <c r="AF743" s="518"/>
      <c r="AG743" s="518"/>
      <c r="AH743" s="518"/>
      <c r="AI743" s="518"/>
      <c r="AJ743" s="518"/>
      <c r="AK743" s="518"/>
      <c r="AL743" s="518"/>
      <c r="AM743" s="518"/>
      <c r="AN743" s="518"/>
      <c r="AO743" s="51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</row>
    <row r="744" spans="1:57" ht="12.75" customHeight="1">
      <c r="A744" s="518"/>
      <c r="B744" s="518"/>
      <c r="C744" s="518"/>
      <c r="D744" s="518"/>
      <c r="E744" s="518"/>
      <c r="F744" s="518"/>
      <c r="G744" s="518"/>
      <c r="H744" s="518"/>
      <c r="I744" s="518"/>
      <c r="J744" s="518"/>
      <c r="K744" s="518"/>
      <c r="L744" s="518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  <c r="AB744" s="518"/>
      <c r="AC744" s="518"/>
      <c r="AD744" s="518"/>
      <c r="AE744" s="518"/>
      <c r="AF744" s="518"/>
      <c r="AG744" s="518"/>
      <c r="AH744" s="518"/>
      <c r="AI744" s="518"/>
      <c r="AJ744" s="518"/>
      <c r="AK744" s="518"/>
      <c r="AL744" s="518"/>
      <c r="AM744" s="518"/>
      <c r="AN744" s="518"/>
      <c r="AO744" s="51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</row>
    <row r="745" spans="1:57" ht="12.75" customHeight="1">
      <c r="A745" s="518"/>
      <c r="B745" s="518"/>
      <c r="C745" s="518"/>
      <c r="D745" s="518"/>
      <c r="E745" s="518"/>
      <c r="F745" s="518"/>
      <c r="G745" s="518"/>
      <c r="H745" s="518"/>
      <c r="I745" s="518"/>
      <c r="J745" s="518"/>
      <c r="K745" s="518"/>
      <c r="L745" s="518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  <c r="AB745" s="518"/>
      <c r="AC745" s="518"/>
      <c r="AD745" s="518"/>
      <c r="AE745" s="518"/>
      <c r="AF745" s="518"/>
      <c r="AG745" s="518"/>
      <c r="AH745" s="518"/>
      <c r="AI745" s="518"/>
      <c r="AJ745" s="518"/>
      <c r="AK745" s="518"/>
      <c r="AL745" s="518"/>
      <c r="AM745" s="518"/>
      <c r="AN745" s="518"/>
      <c r="AO745" s="51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</row>
    <row r="746" spans="1:57" ht="12.75" customHeight="1">
      <c r="A746" s="518"/>
      <c r="B746" s="518"/>
      <c r="C746" s="518"/>
      <c r="D746" s="518"/>
      <c r="E746" s="518"/>
      <c r="F746" s="518"/>
      <c r="G746" s="518"/>
      <c r="H746" s="518"/>
      <c r="I746" s="518"/>
      <c r="J746" s="518"/>
      <c r="K746" s="518"/>
      <c r="L746" s="518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  <c r="AB746" s="518"/>
      <c r="AC746" s="518"/>
      <c r="AD746" s="518"/>
      <c r="AE746" s="518"/>
      <c r="AF746" s="518"/>
      <c r="AG746" s="518"/>
      <c r="AH746" s="518"/>
      <c r="AI746" s="518"/>
      <c r="AJ746" s="518"/>
      <c r="AK746" s="518"/>
      <c r="AL746" s="518"/>
      <c r="AM746" s="518"/>
      <c r="AN746" s="518"/>
      <c r="AO746" s="51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</row>
    <row r="747" spans="1:57" ht="12.75" customHeight="1">
      <c r="A747" s="518"/>
      <c r="B747" s="518"/>
      <c r="C747" s="518"/>
      <c r="D747" s="518"/>
      <c r="E747" s="518"/>
      <c r="F747" s="518"/>
      <c r="G747" s="518"/>
      <c r="H747" s="518"/>
      <c r="I747" s="518"/>
      <c r="J747" s="518"/>
      <c r="K747" s="518"/>
      <c r="L747" s="518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  <c r="AB747" s="518"/>
      <c r="AC747" s="518"/>
      <c r="AD747" s="518"/>
      <c r="AE747" s="518"/>
      <c r="AF747" s="518"/>
      <c r="AG747" s="518"/>
      <c r="AH747" s="518"/>
      <c r="AI747" s="518"/>
      <c r="AJ747" s="518"/>
      <c r="AK747" s="518"/>
      <c r="AL747" s="518"/>
      <c r="AM747" s="518"/>
      <c r="AN747" s="518"/>
      <c r="AO747" s="51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</row>
    <row r="748" spans="1:57" ht="12.75" customHeight="1">
      <c r="A748" s="518"/>
      <c r="B748" s="518"/>
      <c r="C748" s="518"/>
      <c r="D748" s="518"/>
      <c r="E748" s="518"/>
      <c r="F748" s="518"/>
      <c r="G748" s="518"/>
      <c r="H748" s="518"/>
      <c r="I748" s="518"/>
      <c r="J748" s="518"/>
      <c r="K748" s="518"/>
      <c r="L748" s="518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  <c r="AB748" s="518"/>
      <c r="AC748" s="518"/>
      <c r="AD748" s="518"/>
      <c r="AE748" s="518"/>
      <c r="AF748" s="518"/>
      <c r="AG748" s="518"/>
      <c r="AH748" s="518"/>
      <c r="AI748" s="518"/>
      <c r="AJ748" s="518"/>
      <c r="AK748" s="518"/>
      <c r="AL748" s="518"/>
      <c r="AM748" s="518"/>
      <c r="AN748" s="518"/>
      <c r="AO748" s="51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</row>
    <row r="749" spans="1:57" ht="12.75" customHeight="1">
      <c r="A749" s="518"/>
      <c r="B749" s="518"/>
      <c r="C749" s="518"/>
      <c r="D749" s="518"/>
      <c r="E749" s="518"/>
      <c r="F749" s="518"/>
      <c r="G749" s="518"/>
      <c r="H749" s="518"/>
      <c r="I749" s="518"/>
      <c r="J749" s="518"/>
      <c r="K749" s="518"/>
      <c r="L749" s="518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  <c r="AB749" s="518"/>
      <c r="AC749" s="518"/>
      <c r="AD749" s="518"/>
      <c r="AE749" s="518"/>
      <c r="AF749" s="518"/>
      <c r="AG749" s="518"/>
      <c r="AH749" s="518"/>
      <c r="AI749" s="518"/>
      <c r="AJ749" s="518"/>
      <c r="AK749" s="518"/>
      <c r="AL749" s="518"/>
      <c r="AM749" s="518"/>
      <c r="AN749" s="518"/>
      <c r="AO749" s="51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</row>
    <row r="750" spans="1:57" ht="12.75" customHeight="1">
      <c r="A750" s="518"/>
      <c r="B750" s="518"/>
      <c r="C750" s="518"/>
      <c r="D750" s="518"/>
      <c r="E750" s="518"/>
      <c r="F750" s="518"/>
      <c r="G750" s="518"/>
      <c r="H750" s="518"/>
      <c r="I750" s="518"/>
      <c r="J750" s="518"/>
      <c r="K750" s="518"/>
      <c r="L750" s="518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  <c r="AB750" s="518"/>
      <c r="AC750" s="518"/>
      <c r="AD750" s="518"/>
      <c r="AE750" s="518"/>
      <c r="AF750" s="518"/>
      <c r="AG750" s="518"/>
      <c r="AH750" s="518"/>
      <c r="AI750" s="518"/>
      <c r="AJ750" s="518"/>
      <c r="AK750" s="518"/>
      <c r="AL750" s="518"/>
      <c r="AM750" s="518"/>
      <c r="AN750" s="518"/>
      <c r="AO750" s="51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</row>
    <row r="751" spans="1:57" ht="12.75" customHeight="1">
      <c r="A751" s="518"/>
      <c r="B751" s="518"/>
      <c r="C751" s="518"/>
      <c r="D751" s="518"/>
      <c r="E751" s="518"/>
      <c r="F751" s="518"/>
      <c r="G751" s="518"/>
      <c r="H751" s="518"/>
      <c r="I751" s="518"/>
      <c r="J751" s="518"/>
      <c r="K751" s="518"/>
      <c r="L751" s="518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  <c r="AB751" s="518"/>
      <c r="AC751" s="518"/>
      <c r="AD751" s="518"/>
      <c r="AE751" s="518"/>
      <c r="AF751" s="518"/>
      <c r="AG751" s="518"/>
      <c r="AH751" s="518"/>
      <c r="AI751" s="518"/>
      <c r="AJ751" s="518"/>
      <c r="AK751" s="518"/>
      <c r="AL751" s="518"/>
      <c r="AM751" s="518"/>
      <c r="AN751" s="518"/>
      <c r="AO751" s="518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</row>
    <row r="752" spans="1:57" ht="12.75" customHeight="1">
      <c r="A752" s="518"/>
      <c r="B752" s="518"/>
      <c r="C752" s="518"/>
      <c r="D752" s="518"/>
      <c r="E752" s="518"/>
      <c r="F752" s="518"/>
      <c r="G752" s="518"/>
      <c r="H752" s="518"/>
      <c r="I752" s="518"/>
      <c r="J752" s="518"/>
      <c r="K752" s="518"/>
      <c r="L752" s="518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  <c r="AB752" s="518"/>
      <c r="AC752" s="518"/>
      <c r="AD752" s="518"/>
      <c r="AE752" s="518"/>
      <c r="AF752" s="518"/>
      <c r="AG752" s="518"/>
      <c r="AH752" s="518"/>
      <c r="AI752" s="518"/>
      <c r="AJ752" s="518"/>
      <c r="AK752" s="518"/>
      <c r="AL752" s="518"/>
      <c r="AM752" s="518"/>
      <c r="AN752" s="518"/>
      <c r="AO752" s="51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</row>
    <row r="753" spans="1:57" ht="12.75" customHeight="1">
      <c r="A753" s="518"/>
      <c r="B753" s="518"/>
      <c r="C753" s="518"/>
      <c r="D753" s="518"/>
      <c r="E753" s="518"/>
      <c r="F753" s="518"/>
      <c r="G753" s="518"/>
      <c r="H753" s="518"/>
      <c r="I753" s="518"/>
      <c r="J753" s="518"/>
      <c r="K753" s="518"/>
      <c r="L753" s="518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  <c r="AB753" s="518"/>
      <c r="AC753" s="518"/>
      <c r="AD753" s="518"/>
      <c r="AE753" s="518"/>
      <c r="AF753" s="518"/>
      <c r="AG753" s="518"/>
      <c r="AH753" s="518"/>
      <c r="AI753" s="518"/>
      <c r="AJ753" s="518"/>
      <c r="AK753" s="518"/>
      <c r="AL753" s="518"/>
      <c r="AM753" s="518"/>
      <c r="AN753" s="518"/>
      <c r="AO753" s="51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</row>
    <row r="754" spans="1:57" ht="12.75" customHeight="1">
      <c r="A754" s="518"/>
      <c r="B754" s="518"/>
      <c r="C754" s="518"/>
      <c r="D754" s="518"/>
      <c r="E754" s="518"/>
      <c r="F754" s="518"/>
      <c r="G754" s="518"/>
      <c r="H754" s="518"/>
      <c r="I754" s="518"/>
      <c r="J754" s="518"/>
      <c r="K754" s="518"/>
      <c r="L754" s="518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  <c r="AB754" s="518"/>
      <c r="AC754" s="518"/>
      <c r="AD754" s="518"/>
      <c r="AE754" s="518"/>
      <c r="AF754" s="518"/>
      <c r="AG754" s="518"/>
      <c r="AH754" s="518"/>
      <c r="AI754" s="518"/>
      <c r="AJ754" s="518"/>
      <c r="AK754" s="518"/>
      <c r="AL754" s="518"/>
      <c r="AM754" s="518"/>
      <c r="AN754" s="518"/>
      <c r="AO754" s="51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</row>
    <row r="755" spans="1:57" ht="12.75" customHeight="1">
      <c r="A755" s="518"/>
      <c r="B755" s="518"/>
      <c r="C755" s="518"/>
      <c r="D755" s="518"/>
      <c r="E755" s="518"/>
      <c r="F755" s="518"/>
      <c r="G755" s="518"/>
      <c r="H755" s="518"/>
      <c r="I755" s="518"/>
      <c r="J755" s="518"/>
      <c r="K755" s="518"/>
      <c r="L755" s="518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  <c r="AB755" s="518"/>
      <c r="AC755" s="518"/>
      <c r="AD755" s="518"/>
      <c r="AE755" s="518"/>
      <c r="AF755" s="518"/>
      <c r="AG755" s="518"/>
      <c r="AH755" s="518"/>
      <c r="AI755" s="518"/>
      <c r="AJ755" s="518"/>
      <c r="AK755" s="518"/>
      <c r="AL755" s="518"/>
      <c r="AM755" s="518"/>
      <c r="AN755" s="518"/>
      <c r="AO755" s="51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</row>
    <row r="756" spans="1:57" ht="12.75" customHeight="1">
      <c r="A756" s="518"/>
      <c r="B756" s="518"/>
      <c r="C756" s="518"/>
      <c r="D756" s="518"/>
      <c r="E756" s="518"/>
      <c r="F756" s="518"/>
      <c r="G756" s="518"/>
      <c r="H756" s="518"/>
      <c r="I756" s="518"/>
      <c r="J756" s="518"/>
      <c r="K756" s="518"/>
      <c r="L756" s="518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  <c r="AB756" s="518"/>
      <c r="AC756" s="518"/>
      <c r="AD756" s="518"/>
      <c r="AE756" s="518"/>
      <c r="AF756" s="518"/>
      <c r="AG756" s="518"/>
      <c r="AH756" s="518"/>
      <c r="AI756" s="518"/>
      <c r="AJ756" s="518"/>
      <c r="AK756" s="518"/>
      <c r="AL756" s="518"/>
      <c r="AM756" s="518"/>
      <c r="AN756" s="518"/>
      <c r="AO756" s="51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</row>
    <row r="757" spans="1:57" ht="12.75" customHeight="1">
      <c r="A757" s="518"/>
      <c r="B757" s="518"/>
      <c r="C757" s="518"/>
      <c r="D757" s="518"/>
      <c r="E757" s="518"/>
      <c r="F757" s="518"/>
      <c r="G757" s="518"/>
      <c r="H757" s="518"/>
      <c r="I757" s="518"/>
      <c r="J757" s="518"/>
      <c r="K757" s="518"/>
      <c r="L757" s="518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  <c r="AB757" s="518"/>
      <c r="AC757" s="518"/>
      <c r="AD757" s="518"/>
      <c r="AE757" s="518"/>
      <c r="AF757" s="518"/>
      <c r="AG757" s="518"/>
      <c r="AH757" s="518"/>
      <c r="AI757" s="518"/>
      <c r="AJ757" s="518"/>
      <c r="AK757" s="518"/>
      <c r="AL757" s="518"/>
      <c r="AM757" s="518"/>
      <c r="AN757" s="518"/>
      <c r="AO757" s="51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</row>
    <row r="758" spans="1:57" ht="12.75" customHeight="1">
      <c r="A758" s="518"/>
      <c r="B758" s="518"/>
      <c r="C758" s="518"/>
      <c r="D758" s="518"/>
      <c r="E758" s="518"/>
      <c r="F758" s="518"/>
      <c r="G758" s="518"/>
      <c r="H758" s="518"/>
      <c r="I758" s="518"/>
      <c r="J758" s="518"/>
      <c r="K758" s="518"/>
      <c r="L758" s="518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  <c r="AB758" s="518"/>
      <c r="AC758" s="518"/>
      <c r="AD758" s="518"/>
      <c r="AE758" s="518"/>
      <c r="AF758" s="518"/>
      <c r="AG758" s="518"/>
      <c r="AH758" s="518"/>
      <c r="AI758" s="518"/>
      <c r="AJ758" s="518"/>
      <c r="AK758" s="518"/>
      <c r="AL758" s="518"/>
      <c r="AM758" s="518"/>
      <c r="AN758" s="518"/>
      <c r="AO758" s="51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</row>
    <row r="759" spans="1:57" ht="12.75" customHeight="1">
      <c r="A759" s="518"/>
      <c r="B759" s="518"/>
      <c r="C759" s="518"/>
      <c r="D759" s="518"/>
      <c r="E759" s="518"/>
      <c r="F759" s="518"/>
      <c r="G759" s="518"/>
      <c r="H759" s="518"/>
      <c r="I759" s="518"/>
      <c r="J759" s="518"/>
      <c r="K759" s="518"/>
      <c r="L759" s="518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  <c r="AB759" s="518"/>
      <c r="AC759" s="518"/>
      <c r="AD759" s="518"/>
      <c r="AE759" s="518"/>
      <c r="AF759" s="518"/>
      <c r="AG759" s="518"/>
      <c r="AH759" s="518"/>
      <c r="AI759" s="518"/>
      <c r="AJ759" s="518"/>
      <c r="AK759" s="518"/>
      <c r="AL759" s="518"/>
      <c r="AM759" s="518"/>
      <c r="AN759" s="518"/>
      <c r="AO759" s="51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</row>
    <row r="760" spans="1:57" ht="12.75" customHeight="1">
      <c r="A760" s="518"/>
      <c r="B760" s="518"/>
      <c r="C760" s="518"/>
      <c r="D760" s="518"/>
      <c r="E760" s="518"/>
      <c r="F760" s="518"/>
      <c r="G760" s="518"/>
      <c r="H760" s="518"/>
      <c r="I760" s="518"/>
      <c r="J760" s="518"/>
      <c r="K760" s="518"/>
      <c r="L760" s="518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  <c r="AB760" s="518"/>
      <c r="AC760" s="518"/>
      <c r="AD760" s="518"/>
      <c r="AE760" s="518"/>
      <c r="AF760" s="518"/>
      <c r="AG760" s="518"/>
      <c r="AH760" s="518"/>
      <c r="AI760" s="518"/>
      <c r="AJ760" s="518"/>
      <c r="AK760" s="518"/>
      <c r="AL760" s="518"/>
      <c r="AM760" s="518"/>
      <c r="AN760" s="518"/>
      <c r="AO760" s="51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</row>
    <row r="761" spans="1:57" ht="12.75" customHeight="1">
      <c r="A761" s="518"/>
      <c r="B761" s="518"/>
      <c r="C761" s="518"/>
      <c r="D761" s="518"/>
      <c r="E761" s="518"/>
      <c r="F761" s="518"/>
      <c r="G761" s="518"/>
      <c r="H761" s="518"/>
      <c r="I761" s="518"/>
      <c r="J761" s="518"/>
      <c r="K761" s="518"/>
      <c r="L761" s="518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  <c r="AB761" s="518"/>
      <c r="AC761" s="518"/>
      <c r="AD761" s="518"/>
      <c r="AE761" s="518"/>
      <c r="AF761" s="518"/>
      <c r="AG761" s="518"/>
      <c r="AH761" s="518"/>
      <c r="AI761" s="518"/>
      <c r="AJ761" s="518"/>
      <c r="AK761" s="518"/>
      <c r="AL761" s="518"/>
      <c r="AM761" s="518"/>
      <c r="AN761" s="518"/>
      <c r="AO761" s="51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</row>
    <row r="762" spans="1:57" ht="12.75" customHeight="1">
      <c r="A762" s="518"/>
      <c r="B762" s="518"/>
      <c r="C762" s="518"/>
      <c r="D762" s="518"/>
      <c r="E762" s="518"/>
      <c r="F762" s="518"/>
      <c r="G762" s="518"/>
      <c r="H762" s="518"/>
      <c r="I762" s="518"/>
      <c r="J762" s="518"/>
      <c r="K762" s="518"/>
      <c r="L762" s="518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  <c r="AB762" s="518"/>
      <c r="AC762" s="518"/>
      <c r="AD762" s="518"/>
      <c r="AE762" s="518"/>
      <c r="AF762" s="518"/>
      <c r="AG762" s="518"/>
      <c r="AH762" s="518"/>
      <c r="AI762" s="518"/>
      <c r="AJ762" s="518"/>
      <c r="AK762" s="518"/>
      <c r="AL762" s="518"/>
      <c r="AM762" s="518"/>
      <c r="AN762" s="518"/>
      <c r="AO762" s="51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</row>
    <row r="763" spans="1:57" ht="12.75" customHeight="1">
      <c r="A763" s="518"/>
      <c r="B763" s="518"/>
      <c r="C763" s="518"/>
      <c r="D763" s="518"/>
      <c r="E763" s="518"/>
      <c r="F763" s="518"/>
      <c r="G763" s="518"/>
      <c r="H763" s="518"/>
      <c r="I763" s="518"/>
      <c r="J763" s="518"/>
      <c r="K763" s="518"/>
      <c r="L763" s="518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  <c r="AB763" s="518"/>
      <c r="AC763" s="518"/>
      <c r="AD763" s="518"/>
      <c r="AE763" s="518"/>
      <c r="AF763" s="518"/>
      <c r="AG763" s="518"/>
      <c r="AH763" s="518"/>
      <c r="AI763" s="518"/>
      <c r="AJ763" s="518"/>
      <c r="AK763" s="518"/>
      <c r="AL763" s="518"/>
      <c r="AM763" s="518"/>
      <c r="AN763" s="518"/>
      <c r="AO763" s="51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</row>
    <row r="764" spans="1:57" ht="12.75" customHeight="1">
      <c r="A764" s="518"/>
      <c r="B764" s="518"/>
      <c r="C764" s="518"/>
      <c r="D764" s="518"/>
      <c r="E764" s="518"/>
      <c r="F764" s="518"/>
      <c r="G764" s="518"/>
      <c r="H764" s="518"/>
      <c r="I764" s="518"/>
      <c r="J764" s="518"/>
      <c r="K764" s="518"/>
      <c r="L764" s="518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  <c r="AB764" s="518"/>
      <c r="AC764" s="518"/>
      <c r="AD764" s="518"/>
      <c r="AE764" s="518"/>
      <c r="AF764" s="518"/>
      <c r="AG764" s="518"/>
      <c r="AH764" s="518"/>
      <c r="AI764" s="518"/>
      <c r="AJ764" s="518"/>
      <c r="AK764" s="518"/>
      <c r="AL764" s="518"/>
      <c r="AM764" s="518"/>
      <c r="AN764" s="518"/>
      <c r="AO764" s="51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</row>
    <row r="765" spans="1:57" ht="12.75" customHeight="1">
      <c r="A765" s="518"/>
      <c r="B765" s="518"/>
      <c r="C765" s="518"/>
      <c r="D765" s="518"/>
      <c r="E765" s="518"/>
      <c r="F765" s="518"/>
      <c r="G765" s="518"/>
      <c r="H765" s="518"/>
      <c r="I765" s="518"/>
      <c r="J765" s="518"/>
      <c r="K765" s="518"/>
      <c r="L765" s="518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  <c r="AB765" s="518"/>
      <c r="AC765" s="518"/>
      <c r="AD765" s="518"/>
      <c r="AE765" s="518"/>
      <c r="AF765" s="518"/>
      <c r="AG765" s="518"/>
      <c r="AH765" s="518"/>
      <c r="AI765" s="518"/>
      <c r="AJ765" s="518"/>
      <c r="AK765" s="518"/>
      <c r="AL765" s="518"/>
      <c r="AM765" s="518"/>
      <c r="AN765" s="518"/>
      <c r="AO765" s="518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</row>
    <row r="766" spans="1:57" ht="12.75" customHeight="1">
      <c r="A766" s="518"/>
      <c r="B766" s="518"/>
      <c r="C766" s="518"/>
      <c r="D766" s="518"/>
      <c r="E766" s="518"/>
      <c r="F766" s="518"/>
      <c r="G766" s="518"/>
      <c r="H766" s="518"/>
      <c r="I766" s="518"/>
      <c r="J766" s="518"/>
      <c r="K766" s="518"/>
      <c r="L766" s="518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  <c r="AB766" s="518"/>
      <c r="AC766" s="518"/>
      <c r="AD766" s="518"/>
      <c r="AE766" s="518"/>
      <c r="AF766" s="518"/>
      <c r="AG766" s="518"/>
      <c r="AH766" s="518"/>
      <c r="AI766" s="518"/>
      <c r="AJ766" s="518"/>
      <c r="AK766" s="518"/>
      <c r="AL766" s="518"/>
      <c r="AM766" s="518"/>
      <c r="AN766" s="518"/>
      <c r="AO766" s="51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</row>
    <row r="767" spans="1:57" ht="12.75" customHeight="1">
      <c r="A767" s="518"/>
      <c r="B767" s="518"/>
      <c r="C767" s="518"/>
      <c r="D767" s="518"/>
      <c r="E767" s="518"/>
      <c r="F767" s="518"/>
      <c r="G767" s="518"/>
      <c r="H767" s="518"/>
      <c r="I767" s="518"/>
      <c r="J767" s="518"/>
      <c r="K767" s="518"/>
      <c r="L767" s="518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  <c r="AB767" s="518"/>
      <c r="AC767" s="518"/>
      <c r="AD767" s="518"/>
      <c r="AE767" s="518"/>
      <c r="AF767" s="518"/>
      <c r="AG767" s="518"/>
      <c r="AH767" s="518"/>
      <c r="AI767" s="518"/>
      <c r="AJ767" s="518"/>
      <c r="AK767" s="518"/>
      <c r="AL767" s="518"/>
      <c r="AM767" s="518"/>
      <c r="AN767" s="518"/>
      <c r="AO767" s="518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</row>
    <row r="768" spans="1:57" ht="12.75" customHeight="1">
      <c r="A768" s="518"/>
      <c r="B768" s="518"/>
      <c r="C768" s="518"/>
      <c r="D768" s="518"/>
      <c r="E768" s="518"/>
      <c r="F768" s="518"/>
      <c r="G768" s="518"/>
      <c r="H768" s="518"/>
      <c r="I768" s="518"/>
      <c r="J768" s="518"/>
      <c r="K768" s="518"/>
      <c r="L768" s="518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  <c r="AB768" s="518"/>
      <c r="AC768" s="518"/>
      <c r="AD768" s="518"/>
      <c r="AE768" s="518"/>
      <c r="AF768" s="518"/>
      <c r="AG768" s="518"/>
      <c r="AH768" s="518"/>
      <c r="AI768" s="518"/>
      <c r="AJ768" s="518"/>
      <c r="AK768" s="518"/>
      <c r="AL768" s="518"/>
      <c r="AM768" s="518"/>
      <c r="AN768" s="518"/>
      <c r="AO768" s="518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</row>
    <row r="769" spans="1:57" ht="12.75" customHeight="1">
      <c r="A769" s="518"/>
      <c r="B769" s="518"/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  <c r="AB769" s="518"/>
      <c r="AC769" s="518"/>
      <c r="AD769" s="518"/>
      <c r="AE769" s="518"/>
      <c r="AF769" s="518"/>
      <c r="AG769" s="518"/>
      <c r="AH769" s="518"/>
      <c r="AI769" s="518"/>
      <c r="AJ769" s="518"/>
      <c r="AK769" s="518"/>
      <c r="AL769" s="518"/>
      <c r="AM769" s="518"/>
      <c r="AN769" s="518"/>
      <c r="AO769" s="518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</row>
    <row r="770" spans="1:57" ht="12.75" customHeight="1">
      <c r="A770" s="518"/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</row>
    <row r="771" spans="1:57" ht="12.75" customHeight="1">
      <c r="A771" s="518"/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</row>
    <row r="772" spans="1:57" ht="12.75" customHeight="1">
      <c r="A772" s="518"/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</row>
    <row r="773" spans="1:57" ht="12.75" customHeight="1">
      <c r="A773" s="518"/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</row>
    <row r="774" spans="1:57" ht="12.75" customHeight="1">
      <c r="A774" s="518"/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</row>
    <row r="775" spans="1:57" ht="12.75" customHeight="1">
      <c r="A775" s="518"/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</row>
    <row r="776" spans="1:57" ht="12.75" customHeight="1">
      <c r="A776" s="518"/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</row>
    <row r="777" spans="1:57" ht="12.75" customHeight="1">
      <c r="A777" s="518"/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</row>
    <row r="778" spans="1:57" ht="12.75" customHeight="1">
      <c r="A778" s="518"/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</row>
    <row r="779" spans="1:57" ht="12.75" customHeight="1">
      <c r="A779" s="518"/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</row>
    <row r="780" spans="1:57" ht="12.75" customHeight="1">
      <c r="A780" s="518"/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</row>
    <row r="781" spans="1:57" ht="12.75" customHeight="1">
      <c r="A781" s="518"/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</row>
    <row r="782" spans="1:57" ht="12.75" customHeight="1">
      <c r="A782" s="518"/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</row>
    <row r="783" spans="1:57" ht="12.75" customHeight="1">
      <c r="A783" s="518"/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</row>
    <row r="784" spans="1:57" ht="12.75" customHeight="1">
      <c r="A784" s="518"/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</row>
    <row r="785" spans="1:57" ht="12.75" customHeight="1">
      <c r="A785" s="518"/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</row>
    <row r="786" spans="1:57" ht="12.75" customHeight="1">
      <c r="A786" s="518"/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</row>
    <row r="787" spans="1:57" ht="12.75" customHeight="1">
      <c r="A787" s="518"/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</row>
    <row r="788" spans="1:57" ht="12.75" customHeight="1">
      <c r="A788" s="518"/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</row>
    <row r="789" spans="1:57" ht="12.75" customHeight="1">
      <c r="A789" s="518"/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</row>
    <row r="790" spans="1:57" ht="12.75" customHeight="1">
      <c r="A790" s="518"/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</row>
    <row r="791" spans="1:57" ht="12.75" customHeight="1">
      <c r="A791" s="518"/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</row>
    <row r="792" spans="1:57" ht="12.75" customHeight="1">
      <c r="A792" s="518"/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</row>
    <row r="793" spans="1:57" ht="12.75" customHeight="1">
      <c r="A793" s="518"/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</row>
    <row r="794" spans="1:57" ht="12.75" customHeight="1">
      <c r="A794" s="518"/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</row>
    <row r="795" spans="1:57" ht="12.75" customHeight="1">
      <c r="A795" s="518"/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</row>
    <row r="796" spans="1:57" ht="12.75" customHeight="1">
      <c r="A796" s="518"/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</row>
    <row r="797" spans="1:57" ht="12.75" customHeight="1">
      <c r="A797" s="518"/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</row>
    <row r="798" spans="1:57" ht="12.75" customHeight="1">
      <c r="A798" s="518"/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</row>
    <row r="799" spans="1:57" ht="12.75" customHeight="1">
      <c r="A799" s="518"/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</row>
    <row r="800" spans="1:57" ht="12.75" customHeight="1">
      <c r="A800" s="518"/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</row>
    <row r="801" spans="1:57" ht="12.75" customHeight="1">
      <c r="A801" s="518"/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</row>
    <row r="802" spans="1:57" ht="12.75" customHeight="1">
      <c r="A802" s="518"/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</row>
    <row r="803" spans="1:57" ht="12.75" customHeight="1">
      <c r="A803" s="518"/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</row>
    <row r="804" spans="1:57" ht="12.75" customHeight="1">
      <c r="A804" s="518"/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</row>
    <row r="805" spans="1:57" ht="12.75" customHeight="1">
      <c r="A805" s="518"/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</row>
    <row r="806" spans="1:57" ht="12.75" customHeight="1">
      <c r="A806" s="518"/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</row>
    <row r="807" spans="1:57" ht="12.75" customHeight="1">
      <c r="A807" s="518"/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</row>
    <row r="808" spans="1:57" ht="12.75" customHeight="1">
      <c r="A808" s="518"/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</row>
    <row r="809" spans="1:57" ht="12.75" customHeight="1">
      <c r="A809" s="518"/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</row>
    <row r="810" spans="1:57" ht="12.75" customHeight="1">
      <c r="A810" s="518"/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</row>
    <row r="811" spans="1:57" ht="12.75" customHeight="1">
      <c r="A811" s="518"/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</row>
    <row r="812" spans="1:57" ht="12.75" customHeight="1">
      <c r="A812" s="518"/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</row>
    <row r="813" spans="1:57" ht="12.75" customHeight="1">
      <c r="A813" s="518"/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</row>
    <row r="814" spans="1:57" ht="12.75" customHeight="1">
      <c r="A814" s="518"/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</row>
    <row r="815" spans="1:57" ht="12.75" customHeight="1">
      <c r="A815" s="518"/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</row>
    <row r="816" spans="1:57" ht="12.75" customHeight="1">
      <c r="A816" s="518"/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</row>
    <row r="817" spans="1:57" ht="12.75" customHeight="1">
      <c r="A817" s="518"/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</row>
    <row r="818" spans="1:57" ht="12.75" customHeight="1">
      <c r="A818" s="518"/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</row>
    <row r="819" spans="1:57" ht="12.75" customHeight="1">
      <c r="A819" s="518"/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</row>
    <row r="820" spans="1:57" ht="12.75" customHeight="1">
      <c r="A820" s="518"/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</row>
    <row r="821" spans="1:57" ht="12.75" customHeight="1">
      <c r="A821" s="518"/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</row>
    <row r="822" spans="1:57" ht="12.75" customHeight="1">
      <c r="A822" s="518"/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</row>
    <row r="823" spans="1:57" ht="12.75" customHeight="1">
      <c r="A823" s="518"/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</row>
    <row r="824" spans="1:57" ht="12.75" customHeight="1">
      <c r="A824" s="518"/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</row>
    <row r="825" spans="1:57" ht="12.75" customHeight="1">
      <c r="A825" s="518"/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</row>
    <row r="826" spans="1:57" ht="12.75" customHeight="1">
      <c r="A826" s="518"/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</row>
    <row r="827" spans="1:57" ht="12.75" customHeight="1">
      <c r="A827" s="518"/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</row>
    <row r="828" spans="1:57" ht="12.75" customHeight="1">
      <c r="A828" s="518"/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</row>
    <row r="829" spans="1:57" ht="12.75" customHeight="1">
      <c r="A829" s="518"/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</row>
    <row r="830" spans="1:57" ht="12.75" customHeight="1">
      <c r="A830" s="518"/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</row>
    <row r="831" spans="1:57" ht="12.75" customHeight="1">
      <c r="A831" s="518"/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</row>
    <row r="832" spans="1:57" ht="12.75" customHeight="1">
      <c r="A832" s="518"/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</row>
    <row r="833" spans="1:57" ht="12.75" customHeight="1">
      <c r="A833" s="518"/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</row>
    <row r="834" spans="1:57" ht="12.75" customHeight="1">
      <c r="A834" s="518"/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</row>
    <row r="835" spans="1:57" ht="12.75" customHeight="1">
      <c r="A835" s="518"/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</row>
    <row r="836" spans="1:57" ht="12.75" customHeight="1">
      <c r="A836" s="518"/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</row>
    <row r="837" spans="1:57" ht="12.75" customHeight="1">
      <c r="A837" s="518"/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</row>
    <row r="838" spans="1:57" ht="12.75" customHeight="1">
      <c r="A838" s="518"/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</row>
    <row r="839" spans="1:57" ht="12.75" customHeight="1">
      <c r="A839" s="518"/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</row>
    <row r="840" spans="1:57" ht="12.75" customHeight="1">
      <c r="A840" s="518"/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</row>
    <row r="841" spans="1:57" ht="12.75" customHeight="1">
      <c r="A841" s="518"/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</row>
    <row r="842" spans="1:57" ht="12.75" customHeight="1">
      <c r="A842" s="518"/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</row>
    <row r="843" spans="1:57" ht="12.75" customHeight="1">
      <c r="A843" s="518"/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</row>
    <row r="844" spans="1:57" ht="12.75" customHeight="1">
      <c r="A844" s="518"/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</row>
    <row r="845" spans="1:57" ht="12.75" customHeight="1">
      <c r="A845" s="518"/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</row>
    <row r="846" spans="1:57" ht="12.75" customHeight="1">
      <c r="A846" s="518"/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</row>
    <row r="847" spans="1:57" ht="12.75" customHeight="1">
      <c r="A847" s="518"/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</row>
    <row r="848" spans="1:57" ht="12.75" customHeight="1">
      <c r="A848" s="518"/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</row>
    <row r="849" spans="1:57" ht="12.75" customHeight="1">
      <c r="A849" s="518"/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</row>
    <row r="850" spans="1:57" ht="12.75" customHeight="1">
      <c r="A850" s="518"/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</row>
    <row r="851" spans="1:57" ht="12.75" customHeight="1">
      <c r="A851" s="518"/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</row>
    <row r="852" spans="1:57" ht="12.75" customHeight="1">
      <c r="A852" s="518"/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</row>
    <row r="853" spans="1:57" ht="12.75" customHeight="1">
      <c r="A853" s="518"/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</row>
    <row r="854" spans="1:57" ht="12.75" customHeight="1">
      <c r="A854" s="518"/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</row>
    <row r="855" spans="1:57" ht="12.75" customHeight="1">
      <c r="A855" s="518"/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</row>
    <row r="856" spans="1:57" ht="12.75" customHeight="1">
      <c r="A856" s="518"/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</row>
    <row r="857" spans="1:57" ht="12.75" customHeight="1">
      <c r="A857" s="518"/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</row>
    <row r="858" spans="1:57" ht="12.75" customHeight="1">
      <c r="A858" s="518"/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</row>
    <row r="859" spans="1:57" ht="12.75" customHeight="1">
      <c r="A859" s="518"/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</row>
    <row r="860" spans="1:57" ht="12.75" customHeight="1">
      <c r="A860" s="518"/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</row>
    <row r="861" spans="1:57" ht="12.75" customHeight="1">
      <c r="A861" s="518"/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</row>
    <row r="862" spans="1:57" ht="12.75" customHeight="1">
      <c r="A862" s="518"/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</row>
    <row r="863" spans="1:57" ht="12.75" customHeight="1">
      <c r="A863" s="518"/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</row>
    <row r="864" spans="1:57" ht="12.75" customHeight="1">
      <c r="A864" s="518"/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</row>
    <row r="865" spans="1:57" ht="12.75" customHeight="1">
      <c r="A865" s="518"/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</row>
    <row r="866" spans="1:57" ht="12.75" customHeight="1">
      <c r="A866" s="518"/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</row>
    <row r="867" spans="1:57" ht="12.75" customHeight="1">
      <c r="A867" s="518"/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</row>
    <row r="868" spans="1:57" ht="12.75" customHeight="1">
      <c r="A868" s="518"/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</row>
    <row r="869" spans="1:57" ht="12.75" customHeight="1">
      <c r="A869" s="518"/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</row>
    <row r="870" spans="1:57" ht="12.75" customHeight="1">
      <c r="A870" s="518"/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</row>
    <row r="871" spans="1:57" ht="12.75" customHeight="1">
      <c r="A871" s="518"/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</row>
    <row r="872" spans="1:57" ht="12.75" customHeight="1">
      <c r="A872" s="518"/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</row>
    <row r="873" spans="1:57" ht="12.75" customHeight="1">
      <c r="A873" s="518"/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</row>
    <row r="874" spans="1:57" ht="12.75" customHeight="1">
      <c r="A874" s="518"/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</row>
    <row r="875" spans="1:57" ht="12.75" customHeight="1">
      <c r="A875" s="518"/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</row>
    <row r="876" spans="1:57" ht="12.75" customHeight="1">
      <c r="A876" s="518"/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</row>
    <row r="877" spans="1:57" ht="12.75" customHeight="1">
      <c r="A877" s="518"/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</row>
    <row r="878" spans="1:57" ht="12.75" customHeight="1">
      <c r="A878" s="518"/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</row>
    <row r="879" spans="1:57" ht="12.75" customHeight="1">
      <c r="A879" s="518"/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</row>
    <row r="880" spans="1:57" ht="12.75" customHeight="1">
      <c r="A880" s="518"/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</row>
    <row r="881" spans="1:57" ht="12.75" customHeight="1">
      <c r="A881" s="518"/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</row>
    <row r="882" spans="1:57" ht="12.75" customHeight="1">
      <c r="A882" s="518"/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</row>
    <row r="883" spans="1:57" ht="12.75" customHeight="1">
      <c r="A883" s="518"/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</row>
    <row r="884" spans="1:57" ht="12.75" customHeight="1">
      <c r="A884" s="518"/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</row>
    <row r="885" spans="1:57" ht="12.75" customHeight="1">
      <c r="A885" s="518"/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</row>
    <row r="886" spans="1:57" ht="12.75" customHeight="1">
      <c r="A886" s="518"/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</row>
    <row r="887" spans="1:57" ht="12.75" customHeight="1">
      <c r="A887" s="518"/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</row>
    <row r="888" spans="1:57" ht="12.75" customHeight="1">
      <c r="A888" s="518"/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</row>
    <row r="889" spans="1:57" ht="12.75" customHeight="1">
      <c r="A889" s="518"/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</row>
    <row r="890" spans="1:57" ht="12.75" customHeight="1">
      <c r="A890" s="518"/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</row>
    <row r="891" spans="1:57" ht="12.75" customHeight="1">
      <c r="A891" s="518"/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</row>
    <row r="892" spans="1:57" ht="12.75" customHeight="1">
      <c r="A892" s="518"/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</row>
    <row r="893" spans="1:57" ht="12.75" customHeight="1">
      <c r="A893" s="518"/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</row>
    <row r="894" spans="1:57" ht="12.75" customHeight="1">
      <c r="A894" s="518"/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</row>
    <row r="895" spans="1:57" ht="12.75" customHeight="1">
      <c r="A895" s="518"/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</row>
    <row r="896" spans="1:57" ht="12.75" customHeight="1">
      <c r="A896" s="518"/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</row>
    <row r="897" spans="1:57" ht="12.75" customHeight="1">
      <c r="A897" s="518"/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</row>
    <row r="898" spans="1:57" ht="12.75" customHeight="1">
      <c r="A898" s="518"/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</row>
    <row r="899" spans="1:57" ht="12.75" customHeight="1">
      <c r="A899" s="518"/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</row>
    <row r="900" spans="1:57" ht="12.75" customHeight="1">
      <c r="A900" s="518"/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</row>
    <row r="901" spans="1:57" ht="12.75" customHeight="1">
      <c r="A901" s="518"/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</row>
    <row r="902" spans="1:57" ht="12.75" customHeight="1">
      <c r="A902" s="518"/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</row>
    <row r="903" spans="1:57" ht="12.75" customHeight="1">
      <c r="A903" s="518"/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</row>
    <row r="904" spans="1:57" ht="12.75" customHeight="1">
      <c r="A904" s="518"/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</row>
    <row r="905" spans="1:57" ht="12.75" customHeight="1">
      <c r="A905" s="518"/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</row>
    <row r="906" spans="1:57" ht="12.75" customHeight="1">
      <c r="A906" s="518"/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</row>
    <row r="907" spans="1:57" ht="12.75" customHeight="1">
      <c r="A907" s="518"/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</row>
    <row r="908" spans="1:57" ht="12.75" customHeight="1">
      <c r="A908" s="518"/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</row>
    <row r="909" spans="1:57" ht="12.75" customHeight="1">
      <c r="A909" s="518"/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</row>
    <row r="910" spans="1:57" ht="12.75" customHeight="1">
      <c r="A910" s="518"/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</row>
    <row r="911" spans="1:57" ht="12.75" customHeight="1">
      <c r="A911" s="518"/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</row>
    <row r="912" spans="1:57" ht="12.75" customHeight="1">
      <c r="A912" s="518"/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</row>
    <row r="913" spans="1:57" ht="12.75" customHeight="1">
      <c r="A913" s="518"/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</row>
    <row r="914" spans="1:57" ht="12.75" customHeight="1">
      <c r="A914" s="518"/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</row>
    <row r="915" spans="1:57" ht="12.75" customHeight="1">
      <c r="A915" s="518"/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</row>
    <row r="916" spans="1:57" ht="12.75" customHeight="1">
      <c r="A916" s="518"/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</row>
    <row r="917" spans="1:57" ht="12.75" customHeight="1">
      <c r="A917" s="518"/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</row>
    <row r="918" spans="1:57" ht="12.75" customHeight="1">
      <c r="A918" s="518"/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</row>
    <row r="919" spans="1:57" ht="12.75" customHeight="1">
      <c r="A919" s="518"/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</row>
    <row r="920" spans="1:57" ht="12.75" customHeight="1">
      <c r="A920" s="518"/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</row>
    <row r="921" spans="1:57" ht="12.75" customHeight="1">
      <c r="A921" s="518"/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</row>
    <row r="922" spans="1:57" ht="12.75" customHeight="1">
      <c r="A922" s="518"/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</row>
    <row r="923" spans="1:57" ht="12.75" customHeight="1">
      <c r="A923" s="518"/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</row>
    <row r="924" spans="1:57" ht="12.75" customHeight="1">
      <c r="A924" s="518"/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</row>
    <row r="925" spans="1:57" ht="12.75" customHeight="1">
      <c r="A925" s="518"/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</row>
    <row r="926" spans="1:57" ht="12.75" customHeight="1">
      <c r="A926" s="518"/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</row>
    <row r="927" spans="1:57" ht="12.75" customHeight="1">
      <c r="A927" s="518"/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</row>
    <row r="928" spans="1:57" ht="12.75" customHeight="1">
      <c r="A928" s="518"/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</row>
    <row r="929" spans="1:57" ht="12.75" customHeight="1">
      <c r="A929" s="518"/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</row>
    <row r="930" spans="1:57" ht="12.75" customHeight="1">
      <c r="A930" s="518"/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</row>
    <row r="931" spans="1:57" ht="12.75" customHeight="1">
      <c r="A931" s="518"/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</row>
    <row r="932" spans="1:57" ht="12.75" customHeight="1">
      <c r="A932" s="518"/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</row>
    <row r="933" spans="1:57" ht="12.75" customHeight="1">
      <c r="A933" s="518"/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</row>
    <row r="934" spans="1:57" ht="12.75" customHeight="1">
      <c r="A934" s="518"/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</row>
    <row r="935" spans="1:57" ht="12.75" customHeight="1">
      <c r="A935" s="518"/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</row>
    <row r="936" spans="1:57" ht="12.75" customHeight="1">
      <c r="A936" s="518"/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</row>
    <row r="937" spans="1:57" ht="12.75" customHeight="1">
      <c r="A937" s="518"/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</row>
    <row r="938" spans="1:57" ht="12.75" customHeight="1">
      <c r="A938" s="518"/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</row>
    <row r="939" spans="1:57" ht="12.75" customHeight="1">
      <c r="A939" s="518"/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</row>
    <row r="940" spans="1:57" ht="12.75" customHeight="1">
      <c r="A940" s="518"/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</row>
    <row r="941" spans="1:57" ht="12.75" customHeight="1">
      <c r="A941" s="518"/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</row>
    <row r="942" spans="1:57" ht="12.75" customHeight="1">
      <c r="A942" s="518"/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</row>
    <row r="943" spans="1:57" ht="12.75" customHeight="1">
      <c r="A943" s="518"/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</row>
    <row r="944" spans="1:57" ht="12.75" customHeight="1">
      <c r="A944" s="518"/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</row>
    <row r="945" spans="1:57" ht="12.75" customHeight="1">
      <c r="A945" s="518"/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</row>
    <row r="946" spans="1:57" ht="12.75" customHeight="1">
      <c r="A946" s="518"/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</row>
    <row r="947" spans="1:57" ht="12.75" customHeight="1">
      <c r="A947" s="518"/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</row>
    <row r="948" spans="1:57" ht="12.75" customHeight="1">
      <c r="A948" s="518"/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</row>
    <row r="949" spans="1:57" ht="12.75" customHeight="1">
      <c r="A949" s="518"/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</row>
    <row r="950" spans="1:57" ht="12.75" customHeight="1">
      <c r="A950" s="518"/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</row>
    <row r="951" spans="1:57" ht="12.75" customHeight="1">
      <c r="A951" s="518"/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</row>
    <row r="952" spans="1:57" ht="12.75" customHeight="1">
      <c r="A952" s="518"/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</row>
    <row r="953" spans="1:57" ht="12.75" customHeight="1">
      <c r="A953" s="518"/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</row>
    <row r="954" spans="1:57" ht="12.75" customHeight="1">
      <c r="A954" s="518"/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</row>
    <row r="955" spans="1:57" ht="12.75" customHeight="1">
      <c r="A955" s="518"/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</row>
    <row r="956" spans="1:57" ht="12.75" customHeight="1">
      <c r="A956" s="518"/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</row>
    <row r="957" spans="1:57" ht="12.75" customHeight="1">
      <c r="A957" s="518"/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</row>
    <row r="958" spans="1:57" ht="12.75" customHeight="1">
      <c r="A958" s="518"/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</row>
    <row r="959" spans="1:57" ht="12.75" customHeight="1">
      <c r="A959" s="518"/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</row>
    <row r="960" spans="1:57" ht="12.75" customHeight="1">
      <c r="A960" s="518"/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</row>
    <row r="961" spans="1:57" ht="12.75" customHeight="1">
      <c r="A961" s="518"/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</row>
    <row r="962" spans="1:57" ht="12.75" customHeight="1">
      <c r="A962" s="518"/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</row>
    <row r="963" spans="1:57" ht="12.75" customHeight="1">
      <c r="A963" s="518"/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</row>
    <row r="964" spans="1:57" ht="12.75" customHeight="1">
      <c r="A964" s="518"/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</row>
    <row r="965" spans="1:57" ht="12.75" customHeight="1">
      <c r="A965" s="518"/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</row>
    <row r="966" spans="1:57" ht="12.75" customHeight="1">
      <c r="A966" s="518"/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</row>
    <row r="967" spans="1:57" ht="12.75" customHeight="1">
      <c r="A967" s="518"/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</row>
    <row r="968" spans="1:57" ht="12.75" customHeight="1">
      <c r="A968" s="518"/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</row>
    <row r="969" spans="1:57" ht="12.75" customHeight="1">
      <c r="A969" s="518"/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</row>
    <row r="970" spans="1:57" ht="12.75" customHeight="1">
      <c r="A970" s="518"/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</row>
    <row r="971" spans="1:57" ht="12.75" customHeight="1">
      <c r="A971" s="518"/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</row>
    <row r="972" spans="1:57" ht="12.75" customHeight="1">
      <c r="A972" s="518"/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</row>
    <row r="973" spans="1:57" ht="12.75" customHeight="1">
      <c r="A973" s="518"/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</row>
    <row r="974" spans="1:57" ht="12.75" customHeight="1">
      <c r="A974" s="518"/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</row>
    <row r="975" spans="1:57" ht="12.75" customHeight="1">
      <c r="A975" s="518"/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</row>
    <row r="976" spans="1:57" ht="12.75" customHeight="1">
      <c r="A976" s="518"/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</row>
    <row r="977" spans="1:57" ht="12.75" customHeight="1">
      <c r="A977" s="518"/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</row>
    <row r="978" spans="1:57" ht="12.75" customHeight="1">
      <c r="A978" s="518"/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</row>
    <row r="979" spans="1:57" ht="12.75" customHeight="1">
      <c r="A979" s="518"/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</row>
    <row r="980" spans="1:57" ht="12.75" customHeight="1">
      <c r="A980" s="518"/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</row>
    <row r="981" spans="1:57" ht="12.75" customHeight="1">
      <c r="A981" s="518"/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</row>
    <row r="982" spans="1:57" ht="12.75" customHeight="1">
      <c r="A982" s="518"/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</row>
    <row r="983" spans="1:57" ht="12.75" customHeight="1">
      <c r="A983" s="518"/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</row>
    <row r="984" spans="1:57" ht="12.75" customHeight="1">
      <c r="A984" s="518"/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</row>
    <row r="985" spans="1:57" ht="12.75" customHeight="1">
      <c r="A985" s="518"/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</row>
    <row r="986" spans="1:57" ht="12.75" customHeight="1">
      <c r="A986" s="518"/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</row>
    <row r="987" spans="1:57" ht="12.75" customHeight="1">
      <c r="A987" s="518"/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</row>
    <row r="988" spans="1:57" ht="12.75" customHeight="1">
      <c r="A988" s="518"/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</row>
    <row r="989" spans="1:57" ht="12.75" customHeight="1">
      <c r="A989" s="518"/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</row>
    <row r="990" spans="1:57" ht="12.75" customHeight="1">
      <c r="A990" s="518"/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</row>
    <row r="991" spans="1:57" ht="12.75" customHeight="1">
      <c r="A991" s="518"/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</row>
    <row r="992" spans="1:57" ht="12.75" customHeight="1">
      <c r="A992" s="518"/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</row>
    <row r="993" spans="1:57" ht="12.75" customHeight="1">
      <c r="A993" s="518"/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</row>
    <row r="994" spans="1:57" ht="12.75" customHeight="1">
      <c r="A994" s="518"/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</row>
    <row r="995" spans="1:57" ht="12.75" customHeight="1">
      <c r="A995" s="518"/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</row>
    <row r="996" spans="1:57" ht="12.75" customHeight="1">
      <c r="A996" s="518"/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</row>
    <row r="997" spans="1:57" ht="12.75" customHeight="1">
      <c r="A997" s="518"/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</row>
    <row r="998" spans="1:57" ht="12.75" customHeight="1">
      <c r="A998" s="518"/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</row>
    <row r="999" spans="1:57" ht="12.75" customHeight="1">
      <c r="A999" s="518"/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</row>
    <row r="1000" spans="1:57" ht="12.75" customHeight="1">
      <c r="A1000" s="518"/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</row>
    <row r="1001" spans="1:57" ht="12.75" customHeight="1">
      <c r="A1001" s="518"/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</row>
    <row r="1002" spans="1:57" ht="12.75" customHeight="1">
      <c r="A1002" s="518"/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</row>
    <row r="1003" spans="1:57" ht="12.75" customHeight="1">
      <c r="A1003" s="518"/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</row>
    <row r="1004" spans="1:57" ht="12.75" customHeight="1">
      <c r="A1004" s="518"/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</row>
    <row r="1005" spans="1:57" ht="12.75" customHeight="1">
      <c r="A1005" s="518"/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</row>
  </sheetData>
  <mergeCells count="50">
    <mergeCell ref="I4:I5"/>
    <mergeCell ref="C4:C5"/>
    <mergeCell ref="D4:D5"/>
    <mergeCell ref="E4:E5"/>
    <mergeCell ref="F4:F5"/>
    <mergeCell ref="G4:G5"/>
    <mergeCell ref="V4:V5"/>
    <mergeCell ref="J4:J5"/>
    <mergeCell ref="K4:K5"/>
    <mergeCell ref="L4:L5"/>
    <mergeCell ref="M4:M5"/>
    <mergeCell ref="O4:O5"/>
    <mergeCell ref="P4:P5"/>
    <mergeCell ref="Q4:Q5"/>
    <mergeCell ref="R4:R5"/>
    <mergeCell ref="S4:S5"/>
    <mergeCell ref="T4:T5"/>
    <mergeCell ref="U4:U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T4:AT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BA4:BA5"/>
    <mergeCell ref="BB4:BB5"/>
    <mergeCell ref="AU4:AU5"/>
    <mergeCell ref="AV4:AV5"/>
    <mergeCell ref="AW4:AW5"/>
    <mergeCell ref="AX4:AX5"/>
    <mergeCell ref="AY4:AY5"/>
    <mergeCell ref="AZ4:AZ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AAAD-D978-4181-A86B-63B6C8FCE53A}">
  <sheetPr>
    <tabColor rgb="FFCCFFFF"/>
  </sheetPr>
  <dimension ref="A1:BE1005"/>
  <sheetViews>
    <sheetView showGridLines="0" workbookViewId="0">
      <pane xSplit="2" ySplit="5" topLeftCell="C6" activePane="bottomRight" state="frozen"/>
      <selection pane="bottomRight" activeCell="C7" sqref="C7"/>
      <selection pane="bottomLeft" activeCell="A6" sqref="A6"/>
      <selection pane="topRight" activeCell="C1" sqref="C1"/>
    </sheetView>
  </sheetViews>
  <sheetFormatPr defaultColWidth="14.42578125" defaultRowHeight="12.6"/>
  <cols>
    <col min="1" max="1" width="35.42578125" style="519" customWidth="1"/>
    <col min="2" max="2" width="17.5703125" style="519" customWidth="1"/>
    <col min="3" max="34" width="15.5703125" style="519" customWidth="1"/>
    <col min="35" max="35" width="18" style="519" customWidth="1"/>
    <col min="36" max="53" width="15.5703125" style="519" customWidth="1"/>
    <col min="54" max="54" width="16.42578125" style="519" customWidth="1"/>
    <col min="55" max="55" width="15.5703125" style="519" customWidth="1"/>
    <col min="56" max="57" width="13.5703125" style="519" bestFit="1" customWidth="1"/>
    <col min="58" max="16384" width="14.42578125" style="519"/>
  </cols>
  <sheetData>
    <row r="1" spans="1:57" ht="12.75" customHeight="1">
      <c r="A1" s="551" t="s">
        <v>186</v>
      </c>
      <c r="B1" s="973">
        <f>SUM(C7:W7)</f>
        <v>345325322996</v>
      </c>
      <c r="C1" s="977">
        <f>B1-'BS Konsol-Des 24'!Q42</f>
        <v>0</v>
      </c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7"/>
      <c r="AS1" s="517"/>
      <c r="AT1" s="517"/>
      <c r="AU1" s="517"/>
      <c r="AV1" s="517"/>
      <c r="AW1" s="517"/>
      <c r="AX1" s="517"/>
      <c r="AY1" s="517"/>
      <c r="AZ1" s="517"/>
      <c r="BA1" s="517"/>
      <c r="BB1" s="517"/>
      <c r="BC1" s="518"/>
      <c r="BD1" s="518"/>
      <c r="BE1" s="518"/>
    </row>
    <row r="2" spans="1:57" ht="12.75" customHeight="1">
      <c r="A2" s="551" t="s">
        <v>187</v>
      </c>
      <c r="B2" s="551">
        <f>SUM(X7:AL7)</f>
        <v>-236031249226</v>
      </c>
      <c r="C2" s="977">
        <f>B2+'BS Konsol-Des 24'!Q82</f>
        <v>0</v>
      </c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517"/>
      <c r="AK2" s="517"/>
      <c r="AL2" s="517"/>
      <c r="AM2" s="517"/>
      <c r="AN2" s="517"/>
      <c r="AO2" s="517"/>
      <c r="AP2" s="517"/>
      <c r="AQ2" s="517" t="s">
        <v>1536</v>
      </c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8"/>
      <c r="BD2" s="518"/>
      <c r="BE2" s="518"/>
    </row>
    <row r="3" spans="1:57" ht="12.75" customHeight="1">
      <c r="A3" s="551" t="s">
        <v>93</v>
      </c>
      <c r="B3" s="551">
        <f>SUM(AM7:BB7)</f>
        <v>-109294073770</v>
      </c>
      <c r="C3" s="977">
        <f>B3+'BS Konsol-Des 24'!Q107</f>
        <v>0</v>
      </c>
      <c r="D3" s="521"/>
      <c r="E3" s="521"/>
      <c r="F3" s="521"/>
      <c r="G3" s="521"/>
      <c r="H3" s="521"/>
      <c r="I3" s="521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  <c r="AM3" s="517"/>
      <c r="AN3" s="517"/>
      <c r="AO3" s="517"/>
      <c r="AP3" s="517"/>
      <c r="AQ3" s="517"/>
      <c r="AR3" s="517"/>
      <c r="AS3" s="517"/>
      <c r="AT3" s="517"/>
      <c r="AU3" s="517"/>
      <c r="AV3" s="517"/>
      <c r="AW3" s="517"/>
      <c r="AX3" s="517"/>
      <c r="AY3" s="517"/>
      <c r="AZ3" s="517"/>
      <c r="BA3" s="517"/>
      <c r="BB3" s="517"/>
      <c r="BC3" s="518"/>
      <c r="BD3" s="518"/>
      <c r="BE3" s="518"/>
    </row>
    <row r="4" spans="1:57" ht="12.75" customHeight="1">
      <c r="A4" s="522"/>
      <c r="B4" s="522"/>
      <c r="C4" s="2464" t="s">
        <v>188</v>
      </c>
      <c r="D4" s="2464" t="s">
        <v>189</v>
      </c>
      <c r="E4" s="2464" t="s">
        <v>190</v>
      </c>
      <c r="F4" s="2464" t="s">
        <v>191</v>
      </c>
      <c r="G4" s="2464" t="s">
        <v>192</v>
      </c>
      <c r="H4" s="523" t="s">
        <v>193</v>
      </c>
      <c r="I4" s="2464" t="s">
        <v>194</v>
      </c>
      <c r="J4" s="2464" t="s">
        <v>59</v>
      </c>
      <c r="K4" s="2464" t="s">
        <v>195</v>
      </c>
      <c r="L4" s="2464" t="s">
        <v>1537</v>
      </c>
      <c r="M4" s="2464" t="s">
        <v>196</v>
      </c>
      <c r="N4" s="523" t="s">
        <v>197</v>
      </c>
      <c r="O4" s="2475" t="s">
        <v>198</v>
      </c>
      <c r="P4" s="2475" t="s">
        <v>199</v>
      </c>
      <c r="Q4" s="2475" t="s">
        <v>200</v>
      </c>
      <c r="R4" s="2464" t="s">
        <v>201</v>
      </c>
      <c r="S4" s="2464" t="s">
        <v>202</v>
      </c>
      <c r="T4" s="2464" t="s">
        <v>203</v>
      </c>
      <c r="U4" s="2476" t="s">
        <v>204</v>
      </c>
      <c r="V4" s="2464" t="s">
        <v>68</v>
      </c>
      <c r="W4" s="2464" t="s">
        <v>1538</v>
      </c>
      <c r="X4" s="2474" t="s">
        <v>206</v>
      </c>
      <c r="Y4" s="2464" t="s">
        <v>207</v>
      </c>
      <c r="Z4" s="2464" t="s">
        <v>208</v>
      </c>
      <c r="AA4" s="2464" t="s">
        <v>209</v>
      </c>
      <c r="AB4" s="2464" t="s">
        <v>210</v>
      </c>
      <c r="AC4" s="2464" t="s">
        <v>211</v>
      </c>
      <c r="AD4" s="2464" t="s">
        <v>212</v>
      </c>
      <c r="AE4" s="2464" t="s">
        <v>213</v>
      </c>
      <c r="AF4" s="2464" t="s">
        <v>1539</v>
      </c>
      <c r="AG4" s="2464" t="s">
        <v>1528</v>
      </c>
      <c r="AH4" s="2464" t="s">
        <v>216</v>
      </c>
      <c r="AI4" s="2464" t="s">
        <v>217</v>
      </c>
      <c r="AJ4" s="2464" t="s">
        <v>1540</v>
      </c>
      <c r="AK4" s="2464" t="s">
        <v>219</v>
      </c>
      <c r="AL4" s="2471" t="s">
        <v>1541</v>
      </c>
      <c r="AM4" s="2472" t="s">
        <v>94</v>
      </c>
      <c r="AN4" s="2472" t="s">
        <v>95</v>
      </c>
      <c r="AO4" s="2472" t="s">
        <v>220</v>
      </c>
      <c r="AP4" s="2472" t="s">
        <v>221</v>
      </c>
      <c r="AQ4" s="2473" t="s">
        <v>1542</v>
      </c>
      <c r="AR4" s="2378" t="s">
        <v>1543</v>
      </c>
      <c r="AS4" s="2378" t="s">
        <v>1544</v>
      </c>
      <c r="AT4" s="2470" t="s">
        <v>98</v>
      </c>
      <c r="AU4" s="2464" t="s">
        <v>163</v>
      </c>
      <c r="AV4" s="2465" t="s">
        <v>225</v>
      </c>
      <c r="AW4" s="2465" t="s">
        <v>115</v>
      </c>
      <c r="AX4" s="2466" t="s">
        <v>226</v>
      </c>
      <c r="AY4" s="2467" t="s">
        <v>227</v>
      </c>
      <c r="AZ4" s="2468" t="s">
        <v>228</v>
      </c>
      <c r="BA4" s="2462" t="s">
        <v>229</v>
      </c>
      <c r="BB4" s="2463" t="s">
        <v>231</v>
      </c>
      <c r="BC4" s="524"/>
      <c r="BD4" s="518"/>
      <c r="BE4" s="518"/>
    </row>
    <row r="5" spans="1:57" ht="24.75" customHeight="1">
      <c r="A5" s="525"/>
      <c r="B5" s="525"/>
      <c r="C5" s="2504"/>
      <c r="D5" s="2504"/>
      <c r="E5" s="2504"/>
      <c r="F5" s="2504"/>
      <c r="G5" s="2504"/>
      <c r="H5" s="523" t="s">
        <v>87</v>
      </c>
      <c r="I5" s="2504"/>
      <c r="J5" s="2504"/>
      <c r="K5" s="2464"/>
      <c r="L5" s="2464"/>
      <c r="M5" s="2464"/>
      <c r="N5" s="523" t="s">
        <v>232</v>
      </c>
      <c r="O5" s="2504"/>
      <c r="P5" s="2504"/>
      <c r="Q5" s="2504"/>
      <c r="R5" s="2504"/>
      <c r="S5" s="2504"/>
      <c r="T5" s="2504"/>
      <c r="U5" s="2505"/>
      <c r="V5" s="2504"/>
      <c r="W5" s="2464"/>
      <c r="X5" s="2474"/>
      <c r="Y5" s="2464"/>
      <c r="Z5" s="2504"/>
      <c r="AA5" s="2504"/>
      <c r="AB5" s="2504"/>
      <c r="AC5" s="2504"/>
      <c r="AD5" s="2504"/>
      <c r="AE5" s="2504"/>
      <c r="AF5" s="2504"/>
      <c r="AG5" s="2504"/>
      <c r="AH5" s="2504"/>
      <c r="AI5" s="2504"/>
      <c r="AJ5" s="2504"/>
      <c r="AK5" s="2504"/>
      <c r="AL5" s="2506"/>
      <c r="AM5" s="2504"/>
      <c r="AN5" s="2504"/>
      <c r="AO5" s="2504"/>
      <c r="AP5" s="2504"/>
      <c r="AQ5" s="2507"/>
      <c r="AR5" s="2379"/>
      <c r="AS5" s="2379"/>
      <c r="AT5" s="2504"/>
      <c r="AU5" s="2504"/>
      <c r="AV5" s="2504"/>
      <c r="AW5" s="2504"/>
      <c r="AX5" s="2504"/>
      <c r="AY5" s="2504"/>
      <c r="AZ5" s="2469"/>
      <c r="BA5" s="2504"/>
      <c r="BB5" s="2504"/>
      <c r="BC5" s="518"/>
      <c r="BD5" s="518"/>
      <c r="BE5" s="518"/>
    </row>
    <row r="6" spans="1:57" ht="12.75" customHeight="1">
      <c r="A6" s="525"/>
      <c r="B6" s="526"/>
      <c r="C6" s="527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28"/>
      <c r="U6" s="528"/>
      <c r="V6" s="528"/>
      <c r="W6" s="528"/>
      <c r="X6" s="528"/>
      <c r="Y6" s="528"/>
      <c r="Z6" s="528"/>
      <c r="AA6" s="528"/>
      <c r="AB6" s="528"/>
      <c r="AC6" s="528"/>
      <c r="AD6" s="528"/>
      <c r="AE6" s="528"/>
      <c r="AF6" s="528"/>
      <c r="AG6" s="528"/>
      <c r="AH6" s="528"/>
      <c r="AI6" s="528"/>
      <c r="AJ6" s="528"/>
      <c r="AK6" s="528"/>
      <c r="AL6" s="528"/>
      <c r="AM6" s="528"/>
      <c r="AN6" s="528"/>
      <c r="AO6" s="528"/>
      <c r="AP6" s="528"/>
      <c r="AQ6" s="528"/>
      <c r="AR6" s="528"/>
      <c r="AS6" s="528"/>
      <c r="AT6" s="581"/>
      <c r="AU6" s="581"/>
      <c r="AV6" s="581"/>
      <c r="AW6" s="581"/>
      <c r="AX6" s="582"/>
      <c r="AY6" s="582"/>
      <c r="AZ6" s="582"/>
      <c r="BA6" s="582"/>
      <c r="BB6" s="582"/>
      <c r="BC6" s="518"/>
      <c r="BD6" s="518"/>
      <c r="BE6" s="515"/>
    </row>
    <row r="7" spans="1:57" ht="12.75" customHeight="1">
      <c r="A7" s="529"/>
      <c r="B7" s="526">
        <v>45291</v>
      </c>
      <c r="C7" s="530">
        <f>'BS Konsol-Des 24'!Q11</f>
        <v>2570121355</v>
      </c>
      <c r="D7" s="530">
        <f>'BS Konsol-Des 24'!Q14</f>
        <v>19981020112</v>
      </c>
      <c r="E7" s="530">
        <f>'BS Konsol-Des 24'!Q13</f>
        <v>211054410</v>
      </c>
      <c r="F7" s="530"/>
      <c r="G7" s="530"/>
      <c r="H7" s="530">
        <f>'BS Konsol-Des 24'!Q28</f>
        <v>7022707423</v>
      </c>
      <c r="I7" s="530">
        <f>'BS Konsol-Des 24'!Q15</f>
        <v>510634104</v>
      </c>
      <c r="J7" s="530">
        <f>'BS Konsol-Des 24'!Q16</f>
        <v>218071396362</v>
      </c>
      <c r="K7" s="530"/>
      <c r="L7" s="530">
        <v>0</v>
      </c>
      <c r="M7" s="530">
        <f>'BS Konsol-Des 24'!Q18</f>
        <v>9663458887</v>
      </c>
      <c r="N7" s="530">
        <v>0</v>
      </c>
      <c r="O7" s="530"/>
      <c r="P7" s="530"/>
      <c r="Q7" s="530"/>
      <c r="R7" s="530">
        <f>'BS Konsol-Des 24'!Q17+'BS Konsol-Des 24'!Q29</f>
        <v>76528823968</v>
      </c>
      <c r="S7" s="530">
        <f>'BS Konsol-Des 24'!Q20</f>
        <v>1104447053</v>
      </c>
      <c r="T7" s="530"/>
      <c r="U7" s="530">
        <f>'BS Konsol-Des 24'!Q33</f>
        <v>7871477182</v>
      </c>
      <c r="V7" s="530">
        <f>'BS Konsol-Des 24'!Q37</f>
        <v>1790182140</v>
      </c>
      <c r="W7" s="530"/>
      <c r="X7" s="530">
        <f>-'BS Konsol-Des 24'!Q55</f>
        <v>-195441714689</v>
      </c>
      <c r="Y7" s="530">
        <f>-'BS Konsol-Des 24'!Q64</f>
        <v>-3807894064</v>
      </c>
      <c r="Z7" s="530">
        <v>0</v>
      </c>
      <c r="AA7" s="531">
        <f>-'BS Konsol-Des 24'!Q52</f>
        <v>-20407901137</v>
      </c>
      <c r="AB7" s="530"/>
      <c r="AC7" s="530">
        <f>-'BS Konsol-Des 24'!Q56</f>
        <v>-2870843989</v>
      </c>
      <c r="AD7" s="530">
        <f>-'BS Konsol-Des 24'!Q72</f>
        <v>-41000000</v>
      </c>
      <c r="AE7" s="531">
        <f>-'BS Konsol-Des 24'!Q71</f>
        <v>-595676695</v>
      </c>
      <c r="AF7" s="530">
        <f>-'BS Konsol-Des 24'!Q63</f>
        <v>-624277457</v>
      </c>
      <c r="AG7" s="530">
        <f>-'BS Konsol-Des 24'!Q74-'BS Konsol-Des 24'!Q61</f>
        <v>-76360023</v>
      </c>
      <c r="AH7" s="530">
        <f>-'BS Konsol-Des 24'!Q73</f>
        <v>0</v>
      </c>
      <c r="AI7" s="530">
        <f>-'BS Konsol-Des 24'!Q57</f>
        <v>-2863697915</v>
      </c>
      <c r="AJ7" s="530"/>
      <c r="AK7" s="530">
        <f>-'BS Konsol-Des 24'!Q76</f>
        <v>-9301883257</v>
      </c>
      <c r="AL7" s="530">
        <f>-'BS Konsol-Des 24'!Q75</f>
        <v>0</v>
      </c>
      <c r="AM7" s="532">
        <f>-'BS Konsol-Des 24'!Q98</f>
        <v>-40000000000</v>
      </c>
      <c r="AN7" s="532">
        <f>-'BS Konsol-Des 24'!Q99</f>
        <v>-49739416785</v>
      </c>
      <c r="AO7" s="532">
        <v>0</v>
      </c>
      <c r="AP7" s="532">
        <f>-'BS Konsol-Des 24'!Q102</f>
        <v>377072852</v>
      </c>
      <c r="AQ7" s="533">
        <f>AQ8</f>
        <v>0</v>
      </c>
      <c r="AR7" s="533">
        <f>-'BS Konsol-Des 24'!Q104</f>
        <v>-410000000</v>
      </c>
      <c r="AS7" s="1042">
        <v>452949031</v>
      </c>
      <c r="AT7" s="533">
        <f>AT8</f>
        <v>-18237502879</v>
      </c>
      <c r="AU7" s="532">
        <f>-'PL Konsol'!O11</f>
        <v>-199222794205</v>
      </c>
      <c r="AV7" s="532">
        <f>-'PL Konsol'!O12</f>
        <v>134214335812</v>
      </c>
      <c r="AW7" s="532">
        <f>-'PL Konsol'!O16</f>
        <v>17958725423</v>
      </c>
      <c r="AX7" s="532">
        <f>-'PL Konsol'!O17</f>
        <v>27733745691</v>
      </c>
      <c r="AY7" s="532">
        <f>-'PL Konsol'!O18</f>
        <v>1084534135</v>
      </c>
      <c r="AZ7" s="532">
        <f>-'PL Konsol'!O19</f>
        <v>15677499788</v>
      </c>
      <c r="BA7" s="532">
        <f>-'PL Konsol'!O25-'PL Konsol'!O26</f>
        <v>808501955</v>
      </c>
      <c r="BB7" s="534">
        <f>-'PL Konsol'!O41-'PL Konsol'!O42</f>
        <v>8275412</v>
      </c>
      <c r="BC7" s="515">
        <f>SUM(C7:BB7)</f>
        <v>0</v>
      </c>
      <c r="BD7" s="535"/>
      <c r="BE7" s="536">
        <f>BC7/2</f>
        <v>0</v>
      </c>
    </row>
    <row r="8" spans="1:57" ht="12.75" customHeight="1">
      <c r="A8" s="529"/>
      <c r="B8" s="583">
        <v>44926</v>
      </c>
      <c r="C8" s="537">
        <f>'BS Konsol'!N11</f>
        <v>4920468963</v>
      </c>
      <c r="D8" s="537">
        <f>'BS Konsol'!N14</f>
        <v>53102808880</v>
      </c>
      <c r="E8" s="537">
        <f>'BS Konsol'!N13</f>
        <v>1729176327</v>
      </c>
      <c r="F8" s="537"/>
      <c r="G8" s="537"/>
      <c r="H8" s="537">
        <f>'BS Konsol'!N26</f>
        <v>7197443207</v>
      </c>
      <c r="I8" s="537">
        <f>'BS Konsol'!N16</f>
        <v>549732399</v>
      </c>
      <c r="J8" s="537">
        <f>'BS Konsol'!N17</f>
        <v>137179893500</v>
      </c>
      <c r="K8" s="537"/>
      <c r="L8" s="537">
        <v>0</v>
      </c>
      <c r="M8" s="537">
        <f>'BS Konsol'!N19</f>
        <v>8035438770</v>
      </c>
      <c r="N8" s="537">
        <f>'[194]BS Konsol'!Q23</f>
        <v>0</v>
      </c>
      <c r="O8" s="537"/>
      <c r="P8" s="537"/>
      <c r="Q8" s="537"/>
      <c r="R8" s="537">
        <f>'BS Konsol'!N34+'BS Konsol'!N18</f>
        <v>84899538624</v>
      </c>
      <c r="S8" s="537">
        <f>'BS Konsol'!N20</f>
        <v>349309986</v>
      </c>
      <c r="T8" s="537"/>
      <c r="U8" s="537">
        <f>'BS Konsol'!N43</f>
        <v>8186336269</v>
      </c>
      <c r="V8" s="537">
        <f>'BS Konsol'!N45</f>
        <v>1508277305</v>
      </c>
      <c r="W8" s="537"/>
      <c r="X8" s="537">
        <f>-'BS Konsol'!N61</f>
        <v>-155339616431</v>
      </c>
      <c r="Y8" s="537">
        <f>-'BS Konsol'!N69</f>
        <v>-3403633332</v>
      </c>
      <c r="Z8" s="537">
        <v>0</v>
      </c>
      <c r="AA8" s="538">
        <f>-'BS Konsol'!N58</f>
        <v>-12347357380</v>
      </c>
      <c r="AB8" s="537"/>
      <c r="AC8" s="537">
        <f>-'BS Konsol'!N62</f>
        <v>-5031429971</v>
      </c>
      <c r="AD8" s="537">
        <f>-'BS Konsol'!N77</f>
        <v>-41000000</v>
      </c>
      <c r="AE8" s="538">
        <f>-'BS Konsol'!N76</f>
        <v>-533174595</v>
      </c>
      <c r="AF8" s="537">
        <f>-'BS Konsol'!N68</f>
        <v>-3539216266</v>
      </c>
      <c r="AG8" s="537">
        <f>-'BS Konsol'!N79-'BS Konsol'!N66</f>
        <v>-143835319</v>
      </c>
      <c r="AH8" s="537">
        <f>-'BS Konsol'!N78</f>
        <v>-8526229378</v>
      </c>
      <c r="AI8" s="537">
        <f>-'BS Konsol'!N63</f>
        <v>-2152621331</v>
      </c>
      <c r="AJ8" s="537"/>
      <c r="AK8" s="537">
        <f>-'BS Konsol'!N81</f>
        <v>-8419134989</v>
      </c>
      <c r="AL8" s="537">
        <f>-'BS Konsol'!N80</f>
        <v>-624277457</v>
      </c>
      <c r="AM8" s="539">
        <f>-'BS Konsol'!N97</f>
        <v>-40000000000</v>
      </c>
      <c r="AN8" s="539">
        <f>-'BS Konsol'!N99</f>
        <v>-25871690669</v>
      </c>
      <c r="AO8" s="539">
        <v>0</v>
      </c>
      <c r="AP8" s="539">
        <f>-'BS Konsol'!N102</f>
        <v>368797440</v>
      </c>
      <c r="AQ8" s="537"/>
      <c r="AR8" s="537">
        <f>-'BS Konsol'!N104</f>
        <v>-410000000</v>
      </c>
      <c r="AS8" s="537">
        <f>-'BS Konsol'!N100</f>
        <v>-23406501672.86277</v>
      </c>
      <c r="AT8" s="537">
        <f>-'BS Konsol'!N105</f>
        <v>-18237502879</v>
      </c>
      <c r="AU8" s="539"/>
      <c r="AV8" s="539"/>
      <c r="AW8" s="539"/>
      <c r="AX8" s="539"/>
      <c r="AY8" s="539"/>
      <c r="AZ8" s="539"/>
      <c r="BA8" s="539"/>
      <c r="BB8" s="539"/>
      <c r="BC8" s="515">
        <f>SUM(C8:BB8)</f>
        <v>0.13722991943359375</v>
      </c>
      <c r="BD8" s="535"/>
      <c r="BE8" s="536"/>
    </row>
    <row r="9" spans="1:57" ht="12.75" customHeight="1">
      <c r="A9" s="525"/>
      <c r="B9" s="540" t="s">
        <v>233</v>
      </c>
      <c r="C9" s="541">
        <f>C7-C8</f>
        <v>-2350347608</v>
      </c>
      <c r="D9" s="541">
        <f t="shared" ref="D9:N9" si="0">D7-D8</f>
        <v>-33121788768</v>
      </c>
      <c r="E9" s="541">
        <f t="shared" si="0"/>
        <v>-1518121917</v>
      </c>
      <c r="F9" s="541">
        <f t="shared" si="0"/>
        <v>0</v>
      </c>
      <c r="G9" s="541">
        <f t="shared" si="0"/>
        <v>0</v>
      </c>
      <c r="H9" s="541">
        <f>H7-H8</f>
        <v>-174735784</v>
      </c>
      <c r="I9" s="541">
        <f>I7-I8</f>
        <v>-39098295</v>
      </c>
      <c r="J9" s="541">
        <f t="shared" si="0"/>
        <v>80891502862</v>
      </c>
      <c r="K9" s="541">
        <f t="shared" si="0"/>
        <v>0</v>
      </c>
      <c r="L9" s="541">
        <f t="shared" si="0"/>
        <v>0</v>
      </c>
      <c r="M9" s="541">
        <f>M7-M8</f>
        <v>1628020117</v>
      </c>
      <c r="N9" s="541">
        <f t="shared" si="0"/>
        <v>0</v>
      </c>
      <c r="O9" s="541"/>
      <c r="P9" s="541">
        <f t="shared" ref="P9:AP9" si="1">P7-P8</f>
        <v>0</v>
      </c>
      <c r="Q9" s="541">
        <f t="shared" si="1"/>
        <v>0</v>
      </c>
      <c r="R9" s="541">
        <f t="shared" si="1"/>
        <v>-8370714656</v>
      </c>
      <c r="S9" s="541">
        <f>S7-S8</f>
        <v>755137067</v>
      </c>
      <c r="T9" s="541">
        <f t="shared" si="1"/>
        <v>0</v>
      </c>
      <c r="U9" s="541">
        <f t="shared" si="1"/>
        <v>-314859087</v>
      </c>
      <c r="V9" s="541">
        <f t="shared" si="1"/>
        <v>281904835</v>
      </c>
      <c r="W9" s="541">
        <f t="shared" si="1"/>
        <v>0</v>
      </c>
      <c r="X9" s="541">
        <f t="shared" si="1"/>
        <v>-40102098258</v>
      </c>
      <c r="Y9" s="541">
        <f t="shared" si="1"/>
        <v>-404260732</v>
      </c>
      <c r="Z9" s="541">
        <f t="shared" si="1"/>
        <v>0</v>
      </c>
      <c r="AA9" s="541">
        <f t="shared" si="1"/>
        <v>-8060543757</v>
      </c>
      <c r="AB9" s="541">
        <f t="shared" si="1"/>
        <v>0</v>
      </c>
      <c r="AC9" s="541">
        <f t="shared" si="1"/>
        <v>2160585982</v>
      </c>
      <c r="AD9" s="541">
        <f t="shared" si="1"/>
        <v>0</v>
      </c>
      <c r="AE9" s="541">
        <f t="shared" si="1"/>
        <v>-62502100</v>
      </c>
      <c r="AF9" s="541">
        <f t="shared" si="1"/>
        <v>2914938809</v>
      </c>
      <c r="AG9" s="541">
        <f t="shared" si="1"/>
        <v>67475296</v>
      </c>
      <c r="AH9" s="541">
        <f t="shared" si="1"/>
        <v>8526229378</v>
      </c>
      <c r="AI9" s="541">
        <f t="shared" si="1"/>
        <v>-711076584</v>
      </c>
      <c r="AJ9" s="541">
        <f t="shared" si="1"/>
        <v>0</v>
      </c>
      <c r="AK9" s="541">
        <f t="shared" si="1"/>
        <v>-882748268</v>
      </c>
      <c r="AL9" s="541">
        <f t="shared" si="1"/>
        <v>624277457</v>
      </c>
      <c r="AM9" s="541">
        <f t="shared" si="1"/>
        <v>0</v>
      </c>
      <c r="AN9" s="541">
        <f t="shared" si="1"/>
        <v>-23867726116</v>
      </c>
      <c r="AO9" s="541">
        <f t="shared" si="1"/>
        <v>0</v>
      </c>
      <c r="AP9" s="541">
        <f t="shared" si="1"/>
        <v>8275412</v>
      </c>
      <c r="AQ9" s="541"/>
      <c r="AR9" s="541">
        <f t="shared" ref="AR9:AZ9" si="2">AR7-AR8</f>
        <v>0</v>
      </c>
      <c r="AS9" s="541">
        <f t="shared" si="2"/>
        <v>23859450703.86277</v>
      </c>
      <c r="AT9" s="541">
        <f t="shared" si="2"/>
        <v>0</v>
      </c>
      <c r="AU9" s="541">
        <f t="shared" si="2"/>
        <v>-199222794205</v>
      </c>
      <c r="AV9" s="541">
        <f t="shared" si="2"/>
        <v>134214335812</v>
      </c>
      <c r="AW9" s="541">
        <f t="shared" si="2"/>
        <v>17958725423</v>
      </c>
      <c r="AX9" s="541">
        <f t="shared" si="2"/>
        <v>27733745691</v>
      </c>
      <c r="AY9" s="541">
        <f t="shared" si="2"/>
        <v>1084534135</v>
      </c>
      <c r="AZ9" s="541">
        <f t="shared" si="2"/>
        <v>15677499788</v>
      </c>
      <c r="BA9" s="541">
        <f>BA7-BA8</f>
        <v>808501955</v>
      </c>
      <c r="BB9" s="541">
        <f>BB7-BB8</f>
        <v>8275412</v>
      </c>
      <c r="BC9" s="515">
        <f>SUM(C9:BB9)</f>
        <v>-0.137237548828125</v>
      </c>
      <c r="BD9" s="542">
        <f>BC9/2</f>
        <v>-6.86187744140625E-2</v>
      </c>
      <c r="BE9" s="520">
        <f>BC9*2</f>
        <v>-0.27447509765625</v>
      </c>
    </row>
    <row r="10" spans="1:57" ht="12.75" customHeight="1">
      <c r="A10" s="543"/>
      <c r="B10" s="544" t="s">
        <v>234</v>
      </c>
      <c r="C10" s="518"/>
      <c r="D10" s="518"/>
      <c r="E10" s="518"/>
      <c r="F10" s="518"/>
      <c r="G10" s="518"/>
      <c r="H10" s="518"/>
      <c r="I10" s="518"/>
      <c r="J10" s="518"/>
      <c r="K10" s="518"/>
      <c r="L10" s="518"/>
      <c r="M10" s="518"/>
      <c r="N10" s="518"/>
      <c r="O10" s="518"/>
      <c r="P10" s="518"/>
      <c r="Q10" s="518"/>
      <c r="R10" s="518"/>
      <c r="S10" s="518"/>
      <c r="T10" s="518"/>
      <c r="U10" s="518"/>
      <c r="V10" s="518"/>
      <c r="W10" s="518"/>
      <c r="X10" s="518"/>
      <c r="Y10" s="518"/>
      <c r="Z10" s="518"/>
      <c r="AA10" s="518"/>
      <c r="AB10" s="518"/>
      <c r="AC10" s="518"/>
      <c r="AD10" s="518"/>
      <c r="AE10" s="518"/>
      <c r="AF10" s="518"/>
      <c r="AG10" s="518"/>
      <c r="AH10" s="518"/>
      <c r="AI10" s="518"/>
      <c r="AJ10" s="518"/>
      <c r="AK10" s="518"/>
      <c r="AL10" s="518"/>
      <c r="AM10" s="518"/>
      <c r="AN10" s="518"/>
      <c r="AO10" s="518"/>
      <c r="AP10" s="515"/>
      <c r="AQ10" s="518"/>
      <c r="AR10" s="518"/>
      <c r="AS10" s="518"/>
      <c r="AT10" s="518"/>
      <c r="AU10" s="518"/>
      <c r="AV10" s="518"/>
      <c r="AW10" s="518"/>
      <c r="AX10" s="518"/>
      <c r="AY10" s="518"/>
      <c r="AZ10" s="518"/>
      <c r="BA10" s="518"/>
      <c r="BB10" s="518"/>
      <c r="BC10" s="515"/>
      <c r="BD10" s="518"/>
      <c r="BE10" s="518"/>
    </row>
    <row r="11" spans="1:57" ht="12.75" customHeight="1">
      <c r="A11" s="545" t="s">
        <v>235</v>
      </c>
      <c r="B11" s="546"/>
      <c r="C11" s="547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  <c r="O11" s="515"/>
      <c r="P11" s="515"/>
      <c r="Q11" s="515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8"/>
      <c r="AH11" s="518"/>
      <c r="AI11" s="518"/>
      <c r="AJ11" s="518"/>
      <c r="AK11" s="518"/>
      <c r="AL11" s="518"/>
      <c r="AM11" s="518"/>
      <c r="AN11" s="518"/>
      <c r="AO11" s="518"/>
      <c r="AP11" s="515"/>
      <c r="AQ11" s="515"/>
      <c r="AR11" s="515"/>
      <c r="AS11" s="515"/>
      <c r="AT11" s="515"/>
      <c r="AU11" s="518"/>
      <c r="AV11" s="518"/>
      <c r="AW11" s="518"/>
      <c r="AX11" s="518"/>
      <c r="AY11" s="518"/>
      <c r="AZ11" s="518"/>
      <c r="BA11" s="518"/>
      <c r="BB11" s="518"/>
      <c r="BC11" s="515"/>
      <c r="BD11" s="518"/>
      <c r="BE11" s="518"/>
    </row>
    <row r="12" spans="1:57" ht="12.75" customHeight="1">
      <c r="A12" s="548" t="s">
        <v>236</v>
      </c>
      <c r="B12" s="584">
        <f>SUM(D12:BB12)</f>
        <v>233862704890</v>
      </c>
      <c r="C12" s="547"/>
      <c r="D12" s="550">
        <f>-D9</f>
        <v>33121788768</v>
      </c>
      <c r="E12" s="550">
        <f>-E9</f>
        <v>1518121917</v>
      </c>
      <c r="F12" s="550">
        <f>-F9</f>
        <v>0</v>
      </c>
      <c r="G12" s="550"/>
      <c r="H12" s="550"/>
      <c r="I12" s="550"/>
      <c r="J12" s="550"/>
      <c r="K12" s="550"/>
      <c r="L12" s="550"/>
      <c r="M12" s="550"/>
      <c r="N12" s="550"/>
      <c r="O12" s="550"/>
      <c r="P12" s="550"/>
      <c r="Q12" s="550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5">
        <f>-AB9</f>
        <v>0</v>
      </c>
      <c r="AC12" s="515"/>
      <c r="AD12" s="550"/>
      <c r="AE12" s="550"/>
      <c r="AF12" s="550"/>
      <c r="AG12" s="550"/>
      <c r="AH12" s="550"/>
      <c r="AI12" s="518"/>
      <c r="AJ12" s="518"/>
      <c r="AK12" s="518"/>
      <c r="AL12" s="518"/>
      <c r="AM12" s="515"/>
      <c r="AN12" s="518"/>
      <c r="AO12" s="518"/>
      <c r="AP12" s="518"/>
      <c r="AQ12" s="518"/>
      <c r="AR12" s="518"/>
      <c r="AS12" s="518"/>
      <c r="AT12" s="518"/>
      <c r="AU12" s="550">
        <f>-AU9</f>
        <v>199222794205</v>
      </c>
      <c r="AV12" s="518"/>
      <c r="AW12" s="518"/>
      <c r="AX12" s="518"/>
      <c r="AY12" s="550"/>
      <c r="AZ12" s="550"/>
      <c r="BA12" s="515"/>
      <c r="BB12" s="518"/>
      <c r="BC12" s="551"/>
      <c r="BD12" s="518"/>
      <c r="BE12" s="518"/>
    </row>
    <row r="13" spans="1:57" ht="12.75" customHeight="1">
      <c r="A13" s="548" t="s">
        <v>237</v>
      </c>
      <c r="B13" s="584">
        <f t="shared" ref="B13:B21" si="3">SUM(D13:BB13)</f>
        <v>-201415534057</v>
      </c>
      <c r="C13" s="547"/>
      <c r="D13" s="518"/>
      <c r="E13" s="518"/>
      <c r="F13" s="518"/>
      <c r="G13" s="518"/>
      <c r="H13" s="552">
        <f>-H9</f>
        <v>174735784</v>
      </c>
      <c r="I13" s="553">
        <f>-I9</f>
        <v>39098295</v>
      </c>
      <c r="J13" s="553">
        <f>-J9</f>
        <v>-80891502862</v>
      </c>
      <c r="K13" s="553">
        <f t="shared" ref="K13:L13" si="4">-K9</f>
        <v>0</v>
      </c>
      <c r="L13" s="553">
        <f t="shared" si="4"/>
        <v>0</v>
      </c>
      <c r="M13" s="553"/>
      <c r="N13" s="553">
        <f>-N9</f>
        <v>0</v>
      </c>
      <c r="O13" s="553"/>
      <c r="P13" s="553">
        <f>-P9</f>
        <v>0</v>
      </c>
      <c r="Q13" s="553">
        <f>-Q9</f>
        <v>0</v>
      </c>
      <c r="R13" s="515"/>
      <c r="S13" s="568">
        <f>-S9</f>
        <v>-755137067</v>
      </c>
      <c r="T13" s="515"/>
      <c r="U13" s="515"/>
      <c r="V13" s="515"/>
      <c r="W13" s="515">
        <f>-W9</f>
        <v>0</v>
      </c>
      <c r="X13" s="515"/>
      <c r="Y13" s="515"/>
      <c r="Z13" s="553">
        <f>-Z9</f>
        <v>0</v>
      </c>
      <c r="AA13" s="553">
        <f>-AA9</f>
        <v>8060543757</v>
      </c>
      <c r="AB13" s="553"/>
      <c r="AC13" s="553">
        <f>-AC9</f>
        <v>-2160585982</v>
      </c>
      <c r="AF13" s="553"/>
      <c r="AG13" s="553">
        <f>-AG9</f>
        <v>-67475296</v>
      </c>
      <c r="AH13" s="515"/>
      <c r="AI13" s="553"/>
      <c r="AJ13" s="553"/>
      <c r="AK13" s="553"/>
      <c r="AL13" s="553"/>
      <c r="AM13" s="553"/>
      <c r="AN13" s="515"/>
      <c r="AO13" s="515"/>
      <c r="AP13" s="515">
        <f>-AP9-AP29</f>
        <v>-8275412</v>
      </c>
      <c r="AQ13" s="515"/>
      <c r="AR13" s="515"/>
      <c r="AS13" s="515"/>
      <c r="AT13" s="515"/>
      <c r="AU13" s="515"/>
      <c r="AV13" s="553">
        <f>-AV9-AV14-AV15</f>
        <v>-116565170978</v>
      </c>
      <c r="AW13" s="554"/>
      <c r="AX13" s="553">
        <f>-AX9-AX14-AX15</f>
        <v>-9233488884</v>
      </c>
      <c r="AY13" s="553"/>
      <c r="AZ13" s="553"/>
      <c r="BA13" s="551"/>
      <c r="BB13" s="515">
        <f>-BB9</f>
        <v>-8275412</v>
      </c>
      <c r="BC13" s="551"/>
      <c r="BD13" s="518"/>
      <c r="BE13" s="518"/>
    </row>
    <row r="14" spans="1:57" ht="12.75" customHeight="1">
      <c r="A14" s="548" t="s">
        <v>238</v>
      </c>
      <c r="B14" s="584">
        <f t="shared" si="3"/>
        <v>-32277935873</v>
      </c>
      <c r="C14" s="555"/>
      <c r="D14" s="518"/>
      <c r="E14" s="518"/>
      <c r="F14" s="518"/>
      <c r="G14" s="515">
        <f>-G9</f>
        <v>0</v>
      </c>
      <c r="H14" s="515"/>
      <c r="I14" s="518"/>
      <c r="J14" s="518"/>
      <c r="K14" s="518"/>
      <c r="L14" s="518"/>
      <c r="M14" s="518"/>
      <c r="N14" s="518"/>
      <c r="O14" s="518"/>
      <c r="P14" s="518"/>
      <c r="Q14" s="518"/>
      <c r="R14" s="515"/>
      <c r="S14" s="515"/>
      <c r="T14" s="515"/>
      <c r="U14" s="515"/>
      <c r="V14" s="515"/>
      <c r="W14" s="515"/>
      <c r="X14" s="515"/>
      <c r="Y14" s="515"/>
      <c r="Z14" s="553"/>
      <c r="AA14" s="553"/>
      <c r="AB14" s="553"/>
      <c r="AC14" s="553"/>
      <c r="AD14" s="518"/>
      <c r="AE14" s="518"/>
      <c r="AF14" s="518"/>
      <c r="AG14" s="518"/>
      <c r="AH14" s="515"/>
      <c r="AI14" s="553"/>
      <c r="AJ14" s="553"/>
      <c r="AK14" s="556"/>
      <c r="AL14" s="556"/>
      <c r="AM14" s="515"/>
      <c r="AN14" s="515"/>
      <c r="AO14" s="515"/>
      <c r="AP14" s="515"/>
      <c r="AQ14" s="515"/>
      <c r="AR14" s="515"/>
      <c r="AS14" s="515"/>
      <c r="AT14" s="515"/>
      <c r="AU14" s="515"/>
      <c r="AV14" s="553">
        <f>-(SUM('WS Konsol'!AI609:AI614)+'WS Konsol'!AI617+'WS Konsol'!AI620)</f>
        <v>-15259246308</v>
      </c>
      <c r="AW14" s="554"/>
      <c r="AX14" s="553">
        <f>-'WS Konsol'!AL665</f>
        <v>-17018689565</v>
      </c>
      <c r="AY14" s="515"/>
      <c r="AZ14" s="515"/>
      <c r="BA14" s="518"/>
      <c r="BB14" s="518"/>
      <c r="BC14" s="551"/>
      <c r="BD14" s="518"/>
      <c r="BE14" s="518"/>
    </row>
    <row r="15" spans="1:57" ht="12.75" customHeight="1">
      <c r="A15" s="548" t="s">
        <v>239</v>
      </c>
      <c r="B15" s="584">
        <f t="shared" si="3"/>
        <v>-53929443676.86277</v>
      </c>
      <c r="C15" s="555"/>
      <c r="D15" s="518"/>
      <c r="E15" s="518"/>
      <c r="F15" s="518"/>
      <c r="G15" s="515"/>
      <c r="H15" s="515"/>
      <c r="I15" s="518"/>
      <c r="J15" s="518"/>
      <c r="K15" s="518"/>
      <c r="L15" s="518"/>
      <c r="M15" s="515">
        <f>-M9</f>
        <v>-1628020117</v>
      </c>
      <c r="N15" s="518"/>
      <c r="O15" s="518"/>
      <c r="P15" s="518"/>
      <c r="Q15" s="518"/>
      <c r="R15" s="515">
        <f>-R9-R28</f>
        <v>8519829656</v>
      </c>
      <c r="S15" s="515"/>
      <c r="T15" s="515"/>
      <c r="U15" s="515">
        <f>-U9</f>
        <v>314859087</v>
      </c>
      <c r="V15" s="515">
        <f>-V9</f>
        <v>-281904835</v>
      </c>
      <c r="W15" s="515"/>
      <c r="X15" s="515">
        <f>-X9-X37-X38</f>
        <v>-41205626386</v>
      </c>
      <c r="Y15" s="515"/>
      <c r="Z15" s="553"/>
      <c r="AA15" s="553"/>
      <c r="AB15" s="553"/>
      <c r="AC15" s="553"/>
      <c r="AD15" s="518"/>
      <c r="AE15" s="518"/>
      <c r="AF15" s="518"/>
      <c r="AG15" s="518"/>
      <c r="AH15" s="515"/>
      <c r="AI15" s="515">
        <f>-AI9-AI21</f>
        <v>3492669907</v>
      </c>
      <c r="AJ15" s="553"/>
      <c r="AK15" s="553">
        <f>-AK9</f>
        <v>882748268</v>
      </c>
      <c r="AL15" s="553"/>
      <c r="AM15" s="515"/>
      <c r="AN15" s="515">
        <f>-AN9</f>
        <v>23867726116</v>
      </c>
      <c r="AO15" s="515"/>
      <c r="AP15" s="515"/>
      <c r="AQ15" s="515"/>
      <c r="AR15" s="515"/>
      <c r="AS15" s="515">
        <f>-AS9</f>
        <v>-23859450703.86277</v>
      </c>
      <c r="AT15" s="515"/>
      <c r="AU15" s="515"/>
      <c r="AV15" s="553">
        <f>-'WS Konsol'!AI623-'WS Konsol'!AI619</f>
        <v>-2389918526</v>
      </c>
      <c r="AW15" s="554">
        <f>-AW9</f>
        <v>-17958725423</v>
      </c>
      <c r="AX15" s="553">
        <f>-SUM('WS Konsol'!AI707:AI718)</f>
        <v>-1481567242</v>
      </c>
      <c r="AY15" s="515">
        <f>-AY9</f>
        <v>-1084534135</v>
      </c>
      <c r="AZ15" s="1044">
        <f>-AZ9-AZ20</f>
        <v>-309027388</v>
      </c>
      <c r="BA15" s="515">
        <f>-BA9</f>
        <v>-808501955</v>
      </c>
      <c r="BB15" s="518"/>
      <c r="BC15" s="551"/>
      <c r="BD15" s="518"/>
      <c r="BE15" s="518"/>
    </row>
    <row r="16" spans="1:57" ht="12.75" customHeight="1">
      <c r="A16" s="548" t="s">
        <v>240</v>
      </c>
      <c r="B16" s="584">
        <f t="shared" si="3"/>
        <v>0</v>
      </c>
      <c r="C16" s="547"/>
      <c r="D16" s="518"/>
      <c r="E16" s="518"/>
      <c r="F16" s="518"/>
      <c r="G16" s="518"/>
      <c r="H16" s="518"/>
      <c r="I16" s="518"/>
      <c r="J16" s="518"/>
      <c r="K16" s="518"/>
      <c r="L16" s="518"/>
      <c r="M16" s="518"/>
      <c r="N16" s="518"/>
      <c r="O16" s="518"/>
      <c r="P16" s="518"/>
      <c r="Q16" s="518"/>
      <c r="R16" s="515"/>
      <c r="S16" s="515"/>
      <c r="T16" s="515"/>
      <c r="U16" s="515"/>
      <c r="V16" s="515"/>
      <c r="W16" s="515"/>
      <c r="X16" s="515"/>
      <c r="Y16" s="515"/>
      <c r="Z16" s="553"/>
      <c r="AA16" s="553"/>
      <c r="AB16" s="553"/>
      <c r="AC16" s="553"/>
      <c r="AD16" s="518"/>
      <c r="AE16" s="518"/>
      <c r="AF16" s="518"/>
      <c r="AG16" s="518"/>
      <c r="AH16" s="515"/>
      <c r="AI16" s="553"/>
      <c r="AJ16" s="553"/>
      <c r="AK16" s="553"/>
      <c r="AL16" s="553"/>
      <c r="AM16" s="515"/>
      <c r="AN16" s="515"/>
      <c r="AO16" s="515"/>
      <c r="AP16" s="515"/>
      <c r="AQ16" s="515"/>
      <c r="AR16" s="515"/>
      <c r="AS16" s="515"/>
      <c r="AT16" s="515"/>
      <c r="AU16" s="515"/>
      <c r="AV16" s="554"/>
      <c r="AW16" s="554"/>
      <c r="AX16" s="557"/>
      <c r="AZ16" s="515"/>
      <c r="BA16" s="518"/>
      <c r="BB16" s="518"/>
      <c r="BC16" s="551"/>
      <c r="BD16" s="518"/>
      <c r="BE16" s="518"/>
    </row>
    <row r="17" spans="1:57" ht="12.75" customHeight="1">
      <c r="A17" s="558" t="s">
        <v>241</v>
      </c>
      <c r="B17" s="584">
        <f t="shared" si="3"/>
        <v>0</v>
      </c>
      <c r="C17" s="547"/>
      <c r="D17" s="518"/>
      <c r="E17" s="518"/>
      <c r="F17" s="518"/>
      <c r="G17" s="518"/>
      <c r="H17" s="518"/>
      <c r="I17" s="518"/>
      <c r="J17" s="518"/>
      <c r="K17" s="518"/>
      <c r="L17" s="518"/>
      <c r="M17" s="518"/>
      <c r="N17" s="518"/>
      <c r="O17" s="518"/>
      <c r="P17" s="518"/>
      <c r="Q17" s="518"/>
      <c r="R17" s="515"/>
      <c r="S17" s="515"/>
      <c r="T17" s="515"/>
      <c r="U17" s="515"/>
      <c r="W17" s="515"/>
      <c r="X17" s="515"/>
      <c r="Y17" s="515"/>
      <c r="Z17" s="553"/>
      <c r="AA17" s="553"/>
      <c r="AB17" s="553"/>
      <c r="AC17" s="553"/>
      <c r="AD17" s="518"/>
      <c r="AE17" s="518"/>
      <c r="AF17" s="518"/>
      <c r="AG17" s="518"/>
      <c r="AH17" s="515"/>
      <c r="AI17" s="554"/>
      <c r="AJ17" s="553"/>
      <c r="AK17" s="553"/>
      <c r="AL17" s="553"/>
      <c r="AM17" s="515"/>
      <c r="AN17" s="515"/>
      <c r="AO17" s="515"/>
      <c r="AP17" s="515"/>
      <c r="AQ17" s="515"/>
      <c r="AR17" s="515"/>
      <c r="AS17" s="515"/>
      <c r="AT17" s="515"/>
      <c r="AU17" s="515"/>
      <c r="AV17" s="554"/>
      <c r="AW17" s="554"/>
      <c r="AX17" s="554"/>
      <c r="AY17" s="515"/>
      <c r="AZ17" s="515"/>
      <c r="BA17" s="518"/>
      <c r="BB17" s="536">
        <v>0</v>
      </c>
      <c r="BC17" s="551"/>
      <c r="BD17" s="518"/>
      <c r="BE17" s="518"/>
    </row>
    <row r="18" spans="1:57" ht="12.75" customHeight="1">
      <c r="A18" s="558" t="s">
        <v>242</v>
      </c>
      <c r="B18" s="584">
        <f t="shared" si="3"/>
        <v>0</v>
      </c>
      <c r="C18" s="547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5"/>
      <c r="S18" s="515"/>
      <c r="T18" s="515"/>
      <c r="U18" s="515"/>
      <c r="V18" s="515"/>
      <c r="W18" s="515"/>
      <c r="X18" s="515"/>
      <c r="Y18" s="515"/>
      <c r="Z18" s="553"/>
      <c r="AA18" s="553"/>
      <c r="AB18" s="553"/>
      <c r="AC18" s="553"/>
      <c r="AD18" s="518"/>
      <c r="AE18" s="518"/>
      <c r="AF18" s="518"/>
      <c r="AG18" s="518"/>
      <c r="AH18" s="515"/>
      <c r="AI18" s="554"/>
      <c r="AJ18" s="553"/>
      <c r="AM18" s="515"/>
      <c r="AN18" s="515"/>
      <c r="AO18" s="515"/>
      <c r="AP18" s="515"/>
      <c r="AQ18" s="515"/>
      <c r="AR18" s="515"/>
      <c r="AS18" s="515"/>
      <c r="AT18" s="515"/>
      <c r="AU18" s="515"/>
      <c r="AV18" s="554"/>
      <c r="AW18" s="554"/>
      <c r="AX18" s="554"/>
      <c r="AY18" s="515"/>
      <c r="AZ18" s="515"/>
      <c r="BA18" s="518"/>
      <c r="BB18" s="536"/>
      <c r="BC18" s="551"/>
      <c r="BD18" s="518"/>
      <c r="BE18" s="518"/>
    </row>
    <row r="19" spans="1:57" ht="12.75" customHeight="1">
      <c r="A19" s="548" t="s">
        <v>243</v>
      </c>
      <c r="B19" s="584">
        <f t="shared" si="3"/>
        <v>0</v>
      </c>
      <c r="C19" s="547"/>
      <c r="D19" s="518"/>
      <c r="E19" s="518"/>
      <c r="F19" s="518"/>
      <c r="G19" s="518"/>
      <c r="H19" s="518"/>
      <c r="I19" s="518"/>
      <c r="J19" s="518"/>
      <c r="K19" s="518"/>
      <c r="L19" s="518"/>
      <c r="M19" s="518"/>
      <c r="N19" s="518"/>
      <c r="O19" s="518"/>
      <c r="P19" s="518"/>
      <c r="Q19" s="518"/>
      <c r="R19" s="515"/>
      <c r="S19" s="515"/>
      <c r="T19" s="515"/>
      <c r="U19" s="515"/>
      <c r="V19" s="515"/>
      <c r="W19" s="515"/>
      <c r="X19" s="515"/>
      <c r="Y19" s="515"/>
      <c r="Z19" s="553"/>
      <c r="AA19" s="553"/>
      <c r="AB19" s="553"/>
      <c r="AC19" s="553"/>
      <c r="AD19" s="518"/>
      <c r="AE19" s="518"/>
      <c r="AF19" s="518"/>
      <c r="AG19" s="518"/>
      <c r="AH19" s="515"/>
      <c r="AI19" s="554"/>
      <c r="AJ19" s="553"/>
      <c r="AK19" s="553"/>
      <c r="AL19" s="553"/>
      <c r="AM19" s="515">
        <f>-AM9</f>
        <v>0</v>
      </c>
      <c r="AN19" s="515"/>
      <c r="AO19" s="515"/>
      <c r="AP19" s="515"/>
      <c r="AQ19" s="515"/>
      <c r="AR19" s="515"/>
      <c r="AS19" s="515"/>
      <c r="AT19" s="515"/>
      <c r="AU19" s="515"/>
      <c r="AV19" s="554"/>
      <c r="AW19" s="554"/>
      <c r="AX19" s="554"/>
      <c r="AY19" s="515"/>
      <c r="AZ19" s="515"/>
      <c r="BA19" s="518"/>
      <c r="BB19" s="518"/>
      <c r="BC19" s="551"/>
      <c r="BD19" s="518"/>
      <c r="BE19" s="518"/>
    </row>
    <row r="20" spans="1:57" ht="12.75" customHeight="1">
      <c r="A20" s="548" t="s">
        <v>244</v>
      </c>
      <c r="B20" s="584">
        <f t="shared" si="3"/>
        <v>-15368472400</v>
      </c>
      <c r="C20" s="547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5"/>
      <c r="S20" s="515"/>
      <c r="T20" s="515"/>
      <c r="U20" s="515"/>
      <c r="V20" s="515"/>
      <c r="W20" s="515"/>
      <c r="X20" s="515"/>
      <c r="Y20" s="515"/>
      <c r="Z20" s="553"/>
      <c r="AA20" s="553"/>
      <c r="AB20" s="553"/>
      <c r="AC20" s="553"/>
      <c r="AD20" s="518"/>
      <c r="AE20" s="518"/>
      <c r="AF20" s="518"/>
      <c r="AG20" s="518"/>
      <c r="AH20" s="515"/>
      <c r="AI20" s="554"/>
      <c r="AJ20" s="553"/>
      <c r="AK20" s="553"/>
      <c r="AL20" s="553"/>
      <c r="AM20" s="515"/>
      <c r="AN20" s="515"/>
      <c r="AO20" s="515"/>
      <c r="AP20" s="515"/>
      <c r="AQ20" s="515"/>
      <c r="AR20" s="515"/>
      <c r="AS20" s="515"/>
      <c r="AT20" s="515"/>
      <c r="AU20" s="515"/>
      <c r="AV20" s="554"/>
      <c r="AW20" s="554"/>
      <c r="AX20" s="554"/>
      <c r="AY20" s="515"/>
      <c r="AZ20" s="515">
        <f>-('WS Konsol'!AI737+'WS Konsol'!AI738)</f>
        <v>-15368472400</v>
      </c>
      <c r="BA20" s="518"/>
      <c r="BB20" s="515"/>
      <c r="BC20" s="551"/>
      <c r="BD20" s="518"/>
      <c r="BE20" s="518"/>
    </row>
    <row r="21" spans="1:57" ht="12.75" customHeight="1">
      <c r="A21" s="548" t="s">
        <v>246</v>
      </c>
      <c r="B21" s="584">
        <f t="shared" si="3"/>
        <v>-2781593323</v>
      </c>
      <c r="C21" s="547"/>
      <c r="D21" s="518"/>
      <c r="E21" s="518"/>
      <c r="F21" s="518"/>
      <c r="G21" s="518"/>
      <c r="H21" s="518"/>
      <c r="I21" s="518"/>
      <c r="J21" s="518"/>
      <c r="K21" s="518"/>
      <c r="L21" s="518"/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  <c r="Z21" s="518"/>
      <c r="AA21" s="515"/>
      <c r="AB21" s="515"/>
      <c r="AC21" s="515"/>
      <c r="AD21" s="518"/>
      <c r="AE21" s="518"/>
      <c r="AF21" s="518"/>
      <c r="AG21" s="518"/>
      <c r="AH21" s="518"/>
      <c r="AI21" s="1043">
        <f>-SUM('WS Konsol'!AI442:AI450)</f>
        <v>-2781593323</v>
      </c>
      <c r="AJ21" s="559"/>
      <c r="AK21" s="559"/>
      <c r="AL21" s="559"/>
      <c r="AM21" s="518"/>
      <c r="AN21" s="518"/>
      <c r="AO21" s="518"/>
      <c r="AP21" s="518"/>
      <c r="AQ21" s="518"/>
      <c r="AR21" s="518"/>
      <c r="AS21" s="518"/>
      <c r="AT21" s="518"/>
      <c r="AU21" s="518"/>
      <c r="AV21" s="518"/>
      <c r="AW21" s="518"/>
      <c r="AX21" s="560"/>
      <c r="AY21" s="518"/>
      <c r="BA21" s="515"/>
      <c r="BB21" s="561"/>
      <c r="BC21" s="515"/>
      <c r="BD21" s="518"/>
      <c r="BE21" s="518"/>
    </row>
    <row r="22" spans="1:57" ht="12.75" customHeight="1">
      <c r="A22" s="562" t="s">
        <v>248</v>
      </c>
      <c r="B22" s="563">
        <f>SUM(B12:B21)</f>
        <v>-71910274439.862762</v>
      </c>
      <c r="C22" s="547"/>
      <c r="D22" s="518"/>
      <c r="E22" s="518"/>
      <c r="F22" s="518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  <c r="AU22" s="518"/>
      <c r="AV22" s="518"/>
      <c r="AW22" s="518"/>
      <c r="AX22" s="518"/>
      <c r="AY22" s="518"/>
      <c r="AZ22" s="518"/>
      <c r="BA22" s="518"/>
      <c r="BB22" s="518"/>
      <c r="BC22" s="518"/>
      <c r="BD22" s="518"/>
      <c r="BE22" s="518"/>
    </row>
    <row r="23" spans="1:57" ht="12.75" customHeight="1">
      <c r="A23" s="564"/>
      <c r="B23" s="565"/>
      <c r="C23" s="547"/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  <c r="AA23" s="518"/>
      <c r="AB23" s="518"/>
      <c r="AC23" s="518"/>
      <c r="AD23" s="518"/>
      <c r="AE23" s="518"/>
      <c r="AF23" s="518"/>
      <c r="AG23" s="518"/>
      <c r="AH23" s="518"/>
      <c r="AI23" s="518"/>
      <c r="AJ23" s="518"/>
      <c r="AK23" s="518"/>
      <c r="AL23" s="518"/>
      <c r="AM23" s="518"/>
      <c r="AN23" s="518"/>
      <c r="AO23" s="518"/>
      <c r="AP23" s="518"/>
      <c r="AQ23" s="518"/>
      <c r="AR23" s="518"/>
      <c r="AS23" s="518"/>
      <c r="AT23" s="518"/>
      <c r="AU23" s="518"/>
      <c r="AV23" s="518"/>
      <c r="AW23" s="518"/>
      <c r="AX23" s="518"/>
      <c r="AY23" s="518"/>
      <c r="AZ23" s="518"/>
      <c r="BA23" s="518"/>
      <c r="BB23" s="518"/>
      <c r="BC23" s="518"/>
      <c r="BD23" s="518"/>
      <c r="BE23" s="518"/>
    </row>
    <row r="24" spans="1:57" ht="12.75" customHeight="1">
      <c r="A24" s="548"/>
      <c r="B24" s="565"/>
      <c r="C24" s="547"/>
      <c r="D24" s="518"/>
      <c r="E24" s="518"/>
      <c r="F24" s="518"/>
      <c r="G24" s="518"/>
      <c r="H24" s="518"/>
      <c r="I24" s="518"/>
      <c r="J24" s="518"/>
      <c r="K24" s="518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8"/>
      <c r="Z24" s="518"/>
      <c r="AA24" s="518"/>
      <c r="AB24" s="518"/>
      <c r="AC24" s="518"/>
      <c r="AD24" s="518"/>
      <c r="AE24" s="518"/>
      <c r="AF24" s="518"/>
      <c r="AG24" s="518"/>
      <c r="AH24" s="518"/>
      <c r="AI24" s="518"/>
      <c r="AJ24" s="518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  <c r="AU24" s="518"/>
      <c r="AV24" s="518"/>
      <c r="AW24" s="518"/>
      <c r="AX24" s="518"/>
      <c r="AY24" s="518"/>
      <c r="AZ24" s="518"/>
      <c r="BA24" s="518"/>
      <c r="BB24" s="518"/>
      <c r="BC24" s="518"/>
      <c r="BD24" s="518"/>
      <c r="BE24" s="518"/>
    </row>
    <row r="25" spans="1:57" ht="12.75" customHeight="1">
      <c r="A25" s="566" t="s">
        <v>251</v>
      </c>
      <c r="B25" s="565"/>
      <c r="C25" s="547"/>
      <c r="D25" s="518"/>
      <c r="E25" s="518"/>
      <c r="F25" s="518"/>
      <c r="G25" s="51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8"/>
      <c r="Z25" s="518"/>
      <c r="AA25" s="518"/>
      <c r="AB25" s="518"/>
      <c r="AC25" s="518"/>
      <c r="AD25" s="518"/>
      <c r="AE25" s="518"/>
      <c r="AF25" s="518"/>
      <c r="AG25" s="518"/>
      <c r="AH25" s="518"/>
      <c r="AI25" s="518"/>
      <c r="AJ25" s="518"/>
      <c r="AK25" s="518"/>
      <c r="AL25" s="518"/>
      <c r="AM25" s="518"/>
      <c r="AN25" s="518"/>
      <c r="AO25" s="518"/>
      <c r="AP25" s="518"/>
      <c r="AQ25" s="518"/>
      <c r="AR25" s="518"/>
      <c r="AS25" s="518"/>
      <c r="AT25" s="518"/>
      <c r="AU25" s="518"/>
      <c r="AV25" s="518"/>
      <c r="AW25" s="518"/>
      <c r="AX25" s="518"/>
      <c r="AY25" s="518"/>
      <c r="AZ25" s="518"/>
      <c r="BA25" s="518"/>
      <c r="BB25" s="518"/>
      <c r="BC25" s="518"/>
      <c r="BD25" s="518"/>
      <c r="BE25" s="518"/>
    </row>
    <row r="26" spans="1:57" ht="12.75" customHeight="1">
      <c r="A26" s="548"/>
      <c r="B26" s="565"/>
      <c r="C26" s="547"/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  <c r="AA26" s="518"/>
      <c r="AB26" s="518"/>
      <c r="AC26" s="518"/>
      <c r="AD26" s="518"/>
      <c r="AE26" s="518"/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S26" s="518"/>
      <c r="AT26" s="518"/>
      <c r="AU26" s="518"/>
      <c r="AV26" s="518"/>
      <c r="AW26" s="518"/>
      <c r="AX26" s="518"/>
      <c r="AY26" s="518"/>
      <c r="AZ26" s="518"/>
      <c r="BA26" s="518"/>
      <c r="BB26" s="518"/>
      <c r="BC26" s="518"/>
      <c r="BD26" s="518"/>
      <c r="BE26" s="518"/>
    </row>
    <row r="27" spans="1:57" ht="12.75" customHeight="1">
      <c r="A27" s="566" t="s">
        <v>253</v>
      </c>
      <c r="B27" s="565"/>
      <c r="C27" s="547"/>
      <c r="D27" s="518"/>
      <c r="E27" s="518"/>
      <c r="F27" s="518"/>
      <c r="G27" s="518"/>
      <c r="H27" s="518"/>
      <c r="I27" s="518"/>
      <c r="J27" s="518"/>
      <c r="K27" s="518"/>
      <c r="L27" s="518"/>
      <c r="M27" s="518"/>
      <c r="N27" s="518"/>
      <c r="O27" s="518"/>
      <c r="P27" s="518"/>
      <c r="Q27" s="518"/>
      <c r="R27" s="518"/>
      <c r="S27" s="518"/>
      <c r="T27" s="518"/>
      <c r="U27" s="518"/>
      <c r="V27" s="518"/>
      <c r="W27" s="518"/>
      <c r="X27" s="518"/>
      <c r="Y27" s="518"/>
      <c r="Z27" s="518"/>
      <c r="AA27" s="518"/>
      <c r="AB27" s="518"/>
      <c r="AC27" s="518"/>
      <c r="AD27" s="518"/>
      <c r="AE27" s="518"/>
      <c r="AF27" s="518"/>
      <c r="AG27" s="518"/>
      <c r="AH27" s="518"/>
      <c r="AI27" s="518"/>
      <c r="AJ27" s="518"/>
      <c r="AK27" s="518"/>
      <c r="AL27" s="518"/>
      <c r="AM27" s="518"/>
      <c r="AN27" s="518"/>
      <c r="AO27" s="518"/>
      <c r="AP27" s="518"/>
      <c r="AQ27" s="518"/>
      <c r="AR27" s="518"/>
      <c r="AS27" s="518"/>
      <c r="AT27" s="518"/>
      <c r="AU27" s="518"/>
      <c r="AV27" s="518"/>
      <c r="AW27" s="518"/>
      <c r="AX27" s="518"/>
      <c r="AY27" s="518"/>
      <c r="AZ27" s="518"/>
      <c r="BA27" s="518"/>
      <c r="BB27" s="518"/>
      <c r="BC27" s="518"/>
      <c r="BD27" s="518"/>
      <c r="BE27" s="518"/>
    </row>
    <row r="28" spans="1:57" ht="12.75" customHeight="1">
      <c r="A28" s="567" t="s">
        <v>254</v>
      </c>
      <c r="B28" s="584">
        <f>SUM(D28:BB28)</f>
        <v>-149115000</v>
      </c>
      <c r="C28" s="547"/>
      <c r="D28" s="518"/>
      <c r="E28" s="518"/>
      <c r="F28" s="518"/>
      <c r="G28" s="518"/>
      <c r="H28" s="518"/>
      <c r="I28" s="518"/>
      <c r="J28" s="518"/>
      <c r="K28" s="518"/>
      <c r="L28" s="518"/>
      <c r="M28" s="518"/>
      <c r="N28" s="518"/>
      <c r="O28" s="518"/>
      <c r="P28" s="568"/>
      <c r="Q28" s="568"/>
      <c r="R28" s="568">
        <v>-149115000</v>
      </c>
      <c r="T28" s="568"/>
      <c r="V28" s="568"/>
      <c r="W28" s="568"/>
      <c r="X28" s="568"/>
      <c r="Y28" s="568"/>
      <c r="Z28" s="518"/>
      <c r="AA28" s="518"/>
      <c r="AB28" s="518"/>
      <c r="AC28" s="518"/>
      <c r="AD28" s="518"/>
      <c r="AE28" s="518"/>
      <c r="AF28" s="518"/>
      <c r="AG28" s="518"/>
      <c r="AH28" s="518"/>
      <c r="AI28" s="518"/>
      <c r="AJ28" s="518"/>
      <c r="AK28" s="518"/>
      <c r="AL28" s="518"/>
      <c r="AM28" s="518"/>
      <c r="AN28" s="518"/>
      <c r="AO28" s="518"/>
      <c r="AP28" s="518"/>
      <c r="AQ28" s="568">
        <f>-AQ9</f>
        <v>0</v>
      </c>
      <c r="AR28" s="568"/>
      <c r="AS28" s="568"/>
      <c r="AT28" s="568">
        <f>-AT9</f>
        <v>0</v>
      </c>
      <c r="AU28" s="518"/>
      <c r="AV28" s="518"/>
      <c r="AW28" s="518"/>
      <c r="AX28" s="551"/>
      <c r="AY28" s="551"/>
      <c r="AZ28" s="551"/>
      <c r="BA28" s="518"/>
      <c r="BB28" s="518"/>
      <c r="BC28" s="518"/>
      <c r="BD28" s="518"/>
      <c r="BE28" s="518"/>
    </row>
    <row r="29" spans="1:57" ht="12.75" customHeight="1">
      <c r="A29" s="548" t="s">
        <v>256</v>
      </c>
      <c r="B29" s="584">
        <f>SUM(D29:BB29)</f>
        <v>0</v>
      </c>
      <c r="C29" s="547"/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8"/>
      <c r="P29" s="518"/>
      <c r="Q29" s="518"/>
      <c r="R29" s="568"/>
      <c r="S29" s="568"/>
      <c r="T29" s="568"/>
      <c r="U29" s="568"/>
      <c r="V29" s="568"/>
      <c r="W29" s="568"/>
      <c r="X29" s="568"/>
      <c r="Y29" s="568"/>
      <c r="Z29" s="518"/>
      <c r="AA29" s="518"/>
      <c r="AB29" s="518"/>
      <c r="AC29" s="518"/>
      <c r="AD29" s="518"/>
      <c r="AE29" s="518"/>
      <c r="AF29" s="518"/>
      <c r="AG29" s="518"/>
      <c r="AH29" s="518"/>
      <c r="AI29" s="518"/>
      <c r="AJ29" s="518"/>
      <c r="AK29" s="518"/>
      <c r="AL29" s="518"/>
      <c r="AM29" s="518"/>
      <c r="AN29" s="518"/>
      <c r="AO29" s="518"/>
      <c r="AP29" s="518"/>
      <c r="AQ29" s="518"/>
      <c r="AR29" s="518"/>
      <c r="AS29" s="518"/>
      <c r="AT29" s="518"/>
      <c r="AU29" s="518"/>
      <c r="AV29" s="518"/>
      <c r="AW29" s="518"/>
      <c r="AX29" s="551"/>
      <c r="AY29" s="551"/>
      <c r="AZ29" s="551"/>
      <c r="BA29" s="518"/>
      <c r="BB29" s="518"/>
      <c r="BC29" s="518"/>
      <c r="BD29" s="518"/>
      <c r="BE29" s="515"/>
    </row>
    <row r="30" spans="1:57" ht="12.75" customHeight="1">
      <c r="A30" s="548" t="s">
        <v>257</v>
      </c>
      <c r="B30" s="584">
        <f t="shared" ref="B30:B32" si="5">SUM(D30:BB30)</f>
        <v>0</v>
      </c>
      <c r="C30" s="547"/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68"/>
      <c r="S30" s="568"/>
      <c r="T30" s="568"/>
      <c r="U30" s="568"/>
      <c r="V30" s="568"/>
      <c r="W30" s="568"/>
      <c r="X30" s="568"/>
      <c r="Y30" s="56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518"/>
      <c r="AQ30" s="518"/>
      <c r="AR30" s="518"/>
      <c r="AS30" s="518"/>
      <c r="AT30" s="518"/>
      <c r="AU30" s="518"/>
      <c r="AV30" s="518"/>
      <c r="AW30" s="518"/>
      <c r="AX30" s="551"/>
      <c r="AY30" s="551"/>
      <c r="AZ30" s="551"/>
      <c r="BA30" s="518"/>
      <c r="BB30" s="518"/>
      <c r="BC30" s="518"/>
      <c r="BD30" s="518"/>
      <c r="BE30" s="551"/>
    </row>
    <row r="31" spans="1:57" ht="12.75" customHeight="1">
      <c r="A31" s="548" t="s">
        <v>258</v>
      </c>
      <c r="B31" s="584">
        <f t="shared" si="5"/>
        <v>0</v>
      </c>
      <c r="C31" s="547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Q31" s="518"/>
      <c r="R31" s="568"/>
      <c r="S31" s="568"/>
      <c r="T31" s="568"/>
      <c r="U31" s="568"/>
      <c r="V31" s="568"/>
      <c r="W31" s="568"/>
      <c r="X31" s="568"/>
      <c r="Y31" s="568"/>
      <c r="Z31" s="518"/>
      <c r="AA31" s="518"/>
      <c r="AB31" s="518"/>
      <c r="AC31" s="518"/>
      <c r="AD31" s="518"/>
      <c r="AE31" s="518"/>
      <c r="AF31" s="518"/>
      <c r="AG31" s="518"/>
      <c r="AH31" s="518"/>
      <c r="AI31" s="518"/>
      <c r="AJ31" s="518"/>
      <c r="AK31" s="518"/>
      <c r="AL31" s="518"/>
      <c r="AM31" s="518"/>
      <c r="AN31" s="518"/>
      <c r="AO31" s="518"/>
      <c r="AP31" s="518"/>
      <c r="AQ31" s="518"/>
      <c r="AR31" s="518"/>
      <c r="AS31" s="518"/>
      <c r="AT31" s="518"/>
      <c r="AU31" s="518"/>
      <c r="AV31" s="518"/>
      <c r="AW31" s="518"/>
      <c r="AX31" s="551"/>
      <c r="AY31" s="550"/>
      <c r="AZ31" s="550"/>
      <c r="BA31" s="518"/>
      <c r="BB31" s="518"/>
      <c r="BC31" s="518"/>
      <c r="BD31" s="518"/>
      <c r="BE31" s="551"/>
    </row>
    <row r="32" spans="1:57" ht="12.75" customHeight="1">
      <c r="A32" s="548" t="s">
        <v>260</v>
      </c>
      <c r="B32" s="584">
        <f t="shared" si="5"/>
        <v>0</v>
      </c>
      <c r="C32" s="547"/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8"/>
      <c r="P32" s="518"/>
      <c r="Q32" s="518"/>
      <c r="R32" s="568"/>
      <c r="S32" s="568"/>
      <c r="T32" s="568"/>
      <c r="U32" s="568"/>
      <c r="V32" s="568"/>
      <c r="W32" s="568"/>
      <c r="X32" s="568"/>
      <c r="Y32" s="568"/>
      <c r="Z32" s="518"/>
      <c r="AA32" s="518"/>
      <c r="AB32" s="518"/>
      <c r="AC32" s="518"/>
      <c r="AD32" s="518"/>
      <c r="AE32" s="518"/>
      <c r="AF32" s="518"/>
      <c r="AG32" s="518"/>
      <c r="AH32" s="518"/>
      <c r="AI32" s="518"/>
      <c r="AJ32" s="515"/>
      <c r="AK32" s="518"/>
      <c r="AL32" s="518"/>
      <c r="AM32" s="518"/>
      <c r="AN32" s="518"/>
      <c r="AO32" s="518"/>
      <c r="AP32" s="518"/>
      <c r="AQ32" s="518"/>
      <c r="AR32" s="518"/>
      <c r="AS32" s="518"/>
      <c r="AT32" s="518"/>
      <c r="AU32" s="518"/>
      <c r="AV32" s="518"/>
      <c r="AW32" s="518"/>
      <c r="AX32" s="551"/>
      <c r="AY32" s="550"/>
      <c r="AZ32" s="550"/>
      <c r="BA32" s="518"/>
      <c r="BB32" s="518"/>
      <c r="BC32" s="518"/>
      <c r="BD32" s="518"/>
      <c r="BE32" s="518"/>
    </row>
    <row r="33" spans="1:57" ht="12.75" customHeight="1">
      <c r="A33" s="548" t="s">
        <v>261</v>
      </c>
      <c r="B33" s="584">
        <f>SUM(D33:BB33)</f>
        <v>0</v>
      </c>
      <c r="C33" s="547"/>
      <c r="D33" s="515"/>
      <c r="E33" s="515"/>
      <c r="F33" s="515"/>
      <c r="G33" s="515"/>
      <c r="H33" s="515"/>
      <c r="I33" s="515"/>
      <c r="J33" s="515"/>
      <c r="K33" s="515"/>
      <c r="L33" s="515"/>
      <c r="M33" s="515"/>
      <c r="N33" s="515"/>
      <c r="O33" s="515"/>
      <c r="P33" s="515"/>
      <c r="Q33" s="515"/>
      <c r="R33" s="568"/>
      <c r="S33" s="568"/>
      <c r="T33" s="568"/>
      <c r="U33" s="568"/>
      <c r="V33" s="568"/>
      <c r="W33" s="568"/>
      <c r="X33" s="568"/>
      <c r="Y33" s="568"/>
      <c r="Z33" s="518"/>
      <c r="AA33" s="518"/>
      <c r="AB33" s="518"/>
      <c r="AC33" s="518"/>
      <c r="AD33" s="515"/>
      <c r="AE33" s="515"/>
      <c r="AF33" s="515"/>
      <c r="AG33" s="515"/>
      <c r="AH33" s="518"/>
      <c r="AI33" s="518"/>
      <c r="AJ33" s="518"/>
      <c r="AK33" s="518"/>
      <c r="AL33" s="518"/>
      <c r="AM33" s="518"/>
      <c r="AN33" s="518"/>
      <c r="AO33" s="518"/>
      <c r="AP33" s="518"/>
      <c r="AQ33" s="518"/>
      <c r="AR33" s="518"/>
      <c r="AS33" s="518"/>
      <c r="AT33" s="518"/>
      <c r="AU33" s="518"/>
      <c r="AV33" s="518"/>
      <c r="AW33" s="518"/>
      <c r="AX33" s="551"/>
      <c r="AY33" s="551"/>
      <c r="AZ33" s="551"/>
      <c r="BA33" s="518"/>
      <c r="BB33" s="518"/>
      <c r="BC33" s="518"/>
      <c r="BD33" s="518"/>
      <c r="BE33" s="518"/>
    </row>
    <row r="34" spans="1:57" ht="12.75" customHeight="1">
      <c r="A34" s="548" t="s">
        <v>263</v>
      </c>
      <c r="B34" s="569">
        <f>SUM(B28:B33)</f>
        <v>-149115000</v>
      </c>
      <c r="C34" s="547"/>
      <c r="D34" s="518"/>
      <c r="E34" s="518"/>
      <c r="F34" s="518"/>
      <c r="G34" s="518"/>
      <c r="H34" s="518"/>
      <c r="I34" s="518"/>
      <c r="J34" s="518"/>
      <c r="K34" s="518"/>
      <c r="L34" s="518"/>
      <c r="M34" s="518"/>
      <c r="N34" s="518"/>
      <c r="O34" s="518"/>
      <c r="P34" s="518"/>
      <c r="Q34" s="518"/>
      <c r="R34" s="518"/>
      <c r="S34" s="518"/>
      <c r="T34" s="518"/>
      <c r="U34" s="518"/>
      <c r="V34" s="518"/>
      <c r="W34" s="518"/>
      <c r="X34" s="518"/>
      <c r="Y34" s="518"/>
      <c r="Z34" s="518"/>
      <c r="AA34" s="518"/>
      <c r="AB34" s="518"/>
      <c r="AC34" s="518"/>
      <c r="AD34" s="518"/>
      <c r="AE34" s="518"/>
      <c r="AF34" s="518"/>
      <c r="AG34" s="518"/>
      <c r="AH34" s="518"/>
      <c r="AI34" s="518"/>
      <c r="AJ34" s="518"/>
      <c r="AK34" s="518"/>
      <c r="AL34" s="518"/>
      <c r="AM34" s="518"/>
      <c r="AN34" s="518"/>
      <c r="AO34" s="518"/>
      <c r="AP34" s="518"/>
      <c r="AQ34" s="518"/>
      <c r="AR34" s="518"/>
      <c r="AS34" s="518"/>
      <c r="AT34" s="518"/>
      <c r="AU34" s="518"/>
      <c r="AV34" s="518"/>
      <c r="AW34" s="518"/>
      <c r="AX34" s="518"/>
      <c r="AY34" s="518"/>
      <c r="AZ34" s="518"/>
      <c r="BA34" s="518"/>
      <c r="BB34" s="518"/>
      <c r="BC34" s="518"/>
      <c r="BD34" s="518"/>
      <c r="BE34" s="518"/>
    </row>
    <row r="35" spans="1:57" ht="12.75" customHeight="1">
      <c r="A35" s="548"/>
      <c r="B35" s="549"/>
      <c r="C35" s="547"/>
      <c r="D35" s="518"/>
      <c r="E35" s="518"/>
      <c r="F35" s="518"/>
      <c r="G35" s="518"/>
      <c r="H35" s="518"/>
      <c r="I35" s="518"/>
      <c r="J35" s="518"/>
      <c r="K35" s="518"/>
      <c r="L35" s="518"/>
      <c r="M35" s="518"/>
      <c r="N35" s="518"/>
      <c r="O35" s="518"/>
      <c r="P35" s="518"/>
      <c r="Q35" s="518"/>
      <c r="R35" s="518"/>
      <c r="S35" s="518"/>
      <c r="T35" s="518"/>
      <c r="U35" s="518"/>
      <c r="V35" s="518"/>
      <c r="W35" s="518"/>
      <c r="X35" s="518"/>
      <c r="Y35" s="518"/>
      <c r="Z35" s="518"/>
      <c r="AA35" s="518"/>
      <c r="AB35" s="518"/>
      <c r="AC35" s="518"/>
      <c r="AD35" s="518"/>
      <c r="AE35" s="518"/>
      <c r="AF35" s="518"/>
      <c r="AG35" s="518"/>
      <c r="AH35" s="518"/>
      <c r="AI35" s="518"/>
      <c r="AJ35" s="518"/>
      <c r="AK35" s="518"/>
      <c r="AL35" s="518"/>
      <c r="AM35" s="518"/>
      <c r="AN35" s="518"/>
      <c r="AO35" s="518"/>
      <c r="AP35" s="518"/>
      <c r="AQ35" s="518"/>
      <c r="AR35" s="518"/>
      <c r="AS35" s="518"/>
      <c r="AT35" s="518"/>
      <c r="AU35" s="518"/>
      <c r="AV35" s="518"/>
      <c r="AW35" s="518"/>
      <c r="AX35" s="518"/>
      <c r="AY35" s="518"/>
      <c r="AZ35" s="518"/>
      <c r="BA35" s="518"/>
      <c r="BB35" s="518"/>
      <c r="BC35" s="518"/>
      <c r="BD35" s="518"/>
      <c r="BE35" s="518"/>
    </row>
    <row r="36" spans="1:57" ht="12.75" customHeight="1">
      <c r="A36" s="566" t="s">
        <v>265</v>
      </c>
      <c r="B36" s="570"/>
      <c r="C36" s="547"/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8"/>
      <c r="T36" s="518"/>
      <c r="U36" s="518"/>
      <c r="V36" s="518"/>
      <c r="W36" s="518"/>
      <c r="X36" s="518"/>
      <c r="Y36" s="518"/>
      <c r="Z36" s="518"/>
      <c r="AA36" s="518"/>
      <c r="AB36" s="518"/>
      <c r="AC36" s="518"/>
      <c r="AD36" s="518"/>
      <c r="AE36" s="518"/>
      <c r="AF36" s="518"/>
      <c r="AG36" s="518"/>
      <c r="AH36" s="518"/>
      <c r="AI36" s="518"/>
      <c r="AJ36" s="518"/>
      <c r="AK36" s="518"/>
      <c r="AL36" s="518"/>
      <c r="AM36" s="518"/>
      <c r="AN36" s="518"/>
      <c r="AO36" s="518"/>
      <c r="AP36" s="518"/>
      <c r="AQ36" s="518"/>
      <c r="AR36" s="518"/>
      <c r="AS36" s="518"/>
      <c r="AT36" s="518"/>
      <c r="AU36" s="518"/>
      <c r="AV36" s="518"/>
      <c r="AW36" s="518"/>
      <c r="AX36" s="518"/>
      <c r="AY36" s="518"/>
      <c r="AZ36" s="518"/>
      <c r="BA36" s="518"/>
      <c r="BB36" s="518"/>
      <c r="BC36" s="518"/>
      <c r="BD36" s="518"/>
      <c r="BE36" s="518"/>
    </row>
    <row r="37" spans="1:57" ht="12.75" customHeight="1">
      <c r="A37" s="548" t="s">
        <v>267</v>
      </c>
      <c r="B37" s="584">
        <f t="shared" ref="B37:B43" si="6">SUM(D37:BB37)</f>
        <v>544700314163</v>
      </c>
      <c r="C37" s="547"/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18"/>
      <c r="X37" s="1466">
        <v>544700314163</v>
      </c>
      <c r="Y37" s="515"/>
      <c r="Z37" s="518"/>
      <c r="AA37" s="518"/>
      <c r="AB37" s="551"/>
      <c r="AC37" s="551"/>
      <c r="AD37" s="515"/>
      <c r="AE37" s="515"/>
      <c r="AF37" s="515"/>
      <c r="AG37" s="515"/>
      <c r="AH37" s="515"/>
      <c r="AI37" s="518"/>
      <c r="AJ37" s="515"/>
      <c r="AK37" s="515"/>
      <c r="AL37" s="515"/>
      <c r="AM37" s="518"/>
      <c r="AN37" s="518"/>
      <c r="AO37" s="518"/>
      <c r="AP37" s="518"/>
      <c r="AQ37" s="518"/>
      <c r="AR37" s="518"/>
      <c r="AS37" s="518"/>
      <c r="AT37" s="518"/>
      <c r="AU37" s="518"/>
      <c r="AV37" s="518"/>
      <c r="AW37" s="518"/>
      <c r="AX37" s="518"/>
      <c r="AY37" s="518"/>
      <c r="AZ37" s="518"/>
      <c r="BA37" s="518"/>
      <c r="BB37" s="518"/>
      <c r="BC37" s="518"/>
      <c r="BD37" s="518"/>
      <c r="BE37" s="518"/>
    </row>
    <row r="38" spans="1:57" ht="12.75" customHeight="1">
      <c r="A38" s="548" t="s">
        <v>268</v>
      </c>
      <c r="B38" s="584">
        <f t="shared" si="6"/>
        <v>-471514558165</v>
      </c>
      <c r="C38" s="547"/>
      <c r="D38" s="518"/>
      <c r="E38" s="518"/>
      <c r="F38" s="518"/>
      <c r="G38" s="518"/>
      <c r="H38" s="518"/>
      <c r="I38" s="518"/>
      <c r="J38" s="518"/>
      <c r="K38" s="518"/>
      <c r="L38" s="518"/>
      <c r="M38" s="518"/>
      <c r="N38" s="518"/>
      <c r="O38" s="518"/>
      <c r="P38" s="518"/>
      <c r="Q38" s="518"/>
      <c r="R38" s="518"/>
      <c r="S38" s="518"/>
      <c r="T38" s="518"/>
      <c r="U38" s="518"/>
      <c r="V38" s="518"/>
      <c r="W38" s="518"/>
      <c r="X38" s="1466">
        <v>-463392589519</v>
      </c>
      <c r="Y38" s="515">
        <f>-Y9</f>
        <v>404260732</v>
      </c>
      <c r="Z38" s="518"/>
      <c r="AA38" s="518"/>
      <c r="AB38" s="551"/>
      <c r="AC38" s="551"/>
      <c r="AD38" s="515"/>
      <c r="AE38" s="515"/>
      <c r="AF38" s="515"/>
      <c r="AG38" s="515"/>
      <c r="AH38" s="1045">
        <f>-AH9</f>
        <v>-8526229378</v>
      </c>
      <c r="AI38" s="518"/>
      <c r="AJ38" s="515"/>
      <c r="AK38" s="515"/>
      <c r="AL38" s="515"/>
      <c r="AM38" s="518"/>
      <c r="AN38" s="518"/>
      <c r="AO38" s="518"/>
      <c r="AP38" s="518"/>
      <c r="AQ38" s="518"/>
      <c r="AR38" s="518"/>
      <c r="AS38" s="518"/>
      <c r="AT38" s="518"/>
      <c r="AU38" s="518"/>
      <c r="AV38" s="518"/>
      <c r="AW38" s="518"/>
      <c r="AX38" s="518"/>
      <c r="AY38" s="518"/>
      <c r="AZ38" s="518"/>
      <c r="BA38" s="518"/>
      <c r="BB38" s="518"/>
      <c r="BC38" s="518"/>
      <c r="BD38" s="518"/>
      <c r="BE38" s="518"/>
    </row>
    <row r="39" spans="1:57" ht="12.75" customHeight="1">
      <c r="A39" s="548" t="s">
        <v>1539</v>
      </c>
      <c r="B39" s="584">
        <f t="shared" si="6"/>
        <v>-3539216266</v>
      </c>
      <c r="C39" s="547"/>
      <c r="D39" s="518"/>
      <c r="E39" s="518"/>
      <c r="F39" s="518"/>
      <c r="G39" s="518"/>
      <c r="H39" s="518"/>
      <c r="I39" s="518"/>
      <c r="J39" s="518"/>
      <c r="K39" s="518"/>
      <c r="L39" s="518"/>
      <c r="M39" s="518"/>
      <c r="N39" s="518"/>
      <c r="O39" s="518"/>
      <c r="P39" s="518"/>
      <c r="Q39" s="518"/>
      <c r="R39" s="518"/>
      <c r="S39" s="518"/>
      <c r="T39" s="518"/>
      <c r="U39" s="518"/>
      <c r="V39" s="518"/>
      <c r="W39" s="518"/>
      <c r="X39" s="518"/>
      <c r="Y39" s="518"/>
      <c r="Z39" s="518"/>
      <c r="AA39" s="518"/>
      <c r="AB39" s="551"/>
      <c r="AC39" s="551"/>
      <c r="AD39" s="515"/>
      <c r="AE39" s="515"/>
      <c r="AF39" s="515">
        <f>-AF9</f>
        <v>-2914938809</v>
      </c>
      <c r="AG39" s="515"/>
      <c r="AH39" s="515"/>
      <c r="AI39" s="518"/>
      <c r="AJ39" s="515"/>
      <c r="AK39" s="515"/>
      <c r="AL39" s="515">
        <f>-AL9</f>
        <v>-624277457</v>
      </c>
      <c r="AM39" s="518"/>
      <c r="AN39" s="518"/>
      <c r="AO39" s="518"/>
      <c r="AP39" s="518"/>
      <c r="AQ39" s="518"/>
      <c r="AR39" s="518"/>
      <c r="AS39" s="518"/>
      <c r="AT39" s="518"/>
      <c r="AU39" s="518"/>
      <c r="AV39" s="518"/>
      <c r="AW39" s="518"/>
      <c r="AX39" s="518"/>
      <c r="AY39" s="518"/>
      <c r="AZ39" s="518"/>
      <c r="BA39" s="518"/>
      <c r="BB39" s="518"/>
      <c r="BC39" s="518"/>
      <c r="BD39" s="518"/>
      <c r="BE39" s="518"/>
    </row>
    <row r="40" spans="1:57" ht="12.75" customHeight="1">
      <c r="A40" s="548" t="s">
        <v>270</v>
      </c>
      <c r="B40" s="584">
        <f t="shared" si="6"/>
        <v>0</v>
      </c>
      <c r="C40" s="547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518"/>
      <c r="Q40" s="518"/>
      <c r="R40" s="518"/>
      <c r="S40" s="518"/>
      <c r="T40" s="518"/>
      <c r="U40" s="518"/>
      <c r="V40" s="518"/>
      <c r="W40" s="518"/>
      <c r="X40" s="518"/>
      <c r="Y40" s="518"/>
      <c r="Z40" s="518"/>
      <c r="AA40" s="518"/>
      <c r="AB40" s="551"/>
      <c r="AC40" s="551"/>
      <c r="AD40" s="515"/>
      <c r="AE40" s="515"/>
      <c r="AF40" s="515"/>
      <c r="AG40" s="515"/>
      <c r="AH40" s="515"/>
      <c r="AI40" s="518"/>
      <c r="AJ40" s="515"/>
      <c r="AK40" s="515"/>
      <c r="AL40" s="515"/>
      <c r="AM40" s="518"/>
      <c r="AN40" s="518"/>
      <c r="AO40" s="518"/>
      <c r="AP40" s="518"/>
      <c r="AQ40" s="518"/>
      <c r="AR40" s="518"/>
      <c r="AS40" s="518"/>
      <c r="AT40" s="518"/>
      <c r="AU40" s="518"/>
      <c r="AV40" s="518"/>
      <c r="AW40" s="518"/>
      <c r="AX40" s="518"/>
      <c r="AY40" s="518"/>
      <c r="AZ40" s="518"/>
      <c r="BA40" s="518"/>
      <c r="BB40" s="518"/>
      <c r="BC40" s="518"/>
      <c r="BD40" s="518"/>
      <c r="BE40" s="518"/>
    </row>
    <row r="41" spans="1:57" ht="12.75" customHeight="1">
      <c r="A41" s="548" t="s">
        <v>1545</v>
      </c>
      <c r="B41" s="584">
        <f t="shared" si="6"/>
        <v>0</v>
      </c>
      <c r="C41" s="547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518"/>
      <c r="Q41" s="518"/>
      <c r="R41" s="518"/>
      <c r="S41" s="518"/>
      <c r="T41" s="518"/>
      <c r="U41" s="518"/>
      <c r="V41" s="518"/>
      <c r="W41" s="518"/>
      <c r="X41" s="518"/>
      <c r="Y41" s="518"/>
      <c r="Z41" s="518"/>
      <c r="AA41" s="518"/>
      <c r="AB41" s="551"/>
      <c r="AC41" s="551"/>
      <c r="AD41" s="515"/>
      <c r="AE41" s="515"/>
      <c r="AF41" s="515"/>
      <c r="AG41" s="515"/>
      <c r="AH41" s="518"/>
      <c r="AI41" s="518"/>
      <c r="AJ41" s="515"/>
      <c r="AK41" s="515"/>
      <c r="AL41" s="515"/>
      <c r="AM41" s="518"/>
      <c r="AN41" s="518"/>
      <c r="AO41" s="518"/>
      <c r="AP41" s="518"/>
      <c r="AQ41" s="518"/>
      <c r="AR41" s="518"/>
      <c r="AS41" s="518"/>
      <c r="AT41" s="518"/>
      <c r="AU41" s="518"/>
      <c r="AV41" s="518"/>
      <c r="AW41" s="518"/>
      <c r="AX41" s="518"/>
      <c r="AY41" s="518"/>
      <c r="AZ41" s="518"/>
      <c r="BA41" s="518"/>
      <c r="BB41" s="518"/>
      <c r="BC41" s="518"/>
      <c r="BD41" s="518"/>
      <c r="BE41" s="518"/>
    </row>
    <row r="42" spans="1:57" ht="12.75" customHeight="1">
      <c r="A42" s="548" t="s">
        <v>272</v>
      </c>
      <c r="B42" s="584">
        <f t="shared" si="6"/>
        <v>0</v>
      </c>
      <c r="C42" s="547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8"/>
      <c r="T42" s="518"/>
      <c r="U42" s="518"/>
      <c r="V42" s="518"/>
      <c r="W42" s="518"/>
      <c r="X42" s="518"/>
      <c r="Y42" s="518"/>
      <c r="Z42" s="518"/>
      <c r="AA42" s="518"/>
      <c r="AB42" s="551"/>
      <c r="AC42" s="551"/>
      <c r="AD42" s="515"/>
      <c r="AE42" s="515"/>
      <c r="AF42" s="515"/>
      <c r="AG42" s="515"/>
      <c r="AH42" s="518"/>
      <c r="AI42" s="518"/>
      <c r="AJ42" s="515"/>
      <c r="AK42" s="515"/>
      <c r="AL42" s="515"/>
      <c r="AM42" s="518"/>
      <c r="AN42" s="518"/>
      <c r="AO42" s="518"/>
      <c r="AP42" s="518"/>
      <c r="AQ42" s="518"/>
      <c r="AR42" s="518"/>
      <c r="AS42" s="518"/>
      <c r="AT42" s="518"/>
      <c r="AU42" s="518"/>
      <c r="AV42" s="518"/>
      <c r="AW42" s="518"/>
      <c r="AX42" s="518"/>
      <c r="AY42" s="518"/>
      <c r="AZ42" s="518"/>
      <c r="BA42" s="518"/>
      <c r="BB42" s="518"/>
      <c r="BC42" s="518"/>
      <c r="BD42" s="518"/>
      <c r="BE42" s="518"/>
    </row>
    <row r="43" spans="1:57" ht="12.75" customHeight="1">
      <c r="A43" s="548" t="s">
        <v>273</v>
      </c>
      <c r="B43" s="584">
        <f t="shared" si="6"/>
        <v>62502100</v>
      </c>
      <c r="C43" s="547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518"/>
      <c r="P43" s="518"/>
      <c r="Q43" s="518"/>
      <c r="R43" s="518"/>
      <c r="S43" s="518"/>
      <c r="T43" s="518"/>
      <c r="U43" s="518"/>
      <c r="V43" s="518"/>
      <c r="W43" s="518"/>
      <c r="X43" s="518"/>
      <c r="Y43" s="518"/>
      <c r="Z43" s="515"/>
      <c r="AA43" s="515"/>
      <c r="AB43" s="515"/>
      <c r="AC43" s="515"/>
      <c r="AD43" s="553">
        <f>-AD9</f>
        <v>0</v>
      </c>
      <c r="AE43" s="553">
        <f>-AE9</f>
        <v>62502100</v>
      </c>
      <c r="AF43" s="515"/>
      <c r="AG43" s="518"/>
      <c r="AH43" s="518"/>
      <c r="AI43" s="518"/>
      <c r="AJ43" s="515">
        <f>-AJ9</f>
        <v>0</v>
      </c>
      <c r="AK43" s="518"/>
      <c r="AL43" s="515"/>
      <c r="AM43" s="515"/>
      <c r="AN43" s="515"/>
      <c r="AO43" s="515"/>
      <c r="AP43" s="515"/>
      <c r="AQ43" s="518"/>
      <c r="AR43" s="518"/>
      <c r="AS43" s="518"/>
      <c r="AT43" s="518"/>
      <c r="AU43" s="518"/>
      <c r="AV43" s="518"/>
      <c r="AW43" s="518"/>
      <c r="AX43" s="518"/>
      <c r="AY43" s="518"/>
      <c r="AZ43" s="518"/>
      <c r="BA43" s="518"/>
      <c r="BB43" s="518"/>
      <c r="BC43" s="518"/>
      <c r="BD43" s="518"/>
      <c r="BE43" s="518"/>
    </row>
    <row r="44" spans="1:57" ht="12.75" customHeight="1">
      <c r="A44" s="571" t="s">
        <v>274</v>
      </c>
      <c r="B44" s="572">
        <f>SUM(B37:B43)</f>
        <v>69709041832</v>
      </c>
      <c r="C44" s="547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518"/>
      <c r="Q44" s="518"/>
      <c r="R44" s="518"/>
      <c r="S44" s="518"/>
      <c r="T44" s="518"/>
      <c r="U44" s="518"/>
      <c r="V44" s="518"/>
      <c r="W44" s="518"/>
      <c r="X44" s="518"/>
      <c r="Y44" s="518"/>
      <c r="Z44" s="518"/>
      <c r="AA44" s="518"/>
      <c r="AB44" s="518"/>
      <c r="AC44" s="518"/>
      <c r="AD44" s="518"/>
      <c r="AE44" s="518"/>
      <c r="AF44" s="518"/>
      <c r="AG44" s="518"/>
      <c r="AH44" s="518"/>
      <c r="AI44" s="518"/>
      <c r="AJ44" s="518"/>
      <c r="AK44" s="518"/>
      <c r="AL44" s="518"/>
      <c r="AM44" s="518"/>
      <c r="AN44" s="518"/>
      <c r="AO44" s="518"/>
      <c r="AP44" s="518"/>
      <c r="AQ44" s="518"/>
      <c r="AR44" s="518"/>
      <c r="AS44" s="518"/>
      <c r="AT44" s="518"/>
      <c r="AU44" s="518"/>
      <c r="AV44" s="518"/>
      <c r="AW44" s="518"/>
      <c r="AX44" s="518"/>
      <c r="AY44" s="518"/>
      <c r="AZ44" s="518"/>
      <c r="BA44" s="518"/>
      <c r="BB44" s="518"/>
      <c r="BC44" s="518"/>
      <c r="BD44" s="518"/>
      <c r="BE44" s="518"/>
    </row>
    <row r="45" spans="1:57" ht="12.75" customHeight="1">
      <c r="A45" s="571"/>
      <c r="B45" s="565"/>
      <c r="C45" s="547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518"/>
      <c r="P45" s="518"/>
      <c r="Q45" s="518"/>
      <c r="R45" s="518"/>
      <c r="S45" s="518"/>
      <c r="T45" s="518"/>
      <c r="U45" s="518"/>
      <c r="V45" s="518"/>
      <c r="W45" s="518"/>
      <c r="X45" s="518"/>
      <c r="Y45" s="518"/>
      <c r="Z45" s="518"/>
      <c r="AA45" s="518"/>
      <c r="AB45" s="518"/>
      <c r="AC45" s="518"/>
      <c r="AD45" s="518"/>
      <c r="AE45" s="518"/>
      <c r="AF45" s="518"/>
      <c r="AG45" s="518"/>
      <c r="AH45" s="518"/>
      <c r="AI45" s="518"/>
      <c r="AJ45" s="518"/>
      <c r="AK45" s="518"/>
      <c r="AL45" s="518"/>
      <c r="AM45" s="518"/>
      <c r="AN45" s="518"/>
      <c r="AO45" s="518"/>
      <c r="AP45" s="518"/>
      <c r="AQ45" s="518"/>
      <c r="AR45" s="518"/>
      <c r="AS45" s="518"/>
      <c r="AT45" s="518"/>
      <c r="AU45" s="518"/>
      <c r="AV45" s="518"/>
      <c r="AW45" s="518"/>
      <c r="AX45" s="518"/>
      <c r="AY45" s="518"/>
      <c r="AZ45" s="518"/>
      <c r="BA45" s="518"/>
      <c r="BB45" s="518"/>
      <c r="BC45" s="518"/>
      <c r="BD45" s="518"/>
      <c r="BE45" s="518"/>
    </row>
    <row r="46" spans="1:57" ht="12.75" customHeight="1">
      <c r="A46" s="571" t="s">
        <v>275</v>
      </c>
      <c r="B46" s="565"/>
      <c r="C46" s="547"/>
      <c r="D46" s="518"/>
      <c r="E46" s="518"/>
      <c r="F46" s="518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518"/>
      <c r="S46" s="518"/>
      <c r="T46" s="518"/>
      <c r="U46" s="518"/>
      <c r="V46" s="518"/>
      <c r="W46" s="518"/>
      <c r="X46" s="518"/>
      <c r="Y46" s="518"/>
      <c r="Z46" s="518"/>
      <c r="AA46" s="518"/>
      <c r="AB46" s="518"/>
      <c r="AC46" s="518"/>
      <c r="AD46" s="518"/>
      <c r="AE46" s="518"/>
      <c r="AF46" s="518"/>
      <c r="AG46" s="518"/>
      <c r="AH46" s="518"/>
      <c r="AI46" s="518"/>
      <c r="AJ46" s="518"/>
      <c r="AK46" s="518"/>
      <c r="AL46" s="518"/>
      <c r="AM46" s="518"/>
      <c r="AN46" s="518"/>
      <c r="AO46" s="518"/>
      <c r="AP46" s="518"/>
      <c r="AQ46" s="518"/>
      <c r="AR46" s="518"/>
      <c r="AS46" s="518"/>
      <c r="AT46" s="518"/>
      <c r="AU46" s="518"/>
      <c r="AV46" s="518"/>
      <c r="AW46" s="518"/>
      <c r="AX46" s="518"/>
      <c r="AY46" s="518"/>
      <c r="AZ46" s="518"/>
      <c r="BA46" s="518"/>
      <c r="BB46" s="518"/>
      <c r="BC46" s="518"/>
      <c r="BD46" s="518"/>
      <c r="BE46" s="518"/>
    </row>
    <row r="47" spans="1:57" ht="12.75" customHeight="1">
      <c r="A47" s="571"/>
      <c r="B47" s="565"/>
      <c r="C47" s="547"/>
      <c r="D47" s="518"/>
      <c r="E47" s="518"/>
      <c r="F47" s="518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518"/>
      <c r="S47" s="518"/>
      <c r="T47" s="518"/>
      <c r="U47" s="518"/>
      <c r="V47" s="518"/>
      <c r="W47" s="518"/>
      <c r="X47" s="518"/>
      <c r="Y47" s="518"/>
      <c r="Z47" s="518"/>
      <c r="AA47" s="518"/>
      <c r="AB47" s="518"/>
      <c r="AC47" s="518"/>
      <c r="AD47" s="518"/>
      <c r="AE47" s="518"/>
      <c r="AF47" s="518"/>
      <c r="AG47" s="518"/>
      <c r="AH47" s="518"/>
      <c r="AI47" s="518"/>
      <c r="AJ47" s="518"/>
      <c r="AK47" s="518"/>
      <c r="AL47" s="518"/>
      <c r="AM47" s="518"/>
      <c r="AN47" s="518"/>
      <c r="AO47" s="518"/>
      <c r="AP47" s="518"/>
      <c r="AQ47" s="518"/>
      <c r="AR47" s="518"/>
      <c r="AS47" s="518"/>
      <c r="AT47" s="518"/>
      <c r="AU47" s="518"/>
      <c r="AV47" s="518"/>
      <c r="AW47" s="518"/>
      <c r="AX47" s="518"/>
      <c r="AY47" s="518"/>
      <c r="AZ47" s="518"/>
      <c r="BA47" s="518"/>
      <c r="BB47" s="518"/>
      <c r="BC47" s="518"/>
      <c r="BD47" s="518"/>
      <c r="BE47" s="518"/>
    </row>
    <row r="48" spans="1:57" ht="12.75" customHeight="1">
      <c r="A48" s="548"/>
      <c r="B48" s="565"/>
      <c r="C48" s="547"/>
      <c r="D48" s="518"/>
      <c r="E48" s="518"/>
      <c r="F48" s="518"/>
      <c r="G48" s="518"/>
      <c r="H48" s="518"/>
      <c r="I48" s="518"/>
      <c r="J48" s="518"/>
      <c r="K48" s="518"/>
      <c r="L48" s="518"/>
      <c r="M48" s="518"/>
      <c r="N48" s="518"/>
      <c r="O48" s="518"/>
      <c r="P48" s="518"/>
      <c r="Q48" s="518"/>
      <c r="R48" s="518"/>
      <c r="S48" s="518"/>
      <c r="T48" s="518"/>
      <c r="U48" s="518"/>
      <c r="V48" s="518"/>
      <c r="W48" s="518"/>
      <c r="X48" s="518"/>
      <c r="Y48" s="518"/>
      <c r="Z48" s="518"/>
      <c r="AA48" s="518"/>
      <c r="AB48" s="518"/>
      <c r="AC48" s="518"/>
      <c r="AD48" s="518"/>
      <c r="AE48" s="518"/>
      <c r="AF48" s="518"/>
      <c r="AG48" s="518"/>
      <c r="AH48" s="518"/>
      <c r="AI48" s="518"/>
      <c r="AJ48" s="518"/>
      <c r="AK48" s="518"/>
      <c r="AL48" s="518"/>
      <c r="AM48" s="518"/>
      <c r="AN48" s="518"/>
      <c r="AO48" s="518"/>
      <c r="AP48" s="518"/>
      <c r="AQ48" s="518"/>
      <c r="AR48" s="518"/>
      <c r="AS48" s="518"/>
      <c r="AT48" s="518"/>
      <c r="AU48" s="518"/>
      <c r="AV48" s="518"/>
      <c r="AW48" s="518"/>
      <c r="AX48" s="518"/>
      <c r="AY48" s="518"/>
      <c r="AZ48" s="518"/>
      <c r="BA48" s="518"/>
      <c r="BB48" s="518"/>
      <c r="BC48" s="518"/>
      <c r="BD48" s="518"/>
      <c r="BE48" s="518"/>
    </row>
    <row r="49" spans="1:57" ht="12.75" customHeight="1">
      <c r="A49" s="566" t="s">
        <v>276</v>
      </c>
      <c r="B49" s="565">
        <f>B44+B34+B22</f>
        <v>-2350347607.8627625</v>
      </c>
      <c r="C49" s="555"/>
      <c r="D49" s="518"/>
      <c r="E49" s="518"/>
      <c r="F49" s="518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518"/>
      <c r="S49" s="518"/>
      <c r="T49" s="518"/>
      <c r="U49" s="518"/>
      <c r="V49" s="518"/>
      <c r="W49" s="518"/>
      <c r="X49" s="518"/>
      <c r="Y49" s="518"/>
      <c r="Z49" s="518"/>
      <c r="AA49" s="518"/>
      <c r="AB49" s="518"/>
      <c r="AC49" s="518"/>
      <c r="AD49" s="518"/>
      <c r="AE49" s="518"/>
      <c r="AF49" s="518"/>
      <c r="AG49" s="518"/>
      <c r="AH49" s="518"/>
      <c r="AI49" s="518"/>
      <c r="AJ49" s="518"/>
      <c r="AK49" s="518"/>
      <c r="AL49" s="518"/>
      <c r="AM49" s="518"/>
      <c r="AN49" s="518"/>
      <c r="AO49" s="518"/>
      <c r="AP49" s="518"/>
      <c r="AQ49" s="518"/>
      <c r="AR49" s="518"/>
      <c r="AS49" s="518"/>
      <c r="AT49" s="518"/>
      <c r="AU49" s="518"/>
      <c r="AV49" s="518"/>
      <c r="AW49" s="518"/>
      <c r="AX49" s="518"/>
      <c r="AY49" s="518"/>
      <c r="AZ49" s="518"/>
      <c r="BA49" s="518"/>
      <c r="BB49" s="518"/>
      <c r="BC49" s="518"/>
      <c r="BD49" s="518"/>
      <c r="BE49" s="518"/>
    </row>
    <row r="50" spans="1:57" ht="12.75" customHeight="1">
      <c r="A50" s="566"/>
      <c r="B50" s="565"/>
      <c r="C50" s="547"/>
      <c r="D50" s="518"/>
      <c r="E50" s="518"/>
      <c r="F50" s="518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18"/>
      <c r="Z50" s="518"/>
      <c r="AA50" s="518"/>
      <c r="AB50" s="518"/>
      <c r="AC50" s="518"/>
      <c r="AD50" s="518"/>
      <c r="AE50" s="518"/>
      <c r="AF50" s="518"/>
      <c r="AG50" s="518"/>
      <c r="AH50" s="518"/>
      <c r="AI50" s="518"/>
      <c r="AJ50" s="518"/>
      <c r="AK50" s="518"/>
      <c r="AL50" s="518"/>
      <c r="AM50" s="518"/>
      <c r="AN50" s="518"/>
      <c r="AO50" s="518"/>
      <c r="AP50" s="518"/>
      <c r="AQ50" s="518"/>
      <c r="AR50" s="518"/>
      <c r="AS50" s="518"/>
      <c r="AT50" s="518"/>
      <c r="AU50" s="518"/>
      <c r="AV50" s="518"/>
      <c r="AW50" s="518"/>
      <c r="AX50" s="518"/>
      <c r="AY50" s="518"/>
      <c r="AZ50" s="518"/>
      <c r="BA50" s="518"/>
      <c r="BB50" s="518"/>
      <c r="BC50" s="518"/>
      <c r="BD50" s="518"/>
      <c r="BE50" s="518"/>
    </row>
    <row r="51" spans="1:57" ht="12.75" customHeight="1">
      <c r="A51" s="566" t="s">
        <v>277</v>
      </c>
      <c r="B51" s="565">
        <f>C8</f>
        <v>4920468963</v>
      </c>
      <c r="C51" s="547"/>
      <c r="D51" s="518"/>
      <c r="E51" s="518"/>
      <c r="F51" s="518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518"/>
      <c r="S51" s="518"/>
      <c r="T51" s="518"/>
      <c r="U51" s="518"/>
      <c r="V51" s="518"/>
      <c r="W51" s="518"/>
      <c r="X51" s="518"/>
      <c r="Y51" s="518"/>
      <c r="Z51" s="518"/>
      <c r="AA51" s="518"/>
      <c r="AB51" s="518"/>
      <c r="AC51" s="518"/>
      <c r="AD51" s="518"/>
      <c r="AE51" s="518"/>
      <c r="AF51" s="518"/>
      <c r="AG51" s="518"/>
      <c r="AH51" s="518"/>
      <c r="AI51" s="518"/>
      <c r="AJ51" s="518"/>
      <c r="AK51" s="518"/>
      <c r="AL51" s="518"/>
      <c r="AM51" s="518"/>
      <c r="AN51" s="518"/>
      <c r="AO51" s="518"/>
      <c r="AP51" s="518"/>
      <c r="AQ51" s="518"/>
      <c r="AR51" s="518"/>
      <c r="AS51" s="518"/>
      <c r="AT51" s="518"/>
      <c r="AU51" s="518"/>
      <c r="AV51" s="518"/>
      <c r="AW51" s="518"/>
      <c r="AX51" s="518"/>
      <c r="AY51" s="518"/>
      <c r="AZ51" s="518"/>
      <c r="BA51" s="518"/>
      <c r="BB51" s="518"/>
      <c r="BC51" s="518"/>
      <c r="BD51" s="518"/>
      <c r="BE51" s="518"/>
    </row>
    <row r="52" spans="1:57" ht="12.75" customHeight="1">
      <c r="A52" s="566"/>
      <c r="B52" s="573"/>
      <c r="C52" s="547"/>
      <c r="D52" s="518"/>
      <c r="E52" s="518"/>
      <c r="F52" s="518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18"/>
      <c r="S52" s="518"/>
      <c r="T52" s="518"/>
      <c r="U52" s="518"/>
      <c r="V52" s="518"/>
      <c r="W52" s="518"/>
      <c r="X52" s="518"/>
      <c r="Y52" s="518"/>
      <c r="Z52" s="518"/>
      <c r="AA52" s="518"/>
      <c r="AB52" s="518"/>
      <c r="AC52" s="518"/>
      <c r="AD52" s="518"/>
      <c r="AE52" s="518"/>
      <c r="AF52" s="518"/>
      <c r="AG52" s="518"/>
      <c r="AH52" s="518"/>
      <c r="AI52" s="518"/>
      <c r="AJ52" s="518"/>
      <c r="AK52" s="518"/>
      <c r="AL52" s="518"/>
      <c r="AM52" s="518"/>
      <c r="AN52" s="518"/>
      <c r="AO52" s="518"/>
      <c r="AP52" s="518"/>
      <c r="AQ52" s="518"/>
      <c r="AR52" s="518"/>
      <c r="AS52" s="518"/>
      <c r="AT52" s="518"/>
      <c r="AU52" s="518"/>
      <c r="AV52" s="518"/>
      <c r="AW52" s="518"/>
      <c r="AX52" s="518"/>
      <c r="AY52" s="518"/>
      <c r="AZ52" s="518"/>
      <c r="BA52" s="518"/>
      <c r="BB52" s="518"/>
      <c r="BC52" s="518"/>
      <c r="BD52" s="518"/>
      <c r="BE52" s="518"/>
    </row>
    <row r="53" spans="1:57" ht="12.75" customHeight="1">
      <c r="A53" s="574" t="s">
        <v>278</v>
      </c>
      <c r="B53" s="575">
        <f>B49+B51</f>
        <v>2570121355.1372375</v>
      </c>
      <c r="C53" s="576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  <c r="AE53" s="577"/>
      <c r="AF53" s="577"/>
      <c r="AG53" s="577"/>
      <c r="AH53" s="577"/>
      <c r="AI53" s="577"/>
      <c r="AJ53" s="577"/>
      <c r="AK53" s="577"/>
      <c r="AL53" s="577"/>
      <c r="AM53" s="577"/>
      <c r="AN53" s="577"/>
      <c r="AO53" s="577"/>
      <c r="AP53" s="577"/>
      <c r="AQ53" s="577"/>
      <c r="AR53" s="577"/>
      <c r="AS53" s="577"/>
      <c r="AT53" s="577"/>
      <c r="AU53" s="577"/>
      <c r="AV53" s="577"/>
      <c r="AW53" s="518"/>
      <c r="AX53" s="518"/>
      <c r="AY53" s="518"/>
      <c r="AZ53" s="518"/>
      <c r="BA53" s="518"/>
      <c r="BB53" s="518"/>
      <c r="BC53" s="518"/>
      <c r="BD53" s="518"/>
      <c r="BE53" s="518"/>
    </row>
    <row r="54" spans="1:57" ht="12.75" customHeight="1">
      <c r="A54" s="578"/>
      <c r="B54" s="515"/>
      <c r="C54" s="579">
        <f t="shared" ref="C54:X54" si="7">SUM(C9:C53)</f>
        <v>-2350347608</v>
      </c>
      <c r="D54" s="579">
        <f t="shared" si="7"/>
        <v>0</v>
      </c>
      <c r="E54" s="579">
        <f t="shared" si="7"/>
        <v>0</v>
      </c>
      <c r="F54" s="579">
        <f t="shared" si="7"/>
        <v>0</v>
      </c>
      <c r="G54" s="579">
        <f t="shared" si="7"/>
        <v>0</v>
      </c>
      <c r="H54" s="579">
        <f t="shared" si="7"/>
        <v>0</v>
      </c>
      <c r="I54" s="579">
        <f t="shared" si="7"/>
        <v>0</v>
      </c>
      <c r="J54" s="579">
        <f t="shared" si="7"/>
        <v>0</v>
      </c>
      <c r="K54" s="579">
        <f t="shared" si="7"/>
        <v>0</v>
      </c>
      <c r="L54" s="579">
        <f t="shared" si="7"/>
        <v>0</v>
      </c>
      <c r="M54" s="579">
        <f t="shared" si="7"/>
        <v>0</v>
      </c>
      <c r="N54" s="579">
        <f t="shared" si="7"/>
        <v>0</v>
      </c>
      <c r="O54" s="579">
        <f t="shared" si="7"/>
        <v>0</v>
      </c>
      <c r="P54" s="579">
        <f t="shared" si="7"/>
        <v>0</v>
      </c>
      <c r="Q54" s="579">
        <f t="shared" si="7"/>
        <v>0</v>
      </c>
      <c r="R54" s="579">
        <f t="shared" si="7"/>
        <v>0</v>
      </c>
      <c r="S54" s="579">
        <f t="shared" si="7"/>
        <v>0</v>
      </c>
      <c r="T54" s="579">
        <f t="shared" si="7"/>
        <v>0</v>
      </c>
      <c r="U54" s="579">
        <f t="shared" si="7"/>
        <v>0</v>
      </c>
      <c r="V54" s="579">
        <f t="shared" si="7"/>
        <v>0</v>
      </c>
      <c r="W54" s="579">
        <f t="shared" si="7"/>
        <v>0</v>
      </c>
      <c r="X54" s="579">
        <f t="shared" si="7"/>
        <v>0</v>
      </c>
      <c r="Y54" s="579"/>
      <c r="Z54" s="579">
        <f t="shared" ref="Z54:BB54" si="8">SUM(Z9:Z53)</f>
        <v>0</v>
      </c>
      <c r="AA54" s="579">
        <f t="shared" si="8"/>
        <v>0</v>
      </c>
      <c r="AB54" s="579">
        <f t="shared" si="8"/>
        <v>0</v>
      </c>
      <c r="AC54" s="579">
        <f t="shared" si="8"/>
        <v>0</v>
      </c>
      <c r="AD54" s="579">
        <f t="shared" si="8"/>
        <v>0</v>
      </c>
      <c r="AE54" s="579">
        <f t="shared" si="8"/>
        <v>0</v>
      </c>
      <c r="AF54" s="579">
        <f t="shared" si="8"/>
        <v>0</v>
      </c>
      <c r="AG54" s="579">
        <f t="shared" si="8"/>
        <v>0</v>
      </c>
      <c r="AH54" s="579">
        <f t="shared" si="8"/>
        <v>0</v>
      </c>
      <c r="AI54" s="579">
        <f t="shared" si="8"/>
        <v>0</v>
      </c>
      <c r="AJ54" s="579">
        <f t="shared" si="8"/>
        <v>0</v>
      </c>
      <c r="AK54" s="579">
        <f t="shared" si="8"/>
        <v>0</v>
      </c>
      <c r="AL54" s="579">
        <f t="shared" si="8"/>
        <v>0</v>
      </c>
      <c r="AM54" s="579">
        <f t="shared" si="8"/>
        <v>0</v>
      </c>
      <c r="AN54" s="579">
        <f t="shared" si="8"/>
        <v>0</v>
      </c>
      <c r="AO54" s="579">
        <f t="shared" si="8"/>
        <v>0</v>
      </c>
      <c r="AP54" s="579">
        <f t="shared" si="8"/>
        <v>0</v>
      </c>
      <c r="AQ54" s="579">
        <f t="shared" si="8"/>
        <v>0</v>
      </c>
      <c r="AR54" s="579"/>
      <c r="AS54" s="579"/>
      <c r="AT54" s="579">
        <f t="shared" si="8"/>
        <v>0</v>
      </c>
      <c r="AU54" s="579">
        <f t="shared" si="8"/>
        <v>0</v>
      </c>
      <c r="AV54" s="579">
        <f t="shared" si="8"/>
        <v>0</v>
      </c>
      <c r="AW54" s="579"/>
      <c r="AX54" s="579">
        <f>SUM(AX9:AX53)</f>
        <v>0</v>
      </c>
      <c r="AY54" s="579">
        <f>SUM(AY9:AY53)</f>
        <v>0</v>
      </c>
      <c r="AZ54" s="579"/>
      <c r="BA54" s="579">
        <f>SUM(BA9:BA53)</f>
        <v>0</v>
      </c>
      <c r="BB54" s="579">
        <f t="shared" si="8"/>
        <v>0</v>
      </c>
      <c r="BC54" s="515">
        <f>SUM(D54:BB54)</f>
        <v>0</v>
      </c>
      <c r="BD54" s="518"/>
      <c r="BE54" s="518"/>
    </row>
    <row r="55" spans="1:57" ht="12.75" customHeight="1">
      <c r="A55" s="518"/>
      <c r="B55" s="515"/>
      <c r="C55" s="518"/>
      <c r="D55" s="518"/>
      <c r="E55" s="518"/>
      <c r="F55" s="518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518"/>
      <c r="S55" s="518"/>
      <c r="T55" s="518"/>
      <c r="U55" s="518"/>
      <c r="V55" s="518"/>
      <c r="W55" s="518"/>
      <c r="X55" s="518"/>
      <c r="Y55" s="518"/>
      <c r="Z55" s="518"/>
      <c r="AA55" s="518"/>
      <c r="AB55" s="518"/>
      <c r="AC55" s="518"/>
      <c r="AD55" s="518"/>
      <c r="AE55" s="518"/>
      <c r="AF55" s="518"/>
      <c r="AG55" s="518"/>
      <c r="AH55" s="518"/>
      <c r="AI55" s="518"/>
      <c r="AJ55" s="518"/>
      <c r="AK55" s="518"/>
      <c r="AL55" s="518"/>
      <c r="AM55" s="518"/>
      <c r="AN55" s="518"/>
      <c r="AO55" s="518"/>
      <c r="AP55" s="518"/>
      <c r="AQ55" s="518"/>
      <c r="AR55" s="518"/>
      <c r="AS55" s="518"/>
      <c r="AT55" s="518"/>
      <c r="AU55" s="518"/>
      <c r="AV55" s="518"/>
      <c r="AW55" s="518"/>
      <c r="AX55" s="518"/>
      <c r="AY55" s="518"/>
      <c r="AZ55" s="518"/>
      <c r="BA55" s="518"/>
      <c r="BB55" s="518"/>
      <c r="BC55" s="518"/>
      <c r="BD55" s="518"/>
      <c r="BE55" s="518"/>
    </row>
    <row r="56" spans="1:57" ht="12.75" customHeight="1">
      <c r="A56" s="518"/>
      <c r="B56" s="515"/>
      <c r="C56" s="518"/>
      <c r="D56" s="518"/>
      <c r="E56" s="518"/>
      <c r="F56" s="518"/>
      <c r="G56" s="518"/>
      <c r="H56" s="518"/>
      <c r="I56" s="518"/>
      <c r="J56" s="518"/>
      <c r="K56" s="518"/>
      <c r="L56" s="518"/>
      <c r="M56" s="518"/>
      <c r="N56" s="518"/>
      <c r="O56" s="518"/>
      <c r="P56" s="518"/>
      <c r="Q56" s="518"/>
      <c r="R56" s="518"/>
      <c r="S56" s="518"/>
      <c r="T56" s="518"/>
      <c r="U56" s="518"/>
      <c r="V56" s="518"/>
      <c r="W56" s="518"/>
      <c r="X56" s="518"/>
      <c r="Y56" s="518"/>
      <c r="Z56" s="518"/>
      <c r="AA56" s="518"/>
      <c r="AB56" s="518"/>
      <c r="AC56" s="518"/>
      <c r="AD56" s="518"/>
      <c r="AE56" s="518"/>
      <c r="AF56" s="518"/>
      <c r="AG56" s="518"/>
      <c r="AH56" s="518"/>
      <c r="AI56" s="518"/>
      <c r="AJ56" s="518"/>
      <c r="AK56" s="518"/>
      <c r="AL56" s="518"/>
      <c r="AM56" s="518"/>
      <c r="AN56" s="518"/>
      <c r="AO56" s="518"/>
      <c r="AP56" s="518"/>
      <c r="AQ56" s="518"/>
      <c r="AR56" s="518"/>
      <c r="AS56" s="518"/>
      <c r="AT56" s="518"/>
      <c r="AU56" s="518"/>
      <c r="AV56" s="518"/>
      <c r="AW56" s="518"/>
      <c r="AX56" s="518"/>
      <c r="AY56" s="518"/>
      <c r="AZ56" s="518"/>
      <c r="BA56" s="518"/>
      <c r="BB56" s="518"/>
      <c r="BC56" s="518"/>
      <c r="BD56" s="518"/>
      <c r="BE56" s="518"/>
    </row>
    <row r="57" spans="1:57" ht="12.75" customHeight="1">
      <c r="A57" s="518"/>
      <c r="B57" s="580">
        <f>'BS Konsol-Des 24'!Q11</f>
        <v>2570121355</v>
      </c>
      <c r="C57" s="518"/>
      <c r="D57" s="518"/>
      <c r="E57" s="518"/>
      <c r="F57" s="518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8"/>
      <c r="AB57" s="518"/>
      <c r="AC57" s="518"/>
      <c r="AD57" s="518"/>
      <c r="AE57" s="518"/>
      <c r="AF57" s="518"/>
      <c r="AG57" s="518"/>
      <c r="AH57" s="518"/>
      <c r="AI57" s="518"/>
      <c r="AJ57" s="518"/>
      <c r="AK57" s="518"/>
      <c r="AL57" s="518"/>
      <c r="AM57" s="518"/>
      <c r="AN57" s="518"/>
      <c r="AO57" s="518"/>
      <c r="AP57" s="518"/>
      <c r="AQ57" s="518"/>
      <c r="AR57" s="518"/>
      <c r="AS57" s="518"/>
      <c r="AT57" s="518"/>
      <c r="AU57" s="518"/>
      <c r="AV57" s="518"/>
      <c r="AW57" s="518"/>
      <c r="AX57" s="518"/>
      <c r="AY57" s="518"/>
      <c r="AZ57" s="518"/>
      <c r="BA57" s="518"/>
      <c r="BB57" s="518"/>
      <c r="BC57" s="518"/>
      <c r="BD57" s="518"/>
      <c r="BE57" s="518"/>
    </row>
    <row r="58" spans="1:57" ht="12.75" customHeight="1">
      <c r="A58" s="518" t="s">
        <v>279</v>
      </c>
      <c r="B58" s="515">
        <f>B57-B53</f>
        <v>-0.137237548828125</v>
      </c>
      <c r="C58" s="518"/>
      <c r="D58" s="518"/>
      <c r="E58" s="518"/>
      <c r="F58" s="518"/>
      <c r="G58" s="518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8"/>
      <c r="AB58" s="518"/>
      <c r="AC58" s="518"/>
      <c r="AD58" s="518"/>
      <c r="AE58" s="518"/>
      <c r="AF58" s="518"/>
      <c r="AG58" s="518"/>
      <c r="AH58" s="518"/>
      <c r="AI58" s="518"/>
      <c r="AJ58" s="518"/>
      <c r="AK58" s="518"/>
      <c r="AL58" s="518"/>
      <c r="AM58" s="518"/>
      <c r="AN58" s="518"/>
      <c r="AO58" s="518"/>
      <c r="AP58" s="518"/>
      <c r="AQ58" s="518"/>
      <c r="AR58" s="518"/>
      <c r="AS58" s="518"/>
      <c r="AT58" s="518"/>
      <c r="AU58" s="518"/>
      <c r="AV58" s="518"/>
      <c r="AW58" s="518"/>
      <c r="AX58" s="518"/>
      <c r="AY58" s="518"/>
      <c r="AZ58" s="518"/>
      <c r="BA58" s="518"/>
      <c r="BB58" s="518"/>
      <c r="BC58" s="518"/>
      <c r="BD58" s="518"/>
      <c r="BE58" s="518"/>
    </row>
    <row r="59" spans="1:57" ht="12.75" customHeight="1">
      <c r="A59" s="518"/>
      <c r="B59" s="515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8"/>
      <c r="AB59" s="518"/>
      <c r="AC59" s="518"/>
      <c r="AD59" s="518"/>
      <c r="AE59" s="518"/>
      <c r="AF59" s="518"/>
      <c r="AG59" s="518"/>
      <c r="AH59" s="518"/>
      <c r="AI59" s="518"/>
      <c r="AJ59" s="518"/>
      <c r="AK59" s="518"/>
      <c r="AL59" s="518"/>
      <c r="AM59" s="518"/>
      <c r="AN59" s="518"/>
      <c r="AO59" s="518"/>
      <c r="AP59" s="518"/>
      <c r="AQ59" s="518"/>
      <c r="AR59" s="518"/>
      <c r="AS59" s="518"/>
      <c r="AT59" s="518"/>
      <c r="AU59" s="518"/>
      <c r="AV59" s="518"/>
      <c r="AW59" s="518"/>
      <c r="AX59" s="518"/>
      <c r="AY59" s="518"/>
      <c r="AZ59" s="518"/>
      <c r="BA59" s="518"/>
      <c r="BB59" s="518"/>
      <c r="BC59" s="518"/>
      <c r="BD59" s="518"/>
      <c r="BE59" s="518"/>
    </row>
    <row r="60" spans="1:57" ht="12.75" customHeight="1">
      <c r="A60" s="518"/>
      <c r="B60" s="515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518"/>
      <c r="AN60" s="518"/>
      <c r="AO60" s="518"/>
      <c r="AP60" s="518"/>
      <c r="AQ60" s="518"/>
      <c r="AR60" s="518"/>
      <c r="AS60" s="518"/>
      <c r="AT60" s="518"/>
      <c r="AU60" s="518"/>
      <c r="AV60" s="518"/>
      <c r="AW60" s="518"/>
      <c r="AX60" s="518"/>
      <c r="AY60" s="518"/>
      <c r="AZ60" s="518"/>
      <c r="BA60" s="518"/>
      <c r="BB60" s="518"/>
      <c r="BC60" s="518"/>
      <c r="BD60" s="518"/>
      <c r="BE60" s="518"/>
    </row>
    <row r="61" spans="1:57" ht="12.75" customHeight="1">
      <c r="A61" s="518"/>
      <c r="B61" s="515"/>
      <c r="C61" s="518"/>
      <c r="D61" s="518"/>
      <c r="E61" s="518"/>
      <c r="F61" s="518"/>
      <c r="G61" s="518"/>
      <c r="H61" s="518"/>
      <c r="I61" s="518"/>
      <c r="J61" s="518"/>
      <c r="K61" s="518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8"/>
      <c r="AB61" s="518"/>
      <c r="AC61" s="518"/>
      <c r="AD61" s="518"/>
      <c r="AE61" s="518"/>
      <c r="AF61" s="518"/>
      <c r="AG61" s="518"/>
      <c r="AH61" s="518"/>
      <c r="AI61" s="518"/>
      <c r="AJ61" s="518"/>
      <c r="AK61" s="518"/>
      <c r="AL61" s="518"/>
      <c r="AM61" s="518"/>
      <c r="AN61" s="518"/>
      <c r="AO61" s="518"/>
      <c r="AP61" s="518"/>
      <c r="AQ61" s="518"/>
      <c r="AR61" s="518"/>
      <c r="AS61" s="518"/>
      <c r="AT61" s="518"/>
      <c r="AU61" s="518"/>
      <c r="AV61" s="518"/>
      <c r="AW61" s="518"/>
      <c r="AX61" s="518"/>
      <c r="AY61" s="518"/>
      <c r="AZ61" s="518"/>
      <c r="BA61" s="518"/>
      <c r="BB61" s="518"/>
      <c r="BC61" s="518"/>
      <c r="BD61" s="518"/>
      <c r="BE61" s="518"/>
    </row>
    <row r="62" spans="1:57" ht="12.75" customHeight="1">
      <c r="A62" s="518"/>
      <c r="B62" s="515"/>
      <c r="C62" s="518"/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8"/>
      <c r="AB62" s="518"/>
      <c r="AC62" s="518"/>
      <c r="AD62" s="518"/>
      <c r="AE62" s="518"/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  <c r="AU62" s="518"/>
      <c r="AV62" s="518"/>
      <c r="AW62" s="518"/>
      <c r="AX62" s="518"/>
      <c r="AY62" s="518"/>
      <c r="AZ62" s="518"/>
      <c r="BA62" s="518"/>
      <c r="BB62" s="518"/>
      <c r="BC62" s="518"/>
      <c r="BD62" s="518"/>
      <c r="BE62" s="518"/>
    </row>
    <row r="63" spans="1:57" ht="12.75" customHeight="1">
      <c r="A63" s="518"/>
      <c r="B63" s="515"/>
      <c r="C63" s="518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/>
      <c r="AC63" s="518"/>
      <c r="AD63" s="518"/>
      <c r="AE63" s="518"/>
      <c r="AF63" s="518"/>
      <c r="AG63" s="518"/>
      <c r="AH63" s="518"/>
      <c r="AI63" s="518"/>
      <c r="AJ63" s="518"/>
      <c r="AK63" s="518"/>
      <c r="AL63" s="518"/>
      <c r="AM63" s="518"/>
      <c r="AN63" s="518"/>
      <c r="AO63" s="518"/>
      <c r="AP63" s="518"/>
      <c r="AQ63" s="518"/>
      <c r="AR63" s="518"/>
      <c r="AS63" s="518"/>
      <c r="AT63" s="518"/>
      <c r="AU63" s="518"/>
      <c r="AV63" s="518"/>
      <c r="AW63" s="518"/>
      <c r="AX63" s="518"/>
      <c r="AY63" s="518"/>
      <c r="AZ63" s="518"/>
      <c r="BA63" s="518"/>
      <c r="BB63" s="518"/>
      <c r="BC63" s="518"/>
      <c r="BD63" s="518"/>
      <c r="BE63" s="518"/>
    </row>
    <row r="64" spans="1:57" ht="12.75" customHeight="1">
      <c r="A64" s="518"/>
      <c r="B64" s="515"/>
      <c r="C64" s="518"/>
      <c r="D64" s="518"/>
      <c r="E64" s="518"/>
      <c r="F64" s="518"/>
      <c r="G64" s="518"/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518"/>
      <c r="AF64" s="518"/>
      <c r="AG64" s="518"/>
      <c r="AH64" s="518"/>
      <c r="AI64" s="518"/>
      <c r="AJ64" s="518"/>
      <c r="AK64" s="518"/>
      <c r="AL64" s="518"/>
      <c r="AM64" s="518"/>
      <c r="AN64" s="518"/>
      <c r="AO64" s="518"/>
      <c r="AP64" s="518"/>
      <c r="AQ64" s="518"/>
      <c r="AR64" s="518"/>
      <c r="AS64" s="518"/>
      <c r="AT64" s="518"/>
      <c r="AU64" s="518"/>
      <c r="AV64" s="518"/>
      <c r="AW64" s="518"/>
      <c r="AX64" s="518"/>
      <c r="AY64" s="518"/>
      <c r="AZ64" s="518"/>
      <c r="BA64" s="518"/>
      <c r="BB64" s="518"/>
      <c r="BC64" s="518"/>
      <c r="BD64" s="518"/>
      <c r="BE64" s="518"/>
    </row>
    <row r="65" spans="1:57" ht="12.75" customHeight="1">
      <c r="A65" s="518"/>
      <c r="B65" s="515"/>
      <c r="C65" s="518"/>
      <c r="D65" s="518"/>
      <c r="E65" s="518"/>
      <c r="F65" s="518"/>
      <c r="G65" s="518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18"/>
      <c r="AM65" s="518"/>
      <c r="AN65" s="518"/>
      <c r="AO65" s="518"/>
      <c r="AP65" s="518"/>
      <c r="AQ65" s="518"/>
      <c r="AR65" s="518"/>
      <c r="AS65" s="518"/>
      <c r="AT65" s="518"/>
      <c r="AU65" s="518"/>
      <c r="AV65" s="518"/>
      <c r="AW65" s="518"/>
      <c r="AX65" s="518"/>
      <c r="AY65" s="518"/>
      <c r="AZ65" s="518"/>
      <c r="BA65" s="518"/>
      <c r="BB65" s="518"/>
      <c r="BC65" s="518"/>
      <c r="BD65" s="518"/>
      <c r="BE65" s="518"/>
    </row>
    <row r="66" spans="1:57" ht="12.75" customHeight="1">
      <c r="A66" s="518"/>
      <c r="B66" s="515"/>
      <c r="C66" s="518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</row>
    <row r="67" spans="1:57" ht="12.75" customHeight="1">
      <c r="A67" s="518"/>
      <c r="B67" s="518"/>
      <c r="C67" s="518"/>
      <c r="D67" s="518"/>
      <c r="E67" s="518"/>
      <c r="F67" s="518"/>
      <c r="G67" s="518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8"/>
      <c r="AB67" s="518"/>
      <c r="AC67" s="518"/>
      <c r="AD67" s="518"/>
      <c r="AE67" s="518"/>
      <c r="AF67" s="518"/>
      <c r="AG67" s="518"/>
      <c r="AH67" s="518"/>
      <c r="AI67" s="518"/>
      <c r="AJ67" s="518"/>
      <c r="AK67" s="518"/>
      <c r="AL67" s="518"/>
      <c r="AM67" s="518"/>
      <c r="AN67" s="518"/>
      <c r="AO67" s="518"/>
      <c r="AP67" s="518"/>
      <c r="AQ67" s="518"/>
      <c r="AR67" s="518"/>
      <c r="AS67" s="518"/>
      <c r="AT67" s="518"/>
      <c r="AU67" s="518"/>
      <c r="AV67" s="518"/>
      <c r="AW67" s="518"/>
      <c r="AX67" s="518"/>
      <c r="AY67" s="518"/>
      <c r="AZ67" s="518"/>
      <c r="BA67" s="518"/>
      <c r="BB67" s="518"/>
      <c r="BC67" s="518"/>
      <c r="BD67" s="518"/>
      <c r="BE67" s="518"/>
    </row>
    <row r="68" spans="1:57" ht="12.75" customHeight="1">
      <c r="A68" s="518"/>
      <c r="B68" s="518"/>
      <c r="C68" s="518"/>
      <c r="D68" s="518"/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8"/>
      <c r="AB68" s="518"/>
      <c r="AC68" s="518"/>
      <c r="AD68" s="518"/>
      <c r="AE68" s="518"/>
      <c r="AF68" s="518"/>
      <c r="AG68" s="518"/>
      <c r="AH68" s="518"/>
      <c r="AI68" s="518"/>
      <c r="AJ68" s="518"/>
      <c r="AK68" s="518"/>
      <c r="AL68" s="518"/>
      <c r="AM68" s="518"/>
      <c r="AN68" s="518"/>
      <c r="AO68" s="518"/>
      <c r="AP68" s="518"/>
      <c r="AQ68" s="518"/>
      <c r="AR68" s="518"/>
      <c r="AS68" s="518"/>
      <c r="AT68" s="518"/>
      <c r="AU68" s="518"/>
      <c r="AV68" s="518"/>
      <c r="AW68" s="518"/>
      <c r="AX68" s="518"/>
      <c r="AY68" s="518"/>
      <c r="AZ68" s="518"/>
      <c r="BA68" s="518"/>
      <c r="BB68" s="518"/>
      <c r="BC68" s="518"/>
      <c r="BD68" s="518"/>
      <c r="BE68" s="518"/>
    </row>
    <row r="69" spans="1:57" ht="12.75" customHeight="1">
      <c r="A69" s="518"/>
      <c r="B69" s="518"/>
      <c r="C69" s="518"/>
      <c r="D69" s="518"/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18"/>
      <c r="AM69" s="518"/>
      <c r="AN69" s="518"/>
      <c r="AO69" s="518"/>
      <c r="AP69" s="518"/>
      <c r="AQ69" s="518"/>
      <c r="AR69" s="518"/>
      <c r="AS69" s="518"/>
      <c r="AT69" s="518"/>
      <c r="AU69" s="518"/>
      <c r="AV69" s="518"/>
      <c r="AW69" s="518"/>
      <c r="AX69" s="518"/>
      <c r="AY69" s="518"/>
      <c r="AZ69" s="518"/>
      <c r="BA69" s="518"/>
      <c r="BB69" s="518"/>
      <c r="BC69" s="518"/>
      <c r="BD69" s="518"/>
      <c r="BE69" s="518"/>
    </row>
    <row r="70" spans="1:57" ht="12.75" customHeight="1">
      <c r="A70" s="518"/>
      <c r="B70" s="518"/>
      <c r="C70" s="518"/>
      <c r="D70" s="518"/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8"/>
      <c r="AB70" s="518"/>
      <c r="AC70" s="518"/>
      <c r="AD70" s="518"/>
      <c r="AE70" s="518"/>
      <c r="AF70" s="518"/>
      <c r="AG70" s="518"/>
      <c r="AH70" s="518"/>
      <c r="AI70" s="518"/>
      <c r="AJ70" s="518"/>
      <c r="AK70" s="518"/>
      <c r="AL70" s="518"/>
      <c r="AM70" s="518"/>
      <c r="AN70" s="518"/>
      <c r="AO70" s="518"/>
      <c r="AP70" s="518"/>
      <c r="AQ70" s="518"/>
      <c r="AR70" s="518"/>
      <c r="AS70" s="518"/>
      <c r="AT70" s="518"/>
      <c r="AU70" s="518"/>
      <c r="AV70" s="518"/>
      <c r="AW70" s="518"/>
      <c r="AX70" s="518"/>
      <c r="AY70" s="518"/>
      <c r="AZ70" s="518"/>
      <c r="BA70" s="518"/>
      <c r="BB70" s="518"/>
      <c r="BC70" s="518"/>
      <c r="BD70" s="518"/>
      <c r="BE70" s="518"/>
    </row>
    <row r="71" spans="1:57" ht="12.75" customHeight="1">
      <c r="A71" s="518"/>
      <c r="B71" s="518"/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8"/>
      <c r="AB71" s="518"/>
      <c r="AC71" s="518"/>
      <c r="AD71" s="518"/>
      <c r="AE71" s="518"/>
      <c r="AF71" s="518"/>
      <c r="AG71" s="518"/>
      <c r="AH71" s="518"/>
      <c r="AI71" s="518"/>
      <c r="AJ71" s="518"/>
      <c r="AK71" s="518"/>
      <c r="AL71" s="518"/>
      <c r="AM71" s="518"/>
      <c r="AN71" s="518"/>
      <c r="AO71" s="518"/>
      <c r="AP71" s="518"/>
      <c r="AQ71" s="518"/>
      <c r="AR71" s="518"/>
      <c r="AS71" s="518"/>
      <c r="AT71" s="518"/>
      <c r="AU71" s="518"/>
      <c r="AV71" s="518"/>
      <c r="AW71" s="518"/>
      <c r="AX71" s="518"/>
      <c r="AY71" s="518"/>
      <c r="AZ71" s="518"/>
      <c r="BA71" s="518"/>
      <c r="BB71" s="518"/>
      <c r="BC71" s="518"/>
      <c r="BD71" s="518"/>
      <c r="BE71" s="518"/>
    </row>
    <row r="72" spans="1:57" ht="12.75" customHeight="1">
      <c r="A72" s="518"/>
      <c r="B72" s="518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8"/>
      <c r="AB72" s="518"/>
      <c r="AC72" s="518"/>
      <c r="AD72" s="518"/>
      <c r="AE72" s="518"/>
      <c r="AF72" s="518"/>
      <c r="AG72" s="518"/>
      <c r="AH72" s="518"/>
      <c r="AI72" s="518"/>
      <c r="AJ72" s="518"/>
      <c r="AK72" s="518"/>
      <c r="AL72" s="518"/>
      <c r="AM72" s="518"/>
      <c r="AN72" s="518"/>
      <c r="AO72" s="518"/>
      <c r="AP72" s="518"/>
      <c r="AQ72" s="518"/>
      <c r="AR72" s="518"/>
      <c r="AS72" s="518"/>
      <c r="AT72" s="518"/>
      <c r="AU72" s="518"/>
      <c r="AV72" s="518"/>
      <c r="AW72" s="518"/>
      <c r="AX72" s="518"/>
      <c r="AY72" s="518"/>
      <c r="AZ72" s="518"/>
      <c r="BA72" s="518"/>
      <c r="BB72" s="518"/>
      <c r="BC72" s="518"/>
      <c r="BD72" s="518"/>
      <c r="BE72" s="518"/>
    </row>
    <row r="73" spans="1:57" ht="12.75" customHeight="1">
      <c r="A73" s="518"/>
      <c r="B73" s="518"/>
      <c r="C73" s="518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</row>
    <row r="74" spans="1:57" ht="12.75" customHeight="1">
      <c r="A74" s="518"/>
      <c r="B74" s="518"/>
      <c r="C74" s="518"/>
      <c r="D74" s="518"/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8"/>
      <c r="AB74" s="518"/>
      <c r="AC74" s="518"/>
      <c r="AD74" s="518"/>
      <c r="AE74" s="518"/>
      <c r="AF74" s="518"/>
      <c r="AG74" s="518"/>
      <c r="AH74" s="518"/>
      <c r="AI74" s="518"/>
      <c r="AJ74" s="518"/>
      <c r="AK74" s="518"/>
      <c r="AL74" s="518"/>
      <c r="AM74" s="518"/>
      <c r="AN74" s="518"/>
      <c r="AO74" s="518"/>
      <c r="AP74" s="518"/>
      <c r="AQ74" s="518"/>
      <c r="AR74" s="518"/>
      <c r="AS74" s="518"/>
      <c r="AT74" s="518"/>
      <c r="AU74" s="518"/>
      <c r="AV74" s="518"/>
      <c r="AW74" s="518"/>
      <c r="AX74" s="518"/>
      <c r="AY74" s="518"/>
      <c r="AZ74" s="518"/>
      <c r="BA74" s="518"/>
      <c r="BB74" s="518"/>
      <c r="BC74" s="518"/>
      <c r="BD74" s="518"/>
      <c r="BE74" s="518"/>
    </row>
    <row r="75" spans="1:57" ht="12.75" customHeight="1">
      <c r="A75" s="518"/>
      <c r="B75" s="518"/>
      <c r="C75" s="518"/>
      <c r="D75" s="518"/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8"/>
      <c r="AB75" s="518"/>
      <c r="AC75" s="518"/>
      <c r="AD75" s="518"/>
      <c r="AE75" s="518"/>
      <c r="AF75" s="518"/>
      <c r="AG75" s="518"/>
      <c r="AH75" s="518"/>
      <c r="AI75" s="518"/>
      <c r="AJ75" s="518"/>
      <c r="AK75" s="518"/>
      <c r="AL75" s="518"/>
      <c r="AM75" s="518"/>
      <c r="AN75" s="518"/>
      <c r="AO75" s="518"/>
      <c r="AP75" s="518"/>
      <c r="AQ75" s="518"/>
      <c r="AR75" s="518"/>
      <c r="AS75" s="518"/>
      <c r="AT75" s="518"/>
      <c r="AU75" s="518"/>
      <c r="AV75" s="518"/>
      <c r="AW75" s="518"/>
      <c r="AX75" s="518"/>
      <c r="AY75" s="518"/>
      <c r="AZ75" s="518"/>
      <c r="BA75" s="518"/>
      <c r="BB75" s="518"/>
      <c r="BC75" s="518"/>
      <c r="BD75" s="518"/>
      <c r="BE75" s="518"/>
    </row>
    <row r="76" spans="1:57" ht="12.75" customHeight="1">
      <c r="A76" s="518"/>
      <c r="B76" s="518"/>
      <c r="C76" s="518"/>
      <c r="D76" s="518"/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  <c r="AC76" s="518"/>
      <c r="AD76" s="518"/>
      <c r="AE76" s="518"/>
      <c r="AF76" s="518"/>
      <c r="AG76" s="518"/>
      <c r="AH76" s="518"/>
      <c r="AI76" s="518"/>
      <c r="AJ76" s="518"/>
      <c r="AK76" s="518"/>
      <c r="AL76" s="518"/>
      <c r="AM76" s="518"/>
      <c r="AN76" s="518"/>
      <c r="AO76" s="518"/>
      <c r="AP76" s="518"/>
      <c r="AQ76" s="518"/>
      <c r="AR76" s="518"/>
      <c r="AS76" s="518"/>
      <c r="AT76" s="518"/>
      <c r="AU76" s="518"/>
      <c r="AV76" s="518"/>
      <c r="AW76" s="518"/>
      <c r="AX76" s="518"/>
      <c r="AY76" s="518"/>
      <c r="AZ76" s="518"/>
      <c r="BA76" s="518"/>
      <c r="BB76" s="518"/>
      <c r="BC76" s="518"/>
      <c r="BD76" s="518"/>
      <c r="BE76" s="518"/>
    </row>
    <row r="77" spans="1:57" ht="12.75" customHeight="1">
      <c r="A77" s="518"/>
      <c r="B77" s="518"/>
      <c r="C77" s="518"/>
      <c r="D77" s="518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8"/>
      <c r="AB77" s="518"/>
      <c r="AC77" s="518"/>
      <c r="AD77" s="518"/>
      <c r="AE77" s="518"/>
      <c r="AF77" s="518"/>
      <c r="AG77" s="518"/>
      <c r="AH77" s="518"/>
      <c r="AI77" s="518"/>
      <c r="AJ77" s="518"/>
      <c r="AK77" s="518"/>
      <c r="AL77" s="518"/>
      <c r="AM77" s="518"/>
      <c r="AN77" s="518"/>
      <c r="AO77" s="518"/>
      <c r="AP77" s="518"/>
      <c r="AQ77" s="518"/>
      <c r="AR77" s="518"/>
      <c r="AS77" s="518"/>
      <c r="AT77" s="518"/>
      <c r="AU77" s="518"/>
      <c r="AV77" s="518"/>
      <c r="AW77" s="518"/>
      <c r="AX77" s="518"/>
      <c r="AY77" s="518"/>
      <c r="AZ77" s="518"/>
      <c r="BA77" s="518"/>
      <c r="BB77" s="518"/>
      <c r="BC77" s="518"/>
      <c r="BD77" s="518"/>
      <c r="BE77" s="518"/>
    </row>
    <row r="78" spans="1:57" ht="12.75" customHeight="1">
      <c r="A78" s="518"/>
      <c r="B78" s="518"/>
      <c r="C78" s="518"/>
      <c r="D78" s="518"/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  <c r="AC78" s="518"/>
      <c r="AD78" s="518"/>
      <c r="AE78" s="518"/>
      <c r="AF78" s="518"/>
      <c r="AG78" s="518"/>
      <c r="AH78" s="518"/>
      <c r="AI78" s="518"/>
      <c r="AJ78" s="518"/>
      <c r="AK78" s="518"/>
      <c r="AL78" s="518"/>
      <c r="AM78" s="518"/>
      <c r="AN78" s="518"/>
      <c r="AO78" s="518"/>
      <c r="AP78" s="518"/>
      <c r="AQ78" s="518"/>
      <c r="AR78" s="518"/>
      <c r="AS78" s="518"/>
      <c r="AT78" s="518"/>
      <c r="AU78" s="518"/>
      <c r="AV78" s="518"/>
      <c r="AW78" s="518"/>
      <c r="AX78" s="518"/>
      <c r="AY78" s="518"/>
      <c r="AZ78" s="518"/>
      <c r="BA78" s="518"/>
      <c r="BB78" s="518"/>
      <c r="BC78" s="518"/>
      <c r="BD78" s="518"/>
      <c r="BE78" s="518"/>
    </row>
    <row r="79" spans="1:57" ht="12.75" customHeight="1">
      <c r="A79" s="518"/>
      <c r="B79" s="518"/>
      <c r="C79" s="518"/>
      <c r="D79" s="518"/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  <c r="AC79" s="518"/>
      <c r="AD79" s="518"/>
      <c r="AE79" s="518"/>
      <c r="AF79" s="518"/>
      <c r="AG79" s="518"/>
      <c r="AH79" s="518"/>
      <c r="AI79" s="518"/>
      <c r="AJ79" s="518"/>
      <c r="AK79" s="518"/>
      <c r="AL79" s="518"/>
      <c r="AM79" s="518"/>
      <c r="AN79" s="518"/>
      <c r="AO79" s="518"/>
      <c r="AP79" s="518"/>
      <c r="AQ79" s="518"/>
      <c r="AR79" s="518"/>
      <c r="AS79" s="518"/>
      <c r="AT79" s="518"/>
      <c r="AU79" s="518"/>
      <c r="AV79" s="518"/>
      <c r="AW79" s="518"/>
      <c r="AX79" s="518"/>
      <c r="AY79" s="518"/>
      <c r="AZ79" s="518"/>
      <c r="BA79" s="518"/>
      <c r="BB79" s="518"/>
      <c r="BC79" s="518"/>
      <c r="BD79" s="518"/>
      <c r="BE79" s="518"/>
    </row>
    <row r="80" spans="1:57" ht="12.75" customHeight="1">
      <c r="A80" s="518"/>
      <c r="B80" s="518"/>
      <c r="C80" s="518"/>
      <c r="D80" s="518"/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8"/>
      <c r="AB80" s="518"/>
      <c r="AC80" s="518"/>
      <c r="AD80" s="518"/>
      <c r="AE80" s="518"/>
      <c r="AF80" s="518"/>
      <c r="AG80" s="518"/>
      <c r="AH80" s="518"/>
      <c r="AI80" s="518"/>
      <c r="AJ80" s="518"/>
      <c r="AK80" s="518"/>
      <c r="AL80" s="518"/>
      <c r="AM80" s="518"/>
      <c r="AN80" s="518"/>
      <c r="AO80" s="518"/>
      <c r="AP80" s="518"/>
      <c r="AQ80" s="518"/>
      <c r="AR80" s="518"/>
      <c r="AS80" s="518"/>
      <c r="AT80" s="518"/>
      <c r="AU80" s="518"/>
      <c r="AV80" s="518"/>
      <c r="AW80" s="518"/>
      <c r="AX80" s="518"/>
      <c r="AY80" s="518"/>
      <c r="AZ80" s="518"/>
      <c r="BA80" s="518"/>
      <c r="BB80" s="518"/>
      <c r="BC80" s="518"/>
      <c r="BD80" s="518"/>
      <c r="BE80" s="518"/>
    </row>
    <row r="81" spans="1:57" ht="12.75" customHeight="1">
      <c r="A81" s="518"/>
      <c r="B81" s="518"/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8"/>
      <c r="AB81" s="518"/>
      <c r="AC81" s="518"/>
      <c r="AD81" s="518"/>
      <c r="AE81" s="518"/>
      <c r="AF81" s="518"/>
      <c r="AG81" s="518"/>
      <c r="AH81" s="518"/>
      <c r="AI81" s="518"/>
      <c r="AJ81" s="518"/>
      <c r="AK81" s="518"/>
      <c r="AL81" s="518"/>
      <c r="AM81" s="518"/>
      <c r="AN81" s="518"/>
      <c r="AO81" s="518"/>
      <c r="AP81" s="518"/>
      <c r="AQ81" s="518"/>
      <c r="AR81" s="518"/>
      <c r="AS81" s="518"/>
      <c r="AT81" s="518"/>
      <c r="AU81" s="518"/>
      <c r="AV81" s="518"/>
      <c r="AW81" s="518"/>
      <c r="AX81" s="518"/>
      <c r="AY81" s="518"/>
      <c r="AZ81" s="518"/>
      <c r="BA81" s="518"/>
      <c r="BB81" s="518"/>
      <c r="BC81" s="518"/>
      <c r="BD81" s="518"/>
      <c r="BE81" s="518"/>
    </row>
    <row r="82" spans="1:57" ht="12.75" customHeight="1">
      <c r="A82" s="518"/>
      <c r="B82" s="518"/>
      <c r="C82" s="518"/>
      <c r="D82" s="518"/>
      <c r="E82" s="518"/>
      <c r="F82" s="518"/>
      <c r="G82" s="518"/>
      <c r="H82" s="518"/>
      <c r="I82" s="518"/>
      <c r="J82" s="518"/>
      <c r="K82" s="518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8"/>
      <c r="AB82" s="518"/>
      <c r="AC82" s="518"/>
      <c r="AD82" s="518"/>
      <c r="AE82" s="518"/>
      <c r="AF82" s="518"/>
      <c r="AG82" s="518"/>
      <c r="AH82" s="518"/>
      <c r="AI82" s="518"/>
      <c r="AJ82" s="518"/>
      <c r="AK82" s="518"/>
      <c r="AL82" s="518"/>
      <c r="AM82" s="518"/>
      <c r="AN82" s="518"/>
      <c r="AO82" s="518"/>
      <c r="AP82" s="518"/>
      <c r="AQ82" s="518"/>
      <c r="AR82" s="518"/>
      <c r="AS82" s="518"/>
      <c r="AT82" s="518"/>
      <c r="AU82" s="518"/>
      <c r="AV82" s="518"/>
      <c r="AW82" s="518"/>
      <c r="AX82" s="518"/>
      <c r="AY82" s="518"/>
      <c r="AZ82" s="518"/>
      <c r="BA82" s="518"/>
      <c r="BB82" s="518"/>
      <c r="BC82" s="518"/>
      <c r="BD82" s="518"/>
      <c r="BE82" s="518"/>
    </row>
    <row r="83" spans="1:57" ht="12.75" customHeight="1">
      <c r="A83" s="518"/>
      <c r="B83" s="518"/>
      <c r="C83" s="518"/>
      <c r="D83" s="518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8"/>
      <c r="AB83" s="518"/>
      <c r="AC83" s="518"/>
      <c r="AD83" s="518"/>
      <c r="AE83" s="518"/>
      <c r="AF83" s="518"/>
      <c r="AG83" s="518"/>
      <c r="AH83" s="518"/>
      <c r="AI83" s="518"/>
      <c r="AJ83" s="518"/>
      <c r="AK83" s="518"/>
      <c r="AL83" s="518"/>
      <c r="AM83" s="518"/>
      <c r="AN83" s="518"/>
      <c r="AO83" s="518"/>
      <c r="AP83" s="518"/>
      <c r="AQ83" s="518"/>
      <c r="AR83" s="518"/>
      <c r="AS83" s="518"/>
      <c r="AT83" s="518"/>
      <c r="AU83" s="518"/>
      <c r="AV83" s="518"/>
      <c r="AW83" s="518"/>
      <c r="AX83" s="518"/>
      <c r="AY83" s="518"/>
      <c r="AZ83" s="518"/>
      <c r="BA83" s="518"/>
      <c r="BB83" s="518"/>
      <c r="BC83" s="518"/>
      <c r="BD83" s="518"/>
      <c r="BE83" s="518"/>
    </row>
    <row r="84" spans="1:57" ht="12.75" customHeight="1">
      <c r="A84" s="518"/>
      <c r="B84" s="518"/>
      <c r="C84" s="518"/>
      <c r="D84" s="518"/>
      <c r="E84" s="518"/>
      <c r="F84" s="518"/>
      <c r="G84" s="518"/>
      <c r="H84" s="518"/>
      <c r="I84" s="518"/>
      <c r="J84" s="518"/>
      <c r="K84" s="518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8"/>
      <c r="AB84" s="518"/>
      <c r="AC84" s="518"/>
      <c r="AD84" s="518"/>
      <c r="AE84" s="518"/>
      <c r="AF84" s="518"/>
      <c r="AG84" s="518"/>
      <c r="AH84" s="518"/>
      <c r="AI84" s="518"/>
      <c r="AJ84" s="518"/>
      <c r="AK84" s="518"/>
      <c r="AL84" s="518"/>
      <c r="AM84" s="518"/>
      <c r="AN84" s="518"/>
      <c r="AO84" s="518"/>
      <c r="AP84" s="518"/>
      <c r="AQ84" s="518"/>
      <c r="AR84" s="518"/>
      <c r="AS84" s="518"/>
      <c r="AT84" s="518"/>
      <c r="AU84" s="518"/>
      <c r="AV84" s="518"/>
      <c r="AW84" s="518"/>
      <c r="AX84" s="518"/>
      <c r="AY84" s="518"/>
      <c r="AZ84" s="518"/>
      <c r="BA84" s="518"/>
      <c r="BB84" s="518"/>
      <c r="BC84" s="518"/>
      <c r="BD84" s="518"/>
      <c r="BE84" s="518"/>
    </row>
    <row r="85" spans="1:57" ht="12.75" customHeight="1">
      <c r="A85" s="518"/>
      <c r="B85" s="518"/>
      <c r="C85" s="518"/>
      <c r="D85" s="518"/>
      <c r="E85" s="518"/>
      <c r="F85" s="518"/>
      <c r="G85" s="518"/>
      <c r="H85" s="518"/>
      <c r="I85" s="518"/>
      <c r="J85" s="518"/>
      <c r="K85" s="518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8"/>
      <c r="AB85" s="518"/>
      <c r="AC85" s="518"/>
      <c r="AD85" s="518"/>
      <c r="AE85" s="518"/>
      <c r="AF85" s="518"/>
      <c r="AG85" s="518"/>
      <c r="AH85" s="518"/>
      <c r="AI85" s="518"/>
      <c r="AJ85" s="518"/>
      <c r="AK85" s="518"/>
      <c r="AL85" s="518"/>
      <c r="AM85" s="518"/>
      <c r="AN85" s="518"/>
      <c r="AO85" s="518"/>
      <c r="AP85" s="518"/>
      <c r="AQ85" s="518"/>
      <c r="AR85" s="518"/>
      <c r="AS85" s="518"/>
      <c r="AT85" s="518"/>
      <c r="AU85" s="518"/>
      <c r="AV85" s="518"/>
      <c r="AW85" s="518"/>
      <c r="AX85" s="518"/>
      <c r="AY85" s="518"/>
      <c r="AZ85" s="518"/>
      <c r="BA85" s="518"/>
      <c r="BB85" s="518"/>
      <c r="BC85" s="518"/>
      <c r="BD85" s="518"/>
      <c r="BE85" s="518"/>
    </row>
    <row r="86" spans="1:57" ht="12.75" customHeight="1">
      <c r="A86" s="518"/>
      <c r="B86" s="518"/>
      <c r="C86" s="518"/>
      <c r="D86" s="518"/>
      <c r="E86" s="518"/>
      <c r="F86" s="518"/>
      <c r="G86" s="518"/>
      <c r="H86" s="518"/>
      <c r="I86" s="518"/>
      <c r="J86" s="518"/>
      <c r="K86" s="518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8"/>
      <c r="AB86" s="518"/>
      <c r="AC86" s="518"/>
      <c r="AD86" s="518"/>
      <c r="AE86" s="518"/>
      <c r="AF86" s="518"/>
      <c r="AG86" s="518"/>
      <c r="AH86" s="518"/>
      <c r="AI86" s="518"/>
      <c r="AJ86" s="518"/>
      <c r="AK86" s="518"/>
      <c r="AL86" s="518"/>
      <c r="AM86" s="518"/>
      <c r="AN86" s="518"/>
      <c r="AO86" s="518"/>
      <c r="AP86" s="518"/>
      <c r="AQ86" s="518"/>
      <c r="AR86" s="518"/>
      <c r="AS86" s="518"/>
      <c r="AT86" s="518"/>
      <c r="AU86" s="518"/>
      <c r="AV86" s="518"/>
      <c r="AW86" s="518"/>
      <c r="AX86" s="518"/>
      <c r="AY86" s="518"/>
      <c r="AZ86" s="518"/>
      <c r="BA86" s="518"/>
      <c r="BB86" s="518"/>
      <c r="BC86" s="518"/>
      <c r="BD86" s="518"/>
      <c r="BE86" s="518"/>
    </row>
    <row r="87" spans="1:57" ht="12.75" customHeight="1">
      <c r="A87" s="518"/>
      <c r="B87" s="518"/>
      <c r="C87" s="518"/>
      <c r="D87" s="518"/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8"/>
      <c r="AB87" s="518"/>
      <c r="AC87" s="518"/>
      <c r="AD87" s="518"/>
      <c r="AE87" s="518"/>
      <c r="AF87" s="518"/>
      <c r="AG87" s="518"/>
      <c r="AH87" s="518"/>
      <c r="AI87" s="518"/>
      <c r="AJ87" s="518"/>
      <c r="AK87" s="518"/>
      <c r="AL87" s="518"/>
      <c r="AM87" s="518"/>
      <c r="AN87" s="518"/>
      <c r="AO87" s="518"/>
      <c r="AP87" s="518"/>
      <c r="AQ87" s="518"/>
      <c r="AR87" s="518"/>
      <c r="AS87" s="518"/>
      <c r="AT87" s="518"/>
      <c r="AU87" s="518"/>
      <c r="AV87" s="518"/>
      <c r="AW87" s="518"/>
      <c r="AX87" s="518"/>
      <c r="AY87" s="518"/>
      <c r="AZ87" s="518"/>
      <c r="BA87" s="518"/>
      <c r="BB87" s="518"/>
      <c r="BC87" s="518"/>
      <c r="BD87" s="518"/>
      <c r="BE87" s="518"/>
    </row>
    <row r="88" spans="1:57" ht="12.75" customHeight="1">
      <c r="A88" s="518"/>
      <c r="B88" s="518"/>
      <c r="C88" s="518"/>
      <c r="D88" s="518"/>
      <c r="E88" s="518"/>
      <c r="F88" s="518"/>
      <c r="G88" s="518"/>
      <c r="H88" s="518"/>
      <c r="I88" s="518"/>
      <c r="J88" s="518"/>
      <c r="K88" s="518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  <c r="AC88" s="518"/>
      <c r="AD88" s="518"/>
      <c r="AE88" s="518"/>
      <c r="AF88" s="518"/>
      <c r="AG88" s="518"/>
      <c r="AH88" s="518"/>
      <c r="AI88" s="518"/>
      <c r="AJ88" s="518"/>
      <c r="AK88" s="518"/>
      <c r="AL88" s="518"/>
      <c r="AM88" s="518"/>
      <c r="AN88" s="518"/>
      <c r="AO88" s="518"/>
      <c r="AP88" s="518"/>
      <c r="AQ88" s="518"/>
      <c r="AR88" s="518"/>
      <c r="AS88" s="518"/>
      <c r="AT88" s="518"/>
      <c r="AU88" s="518"/>
      <c r="AV88" s="518"/>
      <c r="AW88" s="518"/>
      <c r="AX88" s="518"/>
      <c r="AY88" s="518"/>
      <c r="AZ88" s="518"/>
      <c r="BA88" s="518"/>
      <c r="BB88" s="518"/>
      <c r="BC88" s="518"/>
      <c r="BD88" s="518"/>
      <c r="BE88" s="518"/>
    </row>
    <row r="89" spans="1:57" ht="12.75" customHeight="1">
      <c r="A89" s="518"/>
      <c r="B89" s="518"/>
      <c r="C89" s="518"/>
      <c r="D89" s="518"/>
      <c r="E89" s="518"/>
      <c r="F89" s="518"/>
      <c r="G89" s="518"/>
      <c r="H89" s="518"/>
      <c r="I89" s="518"/>
      <c r="J89" s="518"/>
      <c r="K89" s="518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  <c r="AC89" s="518"/>
      <c r="AD89" s="518"/>
      <c r="AE89" s="518"/>
      <c r="AF89" s="518"/>
      <c r="AG89" s="518"/>
      <c r="AH89" s="518"/>
      <c r="AI89" s="518"/>
      <c r="AJ89" s="518"/>
      <c r="AK89" s="518"/>
      <c r="AL89" s="518"/>
      <c r="AM89" s="518"/>
      <c r="AN89" s="518"/>
      <c r="AO89" s="518"/>
      <c r="AP89" s="518"/>
      <c r="AQ89" s="518"/>
      <c r="AR89" s="518"/>
      <c r="AS89" s="518"/>
      <c r="AT89" s="518"/>
      <c r="AU89" s="518"/>
      <c r="AV89" s="518"/>
      <c r="AW89" s="518"/>
      <c r="AX89" s="518"/>
      <c r="AY89" s="518"/>
      <c r="AZ89" s="518"/>
      <c r="BA89" s="518"/>
      <c r="BB89" s="518"/>
      <c r="BC89" s="518"/>
      <c r="BD89" s="518"/>
      <c r="BE89" s="518"/>
    </row>
    <row r="90" spans="1:57" ht="12.75" customHeight="1">
      <c r="A90" s="518"/>
      <c r="B90" s="518"/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  <c r="AC90" s="518"/>
      <c r="AD90" s="518"/>
      <c r="AE90" s="518"/>
      <c r="AF90" s="518"/>
      <c r="AG90" s="518"/>
      <c r="AH90" s="518"/>
      <c r="AI90" s="518"/>
      <c r="AJ90" s="518"/>
      <c r="AK90" s="518"/>
      <c r="AL90" s="518"/>
      <c r="AM90" s="518"/>
      <c r="AN90" s="518"/>
      <c r="AO90" s="518"/>
      <c r="AP90" s="518"/>
      <c r="AQ90" s="518"/>
      <c r="AR90" s="518"/>
      <c r="AS90" s="518"/>
      <c r="AT90" s="518"/>
      <c r="AU90" s="518"/>
      <c r="AV90" s="518"/>
      <c r="AW90" s="518"/>
      <c r="AX90" s="518"/>
      <c r="AY90" s="518"/>
      <c r="AZ90" s="518"/>
      <c r="BA90" s="518"/>
      <c r="BB90" s="518"/>
      <c r="BC90" s="518"/>
      <c r="BD90" s="518"/>
      <c r="BE90" s="518"/>
    </row>
    <row r="91" spans="1:57" ht="12.75" customHeight="1">
      <c r="A91" s="518"/>
      <c r="B91" s="518"/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  <c r="AC91" s="518"/>
      <c r="AD91" s="518"/>
      <c r="AE91" s="518"/>
      <c r="AF91" s="518"/>
      <c r="AG91" s="518"/>
      <c r="AH91" s="518"/>
      <c r="AI91" s="518"/>
      <c r="AJ91" s="518"/>
      <c r="AK91" s="518"/>
      <c r="AL91" s="518"/>
      <c r="AM91" s="518"/>
      <c r="AN91" s="518"/>
      <c r="AO91" s="518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</row>
    <row r="92" spans="1:57" ht="12.75" customHeight="1">
      <c r="A92" s="518"/>
      <c r="B92" s="518"/>
      <c r="C92" s="518"/>
      <c r="D92" s="518"/>
      <c r="E92" s="518"/>
      <c r="F92" s="518"/>
      <c r="G92" s="518"/>
      <c r="H92" s="518"/>
      <c r="I92" s="518"/>
      <c r="J92" s="518"/>
      <c r="K92" s="518"/>
      <c r="L92" s="51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  <c r="AB92" s="518"/>
      <c r="AC92" s="518"/>
      <c r="AD92" s="518"/>
      <c r="AE92" s="518"/>
      <c r="AF92" s="518"/>
      <c r="AG92" s="518"/>
      <c r="AH92" s="518"/>
      <c r="AI92" s="518"/>
      <c r="AJ92" s="518"/>
      <c r="AK92" s="518"/>
      <c r="AL92" s="518"/>
      <c r="AM92" s="518"/>
      <c r="AN92" s="518"/>
      <c r="AO92" s="518"/>
      <c r="AP92" s="518"/>
      <c r="AQ92" s="518"/>
      <c r="AR92" s="518"/>
      <c r="AS92" s="518"/>
      <c r="AT92" s="518"/>
      <c r="AU92" s="518"/>
      <c r="AV92" s="518"/>
      <c r="AW92" s="518"/>
      <c r="AX92" s="518"/>
      <c r="AY92" s="518"/>
      <c r="AZ92" s="518"/>
      <c r="BA92" s="518"/>
      <c r="BB92" s="518"/>
      <c r="BC92" s="518"/>
      <c r="BD92" s="518"/>
      <c r="BE92" s="518"/>
    </row>
    <row r="93" spans="1:57" ht="12.75" customHeight="1">
      <c r="A93" s="518"/>
      <c r="B93" s="518"/>
      <c r="C93" s="518"/>
      <c r="D93" s="518"/>
      <c r="E93" s="518"/>
      <c r="F93" s="518"/>
      <c r="G93" s="518"/>
      <c r="H93" s="518"/>
      <c r="I93" s="518"/>
      <c r="J93" s="518"/>
      <c r="K93" s="518"/>
      <c r="L93" s="518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518"/>
      <c r="AF93" s="518"/>
      <c r="AG93" s="518"/>
      <c r="AH93" s="518"/>
      <c r="AI93" s="518"/>
      <c r="AJ93" s="518"/>
      <c r="AK93" s="518"/>
      <c r="AL93" s="518"/>
      <c r="AM93" s="518"/>
      <c r="AN93" s="518"/>
      <c r="AO93" s="518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</row>
    <row r="94" spans="1:57" ht="12.75" customHeight="1">
      <c r="A94" s="518"/>
      <c r="B94" s="518"/>
      <c r="C94" s="518"/>
      <c r="D94" s="518"/>
      <c r="E94" s="518"/>
      <c r="F94" s="518"/>
      <c r="G94" s="518"/>
      <c r="H94" s="518"/>
      <c r="I94" s="518"/>
      <c r="J94" s="518"/>
      <c r="K94" s="518"/>
      <c r="L94" s="518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  <c r="AB94" s="518"/>
      <c r="AC94" s="518"/>
      <c r="AD94" s="518"/>
      <c r="AE94" s="518"/>
      <c r="AF94" s="518"/>
      <c r="AG94" s="518"/>
      <c r="AH94" s="518"/>
      <c r="AI94" s="518"/>
      <c r="AJ94" s="518"/>
      <c r="AK94" s="518"/>
      <c r="AL94" s="518"/>
      <c r="AM94" s="518"/>
      <c r="AN94" s="518"/>
      <c r="AO94" s="518"/>
      <c r="AP94" s="518"/>
      <c r="AQ94" s="518"/>
      <c r="AR94" s="518"/>
      <c r="AS94" s="518"/>
      <c r="AT94" s="518"/>
      <c r="AU94" s="518"/>
      <c r="AV94" s="518"/>
      <c r="AW94" s="518"/>
      <c r="AX94" s="518"/>
      <c r="AY94" s="518"/>
      <c r="AZ94" s="518"/>
      <c r="BA94" s="518"/>
      <c r="BB94" s="518"/>
      <c r="BC94" s="518"/>
      <c r="BD94" s="518"/>
      <c r="BE94" s="518"/>
    </row>
    <row r="95" spans="1:57" ht="12.75" customHeight="1">
      <c r="A95" s="518"/>
      <c r="B95" s="518"/>
      <c r="C95" s="518"/>
      <c r="D95" s="518"/>
      <c r="E95" s="518"/>
      <c r="F95" s="518"/>
      <c r="G95" s="518"/>
      <c r="H95" s="518"/>
      <c r="I95" s="518"/>
      <c r="J95" s="518"/>
      <c r="K95" s="518"/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  <c r="AB95" s="518"/>
      <c r="AC95" s="518"/>
      <c r="AD95" s="518"/>
      <c r="AE95" s="518"/>
      <c r="AF95" s="518"/>
      <c r="AG95" s="518"/>
      <c r="AH95" s="518"/>
      <c r="AI95" s="518"/>
      <c r="AJ95" s="518"/>
      <c r="AK95" s="518"/>
      <c r="AL95" s="518"/>
      <c r="AM95" s="518"/>
      <c r="AN95" s="518"/>
      <c r="AO95" s="518"/>
      <c r="AP95" s="518"/>
      <c r="AQ95" s="518"/>
      <c r="AR95" s="518"/>
      <c r="AS95" s="518"/>
      <c r="AT95" s="518"/>
      <c r="AU95" s="518"/>
      <c r="AV95" s="518"/>
      <c r="AW95" s="518"/>
      <c r="AX95" s="518"/>
      <c r="AY95" s="518"/>
      <c r="AZ95" s="518"/>
      <c r="BA95" s="518"/>
      <c r="BB95" s="518"/>
      <c r="BC95" s="518"/>
      <c r="BD95" s="518"/>
      <c r="BE95" s="518"/>
    </row>
    <row r="96" spans="1:57" ht="12.75" customHeight="1">
      <c r="A96" s="518"/>
      <c r="B96" s="518"/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  <c r="R96" s="518"/>
      <c r="S96" s="518"/>
      <c r="T96" s="518"/>
      <c r="U96" s="518"/>
      <c r="V96" s="518"/>
      <c r="W96" s="518"/>
      <c r="X96" s="518"/>
      <c r="Y96" s="518"/>
      <c r="Z96" s="518"/>
      <c r="AA96" s="518"/>
      <c r="AB96" s="518"/>
      <c r="AC96" s="518"/>
      <c r="AD96" s="518"/>
      <c r="AE96" s="518"/>
      <c r="AF96" s="518"/>
      <c r="AG96" s="518"/>
      <c r="AH96" s="518"/>
      <c r="AI96" s="518"/>
      <c r="AJ96" s="518"/>
      <c r="AK96" s="518"/>
      <c r="AL96" s="518"/>
      <c r="AM96" s="518"/>
      <c r="AN96" s="518"/>
      <c r="AO96" s="518"/>
      <c r="AP96" s="518"/>
      <c r="AQ96" s="518"/>
      <c r="AR96" s="518"/>
      <c r="AS96" s="518"/>
      <c r="AT96" s="518"/>
      <c r="AU96" s="518"/>
      <c r="AV96" s="518"/>
      <c r="AW96" s="518"/>
      <c r="AX96" s="518"/>
      <c r="AY96" s="518"/>
      <c r="AZ96" s="518"/>
      <c r="BA96" s="518"/>
      <c r="BB96" s="518"/>
      <c r="BC96" s="518"/>
      <c r="BD96" s="518"/>
      <c r="BE96" s="518"/>
    </row>
    <row r="97" spans="1:57" ht="12.75" customHeight="1">
      <c r="A97" s="518"/>
      <c r="B97" s="518"/>
      <c r="C97" s="518"/>
      <c r="D97" s="518"/>
      <c r="E97" s="518"/>
      <c r="F97" s="518"/>
      <c r="G97" s="518"/>
      <c r="H97" s="518"/>
      <c r="I97" s="518"/>
      <c r="J97" s="518"/>
      <c r="K97" s="518"/>
      <c r="L97" s="518"/>
      <c r="M97" s="518"/>
      <c r="N97" s="518"/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  <c r="Z97" s="518"/>
      <c r="AA97" s="518"/>
      <c r="AB97" s="518"/>
      <c r="AC97" s="518"/>
      <c r="AD97" s="518"/>
      <c r="AE97" s="518"/>
      <c r="AF97" s="518"/>
      <c r="AG97" s="518"/>
      <c r="AH97" s="518"/>
      <c r="AI97" s="518"/>
      <c r="AJ97" s="518"/>
      <c r="AK97" s="518"/>
      <c r="AL97" s="518"/>
      <c r="AM97" s="518"/>
      <c r="AN97" s="518"/>
      <c r="AO97" s="518"/>
      <c r="AP97" s="518"/>
      <c r="AQ97" s="518"/>
      <c r="AR97" s="518"/>
      <c r="AS97" s="518"/>
      <c r="AT97" s="518"/>
      <c r="AU97" s="518"/>
      <c r="AV97" s="518"/>
      <c r="AW97" s="518"/>
      <c r="AX97" s="518"/>
      <c r="AY97" s="518"/>
      <c r="AZ97" s="518"/>
      <c r="BA97" s="518"/>
      <c r="BB97" s="518"/>
      <c r="BC97" s="518"/>
      <c r="BD97" s="518"/>
      <c r="BE97" s="518"/>
    </row>
    <row r="98" spans="1:57" ht="12.75" customHeight="1">
      <c r="A98" s="518"/>
      <c r="B98" s="518"/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8"/>
      <c r="O98" s="518"/>
      <c r="P98" s="518"/>
      <c r="Q98" s="518"/>
      <c r="R98" s="518"/>
      <c r="S98" s="518"/>
      <c r="T98" s="518"/>
      <c r="U98" s="518"/>
      <c r="V98" s="518"/>
      <c r="W98" s="518"/>
      <c r="X98" s="518"/>
      <c r="Y98" s="518"/>
      <c r="Z98" s="518"/>
      <c r="AA98" s="518"/>
      <c r="AB98" s="518"/>
      <c r="AC98" s="518"/>
      <c r="AD98" s="518"/>
      <c r="AE98" s="518"/>
      <c r="AF98" s="518"/>
      <c r="AG98" s="518"/>
      <c r="AH98" s="518"/>
      <c r="AI98" s="518"/>
      <c r="AJ98" s="518"/>
      <c r="AK98" s="518"/>
      <c r="AL98" s="518"/>
      <c r="AM98" s="518"/>
      <c r="AN98" s="518"/>
      <c r="AO98" s="518"/>
      <c r="AP98" s="518"/>
      <c r="AQ98" s="518"/>
      <c r="AR98" s="518"/>
      <c r="AS98" s="518"/>
      <c r="AT98" s="518"/>
      <c r="AU98" s="518"/>
      <c r="AV98" s="518"/>
      <c r="AW98" s="518"/>
      <c r="AX98" s="518"/>
      <c r="AY98" s="518"/>
      <c r="AZ98" s="518"/>
      <c r="BA98" s="518"/>
      <c r="BB98" s="518"/>
      <c r="BC98" s="518"/>
      <c r="BD98" s="518"/>
      <c r="BE98" s="518"/>
    </row>
    <row r="99" spans="1:57" ht="12.75" customHeight="1">
      <c r="A99" s="518"/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518"/>
      <c r="U99" s="518"/>
      <c r="V99" s="518"/>
      <c r="W99" s="518"/>
      <c r="X99" s="518"/>
      <c r="Y99" s="518"/>
      <c r="Z99" s="518"/>
      <c r="AA99" s="518"/>
      <c r="AB99" s="518"/>
      <c r="AC99" s="518"/>
      <c r="AD99" s="518"/>
      <c r="AE99" s="518"/>
      <c r="AF99" s="518"/>
      <c r="AG99" s="518"/>
      <c r="AH99" s="518"/>
      <c r="AI99" s="518"/>
      <c r="AJ99" s="518"/>
      <c r="AK99" s="518"/>
      <c r="AL99" s="518"/>
      <c r="AM99" s="518"/>
      <c r="AN99" s="518"/>
      <c r="AO99" s="518"/>
      <c r="AP99" s="518"/>
      <c r="AQ99" s="518"/>
      <c r="AR99" s="518"/>
      <c r="AS99" s="518"/>
      <c r="AT99" s="518"/>
      <c r="AU99" s="518"/>
      <c r="AV99" s="518"/>
      <c r="AW99" s="518"/>
      <c r="AX99" s="518"/>
      <c r="AY99" s="518"/>
      <c r="AZ99" s="518"/>
      <c r="BA99" s="518"/>
      <c r="BB99" s="518"/>
      <c r="BC99" s="518"/>
      <c r="BD99" s="518"/>
      <c r="BE99" s="518"/>
    </row>
    <row r="100" spans="1:57" ht="12.75" customHeight="1">
      <c r="A100" s="518"/>
      <c r="B100" s="518"/>
      <c r="C100" s="518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  <c r="AC100" s="518"/>
      <c r="AD100" s="518"/>
      <c r="AE100" s="518"/>
      <c r="AF100" s="518"/>
      <c r="AG100" s="518"/>
      <c r="AH100" s="518"/>
      <c r="AI100" s="518"/>
      <c r="AJ100" s="518"/>
      <c r="AK100" s="518"/>
      <c r="AL100" s="518"/>
      <c r="AM100" s="518"/>
      <c r="AN100" s="518"/>
      <c r="AO100" s="518"/>
      <c r="AP100" s="518"/>
      <c r="AQ100" s="518"/>
      <c r="AR100" s="518"/>
      <c r="AS100" s="518"/>
      <c r="AT100" s="518"/>
      <c r="AU100" s="518"/>
      <c r="AV100" s="518"/>
      <c r="AW100" s="518"/>
      <c r="AX100" s="518"/>
      <c r="AY100" s="518"/>
      <c r="AZ100" s="518"/>
      <c r="BA100" s="518"/>
      <c r="BB100" s="518"/>
      <c r="BC100" s="518"/>
      <c r="BD100" s="518"/>
      <c r="BE100" s="518"/>
    </row>
    <row r="101" spans="1:57" ht="12.75" customHeight="1">
      <c r="A101" s="518"/>
      <c r="B101" s="518"/>
      <c r="C101" s="518"/>
      <c r="D101" s="518"/>
      <c r="E101" s="518"/>
      <c r="F101" s="518"/>
      <c r="G101" s="518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  <c r="AA101" s="518"/>
      <c r="AB101" s="518"/>
      <c r="AC101" s="518"/>
      <c r="AD101" s="518"/>
      <c r="AE101" s="518"/>
      <c r="AF101" s="518"/>
      <c r="AG101" s="518"/>
      <c r="AH101" s="518"/>
      <c r="AI101" s="518"/>
      <c r="AJ101" s="518"/>
      <c r="AK101" s="518"/>
      <c r="AL101" s="518"/>
      <c r="AM101" s="518"/>
      <c r="AN101" s="518"/>
      <c r="AO101" s="518"/>
      <c r="AP101" s="518"/>
      <c r="AQ101" s="518"/>
      <c r="AR101" s="518"/>
      <c r="AS101" s="518"/>
      <c r="AT101" s="518"/>
      <c r="AU101" s="518"/>
      <c r="AV101" s="518"/>
      <c r="AW101" s="518"/>
      <c r="AX101" s="518"/>
      <c r="AY101" s="518"/>
      <c r="AZ101" s="518"/>
      <c r="BA101" s="518"/>
      <c r="BB101" s="518"/>
      <c r="BC101" s="518"/>
      <c r="BD101" s="518"/>
      <c r="BE101" s="518"/>
    </row>
    <row r="102" spans="1:57" ht="12.75" customHeight="1">
      <c r="A102" s="518"/>
      <c r="B102" s="518"/>
      <c r="C102" s="518"/>
      <c r="D102" s="518"/>
      <c r="E102" s="518"/>
      <c r="F102" s="518"/>
      <c r="G102" s="518"/>
      <c r="H102" s="518"/>
      <c r="I102" s="518"/>
      <c r="J102" s="518"/>
      <c r="K102" s="518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  <c r="AA102" s="518"/>
      <c r="AB102" s="518"/>
      <c r="AC102" s="518"/>
      <c r="AD102" s="518"/>
      <c r="AE102" s="518"/>
      <c r="AF102" s="518"/>
      <c r="AG102" s="518"/>
      <c r="AH102" s="518"/>
      <c r="AI102" s="518"/>
      <c r="AJ102" s="518"/>
      <c r="AK102" s="518"/>
      <c r="AL102" s="518"/>
      <c r="AM102" s="518"/>
      <c r="AN102" s="518"/>
      <c r="AO102" s="518"/>
      <c r="AP102" s="518"/>
      <c r="AQ102" s="518"/>
      <c r="AR102" s="518"/>
      <c r="AS102" s="518"/>
      <c r="AT102" s="518"/>
      <c r="AU102" s="518"/>
      <c r="AV102" s="518"/>
      <c r="AW102" s="518"/>
      <c r="AX102" s="518"/>
      <c r="AY102" s="518"/>
      <c r="AZ102" s="518"/>
      <c r="BA102" s="518"/>
      <c r="BB102" s="518"/>
      <c r="BC102" s="518"/>
      <c r="BD102" s="518"/>
      <c r="BE102" s="518"/>
    </row>
    <row r="103" spans="1:57" ht="12.75" customHeight="1">
      <c r="A103" s="518"/>
      <c r="B103" s="518"/>
      <c r="C103" s="518"/>
      <c r="D103" s="518"/>
      <c r="E103" s="518"/>
      <c r="F103" s="518"/>
      <c r="G103" s="518"/>
      <c r="H103" s="518"/>
      <c r="I103" s="518"/>
      <c r="J103" s="518"/>
      <c r="K103" s="518"/>
      <c r="L103" s="518"/>
      <c r="M103" s="518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8"/>
      <c r="Y103" s="518"/>
      <c r="Z103" s="518"/>
      <c r="AA103" s="518"/>
      <c r="AB103" s="518"/>
      <c r="AC103" s="518"/>
      <c r="AD103" s="518"/>
      <c r="AE103" s="518"/>
      <c r="AF103" s="518"/>
      <c r="AG103" s="518"/>
      <c r="AH103" s="518"/>
      <c r="AI103" s="518"/>
      <c r="AJ103" s="518"/>
      <c r="AK103" s="518"/>
      <c r="AL103" s="518"/>
      <c r="AM103" s="518"/>
      <c r="AN103" s="518"/>
      <c r="AO103" s="518"/>
      <c r="AP103" s="518"/>
      <c r="AQ103" s="518"/>
      <c r="AR103" s="518"/>
      <c r="AS103" s="518"/>
      <c r="AT103" s="518"/>
      <c r="AU103" s="518"/>
      <c r="AV103" s="518"/>
      <c r="AW103" s="518"/>
      <c r="AX103" s="518"/>
      <c r="AY103" s="518"/>
      <c r="AZ103" s="518"/>
      <c r="BA103" s="518"/>
      <c r="BB103" s="518"/>
      <c r="BC103" s="518"/>
      <c r="BD103" s="518"/>
      <c r="BE103" s="518"/>
    </row>
    <row r="104" spans="1:57" ht="12.75" customHeight="1">
      <c r="A104" s="518"/>
      <c r="B104" s="518"/>
      <c r="C104" s="518"/>
      <c r="D104" s="518"/>
      <c r="E104" s="518"/>
      <c r="F104" s="518"/>
      <c r="G104" s="518"/>
      <c r="H104" s="518"/>
      <c r="I104" s="518"/>
      <c r="J104" s="518"/>
      <c r="K104" s="518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  <c r="AA104" s="518"/>
      <c r="AB104" s="518"/>
      <c r="AC104" s="518"/>
      <c r="AD104" s="518"/>
      <c r="AE104" s="518"/>
      <c r="AF104" s="518"/>
      <c r="AG104" s="518"/>
      <c r="AH104" s="518"/>
      <c r="AI104" s="518"/>
      <c r="AJ104" s="518"/>
      <c r="AK104" s="518"/>
      <c r="AL104" s="518"/>
      <c r="AM104" s="518"/>
      <c r="AN104" s="518"/>
      <c r="AO104" s="518"/>
      <c r="AP104" s="518"/>
      <c r="AQ104" s="518"/>
      <c r="AR104" s="518"/>
      <c r="AS104" s="518"/>
      <c r="AT104" s="518"/>
      <c r="AU104" s="518"/>
      <c r="AV104" s="518"/>
      <c r="AW104" s="518"/>
      <c r="AX104" s="518"/>
      <c r="AY104" s="518"/>
      <c r="AZ104" s="518"/>
      <c r="BA104" s="518"/>
      <c r="BB104" s="518"/>
      <c r="BC104" s="518"/>
      <c r="BD104" s="518"/>
      <c r="BE104" s="518"/>
    </row>
    <row r="105" spans="1:57" ht="12.75" customHeight="1">
      <c r="A105" s="518"/>
      <c r="B105" s="518"/>
      <c r="C105" s="518"/>
      <c r="D105" s="518"/>
      <c r="E105" s="518"/>
      <c r="F105" s="518"/>
      <c r="G105" s="518"/>
      <c r="H105" s="518"/>
      <c r="I105" s="518"/>
      <c r="J105" s="518"/>
      <c r="K105" s="518"/>
      <c r="L105" s="518"/>
      <c r="M105" s="518"/>
      <c r="N105" s="518"/>
      <c r="O105" s="518"/>
      <c r="P105" s="518"/>
      <c r="Q105" s="518"/>
      <c r="R105" s="518"/>
      <c r="S105" s="518"/>
      <c r="T105" s="518"/>
      <c r="U105" s="518"/>
      <c r="V105" s="518"/>
      <c r="W105" s="518"/>
      <c r="X105" s="518"/>
      <c r="Y105" s="518"/>
      <c r="Z105" s="518"/>
      <c r="AA105" s="518"/>
      <c r="AB105" s="518"/>
      <c r="AC105" s="518"/>
      <c r="AD105" s="518"/>
      <c r="AE105" s="518"/>
      <c r="AF105" s="518"/>
      <c r="AG105" s="518"/>
      <c r="AH105" s="518"/>
      <c r="AI105" s="518"/>
      <c r="AJ105" s="518"/>
      <c r="AK105" s="518"/>
      <c r="AL105" s="518"/>
      <c r="AM105" s="518"/>
      <c r="AN105" s="518"/>
      <c r="AO105" s="518"/>
      <c r="AP105" s="518"/>
      <c r="AQ105" s="518"/>
      <c r="AR105" s="518"/>
      <c r="AS105" s="518"/>
      <c r="AT105" s="518"/>
      <c r="AU105" s="518"/>
      <c r="AV105" s="518"/>
      <c r="AW105" s="518"/>
      <c r="AX105" s="518"/>
      <c r="AY105" s="518"/>
      <c r="AZ105" s="518"/>
      <c r="BA105" s="518"/>
      <c r="BB105" s="518"/>
      <c r="BC105" s="518"/>
      <c r="BD105" s="518"/>
      <c r="BE105" s="518"/>
    </row>
    <row r="106" spans="1:57" ht="12.75" customHeight="1">
      <c r="A106" s="518"/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518"/>
      <c r="T106" s="518"/>
      <c r="U106" s="518"/>
      <c r="V106" s="518"/>
      <c r="W106" s="518"/>
      <c r="X106" s="518"/>
      <c r="Y106" s="518"/>
      <c r="Z106" s="518"/>
      <c r="AA106" s="518"/>
      <c r="AB106" s="518"/>
      <c r="AC106" s="518"/>
      <c r="AD106" s="518"/>
      <c r="AE106" s="518"/>
      <c r="AF106" s="518"/>
      <c r="AG106" s="518"/>
      <c r="AH106" s="518"/>
      <c r="AI106" s="518"/>
      <c r="AJ106" s="518"/>
      <c r="AK106" s="518"/>
      <c r="AL106" s="518"/>
      <c r="AM106" s="518"/>
      <c r="AN106" s="518"/>
      <c r="AO106" s="518"/>
      <c r="AP106" s="518"/>
      <c r="AQ106" s="518"/>
      <c r="AR106" s="518"/>
      <c r="AS106" s="518"/>
      <c r="AT106" s="518"/>
      <c r="AU106" s="518"/>
      <c r="AV106" s="518"/>
      <c r="AW106" s="518"/>
      <c r="AX106" s="518"/>
      <c r="AY106" s="518"/>
      <c r="AZ106" s="518"/>
      <c r="BA106" s="518"/>
      <c r="BB106" s="518"/>
      <c r="BC106" s="518"/>
      <c r="BD106" s="518"/>
      <c r="BE106" s="518"/>
    </row>
    <row r="107" spans="1:57" ht="12.75" customHeight="1">
      <c r="A107" s="518"/>
      <c r="B107" s="518"/>
      <c r="C107" s="518"/>
      <c r="D107" s="518"/>
      <c r="E107" s="518"/>
      <c r="F107" s="518"/>
      <c r="G107" s="518"/>
      <c r="H107" s="518"/>
      <c r="I107" s="518"/>
      <c r="J107" s="518"/>
      <c r="K107" s="518"/>
      <c r="L107" s="518"/>
      <c r="M107" s="518"/>
      <c r="N107" s="518"/>
      <c r="O107" s="518"/>
      <c r="P107" s="518"/>
      <c r="Q107" s="518"/>
      <c r="R107" s="518"/>
      <c r="S107" s="518"/>
      <c r="T107" s="518"/>
      <c r="U107" s="518"/>
      <c r="V107" s="518"/>
      <c r="W107" s="518"/>
      <c r="X107" s="518"/>
      <c r="Y107" s="518"/>
      <c r="Z107" s="518"/>
      <c r="AA107" s="518"/>
      <c r="AB107" s="518"/>
      <c r="AC107" s="518"/>
      <c r="AD107" s="518"/>
      <c r="AE107" s="518"/>
      <c r="AF107" s="518"/>
      <c r="AG107" s="518"/>
      <c r="AH107" s="518"/>
      <c r="AI107" s="518"/>
      <c r="AJ107" s="518"/>
      <c r="AK107" s="518"/>
      <c r="AL107" s="518"/>
      <c r="AM107" s="518"/>
      <c r="AN107" s="518"/>
      <c r="AO107" s="518"/>
      <c r="AP107" s="518"/>
      <c r="AQ107" s="518"/>
      <c r="AR107" s="518"/>
      <c r="AS107" s="518"/>
      <c r="AT107" s="518"/>
      <c r="AU107" s="518"/>
      <c r="AV107" s="518"/>
      <c r="AW107" s="518"/>
      <c r="AX107" s="518"/>
      <c r="AY107" s="518"/>
      <c r="AZ107" s="518"/>
      <c r="BA107" s="518"/>
      <c r="BB107" s="518"/>
      <c r="BC107" s="518"/>
      <c r="BD107" s="518"/>
      <c r="BE107" s="518"/>
    </row>
    <row r="108" spans="1:57" ht="12.75" customHeight="1">
      <c r="A108" s="518"/>
      <c r="B108" s="518"/>
      <c r="C108" s="518"/>
      <c r="D108" s="518"/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518"/>
      <c r="P108" s="518"/>
      <c r="Q108" s="518"/>
      <c r="R108" s="518"/>
      <c r="S108" s="518"/>
      <c r="T108" s="518"/>
      <c r="U108" s="518"/>
      <c r="V108" s="518"/>
      <c r="W108" s="518"/>
      <c r="X108" s="518"/>
      <c r="Y108" s="518"/>
      <c r="Z108" s="518"/>
      <c r="AA108" s="518"/>
      <c r="AB108" s="518"/>
      <c r="AC108" s="518"/>
      <c r="AD108" s="518"/>
      <c r="AE108" s="518"/>
      <c r="AF108" s="518"/>
      <c r="AG108" s="518"/>
      <c r="AH108" s="518"/>
      <c r="AI108" s="518"/>
      <c r="AJ108" s="518"/>
      <c r="AK108" s="518"/>
      <c r="AL108" s="518"/>
      <c r="AM108" s="518"/>
      <c r="AN108" s="518"/>
      <c r="AO108" s="518"/>
      <c r="AP108" s="518"/>
      <c r="AQ108" s="518"/>
      <c r="AR108" s="518"/>
      <c r="AS108" s="518"/>
      <c r="AT108" s="518"/>
      <c r="AU108" s="518"/>
      <c r="AV108" s="518"/>
      <c r="AW108" s="518"/>
      <c r="AX108" s="518"/>
      <c r="AY108" s="518"/>
      <c r="AZ108" s="518"/>
      <c r="BA108" s="518"/>
      <c r="BB108" s="518"/>
      <c r="BC108" s="518"/>
      <c r="BD108" s="518"/>
      <c r="BE108" s="518"/>
    </row>
    <row r="109" spans="1:57" ht="12.75" customHeight="1">
      <c r="A109" s="518"/>
      <c r="B109" s="518"/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518"/>
      <c r="R109" s="518"/>
      <c r="S109" s="518"/>
      <c r="T109" s="518"/>
      <c r="U109" s="518"/>
      <c r="V109" s="518"/>
      <c r="W109" s="518"/>
      <c r="X109" s="518"/>
      <c r="Y109" s="518"/>
      <c r="Z109" s="518"/>
      <c r="AA109" s="518"/>
      <c r="AB109" s="518"/>
      <c r="AC109" s="518"/>
      <c r="AD109" s="518"/>
      <c r="AE109" s="518"/>
      <c r="AF109" s="518"/>
      <c r="AG109" s="518"/>
      <c r="AH109" s="518"/>
      <c r="AI109" s="518"/>
      <c r="AJ109" s="518"/>
      <c r="AK109" s="518"/>
      <c r="AL109" s="518"/>
      <c r="AM109" s="518"/>
      <c r="AN109" s="518"/>
      <c r="AO109" s="518"/>
      <c r="AP109" s="518"/>
      <c r="AQ109" s="518"/>
      <c r="AR109" s="518"/>
      <c r="AS109" s="518"/>
      <c r="AT109" s="518"/>
      <c r="AU109" s="518"/>
      <c r="AV109" s="518"/>
      <c r="AW109" s="518"/>
      <c r="AX109" s="518"/>
      <c r="AY109" s="518"/>
      <c r="AZ109" s="518"/>
      <c r="BA109" s="518"/>
      <c r="BB109" s="518"/>
      <c r="BC109" s="518"/>
      <c r="BD109" s="518"/>
      <c r="BE109" s="518"/>
    </row>
    <row r="110" spans="1:57" ht="12.75" customHeight="1">
      <c r="A110" s="518"/>
      <c r="B110" s="518"/>
      <c r="C110" s="518"/>
      <c r="D110" s="518"/>
      <c r="E110" s="518"/>
      <c r="F110" s="518"/>
      <c r="G110" s="518"/>
      <c r="H110" s="518"/>
      <c r="I110" s="518"/>
      <c r="J110" s="518"/>
      <c r="K110" s="518"/>
      <c r="L110" s="518"/>
      <c r="M110" s="518"/>
      <c r="N110" s="518"/>
      <c r="O110" s="518"/>
      <c r="P110" s="518"/>
      <c r="Q110" s="518"/>
      <c r="R110" s="518"/>
      <c r="S110" s="518"/>
      <c r="T110" s="518"/>
      <c r="U110" s="518"/>
      <c r="V110" s="518"/>
      <c r="W110" s="518"/>
      <c r="X110" s="518"/>
      <c r="Y110" s="518"/>
      <c r="Z110" s="518"/>
      <c r="AA110" s="518"/>
      <c r="AB110" s="518"/>
      <c r="AC110" s="518"/>
      <c r="AD110" s="518"/>
      <c r="AE110" s="518"/>
      <c r="AF110" s="518"/>
      <c r="AG110" s="518"/>
      <c r="AH110" s="518"/>
      <c r="AI110" s="518"/>
      <c r="AJ110" s="518"/>
      <c r="AK110" s="518"/>
      <c r="AL110" s="518"/>
      <c r="AM110" s="518"/>
      <c r="AN110" s="518"/>
      <c r="AO110" s="518"/>
      <c r="AP110" s="518"/>
      <c r="AQ110" s="518"/>
      <c r="AR110" s="518"/>
      <c r="AS110" s="518"/>
      <c r="AT110" s="518"/>
      <c r="AU110" s="518"/>
      <c r="AV110" s="518"/>
      <c r="AW110" s="518"/>
      <c r="AX110" s="518"/>
      <c r="AY110" s="518"/>
      <c r="AZ110" s="518"/>
      <c r="BA110" s="518"/>
      <c r="BB110" s="518"/>
      <c r="BC110" s="518"/>
      <c r="BD110" s="518"/>
      <c r="BE110" s="518"/>
    </row>
    <row r="111" spans="1:57" ht="12.75" customHeight="1">
      <c r="A111" s="518"/>
      <c r="B111" s="518"/>
      <c r="C111" s="518"/>
      <c r="D111" s="518"/>
      <c r="E111" s="518"/>
      <c r="F111" s="518"/>
      <c r="G111" s="518"/>
      <c r="H111" s="518"/>
      <c r="I111" s="518"/>
      <c r="J111" s="518"/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8"/>
      <c r="V111" s="518"/>
      <c r="W111" s="518"/>
      <c r="X111" s="518"/>
      <c r="Y111" s="518"/>
      <c r="Z111" s="518"/>
      <c r="AA111" s="518"/>
      <c r="AB111" s="518"/>
      <c r="AC111" s="518"/>
      <c r="AD111" s="518"/>
      <c r="AE111" s="518"/>
      <c r="AF111" s="518"/>
      <c r="AG111" s="518"/>
      <c r="AH111" s="518"/>
      <c r="AI111" s="518"/>
      <c r="AJ111" s="518"/>
      <c r="AK111" s="518"/>
      <c r="AL111" s="518"/>
      <c r="AM111" s="518"/>
      <c r="AN111" s="518"/>
      <c r="AO111" s="518"/>
      <c r="AP111" s="518"/>
      <c r="AQ111" s="518"/>
      <c r="AR111" s="518"/>
      <c r="AS111" s="518"/>
      <c r="AT111" s="518"/>
      <c r="AU111" s="518"/>
      <c r="AV111" s="518"/>
      <c r="AW111" s="518"/>
      <c r="AX111" s="518"/>
      <c r="AY111" s="518"/>
      <c r="AZ111" s="518"/>
      <c r="BA111" s="518"/>
      <c r="BB111" s="518"/>
      <c r="BC111" s="518"/>
      <c r="BD111" s="518"/>
      <c r="BE111" s="518"/>
    </row>
    <row r="112" spans="1:57" ht="12.75" customHeight="1">
      <c r="A112" s="518"/>
      <c r="B112" s="518"/>
      <c r="C112" s="518"/>
      <c r="D112" s="518"/>
      <c r="E112" s="518"/>
      <c r="F112" s="518"/>
      <c r="G112" s="518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8"/>
      <c r="V112" s="518"/>
      <c r="W112" s="518"/>
      <c r="X112" s="518"/>
      <c r="Y112" s="518"/>
      <c r="Z112" s="518"/>
      <c r="AA112" s="518"/>
      <c r="AB112" s="518"/>
      <c r="AC112" s="518"/>
      <c r="AD112" s="518"/>
      <c r="AE112" s="518"/>
      <c r="AF112" s="518"/>
      <c r="AG112" s="518"/>
      <c r="AH112" s="518"/>
      <c r="AI112" s="518"/>
      <c r="AJ112" s="518"/>
      <c r="AK112" s="518"/>
      <c r="AL112" s="518"/>
      <c r="AM112" s="518"/>
      <c r="AN112" s="518"/>
      <c r="AO112" s="518"/>
      <c r="AP112" s="518"/>
      <c r="AQ112" s="518"/>
      <c r="AR112" s="518"/>
      <c r="AS112" s="518"/>
      <c r="AT112" s="518"/>
      <c r="AU112" s="518"/>
      <c r="AV112" s="518"/>
      <c r="AW112" s="518"/>
      <c r="AX112" s="518"/>
      <c r="AY112" s="518"/>
      <c r="AZ112" s="518"/>
      <c r="BA112" s="518"/>
      <c r="BB112" s="518"/>
      <c r="BC112" s="518"/>
      <c r="BD112" s="518"/>
      <c r="BE112" s="518"/>
    </row>
    <row r="113" spans="1:57" ht="12.75" customHeight="1">
      <c r="A113" s="518"/>
      <c r="B113" s="518"/>
      <c r="C113" s="518"/>
      <c r="D113" s="518"/>
      <c r="E113" s="518"/>
      <c r="F113" s="518"/>
      <c r="G113" s="518"/>
      <c r="H113" s="518"/>
      <c r="I113" s="518"/>
      <c r="J113" s="518"/>
      <c r="K113" s="518"/>
      <c r="L113" s="518"/>
      <c r="M113" s="518"/>
      <c r="N113" s="518"/>
      <c r="O113" s="518"/>
      <c r="P113" s="518"/>
      <c r="Q113" s="518"/>
      <c r="R113" s="518"/>
      <c r="S113" s="518"/>
      <c r="T113" s="518"/>
      <c r="U113" s="518"/>
      <c r="V113" s="518"/>
      <c r="W113" s="518"/>
      <c r="X113" s="518"/>
      <c r="Y113" s="518"/>
      <c r="Z113" s="518"/>
      <c r="AA113" s="518"/>
      <c r="AB113" s="518"/>
      <c r="AC113" s="518"/>
      <c r="AD113" s="518"/>
      <c r="AE113" s="518"/>
      <c r="AF113" s="518"/>
      <c r="AG113" s="518"/>
      <c r="AH113" s="518"/>
      <c r="AI113" s="518"/>
      <c r="AJ113" s="518"/>
      <c r="AK113" s="518"/>
      <c r="AL113" s="518"/>
      <c r="AM113" s="518"/>
      <c r="AN113" s="518"/>
      <c r="AO113" s="518"/>
      <c r="AP113" s="518"/>
      <c r="AQ113" s="518"/>
      <c r="AR113" s="518"/>
      <c r="AS113" s="518"/>
      <c r="AT113" s="518"/>
      <c r="AU113" s="518"/>
      <c r="AV113" s="518"/>
      <c r="AW113" s="518"/>
      <c r="AX113" s="518"/>
      <c r="AY113" s="518"/>
      <c r="AZ113" s="518"/>
      <c r="BA113" s="518"/>
      <c r="BB113" s="518"/>
      <c r="BC113" s="518"/>
      <c r="BD113" s="518"/>
      <c r="BE113" s="518"/>
    </row>
    <row r="114" spans="1:57" ht="12.75" customHeight="1">
      <c r="A114" s="518"/>
      <c r="B114" s="518"/>
      <c r="C114" s="518"/>
      <c r="D114" s="518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8"/>
      <c r="V114" s="518"/>
      <c r="W114" s="518"/>
      <c r="X114" s="518"/>
      <c r="Y114" s="518"/>
      <c r="Z114" s="518"/>
      <c r="AA114" s="518"/>
      <c r="AB114" s="518"/>
      <c r="AC114" s="518"/>
      <c r="AD114" s="518"/>
      <c r="AE114" s="518"/>
      <c r="AF114" s="518"/>
      <c r="AG114" s="518"/>
      <c r="AH114" s="518"/>
      <c r="AI114" s="518"/>
      <c r="AJ114" s="518"/>
      <c r="AK114" s="518"/>
      <c r="AL114" s="518"/>
      <c r="AM114" s="518"/>
      <c r="AN114" s="518"/>
      <c r="AO114" s="518"/>
      <c r="AP114" s="518"/>
      <c r="AQ114" s="518"/>
      <c r="AR114" s="518"/>
      <c r="AS114" s="518"/>
      <c r="AT114" s="518"/>
      <c r="AU114" s="518"/>
      <c r="AV114" s="518"/>
      <c r="AW114" s="518"/>
      <c r="AX114" s="518"/>
      <c r="AY114" s="518"/>
      <c r="AZ114" s="518"/>
      <c r="BA114" s="518"/>
      <c r="BB114" s="518"/>
      <c r="BC114" s="518"/>
      <c r="BD114" s="518"/>
      <c r="BE114" s="518"/>
    </row>
    <row r="115" spans="1:57" ht="12.75" customHeight="1">
      <c r="A115" s="518"/>
      <c r="B115" s="518"/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  <c r="AA115" s="518"/>
      <c r="AB115" s="518"/>
      <c r="AC115" s="518"/>
      <c r="AD115" s="518"/>
      <c r="AE115" s="518"/>
      <c r="AF115" s="518"/>
      <c r="AG115" s="518"/>
      <c r="AH115" s="518"/>
      <c r="AI115" s="518"/>
      <c r="AJ115" s="518"/>
      <c r="AK115" s="518"/>
      <c r="AL115" s="518"/>
      <c r="AM115" s="518"/>
      <c r="AN115" s="518"/>
      <c r="AO115" s="518"/>
      <c r="AP115" s="518"/>
      <c r="AQ115" s="518"/>
      <c r="AR115" s="518"/>
      <c r="AS115" s="518"/>
      <c r="AT115" s="518"/>
      <c r="AU115" s="518"/>
      <c r="AV115" s="518"/>
      <c r="AW115" s="518"/>
      <c r="AX115" s="518"/>
      <c r="AY115" s="518"/>
      <c r="AZ115" s="518"/>
      <c r="BA115" s="518"/>
      <c r="BB115" s="518"/>
      <c r="BC115" s="518"/>
      <c r="BD115" s="518"/>
      <c r="BE115" s="518"/>
    </row>
    <row r="116" spans="1:57" ht="12.75" customHeight="1">
      <c r="A116" s="518"/>
      <c r="B116" s="518"/>
      <c r="C116" s="518"/>
      <c r="D116" s="518"/>
      <c r="E116" s="518"/>
      <c r="F116" s="518"/>
      <c r="G116" s="518"/>
      <c r="H116" s="518"/>
      <c r="I116" s="518"/>
      <c r="J116" s="518"/>
      <c r="K116" s="518"/>
      <c r="L116" s="518"/>
      <c r="M116" s="518"/>
      <c r="N116" s="518"/>
      <c r="O116" s="518"/>
      <c r="P116" s="518"/>
      <c r="Q116" s="518"/>
      <c r="R116" s="518"/>
      <c r="S116" s="518"/>
      <c r="T116" s="518"/>
      <c r="U116" s="518"/>
      <c r="V116" s="518"/>
      <c r="W116" s="518"/>
      <c r="X116" s="518"/>
      <c r="Y116" s="518"/>
      <c r="Z116" s="518"/>
      <c r="AA116" s="518"/>
      <c r="AB116" s="518"/>
      <c r="AC116" s="518"/>
      <c r="AD116" s="518"/>
      <c r="AE116" s="518"/>
      <c r="AF116" s="518"/>
      <c r="AG116" s="518"/>
      <c r="AH116" s="518"/>
      <c r="AI116" s="518"/>
      <c r="AJ116" s="518"/>
      <c r="AK116" s="518"/>
      <c r="AL116" s="518"/>
      <c r="AM116" s="518"/>
      <c r="AN116" s="518"/>
      <c r="AO116" s="518"/>
      <c r="AP116" s="518"/>
      <c r="AQ116" s="518"/>
      <c r="AR116" s="518"/>
      <c r="AS116" s="518"/>
      <c r="AT116" s="518"/>
      <c r="AU116" s="518"/>
      <c r="AV116" s="518"/>
      <c r="AW116" s="518"/>
      <c r="AX116" s="518"/>
      <c r="AY116" s="518"/>
      <c r="AZ116" s="518"/>
      <c r="BA116" s="518"/>
      <c r="BB116" s="518"/>
      <c r="BC116" s="518"/>
      <c r="BD116" s="518"/>
      <c r="BE116" s="518"/>
    </row>
    <row r="117" spans="1:57" ht="12.75" customHeight="1">
      <c r="A117" s="518"/>
      <c r="B117" s="518"/>
      <c r="C117" s="518"/>
      <c r="D117" s="518"/>
      <c r="E117" s="518"/>
      <c r="F117" s="518"/>
      <c r="G117" s="518"/>
      <c r="H117" s="518"/>
      <c r="I117" s="518"/>
      <c r="J117" s="518"/>
      <c r="K117" s="518"/>
      <c r="L117" s="518"/>
      <c r="M117" s="518"/>
      <c r="N117" s="518"/>
      <c r="O117" s="518"/>
      <c r="P117" s="518"/>
      <c r="Q117" s="518"/>
      <c r="R117" s="518"/>
      <c r="S117" s="518"/>
      <c r="T117" s="518"/>
      <c r="U117" s="518"/>
      <c r="V117" s="518"/>
      <c r="W117" s="518"/>
      <c r="X117" s="518"/>
      <c r="Y117" s="518"/>
      <c r="Z117" s="518"/>
      <c r="AA117" s="518"/>
      <c r="AB117" s="518"/>
      <c r="AC117" s="518"/>
      <c r="AD117" s="518"/>
      <c r="AE117" s="518"/>
      <c r="AF117" s="518"/>
      <c r="AG117" s="518"/>
      <c r="AH117" s="518"/>
      <c r="AI117" s="518"/>
      <c r="AJ117" s="518"/>
      <c r="AK117" s="518"/>
      <c r="AL117" s="518"/>
      <c r="AM117" s="518"/>
      <c r="AN117" s="518"/>
      <c r="AO117" s="518"/>
      <c r="AP117" s="518"/>
      <c r="AQ117" s="518"/>
      <c r="AR117" s="518"/>
      <c r="AS117" s="518"/>
      <c r="AT117" s="518"/>
      <c r="AU117" s="518"/>
      <c r="AV117" s="518"/>
      <c r="AW117" s="518"/>
      <c r="AX117" s="518"/>
      <c r="AY117" s="518"/>
      <c r="AZ117" s="518"/>
      <c r="BA117" s="518"/>
      <c r="BB117" s="518"/>
      <c r="BC117" s="518"/>
      <c r="BD117" s="518"/>
      <c r="BE117" s="518"/>
    </row>
    <row r="118" spans="1:57" ht="12.75" customHeight="1">
      <c r="A118" s="518"/>
      <c r="B118" s="518"/>
      <c r="C118" s="518"/>
      <c r="D118" s="518"/>
      <c r="E118" s="518"/>
      <c r="F118" s="518"/>
      <c r="G118" s="518"/>
      <c r="H118" s="518"/>
      <c r="I118" s="518"/>
      <c r="J118" s="518"/>
      <c r="K118" s="518"/>
      <c r="L118" s="518"/>
      <c r="M118" s="518"/>
      <c r="N118" s="518"/>
      <c r="O118" s="518"/>
      <c r="P118" s="518"/>
      <c r="Q118" s="518"/>
      <c r="R118" s="518"/>
      <c r="S118" s="518"/>
      <c r="T118" s="518"/>
      <c r="U118" s="518"/>
      <c r="V118" s="518"/>
      <c r="W118" s="518"/>
      <c r="X118" s="518"/>
      <c r="Y118" s="518"/>
      <c r="Z118" s="518"/>
      <c r="AA118" s="518"/>
      <c r="AB118" s="518"/>
      <c r="AC118" s="518"/>
      <c r="AD118" s="518"/>
      <c r="AE118" s="518"/>
      <c r="AF118" s="518"/>
      <c r="AG118" s="518"/>
      <c r="AH118" s="518"/>
      <c r="AI118" s="518"/>
      <c r="AJ118" s="518"/>
      <c r="AK118" s="518"/>
      <c r="AL118" s="518"/>
      <c r="AM118" s="518"/>
      <c r="AN118" s="518"/>
      <c r="AO118" s="518"/>
      <c r="AP118" s="518"/>
      <c r="AQ118" s="518"/>
      <c r="AR118" s="518"/>
      <c r="AS118" s="518"/>
      <c r="AT118" s="518"/>
      <c r="AU118" s="518"/>
      <c r="AV118" s="518"/>
      <c r="AW118" s="518"/>
      <c r="AX118" s="518"/>
      <c r="AY118" s="518"/>
      <c r="AZ118" s="518"/>
      <c r="BA118" s="518"/>
      <c r="BB118" s="518"/>
      <c r="BC118" s="518"/>
      <c r="BD118" s="518"/>
      <c r="BE118" s="518"/>
    </row>
    <row r="119" spans="1:57" ht="12.75" customHeight="1">
      <c r="A119" s="518"/>
      <c r="B119" s="518"/>
      <c r="C119" s="518"/>
      <c r="D119" s="518"/>
      <c r="E119" s="518"/>
      <c r="F119" s="518"/>
      <c r="G119" s="518"/>
      <c r="H119" s="518"/>
      <c r="I119" s="518"/>
      <c r="J119" s="518"/>
      <c r="K119" s="518"/>
      <c r="L119" s="518"/>
      <c r="M119" s="518"/>
      <c r="N119" s="518"/>
      <c r="O119" s="518"/>
      <c r="P119" s="518"/>
      <c r="Q119" s="518"/>
      <c r="R119" s="518"/>
      <c r="S119" s="518"/>
      <c r="T119" s="518"/>
      <c r="U119" s="518"/>
      <c r="V119" s="518"/>
      <c r="W119" s="518"/>
      <c r="X119" s="518"/>
      <c r="Y119" s="518"/>
      <c r="Z119" s="518"/>
      <c r="AA119" s="518"/>
      <c r="AB119" s="518"/>
      <c r="AC119" s="518"/>
      <c r="AD119" s="518"/>
      <c r="AE119" s="518"/>
      <c r="AF119" s="518"/>
      <c r="AG119" s="518"/>
      <c r="AH119" s="518"/>
      <c r="AI119" s="518"/>
      <c r="AJ119" s="518"/>
      <c r="AK119" s="518"/>
      <c r="AL119" s="518"/>
      <c r="AM119" s="518"/>
      <c r="AN119" s="518"/>
      <c r="AO119" s="518"/>
      <c r="AP119" s="518"/>
      <c r="AQ119" s="518"/>
      <c r="AR119" s="518"/>
      <c r="AS119" s="518"/>
      <c r="AT119" s="518"/>
      <c r="AU119" s="518"/>
      <c r="AV119" s="518"/>
      <c r="AW119" s="518"/>
      <c r="AX119" s="518"/>
      <c r="AY119" s="518"/>
      <c r="AZ119" s="518"/>
      <c r="BA119" s="518"/>
      <c r="BB119" s="518"/>
      <c r="BC119" s="518"/>
      <c r="BD119" s="518"/>
      <c r="BE119" s="518"/>
    </row>
    <row r="120" spans="1:57" ht="12.75" customHeight="1">
      <c r="A120" s="518"/>
      <c r="B120" s="518"/>
      <c r="C120" s="518"/>
      <c r="D120" s="518"/>
      <c r="E120" s="518"/>
      <c r="F120" s="518"/>
      <c r="G120" s="518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18"/>
      <c r="T120" s="518"/>
      <c r="U120" s="518"/>
      <c r="V120" s="518"/>
      <c r="W120" s="518"/>
      <c r="X120" s="518"/>
      <c r="Y120" s="518"/>
      <c r="Z120" s="518"/>
      <c r="AA120" s="518"/>
      <c r="AB120" s="518"/>
      <c r="AC120" s="518"/>
      <c r="AD120" s="518"/>
      <c r="AE120" s="518"/>
      <c r="AF120" s="518"/>
      <c r="AG120" s="518"/>
      <c r="AH120" s="518"/>
      <c r="AI120" s="518"/>
      <c r="AJ120" s="518"/>
      <c r="AK120" s="518"/>
      <c r="AL120" s="518"/>
      <c r="AM120" s="518"/>
      <c r="AN120" s="518"/>
      <c r="AO120" s="518"/>
      <c r="AP120" s="518"/>
      <c r="AQ120" s="518"/>
      <c r="AR120" s="518"/>
      <c r="AS120" s="518"/>
      <c r="AT120" s="518"/>
      <c r="AU120" s="518"/>
      <c r="AV120" s="518"/>
      <c r="AW120" s="518"/>
      <c r="AX120" s="518"/>
      <c r="AY120" s="518"/>
      <c r="AZ120" s="518"/>
      <c r="BA120" s="518"/>
      <c r="BB120" s="518"/>
      <c r="BC120" s="518"/>
      <c r="BD120" s="518"/>
      <c r="BE120" s="518"/>
    </row>
    <row r="121" spans="1:57" ht="12.75" customHeight="1">
      <c r="A121" s="518"/>
      <c r="B121" s="518"/>
      <c r="C121" s="518"/>
      <c r="D121" s="518"/>
      <c r="E121" s="518"/>
      <c r="F121" s="518"/>
      <c r="G121" s="518"/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8"/>
      <c r="V121" s="518"/>
      <c r="W121" s="518"/>
      <c r="X121" s="518"/>
      <c r="Y121" s="518"/>
      <c r="Z121" s="518"/>
      <c r="AA121" s="518"/>
      <c r="AB121" s="518"/>
      <c r="AC121" s="518"/>
      <c r="AD121" s="518"/>
      <c r="AE121" s="518"/>
      <c r="AF121" s="518"/>
      <c r="AG121" s="518"/>
      <c r="AH121" s="518"/>
      <c r="AI121" s="518"/>
      <c r="AJ121" s="518"/>
      <c r="AK121" s="518"/>
      <c r="AL121" s="518"/>
      <c r="AM121" s="518"/>
      <c r="AN121" s="518"/>
      <c r="AO121" s="518"/>
      <c r="AP121" s="518"/>
      <c r="AQ121" s="518"/>
      <c r="AR121" s="518"/>
      <c r="AS121" s="518"/>
      <c r="AT121" s="518"/>
      <c r="AU121" s="518"/>
      <c r="AV121" s="518"/>
      <c r="AW121" s="518"/>
      <c r="AX121" s="518"/>
      <c r="AY121" s="518"/>
      <c r="AZ121" s="518"/>
      <c r="BA121" s="518"/>
      <c r="BB121" s="518"/>
      <c r="BC121" s="518"/>
      <c r="BD121" s="518"/>
      <c r="BE121" s="518"/>
    </row>
    <row r="122" spans="1:57" ht="12.75" customHeight="1">
      <c r="A122" s="518"/>
      <c r="B122" s="518"/>
      <c r="C122" s="518"/>
      <c r="D122" s="518"/>
      <c r="E122" s="518"/>
      <c r="F122" s="518"/>
      <c r="G122" s="518"/>
      <c r="H122" s="518"/>
      <c r="I122" s="518"/>
      <c r="J122" s="518"/>
      <c r="K122" s="518"/>
      <c r="L122" s="518"/>
      <c r="M122" s="518"/>
      <c r="N122" s="518"/>
      <c r="O122" s="518"/>
      <c r="P122" s="518"/>
      <c r="Q122" s="518"/>
      <c r="R122" s="518"/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518"/>
      <c r="AF122" s="518"/>
      <c r="AG122" s="518"/>
      <c r="AH122" s="518"/>
      <c r="AI122" s="518"/>
      <c r="AJ122" s="518"/>
      <c r="AK122" s="518"/>
      <c r="AL122" s="518"/>
      <c r="AM122" s="518"/>
      <c r="AN122" s="518"/>
      <c r="AO122" s="518"/>
      <c r="AP122" s="518"/>
      <c r="AQ122" s="518"/>
      <c r="AR122" s="518"/>
      <c r="AS122" s="518"/>
      <c r="AT122" s="518"/>
      <c r="AU122" s="518"/>
      <c r="AV122" s="518"/>
      <c r="AW122" s="518"/>
      <c r="AX122" s="518"/>
      <c r="AY122" s="518"/>
      <c r="AZ122" s="518"/>
      <c r="BA122" s="518"/>
      <c r="BB122" s="518"/>
      <c r="BC122" s="518"/>
      <c r="BD122" s="518"/>
      <c r="BE122" s="518"/>
    </row>
    <row r="123" spans="1:57" ht="12.75" customHeight="1">
      <c r="A123" s="518"/>
      <c r="B123" s="518"/>
      <c r="C123" s="518"/>
      <c r="D123" s="518"/>
      <c r="E123" s="518"/>
      <c r="F123" s="518"/>
      <c r="G123" s="518"/>
      <c r="H123" s="518"/>
      <c r="I123" s="518"/>
      <c r="J123" s="518"/>
      <c r="K123" s="518"/>
      <c r="L123" s="518"/>
      <c r="M123" s="518"/>
      <c r="N123" s="518"/>
      <c r="O123" s="518"/>
      <c r="P123" s="518"/>
      <c r="Q123" s="518"/>
      <c r="R123" s="518"/>
      <c r="S123" s="518"/>
      <c r="T123" s="518"/>
      <c r="U123" s="518"/>
      <c r="V123" s="518"/>
      <c r="W123" s="518"/>
      <c r="X123" s="518"/>
      <c r="Y123" s="518"/>
      <c r="Z123" s="518"/>
      <c r="AA123" s="518"/>
      <c r="AB123" s="518"/>
      <c r="AC123" s="518"/>
      <c r="AD123" s="518"/>
      <c r="AE123" s="518"/>
      <c r="AF123" s="518"/>
      <c r="AG123" s="518"/>
      <c r="AH123" s="518"/>
      <c r="AI123" s="518"/>
      <c r="AJ123" s="518"/>
      <c r="AK123" s="518"/>
      <c r="AL123" s="518"/>
      <c r="AM123" s="518"/>
      <c r="AN123" s="518"/>
      <c r="AO123" s="518"/>
      <c r="AP123" s="518"/>
      <c r="AQ123" s="518"/>
      <c r="AR123" s="518"/>
      <c r="AS123" s="518"/>
      <c r="AT123" s="518"/>
      <c r="AU123" s="518"/>
      <c r="AV123" s="518"/>
      <c r="AW123" s="518"/>
      <c r="AX123" s="518"/>
      <c r="AY123" s="518"/>
      <c r="AZ123" s="518"/>
      <c r="BA123" s="518"/>
      <c r="BB123" s="518"/>
      <c r="BC123" s="518"/>
      <c r="BD123" s="518"/>
      <c r="BE123" s="518"/>
    </row>
    <row r="124" spans="1:57" ht="12.75" customHeight="1">
      <c r="A124" s="518"/>
      <c r="B124" s="518"/>
      <c r="C124" s="518"/>
      <c r="D124" s="518"/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518"/>
      <c r="P124" s="518"/>
      <c r="Q124" s="518"/>
      <c r="R124" s="518"/>
      <c r="S124" s="518"/>
      <c r="T124" s="518"/>
      <c r="U124" s="518"/>
      <c r="V124" s="518"/>
      <c r="W124" s="518"/>
      <c r="X124" s="518"/>
      <c r="Y124" s="518"/>
      <c r="Z124" s="518"/>
      <c r="AA124" s="518"/>
      <c r="AB124" s="518"/>
      <c r="AC124" s="518"/>
      <c r="AD124" s="518"/>
      <c r="AE124" s="518"/>
      <c r="AF124" s="518"/>
      <c r="AG124" s="518"/>
      <c r="AH124" s="518"/>
      <c r="AI124" s="518"/>
      <c r="AJ124" s="518"/>
      <c r="AK124" s="518"/>
      <c r="AL124" s="518"/>
      <c r="AM124" s="518"/>
      <c r="AN124" s="518"/>
      <c r="AO124" s="518"/>
      <c r="AP124" s="518"/>
      <c r="AQ124" s="518"/>
      <c r="AR124" s="518"/>
      <c r="AS124" s="518"/>
      <c r="AT124" s="518"/>
      <c r="AU124" s="518"/>
      <c r="AV124" s="518"/>
      <c r="AW124" s="518"/>
      <c r="AX124" s="518"/>
      <c r="AY124" s="518"/>
      <c r="AZ124" s="518"/>
      <c r="BA124" s="518"/>
      <c r="BB124" s="518"/>
      <c r="BC124" s="518"/>
      <c r="BD124" s="518"/>
      <c r="BE124" s="518"/>
    </row>
    <row r="125" spans="1:57" ht="12.75" customHeight="1">
      <c r="A125" s="518"/>
      <c r="B125" s="518"/>
      <c r="C125" s="518"/>
      <c r="D125" s="518"/>
      <c r="E125" s="518"/>
      <c r="F125" s="518"/>
      <c r="G125" s="518"/>
      <c r="H125" s="518"/>
      <c r="I125" s="518"/>
      <c r="J125" s="518"/>
      <c r="K125" s="518"/>
      <c r="L125" s="518"/>
      <c r="M125" s="518"/>
      <c r="N125" s="518"/>
      <c r="O125" s="518"/>
      <c r="P125" s="518"/>
      <c r="Q125" s="518"/>
      <c r="R125" s="518"/>
      <c r="S125" s="518"/>
      <c r="T125" s="518"/>
      <c r="U125" s="518"/>
      <c r="V125" s="518"/>
      <c r="W125" s="518"/>
      <c r="X125" s="518"/>
      <c r="Y125" s="518"/>
      <c r="Z125" s="518"/>
      <c r="AA125" s="518"/>
      <c r="AB125" s="518"/>
      <c r="AC125" s="518"/>
      <c r="AD125" s="518"/>
      <c r="AE125" s="518"/>
      <c r="AF125" s="518"/>
      <c r="AG125" s="518"/>
      <c r="AH125" s="518"/>
      <c r="AI125" s="518"/>
      <c r="AJ125" s="518"/>
      <c r="AK125" s="518"/>
      <c r="AL125" s="518"/>
      <c r="AM125" s="518"/>
      <c r="AN125" s="518"/>
      <c r="AO125" s="518"/>
      <c r="AP125" s="518"/>
      <c r="AQ125" s="518"/>
      <c r="AR125" s="518"/>
      <c r="AS125" s="518"/>
      <c r="AT125" s="518"/>
      <c r="AU125" s="518"/>
      <c r="AV125" s="518"/>
      <c r="AW125" s="518"/>
      <c r="AX125" s="518"/>
      <c r="AY125" s="518"/>
      <c r="AZ125" s="518"/>
      <c r="BA125" s="518"/>
      <c r="BB125" s="518"/>
      <c r="BC125" s="518"/>
      <c r="BD125" s="518"/>
      <c r="BE125" s="518"/>
    </row>
    <row r="126" spans="1:57" ht="12.75" customHeight="1">
      <c r="A126" s="518"/>
      <c r="B126" s="518"/>
      <c r="C126" s="518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</row>
    <row r="127" spans="1:57" ht="12.75" customHeight="1">
      <c r="A127" s="518"/>
      <c r="B127" s="518"/>
      <c r="C127" s="518"/>
      <c r="D127" s="518"/>
      <c r="E127" s="518"/>
      <c r="F127" s="518"/>
      <c r="G127" s="518"/>
      <c r="H127" s="518"/>
      <c r="I127" s="518"/>
      <c r="J127" s="518"/>
      <c r="K127" s="518"/>
      <c r="L127" s="518"/>
      <c r="M127" s="518"/>
      <c r="N127" s="518"/>
      <c r="O127" s="518"/>
      <c r="P127" s="518"/>
      <c r="Q127" s="518"/>
      <c r="R127" s="518"/>
      <c r="S127" s="518"/>
      <c r="T127" s="518"/>
      <c r="U127" s="518"/>
      <c r="V127" s="518"/>
      <c r="W127" s="518"/>
      <c r="X127" s="518"/>
      <c r="Y127" s="518"/>
      <c r="Z127" s="518"/>
      <c r="AA127" s="518"/>
      <c r="AB127" s="518"/>
      <c r="AC127" s="518"/>
      <c r="AD127" s="518"/>
      <c r="AE127" s="518"/>
      <c r="AF127" s="518"/>
      <c r="AG127" s="518"/>
      <c r="AH127" s="518"/>
      <c r="AI127" s="518"/>
      <c r="AJ127" s="518"/>
      <c r="AK127" s="518"/>
      <c r="AL127" s="518"/>
      <c r="AM127" s="518"/>
      <c r="AN127" s="518"/>
      <c r="AO127" s="518"/>
      <c r="AP127" s="518"/>
      <c r="AQ127" s="518"/>
      <c r="AR127" s="518"/>
      <c r="AS127" s="518"/>
      <c r="AT127" s="518"/>
      <c r="AU127" s="518"/>
      <c r="AV127" s="518"/>
      <c r="AW127" s="518"/>
      <c r="AX127" s="518"/>
      <c r="AY127" s="518"/>
      <c r="AZ127" s="518"/>
      <c r="BA127" s="518"/>
      <c r="BB127" s="518"/>
      <c r="BC127" s="518"/>
      <c r="BD127" s="518"/>
      <c r="BE127" s="518"/>
    </row>
    <row r="128" spans="1:57" ht="12.75" customHeight="1">
      <c r="A128" s="518"/>
      <c r="B128" s="518"/>
      <c r="C128" s="518"/>
      <c r="D128" s="518"/>
      <c r="E128" s="518"/>
      <c r="F128" s="518"/>
      <c r="G128" s="518"/>
      <c r="H128" s="518"/>
      <c r="I128" s="518"/>
      <c r="J128" s="518"/>
      <c r="K128" s="518"/>
      <c r="L128" s="518"/>
      <c r="M128" s="518"/>
      <c r="N128" s="518"/>
      <c r="O128" s="518"/>
      <c r="P128" s="518"/>
      <c r="Q128" s="518"/>
      <c r="R128" s="518"/>
      <c r="S128" s="518"/>
      <c r="T128" s="518"/>
      <c r="U128" s="518"/>
      <c r="V128" s="518"/>
      <c r="W128" s="518"/>
      <c r="X128" s="518"/>
      <c r="Y128" s="518"/>
      <c r="Z128" s="518"/>
      <c r="AA128" s="518"/>
      <c r="AB128" s="518"/>
      <c r="AC128" s="518"/>
      <c r="AD128" s="518"/>
      <c r="AE128" s="518"/>
      <c r="AF128" s="518"/>
      <c r="AG128" s="518"/>
      <c r="AH128" s="518"/>
      <c r="AI128" s="518"/>
      <c r="AJ128" s="518"/>
      <c r="AK128" s="518"/>
      <c r="AL128" s="518"/>
      <c r="AM128" s="518"/>
      <c r="AN128" s="518"/>
      <c r="AO128" s="518"/>
      <c r="AP128" s="518"/>
      <c r="AQ128" s="518"/>
      <c r="AR128" s="518"/>
      <c r="AS128" s="518"/>
      <c r="AT128" s="518"/>
      <c r="AU128" s="518"/>
      <c r="AV128" s="518"/>
      <c r="AW128" s="518"/>
      <c r="AX128" s="518"/>
      <c r="AY128" s="518"/>
      <c r="AZ128" s="518"/>
      <c r="BA128" s="518"/>
      <c r="BB128" s="518"/>
      <c r="BC128" s="518"/>
      <c r="BD128" s="518"/>
      <c r="BE128" s="518"/>
    </row>
    <row r="129" spans="1:57" ht="12.75" customHeight="1">
      <c r="A129" s="518"/>
      <c r="B129" s="518"/>
      <c r="C129" s="518"/>
      <c r="D129" s="518"/>
      <c r="E129" s="518"/>
      <c r="F129" s="518"/>
      <c r="G129" s="518"/>
      <c r="H129" s="518"/>
      <c r="I129" s="518"/>
      <c r="J129" s="518"/>
      <c r="K129" s="518"/>
      <c r="L129" s="518"/>
      <c r="M129" s="518"/>
      <c r="N129" s="518"/>
      <c r="O129" s="518"/>
      <c r="P129" s="518"/>
      <c r="Q129" s="518"/>
      <c r="R129" s="518"/>
      <c r="S129" s="518"/>
      <c r="T129" s="518"/>
      <c r="U129" s="518"/>
      <c r="V129" s="518"/>
      <c r="W129" s="518"/>
      <c r="X129" s="518"/>
      <c r="Y129" s="518"/>
      <c r="Z129" s="518"/>
      <c r="AA129" s="518"/>
      <c r="AB129" s="518"/>
      <c r="AC129" s="518"/>
      <c r="AD129" s="518"/>
      <c r="AE129" s="518"/>
      <c r="AF129" s="518"/>
      <c r="AG129" s="518"/>
      <c r="AH129" s="518"/>
      <c r="AI129" s="518"/>
      <c r="AJ129" s="518"/>
      <c r="AK129" s="518"/>
      <c r="AL129" s="518"/>
      <c r="AM129" s="518"/>
      <c r="AN129" s="518"/>
      <c r="AO129" s="518"/>
      <c r="AP129" s="518"/>
      <c r="AQ129" s="518"/>
      <c r="AR129" s="518"/>
      <c r="AS129" s="518"/>
      <c r="AT129" s="518"/>
      <c r="AU129" s="518"/>
      <c r="AV129" s="518"/>
      <c r="AW129" s="518"/>
      <c r="AX129" s="518"/>
      <c r="AY129" s="518"/>
      <c r="AZ129" s="518"/>
      <c r="BA129" s="518"/>
      <c r="BB129" s="518"/>
      <c r="BC129" s="518"/>
      <c r="BD129" s="518"/>
      <c r="BE129" s="518"/>
    </row>
    <row r="130" spans="1:57" ht="12.75" customHeight="1">
      <c r="A130" s="518"/>
      <c r="B130" s="518"/>
      <c r="C130" s="518"/>
      <c r="D130" s="518"/>
      <c r="E130" s="518"/>
      <c r="F130" s="518"/>
      <c r="G130" s="518"/>
      <c r="H130" s="518"/>
      <c r="I130" s="518"/>
      <c r="J130" s="518"/>
      <c r="K130" s="518"/>
      <c r="L130" s="518"/>
      <c r="M130" s="518"/>
      <c r="N130" s="518"/>
      <c r="O130" s="518"/>
      <c r="P130" s="518"/>
      <c r="Q130" s="518"/>
      <c r="R130" s="518"/>
      <c r="S130" s="518"/>
      <c r="T130" s="518"/>
      <c r="U130" s="518"/>
      <c r="V130" s="518"/>
      <c r="W130" s="518"/>
      <c r="X130" s="518"/>
      <c r="Y130" s="518"/>
      <c r="Z130" s="518"/>
      <c r="AA130" s="518"/>
      <c r="AB130" s="518"/>
      <c r="AC130" s="518"/>
      <c r="AD130" s="518"/>
      <c r="AE130" s="518"/>
      <c r="AF130" s="518"/>
      <c r="AG130" s="518"/>
      <c r="AH130" s="518"/>
      <c r="AI130" s="518"/>
      <c r="AJ130" s="518"/>
      <c r="AK130" s="518"/>
      <c r="AL130" s="518"/>
      <c r="AM130" s="518"/>
      <c r="AN130" s="518"/>
      <c r="AO130" s="518"/>
      <c r="AP130" s="518"/>
      <c r="AQ130" s="518"/>
      <c r="AR130" s="518"/>
      <c r="AS130" s="518"/>
      <c r="AT130" s="518"/>
      <c r="AU130" s="518"/>
      <c r="AV130" s="518"/>
      <c r="AW130" s="518"/>
      <c r="AX130" s="518"/>
      <c r="AY130" s="518"/>
      <c r="AZ130" s="518"/>
      <c r="BA130" s="518"/>
      <c r="BB130" s="518"/>
      <c r="BC130" s="518"/>
      <c r="BD130" s="518"/>
      <c r="BE130" s="518"/>
    </row>
    <row r="131" spans="1:57" ht="12.75" customHeight="1">
      <c r="A131" s="518"/>
      <c r="B131" s="518"/>
      <c r="C131" s="518"/>
      <c r="D131" s="518"/>
      <c r="E131" s="518"/>
      <c r="F131" s="518"/>
      <c r="G131" s="518"/>
      <c r="H131" s="518"/>
      <c r="I131" s="518"/>
      <c r="J131" s="518"/>
      <c r="K131" s="518"/>
      <c r="L131" s="518"/>
      <c r="M131" s="518"/>
      <c r="N131" s="518"/>
      <c r="O131" s="518"/>
      <c r="P131" s="518"/>
      <c r="Q131" s="518"/>
      <c r="R131" s="518"/>
      <c r="S131" s="518"/>
      <c r="T131" s="518"/>
      <c r="U131" s="518"/>
      <c r="V131" s="518"/>
      <c r="W131" s="518"/>
      <c r="X131" s="518"/>
      <c r="Y131" s="518"/>
      <c r="Z131" s="518"/>
      <c r="AA131" s="518"/>
      <c r="AB131" s="518"/>
      <c r="AC131" s="518"/>
      <c r="AD131" s="518"/>
      <c r="AE131" s="518"/>
      <c r="AF131" s="518"/>
      <c r="AG131" s="518"/>
      <c r="AH131" s="518"/>
      <c r="AI131" s="518"/>
      <c r="AJ131" s="518"/>
      <c r="AK131" s="518"/>
      <c r="AL131" s="518"/>
      <c r="AM131" s="518"/>
      <c r="AN131" s="518"/>
      <c r="AO131" s="518"/>
      <c r="AP131" s="518"/>
      <c r="AQ131" s="518"/>
      <c r="AR131" s="518"/>
      <c r="AS131" s="518"/>
      <c r="AT131" s="518"/>
      <c r="AU131" s="518"/>
      <c r="AV131" s="518"/>
      <c r="AW131" s="518"/>
      <c r="AX131" s="518"/>
      <c r="AY131" s="518"/>
      <c r="AZ131" s="518"/>
      <c r="BA131" s="518"/>
      <c r="BB131" s="518"/>
      <c r="BC131" s="518"/>
      <c r="BD131" s="518"/>
      <c r="BE131" s="518"/>
    </row>
    <row r="132" spans="1:57" ht="12.75" customHeight="1">
      <c r="A132" s="518"/>
      <c r="B132" s="518"/>
      <c r="C132" s="518"/>
      <c r="D132" s="518"/>
      <c r="E132" s="518"/>
      <c r="F132" s="518"/>
      <c r="G132" s="518"/>
      <c r="H132" s="518"/>
      <c r="I132" s="518"/>
      <c r="J132" s="518"/>
      <c r="K132" s="518"/>
      <c r="L132" s="518"/>
      <c r="M132" s="518"/>
      <c r="N132" s="518"/>
      <c r="O132" s="518"/>
      <c r="P132" s="518"/>
      <c r="Q132" s="518"/>
      <c r="R132" s="518"/>
      <c r="S132" s="518"/>
      <c r="T132" s="518"/>
      <c r="U132" s="518"/>
      <c r="V132" s="518"/>
      <c r="W132" s="518"/>
      <c r="X132" s="518"/>
      <c r="Y132" s="518"/>
      <c r="Z132" s="518"/>
      <c r="AA132" s="518"/>
      <c r="AB132" s="518"/>
      <c r="AC132" s="518"/>
      <c r="AD132" s="518"/>
      <c r="AE132" s="518"/>
      <c r="AF132" s="518"/>
      <c r="AG132" s="518"/>
      <c r="AH132" s="518"/>
      <c r="AI132" s="518"/>
      <c r="AJ132" s="518"/>
      <c r="AK132" s="518"/>
      <c r="AL132" s="518"/>
      <c r="AM132" s="518"/>
      <c r="AN132" s="518"/>
      <c r="AO132" s="518"/>
      <c r="AP132" s="518"/>
      <c r="AQ132" s="518"/>
      <c r="AR132" s="518"/>
      <c r="AS132" s="518"/>
      <c r="AT132" s="518"/>
      <c r="AU132" s="518"/>
      <c r="AV132" s="518"/>
      <c r="AW132" s="518"/>
      <c r="AX132" s="518"/>
      <c r="AY132" s="518"/>
      <c r="AZ132" s="518"/>
      <c r="BA132" s="518"/>
      <c r="BB132" s="518"/>
      <c r="BC132" s="518"/>
      <c r="BD132" s="518"/>
      <c r="BE132" s="518"/>
    </row>
    <row r="133" spans="1:57" ht="12.75" customHeight="1">
      <c r="A133" s="518"/>
      <c r="B133" s="518"/>
      <c r="C133" s="518"/>
      <c r="D133" s="518"/>
      <c r="E133" s="518"/>
      <c r="F133" s="518"/>
      <c r="G133" s="518"/>
      <c r="H133" s="518"/>
      <c r="I133" s="518"/>
      <c r="J133" s="518"/>
      <c r="K133" s="518"/>
      <c r="L133" s="518"/>
      <c r="M133" s="518"/>
      <c r="N133" s="518"/>
      <c r="O133" s="518"/>
      <c r="P133" s="518"/>
      <c r="Q133" s="518"/>
      <c r="R133" s="518"/>
      <c r="S133" s="518"/>
      <c r="T133" s="518"/>
      <c r="U133" s="518"/>
      <c r="V133" s="518"/>
      <c r="W133" s="518"/>
      <c r="X133" s="518"/>
      <c r="Y133" s="518"/>
      <c r="Z133" s="518"/>
      <c r="AA133" s="518"/>
      <c r="AB133" s="518"/>
      <c r="AC133" s="518"/>
      <c r="AD133" s="518"/>
      <c r="AE133" s="518"/>
      <c r="AF133" s="518"/>
      <c r="AG133" s="518"/>
      <c r="AH133" s="518"/>
      <c r="AI133" s="518"/>
      <c r="AJ133" s="518"/>
      <c r="AK133" s="518"/>
      <c r="AL133" s="518"/>
      <c r="AM133" s="518"/>
      <c r="AN133" s="518"/>
      <c r="AO133" s="518"/>
      <c r="AP133" s="518"/>
      <c r="AQ133" s="518"/>
      <c r="AR133" s="518"/>
      <c r="AS133" s="518"/>
      <c r="AT133" s="518"/>
      <c r="AU133" s="518"/>
      <c r="AV133" s="518"/>
      <c r="AW133" s="518"/>
      <c r="AX133" s="518"/>
      <c r="AY133" s="518"/>
      <c r="AZ133" s="518"/>
      <c r="BA133" s="518"/>
      <c r="BB133" s="518"/>
      <c r="BC133" s="518"/>
      <c r="BD133" s="518"/>
      <c r="BE133" s="518"/>
    </row>
    <row r="134" spans="1:57" ht="12.75" customHeight="1">
      <c r="A134" s="518"/>
      <c r="B134" s="518"/>
      <c r="C134" s="518"/>
      <c r="D134" s="518"/>
      <c r="E134" s="518"/>
      <c r="F134" s="518"/>
      <c r="G134" s="518"/>
      <c r="H134" s="518"/>
      <c r="I134" s="518"/>
      <c r="J134" s="518"/>
      <c r="K134" s="518"/>
      <c r="L134" s="518"/>
      <c r="M134" s="518"/>
      <c r="N134" s="518"/>
      <c r="O134" s="518"/>
      <c r="P134" s="518"/>
      <c r="Q134" s="518"/>
      <c r="R134" s="518"/>
      <c r="S134" s="518"/>
      <c r="T134" s="518"/>
      <c r="U134" s="518"/>
      <c r="V134" s="518"/>
      <c r="W134" s="518"/>
      <c r="X134" s="518"/>
      <c r="Y134" s="518"/>
      <c r="Z134" s="518"/>
      <c r="AA134" s="518"/>
      <c r="AB134" s="518"/>
      <c r="AC134" s="518"/>
      <c r="AD134" s="518"/>
      <c r="AE134" s="518"/>
      <c r="AF134" s="518"/>
      <c r="AG134" s="518"/>
      <c r="AH134" s="518"/>
      <c r="AI134" s="518"/>
      <c r="AJ134" s="518"/>
      <c r="AK134" s="518"/>
      <c r="AL134" s="518"/>
      <c r="AM134" s="518"/>
      <c r="AN134" s="518"/>
      <c r="AO134" s="518"/>
      <c r="AP134" s="518"/>
      <c r="AQ134" s="518"/>
      <c r="AR134" s="518"/>
      <c r="AS134" s="518"/>
      <c r="AT134" s="518"/>
      <c r="AU134" s="518"/>
      <c r="AV134" s="518"/>
      <c r="AW134" s="518"/>
      <c r="AX134" s="518"/>
      <c r="AY134" s="518"/>
      <c r="AZ134" s="518"/>
      <c r="BA134" s="518"/>
      <c r="BB134" s="518"/>
      <c r="BC134" s="518"/>
      <c r="BD134" s="518"/>
      <c r="BE134" s="518"/>
    </row>
    <row r="135" spans="1:57" ht="12.75" customHeight="1">
      <c r="A135" s="518"/>
      <c r="B135" s="518"/>
      <c r="C135" s="518"/>
      <c r="D135" s="518"/>
      <c r="E135" s="518"/>
      <c r="F135" s="518"/>
      <c r="G135" s="518"/>
      <c r="H135" s="518"/>
      <c r="I135" s="518"/>
      <c r="J135" s="518"/>
      <c r="K135" s="518"/>
      <c r="L135" s="518"/>
      <c r="M135" s="518"/>
      <c r="N135" s="518"/>
      <c r="O135" s="518"/>
      <c r="P135" s="518"/>
      <c r="Q135" s="518"/>
      <c r="R135" s="518"/>
      <c r="S135" s="518"/>
      <c r="T135" s="518"/>
      <c r="U135" s="518"/>
      <c r="V135" s="518"/>
      <c r="W135" s="518"/>
      <c r="X135" s="518"/>
      <c r="Y135" s="518"/>
      <c r="Z135" s="518"/>
      <c r="AA135" s="518"/>
      <c r="AB135" s="518"/>
      <c r="AC135" s="518"/>
      <c r="AD135" s="518"/>
      <c r="AE135" s="518"/>
      <c r="AF135" s="518"/>
      <c r="AG135" s="518"/>
      <c r="AH135" s="518"/>
      <c r="AI135" s="518"/>
      <c r="AJ135" s="518"/>
      <c r="AK135" s="518"/>
      <c r="AL135" s="518"/>
      <c r="AM135" s="518"/>
      <c r="AN135" s="518"/>
      <c r="AO135" s="518"/>
      <c r="AP135" s="518"/>
      <c r="AQ135" s="518"/>
      <c r="AR135" s="518"/>
      <c r="AS135" s="518"/>
      <c r="AT135" s="518"/>
      <c r="AU135" s="518"/>
      <c r="AV135" s="518"/>
      <c r="AW135" s="518"/>
      <c r="AX135" s="518"/>
      <c r="AY135" s="518"/>
      <c r="AZ135" s="518"/>
      <c r="BA135" s="518"/>
      <c r="BB135" s="518"/>
      <c r="BC135" s="518"/>
      <c r="BD135" s="518"/>
      <c r="BE135" s="518"/>
    </row>
    <row r="136" spans="1:57" ht="12.75" customHeight="1">
      <c r="A136" s="518"/>
      <c r="B136" s="518"/>
      <c r="C136" s="518"/>
      <c r="D136" s="518"/>
      <c r="E136" s="518"/>
      <c r="F136" s="518"/>
      <c r="G136" s="518"/>
      <c r="H136" s="518"/>
      <c r="I136" s="518"/>
      <c r="J136" s="518"/>
      <c r="K136" s="518"/>
      <c r="L136" s="518"/>
      <c r="M136" s="518"/>
      <c r="N136" s="518"/>
      <c r="O136" s="518"/>
      <c r="P136" s="518"/>
      <c r="Q136" s="518"/>
      <c r="R136" s="518"/>
      <c r="S136" s="518"/>
      <c r="T136" s="518"/>
      <c r="U136" s="518"/>
      <c r="V136" s="518"/>
      <c r="W136" s="518"/>
      <c r="X136" s="518"/>
      <c r="Y136" s="518"/>
      <c r="Z136" s="518"/>
      <c r="AA136" s="518"/>
      <c r="AB136" s="518"/>
      <c r="AC136" s="518"/>
      <c r="AD136" s="518"/>
      <c r="AE136" s="518"/>
      <c r="AF136" s="518"/>
      <c r="AG136" s="518"/>
      <c r="AH136" s="518"/>
      <c r="AI136" s="518"/>
      <c r="AJ136" s="518"/>
      <c r="AK136" s="518"/>
      <c r="AL136" s="518"/>
      <c r="AM136" s="518"/>
      <c r="AN136" s="518"/>
      <c r="AO136" s="518"/>
      <c r="AP136" s="518"/>
      <c r="AQ136" s="518"/>
      <c r="AR136" s="518"/>
      <c r="AS136" s="518"/>
      <c r="AT136" s="518"/>
      <c r="AU136" s="518"/>
      <c r="AV136" s="518"/>
      <c r="AW136" s="518"/>
      <c r="AX136" s="518"/>
      <c r="AY136" s="518"/>
      <c r="AZ136" s="518"/>
      <c r="BA136" s="518"/>
      <c r="BB136" s="518"/>
      <c r="BC136" s="518"/>
      <c r="BD136" s="518"/>
      <c r="BE136" s="518"/>
    </row>
    <row r="137" spans="1:57" ht="12.75" customHeight="1">
      <c r="A137" s="518"/>
      <c r="B137" s="518"/>
      <c r="C137" s="518"/>
      <c r="D137" s="518"/>
      <c r="E137" s="518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Q137" s="518"/>
      <c r="R137" s="518"/>
      <c r="S137" s="518"/>
      <c r="T137" s="518"/>
      <c r="U137" s="518"/>
      <c r="V137" s="518"/>
      <c r="W137" s="518"/>
      <c r="X137" s="518"/>
      <c r="Y137" s="518"/>
      <c r="Z137" s="518"/>
      <c r="AA137" s="518"/>
      <c r="AB137" s="518"/>
      <c r="AC137" s="518"/>
      <c r="AD137" s="518"/>
      <c r="AE137" s="518"/>
      <c r="AF137" s="518"/>
      <c r="AG137" s="518"/>
      <c r="AH137" s="518"/>
      <c r="AI137" s="518"/>
      <c r="AJ137" s="518"/>
      <c r="AK137" s="518"/>
      <c r="AL137" s="518"/>
      <c r="AM137" s="518"/>
      <c r="AN137" s="518"/>
      <c r="AO137" s="518"/>
      <c r="AP137" s="518"/>
      <c r="AQ137" s="518"/>
      <c r="AR137" s="518"/>
      <c r="AS137" s="518"/>
      <c r="AT137" s="518"/>
      <c r="AU137" s="518"/>
      <c r="AV137" s="518"/>
      <c r="AW137" s="518"/>
      <c r="AX137" s="518"/>
      <c r="AY137" s="518"/>
      <c r="AZ137" s="518"/>
      <c r="BA137" s="518"/>
      <c r="BB137" s="518"/>
      <c r="BC137" s="518"/>
      <c r="BD137" s="518"/>
      <c r="BE137" s="518"/>
    </row>
    <row r="138" spans="1:57" ht="12.75" customHeight="1">
      <c r="A138" s="518"/>
      <c r="B138" s="518"/>
      <c r="C138" s="518"/>
      <c r="D138" s="518"/>
      <c r="E138" s="518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Q138" s="518"/>
      <c r="R138" s="518"/>
      <c r="S138" s="518"/>
      <c r="T138" s="518"/>
      <c r="U138" s="518"/>
      <c r="V138" s="518"/>
      <c r="W138" s="518"/>
      <c r="X138" s="518"/>
      <c r="Y138" s="518"/>
      <c r="Z138" s="518"/>
      <c r="AA138" s="518"/>
      <c r="AB138" s="518"/>
      <c r="AC138" s="518"/>
      <c r="AD138" s="518"/>
      <c r="AE138" s="518"/>
      <c r="AF138" s="518"/>
      <c r="AG138" s="518"/>
      <c r="AH138" s="518"/>
      <c r="AI138" s="518"/>
      <c r="AJ138" s="518"/>
      <c r="AK138" s="518"/>
      <c r="AL138" s="518"/>
      <c r="AM138" s="518"/>
      <c r="AN138" s="518"/>
      <c r="AO138" s="518"/>
      <c r="AP138" s="518"/>
      <c r="AQ138" s="518"/>
      <c r="AR138" s="518"/>
      <c r="AS138" s="518"/>
      <c r="AT138" s="518"/>
      <c r="AU138" s="518"/>
      <c r="AV138" s="518"/>
      <c r="AW138" s="518"/>
      <c r="AX138" s="518"/>
      <c r="AY138" s="518"/>
      <c r="AZ138" s="518"/>
      <c r="BA138" s="518"/>
      <c r="BB138" s="518"/>
      <c r="BC138" s="518"/>
      <c r="BD138" s="518"/>
      <c r="BE138" s="518"/>
    </row>
    <row r="139" spans="1:57" ht="12.75" customHeight="1">
      <c r="A139" s="518"/>
      <c r="B139" s="518"/>
      <c r="C139" s="518"/>
      <c r="D139" s="518"/>
      <c r="E139" s="518"/>
      <c r="F139" s="518"/>
      <c r="G139" s="518"/>
      <c r="H139" s="518"/>
      <c r="I139" s="518"/>
      <c r="J139" s="518"/>
      <c r="K139" s="518"/>
      <c r="L139" s="518"/>
      <c r="M139" s="518"/>
      <c r="N139" s="518"/>
      <c r="O139" s="518"/>
      <c r="P139" s="518"/>
      <c r="Q139" s="518"/>
      <c r="R139" s="518"/>
      <c r="S139" s="518"/>
      <c r="T139" s="518"/>
      <c r="U139" s="518"/>
      <c r="V139" s="518"/>
      <c r="W139" s="518"/>
      <c r="X139" s="518"/>
      <c r="Y139" s="518"/>
      <c r="Z139" s="518"/>
      <c r="AA139" s="518"/>
      <c r="AB139" s="518"/>
      <c r="AC139" s="518"/>
      <c r="AD139" s="518"/>
      <c r="AE139" s="518"/>
      <c r="AF139" s="518"/>
      <c r="AG139" s="518"/>
      <c r="AH139" s="518"/>
      <c r="AI139" s="518"/>
      <c r="AJ139" s="518"/>
      <c r="AK139" s="518"/>
      <c r="AL139" s="518"/>
      <c r="AM139" s="518"/>
      <c r="AN139" s="518"/>
      <c r="AO139" s="518"/>
      <c r="AP139" s="518"/>
      <c r="AQ139" s="518"/>
      <c r="AR139" s="518"/>
      <c r="AS139" s="518"/>
      <c r="AT139" s="518"/>
      <c r="AU139" s="518"/>
      <c r="AV139" s="518"/>
      <c r="AW139" s="518"/>
      <c r="AX139" s="518"/>
      <c r="AY139" s="518"/>
      <c r="AZ139" s="518"/>
      <c r="BA139" s="518"/>
      <c r="BB139" s="518"/>
      <c r="BC139" s="518"/>
      <c r="BD139" s="518"/>
      <c r="BE139" s="518"/>
    </row>
    <row r="140" spans="1:57" ht="12.75" customHeight="1">
      <c r="A140" s="518"/>
      <c r="B140" s="518"/>
      <c r="C140" s="518"/>
      <c r="D140" s="518"/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518"/>
      <c r="P140" s="518"/>
      <c r="Q140" s="518"/>
      <c r="R140" s="518"/>
      <c r="S140" s="518"/>
      <c r="T140" s="518"/>
      <c r="U140" s="518"/>
      <c r="V140" s="518"/>
      <c r="W140" s="518"/>
      <c r="X140" s="518"/>
      <c r="Y140" s="518"/>
      <c r="Z140" s="518"/>
      <c r="AA140" s="518"/>
      <c r="AB140" s="518"/>
      <c r="AC140" s="518"/>
      <c r="AD140" s="518"/>
      <c r="AE140" s="518"/>
      <c r="AF140" s="518"/>
      <c r="AG140" s="518"/>
      <c r="AH140" s="518"/>
      <c r="AI140" s="518"/>
      <c r="AJ140" s="518"/>
      <c r="AK140" s="518"/>
      <c r="AL140" s="518"/>
      <c r="AM140" s="518"/>
      <c r="AN140" s="518"/>
      <c r="AO140" s="518"/>
      <c r="AP140" s="518"/>
      <c r="AQ140" s="518"/>
      <c r="AR140" s="518"/>
      <c r="AS140" s="518"/>
      <c r="AT140" s="518"/>
      <c r="AU140" s="518"/>
      <c r="AV140" s="518"/>
      <c r="AW140" s="518"/>
      <c r="AX140" s="518"/>
      <c r="AY140" s="518"/>
      <c r="AZ140" s="518"/>
      <c r="BA140" s="518"/>
      <c r="BB140" s="518"/>
      <c r="BC140" s="518"/>
      <c r="BD140" s="518"/>
      <c r="BE140" s="518"/>
    </row>
    <row r="141" spans="1:57" ht="12.75" customHeight="1">
      <c r="A141" s="518"/>
      <c r="B141" s="518"/>
      <c r="C141" s="518"/>
      <c r="D141" s="518"/>
      <c r="E141" s="518"/>
      <c r="F141" s="518"/>
      <c r="G141" s="518"/>
      <c r="H141" s="518"/>
      <c r="I141" s="518"/>
      <c r="J141" s="518"/>
      <c r="K141" s="518"/>
      <c r="L141" s="518"/>
      <c r="M141" s="518"/>
      <c r="N141" s="518"/>
      <c r="O141" s="518"/>
      <c r="P141" s="518"/>
      <c r="Q141" s="518"/>
      <c r="R141" s="518"/>
      <c r="S141" s="518"/>
      <c r="T141" s="518"/>
      <c r="U141" s="518"/>
      <c r="V141" s="518"/>
      <c r="W141" s="518"/>
      <c r="X141" s="518"/>
      <c r="Y141" s="518"/>
      <c r="Z141" s="518"/>
      <c r="AA141" s="518"/>
      <c r="AB141" s="518"/>
      <c r="AC141" s="518"/>
      <c r="AD141" s="518"/>
      <c r="AE141" s="518"/>
      <c r="AF141" s="518"/>
      <c r="AG141" s="518"/>
      <c r="AH141" s="518"/>
      <c r="AI141" s="518"/>
      <c r="AJ141" s="518"/>
      <c r="AK141" s="518"/>
      <c r="AL141" s="518"/>
      <c r="AM141" s="518"/>
      <c r="AN141" s="518"/>
      <c r="AO141" s="518"/>
      <c r="AP141" s="518"/>
      <c r="AQ141" s="518"/>
      <c r="AR141" s="518"/>
      <c r="AS141" s="518"/>
      <c r="AT141" s="518"/>
      <c r="AU141" s="518"/>
      <c r="AV141" s="518"/>
      <c r="AW141" s="518"/>
      <c r="AX141" s="518"/>
      <c r="AY141" s="518"/>
      <c r="AZ141" s="518"/>
      <c r="BA141" s="518"/>
      <c r="BB141" s="518"/>
      <c r="BC141" s="518"/>
      <c r="BD141" s="518"/>
      <c r="BE141" s="518"/>
    </row>
    <row r="142" spans="1:57" ht="12.75" customHeight="1">
      <c r="A142" s="518"/>
      <c r="B142" s="518"/>
      <c r="C142" s="518"/>
      <c r="D142" s="518"/>
      <c r="E142" s="518"/>
      <c r="F142" s="518"/>
      <c r="G142" s="518"/>
      <c r="H142" s="518"/>
      <c r="I142" s="518"/>
      <c r="J142" s="518"/>
      <c r="K142" s="518"/>
      <c r="L142" s="518"/>
      <c r="M142" s="518"/>
      <c r="N142" s="518"/>
      <c r="O142" s="518"/>
      <c r="P142" s="518"/>
      <c r="Q142" s="518"/>
      <c r="R142" s="518"/>
      <c r="S142" s="518"/>
      <c r="T142" s="518"/>
      <c r="U142" s="518"/>
      <c r="V142" s="518"/>
      <c r="W142" s="518"/>
      <c r="X142" s="518"/>
      <c r="Y142" s="518"/>
      <c r="Z142" s="518"/>
      <c r="AA142" s="518"/>
      <c r="AB142" s="518"/>
      <c r="AC142" s="518"/>
      <c r="AD142" s="518"/>
      <c r="AE142" s="518"/>
      <c r="AF142" s="518"/>
      <c r="AG142" s="518"/>
      <c r="AH142" s="518"/>
      <c r="AI142" s="518"/>
      <c r="AJ142" s="518"/>
      <c r="AK142" s="518"/>
      <c r="AL142" s="518"/>
      <c r="AM142" s="518"/>
      <c r="AN142" s="518"/>
      <c r="AO142" s="518"/>
      <c r="AP142" s="518"/>
      <c r="AQ142" s="518"/>
      <c r="AR142" s="518"/>
      <c r="AS142" s="518"/>
      <c r="AT142" s="518"/>
      <c r="AU142" s="518"/>
      <c r="AV142" s="518"/>
      <c r="AW142" s="518"/>
      <c r="AX142" s="518"/>
      <c r="AY142" s="518"/>
      <c r="AZ142" s="518"/>
      <c r="BA142" s="518"/>
      <c r="BB142" s="518"/>
      <c r="BC142" s="518"/>
      <c r="BD142" s="518"/>
      <c r="BE142" s="518"/>
    </row>
    <row r="143" spans="1:57" ht="12.75" customHeight="1">
      <c r="A143" s="518"/>
      <c r="B143" s="518"/>
      <c r="C143" s="518"/>
      <c r="D143" s="518"/>
      <c r="E143" s="518"/>
      <c r="F143" s="518"/>
      <c r="G143" s="518"/>
      <c r="H143" s="518"/>
      <c r="I143" s="518"/>
      <c r="J143" s="518"/>
      <c r="K143" s="518"/>
      <c r="L143" s="518"/>
      <c r="M143" s="518"/>
      <c r="N143" s="518"/>
      <c r="O143" s="518"/>
      <c r="P143" s="518"/>
      <c r="Q143" s="518"/>
      <c r="R143" s="518"/>
      <c r="S143" s="518"/>
      <c r="T143" s="518"/>
      <c r="U143" s="518"/>
      <c r="V143" s="518"/>
      <c r="W143" s="518"/>
      <c r="X143" s="518"/>
      <c r="Y143" s="518"/>
      <c r="Z143" s="518"/>
      <c r="AA143" s="518"/>
      <c r="AB143" s="518"/>
      <c r="AC143" s="518"/>
      <c r="AD143" s="518"/>
      <c r="AE143" s="518"/>
      <c r="AF143" s="518"/>
      <c r="AG143" s="518"/>
      <c r="AH143" s="518"/>
      <c r="AI143" s="518"/>
      <c r="AJ143" s="518"/>
      <c r="AK143" s="518"/>
      <c r="AL143" s="518"/>
      <c r="AM143" s="518"/>
      <c r="AN143" s="518"/>
      <c r="AO143" s="518"/>
      <c r="AP143" s="518"/>
      <c r="AQ143" s="518"/>
      <c r="AR143" s="518"/>
      <c r="AS143" s="518"/>
      <c r="AT143" s="518"/>
      <c r="AU143" s="518"/>
      <c r="AV143" s="518"/>
      <c r="AW143" s="518"/>
      <c r="AX143" s="518"/>
      <c r="AY143" s="518"/>
      <c r="AZ143" s="518"/>
      <c r="BA143" s="518"/>
      <c r="BB143" s="518"/>
      <c r="BC143" s="518"/>
      <c r="BD143" s="518"/>
      <c r="BE143" s="518"/>
    </row>
    <row r="144" spans="1:57" ht="12.75" customHeight="1">
      <c r="A144" s="518"/>
      <c r="B144" s="518"/>
      <c r="C144" s="518"/>
      <c r="D144" s="518"/>
      <c r="E144" s="518"/>
      <c r="F144" s="518"/>
      <c r="G144" s="518"/>
      <c r="H144" s="518"/>
      <c r="I144" s="518"/>
      <c r="J144" s="518"/>
      <c r="K144" s="518"/>
      <c r="L144" s="518"/>
      <c r="M144" s="518"/>
      <c r="N144" s="518"/>
      <c r="O144" s="518"/>
      <c r="P144" s="518"/>
      <c r="Q144" s="518"/>
      <c r="R144" s="518"/>
      <c r="S144" s="518"/>
      <c r="T144" s="518"/>
      <c r="U144" s="518"/>
      <c r="V144" s="518"/>
      <c r="W144" s="518"/>
      <c r="X144" s="518"/>
      <c r="Y144" s="518"/>
      <c r="Z144" s="518"/>
      <c r="AA144" s="518"/>
      <c r="AB144" s="518"/>
      <c r="AC144" s="518"/>
      <c r="AD144" s="518"/>
      <c r="AE144" s="518"/>
      <c r="AF144" s="518"/>
      <c r="AG144" s="518"/>
      <c r="AH144" s="518"/>
      <c r="AI144" s="518"/>
      <c r="AJ144" s="518"/>
      <c r="AK144" s="518"/>
      <c r="AL144" s="518"/>
      <c r="AM144" s="518"/>
      <c r="AN144" s="518"/>
      <c r="AO144" s="518"/>
      <c r="AP144" s="518"/>
      <c r="AQ144" s="518"/>
      <c r="AR144" s="518"/>
      <c r="AS144" s="518"/>
      <c r="AT144" s="518"/>
      <c r="AU144" s="518"/>
      <c r="AV144" s="518"/>
      <c r="AW144" s="518"/>
      <c r="AX144" s="518"/>
      <c r="AY144" s="518"/>
      <c r="AZ144" s="518"/>
      <c r="BA144" s="518"/>
      <c r="BB144" s="518"/>
      <c r="BC144" s="518"/>
      <c r="BD144" s="518"/>
      <c r="BE144" s="518"/>
    </row>
    <row r="145" spans="1:57" ht="12.75" customHeight="1">
      <c r="A145" s="518"/>
      <c r="B145" s="518"/>
      <c r="C145" s="518"/>
      <c r="D145" s="518"/>
      <c r="E145" s="518"/>
      <c r="F145" s="518"/>
      <c r="G145" s="518"/>
      <c r="H145" s="518"/>
      <c r="I145" s="518"/>
      <c r="J145" s="518"/>
      <c r="K145" s="518"/>
      <c r="L145" s="518"/>
      <c r="M145" s="518"/>
      <c r="N145" s="518"/>
      <c r="O145" s="518"/>
      <c r="P145" s="518"/>
      <c r="Q145" s="518"/>
      <c r="R145" s="518"/>
      <c r="S145" s="518"/>
      <c r="T145" s="518"/>
      <c r="U145" s="518"/>
      <c r="V145" s="518"/>
      <c r="W145" s="518"/>
      <c r="X145" s="518"/>
      <c r="Y145" s="518"/>
      <c r="Z145" s="518"/>
      <c r="AA145" s="518"/>
      <c r="AB145" s="518"/>
      <c r="AC145" s="518"/>
      <c r="AD145" s="518"/>
      <c r="AE145" s="518"/>
      <c r="AF145" s="518"/>
      <c r="AG145" s="518"/>
      <c r="AH145" s="518"/>
      <c r="AI145" s="518"/>
      <c r="AJ145" s="518"/>
      <c r="AK145" s="518"/>
      <c r="AL145" s="518"/>
      <c r="AM145" s="518"/>
      <c r="AN145" s="518"/>
      <c r="AO145" s="518"/>
      <c r="AP145" s="518"/>
      <c r="AQ145" s="518"/>
      <c r="AR145" s="518"/>
      <c r="AS145" s="518"/>
      <c r="AT145" s="518"/>
      <c r="AU145" s="518"/>
      <c r="AV145" s="518"/>
      <c r="AW145" s="518"/>
      <c r="AX145" s="518"/>
      <c r="AY145" s="518"/>
      <c r="AZ145" s="518"/>
      <c r="BA145" s="518"/>
      <c r="BB145" s="518"/>
      <c r="BC145" s="518"/>
      <c r="BD145" s="518"/>
      <c r="BE145" s="518"/>
    </row>
    <row r="146" spans="1:57" ht="12.75" customHeight="1">
      <c r="A146" s="518"/>
      <c r="B146" s="518"/>
      <c r="C146" s="518"/>
      <c r="D146" s="518"/>
      <c r="E146" s="518"/>
      <c r="F146" s="518"/>
      <c r="G146" s="518"/>
      <c r="H146" s="518"/>
      <c r="I146" s="518"/>
      <c r="J146" s="518"/>
      <c r="K146" s="518"/>
      <c r="L146" s="518"/>
      <c r="M146" s="518"/>
      <c r="N146" s="518"/>
      <c r="O146" s="518"/>
      <c r="P146" s="518"/>
      <c r="Q146" s="518"/>
      <c r="R146" s="518"/>
      <c r="S146" s="518"/>
      <c r="T146" s="518"/>
      <c r="U146" s="518"/>
      <c r="V146" s="518"/>
      <c r="W146" s="518"/>
      <c r="X146" s="518"/>
      <c r="Y146" s="518"/>
      <c r="Z146" s="518"/>
      <c r="AA146" s="518"/>
      <c r="AB146" s="518"/>
      <c r="AC146" s="518"/>
      <c r="AD146" s="518"/>
      <c r="AE146" s="518"/>
      <c r="AF146" s="518"/>
      <c r="AG146" s="518"/>
      <c r="AH146" s="518"/>
      <c r="AI146" s="518"/>
      <c r="AJ146" s="518"/>
      <c r="AK146" s="518"/>
      <c r="AL146" s="518"/>
      <c r="AM146" s="518"/>
      <c r="AN146" s="518"/>
      <c r="AO146" s="518"/>
      <c r="AP146" s="518"/>
      <c r="AQ146" s="518"/>
      <c r="AR146" s="518"/>
      <c r="AS146" s="518"/>
      <c r="AT146" s="518"/>
      <c r="AU146" s="518"/>
      <c r="AV146" s="518"/>
      <c r="AW146" s="518"/>
      <c r="AX146" s="518"/>
      <c r="AY146" s="518"/>
      <c r="AZ146" s="518"/>
      <c r="BA146" s="518"/>
      <c r="BB146" s="518"/>
      <c r="BC146" s="518"/>
      <c r="BD146" s="518"/>
      <c r="BE146" s="518"/>
    </row>
    <row r="147" spans="1:57" ht="12.75" customHeight="1">
      <c r="A147" s="518"/>
      <c r="B147" s="518"/>
      <c r="C147" s="518"/>
      <c r="D147" s="518"/>
      <c r="E147" s="518"/>
      <c r="F147" s="518"/>
      <c r="G147" s="518"/>
      <c r="H147" s="518"/>
      <c r="I147" s="518"/>
      <c r="J147" s="518"/>
      <c r="K147" s="518"/>
      <c r="L147" s="518"/>
      <c r="M147" s="518"/>
      <c r="N147" s="518"/>
      <c r="O147" s="518"/>
      <c r="P147" s="518"/>
      <c r="Q147" s="518"/>
      <c r="R147" s="518"/>
      <c r="S147" s="518"/>
      <c r="T147" s="518"/>
      <c r="U147" s="518"/>
      <c r="V147" s="518"/>
      <c r="W147" s="518"/>
      <c r="X147" s="518"/>
      <c r="Y147" s="518"/>
      <c r="Z147" s="518"/>
      <c r="AA147" s="518"/>
      <c r="AB147" s="518"/>
      <c r="AC147" s="518"/>
      <c r="AD147" s="518"/>
      <c r="AE147" s="518"/>
      <c r="AF147" s="518"/>
      <c r="AG147" s="518"/>
      <c r="AH147" s="518"/>
      <c r="AI147" s="518"/>
      <c r="AJ147" s="518"/>
      <c r="AK147" s="518"/>
      <c r="AL147" s="518"/>
      <c r="AM147" s="518"/>
      <c r="AN147" s="518"/>
      <c r="AO147" s="518"/>
      <c r="AP147" s="518"/>
      <c r="AQ147" s="518"/>
      <c r="AR147" s="518"/>
      <c r="AS147" s="518"/>
      <c r="AT147" s="518"/>
      <c r="AU147" s="518"/>
      <c r="AV147" s="518"/>
      <c r="AW147" s="518"/>
      <c r="AX147" s="518"/>
      <c r="AY147" s="518"/>
      <c r="AZ147" s="518"/>
      <c r="BA147" s="518"/>
      <c r="BB147" s="518"/>
      <c r="BC147" s="518"/>
      <c r="BD147" s="518"/>
      <c r="BE147" s="518"/>
    </row>
    <row r="148" spans="1:57" ht="12.75" customHeight="1">
      <c r="A148" s="518"/>
      <c r="B148" s="518"/>
      <c r="C148" s="518"/>
      <c r="D148" s="518"/>
      <c r="E148" s="518"/>
      <c r="F148" s="518"/>
      <c r="G148" s="518"/>
      <c r="H148" s="518"/>
      <c r="I148" s="518"/>
      <c r="J148" s="518"/>
      <c r="K148" s="518"/>
      <c r="L148" s="518"/>
      <c r="M148" s="518"/>
      <c r="N148" s="518"/>
      <c r="O148" s="518"/>
      <c r="P148" s="518"/>
      <c r="Q148" s="518"/>
      <c r="R148" s="518"/>
      <c r="S148" s="518"/>
      <c r="T148" s="518"/>
      <c r="U148" s="518"/>
      <c r="V148" s="518"/>
      <c r="W148" s="518"/>
      <c r="X148" s="518"/>
      <c r="Y148" s="518"/>
      <c r="Z148" s="518"/>
      <c r="AA148" s="518"/>
      <c r="AB148" s="518"/>
      <c r="AC148" s="518"/>
      <c r="AD148" s="518"/>
      <c r="AE148" s="518"/>
      <c r="AF148" s="518"/>
      <c r="AG148" s="518"/>
      <c r="AH148" s="518"/>
      <c r="AI148" s="518"/>
      <c r="AJ148" s="518"/>
      <c r="AK148" s="518"/>
      <c r="AL148" s="518"/>
      <c r="AM148" s="518"/>
      <c r="AN148" s="518"/>
      <c r="AO148" s="518"/>
      <c r="AP148" s="518"/>
      <c r="AQ148" s="518"/>
      <c r="AR148" s="518"/>
      <c r="AS148" s="518"/>
      <c r="AT148" s="518"/>
      <c r="AU148" s="518"/>
      <c r="AV148" s="518"/>
      <c r="AW148" s="518"/>
      <c r="AX148" s="518"/>
      <c r="AY148" s="518"/>
      <c r="AZ148" s="518"/>
      <c r="BA148" s="518"/>
      <c r="BB148" s="518"/>
      <c r="BC148" s="518"/>
      <c r="BD148" s="518"/>
      <c r="BE148" s="518"/>
    </row>
    <row r="149" spans="1:57" ht="12.75" customHeight="1">
      <c r="A149" s="518"/>
      <c r="B149" s="518"/>
      <c r="C149" s="518"/>
      <c r="D149" s="518"/>
      <c r="E149" s="518"/>
      <c r="F149" s="518"/>
      <c r="G149" s="518"/>
      <c r="H149" s="518"/>
      <c r="I149" s="518"/>
      <c r="J149" s="518"/>
      <c r="K149" s="518"/>
      <c r="L149" s="518"/>
      <c r="M149" s="518"/>
      <c r="N149" s="518"/>
      <c r="O149" s="518"/>
      <c r="P149" s="518"/>
      <c r="Q149" s="518"/>
      <c r="R149" s="518"/>
      <c r="S149" s="518"/>
      <c r="T149" s="518"/>
      <c r="U149" s="518"/>
      <c r="V149" s="518"/>
      <c r="W149" s="518"/>
      <c r="X149" s="518"/>
      <c r="Y149" s="518"/>
      <c r="Z149" s="518"/>
      <c r="AA149" s="518"/>
      <c r="AB149" s="518"/>
      <c r="AC149" s="518"/>
      <c r="AD149" s="518"/>
      <c r="AE149" s="518"/>
      <c r="AF149" s="518"/>
      <c r="AG149" s="518"/>
      <c r="AH149" s="518"/>
      <c r="AI149" s="518"/>
      <c r="AJ149" s="518"/>
      <c r="AK149" s="518"/>
      <c r="AL149" s="518"/>
      <c r="AM149" s="518"/>
      <c r="AN149" s="518"/>
      <c r="AO149" s="518"/>
      <c r="AP149" s="518"/>
      <c r="AQ149" s="518"/>
      <c r="AR149" s="518"/>
      <c r="AS149" s="518"/>
      <c r="AT149" s="518"/>
      <c r="AU149" s="518"/>
      <c r="AV149" s="518"/>
      <c r="AW149" s="518"/>
      <c r="AX149" s="518"/>
      <c r="AY149" s="518"/>
      <c r="AZ149" s="518"/>
      <c r="BA149" s="518"/>
      <c r="BB149" s="518"/>
      <c r="BC149" s="518"/>
      <c r="BD149" s="518"/>
      <c r="BE149" s="518"/>
    </row>
    <row r="150" spans="1:57" ht="12.75" customHeight="1">
      <c r="A150" s="518"/>
      <c r="B150" s="518"/>
      <c r="C150" s="518"/>
      <c r="D150" s="518"/>
      <c r="E150" s="518"/>
      <c r="F150" s="518"/>
      <c r="G150" s="518"/>
      <c r="H150" s="518"/>
      <c r="I150" s="518"/>
      <c r="J150" s="518"/>
      <c r="K150" s="518"/>
      <c r="L150" s="518"/>
      <c r="M150" s="518"/>
      <c r="N150" s="518"/>
      <c r="O150" s="518"/>
      <c r="P150" s="518"/>
      <c r="Q150" s="518"/>
      <c r="R150" s="518"/>
      <c r="S150" s="518"/>
      <c r="T150" s="518"/>
      <c r="U150" s="518"/>
      <c r="V150" s="518"/>
      <c r="W150" s="518"/>
      <c r="X150" s="518"/>
      <c r="Y150" s="518"/>
      <c r="Z150" s="518"/>
      <c r="AA150" s="518"/>
      <c r="AB150" s="518"/>
      <c r="AC150" s="518"/>
      <c r="AD150" s="518"/>
      <c r="AE150" s="518"/>
      <c r="AF150" s="518"/>
      <c r="AG150" s="518"/>
      <c r="AH150" s="518"/>
      <c r="AI150" s="518"/>
      <c r="AJ150" s="518"/>
      <c r="AK150" s="518"/>
      <c r="AL150" s="518"/>
      <c r="AM150" s="518"/>
      <c r="AN150" s="518"/>
      <c r="AO150" s="518"/>
      <c r="AP150" s="518"/>
      <c r="AQ150" s="518"/>
      <c r="AR150" s="518"/>
      <c r="AS150" s="518"/>
      <c r="AT150" s="518"/>
      <c r="AU150" s="518"/>
      <c r="AV150" s="518"/>
      <c r="AW150" s="518"/>
      <c r="AX150" s="518"/>
      <c r="AY150" s="518"/>
      <c r="AZ150" s="518"/>
      <c r="BA150" s="518"/>
      <c r="BB150" s="518"/>
      <c r="BC150" s="518"/>
      <c r="BD150" s="518"/>
      <c r="BE150" s="518"/>
    </row>
    <row r="151" spans="1:57" ht="12.75" customHeight="1">
      <c r="A151" s="518"/>
      <c r="B151" s="518"/>
      <c r="C151" s="518"/>
      <c r="D151" s="518"/>
      <c r="E151" s="518"/>
      <c r="F151" s="518"/>
      <c r="G151" s="518"/>
      <c r="H151" s="518"/>
      <c r="I151" s="518"/>
      <c r="J151" s="518"/>
      <c r="K151" s="518"/>
      <c r="L151" s="518"/>
      <c r="M151" s="518"/>
      <c r="N151" s="518"/>
      <c r="O151" s="518"/>
      <c r="P151" s="518"/>
      <c r="Q151" s="518"/>
      <c r="R151" s="518"/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518"/>
      <c r="AF151" s="518"/>
      <c r="AG151" s="518"/>
      <c r="AH151" s="518"/>
      <c r="AI151" s="518"/>
      <c r="AJ151" s="518"/>
      <c r="AK151" s="518"/>
      <c r="AL151" s="518"/>
      <c r="AM151" s="518"/>
      <c r="AN151" s="518"/>
      <c r="AO151" s="518"/>
      <c r="AP151" s="518"/>
      <c r="AQ151" s="518"/>
      <c r="AR151" s="518"/>
      <c r="AS151" s="518"/>
      <c r="AT151" s="518"/>
      <c r="AU151" s="518"/>
      <c r="AV151" s="518"/>
      <c r="AW151" s="518"/>
      <c r="AX151" s="518"/>
      <c r="AY151" s="518"/>
      <c r="AZ151" s="518"/>
      <c r="BA151" s="518"/>
      <c r="BB151" s="518"/>
      <c r="BC151" s="518"/>
      <c r="BD151" s="518"/>
      <c r="BE151" s="518"/>
    </row>
    <row r="152" spans="1:57" ht="12.75" customHeight="1">
      <c r="A152" s="518"/>
      <c r="B152" s="518"/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8"/>
      <c r="O152" s="518"/>
      <c r="P152" s="518"/>
      <c r="Q152" s="518"/>
      <c r="R152" s="518"/>
      <c r="S152" s="518"/>
      <c r="T152" s="518"/>
      <c r="U152" s="518"/>
      <c r="V152" s="518"/>
      <c r="W152" s="518"/>
      <c r="X152" s="518"/>
      <c r="Y152" s="518"/>
      <c r="Z152" s="518"/>
      <c r="AA152" s="518"/>
      <c r="AB152" s="518"/>
      <c r="AC152" s="518"/>
      <c r="AD152" s="518"/>
      <c r="AE152" s="518"/>
      <c r="AF152" s="518"/>
      <c r="AG152" s="518"/>
      <c r="AH152" s="518"/>
      <c r="AI152" s="518"/>
      <c r="AJ152" s="518"/>
      <c r="AK152" s="518"/>
      <c r="AL152" s="518"/>
      <c r="AM152" s="518"/>
      <c r="AN152" s="518"/>
      <c r="AO152" s="518"/>
      <c r="AP152" s="518"/>
      <c r="AQ152" s="518"/>
      <c r="AR152" s="518"/>
      <c r="AS152" s="518"/>
      <c r="AT152" s="518"/>
      <c r="AU152" s="518"/>
      <c r="AV152" s="518"/>
      <c r="AW152" s="518"/>
      <c r="AX152" s="518"/>
      <c r="AY152" s="518"/>
      <c r="AZ152" s="518"/>
      <c r="BA152" s="518"/>
      <c r="BB152" s="518"/>
      <c r="BC152" s="518"/>
      <c r="BD152" s="518"/>
      <c r="BE152" s="518"/>
    </row>
    <row r="153" spans="1:57" ht="12.75" customHeight="1">
      <c r="A153" s="518"/>
      <c r="B153" s="518"/>
      <c r="C153" s="518"/>
      <c r="D153" s="518"/>
      <c r="E153" s="518"/>
      <c r="F153" s="518"/>
      <c r="G153" s="518"/>
      <c r="H153" s="518"/>
      <c r="I153" s="518"/>
      <c r="J153" s="518"/>
      <c r="K153" s="518"/>
      <c r="L153" s="518"/>
      <c r="M153" s="518"/>
      <c r="N153" s="518"/>
      <c r="O153" s="518"/>
      <c r="P153" s="518"/>
      <c r="Q153" s="518"/>
      <c r="R153" s="518"/>
      <c r="S153" s="518"/>
      <c r="T153" s="518"/>
      <c r="U153" s="518"/>
      <c r="V153" s="518"/>
      <c r="W153" s="518"/>
      <c r="X153" s="518"/>
      <c r="Y153" s="518"/>
      <c r="Z153" s="518"/>
      <c r="AA153" s="518"/>
      <c r="AB153" s="518"/>
      <c r="AC153" s="518"/>
      <c r="AD153" s="518"/>
      <c r="AE153" s="518"/>
      <c r="AF153" s="518"/>
      <c r="AG153" s="518"/>
      <c r="AH153" s="518"/>
      <c r="AI153" s="518"/>
      <c r="AJ153" s="518"/>
      <c r="AK153" s="518"/>
      <c r="AL153" s="518"/>
      <c r="AM153" s="518"/>
      <c r="AN153" s="518"/>
      <c r="AO153" s="518"/>
      <c r="AP153" s="518"/>
      <c r="AQ153" s="518"/>
      <c r="AR153" s="518"/>
      <c r="AS153" s="518"/>
      <c r="AT153" s="518"/>
      <c r="AU153" s="518"/>
      <c r="AV153" s="518"/>
      <c r="AW153" s="518"/>
      <c r="AX153" s="518"/>
      <c r="AY153" s="518"/>
      <c r="AZ153" s="518"/>
      <c r="BA153" s="518"/>
      <c r="BB153" s="518"/>
      <c r="BC153" s="518"/>
      <c r="BD153" s="518"/>
      <c r="BE153" s="518"/>
    </row>
    <row r="154" spans="1:57" ht="12.75" customHeight="1">
      <c r="A154" s="518"/>
      <c r="B154" s="518"/>
      <c r="C154" s="518"/>
      <c r="D154" s="518"/>
      <c r="E154" s="518"/>
      <c r="F154" s="518"/>
      <c r="G154" s="518"/>
      <c r="H154" s="518"/>
      <c r="I154" s="518"/>
      <c r="J154" s="518"/>
      <c r="K154" s="518"/>
      <c r="L154" s="518"/>
      <c r="M154" s="518"/>
      <c r="N154" s="518"/>
      <c r="O154" s="518"/>
      <c r="P154" s="518"/>
      <c r="Q154" s="518"/>
      <c r="R154" s="518"/>
      <c r="S154" s="518"/>
      <c r="T154" s="518"/>
      <c r="U154" s="518"/>
      <c r="V154" s="518"/>
      <c r="W154" s="518"/>
      <c r="X154" s="518"/>
      <c r="Y154" s="518"/>
      <c r="Z154" s="518"/>
      <c r="AA154" s="518"/>
      <c r="AB154" s="518"/>
      <c r="AC154" s="518"/>
      <c r="AD154" s="518"/>
      <c r="AE154" s="518"/>
      <c r="AF154" s="518"/>
      <c r="AG154" s="518"/>
      <c r="AH154" s="518"/>
      <c r="AI154" s="518"/>
      <c r="AJ154" s="518"/>
      <c r="AK154" s="518"/>
      <c r="AL154" s="518"/>
      <c r="AM154" s="518"/>
      <c r="AN154" s="518"/>
      <c r="AO154" s="518"/>
      <c r="AP154" s="518"/>
      <c r="AQ154" s="518"/>
      <c r="AR154" s="518"/>
      <c r="AS154" s="518"/>
      <c r="AT154" s="518"/>
      <c r="AU154" s="518"/>
      <c r="AV154" s="518"/>
      <c r="AW154" s="518"/>
      <c r="AX154" s="518"/>
      <c r="AY154" s="518"/>
      <c r="AZ154" s="518"/>
      <c r="BA154" s="518"/>
      <c r="BB154" s="518"/>
      <c r="BC154" s="518"/>
      <c r="BD154" s="518"/>
      <c r="BE154" s="518"/>
    </row>
    <row r="155" spans="1:57" ht="12.75" customHeight="1">
      <c r="A155" s="518"/>
      <c r="B155" s="518"/>
      <c r="C155" s="518"/>
      <c r="D155" s="518"/>
      <c r="E155" s="518"/>
      <c r="F155" s="518"/>
      <c r="G155" s="518"/>
      <c r="H155" s="518"/>
      <c r="I155" s="518"/>
      <c r="J155" s="518"/>
      <c r="K155" s="518"/>
      <c r="L155" s="518"/>
      <c r="M155" s="518"/>
      <c r="N155" s="518"/>
      <c r="O155" s="518"/>
      <c r="P155" s="518"/>
      <c r="Q155" s="518"/>
      <c r="R155" s="518"/>
      <c r="S155" s="518"/>
      <c r="T155" s="518"/>
      <c r="U155" s="518"/>
      <c r="V155" s="518"/>
      <c r="W155" s="518"/>
      <c r="X155" s="518"/>
      <c r="Y155" s="518"/>
      <c r="Z155" s="518"/>
      <c r="AA155" s="518"/>
      <c r="AB155" s="518"/>
      <c r="AC155" s="518"/>
      <c r="AD155" s="518"/>
      <c r="AE155" s="518"/>
      <c r="AF155" s="518"/>
      <c r="AG155" s="518"/>
      <c r="AH155" s="518"/>
      <c r="AI155" s="518"/>
      <c r="AJ155" s="518"/>
      <c r="AK155" s="518"/>
      <c r="AL155" s="518"/>
      <c r="AM155" s="518"/>
      <c r="AN155" s="518"/>
      <c r="AO155" s="518"/>
      <c r="AP155" s="518"/>
      <c r="AQ155" s="518"/>
      <c r="AR155" s="518"/>
      <c r="AS155" s="518"/>
      <c r="AT155" s="518"/>
      <c r="AU155" s="518"/>
      <c r="AV155" s="518"/>
      <c r="AW155" s="518"/>
      <c r="AX155" s="518"/>
      <c r="AY155" s="518"/>
      <c r="AZ155" s="518"/>
      <c r="BA155" s="518"/>
      <c r="BB155" s="518"/>
      <c r="BC155" s="518"/>
      <c r="BD155" s="518"/>
      <c r="BE155" s="518"/>
    </row>
    <row r="156" spans="1:57" ht="12.75" customHeight="1">
      <c r="A156" s="518"/>
      <c r="B156" s="518"/>
      <c r="C156" s="518"/>
      <c r="D156" s="518"/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518"/>
      <c r="P156" s="518"/>
      <c r="Q156" s="518"/>
      <c r="R156" s="518"/>
      <c r="S156" s="518"/>
      <c r="T156" s="518"/>
      <c r="U156" s="518"/>
      <c r="V156" s="518"/>
      <c r="W156" s="518"/>
      <c r="X156" s="518"/>
      <c r="Y156" s="518"/>
      <c r="Z156" s="518"/>
      <c r="AA156" s="518"/>
      <c r="AB156" s="518"/>
      <c r="AC156" s="518"/>
      <c r="AD156" s="518"/>
      <c r="AE156" s="518"/>
      <c r="AF156" s="518"/>
      <c r="AG156" s="518"/>
      <c r="AH156" s="518"/>
      <c r="AI156" s="518"/>
      <c r="AJ156" s="518"/>
      <c r="AK156" s="518"/>
      <c r="AL156" s="518"/>
      <c r="AM156" s="518"/>
      <c r="AN156" s="518"/>
      <c r="AO156" s="518"/>
      <c r="AP156" s="518"/>
      <c r="AQ156" s="518"/>
      <c r="AR156" s="518"/>
      <c r="AS156" s="518"/>
      <c r="AT156" s="518"/>
      <c r="AU156" s="518"/>
      <c r="AV156" s="518"/>
      <c r="AW156" s="518"/>
      <c r="AX156" s="518"/>
      <c r="AY156" s="518"/>
      <c r="AZ156" s="518"/>
      <c r="BA156" s="518"/>
      <c r="BB156" s="518"/>
      <c r="BC156" s="518"/>
      <c r="BD156" s="518"/>
      <c r="BE156" s="518"/>
    </row>
    <row r="157" spans="1:57" ht="12.75" customHeight="1">
      <c r="A157" s="518"/>
      <c r="B157" s="518"/>
      <c r="C157" s="518"/>
      <c r="D157" s="518"/>
      <c r="E157" s="518"/>
      <c r="F157" s="518"/>
      <c r="G157" s="518"/>
      <c r="H157" s="518"/>
      <c r="I157" s="518"/>
      <c r="J157" s="518"/>
      <c r="K157" s="518"/>
      <c r="L157" s="518"/>
      <c r="M157" s="518"/>
      <c r="N157" s="518"/>
      <c r="O157" s="518"/>
      <c r="P157" s="518"/>
      <c r="Q157" s="518"/>
      <c r="R157" s="518"/>
      <c r="S157" s="518"/>
      <c r="T157" s="518"/>
      <c r="U157" s="518"/>
      <c r="V157" s="518"/>
      <c r="W157" s="518"/>
      <c r="X157" s="518"/>
      <c r="Y157" s="518"/>
      <c r="Z157" s="518"/>
      <c r="AA157" s="518"/>
      <c r="AB157" s="518"/>
      <c r="AC157" s="518"/>
      <c r="AD157" s="518"/>
      <c r="AE157" s="518"/>
      <c r="AF157" s="518"/>
      <c r="AG157" s="518"/>
      <c r="AH157" s="518"/>
      <c r="AI157" s="518"/>
      <c r="AJ157" s="518"/>
      <c r="AK157" s="518"/>
      <c r="AL157" s="518"/>
      <c r="AM157" s="518"/>
      <c r="AN157" s="518"/>
      <c r="AO157" s="518"/>
      <c r="AP157" s="518"/>
      <c r="AQ157" s="518"/>
      <c r="AR157" s="518"/>
      <c r="AS157" s="518"/>
      <c r="AT157" s="518"/>
      <c r="AU157" s="518"/>
      <c r="AV157" s="518"/>
      <c r="AW157" s="518"/>
      <c r="AX157" s="518"/>
      <c r="AY157" s="518"/>
      <c r="AZ157" s="518"/>
      <c r="BA157" s="518"/>
      <c r="BB157" s="518"/>
      <c r="BC157" s="518"/>
      <c r="BD157" s="518"/>
      <c r="BE157" s="518"/>
    </row>
    <row r="158" spans="1:57" ht="12.75" customHeight="1">
      <c r="A158" s="518"/>
      <c r="B158" s="518"/>
      <c r="C158" s="518"/>
      <c r="D158" s="518"/>
      <c r="E158" s="518"/>
      <c r="F158" s="518"/>
      <c r="G158" s="518"/>
      <c r="H158" s="518"/>
      <c r="I158" s="518"/>
      <c r="J158" s="518"/>
      <c r="K158" s="518"/>
      <c r="L158" s="518"/>
      <c r="M158" s="518"/>
      <c r="N158" s="518"/>
      <c r="O158" s="518"/>
      <c r="P158" s="518"/>
      <c r="Q158" s="518"/>
      <c r="R158" s="518"/>
      <c r="S158" s="518"/>
      <c r="T158" s="518"/>
      <c r="U158" s="518"/>
      <c r="V158" s="518"/>
      <c r="W158" s="518"/>
      <c r="X158" s="518"/>
      <c r="Y158" s="518"/>
      <c r="Z158" s="518"/>
      <c r="AA158" s="518"/>
      <c r="AB158" s="518"/>
      <c r="AC158" s="518"/>
      <c r="AD158" s="518"/>
      <c r="AE158" s="518"/>
      <c r="AF158" s="518"/>
      <c r="AG158" s="518"/>
      <c r="AH158" s="518"/>
      <c r="AI158" s="518"/>
      <c r="AJ158" s="518"/>
      <c r="AK158" s="518"/>
      <c r="AL158" s="518"/>
      <c r="AM158" s="518"/>
      <c r="AN158" s="518"/>
      <c r="AO158" s="518"/>
      <c r="AP158" s="518"/>
      <c r="AQ158" s="518"/>
      <c r="AR158" s="518"/>
      <c r="AS158" s="518"/>
      <c r="AT158" s="518"/>
      <c r="AU158" s="518"/>
      <c r="AV158" s="518"/>
      <c r="AW158" s="518"/>
      <c r="AX158" s="518"/>
      <c r="AY158" s="518"/>
      <c r="AZ158" s="518"/>
      <c r="BA158" s="518"/>
      <c r="BB158" s="518"/>
      <c r="BC158" s="518"/>
      <c r="BD158" s="518"/>
      <c r="BE158" s="518"/>
    </row>
    <row r="159" spans="1:57" ht="12.75" customHeight="1">
      <c r="A159" s="518"/>
      <c r="B159" s="518"/>
      <c r="C159" s="518"/>
      <c r="D159" s="518"/>
      <c r="E159" s="518"/>
      <c r="F159" s="518"/>
      <c r="G159" s="518"/>
      <c r="H159" s="518"/>
      <c r="I159" s="518"/>
      <c r="J159" s="518"/>
      <c r="K159" s="518"/>
      <c r="L159" s="518"/>
      <c r="M159" s="518"/>
      <c r="N159" s="518"/>
      <c r="O159" s="518"/>
      <c r="P159" s="518"/>
      <c r="Q159" s="518"/>
      <c r="R159" s="518"/>
      <c r="S159" s="518"/>
      <c r="T159" s="518"/>
      <c r="U159" s="518"/>
      <c r="V159" s="518"/>
      <c r="W159" s="518"/>
      <c r="X159" s="518"/>
      <c r="Y159" s="518"/>
      <c r="Z159" s="518"/>
      <c r="AA159" s="518"/>
      <c r="AB159" s="518"/>
      <c r="AC159" s="518"/>
      <c r="AD159" s="518"/>
      <c r="AE159" s="518"/>
      <c r="AF159" s="518"/>
      <c r="AG159" s="518"/>
      <c r="AH159" s="518"/>
      <c r="AI159" s="518"/>
      <c r="AJ159" s="518"/>
      <c r="AK159" s="518"/>
      <c r="AL159" s="518"/>
      <c r="AM159" s="518"/>
      <c r="AN159" s="518"/>
      <c r="AO159" s="518"/>
      <c r="AP159" s="518"/>
      <c r="AQ159" s="518"/>
      <c r="AR159" s="518"/>
      <c r="AS159" s="518"/>
      <c r="AT159" s="518"/>
      <c r="AU159" s="518"/>
      <c r="AV159" s="518"/>
      <c r="AW159" s="518"/>
      <c r="AX159" s="518"/>
      <c r="AY159" s="518"/>
      <c r="AZ159" s="518"/>
      <c r="BA159" s="518"/>
      <c r="BB159" s="518"/>
      <c r="BC159" s="518"/>
      <c r="BD159" s="518"/>
      <c r="BE159" s="518"/>
    </row>
    <row r="160" spans="1:57" ht="12.75" customHeight="1">
      <c r="A160" s="518"/>
      <c r="B160" s="518"/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P160" s="518"/>
      <c r="Q160" s="518"/>
      <c r="R160" s="518"/>
      <c r="S160" s="518"/>
      <c r="T160" s="518"/>
      <c r="U160" s="518"/>
      <c r="V160" s="518"/>
      <c r="W160" s="518"/>
      <c r="X160" s="518"/>
      <c r="Y160" s="518"/>
      <c r="Z160" s="518"/>
      <c r="AA160" s="518"/>
      <c r="AB160" s="518"/>
      <c r="AC160" s="518"/>
      <c r="AD160" s="518"/>
      <c r="AE160" s="518"/>
      <c r="AF160" s="518"/>
      <c r="AG160" s="518"/>
      <c r="AH160" s="518"/>
      <c r="AI160" s="518"/>
      <c r="AJ160" s="518"/>
      <c r="AK160" s="518"/>
      <c r="AL160" s="518"/>
      <c r="AM160" s="518"/>
      <c r="AN160" s="518"/>
      <c r="AO160" s="518"/>
      <c r="AP160" s="518"/>
      <c r="AQ160" s="518"/>
      <c r="AR160" s="518"/>
      <c r="AS160" s="518"/>
      <c r="AT160" s="518"/>
      <c r="AU160" s="518"/>
      <c r="AV160" s="518"/>
      <c r="AW160" s="518"/>
      <c r="AX160" s="518"/>
      <c r="AY160" s="518"/>
      <c r="AZ160" s="518"/>
      <c r="BA160" s="518"/>
      <c r="BB160" s="518"/>
      <c r="BC160" s="518"/>
      <c r="BD160" s="518"/>
      <c r="BE160" s="518"/>
    </row>
    <row r="161" spans="1:57" ht="12.75" customHeight="1">
      <c r="A161" s="518"/>
      <c r="B161" s="518"/>
      <c r="C161" s="518"/>
      <c r="D161" s="518"/>
      <c r="E161" s="518"/>
      <c r="F161" s="518"/>
      <c r="G161" s="518"/>
      <c r="H161" s="518"/>
      <c r="I161" s="518"/>
      <c r="J161" s="518"/>
      <c r="K161" s="518"/>
      <c r="L161" s="518"/>
      <c r="M161" s="518"/>
      <c r="N161" s="518"/>
      <c r="O161" s="518"/>
      <c r="P161" s="518"/>
      <c r="Q161" s="518"/>
      <c r="R161" s="518"/>
      <c r="S161" s="518"/>
      <c r="T161" s="518"/>
      <c r="U161" s="518"/>
      <c r="V161" s="518"/>
      <c r="W161" s="518"/>
      <c r="X161" s="518"/>
      <c r="Y161" s="518"/>
      <c r="Z161" s="518"/>
      <c r="AA161" s="518"/>
      <c r="AB161" s="518"/>
      <c r="AC161" s="518"/>
      <c r="AD161" s="518"/>
      <c r="AE161" s="518"/>
      <c r="AF161" s="518"/>
      <c r="AG161" s="518"/>
      <c r="AH161" s="518"/>
      <c r="AI161" s="518"/>
      <c r="AJ161" s="518"/>
      <c r="AK161" s="518"/>
      <c r="AL161" s="518"/>
      <c r="AM161" s="518"/>
      <c r="AN161" s="518"/>
      <c r="AO161" s="518"/>
      <c r="AP161" s="518"/>
      <c r="AQ161" s="518"/>
      <c r="AR161" s="518"/>
      <c r="AS161" s="518"/>
      <c r="AT161" s="518"/>
      <c r="AU161" s="518"/>
      <c r="AV161" s="518"/>
      <c r="AW161" s="518"/>
      <c r="AX161" s="518"/>
      <c r="AY161" s="518"/>
      <c r="AZ161" s="518"/>
      <c r="BA161" s="518"/>
      <c r="BB161" s="518"/>
      <c r="BC161" s="518"/>
      <c r="BD161" s="518"/>
      <c r="BE161" s="518"/>
    </row>
    <row r="162" spans="1:57" ht="12.75" customHeight="1">
      <c r="A162" s="518"/>
      <c r="B162" s="518"/>
      <c r="C162" s="518"/>
      <c r="D162" s="518"/>
      <c r="E162" s="518"/>
      <c r="F162" s="518"/>
      <c r="G162" s="518"/>
      <c r="H162" s="518"/>
      <c r="I162" s="518"/>
      <c r="J162" s="518"/>
      <c r="K162" s="518"/>
      <c r="L162" s="518"/>
      <c r="M162" s="518"/>
      <c r="N162" s="518"/>
      <c r="O162" s="518"/>
      <c r="P162" s="518"/>
      <c r="Q162" s="518"/>
      <c r="R162" s="518"/>
      <c r="S162" s="518"/>
      <c r="T162" s="518"/>
      <c r="U162" s="518"/>
      <c r="V162" s="518"/>
      <c r="W162" s="518"/>
      <c r="X162" s="518"/>
      <c r="Y162" s="518"/>
      <c r="Z162" s="518"/>
      <c r="AA162" s="518"/>
      <c r="AB162" s="518"/>
      <c r="AC162" s="518"/>
      <c r="AD162" s="518"/>
      <c r="AE162" s="518"/>
      <c r="AF162" s="518"/>
      <c r="AG162" s="518"/>
      <c r="AH162" s="518"/>
      <c r="AI162" s="518"/>
      <c r="AJ162" s="518"/>
      <c r="AK162" s="518"/>
      <c r="AL162" s="518"/>
      <c r="AM162" s="518"/>
      <c r="AN162" s="518"/>
      <c r="AO162" s="518"/>
      <c r="AP162" s="518"/>
      <c r="AQ162" s="518"/>
      <c r="AR162" s="518"/>
      <c r="AS162" s="518"/>
      <c r="AT162" s="518"/>
      <c r="AU162" s="518"/>
      <c r="AV162" s="518"/>
      <c r="AW162" s="518"/>
      <c r="AX162" s="518"/>
      <c r="AY162" s="518"/>
      <c r="AZ162" s="518"/>
      <c r="BA162" s="518"/>
      <c r="BB162" s="518"/>
      <c r="BC162" s="518"/>
      <c r="BD162" s="518"/>
      <c r="BE162" s="518"/>
    </row>
    <row r="163" spans="1:57" ht="12.75" customHeight="1">
      <c r="A163" s="518"/>
      <c r="B163" s="518"/>
      <c r="C163" s="518"/>
      <c r="D163" s="518"/>
      <c r="E163" s="518"/>
      <c r="F163" s="518"/>
      <c r="G163" s="518"/>
      <c r="H163" s="518"/>
      <c r="I163" s="518"/>
      <c r="J163" s="518"/>
      <c r="K163" s="518"/>
      <c r="L163" s="518"/>
      <c r="M163" s="518"/>
      <c r="N163" s="518"/>
      <c r="O163" s="518"/>
      <c r="P163" s="518"/>
      <c r="Q163" s="518"/>
      <c r="R163" s="518"/>
      <c r="S163" s="518"/>
      <c r="T163" s="518"/>
      <c r="U163" s="518"/>
      <c r="V163" s="518"/>
      <c r="W163" s="518"/>
      <c r="X163" s="518"/>
      <c r="Y163" s="518"/>
      <c r="Z163" s="518"/>
      <c r="AA163" s="518"/>
      <c r="AB163" s="518"/>
      <c r="AC163" s="518"/>
      <c r="AD163" s="518"/>
      <c r="AE163" s="518"/>
      <c r="AF163" s="518"/>
      <c r="AG163" s="518"/>
      <c r="AH163" s="518"/>
      <c r="AI163" s="518"/>
      <c r="AJ163" s="518"/>
      <c r="AK163" s="518"/>
      <c r="AL163" s="518"/>
      <c r="AM163" s="518"/>
      <c r="AN163" s="518"/>
      <c r="AO163" s="518"/>
      <c r="AP163" s="518"/>
      <c r="AQ163" s="518"/>
      <c r="AR163" s="518"/>
      <c r="AS163" s="518"/>
      <c r="AT163" s="518"/>
      <c r="AU163" s="518"/>
      <c r="AV163" s="518"/>
      <c r="AW163" s="518"/>
      <c r="AX163" s="518"/>
      <c r="AY163" s="518"/>
      <c r="AZ163" s="518"/>
      <c r="BA163" s="518"/>
      <c r="BB163" s="518"/>
      <c r="BC163" s="518"/>
      <c r="BD163" s="518"/>
      <c r="BE163" s="518"/>
    </row>
    <row r="164" spans="1:57" ht="12.75" customHeight="1">
      <c r="A164" s="518"/>
      <c r="B164" s="518"/>
      <c r="C164" s="518"/>
      <c r="D164" s="518"/>
      <c r="E164" s="518"/>
      <c r="F164" s="518"/>
      <c r="G164" s="518"/>
      <c r="H164" s="518"/>
      <c r="I164" s="518"/>
      <c r="J164" s="518"/>
      <c r="K164" s="518"/>
      <c r="L164" s="518"/>
      <c r="M164" s="518"/>
      <c r="N164" s="518"/>
      <c r="O164" s="518"/>
      <c r="P164" s="518"/>
      <c r="Q164" s="518"/>
      <c r="R164" s="518"/>
      <c r="S164" s="518"/>
      <c r="T164" s="518"/>
      <c r="U164" s="518"/>
      <c r="V164" s="518"/>
      <c r="W164" s="518"/>
      <c r="X164" s="518"/>
      <c r="Y164" s="518"/>
      <c r="Z164" s="518"/>
      <c r="AA164" s="518"/>
      <c r="AB164" s="518"/>
      <c r="AC164" s="518"/>
      <c r="AD164" s="518"/>
      <c r="AE164" s="518"/>
      <c r="AF164" s="518"/>
      <c r="AG164" s="518"/>
      <c r="AH164" s="518"/>
      <c r="AI164" s="518"/>
      <c r="AJ164" s="518"/>
      <c r="AK164" s="518"/>
      <c r="AL164" s="518"/>
      <c r="AM164" s="518"/>
      <c r="AN164" s="518"/>
      <c r="AO164" s="518"/>
      <c r="AP164" s="518"/>
      <c r="AQ164" s="518"/>
      <c r="AR164" s="518"/>
      <c r="AS164" s="518"/>
      <c r="AT164" s="518"/>
      <c r="AU164" s="518"/>
      <c r="AV164" s="518"/>
      <c r="AW164" s="518"/>
      <c r="AX164" s="518"/>
      <c r="AY164" s="518"/>
      <c r="AZ164" s="518"/>
      <c r="BA164" s="518"/>
      <c r="BB164" s="518"/>
      <c r="BC164" s="518"/>
      <c r="BD164" s="518"/>
      <c r="BE164" s="518"/>
    </row>
    <row r="165" spans="1:57" ht="12.75" customHeight="1">
      <c r="A165" s="518"/>
      <c r="B165" s="518"/>
      <c r="C165" s="518"/>
      <c r="D165" s="518"/>
      <c r="E165" s="518"/>
      <c r="F165" s="518"/>
      <c r="G165" s="518"/>
      <c r="H165" s="518"/>
      <c r="I165" s="518"/>
      <c r="J165" s="518"/>
      <c r="K165" s="518"/>
      <c r="L165" s="518"/>
      <c r="M165" s="518"/>
      <c r="N165" s="518"/>
      <c r="O165" s="518"/>
      <c r="P165" s="518"/>
      <c r="Q165" s="518"/>
      <c r="R165" s="518"/>
      <c r="S165" s="518"/>
      <c r="T165" s="518"/>
      <c r="U165" s="518"/>
      <c r="V165" s="518"/>
      <c r="W165" s="518"/>
      <c r="X165" s="518"/>
      <c r="Y165" s="518"/>
      <c r="Z165" s="518"/>
      <c r="AA165" s="518"/>
      <c r="AB165" s="518"/>
      <c r="AC165" s="518"/>
      <c r="AD165" s="518"/>
      <c r="AE165" s="518"/>
      <c r="AF165" s="518"/>
      <c r="AG165" s="518"/>
      <c r="AH165" s="518"/>
      <c r="AI165" s="518"/>
      <c r="AJ165" s="518"/>
      <c r="AK165" s="518"/>
      <c r="AL165" s="518"/>
      <c r="AM165" s="518"/>
      <c r="AN165" s="518"/>
      <c r="AO165" s="518"/>
      <c r="AP165" s="518"/>
      <c r="AQ165" s="518"/>
      <c r="AR165" s="518"/>
      <c r="AS165" s="518"/>
      <c r="AT165" s="518"/>
      <c r="AU165" s="518"/>
      <c r="AV165" s="518"/>
      <c r="AW165" s="518"/>
      <c r="AX165" s="518"/>
      <c r="AY165" s="518"/>
      <c r="AZ165" s="518"/>
      <c r="BA165" s="518"/>
      <c r="BB165" s="518"/>
      <c r="BC165" s="518"/>
      <c r="BD165" s="518"/>
      <c r="BE165" s="518"/>
    </row>
    <row r="166" spans="1:57" ht="12.75" customHeight="1">
      <c r="A166" s="518"/>
      <c r="B166" s="518"/>
      <c r="C166" s="518"/>
      <c r="D166" s="518"/>
      <c r="E166" s="518"/>
      <c r="F166" s="518"/>
      <c r="G166" s="518"/>
      <c r="H166" s="518"/>
      <c r="I166" s="518"/>
      <c r="J166" s="518"/>
      <c r="K166" s="518"/>
      <c r="L166" s="518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  <c r="AB166" s="518"/>
      <c r="AC166" s="518"/>
      <c r="AD166" s="518"/>
      <c r="AE166" s="518"/>
      <c r="AF166" s="518"/>
      <c r="AG166" s="518"/>
      <c r="AH166" s="518"/>
      <c r="AI166" s="518"/>
      <c r="AJ166" s="518"/>
      <c r="AK166" s="518"/>
      <c r="AL166" s="518"/>
      <c r="AM166" s="518"/>
      <c r="AN166" s="518"/>
      <c r="AO166" s="518"/>
      <c r="AP166" s="518"/>
      <c r="AQ166" s="518"/>
      <c r="AR166" s="518"/>
      <c r="AS166" s="518"/>
      <c r="AT166" s="518"/>
      <c r="AU166" s="518"/>
      <c r="AV166" s="518"/>
      <c r="AW166" s="518"/>
      <c r="AX166" s="518"/>
      <c r="AY166" s="518"/>
      <c r="AZ166" s="518"/>
      <c r="BA166" s="518"/>
      <c r="BB166" s="518"/>
      <c r="BC166" s="518"/>
      <c r="BD166" s="518"/>
      <c r="BE166" s="518"/>
    </row>
    <row r="167" spans="1:57" ht="12.75" customHeight="1">
      <c r="A167" s="518"/>
      <c r="B167" s="518"/>
      <c r="C167" s="518"/>
      <c r="D167" s="518"/>
      <c r="E167" s="518"/>
      <c r="F167" s="518"/>
      <c r="G167" s="518"/>
      <c r="H167" s="518"/>
      <c r="I167" s="518"/>
      <c r="J167" s="518"/>
      <c r="K167" s="518"/>
      <c r="L167" s="518"/>
      <c r="M167" s="518"/>
      <c r="N167" s="518"/>
      <c r="O167" s="518"/>
      <c r="P167" s="518"/>
      <c r="Q167" s="518"/>
      <c r="R167" s="518"/>
      <c r="S167" s="518"/>
      <c r="T167" s="518"/>
      <c r="U167" s="518"/>
      <c r="V167" s="518"/>
      <c r="W167" s="518"/>
      <c r="X167" s="518"/>
      <c r="Y167" s="518"/>
      <c r="Z167" s="518"/>
      <c r="AA167" s="518"/>
      <c r="AB167" s="518"/>
      <c r="AC167" s="518"/>
      <c r="AD167" s="518"/>
      <c r="AE167" s="518"/>
      <c r="AF167" s="518"/>
      <c r="AG167" s="518"/>
      <c r="AH167" s="518"/>
      <c r="AI167" s="518"/>
      <c r="AJ167" s="518"/>
      <c r="AK167" s="518"/>
      <c r="AL167" s="518"/>
      <c r="AM167" s="518"/>
      <c r="AN167" s="518"/>
      <c r="AO167" s="518"/>
      <c r="AP167" s="518"/>
      <c r="AQ167" s="518"/>
      <c r="AR167" s="518"/>
      <c r="AS167" s="518"/>
      <c r="AT167" s="518"/>
      <c r="AU167" s="518"/>
      <c r="AV167" s="518"/>
      <c r="AW167" s="518"/>
      <c r="AX167" s="518"/>
      <c r="AY167" s="518"/>
      <c r="AZ167" s="518"/>
      <c r="BA167" s="518"/>
      <c r="BB167" s="518"/>
      <c r="BC167" s="518"/>
      <c r="BD167" s="518"/>
      <c r="BE167" s="518"/>
    </row>
    <row r="168" spans="1:57" ht="12.75" customHeight="1">
      <c r="A168" s="518"/>
      <c r="B168" s="518"/>
      <c r="C168" s="518"/>
      <c r="D168" s="518"/>
      <c r="E168" s="518"/>
      <c r="F168" s="518"/>
      <c r="G168" s="518"/>
      <c r="H168" s="518"/>
      <c r="I168" s="518"/>
      <c r="J168" s="518"/>
      <c r="K168" s="518"/>
      <c r="L168" s="518"/>
      <c r="M168" s="518"/>
      <c r="N168" s="518"/>
      <c r="O168" s="518"/>
      <c r="P168" s="518"/>
      <c r="Q168" s="518"/>
      <c r="R168" s="518"/>
      <c r="S168" s="518"/>
      <c r="T168" s="518"/>
      <c r="U168" s="518"/>
      <c r="V168" s="518"/>
      <c r="W168" s="518"/>
      <c r="X168" s="518"/>
      <c r="Y168" s="518"/>
      <c r="Z168" s="518"/>
      <c r="AA168" s="518"/>
      <c r="AB168" s="518"/>
      <c r="AC168" s="518"/>
      <c r="AD168" s="518"/>
      <c r="AE168" s="518"/>
      <c r="AF168" s="518"/>
      <c r="AG168" s="518"/>
      <c r="AH168" s="518"/>
      <c r="AI168" s="518"/>
      <c r="AJ168" s="518"/>
      <c r="AK168" s="518"/>
      <c r="AL168" s="518"/>
      <c r="AM168" s="518"/>
      <c r="AN168" s="518"/>
      <c r="AO168" s="518"/>
      <c r="AP168" s="518"/>
      <c r="AQ168" s="518"/>
      <c r="AR168" s="518"/>
      <c r="AS168" s="518"/>
      <c r="AT168" s="518"/>
      <c r="AU168" s="518"/>
      <c r="AV168" s="518"/>
      <c r="AW168" s="518"/>
      <c r="AX168" s="518"/>
      <c r="AY168" s="518"/>
      <c r="AZ168" s="518"/>
      <c r="BA168" s="518"/>
      <c r="BB168" s="518"/>
      <c r="BC168" s="518"/>
      <c r="BD168" s="518"/>
      <c r="BE168" s="518"/>
    </row>
    <row r="169" spans="1:57" ht="12.75" customHeight="1">
      <c r="A169" s="518"/>
      <c r="B169" s="518"/>
      <c r="C169" s="518"/>
      <c r="D169" s="518"/>
      <c r="E169" s="518"/>
      <c r="F169" s="518"/>
      <c r="G169" s="518"/>
      <c r="H169" s="518"/>
      <c r="I169" s="518"/>
      <c r="J169" s="518"/>
      <c r="K169" s="518"/>
      <c r="L169" s="518"/>
      <c r="M169" s="518"/>
      <c r="N169" s="518"/>
      <c r="O169" s="518"/>
      <c r="P169" s="518"/>
      <c r="Q169" s="518"/>
      <c r="R169" s="518"/>
      <c r="S169" s="518"/>
      <c r="T169" s="518"/>
      <c r="U169" s="518"/>
      <c r="V169" s="518"/>
      <c r="W169" s="518"/>
      <c r="X169" s="518"/>
      <c r="Y169" s="518"/>
      <c r="Z169" s="518"/>
      <c r="AA169" s="518"/>
      <c r="AB169" s="518"/>
      <c r="AC169" s="518"/>
      <c r="AD169" s="518"/>
      <c r="AE169" s="518"/>
      <c r="AF169" s="518"/>
      <c r="AG169" s="518"/>
      <c r="AH169" s="518"/>
      <c r="AI169" s="518"/>
      <c r="AJ169" s="518"/>
      <c r="AK169" s="518"/>
      <c r="AL169" s="518"/>
      <c r="AM169" s="518"/>
      <c r="AN169" s="518"/>
      <c r="AO169" s="518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</row>
    <row r="170" spans="1:57" ht="12.75" customHeight="1">
      <c r="A170" s="518"/>
      <c r="B170" s="518"/>
      <c r="C170" s="518"/>
      <c r="D170" s="518"/>
      <c r="E170" s="518"/>
      <c r="F170" s="518"/>
      <c r="G170" s="518"/>
      <c r="H170" s="518"/>
      <c r="I170" s="518"/>
      <c r="J170" s="518"/>
      <c r="K170" s="518"/>
      <c r="L170" s="518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  <c r="AB170" s="518"/>
      <c r="AC170" s="518"/>
      <c r="AD170" s="518"/>
      <c r="AE170" s="518"/>
      <c r="AF170" s="518"/>
      <c r="AG170" s="518"/>
      <c r="AH170" s="518"/>
      <c r="AI170" s="518"/>
      <c r="AJ170" s="518"/>
      <c r="AK170" s="518"/>
      <c r="AL170" s="518"/>
      <c r="AM170" s="518"/>
      <c r="AN170" s="518"/>
      <c r="AO170" s="518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</row>
    <row r="171" spans="1:57" ht="12.75" customHeight="1">
      <c r="A171" s="518"/>
      <c r="B171" s="518"/>
      <c r="C171" s="518"/>
      <c r="D171" s="518"/>
      <c r="E171" s="518"/>
      <c r="F171" s="518"/>
      <c r="G171" s="518"/>
      <c r="H171" s="518"/>
      <c r="I171" s="518"/>
      <c r="J171" s="518"/>
      <c r="K171" s="518"/>
      <c r="L171" s="518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  <c r="AB171" s="518"/>
      <c r="AC171" s="518"/>
      <c r="AD171" s="518"/>
      <c r="AE171" s="518"/>
      <c r="AF171" s="518"/>
      <c r="AG171" s="518"/>
      <c r="AH171" s="518"/>
      <c r="AI171" s="518"/>
      <c r="AJ171" s="518"/>
      <c r="AK171" s="518"/>
      <c r="AL171" s="518"/>
      <c r="AM171" s="518"/>
      <c r="AN171" s="518"/>
      <c r="AO171" s="518"/>
      <c r="AP171" s="518"/>
      <c r="AQ171" s="518"/>
      <c r="AR171" s="518"/>
      <c r="AS171" s="518"/>
      <c r="AT171" s="518"/>
      <c r="AU171" s="518"/>
      <c r="AV171" s="518"/>
      <c r="AW171" s="518"/>
      <c r="AX171" s="518"/>
      <c r="AY171" s="518"/>
      <c r="AZ171" s="518"/>
      <c r="BA171" s="518"/>
      <c r="BB171" s="518"/>
      <c r="BC171" s="518"/>
      <c r="BD171" s="518"/>
      <c r="BE171" s="518"/>
    </row>
    <row r="172" spans="1:57" ht="12.75" customHeight="1">
      <c r="A172" s="518"/>
      <c r="B172" s="518"/>
      <c r="C172" s="518"/>
      <c r="D172" s="518"/>
      <c r="E172" s="518"/>
      <c r="F172" s="518"/>
      <c r="G172" s="518"/>
      <c r="H172" s="518"/>
      <c r="I172" s="518"/>
      <c r="J172" s="518"/>
      <c r="K172" s="518"/>
      <c r="L172" s="518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  <c r="AB172" s="518"/>
      <c r="AC172" s="518"/>
      <c r="AD172" s="518"/>
      <c r="AE172" s="518"/>
      <c r="AF172" s="518"/>
      <c r="AG172" s="518"/>
      <c r="AH172" s="518"/>
      <c r="AI172" s="518"/>
      <c r="AJ172" s="518"/>
      <c r="AK172" s="518"/>
      <c r="AL172" s="518"/>
      <c r="AM172" s="518"/>
      <c r="AN172" s="518"/>
      <c r="AO172" s="518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</row>
    <row r="173" spans="1:57" ht="12.75" customHeight="1">
      <c r="A173" s="518"/>
      <c r="B173" s="518"/>
      <c r="C173" s="518"/>
      <c r="D173" s="518"/>
      <c r="E173" s="518"/>
      <c r="F173" s="518"/>
      <c r="G173" s="518"/>
      <c r="H173" s="518"/>
      <c r="I173" s="518"/>
      <c r="J173" s="518"/>
      <c r="K173" s="518"/>
      <c r="L173" s="518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  <c r="AB173" s="518"/>
      <c r="AC173" s="518"/>
      <c r="AD173" s="518"/>
      <c r="AE173" s="518"/>
      <c r="AF173" s="518"/>
      <c r="AG173" s="518"/>
      <c r="AH173" s="518"/>
      <c r="AI173" s="518"/>
      <c r="AJ173" s="518"/>
      <c r="AK173" s="518"/>
      <c r="AL173" s="518"/>
      <c r="AM173" s="518"/>
      <c r="AN173" s="518"/>
      <c r="AO173" s="518"/>
      <c r="AP173" s="518"/>
      <c r="AQ173" s="518"/>
      <c r="AR173" s="518"/>
      <c r="AS173" s="518"/>
      <c r="AT173" s="518"/>
      <c r="AU173" s="518"/>
      <c r="AV173" s="518"/>
      <c r="AW173" s="518"/>
      <c r="AX173" s="518"/>
      <c r="AY173" s="518"/>
      <c r="AZ173" s="518"/>
      <c r="BA173" s="518"/>
      <c r="BB173" s="518"/>
      <c r="BC173" s="518"/>
      <c r="BD173" s="518"/>
      <c r="BE173" s="518"/>
    </row>
    <row r="174" spans="1:57" ht="12.75" customHeight="1">
      <c r="A174" s="518"/>
      <c r="B174" s="518"/>
      <c r="C174" s="518"/>
      <c r="D174" s="518"/>
      <c r="E174" s="518"/>
      <c r="F174" s="518"/>
      <c r="G174" s="518"/>
      <c r="H174" s="518"/>
      <c r="I174" s="518"/>
      <c r="J174" s="518"/>
      <c r="K174" s="518"/>
      <c r="L174" s="518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  <c r="AB174" s="518"/>
      <c r="AC174" s="518"/>
      <c r="AD174" s="518"/>
      <c r="AE174" s="518"/>
      <c r="AF174" s="518"/>
      <c r="AG174" s="518"/>
      <c r="AH174" s="518"/>
      <c r="AI174" s="518"/>
      <c r="AJ174" s="518"/>
      <c r="AK174" s="518"/>
      <c r="AL174" s="518"/>
      <c r="AM174" s="518"/>
      <c r="AN174" s="518"/>
      <c r="AO174" s="518"/>
      <c r="AP174" s="518"/>
      <c r="AQ174" s="518"/>
      <c r="AR174" s="518"/>
      <c r="AS174" s="518"/>
      <c r="AT174" s="518"/>
      <c r="AU174" s="518"/>
      <c r="AV174" s="518"/>
      <c r="AW174" s="518"/>
      <c r="AX174" s="518"/>
      <c r="AY174" s="518"/>
      <c r="AZ174" s="518"/>
      <c r="BA174" s="518"/>
      <c r="BB174" s="518"/>
      <c r="BC174" s="518"/>
      <c r="BD174" s="518"/>
      <c r="BE174" s="518"/>
    </row>
    <row r="175" spans="1:57" ht="12.75" customHeight="1">
      <c r="A175" s="518"/>
      <c r="B175" s="518"/>
      <c r="C175" s="518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  <c r="AB175" s="518"/>
      <c r="AC175" s="518"/>
      <c r="AD175" s="518"/>
      <c r="AE175" s="518"/>
      <c r="AF175" s="518"/>
      <c r="AG175" s="518"/>
      <c r="AH175" s="518"/>
      <c r="AI175" s="518"/>
      <c r="AJ175" s="518"/>
      <c r="AK175" s="518"/>
      <c r="AL175" s="518"/>
      <c r="AM175" s="518"/>
      <c r="AN175" s="518"/>
      <c r="AO175" s="518"/>
      <c r="AP175" s="518"/>
      <c r="AQ175" s="518"/>
      <c r="AR175" s="518"/>
      <c r="AS175" s="518"/>
      <c r="AT175" s="518"/>
      <c r="AU175" s="518"/>
      <c r="AV175" s="518"/>
      <c r="AW175" s="518"/>
      <c r="AX175" s="518"/>
      <c r="AY175" s="518"/>
      <c r="AZ175" s="518"/>
      <c r="BA175" s="518"/>
      <c r="BB175" s="518"/>
      <c r="BC175" s="518"/>
      <c r="BD175" s="518"/>
      <c r="BE175" s="518"/>
    </row>
    <row r="176" spans="1:57" ht="12.75" customHeight="1">
      <c r="A176" s="518"/>
      <c r="B176" s="518"/>
      <c r="C176" s="518"/>
      <c r="D176" s="518"/>
      <c r="E176" s="518"/>
      <c r="F176" s="518"/>
      <c r="G176" s="518"/>
      <c r="H176" s="518"/>
      <c r="I176" s="518"/>
      <c r="J176" s="518"/>
      <c r="K176" s="518"/>
      <c r="L176" s="518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  <c r="AB176" s="518"/>
      <c r="AC176" s="518"/>
      <c r="AD176" s="518"/>
      <c r="AE176" s="518"/>
      <c r="AF176" s="518"/>
      <c r="AG176" s="518"/>
      <c r="AH176" s="518"/>
      <c r="AI176" s="518"/>
      <c r="AJ176" s="518"/>
      <c r="AK176" s="518"/>
      <c r="AL176" s="518"/>
      <c r="AM176" s="518"/>
      <c r="AN176" s="518"/>
      <c r="AO176" s="518"/>
      <c r="AP176" s="518"/>
      <c r="AQ176" s="518"/>
      <c r="AR176" s="518"/>
      <c r="AS176" s="518"/>
      <c r="AT176" s="518"/>
      <c r="AU176" s="518"/>
      <c r="AV176" s="518"/>
      <c r="AW176" s="518"/>
      <c r="AX176" s="518"/>
      <c r="AY176" s="518"/>
      <c r="AZ176" s="518"/>
      <c r="BA176" s="518"/>
      <c r="BB176" s="518"/>
      <c r="BC176" s="518"/>
      <c r="BD176" s="518"/>
      <c r="BE176" s="518"/>
    </row>
    <row r="177" spans="1:57" ht="12.75" customHeight="1">
      <c r="A177" s="518"/>
      <c r="B177" s="518"/>
      <c r="C177" s="518"/>
      <c r="D177" s="518"/>
      <c r="E177" s="518"/>
      <c r="F177" s="518"/>
      <c r="G177" s="518"/>
      <c r="H177" s="518"/>
      <c r="I177" s="518"/>
      <c r="J177" s="518"/>
      <c r="K177" s="518"/>
      <c r="L177" s="518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  <c r="AB177" s="518"/>
      <c r="AC177" s="518"/>
      <c r="AD177" s="518"/>
      <c r="AE177" s="518"/>
      <c r="AF177" s="518"/>
      <c r="AG177" s="518"/>
      <c r="AH177" s="518"/>
      <c r="AI177" s="518"/>
      <c r="AJ177" s="518"/>
      <c r="AK177" s="518"/>
      <c r="AL177" s="518"/>
      <c r="AM177" s="518"/>
      <c r="AN177" s="518"/>
      <c r="AO177" s="518"/>
      <c r="AP177" s="518"/>
      <c r="AQ177" s="518"/>
      <c r="AR177" s="518"/>
      <c r="AS177" s="518"/>
      <c r="AT177" s="518"/>
      <c r="AU177" s="518"/>
      <c r="AV177" s="518"/>
      <c r="AW177" s="518"/>
      <c r="AX177" s="518"/>
      <c r="AY177" s="518"/>
      <c r="AZ177" s="518"/>
      <c r="BA177" s="518"/>
      <c r="BB177" s="518"/>
      <c r="BC177" s="518"/>
      <c r="BD177" s="518"/>
      <c r="BE177" s="518"/>
    </row>
    <row r="178" spans="1:57" ht="12.75" customHeight="1">
      <c r="A178" s="518"/>
      <c r="B178" s="518"/>
      <c r="C178" s="518"/>
      <c r="D178" s="518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  <c r="AB178" s="518"/>
      <c r="AC178" s="518"/>
      <c r="AD178" s="518"/>
      <c r="AE178" s="518"/>
      <c r="AF178" s="518"/>
      <c r="AG178" s="518"/>
      <c r="AH178" s="518"/>
      <c r="AI178" s="518"/>
      <c r="AJ178" s="518"/>
      <c r="AK178" s="518"/>
      <c r="AL178" s="518"/>
      <c r="AM178" s="518"/>
      <c r="AN178" s="518"/>
      <c r="AO178" s="518"/>
      <c r="AP178" s="518"/>
      <c r="AQ178" s="518"/>
      <c r="AR178" s="518"/>
      <c r="AS178" s="518"/>
      <c r="AT178" s="518"/>
      <c r="AU178" s="518"/>
      <c r="AV178" s="518"/>
      <c r="AW178" s="518"/>
      <c r="AX178" s="518"/>
      <c r="AY178" s="518"/>
      <c r="AZ178" s="518"/>
      <c r="BA178" s="518"/>
      <c r="BB178" s="518"/>
      <c r="BC178" s="518"/>
      <c r="BD178" s="518"/>
      <c r="BE178" s="518"/>
    </row>
    <row r="179" spans="1:57" ht="12.75" customHeight="1">
      <c r="A179" s="518"/>
      <c r="B179" s="518"/>
      <c r="C179" s="518"/>
      <c r="D179" s="518"/>
      <c r="E179" s="518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  <c r="AB179" s="518"/>
      <c r="AC179" s="518"/>
      <c r="AD179" s="518"/>
      <c r="AE179" s="518"/>
      <c r="AF179" s="518"/>
      <c r="AG179" s="518"/>
      <c r="AH179" s="518"/>
      <c r="AI179" s="518"/>
      <c r="AJ179" s="518"/>
      <c r="AK179" s="518"/>
      <c r="AL179" s="518"/>
      <c r="AM179" s="518"/>
      <c r="AN179" s="518"/>
      <c r="AO179" s="518"/>
      <c r="AP179" s="518"/>
      <c r="AQ179" s="518"/>
      <c r="AR179" s="518"/>
      <c r="AS179" s="518"/>
      <c r="AT179" s="518"/>
      <c r="AU179" s="518"/>
      <c r="AV179" s="518"/>
      <c r="AW179" s="518"/>
      <c r="AX179" s="518"/>
      <c r="AY179" s="518"/>
      <c r="AZ179" s="518"/>
      <c r="BA179" s="518"/>
      <c r="BB179" s="518"/>
      <c r="BC179" s="518"/>
      <c r="BD179" s="518"/>
      <c r="BE179" s="518"/>
    </row>
    <row r="180" spans="1:57" ht="12.75" customHeight="1">
      <c r="A180" s="518"/>
      <c r="B180" s="518"/>
      <c r="C180" s="518"/>
      <c r="D180" s="518"/>
      <c r="E180" s="518"/>
      <c r="F180" s="518"/>
      <c r="G180" s="518"/>
      <c r="H180" s="518"/>
      <c r="I180" s="518"/>
      <c r="J180" s="518"/>
      <c r="K180" s="518"/>
      <c r="L180" s="518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  <c r="AB180" s="518"/>
      <c r="AC180" s="518"/>
      <c r="AD180" s="518"/>
      <c r="AE180" s="518"/>
      <c r="AF180" s="518"/>
      <c r="AG180" s="518"/>
      <c r="AH180" s="518"/>
      <c r="AI180" s="518"/>
      <c r="AJ180" s="518"/>
      <c r="AK180" s="518"/>
      <c r="AL180" s="518"/>
      <c r="AM180" s="518"/>
      <c r="AN180" s="518"/>
      <c r="AO180" s="518"/>
      <c r="AP180" s="518"/>
      <c r="AQ180" s="518"/>
      <c r="AR180" s="518"/>
      <c r="AS180" s="518"/>
      <c r="AT180" s="518"/>
      <c r="AU180" s="518"/>
      <c r="AV180" s="518"/>
      <c r="AW180" s="518"/>
      <c r="AX180" s="518"/>
      <c r="AY180" s="518"/>
      <c r="AZ180" s="518"/>
      <c r="BA180" s="518"/>
      <c r="BB180" s="518"/>
      <c r="BC180" s="518"/>
      <c r="BD180" s="518"/>
      <c r="BE180" s="518"/>
    </row>
    <row r="181" spans="1:57" ht="12.75" customHeight="1">
      <c r="A181" s="518"/>
      <c r="B181" s="518"/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  <c r="AB181" s="518"/>
      <c r="AC181" s="518"/>
      <c r="AD181" s="518"/>
      <c r="AE181" s="518"/>
      <c r="AF181" s="518"/>
      <c r="AG181" s="518"/>
      <c r="AH181" s="518"/>
      <c r="AI181" s="518"/>
      <c r="AJ181" s="518"/>
      <c r="AK181" s="518"/>
      <c r="AL181" s="518"/>
      <c r="AM181" s="518"/>
      <c r="AN181" s="518"/>
      <c r="AO181" s="518"/>
      <c r="AP181" s="518"/>
      <c r="AQ181" s="518"/>
      <c r="AR181" s="518"/>
      <c r="AS181" s="518"/>
      <c r="AT181" s="518"/>
      <c r="AU181" s="518"/>
      <c r="AV181" s="518"/>
      <c r="AW181" s="518"/>
      <c r="AX181" s="518"/>
      <c r="AY181" s="518"/>
      <c r="AZ181" s="518"/>
      <c r="BA181" s="518"/>
      <c r="BB181" s="518"/>
      <c r="BC181" s="518"/>
      <c r="BD181" s="518"/>
      <c r="BE181" s="518"/>
    </row>
    <row r="182" spans="1:57" ht="12.75" customHeight="1">
      <c r="A182" s="518"/>
      <c r="B182" s="518"/>
      <c r="C182" s="518"/>
      <c r="D182" s="518"/>
      <c r="E182" s="518"/>
      <c r="F182" s="518"/>
      <c r="G182" s="518"/>
      <c r="H182" s="518"/>
      <c r="I182" s="518"/>
      <c r="J182" s="518"/>
      <c r="K182" s="518"/>
      <c r="L182" s="518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  <c r="AB182" s="518"/>
      <c r="AC182" s="518"/>
      <c r="AD182" s="518"/>
      <c r="AE182" s="518"/>
      <c r="AF182" s="518"/>
      <c r="AG182" s="518"/>
      <c r="AH182" s="518"/>
      <c r="AI182" s="518"/>
      <c r="AJ182" s="518"/>
      <c r="AK182" s="518"/>
      <c r="AL182" s="518"/>
      <c r="AM182" s="518"/>
      <c r="AN182" s="518"/>
      <c r="AO182" s="518"/>
      <c r="AP182" s="518"/>
      <c r="AQ182" s="518"/>
      <c r="AR182" s="518"/>
      <c r="AS182" s="518"/>
      <c r="AT182" s="518"/>
      <c r="AU182" s="518"/>
      <c r="AV182" s="518"/>
      <c r="AW182" s="518"/>
      <c r="AX182" s="518"/>
      <c r="AY182" s="518"/>
      <c r="AZ182" s="518"/>
      <c r="BA182" s="518"/>
      <c r="BB182" s="518"/>
      <c r="BC182" s="518"/>
      <c r="BD182" s="518"/>
      <c r="BE182" s="518"/>
    </row>
    <row r="183" spans="1:57" ht="12.75" customHeight="1">
      <c r="A183" s="518"/>
      <c r="B183" s="518"/>
      <c r="C183" s="518"/>
      <c r="D183" s="518"/>
      <c r="E183" s="518"/>
      <c r="F183" s="518"/>
      <c r="G183" s="518"/>
      <c r="H183" s="518"/>
      <c r="I183" s="518"/>
      <c r="J183" s="518"/>
      <c r="K183" s="518"/>
      <c r="L183" s="518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  <c r="AB183" s="518"/>
      <c r="AC183" s="518"/>
      <c r="AD183" s="518"/>
      <c r="AE183" s="518"/>
      <c r="AF183" s="518"/>
      <c r="AG183" s="518"/>
      <c r="AH183" s="518"/>
      <c r="AI183" s="518"/>
      <c r="AJ183" s="518"/>
      <c r="AK183" s="518"/>
      <c r="AL183" s="518"/>
      <c r="AM183" s="518"/>
      <c r="AN183" s="518"/>
      <c r="AO183" s="518"/>
      <c r="AP183" s="518"/>
      <c r="AQ183" s="518"/>
      <c r="AR183" s="518"/>
      <c r="AS183" s="518"/>
      <c r="AT183" s="518"/>
      <c r="AU183" s="518"/>
      <c r="AV183" s="518"/>
      <c r="AW183" s="518"/>
      <c r="AX183" s="518"/>
      <c r="AY183" s="518"/>
      <c r="AZ183" s="518"/>
      <c r="BA183" s="518"/>
      <c r="BB183" s="518"/>
      <c r="BC183" s="518"/>
      <c r="BD183" s="518"/>
      <c r="BE183" s="518"/>
    </row>
    <row r="184" spans="1:57" ht="12.75" customHeight="1">
      <c r="A184" s="518"/>
      <c r="B184" s="518"/>
      <c r="C184" s="518"/>
      <c r="D184" s="518"/>
      <c r="E184" s="518"/>
      <c r="F184" s="518"/>
      <c r="G184" s="518"/>
      <c r="H184" s="518"/>
      <c r="I184" s="518"/>
      <c r="J184" s="518"/>
      <c r="K184" s="518"/>
      <c r="L184" s="518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  <c r="AB184" s="518"/>
      <c r="AC184" s="518"/>
      <c r="AD184" s="518"/>
      <c r="AE184" s="518"/>
      <c r="AF184" s="518"/>
      <c r="AG184" s="518"/>
      <c r="AH184" s="518"/>
      <c r="AI184" s="518"/>
      <c r="AJ184" s="518"/>
      <c r="AK184" s="518"/>
      <c r="AL184" s="518"/>
      <c r="AM184" s="518"/>
      <c r="AN184" s="518"/>
      <c r="AO184" s="518"/>
      <c r="AP184" s="518"/>
      <c r="AQ184" s="518"/>
      <c r="AR184" s="518"/>
      <c r="AS184" s="518"/>
      <c r="AT184" s="518"/>
      <c r="AU184" s="518"/>
      <c r="AV184" s="518"/>
      <c r="AW184" s="518"/>
      <c r="AX184" s="518"/>
      <c r="AY184" s="518"/>
      <c r="AZ184" s="518"/>
      <c r="BA184" s="518"/>
      <c r="BB184" s="518"/>
      <c r="BC184" s="518"/>
      <c r="BD184" s="518"/>
      <c r="BE184" s="518"/>
    </row>
    <row r="185" spans="1:57" ht="12.75" customHeight="1">
      <c r="A185" s="518"/>
      <c r="B185" s="518"/>
      <c r="C185" s="518"/>
      <c r="D185" s="518"/>
      <c r="E185" s="518"/>
      <c r="F185" s="518"/>
      <c r="G185" s="518"/>
      <c r="H185" s="518"/>
      <c r="I185" s="518"/>
      <c r="J185" s="518"/>
      <c r="K185" s="518"/>
      <c r="L185" s="518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  <c r="AB185" s="518"/>
      <c r="AC185" s="518"/>
      <c r="AD185" s="518"/>
      <c r="AE185" s="518"/>
      <c r="AF185" s="518"/>
      <c r="AG185" s="518"/>
      <c r="AH185" s="518"/>
      <c r="AI185" s="518"/>
      <c r="AJ185" s="518"/>
      <c r="AK185" s="518"/>
      <c r="AL185" s="518"/>
      <c r="AM185" s="518"/>
      <c r="AN185" s="518"/>
      <c r="AO185" s="518"/>
      <c r="AP185" s="518"/>
      <c r="AQ185" s="518"/>
      <c r="AR185" s="518"/>
      <c r="AS185" s="518"/>
      <c r="AT185" s="518"/>
      <c r="AU185" s="518"/>
      <c r="AV185" s="518"/>
      <c r="AW185" s="518"/>
      <c r="AX185" s="518"/>
      <c r="AY185" s="518"/>
      <c r="AZ185" s="518"/>
      <c r="BA185" s="518"/>
      <c r="BB185" s="518"/>
      <c r="BC185" s="518"/>
      <c r="BD185" s="518"/>
      <c r="BE185" s="518"/>
    </row>
    <row r="186" spans="1:57" ht="12.75" customHeight="1">
      <c r="A186" s="518"/>
      <c r="B186" s="518"/>
      <c r="C186" s="518"/>
      <c r="D186" s="518"/>
      <c r="E186" s="518"/>
      <c r="F186" s="518"/>
      <c r="G186" s="518"/>
      <c r="H186" s="518"/>
      <c r="I186" s="518"/>
      <c r="J186" s="518"/>
      <c r="K186" s="518"/>
      <c r="L186" s="518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  <c r="AB186" s="518"/>
      <c r="AC186" s="518"/>
      <c r="AD186" s="518"/>
      <c r="AE186" s="518"/>
      <c r="AF186" s="518"/>
      <c r="AG186" s="518"/>
      <c r="AH186" s="518"/>
      <c r="AI186" s="518"/>
      <c r="AJ186" s="518"/>
      <c r="AK186" s="518"/>
      <c r="AL186" s="518"/>
      <c r="AM186" s="518"/>
      <c r="AN186" s="518"/>
      <c r="AO186" s="518"/>
      <c r="AP186" s="518"/>
      <c r="AQ186" s="518"/>
      <c r="AR186" s="518"/>
      <c r="AS186" s="518"/>
      <c r="AT186" s="518"/>
      <c r="AU186" s="518"/>
      <c r="AV186" s="518"/>
      <c r="AW186" s="518"/>
      <c r="AX186" s="518"/>
      <c r="AY186" s="518"/>
      <c r="AZ186" s="518"/>
      <c r="BA186" s="518"/>
      <c r="BB186" s="518"/>
      <c r="BC186" s="518"/>
      <c r="BD186" s="518"/>
      <c r="BE186" s="518"/>
    </row>
    <row r="187" spans="1:57" ht="12.75" customHeight="1">
      <c r="A187" s="518"/>
      <c r="B187" s="518"/>
      <c r="C187" s="518"/>
      <c r="D187" s="518"/>
      <c r="E187" s="518"/>
      <c r="F187" s="518"/>
      <c r="G187" s="518"/>
      <c r="H187" s="518"/>
      <c r="I187" s="518"/>
      <c r="J187" s="518"/>
      <c r="K187" s="518"/>
      <c r="L187" s="518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  <c r="AB187" s="518"/>
      <c r="AC187" s="518"/>
      <c r="AD187" s="518"/>
      <c r="AE187" s="518"/>
      <c r="AF187" s="518"/>
      <c r="AG187" s="518"/>
      <c r="AH187" s="518"/>
      <c r="AI187" s="518"/>
      <c r="AJ187" s="518"/>
      <c r="AK187" s="518"/>
      <c r="AL187" s="518"/>
      <c r="AM187" s="518"/>
      <c r="AN187" s="518"/>
      <c r="AO187" s="518"/>
      <c r="AP187" s="518"/>
      <c r="AQ187" s="518"/>
      <c r="AR187" s="518"/>
      <c r="AS187" s="518"/>
      <c r="AT187" s="518"/>
      <c r="AU187" s="518"/>
      <c r="AV187" s="518"/>
      <c r="AW187" s="518"/>
      <c r="AX187" s="518"/>
      <c r="AY187" s="518"/>
      <c r="AZ187" s="518"/>
      <c r="BA187" s="518"/>
      <c r="BB187" s="518"/>
      <c r="BC187" s="518"/>
      <c r="BD187" s="518"/>
      <c r="BE187" s="518"/>
    </row>
    <row r="188" spans="1:57" ht="12.75" customHeight="1">
      <c r="A188" s="518"/>
      <c r="B188" s="518"/>
      <c r="C188" s="518"/>
      <c r="D188" s="518"/>
      <c r="E188" s="518"/>
      <c r="F188" s="518"/>
      <c r="G188" s="518"/>
      <c r="H188" s="518"/>
      <c r="I188" s="518"/>
      <c r="J188" s="518"/>
      <c r="K188" s="518"/>
      <c r="L188" s="518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  <c r="AB188" s="518"/>
      <c r="AC188" s="518"/>
      <c r="AD188" s="518"/>
      <c r="AE188" s="518"/>
      <c r="AF188" s="518"/>
      <c r="AG188" s="518"/>
      <c r="AH188" s="518"/>
      <c r="AI188" s="518"/>
      <c r="AJ188" s="518"/>
      <c r="AK188" s="518"/>
      <c r="AL188" s="518"/>
      <c r="AM188" s="518"/>
      <c r="AN188" s="518"/>
      <c r="AO188" s="518"/>
      <c r="AP188" s="518"/>
      <c r="AQ188" s="518"/>
      <c r="AR188" s="518"/>
      <c r="AS188" s="518"/>
      <c r="AT188" s="518"/>
      <c r="AU188" s="518"/>
      <c r="AV188" s="518"/>
      <c r="AW188" s="518"/>
      <c r="AX188" s="518"/>
      <c r="AY188" s="518"/>
      <c r="AZ188" s="518"/>
      <c r="BA188" s="518"/>
      <c r="BB188" s="518"/>
      <c r="BC188" s="518"/>
      <c r="BD188" s="518"/>
      <c r="BE188" s="518"/>
    </row>
    <row r="189" spans="1:57" ht="12.75" customHeight="1">
      <c r="A189" s="518"/>
      <c r="B189" s="518"/>
      <c r="C189" s="518"/>
      <c r="D189" s="518"/>
      <c r="E189" s="518"/>
      <c r="F189" s="518"/>
      <c r="G189" s="518"/>
      <c r="H189" s="518"/>
      <c r="I189" s="518"/>
      <c r="J189" s="518"/>
      <c r="K189" s="518"/>
      <c r="L189" s="518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  <c r="AB189" s="518"/>
      <c r="AC189" s="518"/>
      <c r="AD189" s="518"/>
      <c r="AE189" s="518"/>
      <c r="AF189" s="518"/>
      <c r="AG189" s="518"/>
      <c r="AH189" s="518"/>
      <c r="AI189" s="518"/>
      <c r="AJ189" s="518"/>
      <c r="AK189" s="518"/>
      <c r="AL189" s="518"/>
      <c r="AM189" s="518"/>
      <c r="AN189" s="518"/>
      <c r="AO189" s="518"/>
      <c r="AP189" s="518"/>
      <c r="AQ189" s="518"/>
      <c r="AR189" s="518"/>
      <c r="AS189" s="518"/>
      <c r="AT189" s="518"/>
      <c r="AU189" s="518"/>
      <c r="AV189" s="518"/>
      <c r="AW189" s="518"/>
      <c r="AX189" s="518"/>
      <c r="AY189" s="518"/>
      <c r="AZ189" s="518"/>
      <c r="BA189" s="518"/>
      <c r="BB189" s="518"/>
      <c r="BC189" s="518"/>
      <c r="BD189" s="518"/>
      <c r="BE189" s="518"/>
    </row>
    <row r="190" spans="1:57" ht="12.75" customHeight="1">
      <c r="A190" s="518"/>
      <c r="B190" s="518"/>
      <c r="C190" s="518"/>
      <c r="D190" s="518"/>
      <c r="E190" s="518"/>
      <c r="F190" s="518"/>
      <c r="G190" s="518"/>
      <c r="H190" s="518"/>
      <c r="I190" s="518"/>
      <c r="J190" s="518"/>
      <c r="K190" s="518"/>
      <c r="L190" s="518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  <c r="AB190" s="518"/>
      <c r="AC190" s="518"/>
      <c r="AD190" s="518"/>
      <c r="AE190" s="518"/>
      <c r="AF190" s="518"/>
      <c r="AG190" s="518"/>
      <c r="AH190" s="518"/>
      <c r="AI190" s="518"/>
      <c r="AJ190" s="518"/>
      <c r="AK190" s="518"/>
      <c r="AL190" s="518"/>
      <c r="AM190" s="518"/>
      <c r="AN190" s="518"/>
      <c r="AO190" s="518"/>
      <c r="AP190" s="518"/>
      <c r="AQ190" s="518"/>
      <c r="AR190" s="518"/>
      <c r="AS190" s="518"/>
      <c r="AT190" s="518"/>
      <c r="AU190" s="518"/>
      <c r="AV190" s="518"/>
      <c r="AW190" s="518"/>
      <c r="AX190" s="518"/>
      <c r="AY190" s="518"/>
      <c r="AZ190" s="518"/>
      <c r="BA190" s="518"/>
      <c r="BB190" s="518"/>
      <c r="BC190" s="518"/>
      <c r="BD190" s="518"/>
      <c r="BE190" s="518"/>
    </row>
    <row r="191" spans="1:57" ht="12.75" customHeight="1">
      <c r="A191" s="518"/>
      <c r="B191" s="518"/>
      <c r="C191" s="518"/>
      <c r="D191" s="518"/>
      <c r="E191" s="518"/>
      <c r="F191" s="518"/>
      <c r="G191" s="518"/>
      <c r="H191" s="518"/>
      <c r="I191" s="518"/>
      <c r="J191" s="518"/>
      <c r="K191" s="518"/>
      <c r="L191" s="518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  <c r="AB191" s="518"/>
      <c r="AC191" s="518"/>
      <c r="AD191" s="518"/>
      <c r="AE191" s="518"/>
      <c r="AF191" s="518"/>
      <c r="AG191" s="518"/>
      <c r="AH191" s="518"/>
      <c r="AI191" s="518"/>
      <c r="AJ191" s="518"/>
      <c r="AK191" s="518"/>
      <c r="AL191" s="518"/>
      <c r="AM191" s="518"/>
      <c r="AN191" s="518"/>
      <c r="AO191" s="518"/>
      <c r="AP191" s="518"/>
      <c r="AQ191" s="518"/>
      <c r="AR191" s="518"/>
      <c r="AS191" s="518"/>
      <c r="AT191" s="518"/>
      <c r="AU191" s="518"/>
      <c r="AV191" s="518"/>
      <c r="AW191" s="518"/>
      <c r="AX191" s="518"/>
      <c r="AY191" s="518"/>
      <c r="AZ191" s="518"/>
      <c r="BA191" s="518"/>
      <c r="BB191" s="518"/>
      <c r="BC191" s="518"/>
      <c r="BD191" s="518"/>
      <c r="BE191" s="518"/>
    </row>
    <row r="192" spans="1:57" ht="12.75" customHeight="1">
      <c r="A192" s="518"/>
      <c r="B192" s="518"/>
      <c r="C192" s="518"/>
      <c r="D192" s="518"/>
      <c r="E192" s="518"/>
      <c r="F192" s="518"/>
      <c r="G192" s="518"/>
      <c r="H192" s="518"/>
      <c r="I192" s="518"/>
      <c r="J192" s="518"/>
      <c r="K192" s="518"/>
      <c r="L192" s="518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  <c r="AB192" s="518"/>
      <c r="AC192" s="518"/>
      <c r="AD192" s="518"/>
      <c r="AE192" s="518"/>
      <c r="AF192" s="518"/>
      <c r="AG192" s="518"/>
      <c r="AH192" s="518"/>
      <c r="AI192" s="518"/>
      <c r="AJ192" s="518"/>
      <c r="AK192" s="518"/>
      <c r="AL192" s="518"/>
      <c r="AM192" s="518"/>
      <c r="AN192" s="518"/>
      <c r="AO192" s="518"/>
      <c r="AP192" s="518"/>
      <c r="AQ192" s="518"/>
      <c r="AR192" s="518"/>
      <c r="AS192" s="518"/>
      <c r="AT192" s="518"/>
      <c r="AU192" s="518"/>
      <c r="AV192" s="518"/>
      <c r="AW192" s="518"/>
      <c r="AX192" s="518"/>
      <c r="AY192" s="518"/>
      <c r="AZ192" s="518"/>
      <c r="BA192" s="518"/>
      <c r="BB192" s="518"/>
      <c r="BC192" s="518"/>
      <c r="BD192" s="518"/>
      <c r="BE192" s="518"/>
    </row>
    <row r="193" spans="1:57" ht="12.75" customHeight="1">
      <c r="A193" s="518"/>
      <c r="B193" s="518"/>
      <c r="C193" s="518"/>
      <c r="D193" s="518"/>
      <c r="E193" s="518"/>
      <c r="F193" s="518"/>
      <c r="G193" s="518"/>
      <c r="H193" s="518"/>
      <c r="I193" s="518"/>
      <c r="J193" s="518"/>
      <c r="K193" s="518"/>
      <c r="L193" s="518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  <c r="AB193" s="518"/>
      <c r="AC193" s="518"/>
      <c r="AD193" s="518"/>
      <c r="AE193" s="518"/>
      <c r="AF193" s="518"/>
      <c r="AG193" s="518"/>
      <c r="AH193" s="518"/>
      <c r="AI193" s="518"/>
      <c r="AJ193" s="518"/>
      <c r="AK193" s="518"/>
      <c r="AL193" s="518"/>
      <c r="AM193" s="518"/>
      <c r="AN193" s="518"/>
      <c r="AO193" s="518"/>
      <c r="AP193" s="518"/>
      <c r="AQ193" s="518"/>
      <c r="AR193" s="518"/>
      <c r="AS193" s="518"/>
      <c r="AT193" s="518"/>
      <c r="AU193" s="518"/>
      <c r="AV193" s="518"/>
      <c r="AW193" s="518"/>
      <c r="AX193" s="518"/>
      <c r="AY193" s="518"/>
      <c r="AZ193" s="518"/>
      <c r="BA193" s="518"/>
      <c r="BB193" s="518"/>
      <c r="BC193" s="518"/>
      <c r="BD193" s="518"/>
      <c r="BE193" s="518"/>
    </row>
    <row r="194" spans="1:57" ht="12.75" customHeight="1">
      <c r="A194" s="518"/>
      <c r="B194" s="518"/>
      <c r="C194" s="518"/>
      <c r="D194" s="518"/>
      <c r="E194" s="518"/>
      <c r="F194" s="518"/>
      <c r="G194" s="518"/>
      <c r="H194" s="518"/>
      <c r="I194" s="518"/>
      <c r="J194" s="518"/>
      <c r="K194" s="518"/>
      <c r="L194" s="518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  <c r="AB194" s="518"/>
      <c r="AC194" s="518"/>
      <c r="AD194" s="518"/>
      <c r="AE194" s="518"/>
      <c r="AF194" s="518"/>
      <c r="AG194" s="518"/>
      <c r="AH194" s="518"/>
      <c r="AI194" s="518"/>
      <c r="AJ194" s="518"/>
      <c r="AK194" s="518"/>
      <c r="AL194" s="518"/>
      <c r="AM194" s="518"/>
      <c r="AN194" s="518"/>
      <c r="AO194" s="518"/>
      <c r="AP194" s="518"/>
      <c r="AQ194" s="518"/>
      <c r="AR194" s="518"/>
      <c r="AS194" s="518"/>
      <c r="AT194" s="518"/>
      <c r="AU194" s="518"/>
      <c r="AV194" s="518"/>
      <c r="AW194" s="518"/>
      <c r="AX194" s="518"/>
      <c r="AY194" s="518"/>
      <c r="AZ194" s="518"/>
      <c r="BA194" s="518"/>
      <c r="BB194" s="518"/>
      <c r="BC194" s="518"/>
      <c r="BD194" s="518"/>
      <c r="BE194" s="518"/>
    </row>
    <row r="195" spans="1:57" ht="12.75" customHeight="1">
      <c r="A195" s="518"/>
      <c r="B195" s="518"/>
      <c r="C195" s="518"/>
      <c r="D195" s="518"/>
      <c r="E195" s="518"/>
      <c r="F195" s="518"/>
      <c r="G195" s="518"/>
      <c r="H195" s="518"/>
      <c r="I195" s="518"/>
      <c r="J195" s="518"/>
      <c r="K195" s="518"/>
      <c r="L195" s="518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  <c r="AB195" s="518"/>
      <c r="AC195" s="518"/>
      <c r="AD195" s="518"/>
      <c r="AE195" s="518"/>
      <c r="AF195" s="518"/>
      <c r="AG195" s="518"/>
      <c r="AH195" s="518"/>
      <c r="AI195" s="518"/>
      <c r="AJ195" s="518"/>
      <c r="AK195" s="518"/>
      <c r="AL195" s="518"/>
      <c r="AM195" s="518"/>
      <c r="AN195" s="518"/>
      <c r="AO195" s="518"/>
      <c r="AP195" s="518"/>
      <c r="AQ195" s="518"/>
      <c r="AR195" s="518"/>
      <c r="AS195" s="518"/>
      <c r="AT195" s="518"/>
      <c r="AU195" s="518"/>
      <c r="AV195" s="518"/>
      <c r="AW195" s="518"/>
      <c r="AX195" s="518"/>
      <c r="AY195" s="518"/>
      <c r="AZ195" s="518"/>
      <c r="BA195" s="518"/>
      <c r="BB195" s="518"/>
      <c r="BC195" s="518"/>
      <c r="BD195" s="518"/>
      <c r="BE195" s="518"/>
    </row>
    <row r="196" spans="1:57" ht="12.75" customHeight="1">
      <c r="A196" s="518"/>
      <c r="B196" s="518"/>
      <c r="C196" s="518"/>
      <c r="D196" s="518"/>
      <c r="E196" s="518"/>
      <c r="F196" s="518"/>
      <c r="G196" s="518"/>
      <c r="H196" s="518"/>
      <c r="I196" s="518"/>
      <c r="J196" s="518"/>
      <c r="K196" s="518"/>
      <c r="L196" s="518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  <c r="AB196" s="518"/>
      <c r="AC196" s="518"/>
      <c r="AD196" s="518"/>
      <c r="AE196" s="518"/>
      <c r="AF196" s="518"/>
      <c r="AG196" s="518"/>
      <c r="AH196" s="518"/>
      <c r="AI196" s="518"/>
      <c r="AJ196" s="518"/>
      <c r="AK196" s="518"/>
      <c r="AL196" s="518"/>
      <c r="AM196" s="518"/>
      <c r="AN196" s="518"/>
      <c r="AO196" s="518"/>
      <c r="AP196" s="518"/>
      <c r="AQ196" s="518"/>
      <c r="AR196" s="518"/>
      <c r="AS196" s="518"/>
      <c r="AT196" s="518"/>
      <c r="AU196" s="518"/>
      <c r="AV196" s="518"/>
      <c r="AW196" s="518"/>
      <c r="AX196" s="518"/>
      <c r="AY196" s="518"/>
      <c r="AZ196" s="518"/>
      <c r="BA196" s="518"/>
      <c r="BB196" s="518"/>
      <c r="BC196" s="518"/>
      <c r="BD196" s="518"/>
      <c r="BE196" s="518"/>
    </row>
    <row r="197" spans="1:57" ht="12.75" customHeight="1">
      <c r="A197" s="518"/>
      <c r="B197" s="518"/>
      <c r="C197" s="518"/>
      <c r="D197" s="518"/>
      <c r="E197" s="518"/>
      <c r="F197" s="518"/>
      <c r="G197" s="518"/>
      <c r="H197" s="518"/>
      <c r="I197" s="518"/>
      <c r="J197" s="518"/>
      <c r="K197" s="518"/>
      <c r="L197" s="518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  <c r="AB197" s="518"/>
      <c r="AC197" s="518"/>
      <c r="AD197" s="518"/>
      <c r="AE197" s="518"/>
      <c r="AF197" s="518"/>
      <c r="AG197" s="518"/>
      <c r="AH197" s="518"/>
      <c r="AI197" s="518"/>
      <c r="AJ197" s="518"/>
      <c r="AK197" s="518"/>
      <c r="AL197" s="518"/>
      <c r="AM197" s="518"/>
      <c r="AN197" s="518"/>
      <c r="AO197" s="518"/>
      <c r="AP197" s="518"/>
      <c r="AQ197" s="518"/>
      <c r="AR197" s="518"/>
      <c r="AS197" s="518"/>
      <c r="AT197" s="518"/>
      <c r="AU197" s="518"/>
      <c r="AV197" s="518"/>
      <c r="AW197" s="518"/>
      <c r="AX197" s="518"/>
      <c r="AY197" s="518"/>
      <c r="AZ197" s="518"/>
      <c r="BA197" s="518"/>
      <c r="BB197" s="518"/>
      <c r="BC197" s="518"/>
      <c r="BD197" s="518"/>
      <c r="BE197" s="518"/>
    </row>
    <row r="198" spans="1:57" ht="12.75" customHeight="1">
      <c r="A198" s="518"/>
      <c r="B198" s="518"/>
      <c r="C198" s="518"/>
      <c r="D198" s="518"/>
      <c r="E198" s="518"/>
      <c r="F198" s="518"/>
      <c r="G198" s="518"/>
      <c r="H198" s="518"/>
      <c r="I198" s="518"/>
      <c r="J198" s="518"/>
      <c r="K198" s="518"/>
      <c r="L198" s="518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  <c r="AB198" s="518"/>
      <c r="AC198" s="518"/>
      <c r="AD198" s="518"/>
      <c r="AE198" s="518"/>
      <c r="AF198" s="518"/>
      <c r="AG198" s="518"/>
      <c r="AH198" s="518"/>
      <c r="AI198" s="518"/>
      <c r="AJ198" s="518"/>
      <c r="AK198" s="518"/>
      <c r="AL198" s="518"/>
      <c r="AM198" s="518"/>
      <c r="AN198" s="518"/>
      <c r="AO198" s="518"/>
      <c r="AP198" s="518"/>
      <c r="AQ198" s="518"/>
      <c r="AR198" s="518"/>
      <c r="AS198" s="518"/>
      <c r="AT198" s="518"/>
      <c r="AU198" s="518"/>
      <c r="AV198" s="518"/>
      <c r="AW198" s="518"/>
      <c r="AX198" s="518"/>
      <c r="AY198" s="518"/>
      <c r="AZ198" s="518"/>
      <c r="BA198" s="518"/>
      <c r="BB198" s="518"/>
      <c r="BC198" s="518"/>
      <c r="BD198" s="518"/>
      <c r="BE198" s="518"/>
    </row>
    <row r="199" spans="1:57" ht="12.75" customHeight="1">
      <c r="A199" s="518"/>
      <c r="B199" s="518"/>
      <c r="C199" s="518"/>
      <c r="D199" s="518"/>
      <c r="E199" s="518"/>
      <c r="F199" s="518"/>
      <c r="G199" s="518"/>
      <c r="H199" s="518"/>
      <c r="I199" s="518"/>
      <c r="J199" s="518"/>
      <c r="K199" s="518"/>
      <c r="L199" s="518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  <c r="AB199" s="518"/>
      <c r="AC199" s="518"/>
      <c r="AD199" s="518"/>
      <c r="AE199" s="518"/>
      <c r="AF199" s="518"/>
      <c r="AG199" s="518"/>
      <c r="AH199" s="518"/>
      <c r="AI199" s="518"/>
      <c r="AJ199" s="518"/>
      <c r="AK199" s="518"/>
      <c r="AL199" s="518"/>
      <c r="AM199" s="518"/>
      <c r="AN199" s="518"/>
      <c r="AO199" s="518"/>
      <c r="AP199" s="518"/>
      <c r="AQ199" s="518"/>
      <c r="AR199" s="518"/>
      <c r="AS199" s="518"/>
      <c r="AT199" s="518"/>
      <c r="AU199" s="518"/>
      <c r="AV199" s="518"/>
      <c r="AW199" s="518"/>
      <c r="AX199" s="518"/>
      <c r="AY199" s="518"/>
      <c r="AZ199" s="518"/>
      <c r="BA199" s="518"/>
      <c r="BB199" s="518"/>
      <c r="BC199" s="518"/>
      <c r="BD199" s="518"/>
      <c r="BE199" s="518"/>
    </row>
    <row r="200" spans="1:57" ht="12.75" customHeight="1">
      <c r="A200" s="518"/>
      <c r="B200" s="518"/>
      <c r="C200" s="518"/>
      <c r="D200" s="518"/>
      <c r="E200" s="518"/>
      <c r="F200" s="518"/>
      <c r="G200" s="518"/>
      <c r="H200" s="518"/>
      <c r="I200" s="518"/>
      <c r="J200" s="518"/>
      <c r="K200" s="518"/>
      <c r="L200" s="518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  <c r="AB200" s="518"/>
      <c r="AC200" s="518"/>
      <c r="AD200" s="518"/>
      <c r="AE200" s="518"/>
      <c r="AF200" s="518"/>
      <c r="AG200" s="518"/>
      <c r="AH200" s="518"/>
      <c r="AI200" s="518"/>
      <c r="AJ200" s="518"/>
      <c r="AK200" s="518"/>
      <c r="AL200" s="518"/>
      <c r="AM200" s="518"/>
      <c r="AN200" s="518"/>
      <c r="AO200" s="518"/>
      <c r="AP200" s="518"/>
      <c r="AQ200" s="518"/>
      <c r="AR200" s="518"/>
      <c r="AS200" s="518"/>
      <c r="AT200" s="518"/>
      <c r="AU200" s="518"/>
      <c r="AV200" s="518"/>
      <c r="AW200" s="518"/>
      <c r="AX200" s="518"/>
      <c r="AY200" s="518"/>
      <c r="AZ200" s="518"/>
      <c r="BA200" s="518"/>
      <c r="BB200" s="518"/>
      <c r="BC200" s="518"/>
      <c r="BD200" s="518"/>
      <c r="BE200" s="518"/>
    </row>
    <row r="201" spans="1:57" ht="12.75" customHeight="1">
      <c r="A201" s="518"/>
      <c r="B201" s="518"/>
      <c r="C201" s="518"/>
      <c r="D201" s="518"/>
      <c r="E201" s="518"/>
      <c r="F201" s="518"/>
      <c r="G201" s="518"/>
      <c r="H201" s="518"/>
      <c r="I201" s="518"/>
      <c r="J201" s="518"/>
      <c r="K201" s="518"/>
      <c r="L201" s="518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  <c r="AB201" s="518"/>
      <c r="AC201" s="518"/>
      <c r="AD201" s="518"/>
      <c r="AE201" s="518"/>
      <c r="AF201" s="518"/>
      <c r="AG201" s="518"/>
      <c r="AH201" s="518"/>
      <c r="AI201" s="518"/>
      <c r="AJ201" s="518"/>
      <c r="AK201" s="518"/>
      <c r="AL201" s="518"/>
      <c r="AM201" s="518"/>
      <c r="AN201" s="518"/>
      <c r="AO201" s="518"/>
      <c r="AP201" s="518"/>
      <c r="AQ201" s="518"/>
      <c r="AR201" s="518"/>
      <c r="AS201" s="518"/>
      <c r="AT201" s="518"/>
      <c r="AU201" s="518"/>
      <c r="AV201" s="518"/>
      <c r="AW201" s="518"/>
      <c r="AX201" s="518"/>
      <c r="AY201" s="518"/>
      <c r="AZ201" s="518"/>
      <c r="BA201" s="518"/>
      <c r="BB201" s="518"/>
      <c r="BC201" s="518"/>
      <c r="BD201" s="518"/>
      <c r="BE201" s="518"/>
    </row>
    <row r="202" spans="1:57" ht="12.75" customHeight="1">
      <c r="A202" s="518"/>
      <c r="B202" s="518"/>
      <c r="C202" s="518"/>
      <c r="D202" s="518"/>
      <c r="E202" s="518"/>
      <c r="F202" s="518"/>
      <c r="G202" s="518"/>
      <c r="H202" s="518"/>
      <c r="I202" s="518"/>
      <c r="J202" s="518"/>
      <c r="K202" s="518"/>
      <c r="L202" s="518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  <c r="AB202" s="518"/>
      <c r="AC202" s="518"/>
      <c r="AD202" s="518"/>
      <c r="AE202" s="518"/>
      <c r="AF202" s="518"/>
      <c r="AG202" s="518"/>
      <c r="AH202" s="518"/>
      <c r="AI202" s="518"/>
      <c r="AJ202" s="518"/>
      <c r="AK202" s="518"/>
      <c r="AL202" s="518"/>
      <c r="AM202" s="518"/>
      <c r="AN202" s="518"/>
      <c r="AO202" s="518"/>
      <c r="AP202" s="518"/>
      <c r="AQ202" s="518"/>
      <c r="AR202" s="518"/>
      <c r="AS202" s="518"/>
      <c r="AT202" s="518"/>
      <c r="AU202" s="518"/>
      <c r="AV202" s="518"/>
      <c r="AW202" s="518"/>
      <c r="AX202" s="518"/>
      <c r="AY202" s="518"/>
      <c r="AZ202" s="518"/>
      <c r="BA202" s="518"/>
      <c r="BB202" s="518"/>
      <c r="BC202" s="518"/>
      <c r="BD202" s="518"/>
      <c r="BE202" s="518"/>
    </row>
    <row r="203" spans="1:57" ht="12.75" customHeight="1">
      <c r="A203" s="518"/>
      <c r="B203" s="518"/>
      <c r="C203" s="518"/>
      <c r="D203" s="518"/>
      <c r="E203" s="518"/>
      <c r="F203" s="518"/>
      <c r="G203" s="518"/>
      <c r="H203" s="518"/>
      <c r="I203" s="518"/>
      <c r="J203" s="518"/>
      <c r="K203" s="518"/>
      <c r="L203" s="518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  <c r="AB203" s="518"/>
      <c r="AC203" s="518"/>
      <c r="AD203" s="518"/>
      <c r="AE203" s="518"/>
      <c r="AF203" s="518"/>
      <c r="AG203" s="518"/>
      <c r="AH203" s="518"/>
      <c r="AI203" s="518"/>
      <c r="AJ203" s="518"/>
      <c r="AK203" s="518"/>
      <c r="AL203" s="518"/>
      <c r="AM203" s="518"/>
      <c r="AN203" s="518"/>
      <c r="AO203" s="518"/>
      <c r="AP203" s="518"/>
      <c r="AQ203" s="518"/>
      <c r="AR203" s="518"/>
      <c r="AS203" s="518"/>
      <c r="AT203" s="518"/>
      <c r="AU203" s="518"/>
      <c r="AV203" s="518"/>
      <c r="AW203" s="518"/>
      <c r="AX203" s="518"/>
      <c r="AY203" s="518"/>
      <c r="AZ203" s="518"/>
      <c r="BA203" s="518"/>
      <c r="BB203" s="518"/>
      <c r="BC203" s="518"/>
      <c r="BD203" s="518"/>
      <c r="BE203" s="518"/>
    </row>
    <row r="204" spans="1:57" ht="12.75" customHeight="1">
      <c r="A204" s="518"/>
      <c r="B204" s="518"/>
      <c r="C204" s="518"/>
      <c r="D204" s="518"/>
      <c r="E204" s="518"/>
      <c r="F204" s="518"/>
      <c r="G204" s="518"/>
      <c r="H204" s="518"/>
      <c r="I204" s="518"/>
      <c r="J204" s="518"/>
      <c r="K204" s="518"/>
      <c r="L204" s="518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  <c r="AB204" s="518"/>
      <c r="AC204" s="518"/>
      <c r="AD204" s="518"/>
      <c r="AE204" s="518"/>
      <c r="AF204" s="518"/>
      <c r="AG204" s="518"/>
      <c r="AH204" s="518"/>
      <c r="AI204" s="518"/>
      <c r="AJ204" s="518"/>
      <c r="AK204" s="518"/>
      <c r="AL204" s="518"/>
      <c r="AM204" s="518"/>
      <c r="AN204" s="518"/>
      <c r="AO204" s="518"/>
      <c r="AP204" s="518"/>
      <c r="AQ204" s="518"/>
      <c r="AR204" s="518"/>
      <c r="AS204" s="518"/>
      <c r="AT204" s="518"/>
      <c r="AU204" s="518"/>
      <c r="AV204" s="518"/>
      <c r="AW204" s="518"/>
      <c r="AX204" s="518"/>
      <c r="AY204" s="518"/>
      <c r="AZ204" s="518"/>
      <c r="BA204" s="518"/>
      <c r="BB204" s="518"/>
      <c r="BC204" s="518"/>
      <c r="BD204" s="518"/>
      <c r="BE204" s="518"/>
    </row>
    <row r="205" spans="1:57" ht="12.75" customHeight="1">
      <c r="A205" s="518"/>
      <c r="B205" s="518"/>
      <c r="C205" s="518"/>
      <c r="D205" s="518"/>
      <c r="E205" s="518"/>
      <c r="F205" s="518"/>
      <c r="G205" s="518"/>
      <c r="H205" s="518"/>
      <c r="I205" s="518"/>
      <c r="J205" s="518"/>
      <c r="K205" s="518"/>
      <c r="L205" s="518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  <c r="AB205" s="518"/>
      <c r="AC205" s="518"/>
      <c r="AD205" s="518"/>
      <c r="AE205" s="518"/>
      <c r="AF205" s="518"/>
      <c r="AG205" s="518"/>
      <c r="AH205" s="518"/>
      <c r="AI205" s="518"/>
      <c r="AJ205" s="518"/>
      <c r="AK205" s="518"/>
      <c r="AL205" s="518"/>
      <c r="AM205" s="518"/>
      <c r="AN205" s="518"/>
      <c r="AO205" s="518"/>
      <c r="AP205" s="518"/>
      <c r="AQ205" s="518"/>
      <c r="AR205" s="518"/>
      <c r="AS205" s="518"/>
      <c r="AT205" s="518"/>
      <c r="AU205" s="518"/>
      <c r="AV205" s="518"/>
      <c r="AW205" s="518"/>
      <c r="AX205" s="518"/>
      <c r="AY205" s="518"/>
      <c r="AZ205" s="518"/>
      <c r="BA205" s="518"/>
      <c r="BB205" s="518"/>
      <c r="BC205" s="518"/>
      <c r="BD205" s="518"/>
      <c r="BE205" s="518"/>
    </row>
    <row r="206" spans="1:57" ht="12.75" customHeight="1">
      <c r="A206" s="518"/>
      <c r="B206" s="518"/>
      <c r="C206" s="518"/>
      <c r="D206" s="518"/>
      <c r="E206" s="518"/>
      <c r="F206" s="518"/>
      <c r="G206" s="518"/>
      <c r="H206" s="518"/>
      <c r="I206" s="518"/>
      <c r="J206" s="518"/>
      <c r="K206" s="518"/>
      <c r="L206" s="518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  <c r="AB206" s="518"/>
      <c r="AC206" s="518"/>
      <c r="AD206" s="518"/>
      <c r="AE206" s="518"/>
      <c r="AF206" s="518"/>
      <c r="AG206" s="518"/>
      <c r="AH206" s="518"/>
      <c r="AI206" s="518"/>
      <c r="AJ206" s="518"/>
      <c r="AK206" s="518"/>
      <c r="AL206" s="518"/>
      <c r="AM206" s="518"/>
      <c r="AN206" s="518"/>
      <c r="AO206" s="518"/>
      <c r="AP206" s="518"/>
      <c r="AQ206" s="518"/>
      <c r="AR206" s="518"/>
      <c r="AS206" s="518"/>
      <c r="AT206" s="518"/>
      <c r="AU206" s="518"/>
      <c r="AV206" s="518"/>
      <c r="AW206" s="518"/>
      <c r="AX206" s="518"/>
      <c r="AY206" s="518"/>
      <c r="AZ206" s="518"/>
      <c r="BA206" s="518"/>
      <c r="BB206" s="518"/>
      <c r="BC206" s="518"/>
      <c r="BD206" s="518"/>
      <c r="BE206" s="518"/>
    </row>
    <row r="207" spans="1:57" ht="12.75" customHeight="1">
      <c r="A207" s="518"/>
      <c r="B207" s="518"/>
      <c r="C207" s="518"/>
      <c r="D207" s="518"/>
      <c r="E207" s="518"/>
      <c r="F207" s="518"/>
      <c r="G207" s="518"/>
      <c r="H207" s="518"/>
      <c r="I207" s="518"/>
      <c r="J207" s="518"/>
      <c r="K207" s="518"/>
      <c r="L207" s="518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  <c r="AB207" s="518"/>
      <c r="AC207" s="518"/>
      <c r="AD207" s="518"/>
      <c r="AE207" s="518"/>
      <c r="AF207" s="518"/>
      <c r="AG207" s="518"/>
      <c r="AH207" s="518"/>
      <c r="AI207" s="518"/>
      <c r="AJ207" s="518"/>
      <c r="AK207" s="518"/>
      <c r="AL207" s="518"/>
      <c r="AM207" s="518"/>
      <c r="AN207" s="518"/>
      <c r="AO207" s="518"/>
      <c r="AP207" s="518"/>
      <c r="AQ207" s="518"/>
      <c r="AR207" s="518"/>
      <c r="AS207" s="518"/>
      <c r="AT207" s="518"/>
      <c r="AU207" s="518"/>
      <c r="AV207" s="518"/>
      <c r="AW207" s="518"/>
      <c r="AX207" s="518"/>
      <c r="AY207" s="518"/>
      <c r="AZ207" s="518"/>
      <c r="BA207" s="518"/>
      <c r="BB207" s="518"/>
      <c r="BC207" s="518"/>
      <c r="BD207" s="518"/>
      <c r="BE207" s="518"/>
    </row>
    <row r="208" spans="1:57" ht="12.75" customHeight="1">
      <c r="A208" s="518"/>
      <c r="B208" s="518"/>
      <c r="C208" s="518"/>
      <c r="D208" s="518"/>
      <c r="E208" s="518"/>
      <c r="F208" s="518"/>
      <c r="G208" s="518"/>
      <c r="H208" s="518"/>
      <c r="I208" s="518"/>
      <c r="J208" s="518"/>
      <c r="K208" s="518"/>
      <c r="L208" s="518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  <c r="AB208" s="518"/>
      <c r="AC208" s="518"/>
      <c r="AD208" s="518"/>
      <c r="AE208" s="518"/>
      <c r="AF208" s="518"/>
      <c r="AG208" s="518"/>
      <c r="AH208" s="518"/>
      <c r="AI208" s="518"/>
      <c r="AJ208" s="518"/>
      <c r="AK208" s="518"/>
      <c r="AL208" s="518"/>
      <c r="AM208" s="518"/>
      <c r="AN208" s="518"/>
      <c r="AO208" s="518"/>
      <c r="AP208" s="518"/>
      <c r="AQ208" s="518"/>
      <c r="AR208" s="518"/>
      <c r="AS208" s="518"/>
      <c r="AT208" s="518"/>
      <c r="AU208" s="518"/>
      <c r="AV208" s="518"/>
      <c r="AW208" s="518"/>
      <c r="AX208" s="518"/>
      <c r="AY208" s="518"/>
      <c r="AZ208" s="518"/>
      <c r="BA208" s="518"/>
      <c r="BB208" s="518"/>
      <c r="BC208" s="518"/>
      <c r="BD208" s="518"/>
      <c r="BE208" s="518"/>
    </row>
    <row r="209" spans="1:57" ht="12.75" customHeight="1">
      <c r="A209" s="518"/>
      <c r="B209" s="518"/>
      <c r="C209" s="518"/>
      <c r="D209" s="518"/>
      <c r="E209" s="518"/>
      <c r="F209" s="518"/>
      <c r="G209" s="518"/>
      <c r="H209" s="518"/>
      <c r="I209" s="518"/>
      <c r="J209" s="518"/>
      <c r="K209" s="518"/>
      <c r="L209" s="518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  <c r="AB209" s="518"/>
      <c r="AC209" s="518"/>
      <c r="AD209" s="518"/>
      <c r="AE209" s="518"/>
      <c r="AF209" s="518"/>
      <c r="AG209" s="518"/>
      <c r="AH209" s="518"/>
      <c r="AI209" s="518"/>
      <c r="AJ209" s="518"/>
      <c r="AK209" s="518"/>
      <c r="AL209" s="518"/>
      <c r="AM209" s="518"/>
      <c r="AN209" s="518"/>
      <c r="AO209" s="518"/>
      <c r="AP209" s="518"/>
      <c r="AQ209" s="518"/>
      <c r="AR209" s="518"/>
      <c r="AS209" s="518"/>
      <c r="AT209" s="518"/>
      <c r="AU209" s="518"/>
      <c r="AV209" s="518"/>
      <c r="AW209" s="518"/>
      <c r="AX209" s="518"/>
      <c r="AY209" s="518"/>
      <c r="AZ209" s="518"/>
      <c r="BA209" s="518"/>
      <c r="BB209" s="518"/>
      <c r="BC209" s="518"/>
      <c r="BD209" s="518"/>
      <c r="BE209" s="518"/>
    </row>
    <row r="210" spans="1:57" ht="12.75" customHeight="1">
      <c r="A210" s="518"/>
      <c r="B210" s="518"/>
      <c r="C210" s="518"/>
      <c r="D210" s="518"/>
      <c r="E210" s="518"/>
      <c r="F210" s="518"/>
      <c r="G210" s="518"/>
      <c r="H210" s="518"/>
      <c r="I210" s="518"/>
      <c r="J210" s="518"/>
      <c r="K210" s="518"/>
      <c r="L210" s="518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  <c r="AB210" s="518"/>
      <c r="AC210" s="518"/>
      <c r="AD210" s="518"/>
      <c r="AE210" s="518"/>
      <c r="AF210" s="518"/>
      <c r="AG210" s="518"/>
      <c r="AH210" s="518"/>
      <c r="AI210" s="518"/>
      <c r="AJ210" s="518"/>
      <c r="AK210" s="518"/>
      <c r="AL210" s="518"/>
      <c r="AM210" s="518"/>
      <c r="AN210" s="518"/>
      <c r="AO210" s="518"/>
      <c r="AP210" s="518"/>
      <c r="AQ210" s="518"/>
      <c r="AR210" s="518"/>
      <c r="AS210" s="518"/>
      <c r="AT210" s="518"/>
      <c r="AU210" s="518"/>
      <c r="AV210" s="518"/>
      <c r="AW210" s="518"/>
      <c r="AX210" s="518"/>
      <c r="AY210" s="518"/>
      <c r="AZ210" s="518"/>
      <c r="BA210" s="518"/>
      <c r="BB210" s="518"/>
      <c r="BC210" s="518"/>
      <c r="BD210" s="518"/>
      <c r="BE210" s="518"/>
    </row>
    <row r="211" spans="1:57" ht="12.75" customHeight="1">
      <c r="A211" s="518"/>
      <c r="B211" s="518"/>
      <c r="C211" s="518"/>
      <c r="D211" s="518"/>
      <c r="E211" s="518"/>
      <c r="F211" s="518"/>
      <c r="G211" s="518"/>
      <c r="H211" s="518"/>
      <c r="I211" s="518"/>
      <c r="J211" s="518"/>
      <c r="K211" s="518"/>
      <c r="L211" s="518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  <c r="AB211" s="518"/>
      <c r="AC211" s="518"/>
      <c r="AD211" s="518"/>
      <c r="AE211" s="518"/>
      <c r="AF211" s="518"/>
      <c r="AG211" s="518"/>
      <c r="AH211" s="518"/>
      <c r="AI211" s="518"/>
      <c r="AJ211" s="518"/>
      <c r="AK211" s="518"/>
      <c r="AL211" s="518"/>
      <c r="AM211" s="518"/>
      <c r="AN211" s="518"/>
      <c r="AO211" s="518"/>
      <c r="AP211" s="518"/>
      <c r="AQ211" s="518"/>
      <c r="AR211" s="518"/>
      <c r="AS211" s="518"/>
      <c r="AT211" s="518"/>
      <c r="AU211" s="518"/>
      <c r="AV211" s="518"/>
      <c r="AW211" s="518"/>
      <c r="AX211" s="518"/>
      <c r="AY211" s="518"/>
      <c r="AZ211" s="518"/>
      <c r="BA211" s="518"/>
      <c r="BB211" s="518"/>
      <c r="BC211" s="518"/>
      <c r="BD211" s="518"/>
      <c r="BE211" s="518"/>
    </row>
    <row r="212" spans="1:57" ht="12.75" customHeight="1">
      <c r="A212" s="518"/>
      <c r="B212" s="518"/>
      <c r="C212" s="518"/>
      <c r="D212" s="518"/>
      <c r="E212" s="518"/>
      <c r="F212" s="518"/>
      <c r="G212" s="518"/>
      <c r="H212" s="518"/>
      <c r="I212" s="518"/>
      <c r="J212" s="518"/>
      <c r="K212" s="518"/>
      <c r="L212" s="518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  <c r="AB212" s="518"/>
      <c r="AC212" s="518"/>
      <c r="AD212" s="518"/>
      <c r="AE212" s="518"/>
      <c r="AF212" s="518"/>
      <c r="AG212" s="518"/>
      <c r="AH212" s="518"/>
      <c r="AI212" s="518"/>
      <c r="AJ212" s="518"/>
      <c r="AK212" s="518"/>
      <c r="AL212" s="518"/>
      <c r="AM212" s="518"/>
      <c r="AN212" s="518"/>
      <c r="AO212" s="518"/>
      <c r="AP212" s="518"/>
      <c r="AQ212" s="518"/>
      <c r="AR212" s="518"/>
      <c r="AS212" s="518"/>
      <c r="AT212" s="518"/>
      <c r="AU212" s="518"/>
      <c r="AV212" s="518"/>
      <c r="AW212" s="518"/>
      <c r="AX212" s="518"/>
      <c r="AY212" s="518"/>
      <c r="AZ212" s="518"/>
      <c r="BA212" s="518"/>
      <c r="BB212" s="518"/>
      <c r="BC212" s="518"/>
      <c r="BD212" s="518"/>
      <c r="BE212" s="518"/>
    </row>
    <row r="213" spans="1:57" ht="12.75" customHeight="1">
      <c r="A213" s="518"/>
      <c r="B213" s="518"/>
      <c r="C213" s="518"/>
      <c r="D213" s="518"/>
      <c r="E213" s="518"/>
      <c r="F213" s="518"/>
      <c r="G213" s="518"/>
      <c r="H213" s="518"/>
      <c r="I213" s="518"/>
      <c r="J213" s="518"/>
      <c r="K213" s="518"/>
      <c r="L213" s="518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  <c r="AB213" s="518"/>
      <c r="AC213" s="518"/>
      <c r="AD213" s="518"/>
      <c r="AE213" s="518"/>
      <c r="AF213" s="518"/>
      <c r="AG213" s="518"/>
      <c r="AH213" s="518"/>
      <c r="AI213" s="518"/>
      <c r="AJ213" s="518"/>
      <c r="AK213" s="518"/>
      <c r="AL213" s="518"/>
      <c r="AM213" s="518"/>
      <c r="AN213" s="518"/>
      <c r="AO213" s="518"/>
      <c r="AP213" s="518"/>
      <c r="AQ213" s="518"/>
      <c r="AR213" s="518"/>
      <c r="AS213" s="518"/>
      <c r="AT213" s="518"/>
      <c r="AU213" s="518"/>
      <c r="AV213" s="518"/>
      <c r="AW213" s="518"/>
      <c r="AX213" s="518"/>
      <c r="AY213" s="518"/>
      <c r="AZ213" s="518"/>
      <c r="BA213" s="518"/>
      <c r="BB213" s="518"/>
      <c r="BC213" s="518"/>
      <c r="BD213" s="518"/>
      <c r="BE213" s="518"/>
    </row>
    <row r="214" spans="1:57" ht="12.75" customHeight="1">
      <c r="A214" s="518"/>
      <c r="B214" s="518"/>
      <c r="C214" s="518"/>
      <c r="D214" s="518"/>
      <c r="E214" s="518"/>
      <c r="F214" s="518"/>
      <c r="G214" s="518"/>
      <c r="H214" s="518"/>
      <c r="I214" s="518"/>
      <c r="J214" s="518"/>
      <c r="K214" s="518"/>
      <c r="L214" s="518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  <c r="AB214" s="518"/>
      <c r="AC214" s="518"/>
      <c r="AD214" s="518"/>
      <c r="AE214" s="518"/>
      <c r="AF214" s="518"/>
      <c r="AG214" s="518"/>
      <c r="AH214" s="518"/>
      <c r="AI214" s="518"/>
      <c r="AJ214" s="518"/>
      <c r="AK214" s="518"/>
      <c r="AL214" s="518"/>
      <c r="AM214" s="518"/>
      <c r="AN214" s="518"/>
      <c r="AO214" s="518"/>
      <c r="AP214" s="518"/>
      <c r="AQ214" s="518"/>
      <c r="AR214" s="518"/>
      <c r="AS214" s="518"/>
      <c r="AT214" s="518"/>
      <c r="AU214" s="518"/>
      <c r="AV214" s="518"/>
      <c r="AW214" s="518"/>
      <c r="AX214" s="518"/>
      <c r="AY214" s="518"/>
      <c r="AZ214" s="518"/>
      <c r="BA214" s="518"/>
      <c r="BB214" s="518"/>
      <c r="BC214" s="518"/>
      <c r="BD214" s="518"/>
      <c r="BE214" s="518"/>
    </row>
    <row r="215" spans="1:57" ht="12.75" customHeight="1">
      <c r="A215" s="518"/>
      <c r="B215" s="518"/>
      <c r="C215" s="518"/>
      <c r="D215" s="518"/>
      <c r="E215" s="518"/>
      <c r="F215" s="518"/>
      <c r="G215" s="518"/>
      <c r="H215" s="518"/>
      <c r="I215" s="518"/>
      <c r="J215" s="518"/>
      <c r="K215" s="518"/>
      <c r="L215" s="518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  <c r="AB215" s="518"/>
      <c r="AC215" s="518"/>
      <c r="AD215" s="518"/>
      <c r="AE215" s="518"/>
      <c r="AF215" s="518"/>
      <c r="AG215" s="518"/>
      <c r="AH215" s="518"/>
      <c r="AI215" s="518"/>
      <c r="AJ215" s="518"/>
      <c r="AK215" s="518"/>
      <c r="AL215" s="518"/>
      <c r="AM215" s="518"/>
      <c r="AN215" s="518"/>
      <c r="AO215" s="518"/>
      <c r="AP215" s="518"/>
      <c r="AQ215" s="518"/>
      <c r="AR215" s="518"/>
      <c r="AS215" s="518"/>
      <c r="AT215" s="518"/>
      <c r="AU215" s="518"/>
      <c r="AV215" s="518"/>
      <c r="AW215" s="518"/>
      <c r="AX215" s="518"/>
      <c r="AY215" s="518"/>
      <c r="AZ215" s="518"/>
      <c r="BA215" s="518"/>
      <c r="BB215" s="518"/>
      <c r="BC215" s="518"/>
      <c r="BD215" s="518"/>
      <c r="BE215" s="518"/>
    </row>
    <row r="216" spans="1:57" ht="12.75" customHeight="1">
      <c r="A216" s="518"/>
      <c r="B216" s="518"/>
      <c r="C216" s="518"/>
      <c r="D216" s="518"/>
      <c r="E216" s="518"/>
      <c r="F216" s="518"/>
      <c r="G216" s="518"/>
      <c r="H216" s="518"/>
      <c r="I216" s="518"/>
      <c r="J216" s="518"/>
      <c r="K216" s="518"/>
      <c r="L216" s="518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  <c r="AB216" s="518"/>
      <c r="AC216" s="518"/>
      <c r="AD216" s="518"/>
      <c r="AE216" s="518"/>
      <c r="AF216" s="518"/>
      <c r="AG216" s="518"/>
      <c r="AH216" s="518"/>
      <c r="AI216" s="518"/>
      <c r="AJ216" s="518"/>
      <c r="AK216" s="518"/>
      <c r="AL216" s="518"/>
      <c r="AM216" s="518"/>
      <c r="AN216" s="518"/>
      <c r="AO216" s="518"/>
      <c r="AP216" s="518"/>
      <c r="AQ216" s="518"/>
      <c r="AR216" s="518"/>
      <c r="AS216" s="518"/>
      <c r="AT216" s="518"/>
      <c r="AU216" s="518"/>
      <c r="AV216" s="518"/>
      <c r="AW216" s="518"/>
      <c r="AX216" s="518"/>
      <c r="AY216" s="518"/>
      <c r="AZ216" s="518"/>
      <c r="BA216" s="518"/>
      <c r="BB216" s="518"/>
      <c r="BC216" s="518"/>
      <c r="BD216" s="518"/>
      <c r="BE216" s="518"/>
    </row>
    <row r="217" spans="1:57" ht="12.75" customHeight="1">
      <c r="A217" s="518"/>
      <c r="B217" s="518"/>
      <c r="C217" s="518"/>
      <c r="D217" s="518"/>
      <c r="E217" s="518"/>
      <c r="F217" s="518"/>
      <c r="G217" s="518"/>
      <c r="H217" s="518"/>
      <c r="I217" s="518"/>
      <c r="J217" s="518"/>
      <c r="K217" s="518"/>
      <c r="L217" s="518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  <c r="AB217" s="518"/>
      <c r="AC217" s="518"/>
      <c r="AD217" s="518"/>
      <c r="AE217" s="518"/>
      <c r="AF217" s="518"/>
      <c r="AG217" s="518"/>
      <c r="AH217" s="518"/>
      <c r="AI217" s="518"/>
      <c r="AJ217" s="518"/>
      <c r="AK217" s="518"/>
      <c r="AL217" s="518"/>
      <c r="AM217" s="518"/>
      <c r="AN217" s="518"/>
      <c r="AO217" s="518"/>
      <c r="AP217" s="518"/>
      <c r="AQ217" s="518"/>
      <c r="AR217" s="518"/>
      <c r="AS217" s="518"/>
      <c r="AT217" s="518"/>
      <c r="AU217" s="518"/>
      <c r="AV217" s="518"/>
      <c r="AW217" s="518"/>
      <c r="AX217" s="518"/>
      <c r="AY217" s="518"/>
      <c r="AZ217" s="518"/>
      <c r="BA217" s="518"/>
      <c r="BB217" s="518"/>
      <c r="BC217" s="518"/>
      <c r="BD217" s="518"/>
      <c r="BE217" s="518"/>
    </row>
    <row r="218" spans="1:57" ht="12.75" customHeight="1">
      <c r="A218" s="518"/>
      <c r="B218" s="518"/>
      <c r="C218" s="518"/>
      <c r="D218" s="518"/>
      <c r="E218" s="518"/>
      <c r="F218" s="518"/>
      <c r="G218" s="518"/>
      <c r="H218" s="518"/>
      <c r="I218" s="518"/>
      <c r="J218" s="518"/>
      <c r="K218" s="518"/>
      <c r="L218" s="518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  <c r="AB218" s="518"/>
      <c r="AC218" s="518"/>
      <c r="AD218" s="518"/>
      <c r="AE218" s="518"/>
      <c r="AF218" s="518"/>
      <c r="AG218" s="518"/>
      <c r="AH218" s="518"/>
      <c r="AI218" s="518"/>
      <c r="AJ218" s="518"/>
      <c r="AK218" s="518"/>
      <c r="AL218" s="518"/>
      <c r="AM218" s="518"/>
      <c r="AN218" s="518"/>
      <c r="AO218" s="518"/>
      <c r="AP218" s="518"/>
      <c r="AQ218" s="518"/>
      <c r="AR218" s="518"/>
      <c r="AS218" s="518"/>
      <c r="AT218" s="518"/>
      <c r="AU218" s="518"/>
      <c r="AV218" s="518"/>
      <c r="AW218" s="518"/>
      <c r="AX218" s="518"/>
      <c r="AY218" s="518"/>
      <c r="AZ218" s="518"/>
      <c r="BA218" s="518"/>
      <c r="BB218" s="518"/>
      <c r="BC218" s="518"/>
      <c r="BD218" s="518"/>
      <c r="BE218" s="518"/>
    </row>
    <row r="219" spans="1:57" ht="12.75" customHeight="1">
      <c r="A219" s="518"/>
      <c r="B219" s="518"/>
      <c r="C219" s="518"/>
      <c r="D219" s="518"/>
      <c r="E219" s="518"/>
      <c r="F219" s="518"/>
      <c r="G219" s="518"/>
      <c r="H219" s="518"/>
      <c r="I219" s="518"/>
      <c r="J219" s="518"/>
      <c r="K219" s="518"/>
      <c r="L219" s="518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  <c r="AB219" s="518"/>
      <c r="AC219" s="518"/>
      <c r="AD219" s="518"/>
      <c r="AE219" s="518"/>
      <c r="AF219" s="518"/>
      <c r="AG219" s="518"/>
      <c r="AH219" s="518"/>
      <c r="AI219" s="518"/>
      <c r="AJ219" s="518"/>
      <c r="AK219" s="518"/>
      <c r="AL219" s="518"/>
      <c r="AM219" s="518"/>
      <c r="AN219" s="518"/>
      <c r="AO219" s="518"/>
      <c r="AP219" s="518"/>
      <c r="AQ219" s="518"/>
      <c r="AR219" s="518"/>
      <c r="AS219" s="518"/>
      <c r="AT219" s="518"/>
      <c r="AU219" s="518"/>
      <c r="AV219" s="518"/>
      <c r="AW219" s="518"/>
      <c r="AX219" s="518"/>
      <c r="AY219" s="518"/>
      <c r="AZ219" s="518"/>
      <c r="BA219" s="518"/>
      <c r="BB219" s="518"/>
      <c r="BC219" s="518"/>
      <c r="BD219" s="518"/>
      <c r="BE219" s="518"/>
    </row>
    <row r="220" spans="1:57" ht="12.75" customHeight="1">
      <c r="A220" s="518"/>
      <c r="B220" s="518"/>
      <c r="C220" s="518"/>
      <c r="D220" s="518"/>
      <c r="E220" s="518"/>
      <c r="F220" s="518"/>
      <c r="G220" s="518"/>
      <c r="H220" s="518"/>
      <c r="I220" s="518"/>
      <c r="J220" s="518"/>
      <c r="K220" s="518"/>
      <c r="L220" s="518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  <c r="AB220" s="518"/>
      <c r="AC220" s="518"/>
      <c r="AD220" s="518"/>
      <c r="AE220" s="518"/>
      <c r="AF220" s="518"/>
      <c r="AG220" s="518"/>
      <c r="AH220" s="518"/>
      <c r="AI220" s="518"/>
      <c r="AJ220" s="518"/>
      <c r="AK220" s="518"/>
      <c r="AL220" s="518"/>
      <c r="AM220" s="518"/>
      <c r="AN220" s="518"/>
      <c r="AO220" s="518"/>
      <c r="AP220" s="518"/>
      <c r="AQ220" s="518"/>
      <c r="AR220" s="518"/>
      <c r="AS220" s="518"/>
      <c r="AT220" s="518"/>
      <c r="AU220" s="518"/>
      <c r="AV220" s="518"/>
      <c r="AW220" s="518"/>
      <c r="AX220" s="518"/>
      <c r="AY220" s="518"/>
      <c r="AZ220" s="518"/>
      <c r="BA220" s="518"/>
      <c r="BB220" s="518"/>
      <c r="BC220" s="518"/>
      <c r="BD220" s="518"/>
      <c r="BE220" s="518"/>
    </row>
    <row r="221" spans="1:57" ht="12.75" customHeight="1">
      <c r="A221" s="518"/>
      <c r="B221" s="518"/>
      <c r="C221" s="518"/>
      <c r="D221" s="518"/>
      <c r="E221" s="518"/>
      <c r="F221" s="518"/>
      <c r="G221" s="518"/>
      <c r="H221" s="518"/>
      <c r="I221" s="518"/>
      <c r="J221" s="518"/>
      <c r="K221" s="518"/>
      <c r="L221" s="518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  <c r="AB221" s="518"/>
      <c r="AC221" s="518"/>
      <c r="AD221" s="518"/>
      <c r="AE221" s="518"/>
      <c r="AF221" s="518"/>
      <c r="AG221" s="518"/>
      <c r="AH221" s="518"/>
      <c r="AI221" s="518"/>
      <c r="AJ221" s="518"/>
      <c r="AK221" s="518"/>
      <c r="AL221" s="518"/>
      <c r="AM221" s="518"/>
      <c r="AN221" s="518"/>
      <c r="AO221" s="518"/>
      <c r="AP221" s="518"/>
      <c r="AQ221" s="518"/>
      <c r="AR221" s="518"/>
      <c r="AS221" s="518"/>
      <c r="AT221" s="518"/>
      <c r="AU221" s="518"/>
      <c r="AV221" s="518"/>
      <c r="AW221" s="518"/>
      <c r="AX221" s="518"/>
      <c r="AY221" s="518"/>
      <c r="AZ221" s="518"/>
      <c r="BA221" s="518"/>
      <c r="BB221" s="518"/>
      <c r="BC221" s="518"/>
      <c r="BD221" s="518"/>
      <c r="BE221" s="518"/>
    </row>
    <row r="222" spans="1:57" ht="12.75" customHeight="1">
      <c r="A222" s="518"/>
      <c r="B222" s="518"/>
      <c r="C222" s="518"/>
      <c r="D222" s="518"/>
      <c r="E222" s="518"/>
      <c r="F222" s="518"/>
      <c r="G222" s="518"/>
      <c r="H222" s="518"/>
      <c r="I222" s="518"/>
      <c r="J222" s="518"/>
      <c r="K222" s="518"/>
      <c r="L222" s="518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  <c r="AB222" s="518"/>
      <c r="AC222" s="518"/>
      <c r="AD222" s="518"/>
      <c r="AE222" s="518"/>
      <c r="AF222" s="518"/>
      <c r="AG222" s="518"/>
      <c r="AH222" s="518"/>
      <c r="AI222" s="518"/>
      <c r="AJ222" s="518"/>
      <c r="AK222" s="518"/>
      <c r="AL222" s="518"/>
      <c r="AM222" s="518"/>
      <c r="AN222" s="518"/>
      <c r="AO222" s="518"/>
      <c r="AP222" s="518"/>
      <c r="AQ222" s="518"/>
      <c r="AR222" s="518"/>
      <c r="AS222" s="518"/>
      <c r="AT222" s="518"/>
      <c r="AU222" s="518"/>
      <c r="AV222" s="518"/>
      <c r="AW222" s="518"/>
      <c r="AX222" s="518"/>
      <c r="AY222" s="518"/>
      <c r="AZ222" s="518"/>
      <c r="BA222" s="518"/>
      <c r="BB222" s="518"/>
      <c r="BC222" s="518"/>
      <c r="BD222" s="518"/>
      <c r="BE222" s="518"/>
    </row>
    <row r="223" spans="1:57" ht="12.75" customHeight="1">
      <c r="A223" s="518"/>
      <c r="B223" s="518"/>
      <c r="C223" s="518"/>
      <c r="D223" s="518"/>
      <c r="E223" s="518"/>
      <c r="F223" s="518"/>
      <c r="G223" s="518"/>
      <c r="H223" s="518"/>
      <c r="I223" s="518"/>
      <c r="J223" s="518"/>
      <c r="K223" s="518"/>
      <c r="L223" s="518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  <c r="AB223" s="518"/>
      <c r="AC223" s="518"/>
      <c r="AD223" s="518"/>
      <c r="AE223" s="518"/>
      <c r="AF223" s="518"/>
      <c r="AG223" s="518"/>
      <c r="AH223" s="518"/>
      <c r="AI223" s="518"/>
      <c r="AJ223" s="518"/>
      <c r="AK223" s="518"/>
      <c r="AL223" s="518"/>
      <c r="AM223" s="518"/>
      <c r="AN223" s="518"/>
      <c r="AO223" s="518"/>
      <c r="AP223" s="518"/>
      <c r="AQ223" s="518"/>
      <c r="AR223" s="518"/>
      <c r="AS223" s="518"/>
      <c r="AT223" s="518"/>
      <c r="AU223" s="518"/>
      <c r="AV223" s="518"/>
      <c r="AW223" s="518"/>
      <c r="AX223" s="518"/>
      <c r="AY223" s="518"/>
      <c r="AZ223" s="518"/>
      <c r="BA223" s="518"/>
      <c r="BB223" s="518"/>
      <c r="BC223" s="518"/>
      <c r="BD223" s="518"/>
      <c r="BE223" s="518"/>
    </row>
    <row r="224" spans="1:57" ht="12.75" customHeight="1">
      <c r="A224" s="518"/>
      <c r="B224" s="518"/>
      <c r="C224" s="518"/>
      <c r="D224" s="518"/>
      <c r="E224" s="518"/>
      <c r="F224" s="518"/>
      <c r="G224" s="518"/>
      <c r="H224" s="518"/>
      <c r="I224" s="518"/>
      <c r="J224" s="518"/>
      <c r="K224" s="518"/>
      <c r="L224" s="518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  <c r="AB224" s="518"/>
      <c r="AC224" s="518"/>
      <c r="AD224" s="518"/>
      <c r="AE224" s="518"/>
      <c r="AF224" s="518"/>
      <c r="AG224" s="518"/>
      <c r="AH224" s="518"/>
      <c r="AI224" s="518"/>
      <c r="AJ224" s="518"/>
      <c r="AK224" s="518"/>
      <c r="AL224" s="518"/>
      <c r="AM224" s="518"/>
      <c r="AN224" s="518"/>
      <c r="AO224" s="518"/>
      <c r="AP224" s="518"/>
      <c r="AQ224" s="518"/>
      <c r="AR224" s="518"/>
      <c r="AS224" s="518"/>
      <c r="AT224" s="518"/>
      <c r="AU224" s="518"/>
      <c r="AV224" s="518"/>
      <c r="AW224" s="518"/>
      <c r="AX224" s="518"/>
      <c r="AY224" s="518"/>
      <c r="AZ224" s="518"/>
      <c r="BA224" s="518"/>
      <c r="BB224" s="518"/>
      <c r="BC224" s="518"/>
      <c r="BD224" s="518"/>
      <c r="BE224" s="518"/>
    </row>
    <row r="225" spans="1:57" ht="12.75" customHeight="1">
      <c r="A225" s="518"/>
      <c r="B225" s="518"/>
      <c r="C225" s="518"/>
      <c r="D225" s="518"/>
      <c r="E225" s="518"/>
      <c r="F225" s="518"/>
      <c r="G225" s="518"/>
      <c r="H225" s="518"/>
      <c r="I225" s="518"/>
      <c r="J225" s="518"/>
      <c r="K225" s="518"/>
      <c r="L225" s="518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  <c r="AB225" s="518"/>
      <c r="AC225" s="518"/>
      <c r="AD225" s="518"/>
      <c r="AE225" s="518"/>
      <c r="AF225" s="518"/>
      <c r="AG225" s="518"/>
      <c r="AH225" s="518"/>
      <c r="AI225" s="518"/>
      <c r="AJ225" s="518"/>
      <c r="AK225" s="518"/>
      <c r="AL225" s="518"/>
      <c r="AM225" s="518"/>
      <c r="AN225" s="518"/>
      <c r="AO225" s="518"/>
      <c r="AP225" s="518"/>
      <c r="AQ225" s="518"/>
      <c r="AR225" s="518"/>
      <c r="AS225" s="518"/>
      <c r="AT225" s="518"/>
      <c r="AU225" s="518"/>
      <c r="AV225" s="518"/>
      <c r="AW225" s="518"/>
      <c r="AX225" s="518"/>
      <c r="AY225" s="518"/>
      <c r="AZ225" s="518"/>
      <c r="BA225" s="518"/>
      <c r="BB225" s="518"/>
      <c r="BC225" s="518"/>
      <c r="BD225" s="518"/>
      <c r="BE225" s="518"/>
    </row>
    <row r="226" spans="1:57" ht="12.75" customHeight="1">
      <c r="A226" s="518"/>
      <c r="B226" s="518"/>
      <c r="C226" s="518"/>
      <c r="D226" s="518"/>
      <c r="E226" s="518"/>
      <c r="F226" s="518"/>
      <c r="G226" s="518"/>
      <c r="H226" s="518"/>
      <c r="I226" s="518"/>
      <c r="J226" s="518"/>
      <c r="K226" s="518"/>
      <c r="L226" s="518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  <c r="AB226" s="518"/>
      <c r="AC226" s="518"/>
      <c r="AD226" s="518"/>
      <c r="AE226" s="518"/>
      <c r="AF226" s="518"/>
      <c r="AG226" s="518"/>
      <c r="AH226" s="518"/>
      <c r="AI226" s="518"/>
      <c r="AJ226" s="518"/>
      <c r="AK226" s="518"/>
      <c r="AL226" s="518"/>
      <c r="AM226" s="518"/>
      <c r="AN226" s="518"/>
      <c r="AO226" s="518"/>
      <c r="AP226" s="518"/>
      <c r="AQ226" s="518"/>
      <c r="AR226" s="518"/>
      <c r="AS226" s="518"/>
      <c r="AT226" s="518"/>
      <c r="AU226" s="518"/>
      <c r="AV226" s="518"/>
      <c r="AW226" s="518"/>
      <c r="AX226" s="518"/>
      <c r="AY226" s="518"/>
      <c r="AZ226" s="518"/>
      <c r="BA226" s="518"/>
      <c r="BB226" s="518"/>
      <c r="BC226" s="518"/>
      <c r="BD226" s="518"/>
      <c r="BE226" s="518"/>
    </row>
    <row r="227" spans="1:57" ht="12.75" customHeight="1">
      <c r="A227" s="518"/>
      <c r="B227" s="518"/>
      <c r="C227" s="518"/>
      <c r="D227" s="518"/>
      <c r="E227" s="518"/>
      <c r="F227" s="518"/>
      <c r="G227" s="518"/>
      <c r="H227" s="518"/>
      <c r="I227" s="518"/>
      <c r="J227" s="518"/>
      <c r="K227" s="518"/>
      <c r="L227" s="518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  <c r="AB227" s="518"/>
      <c r="AC227" s="518"/>
      <c r="AD227" s="518"/>
      <c r="AE227" s="518"/>
      <c r="AF227" s="518"/>
      <c r="AG227" s="518"/>
      <c r="AH227" s="518"/>
      <c r="AI227" s="518"/>
      <c r="AJ227" s="518"/>
      <c r="AK227" s="518"/>
      <c r="AL227" s="518"/>
      <c r="AM227" s="518"/>
      <c r="AN227" s="518"/>
      <c r="AO227" s="518"/>
      <c r="AP227" s="518"/>
      <c r="AQ227" s="518"/>
      <c r="AR227" s="518"/>
      <c r="AS227" s="518"/>
      <c r="AT227" s="518"/>
      <c r="AU227" s="518"/>
      <c r="AV227" s="518"/>
      <c r="AW227" s="518"/>
      <c r="AX227" s="518"/>
      <c r="AY227" s="518"/>
      <c r="AZ227" s="518"/>
      <c r="BA227" s="518"/>
      <c r="BB227" s="518"/>
      <c r="BC227" s="518"/>
      <c r="BD227" s="518"/>
      <c r="BE227" s="518"/>
    </row>
    <row r="228" spans="1:57" ht="12.75" customHeight="1">
      <c r="A228" s="518"/>
      <c r="B228" s="518"/>
      <c r="C228" s="518"/>
      <c r="D228" s="518"/>
      <c r="E228" s="518"/>
      <c r="F228" s="518"/>
      <c r="G228" s="518"/>
      <c r="H228" s="518"/>
      <c r="I228" s="518"/>
      <c r="J228" s="518"/>
      <c r="K228" s="518"/>
      <c r="L228" s="518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  <c r="AB228" s="518"/>
      <c r="AC228" s="518"/>
      <c r="AD228" s="518"/>
      <c r="AE228" s="518"/>
      <c r="AF228" s="518"/>
      <c r="AG228" s="518"/>
      <c r="AH228" s="518"/>
      <c r="AI228" s="518"/>
      <c r="AJ228" s="518"/>
      <c r="AK228" s="518"/>
      <c r="AL228" s="518"/>
      <c r="AM228" s="518"/>
      <c r="AN228" s="518"/>
      <c r="AO228" s="518"/>
      <c r="AP228" s="518"/>
      <c r="AQ228" s="518"/>
      <c r="AR228" s="518"/>
      <c r="AS228" s="518"/>
      <c r="AT228" s="518"/>
      <c r="AU228" s="518"/>
      <c r="AV228" s="518"/>
      <c r="AW228" s="518"/>
      <c r="AX228" s="518"/>
      <c r="AY228" s="518"/>
      <c r="AZ228" s="518"/>
      <c r="BA228" s="518"/>
      <c r="BB228" s="518"/>
      <c r="BC228" s="518"/>
      <c r="BD228" s="518"/>
      <c r="BE228" s="518"/>
    </row>
    <row r="229" spans="1:57" ht="12.75" customHeight="1">
      <c r="A229" s="518"/>
      <c r="B229" s="518"/>
      <c r="C229" s="518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  <c r="AB229" s="518"/>
      <c r="AC229" s="518"/>
      <c r="AD229" s="518"/>
      <c r="AE229" s="518"/>
      <c r="AF229" s="518"/>
      <c r="AG229" s="518"/>
      <c r="AH229" s="518"/>
      <c r="AI229" s="518"/>
      <c r="AJ229" s="518"/>
      <c r="AK229" s="518"/>
      <c r="AL229" s="518"/>
      <c r="AM229" s="518"/>
      <c r="AN229" s="518"/>
      <c r="AO229" s="518"/>
      <c r="AP229" s="518"/>
      <c r="AQ229" s="518"/>
      <c r="AR229" s="518"/>
      <c r="AS229" s="518"/>
      <c r="AT229" s="518"/>
      <c r="AU229" s="518"/>
      <c r="AV229" s="518"/>
      <c r="AW229" s="518"/>
      <c r="AX229" s="518"/>
      <c r="AY229" s="518"/>
      <c r="AZ229" s="518"/>
      <c r="BA229" s="518"/>
      <c r="BB229" s="518"/>
      <c r="BC229" s="518"/>
      <c r="BD229" s="518"/>
      <c r="BE229" s="518"/>
    </row>
    <row r="230" spans="1:57" ht="12.75" customHeight="1">
      <c r="A230" s="518"/>
      <c r="B230" s="518"/>
      <c r="C230" s="518"/>
      <c r="D230" s="518"/>
      <c r="E230" s="518"/>
      <c r="F230" s="518"/>
      <c r="G230" s="518"/>
      <c r="H230" s="518"/>
      <c r="I230" s="518"/>
      <c r="J230" s="518"/>
      <c r="K230" s="518"/>
      <c r="L230" s="518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  <c r="AB230" s="518"/>
      <c r="AC230" s="518"/>
      <c r="AD230" s="518"/>
      <c r="AE230" s="518"/>
      <c r="AF230" s="518"/>
      <c r="AG230" s="518"/>
      <c r="AH230" s="518"/>
      <c r="AI230" s="518"/>
      <c r="AJ230" s="518"/>
      <c r="AK230" s="518"/>
      <c r="AL230" s="518"/>
      <c r="AM230" s="518"/>
      <c r="AN230" s="518"/>
      <c r="AO230" s="518"/>
      <c r="AP230" s="518"/>
      <c r="AQ230" s="518"/>
      <c r="AR230" s="518"/>
      <c r="AS230" s="518"/>
      <c r="AT230" s="518"/>
      <c r="AU230" s="518"/>
      <c r="AV230" s="518"/>
      <c r="AW230" s="518"/>
      <c r="AX230" s="518"/>
      <c r="AY230" s="518"/>
      <c r="AZ230" s="518"/>
      <c r="BA230" s="518"/>
      <c r="BB230" s="518"/>
      <c r="BC230" s="518"/>
      <c r="BD230" s="518"/>
      <c r="BE230" s="518"/>
    </row>
    <row r="231" spans="1:57" ht="12.75" customHeight="1">
      <c r="A231" s="518"/>
      <c r="B231" s="518"/>
      <c r="C231" s="518"/>
      <c r="D231" s="518"/>
      <c r="E231" s="518"/>
      <c r="F231" s="518"/>
      <c r="G231" s="518"/>
      <c r="H231" s="518"/>
      <c r="I231" s="518"/>
      <c r="J231" s="518"/>
      <c r="K231" s="518"/>
      <c r="L231" s="518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  <c r="AB231" s="518"/>
      <c r="AC231" s="518"/>
      <c r="AD231" s="518"/>
      <c r="AE231" s="518"/>
      <c r="AF231" s="518"/>
      <c r="AG231" s="518"/>
      <c r="AH231" s="518"/>
      <c r="AI231" s="518"/>
      <c r="AJ231" s="518"/>
      <c r="AK231" s="518"/>
      <c r="AL231" s="518"/>
      <c r="AM231" s="518"/>
      <c r="AN231" s="518"/>
      <c r="AO231" s="518"/>
      <c r="AP231" s="518"/>
      <c r="AQ231" s="518"/>
      <c r="AR231" s="518"/>
      <c r="AS231" s="518"/>
      <c r="AT231" s="518"/>
      <c r="AU231" s="518"/>
      <c r="AV231" s="518"/>
      <c r="AW231" s="518"/>
      <c r="AX231" s="518"/>
      <c r="AY231" s="518"/>
      <c r="AZ231" s="518"/>
      <c r="BA231" s="518"/>
      <c r="BB231" s="518"/>
      <c r="BC231" s="518"/>
      <c r="BD231" s="518"/>
      <c r="BE231" s="518"/>
    </row>
    <row r="232" spans="1:57" ht="12.75" customHeight="1">
      <c r="A232" s="518"/>
      <c r="B232" s="518"/>
      <c r="C232" s="518"/>
      <c r="D232" s="518"/>
      <c r="E232" s="518"/>
      <c r="F232" s="518"/>
      <c r="G232" s="518"/>
      <c r="H232" s="518"/>
      <c r="I232" s="518"/>
      <c r="J232" s="518"/>
      <c r="K232" s="518"/>
      <c r="L232" s="518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  <c r="AB232" s="518"/>
      <c r="AC232" s="518"/>
      <c r="AD232" s="518"/>
      <c r="AE232" s="518"/>
      <c r="AF232" s="518"/>
      <c r="AG232" s="518"/>
      <c r="AH232" s="518"/>
      <c r="AI232" s="518"/>
      <c r="AJ232" s="518"/>
      <c r="AK232" s="518"/>
      <c r="AL232" s="518"/>
      <c r="AM232" s="518"/>
      <c r="AN232" s="518"/>
      <c r="AO232" s="518"/>
      <c r="AP232" s="518"/>
      <c r="AQ232" s="518"/>
      <c r="AR232" s="518"/>
      <c r="AS232" s="518"/>
      <c r="AT232" s="518"/>
      <c r="AU232" s="518"/>
      <c r="AV232" s="518"/>
      <c r="AW232" s="518"/>
      <c r="AX232" s="518"/>
      <c r="AY232" s="518"/>
      <c r="AZ232" s="518"/>
      <c r="BA232" s="518"/>
      <c r="BB232" s="518"/>
      <c r="BC232" s="518"/>
      <c r="BD232" s="518"/>
      <c r="BE232" s="518"/>
    </row>
    <row r="233" spans="1:57" ht="12.75" customHeight="1">
      <c r="A233" s="518"/>
      <c r="B233" s="518"/>
      <c r="C233" s="518"/>
      <c r="D233" s="518"/>
      <c r="E233" s="518"/>
      <c r="F233" s="518"/>
      <c r="G233" s="518"/>
      <c r="H233" s="518"/>
      <c r="I233" s="518"/>
      <c r="J233" s="518"/>
      <c r="K233" s="518"/>
      <c r="L233" s="518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  <c r="AB233" s="518"/>
      <c r="AC233" s="518"/>
      <c r="AD233" s="518"/>
      <c r="AE233" s="518"/>
      <c r="AF233" s="518"/>
      <c r="AG233" s="518"/>
      <c r="AH233" s="518"/>
      <c r="AI233" s="518"/>
      <c r="AJ233" s="518"/>
      <c r="AK233" s="518"/>
      <c r="AL233" s="518"/>
      <c r="AM233" s="518"/>
      <c r="AN233" s="518"/>
      <c r="AO233" s="518"/>
      <c r="AP233" s="518"/>
      <c r="AQ233" s="518"/>
      <c r="AR233" s="518"/>
      <c r="AS233" s="518"/>
      <c r="AT233" s="518"/>
      <c r="AU233" s="518"/>
      <c r="AV233" s="518"/>
      <c r="AW233" s="518"/>
      <c r="AX233" s="518"/>
      <c r="AY233" s="518"/>
      <c r="AZ233" s="518"/>
      <c r="BA233" s="518"/>
      <c r="BB233" s="518"/>
      <c r="BC233" s="518"/>
      <c r="BD233" s="518"/>
      <c r="BE233" s="518"/>
    </row>
    <row r="234" spans="1:57" ht="12.75" customHeight="1">
      <c r="A234" s="518"/>
      <c r="B234" s="518"/>
      <c r="C234" s="518"/>
      <c r="D234" s="518"/>
      <c r="E234" s="518"/>
      <c r="F234" s="518"/>
      <c r="G234" s="518"/>
      <c r="H234" s="518"/>
      <c r="I234" s="518"/>
      <c r="J234" s="518"/>
      <c r="K234" s="518"/>
      <c r="L234" s="518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  <c r="AB234" s="518"/>
      <c r="AC234" s="518"/>
      <c r="AD234" s="518"/>
      <c r="AE234" s="518"/>
      <c r="AF234" s="518"/>
      <c r="AG234" s="518"/>
      <c r="AH234" s="518"/>
      <c r="AI234" s="518"/>
      <c r="AJ234" s="518"/>
      <c r="AK234" s="518"/>
      <c r="AL234" s="518"/>
      <c r="AM234" s="518"/>
      <c r="AN234" s="518"/>
      <c r="AO234" s="518"/>
      <c r="AP234" s="518"/>
      <c r="AQ234" s="518"/>
      <c r="AR234" s="518"/>
      <c r="AS234" s="518"/>
      <c r="AT234" s="518"/>
      <c r="AU234" s="518"/>
      <c r="AV234" s="518"/>
      <c r="AW234" s="518"/>
      <c r="AX234" s="518"/>
      <c r="AY234" s="518"/>
      <c r="AZ234" s="518"/>
      <c r="BA234" s="518"/>
      <c r="BB234" s="518"/>
      <c r="BC234" s="518"/>
      <c r="BD234" s="518"/>
      <c r="BE234" s="518"/>
    </row>
    <row r="235" spans="1:57" ht="12.75" customHeight="1">
      <c r="A235" s="518"/>
      <c r="B235" s="518"/>
      <c r="C235" s="518"/>
      <c r="D235" s="518"/>
      <c r="E235" s="518"/>
      <c r="F235" s="518"/>
      <c r="G235" s="518"/>
      <c r="H235" s="518"/>
      <c r="I235" s="518"/>
      <c r="J235" s="518"/>
      <c r="K235" s="518"/>
      <c r="L235" s="518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  <c r="AB235" s="518"/>
      <c r="AC235" s="518"/>
      <c r="AD235" s="518"/>
      <c r="AE235" s="518"/>
      <c r="AF235" s="518"/>
      <c r="AG235" s="518"/>
      <c r="AH235" s="518"/>
      <c r="AI235" s="518"/>
      <c r="AJ235" s="518"/>
      <c r="AK235" s="518"/>
      <c r="AL235" s="518"/>
      <c r="AM235" s="518"/>
      <c r="AN235" s="518"/>
      <c r="AO235" s="518"/>
      <c r="AP235" s="518"/>
      <c r="AQ235" s="518"/>
      <c r="AR235" s="518"/>
      <c r="AS235" s="518"/>
      <c r="AT235" s="518"/>
      <c r="AU235" s="518"/>
      <c r="AV235" s="518"/>
      <c r="AW235" s="518"/>
      <c r="AX235" s="518"/>
      <c r="AY235" s="518"/>
      <c r="AZ235" s="518"/>
      <c r="BA235" s="518"/>
      <c r="BB235" s="518"/>
      <c r="BC235" s="518"/>
      <c r="BD235" s="518"/>
      <c r="BE235" s="518"/>
    </row>
    <row r="236" spans="1:57" ht="12.75" customHeight="1">
      <c r="A236" s="518"/>
      <c r="B236" s="518"/>
      <c r="C236" s="518"/>
      <c r="D236" s="518"/>
      <c r="E236" s="518"/>
      <c r="F236" s="518"/>
      <c r="G236" s="518"/>
      <c r="H236" s="518"/>
      <c r="I236" s="518"/>
      <c r="J236" s="518"/>
      <c r="K236" s="518"/>
      <c r="L236" s="518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  <c r="AB236" s="518"/>
      <c r="AC236" s="518"/>
      <c r="AD236" s="518"/>
      <c r="AE236" s="518"/>
      <c r="AF236" s="518"/>
      <c r="AG236" s="518"/>
      <c r="AH236" s="518"/>
      <c r="AI236" s="518"/>
      <c r="AJ236" s="518"/>
      <c r="AK236" s="518"/>
      <c r="AL236" s="518"/>
      <c r="AM236" s="518"/>
      <c r="AN236" s="518"/>
      <c r="AO236" s="518"/>
      <c r="AP236" s="518"/>
      <c r="AQ236" s="518"/>
      <c r="AR236" s="518"/>
      <c r="AS236" s="518"/>
      <c r="AT236" s="518"/>
      <c r="AU236" s="518"/>
      <c r="AV236" s="518"/>
      <c r="AW236" s="518"/>
      <c r="AX236" s="518"/>
      <c r="AY236" s="518"/>
      <c r="AZ236" s="518"/>
      <c r="BA236" s="518"/>
      <c r="BB236" s="518"/>
      <c r="BC236" s="518"/>
      <c r="BD236" s="518"/>
      <c r="BE236" s="518"/>
    </row>
    <row r="237" spans="1:57" ht="12.75" customHeight="1">
      <c r="A237" s="518"/>
      <c r="B237" s="518"/>
      <c r="C237" s="518"/>
      <c r="D237" s="518"/>
      <c r="E237" s="518"/>
      <c r="F237" s="518"/>
      <c r="G237" s="518"/>
      <c r="H237" s="518"/>
      <c r="I237" s="518"/>
      <c r="J237" s="518"/>
      <c r="K237" s="518"/>
      <c r="L237" s="518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  <c r="AB237" s="518"/>
      <c r="AC237" s="518"/>
      <c r="AD237" s="518"/>
      <c r="AE237" s="518"/>
      <c r="AF237" s="518"/>
      <c r="AG237" s="518"/>
      <c r="AH237" s="518"/>
      <c r="AI237" s="518"/>
      <c r="AJ237" s="518"/>
      <c r="AK237" s="518"/>
      <c r="AL237" s="518"/>
      <c r="AM237" s="518"/>
      <c r="AN237" s="518"/>
      <c r="AO237" s="518"/>
      <c r="AP237" s="518"/>
      <c r="AQ237" s="518"/>
      <c r="AR237" s="518"/>
      <c r="AS237" s="518"/>
      <c r="AT237" s="518"/>
      <c r="AU237" s="518"/>
      <c r="AV237" s="518"/>
      <c r="AW237" s="518"/>
      <c r="AX237" s="518"/>
      <c r="AY237" s="518"/>
      <c r="AZ237" s="518"/>
      <c r="BA237" s="518"/>
      <c r="BB237" s="518"/>
      <c r="BC237" s="518"/>
      <c r="BD237" s="518"/>
      <c r="BE237" s="518"/>
    </row>
    <row r="238" spans="1:57" ht="12.75" customHeight="1">
      <c r="A238" s="518"/>
      <c r="B238" s="518"/>
      <c r="C238" s="518"/>
      <c r="D238" s="518"/>
      <c r="E238" s="518"/>
      <c r="F238" s="518"/>
      <c r="G238" s="518"/>
      <c r="H238" s="518"/>
      <c r="I238" s="518"/>
      <c r="J238" s="518"/>
      <c r="K238" s="518"/>
      <c r="L238" s="518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  <c r="AB238" s="518"/>
      <c r="AC238" s="518"/>
      <c r="AD238" s="518"/>
      <c r="AE238" s="518"/>
      <c r="AF238" s="518"/>
      <c r="AG238" s="518"/>
      <c r="AH238" s="518"/>
      <c r="AI238" s="518"/>
      <c r="AJ238" s="518"/>
      <c r="AK238" s="518"/>
      <c r="AL238" s="518"/>
      <c r="AM238" s="518"/>
      <c r="AN238" s="518"/>
      <c r="AO238" s="518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</row>
    <row r="239" spans="1:57" ht="12.75" customHeight="1">
      <c r="A239" s="518"/>
      <c r="B239" s="518"/>
      <c r="C239" s="518"/>
      <c r="D239" s="518"/>
      <c r="E239" s="518"/>
      <c r="F239" s="518"/>
      <c r="G239" s="518"/>
      <c r="H239" s="518"/>
      <c r="I239" s="518"/>
      <c r="J239" s="518"/>
      <c r="K239" s="518"/>
      <c r="L239" s="518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  <c r="AB239" s="518"/>
      <c r="AC239" s="518"/>
      <c r="AD239" s="518"/>
      <c r="AE239" s="518"/>
      <c r="AF239" s="518"/>
      <c r="AG239" s="518"/>
      <c r="AH239" s="518"/>
      <c r="AI239" s="518"/>
      <c r="AJ239" s="518"/>
      <c r="AK239" s="518"/>
      <c r="AL239" s="518"/>
      <c r="AM239" s="518"/>
      <c r="AN239" s="518"/>
      <c r="AO239" s="518"/>
      <c r="AP239" s="518"/>
      <c r="AQ239" s="518"/>
      <c r="AR239" s="518"/>
      <c r="AS239" s="518"/>
      <c r="AT239" s="518"/>
      <c r="AU239" s="518"/>
      <c r="AV239" s="518"/>
      <c r="AW239" s="518"/>
      <c r="AX239" s="518"/>
      <c r="AY239" s="518"/>
      <c r="AZ239" s="518"/>
      <c r="BA239" s="518"/>
      <c r="BB239" s="518"/>
      <c r="BC239" s="518"/>
      <c r="BD239" s="518"/>
      <c r="BE239" s="518"/>
    </row>
    <row r="240" spans="1:57" ht="12.75" customHeight="1">
      <c r="A240" s="518"/>
      <c r="B240" s="518"/>
      <c r="C240" s="518"/>
      <c r="D240" s="518"/>
      <c r="E240" s="518"/>
      <c r="F240" s="518"/>
      <c r="G240" s="518"/>
      <c r="H240" s="518"/>
      <c r="I240" s="518"/>
      <c r="J240" s="518"/>
      <c r="K240" s="518"/>
      <c r="L240" s="518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  <c r="AB240" s="518"/>
      <c r="AC240" s="518"/>
      <c r="AD240" s="518"/>
      <c r="AE240" s="518"/>
      <c r="AF240" s="518"/>
      <c r="AG240" s="518"/>
      <c r="AH240" s="518"/>
      <c r="AI240" s="518"/>
      <c r="AJ240" s="518"/>
      <c r="AK240" s="518"/>
      <c r="AL240" s="518"/>
      <c r="AM240" s="518"/>
      <c r="AN240" s="518"/>
      <c r="AO240" s="518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</row>
    <row r="241" spans="1:57" ht="12.75" customHeight="1">
      <c r="A241" s="518"/>
      <c r="B241" s="518"/>
      <c r="C241" s="518"/>
      <c r="D241" s="518"/>
      <c r="E241" s="518"/>
      <c r="F241" s="518"/>
      <c r="G241" s="518"/>
      <c r="H241" s="518"/>
      <c r="I241" s="518"/>
      <c r="J241" s="518"/>
      <c r="K241" s="518"/>
      <c r="L241" s="518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  <c r="AB241" s="518"/>
      <c r="AC241" s="518"/>
      <c r="AD241" s="518"/>
      <c r="AE241" s="518"/>
      <c r="AF241" s="518"/>
      <c r="AG241" s="518"/>
      <c r="AH241" s="518"/>
      <c r="AI241" s="518"/>
      <c r="AJ241" s="518"/>
      <c r="AK241" s="518"/>
      <c r="AL241" s="518"/>
      <c r="AM241" s="518"/>
      <c r="AN241" s="518"/>
      <c r="AO241" s="518"/>
      <c r="AP241" s="518"/>
      <c r="AQ241" s="518"/>
      <c r="AR241" s="518"/>
      <c r="AS241" s="518"/>
      <c r="AT241" s="518"/>
      <c r="AU241" s="518"/>
      <c r="AV241" s="518"/>
      <c r="AW241" s="518"/>
      <c r="AX241" s="518"/>
      <c r="AY241" s="518"/>
      <c r="AZ241" s="518"/>
      <c r="BA241" s="518"/>
      <c r="BB241" s="518"/>
      <c r="BC241" s="518"/>
      <c r="BD241" s="518"/>
      <c r="BE241" s="518"/>
    </row>
    <row r="242" spans="1:57" ht="12.75" customHeight="1">
      <c r="A242" s="518"/>
      <c r="B242" s="518"/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  <c r="AB242" s="518"/>
      <c r="AC242" s="518"/>
      <c r="AD242" s="518"/>
      <c r="AE242" s="518"/>
      <c r="AF242" s="518"/>
      <c r="AG242" s="518"/>
      <c r="AH242" s="518"/>
      <c r="AI242" s="518"/>
      <c r="AJ242" s="518"/>
      <c r="AK242" s="518"/>
      <c r="AL242" s="518"/>
      <c r="AM242" s="518"/>
      <c r="AN242" s="518"/>
      <c r="AO242" s="518"/>
      <c r="AP242" s="518"/>
      <c r="AQ242" s="518"/>
      <c r="AR242" s="518"/>
      <c r="AS242" s="518"/>
      <c r="AT242" s="518"/>
      <c r="AU242" s="518"/>
      <c r="AV242" s="518"/>
      <c r="AW242" s="518"/>
      <c r="AX242" s="518"/>
      <c r="AY242" s="518"/>
      <c r="AZ242" s="518"/>
      <c r="BA242" s="518"/>
      <c r="BB242" s="518"/>
      <c r="BC242" s="518"/>
      <c r="BD242" s="518"/>
      <c r="BE242" s="518"/>
    </row>
    <row r="243" spans="1:57" ht="12.75" customHeight="1">
      <c r="A243" s="518"/>
      <c r="B243" s="518"/>
      <c r="C243" s="518"/>
      <c r="D243" s="518"/>
      <c r="E243" s="518"/>
      <c r="F243" s="518"/>
      <c r="G243" s="518"/>
      <c r="H243" s="518"/>
      <c r="I243" s="518"/>
      <c r="J243" s="518"/>
      <c r="K243" s="518"/>
      <c r="L243" s="518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  <c r="AB243" s="518"/>
      <c r="AC243" s="518"/>
      <c r="AD243" s="518"/>
      <c r="AE243" s="518"/>
      <c r="AF243" s="518"/>
      <c r="AG243" s="518"/>
      <c r="AH243" s="518"/>
      <c r="AI243" s="518"/>
      <c r="AJ243" s="518"/>
      <c r="AK243" s="518"/>
      <c r="AL243" s="518"/>
      <c r="AM243" s="518"/>
      <c r="AN243" s="518"/>
      <c r="AO243" s="518"/>
      <c r="AP243" s="518"/>
      <c r="AQ243" s="518"/>
      <c r="AR243" s="518"/>
      <c r="AS243" s="518"/>
      <c r="AT243" s="518"/>
      <c r="AU243" s="518"/>
      <c r="AV243" s="518"/>
      <c r="AW243" s="518"/>
      <c r="AX243" s="518"/>
      <c r="AY243" s="518"/>
      <c r="AZ243" s="518"/>
      <c r="BA243" s="518"/>
      <c r="BB243" s="518"/>
      <c r="BC243" s="518"/>
      <c r="BD243" s="518"/>
      <c r="BE243" s="518"/>
    </row>
    <row r="244" spans="1:57" ht="12.75" customHeight="1">
      <c r="A244" s="518"/>
      <c r="B244" s="518"/>
      <c r="C244" s="518"/>
      <c r="D244" s="518"/>
      <c r="E244" s="518"/>
      <c r="F244" s="518"/>
      <c r="G244" s="518"/>
      <c r="H244" s="518"/>
      <c r="I244" s="518"/>
      <c r="J244" s="518"/>
      <c r="K244" s="518"/>
      <c r="L244" s="518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  <c r="AB244" s="518"/>
      <c r="AC244" s="518"/>
      <c r="AD244" s="518"/>
      <c r="AE244" s="518"/>
      <c r="AF244" s="518"/>
      <c r="AG244" s="518"/>
      <c r="AH244" s="518"/>
      <c r="AI244" s="518"/>
      <c r="AJ244" s="518"/>
      <c r="AK244" s="518"/>
      <c r="AL244" s="518"/>
      <c r="AM244" s="518"/>
      <c r="AN244" s="518"/>
      <c r="AO244" s="518"/>
      <c r="AP244" s="518"/>
      <c r="AQ244" s="518"/>
      <c r="AR244" s="518"/>
      <c r="AS244" s="518"/>
      <c r="AT244" s="518"/>
      <c r="AU244" s="518"/>
      <c r="AV244" s="518"/>
      <c r="AW244" s="518"/>
      <c r="AX244" s="518"/>
      <c r="AY244" s="518"/>
      <c r="AZ244" s="518"/>
      <c r="BA244" s="518"/>
      <c r="BB244" s="518"/>
      <c r="BC244" s="518"/>
      <c r="BD244" s="518"/>
      <c r="BE244" s="518"/>
    </row>
    <row r="245" spans="1:57" ht="12.75" customHeight="1">
      <c r="A245" s="518"/>
      <c r="B245" s="518"/>
      <c r="C245" s="518"/>
      <c r="D245" s="518"/>
      <c r="E245" s="518"/>
      <c r="F245" s="518"/>
      <c r="G245" s="518"/>
      <c r="H245" s="518"/>
      <c r="I245" s="518"/>
      <c r="J245" s="518"/>
      <c r="K245" s="518"/>
      <c r="L245" s="518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  <c r="AB245" s="518"/>
      <c r="AC245" s="518"/>
      <c r="AD245" s="518"/>
      <c r="AE245" s="518"/>
      <c r="AF245" s="518"/>
      <c r="AG245" s="518"/>
      <c r="AH245" s="518"/>
      <c r="AI245" s="518"/>
      <c r="AJ245" s="518"/>
      <c r="AK245" s="518"/>
      <c r="AL245" s="518"/>
      <c r="AM245" s="518"/>
      <c r="AN245" s="518"/>
      <c r="AO245" s="518"/>
      <c r="AP245" s="518"/>
      <c r="AQ245" s="518"/>
      <c r="AR245" s="518"/>
      <c r="AS245" s="518"/>
      <c r="AT245" s="518"/>
      <c r="AU245" s="518"/>
      <c r="AV245" s="518"/>
      <c r="AW245" s="518"/>
      <c r="AX245" s="518"/>
      <c r="AY245" s="518"/>
      <c r="AZ245" s="518"/>
      <c r="BA245" s="518"/>
      <c r="BB245" s="518"/>
      <c r="BC245" s="518"/>
      <c r="BD245" s="518"/>
      <c r="BE245" s="518"/>
    </row>
    <row r="246" spans="1:57" ht="12.75" customHeight="1">
      <c r="A246" s="518"/>
      <c r="B246" s="518"/>
      <c r="C246" s="518"/>
      <c r="D246" s="518"/>
      <c r="E246" s="518"/>
      <c r="F246" s="518"/>
      <c r="G246" s="518"/>
      <c r="H246" s="518"/>
      <c r="I246" s="518"/>
      <c r="J246" s="518"/>
      <c r="K246" s="518"/>
      <c r="L246" s="518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  <c r="AB246" s="518"/>
      <c r="AC246" s="518"/>
      <c r="AD246" s="518"/>
      <c r="AE246" s="518"/>
      <c r="AF246" s="518"/>
      <c r="AG246" s="518"/>
      <c r="AH246" s="518"/>
      <c r="AI246" s="518"/>
      <c r="AJ246" s="518"/>
      <c r="AK246" s="518"/>
      <c r="AL246" s="518"/>
      <c r="AM246" s="518"/>
      <c r="AN246" s="518"/>
      <c r="AO246" s="518"/>
      <c r="AP246" s="518"/>
      <c r="AQ246" s="518"/>
      <c r="AR246" s="518"/>
      <c r="AS246" s="518"/>
      <c r="AT246" s="518"/>
      <c r="AU246" s="518"/>
      <c r="AV246" s="518"/>
      <c r="AW246" s="518"/>
      <c r="AX246" s="518"/>
      <c r="AY246" s="518"/>
      <c r="AZ246" s="518"/>
      <c r="BA246" s="518"/>
      <c r="BB246" s="518"/>
      <c r="BC246" s="518"/>
      <c r="BD246" s="518"/>
      <c r="BE246" s="518"/>
    </row>
    <row r="247" spans="1:57" ht="12.75" customHeight="1">
      <c r="A247" s="518"/>
      <c r="B247" s="518"/>
      <c r="C247" s="518"/>
      <c r="D247" s="518"/>
      <c r="E247" s="518"/>
      <c r="F247" s="518"/>
      <c r="G247" s="518"/>
      <c r="H247" s="518"/>
      <c r="I247" s="518"/>
      <c r="J247" s="518"/>
      <c r="K247" s="518"/>
      <c r="L247" s="518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  <c r="AB247" s="518"/>
      <c r="AC247" s="518"/>
      <c r="AD247" s="518"/>
      <c r="AE247" s="518"/>
      <c r="AF247" s="518"/>
      <c r="AG247" s="518"/>
      <c r="AH247" s="518"/>
      <c r="AI247" s="518"/>
      <c r="AJ247" s="518"/>
      <c r="AK247" s="518"/>
      <c r="AL247" s="518"/>
      <c r="AM247" s="518"/>
      <c r="AN247" s="518"/>
      <c r="AO247" s="518"/>
      <c r="AP247" s="518"/>
      <c r="AQ247" s="518"/>
      <c r="AR247" s="518"/>
      <c r="AS247" s="518"/>
      <c r="AT247" s="518"/>
      <c r="AU247" s="518"/>
      <c r="AV247" s="518"/>
      <c r="AW247" s="518"/>
      <c r="AX247" s="518"/>
      <c r="AY247" s="518"/>
      <c r="AZ247" s="518"/>
      <c r="BA247" s="518"/>
      <c r="BB247" s="518"/>
      <c r="BC247" s="518"/>
      <c r="BD247" s="518"/>
      <c r="BE247" s="518"/>
    </row>
    <row r="248" spans="1:57" ht="12.75" customHeight="1">
      <c r="A248" s="518"/>
      <c r="B248" s="518"/>
      <c r="C248" s="518"/>
      <c r="D248" s="518"/>
      <c r="E248" s="518"/>
      <c r="F248" s="518"/>
      <c r="G248" s="518"/>
      <c r="H248" s="518"/>
      <c r="I248" s="518"/>
      <c r="J248" s="518"/>
      <c r="K248" s="518"/>
      <c r="L248" s="518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  <c r="AB248" s="518"/>
      <c r="AC248" s="518"/>
      <c r="AD248" s="518"/>
      <c r="AE248" s="518"/>
      <c r="AF248" s="518"/>
      <c r="AG248" s="518"/>
      <c r="AH248" s="518"/>
      <c r="AI248" s="518"/>
      <c r="AJ248" s="518"/>
      <c r="AK248" s="518"/>
      <c r="AL248" s="518"/>
      <c r="AM248" s="518"/>
      <c r="AN248" s="518"/>
      <c r="AO248" s="518"/>
      <c r="AP248" s="518"/>
      <c r="AQ248" s="518"/>
      <c r="AR248" s="518"/>
      <c r="AS248" s="518"/>
      <c r="AT248" s="518"/>
      <c r="AU248" s="518"/>
      <c r="AV248" s="518"/>
      <c r="AW248" s="518"/>
      <c r="AX248" s="518"/>
      <c r="AY248" s="518"/>
      <c r="AZ248" s="518"/>
      <c r="BA248" s="518"/>
      <c r="BB248" s="518"/>
      <c r="BC248" s="518"/>
      <c r="BD248" s="518"/>
      <c r="BE248" s="518"/>
    </row>
    <row r="249" spans="1:57" ht="12.75" customHeight="1">
      <c r="A249" s="518"/>
      <c r="B249" s="518"/>
      <c r="C249" s="518"/>
      <c r="D249" s="518"/>
      <c r="E249" s="518"/>
      <c r="F249" s="518"/>
      <c r="G249" s="518"/>
      <c r="H249" s="518"/>
      <c r="I249" s="518"/>
      <c r="J249" s="518"/>
      <c r="K249" s="518"/>
      <c r="L249" s="518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  <c r="AB249" s="518"/>
      <c r="AC249" s="518"/>
      <c r="AD249" s="518"/>
      <c r="AE249" s="518"/>
      <c r="AF249" s="518"/>
      <c r="AG249" s="518"/>
      <c r="AH249" s="518"/>
      <c r="AI249" s="518"/>
      <c r="AJ249" s="518"/>
      <c r="AK249" s="518"/>
      <c r="AL249" s="518"/>
      <c r="AM249" s="518"/>
      <c r="AN249" s="518"/>
      <c r="AO249" s="518"/>
      <c r="AP249" s="518"/>
      <c r="AQ249" s="518"/>
      <c r="AR249" s="518"/>
      <c r="AS249" s="518"/>
      <c r="AT249" s="518"/>
      <c r="AU249" s="518"/>
      <c r="AV249" s="518"/>
      <c r="AW249" s="518"/>
      <c r="AX249" s="518"/>
      <c r="AY249" s="518"/>
      <c r="AZ249" s="518"/>
      <c r="BA249" s="518"/>
      <c r="BB249" s="518"/>
      <c r="BC249" s="518"/>
      <c r="BD249" s="518"/>
      <c r="BE249" s="518"/>
    </row>
    <row r="250" spans="1:57" ht="12.75" customHeight="1">
      <c r="A250" s="518"/>
      <c r="B250" s="518"/>
      <c r="C250" s="518"/>
      <c r="D250" s="518"/>
      <c r="E250" s="518"/>
      <c r="F250" s="518"/>
      <c r="G250" s="518"/>
      <c r="H250" s="518"/>
      <c r="I250" s="518"/>
      <c r="J250" s="518"/>
      <c r="K250" s="518"/>
      <c r="L250" s="518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  <c r="AB250" s="518"/>
      <c r="AC250" s="518"/>
      <c r="AD250" s="518"/>
      <c r="AE250" s="518"/>
      <c r="AF250" s="518"/>
      <c r="AG250" s="518"/>
      <c r="AH250" s="518"/>
      <c r="AI250" s="518"/>
      <c r="AJ250" s="518"/>
      <c r="AK250" s="518"/>
      <c r="AL250" s="518"/>
      <c r="AM250" s="518"/>
      <c r="AN250" s="518"/>
      <c r="AO250" s="518"/>
      <c r="AP250" s="518"/>
      <c r="AQ250" s="518"/>
      <c r="AR250" s="518"/>
      <c r="AS250" s="518"/>
      <c r="AT250" s="518"/>
      <c r="AU250" s="518"/>
      <c r="AV250" s="518"/>
      <c r="AW250" s="518"/>
      <c r="AX250" s="518"/>
      <c r="AY250" s="518"/>
      <c r="AZ250" s="518"/>
      <c r="BA250" s="518"/>
      <c r="BB250" s="518"/>
      <c r="BC250" s="518"/>
      <c r="BD250" s="518"/>
      <c r="BE250" s="518"/>
    </row>
    <row r="251" spans="1:57" ht="12.75" customHeight="1">
      <c r="A251" s="518"/>
      <c r="B251" s="518"/>
      <c r="C251" s="518"/>
      <c r="D251" s="518"/>
      <c r="E251" s="518"/>
      <c r="F251" s="518"/>
      <c r="G251" s="518"/>
      <c r="H251" s="518"/>
      <c r="I251" s="518"/>
      <c r="J251" s="518"/>
      <c r="K251" s="518"/>
      <c r="L251" s="518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  <c r="AB251" s="518"/>
      <c r="AC251" s="518"/>
      <c r="AD251" s="518"/>
      <c r="AE251" s="518"/>
      <c r="AF251" s="518"/>
      <c r="AG251" s="518"/>
      <c r="AH251" s="518"/>
      <c r="AI251" s="518"/>
      <c r="AJ251" s="518"/>
      <c r="AK251" s="518"/>
      <c r="AL251" s="518"/>
      <c r="AM251" s="518"/>
      <c r="AN251" s="518"/>
      <c r="AO251" s="518"/>
      <c r="AP251" s="518"/>
      <c r="AQ251" s="518"/>
      <c r="AR251" s="518"/>
      <c r="AS251" s="518"/>
      <c r="AT251" s="518"/>
      <c r="AU251" s="518"/>
      <c r="AV251" s="518"/>
      <c r="AW251" s="518"/>
      <c r="AX251" s="518"/>
      <c r="AY251" s="518"/>
      <c r="AZ251" s="518"/>
      <c r="BA251" s="518"/>
      <c r="BB251" s="518"/>
      <c r="BC251" s="518"/>
      <c r="BD251" s="518"/>
      <c r="BE251" s="518"/>
    </row>
    <row r="252" spans="1:57" ht="12.75" customHeight="1">
      <c r="A252" s="518"/>
      <c r="B252" s="518"/>
      <c r="C252" s="518"/>
      <c r="D252" s="518"/>
      <c r="E252" s="518"/>
      <c r="F252" s="518"/>
      <c r="G252" s="518"/>
      <c r="H252" s="518"/>
      <c r="I252" s="518"/>
      <c r="J252" s="518"/>
      <c r="K252" s="518"/>
      <c r="L252" s="518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  <c r="AB252" s="518"/>
      <c r="AC252" s="518"/>
      <c r="AD252" s="518"/>
      <c r="AE252" s="518"/>
      <c r="AF252" s="518"/>
      <c r="AG252" s="518"/>
      <c r="AH252" s="518"/>
      <c r="AI252" s="518"/>
      <c r="AJ252" s="518"/>
      <c r="AK252" s="518"/>
      <c r="AL252" s="518"/>
      <c r="AM252" s="518"/>
      <c r="AN252" s="518"/>
      <c r="AO252" s="518"/>
      <c r="AP252" s="518"/>
      <c r="AQ252" s="518"/>
      <c r="AR252" s="518"/>
      <c r="AS252" s="518"/>
      <c r="AT252" s="518"/>
      <c r="AU252" s="518"/>
      <c r="AV252" s="518"/>
      <c r="AW252" s="518"/>
      <c r="AX252" s="518"/>
      <c r="AY252" s="518"/>
      <c r="AZ252" s="518"/>
      <c r="BA252" s="518"/>
      <c r="BB252" s="518"/>
      <c r="BC252" s="518"/>
      <c r="BD252" s="518"/>
      <c r="BE252" s="518"/>
    </row>
    <row r="253" spans="1:57" ht="12.75" customHeight="1">
      <c r="A253" s="518"/>
      <c r="B253" s="518"/>
      <c r="C253" s="518"/>
      <c r="D253" s="518"/>
      <c r="E253" s="518"/>
      <c r="F253" s="518"/>
      <c r="G253" s="518"/>
      <c r="H253" s="518"/>
      <c r="I253" s="518"/>
      <c r="J253" s="518"/>
      <c r="K253" s="518"/>
      <c r="L253" s="518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  <c r="AB253" s="518"/>
      <c r="AC253" s="518"/>
      <c r="AD253" s="518"/>
      <c r="AE253" s="518"/>
      <c r="AF253" s="518"/>
      <c r="AG253" s="518"/>
      <c r="AH253" s="518"/>
      <c r="AI253" s="518"/>
      <c r="AJ253" s="518"/>
      <c r="AK253" s="518"/>
      <c r="AL253" s="518"/>
      <c r="AM253" s="518"/>
      <c r="AN253" s="518"/>
      <c r="AO253" s="518"/>
      <c r="AP253" s="518"/>
      <c r="AQ253" s="518"/>
      <c r="AR253" s="518"/>
      <c r="AS253" s="518"/>
      <c r="AT253" s="518"/>
      <c r="AU253" s="518"/>
      <c r="AV253" s="518"/>
      <c r="AW253" s="518"/>
      <c r="AX253" s="518"/>
      <c r="AY253" s="518"/>
      <c r="AZ253" s="518"/>
      <c r="BA253" s="518"/>
      <c r="BB253" s="518"/>
      <c r="BC253" s="518"/>
      <c r="BD253" s="518"/>
      <c r="BE253" s="518"/>
    </row>
    <row r="254" spans="1:57" ht="12.75" customHeight="1">
      <c r="A254" s="518"/>
      <c r="B254" s="518"/>
      <c r="C254" s="518"/>
      <c r="D254" s="518"/>
      <c r="E254" s="518"/>
      <c r="F254" s="518"/>
      <c r="G254" s="518"/>
      <c r="H254" s="518"/>
      <c r="I254" s="518"/>
      <c r="J254" s="518"/>
      <c r="K254" s="518"/>
      <c r="L254" s="518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  <c r="AB254" s="518"/>
      <c r="AC254" s="518"/>
      <c r="AD254" s="518"/>
      <c r="AE254" s="518"/>
      <c r="AF254" s="518"/>
      <c r="AG254" s="518"/>
      <c r="AH254" s="518"/>
      <c r="AI254" s="518"/>
      <c r="AJ254" s="518"/>
      <c r="AK254" s="518"/>
      <c r="AL254" s="518"/>
      <c r="AM254" s="518"/>
      <c r="AN254" s="518"/>
      <c r="AO254" s="518"/>
      <c r="AP254" s="518"/>
      <c r="AQ254" s="518"/>
      <c r="AR254" s="518"/>
      <c r="AS254" s="518"/>
      <c r="AT254" s="518"/>
      <c r="AU254" s="518"/>
      <c r="AV254" s="518"/>
      <c r="AW254" s="518"/>
      <c r="AX254" s="518"/>
      <c r="AY254" s="518"/>
      <c r="AZ254" s="518"/>
      <c r="BA254" s="518"/>
      <c r="BB254" s="518"/>
      <c r="BC254" s="518"/>
      <c r="BD254" s="518"/>
      <c r="BE254" s="518"/>
    </row>
    <row r="255" spans="1:57" ht="12.75" customHeight="1">
      <c r="A255" s="518"/>
      <c r="B255" s="518"/>
      <c r="C255" s="518"/>
      <c r="D255" s="518"/>
      <c r="E255" s="518"/>
      <c r="F255" s="518"/>
      <c r="G255" s="518"/>
      <c r="H255" s="518"/>
      <c r="I255" s="518"/>
      <c r="J255" s="518"/>
      <c r="K255" s="518"/>
      <c r="L255" s="518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  <c r="AB255" s="518"/>
      <c r="AC255" s="518"/>
      <c r="AD255" s="518"/>
      <c r="AE255" s="518"/>
      <c r="AF255" s="518"/>
      <c r="AG255" s="518"/>
      <c r="AH255" s="518"/>
      <c r="AI255" s="518"/>
      <c r="AJ255" s="518"/>
      <c r="AK255" s="518"/>
      <c r="AL255" s="518"/>
      <c r="AM255" s="518"/>
      <c r="AN255" s="518"/>
      <c r="AO255" s="518"/>
      <c r="AP255" s="518"/>
      <c r="AQ255" s="518"/>
      <c r="AR255" s="518"/>
      <c r="AS255" s="518"/>
      <c r="AT255" s="518"/>
      <c r="AU255" s="518"/>
      <c r="AV255" s="518"/>
      <c r="AW255" s="518"/>
      <c r="AX255" s="518"/>
      <c r="AY255" s="518"/>
      <c r="AZ255" s="518"/>
      <c r="BA255" s="518"/>
      <c r="BB255" s="518"/>
      <c r="BC255" s="518"/>
      <c r="BD255" s="518"/>
      <c r="BE255" s="518"/>
    </row>
    <row r="256" spans="1:57" ht="12.75" customHeight="1">
      <c r="A256" s="518"/>
      <c r="B256" s="518"/>
      <c r="C256" s="518"/>
      <c r="D256" s="518"/>
      <c r="E256" s="518"/>
      <c r="F256" s="518"/>
      <c r="G256" s="518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  <c r="AB256" s="518"/>
      <c r="AC256" s="518"/>
      <c r="AD256" s="518"/>
      <c r="AE256" s="518"/>
      <c r="AF256" s="518"/>
      <c r="AG256" s="518"/>
      <c r="AH256" s="518"/>
      <c r="AI256" s="518"/>
      <c r="AJ256" s="518"/>
      <c r="AK256" s="518"/>
      <c r="AL256" s="518"/>
      <c r="AM256" s="518"/>
      <c r="AN256" s="518"/>
      <c r="AO256" s="518"/>
      <c r="AP256" s="518"/>
      <c r="AQ256" s="518"/>
      <c r="AR256" s="518"/>
      <c r="AS256" s="518"/>
      <c r="AT256" s="518"/>
      <c r="AU256" s="518"/>
      <c r="AV256" s="518"/>
      <c r="AW256" s="518"/>
      <c r="AX256" s="518"/>
      <c r="AY256" s="518"/>
      <c r="AZ256" s="518"/>
      <c r="BA256" s="518"/>
      <c r="BB256" s="518"/>
      <c r="BC256" s="518"/>
      <c r="BD256" s="518"/>
      <c r="BE256" s="518"/>
    </row>
    <row r="257" spans="1:57" ht="12.75" customHeight="1">
      <c r="A257" s="518"/>
      <c r="B257" s="518"/>
      <c r="C257" s="518"/>
      <c r="D257" s="518"/>
      <c r="E257" s="518"/>
      <c r="F257" s="518"/>
      <c r="G257" s="518"/>
      <c r="H257" s="518"/>
      <c r="I257" s="518"/>
      <c r="J257" s="518"/>
      <c r="K257" s="518"/>
      <c r="L257" s="518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  <c r="AB257" s="518"/>
      <c r="AC257" s="518"/>
      <c r="AD257" s="518"/>
      <c r="AE257" s="518"/>
      <c r="AF257" s="518"/>
      <c r="AG257" s="518"/>
      <c r="AH257" s="518"/>
      <c r="AI257" s="518"/>
      <c r="AJ257" s="518"/>
      <c r="AK257" s="518"/>
      <c r="AL257" s="518"/>
      <c r="AM257" s="518"/>
      <c r="AN257" s="518"/>
      <c r="AO257" s="518"/>
      <c r="AP257" s="518"/>
      <c r="AQ257" s="518"/>
      <c r="AR257" s="518"/>
      <c r="AS257" s="518"/>
      <c r="AT257" s="518"/>
      <c r="AU257" s="518"/>
      <c r="AV257" s="518"/>
      <c r="AW257" s="518"/>
      <c r="AX257" s="518"/>
      <c r="AY257" s="518"/>
      <c r="AZ257" s="518"/>
      <c r="BA257" s="518"/>
      <c r="BB257" s="518"/>
      <c r="BC257" s="518"/>
      <c r="BD257" s="518"/>
      <c r="BE257" s="518"/>
    </row>
    <row r="258" spans="1:57" ht="12.75" customHeight="1">
      <c r="A258" s="518"/>
      <c r="B258" s="518"/>
      <c r="C258" s="518"/>
      <c r="D258" s="518"/>
      <c r="E258" s="518"/>
      <c r="F258" s="518"/>
      <c r="G258" s="518"/>
      <c r="H258" s="518"/>
      <c r="I258" s="518"/>
      <c r="J258" s="518"/>
      <c r="K258" s="518"/>
      <c r="L258" s="518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  <c r="AB258" s="518"/>
      <c r="AC258" s="518"/>
      <c r="AD258" s="518"/>
      <c r="AE258" s="518"/>
      <c r="AF258" s="518"/>
      <c r="AG258" s="518"/>
      <c r="AH258" s="518"/>
      <c r="AI258" s="518"/>
      <c r="AJ258" s="518"/>
      <c r="AK258" s="518"/>
      <c r="AL258" s="518"/>
      <c r="AM258" s="518"/>
      <c r="AN258" s="518"/>
      <c r="AO258" s="518"/>
      <c r="AP258" s="518"/>
      <c r="AQ258" s="518"/>
      <c r="AR258" s="518"/>
      <c r="AS258" s="518"/>
      <c r="AT258" s="518"/>
      <c r="AU258" s="518"/>
      <c r="AV258" s="518"/>
      <c r="AW258" s="518"/>
      <c r="AX258" s="518"/>
      <c r="AY258" s="518"/>
      <c r="AZ258" s="518"/>
      <c r="BA258" s="518"/>
      <c r="BB258" s="518"/>
      <c r="BC258" s="518"/>
      <c r="BD258" s="518"/>
      <c r="BE258" s="518"/>
    </row>
    <row r="259" spans="1:57" ht="12.75" customHeight="1">
      <c r="A259" s="518"/>
      <c r="B259" s="518"/>
      <c r="C259" s="518"/>
      <c r="D259" s="518"/>
      <c r="E259" s="518"/>
      <c r="F259" s="518"/>
      <c r="G259" s="518"/>
      <c r="H259" s="518"/>
      <c r="I259" s="518"/>
      <c r="J259" s="518"/>
      <c r="K259" s="518"/>
      <c r="L259" s="518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  <c r="AB259" s="518"/>
      <c r="AC259" s="518"/>
      <c r="AD259" s="518"/>
      <c r="AE259" s="518"/>
      <c r="AF259" s="518"/>
      <c r="AG259" s="518"/>
      <c r="AH259" s="518"/>
      <c r="AI259" s="518"/>
      <c r="AJ259" s="518"/>
      <c r="AK259" s="518"/>
      <c r="AL259" s="518"/>
      <c r="AM259" s="518"/>
      <c r="AN259" s="518"/>
      <c r="AO259" s="518"/>
      <c r="AP259" s="518"/>
      <c r="AQ259" s="518"/>
      <c r="AR259" s="518"/>
      <c r="AS259" s="518"/>
      <c r="AT259" s="518"/>
      <c r="AU259" s="518"/>
      <c r="AV259" s="518"/>
      <c r="AW259" s="518"/>
      <c r="AX259" s="518"/>
      <c r="AY259" s="518"/>
      <c r="AZ259" s="518"/>
      <c r="BA259" s="518"/>
      <c r="BB259" s="518"/>
      <c r="BC259" s="518"/>
      <c r="BD259" s="518"/>
      <c r="BE259" s="518"/>
    </row>
    <row r="260" spans="1:57" ht="12.75" customHeight="1">
      <c r="A260" s="518"/>
      <c r="B260" s="518"/>
      <c r="C260" s="518"/>
      <c r="D260" s="518"/>
      <c r="E260" s="518"/>
      <c r="F260" s="518"/>
      <c r="G260" s="518"/>
      <c r="H260" s="518"/>
      <c r="I260" s="518"/>
      <c r="J260" s="518"/>
      <c r="K260" s="518"/>
      <c r="L260" s="518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  <c r="AB260" s="518"/>
      <c r="AC260" s="518"/>
      <c r="AD260" s="518"/>
      <c r="AE260" s="518"/>
      <c r="AF260" s="518"/>
      <c r="AG260" s="518"/>
      <c r="AH260" s="518"/>
      <c r="AI260" s="518"/>
      <c r="AJ260" s="518"/>
      <c r="AK260" s="518"/>
      <c r="AL260" s="518"/>
      <c r="AM260" s="518"/>
      <c r="AN260" s="518"/>
      <c r="AO260" s="518"/>
      <c r="AP260" s="518"/>
      <c r="AQ260" s="518"/>
      <c r="AR260" s="518"/>
      <c r="AS260" s="518"/>
      <c r="AT260" s="518"/>
      <c r="AU260" s="518"/>
      <c r="AV260" s="518"/>
      <c r="AW260" s="518"/>
      <c r="AX260" s="518"/>
      <c r="AY260" s="518"/>
      <c r="AZ260" s="518"/>
      <c r="BA260" s="518"/>
      <c r="BB260" s="518"/>
      <c r="BC260" s="518"/>
      <c r="BD260" s="518"/>
      <c r="BE260" s="518"/>
    </row>
    <row r="261" spans="1:57" ht="12.75" customHeight="1">
      <c r="A261" s="518"/>
      <c r="B261" s="518"/>
      <c r="C261" s="518"/>
      <c r="D261" s="518"/>
      <c r="E261" s="518"/>
      <c r="F261" s="518"/>
      <c r="G261" s="518"/>
      <c r="H261" s="518"/>
      <c r="I261" s="518"/>
      <c r="J261" s="518"/>
      <c r="K261" s="518"/>
      <c r="L261" s="518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  <c r="AB261" s="518"/>
      <c r="AC261" s="518"/>
      <c r="AD261" s="518"/>
      <c r="AE261" s="518"/>
      <c r="AF261" s="518"/>
      <c r="AG261" s="518"/>
      <c r="AH261" s="518"/>
      <c r="AI261" s="518"/>
      <c r="AJ261" s="518"/>
      <c r="AK261" s="518"/>
      <c r="AL261" s="518"/>
      <c r="AM261" s="518"/>
      <c r="AN261" s="518"/>
      <c r="AO261" s="518"/>
      <c r="AP261" s="518"/>
      <c r="AQ261" s="518"/>
      <c r="AR261" s="518"/>
      <c r="AS261" s="518"/>
      <c r="AT261" s="518"/>
      <c r="AU261" s="518"/>
      <c r="AV261" s="518"/>
      <c r="AW261" s="518"/>
      <c r="AX261" s="518"/>
      <c r="AY261" s="518"/>
      <c r="AZ261" s="518"/>
      <c r="BA261" s="518"/>
      <c r="BB261" s="518"/>
      <c r="BC261" s="518"/>
      <c r="BD261" s="518"/>
      <c r="BE261" s="518"/>
    </row>
    <row r="262" spans="1:57" ht="12.75" customHeight="1">
      <c r="A262" s="518"/>
      <c r="B262" s="518"/>
      <c r="C262" s="518"/>
      <c r="D262" s="518"/>
      <c r="E262" s="518"/>
      <c r="F262" s="518"/>
      <c r="G262" s="518"/>
      <c r="H262" s="518"/>
      <c r="I262" s="518"/>
      <c r="J262" s="518"/>
      <c r="K262" s="518"/>
      <c r="L262" s="518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  <c r="AB262" s="518"/>
      <c r="AC262" s="518"/>
      <c r="AD262" s="518"/>
      <c r="AE262" s="518"/>
      <c r="AF262" s="518"/>
      <c r="AG262" s="518"/>
      <c r="AH262" s="518"/>
      <c r="AI262" s="518"/>
      <c r="AJ262" s="518"/>
      <c r="AK262" s="518"/>
      <c r="AL262" s="518"/>
      <c r="AM262" s="518"/>
      <c r="AN262" s="518"/>
      <c r="AO262" s="518"/>
      <c r="AP262" s="518"/>
      <c r="AQ262" s="518"/>
      <c r="AR262" s="518"/>
      <c r="AS262" s="518"/>
      <c r="AT262" s="518"/>
      <c r="AU262" s="518"/>
      <c r="AV262" s="518"/>
      <c r="AW262" s="518"/>
      <c r="AX262" s="518"/>
      <c r="AY262" s="518"/>
      <c r="AZ262" s="518"/>
      <c r="BA262" s="518"/>
      <c r="BB262" s="518"/>
      <c r="BC262" s="518"/>
      <c r="BD262" s="518"/>
      <c r="BE262" s="518"/>
    </row>
    <row r="263" spans="1:57" ht="12.75" customHeight="1">
      <c r="A263" s="518"/>
      <c r="B263" s="518"/>
      <c r="C263" s="518"/>
      <c r="D263" s="518"/>
      <c r="E263" s="518"/>
      <c r="F263" s="518"/>
      <c r="G263" s="518"/>
      <c r="H263" s="518"/>
      <c r="I263" s="518"/>
      <c r="J263" s="518"/>
      <c r="K263" s="518"/>
      <c r="L263" s="518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  <c r="AB263" s="518"/>
      <c r="AC263" s="518"/>
      <c r="AD263" s="518"/>
      <c r="AE263" s="518"/>
      <c r="AF263" s="518"/>
      <c r="AG263" s="518"/>
      <c r="AH263" s="518"/>
      <c r="AI263" s="518"/>
      <c r="AJ263" s="518"/>
      <c r="AK263" s="518"/>
      <c r="AL263" s="518"/>
      <c r="AM263" s="518"/>
      <c r="AN263" s="518"/>
      <c r="AO263" s="518"/>
      <c r="AP263" s="518"/>
      <c r="AQ263" s="518"/>
      <c r="AR263" s="518"/>
      <c r="AS263" s="518"/>
      <c r="AT263" s="518"/>
      <c r="AU263" s="518"/>
      <c r="AV263" s="518"/>
      <c r="AW263" s="518"/>
      <c r="AX263" s="518"/>
      <c r="AY263" s="518"/>
      <c r="AZ263" s="518"/>
      <c r="BA263" s="518"/>
      <c r="BB263" s="518"/>
      <c r="BC263" s="518"/>
      <c r="BD263" s="518"/>
      <c r="BE263" s="518"/>
    </row>
    <row r="264" spans="1:57" ht="12.75" customHeight="1">
      <c r="A264" s="518"/>
      <c r="B264" s="518"/>
      <c r="C264" s="518"/>
      <c r="D264" s="518"/>
      <c r="E264" s="518"/>
      <c r="F264" s="518"/>
      <c r="G264" s="518"/>
      <c r="H264" s="518"/>
      <c r="I264" s="518"/>
      <c r="J264" s="518"/>
      <c r="K264" s="518"/>
      <c r="L264" s="518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  <c r="AB264" s="518"/>
      <c r="AC264" s="518"/>
      <c r="AD264" s="518"/>
      <c r="AE264" s="518"/>
      <c r="AF264" s="518"/>
      <c r="AG264" s="518"/>
      <c r="AH264" s="518"/>
      <c r="AI264" s="518"/>
      <c r="AJ264" s="518"/>
      <c r="AK264" s="518"/>
      <c r="AL264" s="518"/>
      <c r="AM264" s="518"/>
      <c r="AN264" s="518"/>
      <c r="AO264" s="518"/>
      <c r="AP264" s="518"/>
      <c r="AQ264" s="518"/>
      <c r="AR264" s="518"/>
      <c r="AS264" s="518"/>
      <c r="AT264" s="518"/>
      <c r="AU264" s="518"/>
      <c r="AV264" s="518"/>
      <c r="AW264" s="518"/>
      <c r="AX264" s="518"/>
      <c r="AY264" s="518"/>
      <c r="AZ264" s="518"/>
      <c r="BA264" s="518"/>
      <c r="BB264" s="518"/>
      <c r="BC264" s="518"/>
      <c r="BD264" s="518"/>
      <c r="BE264" s="518"/>
    </row>
    <row r="265" spans="1:57" ht="12.75" customHeight="1">
      <c r="A265" s="518"/>
      <c r="B265" s="518"/>
      <c r="C265" s="518"/>
      <c r="D265" s="518"/>
      <c r="E265" s="518"/>
      <c r="F265" s="518"/>
      <c r="G265" s="518"/>
      <c r="H265" s="518"/>
      <c r="I265" s="518"/>
      <c r="J265" s="518"/>
      <c r="K265" s="518"/>
      <c r="L265" s="518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  <c r="AB265" s="518"/>
      <c r="AC265" s="518"/>
      <c r="AD265" s="518"/>
      <c r="AE265" s="518"/>
      <c r="AF265" s="518"/>
      <c r="AG265" s="518"/>
      <c r="AH265" s="518"/>
      <c r="AI265" s="518"/>
      <c r="AJ265" s="518"/>
      <c r="AK265" s="518"/>
      <c r="AL265" s="518"/>
      <c r="AM265" s="518"/>
      <c r="AN265" s="518"/>
      <c r="AO265" s="518"/>
      <c r="AP265" s="518"/>
      <c r="AQ265" s="518"/>
      <c r="AR265" s="518"/>
      <c r="AS265" s="518"/>
      <c r="AT265" s="518"/>
      <c r="AU265" s="518"/>
      <c r="AV265" s="518"/>
      <c r="AW265" s="518"/>
      <c r="AX265" s="518"/>
      <c r="AY265" s="518"/>
      <c r="AZ265" s="518"/>
      <c r="BA265" s="518"/>
      <c r="BB265" s="518"/>
      <c r="BC265" s="518"/>
      <c r="BD265" s="518"/>
      <c r="BE265" s="518"/>
    </row>
    <row r="266" spans="1:57" ht="12.75" customHeight="1">
      <c r="A266" s="518"/>
      <c r="B266" s="518"/>
      <c r="C266" s="518"/>
      <c r="D266" s="518"/>
      <c r="E266" s="518"/>
      <c r="F266" s="518"/>
      <c r="G266" s="518"/>
      <c r="H266" s="518"/>
      <c r="I266" s="518"/>
      <c r="J266" s="518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  <c r="AB266" s="518"/>
      <c r="AC266" s="518"/>
      <c r="AD266" s="518"/>
      <c r="AE266" s="518"/>
      <c r="AF266" s="518"/>
      <c r="AG266" s="518"/>
      <c r="AH266" s="518"/>
      <c r="AI266" s="518"/>
      <c r="AJ266" s="518"/>
      <c r="AK266" s="518"/>
      <c r="AL266" s="518"/>
      <c r="AM266" s="518"/>
      <c r="AN266" s="518"/>
      <c r="AO266" s="518"/>
      <c r="AP266" s="518"/>
      <c r="AQ266" s="518"/>
      <c r="AR266" s="518"/>
      <c r="AS266" s="518"/>
      <c r="AT266" s="518"/>
      <c r="AU266" s="518"/>
      <c r="AV266" s="518"/>
      <c r="AW266" s="518"/>
      <c r="AX266" s="518"/>
      <c r="AY266" s="518"/>
      <c r="AZ266" s="518"/>
      <c r="BA266" s="518"/>
      <c r="BB266" s="518"/>
      <c r="BC266" s="518"/>
      <c r="BD266" s="518"/>
      <c r="BE266" s="518"/>
    </row>
    <row r="267" spans="1:57" ht="12.75" customHeight="1">
      <c r="A267" s="518"/>
      <c r="B267" s="518"/>
      <c r="C267" s="518"/>
      <c r="D267" s="518"/>
      <c r="E267" s="518"/>
      <c r="F267" s="518"/>
      <c r="G267" s="518"/>
      <c r="H267" s="518"/>
      <c r="I267" s="518"/>
      <c r="J267" s="518"/>
      <c r="K267" s="518"/>
      <c r="L267" s="518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  <c r="AB267" s="518"/>
      <c r="AC267" s="518"/>
      <c r="AD267" s="518"/>
      <c r="AE267" s="518"/>
      <c r="AF267" s="518"/>
      <c r="AG267" s="518"/>
      <c r="AH267" s="518"/>
      <c r="AI267" s="518"/>
      <c r="AJ267" s="518"/>
      <c r="AK267" s="518"/>
      <c r="AL267" s="518"/>
      <c r="AM267" s="518"/>
      <c r="AN267" s="518"/>
      <c r="AO267" s="518"/>
      <c r="AP267" s="518"/>
      <c r="AQ267" s="518"/>
      <c r="AR267" s="518"/>
      <c r="AS267" s="518"/>
      <c r="AT267" s="518"/>
      <c r="AU267" s="518"/>
      <c r="AV267" s="518"/>
      <c r="AW267" s="518"/>
      <c r="AX267" s="518"/>
      <c r="AY267" s="518"/>
      <c r="AZ267" s="518"/>
      <c r="BA267" s="518"/>
      <c r="BB267" s="518"/>
      <c r="BC267" s="518"/>
      <c r="BD267" s="518"/>
      <c r="BE267" s="518"/>
    </row>
    <row r="268" spans="1:57" ht="12.75" customHeight="1">
      <c r="A268" s="518"/>
      <c r="B268" s="518"/>
      <c r="C268" s="518"/>
      <c r="D268" s="518"/>
      <c r="E268" s="518"/>
      <c r="F268" s="518"/>
      <c r="G268" s="518"/>
      <c r="H268" s="518"/>
      <c r="I268" s="518"/>
      <c r="J268" s="518"/>
      <c r="K268" s="518"/>
      <c r="L268" s="518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  <c r="AB268" s="518"/>
      <c r="AC268" s="518"/>
      <c r="AD268" s="518"/>
      <c r="AE268" s="518"/>
      <c r="AF268" s="518"/>
      <c r="AG268" s="518"/>
      <c r="AH268" s="518"/>
      <c r="AI268" s="518"/>
      <c r="AJ268" s="518"/>
      <c r="AK268" s="518"/>
      <c r="AL268" s="518"/>
      <c r="AM268" s="518"/>
      <c r="AN268" s="518"/>
      <c r="AO268" s="518"/>
      <c r="AP268" s="518"/>
      <c r="AQ268" s="518"/>
      <c r="AR268" s="518"/>
      <c r="AS268" s="518"/>
      <c r="AT268" s="518"/>
      <c r="AU268" s="518"/>
      <c r="AV268" s="518"/>
      <c r="AW268" s="518"/>
      <c r="AX268" s="518"/>
      <c r="AY268" s="518"/>
      <c r="AZ268" s="518"/>
      <c r="BA268" s="518"/>
      <c r="BB268" s="518"/>
      <c r="BC268" s="518"/>
      <c r="BD268" s="518"/>
      <c r="BE268" s="518"/>
    </row>
    <row r="269" spans="1:57" ht="12.75" customHeight="1">
      <c r="A269" s="518"/>
      <c r="B269" s="518"/>
      <c r="C269" s="518"/>
      <c r="D269" s="518"/>
      <c r="E269" s="518"/>
      <c r="F269" s="518"/>
      <c r="G269" s="518"/>
      <c r="H269" s="518"/>
      <c r="I269" s="518"/>
      <c r="J269" s="518"/>
      <c r="K269" s="518"/>
      <c r="L269" s="518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  <c r="AB269" s="518"/>
      <c r="AC269" s="518"/>
      <c r="AD269" s="518"/>
      <c r="AE269" s="518"/>
      <c r="AF269" s="518"/>
      <c r="AG269" s="518"/>
      <c r="AH269" s="518"/>
      <c r="AI269" s="518"/>
      <c r="AJ269" s="518"/>
      <c r="AK269" s="518"/>
      <c r="AL269" s="518"/>
      <c r="AM269" s="518"/>
      <c r="AN269" s="518"/>
      <c r="AO269" s="518"/>
      <c r="AP269" s="518"/>
      <c r="AQ269" s="518"/>
      <c r="AR269" s="518"/>
      <c r="AS269" s="518"/>
      <c r="AT269" s="518"/>
      <c r="AU269" s="518"/>
      <c r="AV269" s="518"/>
      <c r="AW269" s="518"/>
      <c r="AX269" s="518"/>
      <c r="AY269" s="518"/>
      <c r="AZ269" s="518"/>
      <c r="BA269" s="518"/>
      <c r="BB269" s="518"/>
      <c r="BC269" s="518"/>
      <c r="BD269" s="518"/>
      <c r="BE269" s="518"/>
    </row>
    <row r="270" spans="1:57" ht="12.75" customHeight="1">
      <c r="A270" s="518"/>
      <c r="B270" s="518"/>
      <c r="C270" s="518"/>
      <c r="D270" s="518"/>
      <c r="E270" s="518"/>
      <c r="F270" s="518"/>
      <c r="G270" s="518"/>
      <c r="H270" s="518"/>
      <c r="I270" s="518"/>
      <c r="J270" s="518"/>
      <c r="K270" s="518"/>
      <c r="L270" s="518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  <c r="AB270" s="518"/>
      <c r="AC270" s="518"/>
      <c r="AD270" s="518"/>
      <c r="AE270" s="518"/>
      <c r="AF270" s="518"/>
      <c r="AG270" s="518"/>
      <c r="AH270" s="518"/>
      <c r="AI270" s="518"/>
      <c r="AJ270" s="518"/>
      <c r="AK270" s="518"/>
      <c r="AL270" s="518"/>
      <c r="AM270" s="518"/>
      <c r="AN270" s="518"/>
      <c r="AO270" s="518"/>
      <c r="AP270" s="518"/>
      <c r="AQ270" s="518"/>
      <c r="AR270" s="518"/>
      <c r="AS270" s="518"/>
      <c r="AT270" s="518"/>
      <c r="AU270" s="518"/>
      <c r="AV270" s="518"/>
      <c r="AW270" s="518"/>
      <c r="AX270" s="518"/>
      <c r="AY270" s="518"/>
      <c r="AZ270" s="518"/>
      <c r="BA270" s="518"/>
      <c r="BB270" s="518"/>
      <c r="BC270" s="518"/>
      <c r="BD270" s="518"/>
      <c r="BE270" s="518"/>
    </row>
    <row r="271" spans="1:57" ht="12.75" customHeight="1">
      <c r="A271" s="518"/>
      <c r="B271" s="518"/>
      <c r="C271" s="518"/>
      <c r="D271" s="518"/>
      <c r="E271" s="518"/>
      <c r="F271" s="518"/>
      <c r="G271" s="518"/>
      <c r="H271" s="518"/>
      <c r="I271" s="518"/>
      <c r="J271" s="518"/>
      <c r="K271" s="518"/>
      <c r="L271" s="518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  <c r="AB271" s="518"/>
      <c r="AC271" s="518"/>
      <c r="AD271" s="518"/>
      <c r="AE271" s="518"/>
      <c r="AF271" s="518"/>
      <c r="AG271" s="518"/>
      <c r="AH271" s="518"/>
      <c r="AI271" s="518"/>
      <c r="AJ271" s="518"/>
      <c r="AK271" s="518"/>
      <c r="AL271" s="518"/>
      <c r="AM271" s="518"/>
      <c r="AN271" s="518"/>
      <c r="AO271" s="518"/>
      <c r="AP271" s="518"/>
      <c r="AQ271" s="518"/>
      <c r="AR271" s="518"/>
      <c r="AS271" s="518"/>
      <c r="AT271" s="518"/>
      <c r="AU271" s="518"/>
      <c r="AV271" s="518"/>
      <c r="AW271" s="518"/>
      <c r="AX271" s="518"/>
      <c r="AY271" s="518"/>
      <c r="AZ271" s="518"/>
      <c r="BA271" s="518"/>
      <c r="BB271" s="518"/>
      <c r="BC271" s="518"/>
      <c r="BD271" s="518"/>
      <c r="BE271" s="518"/>
    </row>
    <row r="272" spans="1:57" ht="12.75" customHeight="1">
      <c r="A272" s="518"/>
      <c r="B272" s="518"/>
      <c r="C272" s="518"/>
      <c r="D272" s="518"/>
      <c r="E272" s="518"/>
      <c r="F272" s="518"/>
      <c r="G272" s="518"/>
      <c r="H272" s="518"/>
      <c r="I272" s="518"/>
      <c r="J272" s="518"/>
      <c r="K272" s="518"/>
      <c r="L272" s="518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  <c r="AB272" s="518"/>
      <c r="AC272" s="518"/>
      <c r="AD272" s="518"/>
      <c r="AE272" s="518"/>
      <c r="AF272" s="518"/>
      <c r="AG272" s="518"/>
      <c r="AH272" s="518"/>
      <c r="AI272" s="518"/>
      <c r="AJ272" s="518"/>
      <c r="AK272" s="518"/>
      <c r="AL272" s="518"/>
      <c r="AM272" s="518"/>
      <c r="AN272" s="518"/>
      <c r="AO272" s="518"/>
      <c r="AP272" s="518"/>
      <c r="AQ272" s="518"/>
      <c r="AR272" s="518"/>
      <c r="AS272" s="518"/>
      <c r="AT272" s="518"/>
      <c r="AU272" s="518"/>
      <c r="AV272" s="518"/>
      <c r="AW272" s="518"/>
      <c r="AX272" s="518"/>
      <c r="AY272" s="518"/>
      <c r="AZ272" s="518"/>
      <c r="BA272" s="518"/>
      <c r="BB272" s="518"/>
      <c r="BC272" s="518"/>
      <c r="BD272" s="518"/>
      <c r="BE272" s="518"/>
    </row>
    <row r="273" spans="1:57" ht="12.75" customHeight="1">
      <c r="A273" s="518"/>
      <c r="B273" s="518"/>
      <c r="C273" s="518"/>
      <c r="D273" s="518"/>
      <c r="E273" s="518"/>
      <c r="F273" s="518"/>
      <c r="G273" s="518"/>
      <c r="H273" s="518"/>
      <c r="I273" s="518"/>
      <c r="J273" s="518"/>
      <c r="K273" s="518"/>
      <c r="L273" s="518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  <c r="AB273" s="518"/>
      <c r="AC273" s="518"/>
      <c r="AD273" s="518"/>
      <c r="AE273" s="518"/>
      <c r="AF273" s="518"/>
      <c r="AG273" s="518"/>
      <c r="AH273" s="518"/>
      <c r="AI273" s="518"/>
      <c r="AJ273" s="518"/>
      <c r="AK273" s="518"/>
      <c r="AL273" s="518"/>
      <c r="AM273" s="518"/>
      <c r="AN273" s="518"/>
      <c r="AO273" s="518"/>
      <c r="AP273" s="518"/>
      <c r="AQ273" s="518"/>
      <c r="AR273" s="518"/>
      <c r="AS273" s="518"/>
      <c r="AT273" s="518"/>
      <c r="AU273" s="518"/>
      <c r="AV273" s="518"/>
      <c r="AW273" s="518"/>
      <c r="AX273" s="518"/>
      <c r="AY273" s="518"/>
      <c r="AZ273" s="518"/>
      <c r="BA273" s="518"/>
      <c r="BB273" s="518"/>
      <c r="BC273" s="518"/>
      <c r="BD273" s="518"/>
      <c r="BE273" s="518"/>
    </row>
    <row r="274" spans="1:57" ht="12.75" customHeight="1">
      <c r="A274" s="518"/>
      <c r="B274" s="518"/>
      <c r="C274" s="518"/>
      <c r="D274" s="518"/>
      <c r="E274" s="518"/>
      <c r="F274" s="518"/>
      <c r="G274" s="518"/>
      <c r="H274" s="518"/>
      <c r="I274" s="518"/>
      <c r="J274" s="518"/>
      <c r="K274" s="518"/>
      <c r="L274" s="518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  <c r="AB274" s="518"/>
      <c r="AC274" s="518"/>
      <c r="AD274" s="518"/>
      <c r="AE274" s="518"/>
      <c r="AF274" s="518"/>
      <c r="AG274" s="518"/>
      <c r="AH274" s="518"/>
      <c r="AI274" s="518"/>
      <c r="AJ274" s="518"/>
      <c r="AK274" s="518"/>
      <c r="AL274" s="518"/>
      <c r="AM274" s="518"/>
      <c r="AN274" s="518"/>
      <c r="AO274" s="518"/>
      <c r="AP274" s="518"/>
      <c r="AQ274" s="518"/>
      <c r="AR274" s="518"/>
      <c r="AS274" s="518"/>
      <c r="AT274" s="518"/>
      <c r="AU274" s="518"/>
      <c r="AV274" s="518"/>
      <c r="AW274" s="518"/>
      <c r="AX274" s="518"/>
      <c r="AY274" s="518"/>
      <c r="AZ274" s="518"/>
      <c r="BA274" s="518"/>
      <c r="BB274" s="518"/>
      <c r="BC274" s="518"/>
      <c r="BD274" s="518"/>
      <c r="BE274" s="518"/>
    </row>
    <row r="275" spans="1:57" ht="12.75" customHeight="1">
      <c r="A275" s="518"/>
      <c r="B275" s="518"/>
      <c r="C275" s="518"/>
      <c r="D275" s="518"/>
      <c r="E275" s="518"/>
      <c r="F275" s="518"/>
      <c r="G275" s="518"/>
      <c r="H275" s="518"/>
      <c r="I275" s="518"/>
      <c r="J275" s="518"/>
      <c r="K275" s="518"/>
      <c r="L275" s="518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  <c r="AB275" s="518"/>
      <c r="AC275" s="518"/>
      <c r="AD275" s="518"/>
      <c r="AE275" s="518"/>
      <c r="AF275" s="518"/>
      <c r="AG275" s="518"/>
      <c r="AH275" s="518"/>
      <c r="AI275" s="518"/>
      <c r="AJ275" s="518"/>
      <c r="AK275" s="518"/>
      <c r="AL275" s="518"/>
      <c r="AM275" s="518"/>
      <c r="AN275" s="518"/>
      <c r="AO275" s="518"/>
      <c r="AP275" s="518"/>
      <c r="AQ275" s="518"/>
      <c r="AR275" s="518"/>
      <c r="AS275" s="518"/>
      <c r="AT275" s="518"/>
      <c r="AU275" s="518"/>
      <c r="AV275" s="518"/>
      <c r="AW275" s="518"/>
      <c r="AX275" s="518"/>
      <c r="AY275" s="518"/>
      <c r="AZ275" s="518"/>
      <c r="BA275" s="518"/>
      <c r="BB275" s="518"/>
      <c r="BC275" s="518"/>
      <c r="BD275" s="518"/>
      <c r="BE275" s="518"/>
    </row>
    <row r="276" spans="1:57" ht="12.75" customHeight="1">
      <c r="A276" s="518"/>
      <c r="B276" s="518"/>
      <c r="C276" s="518"/>
      <c r="D276" s="518"/>
      <c r="E276" s="518"/>
      <c r="F276" s="518"/>
      <c r="G276" s="518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  <c r="AB276" s="518"/>
      <c r="AC276" s="518"/>
      <c r="AD276" s="518"/>
      <c r="AE276" s="518"/>
      <c r="AF276" s="518"/>
      <c r="AG276" s="518"/>
      <c r="AH276" s="518"/>
      <c r="AI276" s="518"/>
      <c r="AJ276" s="518"/>
      <c r="AK276" s="518"/>
      <c r="AL276" s="518"/>
      <c r="AM276" s="518"/>
      <c r="AN276" s="518"/>
      <c r="AO276" s="518"/>
      <c r="AP276" s="518"/>
      <c r="AQ276" s="518"/>
      <c r="AR276" s="518"/>
      <c r="AS276" s="518"/>
      <c r="AT276" s="518"/>
      <c r="AU276" s="518"/>
      <c r="AV276" s="518"/>
      <c r="AW276" s="518"/>
      <c r="AX276" s="518"/>
      <c r="AY276" s="518"/>
      <c r="AZ276" s="518"/>
      <c r="BA276" s="518"/>
      <c r="BB276" s="518"/>
      <c r="BC276" s="518"/>
      <c r="BD276" s="518"/>
      <c r="BE276" s="518"/>
    </row>
    <row r="277" spans="1:57" ht="12.75" customHeight="1">
      <c r="A277" s="518"/>
      <c r="B277" s="518"/>
      <c r="C277" s="518"/>
      <c r="D277" s="518"/>
      <c r="E277" s="518"/>
      <c r="F277" s="518"/>
      <c r="G277" s="518"/>
      <c r="H277" s="518"/>
      <c r="I277" s="518"/>
      <c r="J277" s="518"/>
      <c r="K277" s="518"/>
      <c r="L277" s="518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  <c r="AB277" s="518"/>
      <c r="AC277" s="518"/>
      <c r="AD277" s="518"/>
      <c r="AE277" s="518"/>
      <c r="AF277" s="518"/>
      <c r="AG277" s="518"/>
      <c r="AH277" s="518"/>
      <c r="AI277" s="518"/>
      <c r="AJ277" s="518"/>
      <c r="AK277" s="518"/>
      <c r="AL277" s="518"/>
      <c r="AM277" s="518"/>
      <c r="AN277" s="518"/>
      <c r="AO277" s="518"/>
      <c r="AP277" s="518"/>
      <c r="AQ277" s="518"/>
      <c r="AR277" s="518"/>
      <c r="AS277" s="518"/>
      <c r="AT277" s="518"/>
      <c r="AU277" s="518"/>
      <c r="AV277" s="518"/>
      <c r="AW277" s="518"/>
      <c r="AX277" s="518"/>
      <c r="AY277" s="518"/>
      <c r="AZ277" s="518"/>
      <c r="BA277" s="518"/>
      <c r="BB277" s="518"/>
      <c r="BC277" s="518"/>
      <c r="BD277" s="518"/>
      <c r="BE277" s="518"/>
    </row>
    <row r="278" spans="1:57" ht="12.75" customHeight="1">
      <c r="A278" s="518"/>
      <c r="B278" s="518"/>
      <c r="C278" s="518"/>
      <c r="D278" s="518"/>
      <c r="E278" s="518"/>
      <c r="F278" s="518"/>
      <c r="G278" s="518"/>
      <c r="H278" s="518"/>
      <c r="I278" s="518"/>
      <c r="J278" s="518"/>
      <c r="K278" s="518"/>
      <c r="L278" s="518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  <c r="AB278" s="518"/>
      <c r="AC278" s="518"/>
      <c r="AD278" s="518"/>
      <c r="AE278" s="518"/>
      <c r="AF278" s="518"/>
      <c r="AG278" s="518"/>
      <c r="AH278" s="518"/>
      <c r="AI278" s="518"/>
      <c r="AJ278" s="518"/>
      <c r="AK278" s="518"/>
      <c r="AL278" s="518"/>
      <c r="AM278" s="518"/>
      <c r="AN278" s="518"/>
      <c r="AO278" s="518"/>
      <c r="AP278" s="518"/>
      <c r="AQ278" s="518"/>
      <c r="AR278" s="518"/>
      <c r="AS278" s="518"/>
      <c r="AT278" s="518"/>
      <c r="AU278" s="518"/>
      <c r="AV278" s="518"/>
      <c r="AW278" s="518"/>
      <c r="AX278" s="518"/>
      <c r="AY278" s="518"/>
      <c r="AZ278" s="518"/>
      <c r="BA278" s="518"/>
      <c r="BB278" s="518"/>
      <c r="BC278" s="518"/>
      <c r="BD278" s="518"/>
      <c r="BE278" s="518"/>
    </row>
    <row r="279" spans="1:57" ht="12.75" customHeight="1">
      <c r="A279" s="518"/>
      <c r="B279" s="518"/>
      <c r="C279" s="518"/>
      <c r="D279" s="518"/>
      <c r="E279" s="518"/>
      <c r="F279" s="518"/>
      <c r="G279" s="518"/>
      <c r="H279" s="518"/>
      <c r="I279" s="518"/>
      <c r="J279" s="518"/>
      <c r="K279" s="518"/>
      <c r="L279" s="518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  <c r="AB279" s="518"/>
      <c r="AC279" s="518"/>
      <c r="AD279" s="518"/>
      <c r="AE279" s="518"/>
      <c r="AF279" s="518"/>
      <c r="AG279" s="518"/>
      <c r="AH279" s="518"/>
      <c r="AI279" s="518"/>
      <c r="AJ279" s="518"/>
      <c r="AK279" s="518"/>
      <c r="AL279" s="518"/>
      <c r="AM279" s="518"/>
      <c r="AN279" s="518"/>
      <c r="AO279" s="518"/>
      <c r="AP279" s="518"/>
      <c r="AQ279" s="518"/>
      <c r="AR279" s="518"/>
      <c r="AS279" s="518"/>
      <c r="AT279" s="518"/>
      <c r="AU279" s="518"/>
      <c r="AV279" s="518"/>
      <c r="AW279" s="518"/>
      <c r="AX279" s="518"/>
      <c r="AY279" s="518"/>
      <c r="AZ279" s="518"/>
      <c r="BA279" s="518"/>
      <c r="BB279" s="518"/>
      <c r="BC279" s="518"/>
      <c r="BD279" s="518"/>
      <c r="BE279" s="518"/>
    </row>
    <row r="280" spans="1:57" ht="12.75" customHeight="1">
      <c r="A280" s="518"/>
      <c r="B280" s="518"/>
      <c r="C280" s="518"/>
      <c r="D280" s="518"/>
      <c r="E280" s="518"/>
      <c r="F280" s="518"/>
      <c r="G280" s="518"/>
      <c r="H280" s="518"/>
      <c r="I280" s="518"/>
      <c r="J280" s="518"/>
      <c r="K280" s="518"/>
      <c r="L280" s="518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  <c r="AB280" s="518"/>
      <c r="AC280" s="518"/>
      <c r="AD280" s="518"/>
      <c r="AE280" s="518"/>
      <c r="AF280" s="518"/>
      <c r="AG280" s="518"/>
      <c r="AH280" s="518"/>
      <c r="AI280" s="518"/>
      <c r="AJ280" s="518"/>
      <c r="AK280" s="518"/>
      <c r="AL280" s="518"/>
      <c r="AM280" s="518"/>
      <c r="AN280" s="518"/>
      <c r="AO280" s="518"/>
      <c r="AP280" s="518"/>
      <c r="AQ280" s="518"/>
      <c r="AR280" s="518"/>
      <c r="AS280" s="518"/>
      <c r="AT280" s="518"/>
      <c r="AU280" s="518"/>
      <c r="AV280" s="518"/>
      <c r="AW280" s="518"/>
      <c r="AX280" s="518"/>
      <c r="AY280" s="518"/>
      <c r="AZ280" s="518"/>
      <c r="BA280" s="518"/>
      <c r="BB280" s="518"/>
      <c r="BC280" s="518"/>
      <c r="BD280" s="518"/>
      <c r="BE280" s="518"/>
    </row>
    <row r="281" spans="1:57" ht="12.75" customHeight="1">
      <c r="A281" s="518"/>
      <c r="B281" s="518"/>
      <c r="C281" s="518"/>
      <c r="D281" s="518"/>
      <c r="E281" s="518"/>
      <c r="F281" s="518"/>
      <c r="G281" s="518"/>
      <c r="H281" s="518"/>
      <c r="I281" s="518"/>
      <c r="J281" s="518"/>
      <c r="K281" s="518"/>
      <c r="L281" s="518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  <c r="AB281" s="518"/>
      <c r="AC281" s="518"/>
      <c r="AD281" s="518"/>
      <c r="AE281" s="518"/>
      <c r="AF281" s="518"/>
      <c r="AG281" s="518"/>
      <c r="AH281" s="518"/>
      <c r="AI281" s="518"/>
      <c r="AJ281" s="518"/>
      <c r="AK281" s="518"/>
      <c r="AL281" s="518"/>
      <c r="AM281" s="518"/>
      <c r="AN281" s="518"/>
      <c r="AO281" s="518"/>
      <c r="AP281" s="518"/>
      <c r="AQ281" s="518"/>
      <c r="AR281" s="518"/>
      <c r="AS281" s="518"/>
      <c r="AT281" s="518"/>
      <c r="AU281" s="518"/>
      <c r="AV281" s="518"/>
      <c r="AW281" s="518"/>
      <c r="AX281" s="518"/>
      <c r="AY281" s="518"/>
      <c r="AZ281" s="518"/>
      <c r="BA281" s="518"/>
      <c r="BB281" s="518"/>
      <c r="BC281" s="518"/>
      <c r="BD281" s="518"/>
      <c r="BE281" s="518"/>
    </row>
    <row r="282" spans="1:57" ht="12.75" customHeight="1">
      <c r="A282" s="518"/>
      <c r="B282" s="518"/>
      <c r="C282" s="518"/>
      <c r="D282" s="518"/>
      <c r="E282" s="518"/>
      <c r="F282" s="518"/>
      <c r="G282" s="518"/>
      <c r="H282" s="518"/>
      <c r="I282" s="518"/>
      <c r="J282" s="518"/>
      <c r="K282" s="518"/>
      <c r="L282" s="518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  <c r="AB282" s="518"/>
      <c r="AC282" s="518"/>
      <c r="AD282" s="518"/>
      <c r="AE282" s="518"/>
      <c r="AF282" s="518"/>
      <c r="AG282" s="518"/>
      <c r="AH282" s="518"/>
      <c r="AI282" s="518"/>
      <c r="AJ282" s="518"/>
      <c r="AK282" s="518"/>
      <c r="AL282" s="518"/>
      <c r="AM282" s="518"/>
      <c r="AN282" s="518"/>
      <c r="AO282" s="518"/>
      <c r="AP282" s="518"/>
      <c r="AQ282" s="518"/>
      <c r="AR282" s="518"/>
      <c r="AS282" s="518"/>
      <c r="AT282" s="518"/>
      <c r="AU282" s="518"/>
      <c r="AV282" s="518"/>
      <c r="AW282" s="518"/>
      <c r="AX282" s="518"/>
      <c r="AY282" s="518"/>
      <c r="AZ282" s="518"/>
      <c r="BA282" s="518"/>
      <c r="BB282" s="518"/>
      <c r="BC282" s="518"/>
      <c r="BD282" s="518"/>
      <c r="BE282" s="518"/>
    </row>
    <row r="283" spans="1:57" ht="12.75" customHeight="1">
      <c r="A283" s="518"/>
      <c r="B283" s="518"/>
      <c r="C283" s="518"/>
      <c r="D283" s="518"/>
      <c r="E283" s="518"/>
      <c r="F283" s="518"/>
      <c r="G283" s="518"/>
      <c r="H283" s="518"/>
      <c r="I283" s="518"/>
      <c r="J283" s="518"/>
      <c r="K283" s="518"/>
      <c r="L283" s="518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  <c r="AB283" s="518"/>
      <c r="AC283" s="518"/>
      <c r="AD283" s="518"/>
      <c r="AE283" s="518"/>
      <c r="AF283" s="518"/>
      <c r="AG283" s="518"/>
      <c r="AH283" s="518"/>
      <c r="AI283" s="518"/>
      <c r="AJ283" s="518"/>
      <c r="AK283" s="518"/>
      <c r="AL283" s="518"/>
      <c r="AM283" s="518"/>
      <c r="AN283" s="518"/>
      <c r="AO283" s="518"/>
      <c r="AP283" s="518"/>
      <c r="AQ283" s="518"/>
      <c r="AR283" s="518"/>
      <c r="AS283" s="518"/>
      <c r="AT283" s="518"/>
      <c r="AU283" s="518"/>
      <c r="AV283" s="518"/>
      <c r="AW283" s="518"/>
      <c r="AX283" s="518"/>
      <c r="AY283" s="518"/>
      <c r="AZ283" s="518"/>
      <c r="BA283" s="518"/>
      <c r="BB283" s="518"/>
      <c r="BC283" s="518"/>
      <c r="BD283" s="518"/>
      <c r="BE283" s="518"/>
    </row>
    <row r="284" spans="1:57" ht="12.75" customHeight="1">
      <c r="A284" s="518"/>
      <c r="B284" s="518"/>
      <c r="C284" s="518"/>
      <c r="D284" s="518"/>
      <c r="E284" s="518"/>
      <c r="F284" s="518"/>
      <c r="G284" s="518"/>
      <c r="H284" s="518"/>
      <c r="I284" s="518"/>
      <c r="J284" s="518"/>
      <c r="K284" s="518"/>
      <c r="L284" s="518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  <c r="AB284" s="518"/>
      <c r="AC284" s="518"/>
      <c r="AD284" s="518"/>
      <c r="AE284" s="518"/>
      <c r="AF284" s="518"/>
      <c r="AG284" s="518"/>
      <c r="AH284" s="518"/>
      <c r="AI284" s="518"/>
      <c r="AJ284" s="518"/>
      <c r="AK284" s="518"/>
      <c r="AL284" s="518"/>
      <c r="AM284" s="518"/>
      <c r="AN284" s="518"/>
      <c r="AO284" s="518"/>
      <c r="AP284" s="518"/>
      <c r="AQ284" s="518"/>
      <c r="AR284" s="518"/>
      <c r="AS284" s="518"/>
      <c r="AT284" s="518"/>
      <c r="AU284" s="518"/>
      <c r="AV284" s="518"/>
      <c r="AW284" s="518"/>
      <c r="AX284" s="518"/>
      <c r="AY284" s="518"/>
      <c r="AZ284" s="518"/>
      <c r="BA284" s="518"/>
      <c r="BB284" s="518"/>
      <c r="BC284" s="518"/>
      <c r="BD284" s="518"/>
      <c r="BE284" s="518"/>
    </row>
    <row r="285" spans="1:57" ht="12.75" customHeight="1">
      <c r="A285" s="518"/>
      <c r="B285" s="518"/>
      <c r="C285" s="518"/>
      <c r="D285" s="518"/>
      <c r="E285" s="518"/>
      <c r="F285" s="518"/>
      <c r="G285" s="518"/>
      <c r="H285" s="518"/>
      <c r="I285" s="518"/>
      <c r="J285" s="518"/>
      <c r="K285" s="518"/>
      <c r="L285" s="518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  <c r="AB285" s="518"/>
      <c r="AC285" s="518"/>
      <c r="AD285" s="518"/>
      <c r="AE285" s="518"/>
      <c r="AF285" s="518"/>
      <c r="AG285" s="518"/>
      <c r="AH285" s="518"/>
      <c r="AI285" s="518"/>
      <c r="AJ285" s="518"/>
      <c r="AK285" s="518"/>
      <c r="AL285" s="518"/>
      <c r="AM285" s="518"/>
      <c r="AN285" s="518"/>
      <c r="AO285" s="518"/>
      <c r="AP285" s="518"/>
      <c r="AQ285" s="518"/>
      <c r="AR285" s="518"/>
      <c r="AS285" s="518"/>
      <c r="AT285" s="518"/>
      <c r="AU285" s="518"/>
      <c r="AV285" s="518"/>
      <c r="AW285" s="518"/>
      <c r="AX285" s="518"/>
      <c r="AY285" s="518"/>
      <c r="AZ285" s="518"/>
      <c r="BA285" s="518"/>
      <c r="BB285" s="518"/>
      <c r="BC285" s="518"/>
      <c r="BD285" s="518"/>
      <c r="BE285" s="518"/>
    </row>
    <row r="286" spans="1:57" ht="12.75" customHeight="1">
      <c r="A286" s="518"/>
      <c r="B286" s="518"/>
      <c r="C286" s="518"/>
      <c r="D286" s="518"/>
      <c r="E286" s="518"/>
      <c r="F286" s="518"/>
      <c r="G286" s="518"/>
      <c r="H286" s="518"/>
      <c r="I286" s="518"/>
      <c r="J286" s="518"/>
      <c r="K286" s="518"/>
      <c r="L286" s="518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  <c r="AB286" s="518"/>
      <c r="AC286" s="518"/>
      <c r="AD286" s="518"/>
      <c r="AE286" s="518"/>
      <c r="AF286" s="518"/>
      <c r="AG286" s="518"/>
      <c r="AH286" s="518"/>
      <c r="AI286" s="518"/>
      <c r="AJ286" s="518"/>
      <c r="AK286" s="518"/>
      <c r="AL286" s="518"/>
      <c r="AM286" s="518"/>
      <c r="AN286" s="518"/>
      <c r="AO286" s="518"/>
      <c r="AP286" s="518"/>
      <c r="AQ286" s="518"/>
      <c r="AR286" s="518"/>
      <c r="AS286" s="518"/>
      <c r="AT286" s="518"/>
      <c r="AU286" s="518"/>
      <c r="AV286" s="518"/>
      <c r="AW286" s="518"/>
      <c r="AX286" s="518"/>
      <c r="AY286" s="518"/>
      <c r="AZ286" s="518"/>
      <c r="BA286" s="518"/>
      <c r="BB286" s="518"/>
      <c r="BC286" s="518"/>
      <c r="BD286" s="518"/>
      <c r="BE286" s="518"/>
    </row>
    <row r="287" spans="1:57" ht="12.75" customHeight="1">
      <c r="A287" s="518"/>
      <c r="B287" s="518"/>
      <c r="C287" s="518"/>
      <c r="D287" s="518"/>
      <c r="E287" s="518"/>
      <c r="F287" s="518"/>
      <c r="G287" s="518"/>
      <c r="H287" s="518"/>
      <c r="I287" s="518"/>
      <c r="J287" s="518"/>
      <c r="K287" s="518"/>
      <c r="L287" s="518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  <c r="AB287" s="518"/>
      <c r="AC287" s="518"/>
      <c r="AD287" s="518"/>
      <c r="AE287" s="518"/>
      <c r="AF287" s="518"/>
      <c r="AG287" s="518"/>
      <c r="AH287" s="518"/>
      <c r="AI287" s="518"/>
      <c r="AJ287" s="518"/>
      <c r="AK287" s="518"/>
      <c r="AL287" s="518"/>
      <c r="AM287" s="518"/>
      <c r="AN287" s="518"/>
      <c r="AO287" s="518"/>
      <c r="AP287" s="518"/>
      <c r="AQ287" s="518"/>
      <c r="AR287" s="518"/>
      <c r="AS287" s="518"/>
      <c r="AT287" s="518"/>
      <c r="AU287" s="518"/>
      <c r="AV287" s="518"/>
      <c r="AW287" s="518"/>
      <c r="AX287" s="518"/>
      <c r="AY287" s="518"/>
      <c r="AZ287" s="518"/>
      <c r="BA287" s="518"/>
      <c r="BB287" s="518"/>
      <c r="BC287" s="518"/>
      <c r="BD287" s="518"/>
      <c r="BE287" s="518"/>
    </row>
    <row r="288" spans="1:57" ht="12.75" customHeight="1">
      <c r="A288" s="518"/>
      <c r="B288" s="518"/>
      <c r="C288" s="518"/>
      <c r="D288" s="518"/>
      <c r="E288" s="518"/>
      <c r="F288" s="518"/>
      <c r="G288" s="518"/>
      <c r="H288" s="518"/>
      <c r="I288" s="518"/>
      <c r="J288" s="518"/>
      <c r="K288" s="518"/>
      <c r="L288" s="518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  <c r="AB288" s="518"/>
      <c r="AC288" s="518"/>
      <c r="AD288" s="518"/>
      <c r="AE288" s="518"/>
      <c r="AF288" s="518"/>
      <c r="AG288" s="518"/>
      <c r="AH288" s="518"/>
      <c r="AI288" s="518"/>
      <c r="AJ288" s="518"/>
      <c r="AK288" s="518"/>
      <c r="AL288" s="518"/>
      <c r="AM288" s="518"/>
      <c r="AN288" s="518"/>
      <c r="AO288" s="518"/>
      <c r="AP288" s="518"/>
      <c r="AQ288" s="518"/>
      <c r="AR288" s="518"/>
      <c r="AS288" s="518"/>
      <c r="AT288" s="518"/>
      <c r="AU288" s="518"/>
      <c r="AV288" s="518"/>
      <c r="AW288" s="518"/>
      <c r="AX288" s="518"/>
      <c r="AY288" s="518"/>
      <c r="AZ288" s="518"/>
      <c r="BA288" s="518"/>
      <c r="BB288" s="518"/>
      <c r="BC288" s="518"/>
      <c r="BD288" s="518"/>
      <c r="BE288" s="518"/>
    </row>
    <row r="289" spans="1:57" ht="12.75" customHeight="1">
      <c r="A289" s="518"/>
      <c r="B289" s="518"/>
      <c r="C289" s="518"/>
      <c r="D289" s="518"/>
      <c r="E289" s="518"/>
      <c r="F289" s="518"/>
      <c r="G289" s="518"/>
      <c r="H289" s="518"/>
      <c r="I289" s="518"/>
      <c r="J289" s="518"/>
      <c r="K289" s="518"/>
      <c r="L289" s="518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  <c r="AB289" s="518"/>
      <c r="AC289" s="518"/>
      <c r="AD289" s="518"/>
      <c r="AE289" s="518"/>
      <c r="AF289" s="518"/>
      <c r="AG289" s="518"/>
      <c r="AH289" s="518"/>
      <c r="AI289" s="518"/>
      <c r="AJ289" s="518"/>
      <c r="AK289" s="518"/>
      <c r="AL289" s="518"/>
      <c r="AM289" s="518"/>
      <c r="AN289" s="518"/>
      <c r="AO289" s="518"/>
      <c r="AP289" s="518"/>
      <c r="AQ289" s="518"/>
      <c r="AR289" s="518"/>
      <c r="AS289" s="518"/>
      <c r="AT289" s="518"/>
      <c r="AU289" s="518"/>
      <c r="AV289" s="518"/>
      <c r="AW289" s="518"/>
      <c r="AX289" s="518"/>
      <c r="AY289" s="518"/>
      <c r="AZ289" s="518"/>
      <c r="BA289" s="518"/>
      <c r="BB289" s="518"/>
      <c r="BC289" s="518"/>
      <c r="BD289" s="518"/>
      <c r="BE289" s="518"/>
    </row>
    <row r="290" spans="1:57" ht="12.75" customHeight="1">
      <c r="A290" s="518"/>
      <c r="B290" s="518"/>
      <c r="C290" s="518"/>
      <c r="D290" s="518"/>
      <c r="E290" s="518"/>
      <c r="F290" s="518"/>
      <c r="G290" s="518"/>
      <c r="H290" s="518"/>
      <c r="I290" s="518"/>
      <c r="J290" s="518"/>
      <c r="K290" s="518"/>
      <c r="L290" s="518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  <c r="AB290" s="518"/>
      <c r="AC290" s="518"/>
      <c r="AD290" s="518"/>
      <c r="AE290" s="518"/>
      <c r="AF290" s="518"/>
      <c r="AG290" s="518"/>
      <c r="AH290" s="518"/>
      <c r="AI290" s="518"/>
      <c r="AJ290" s="518"/>
      <c r="AK290" s="518"/>
      <c r="AL290" s="518"/>
      <c r="AM290" s="518"/>
      <c r="AN290" s="518"/>
      <c r="AO290" s="518"/>
      <c r="AP290" s="518"/>
      <c r="AQ290" s="518"/>
      <c r="AR290" s="518"/>
      <c r="AS290" s="518"/>
      <c r="AT290" s="518"/>
      <c r="AU290" s="518"/>
      <c r="AV290" s="518"/>
      <c r="AW290" s="518"/>
      <c r="AX290" s="518"/>
      <c r="AY290" s="518"/>
      <c r="AZ290" s="518"/>
      <c r="BA290" s="518"/>
      <c r="BB290" s="518"/>
      <c r="BC290" s="518"/>
      <c r="BD290" s="518"/>
      <c r="BE290" s="518"/>
    </row>
    <row r="291" spans="1:57" ht="12.75" customHeight="1">
      <c r="A291" s="518"/>
      <c r="B291" s="518"/>
      <c r="C291" s="518"/>
      <c r="D291" s="518"/>
      <c r="E291" s="518"/>
      <c r="F291" s="518"/>
      <c r="G291" s="518"/>
      <c r="H291" s="518"/>
      <c r="I291" s="518"/>
      <c r="J291" s="518"/>
      <c r="K291" s="518"/>
      <c r="L291" s="518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  <c r="AB291" s="518"/>
      <c r="AC291" s="518"/>
      <c r="AD291" s="518"/>
      <c r="AE291" s="518"/>
      <c r="AF291" s="518"/>
      <c r="AG291" s="518"/>
      <c r="AH291" s="518"/>
      <c r="AI291" s="518"/>
      <c r="AJ291" s="518"/>
      <c r="AK291" s="518"/>
      <c r="AL291" s="518"/>
      <c r="AM291" s="518"/>
      <c r="AN291" s="518"/>
      <c r="AO291" s="518"/>
      <c r="AP291" s="518"/>
      <c r="AQ291" s="518"/>
      <c r="AR291" s="518"/>
      <c r="AS291" s="518"/>
      <c r="AT291" s="518"/>
      <c r="AU291" s="518"/>
      <c r="AV291" s="518"/>
      <c r="AW291" s="518"/>
      <c r="AX291" s="518"/>
      <c r="AY291" s="518"/>
      <c r="AZ291" s="518"/>
      <c r="BA291" s="518"/>
      <c r="BB291" s="518"/>
      <c r="BC291" s="518"/>
      <c r="BD291" s="518"/>
      <c r="BE291" s="518"/>
    </row>
    <row r="292" spans="1:57" ht="12.75" customHeight="1">
      <c r="A292" s="518"/>
      <c r="B292" s="518"/>
      <c r="C292" s="518"/>
      <c r="D292" s="518"/>
      <c r="E292" s="518"/>
      <c r="F292" s="518"/>
      <c r="G292" s="518"/>
      <c r="H292" s="518"/>
      <c r="I292" s="518"/>
      <c r="J292" s="518"/>
      <c r="K292" s="518"/>
      <c r="L292" s="518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  <c r="AB292" s="518"/>
      <c r="AC292" s="518"/>
      <c r="AD292" s="518"/>
      <c r="AE292" s="518"/>
      <c r="AF292" s="518"/>
      <c r="AG292" s="518"/>
      <c r="AH292" s="518"/>
      <c r="AI292" s="518"/>
      <c r="AJ292" s="518"/>
      <c r="AK292" s="518"/>
      <c r="AL292" s="518"/>
      <c r="AM292" s="518"/>
      <c r="AN292" s="518"/>
      <c r="AO292" s="518"/>
      <c r="AP292" s="518"/>
      <c r="AQ292" s="518"/>
      <c r="AR292" s="518"/>
      <c r="AS292" s="518"/>
      <c r="AT292" s="518"/>
      <c r="AU292" s="518"/>
      <c r="AV292" s="518"/>
      <c r="AW292" s="518"/>
      <c r="AX292" s="518"/>
      <c r="AY292" s="518"/>
      <c r="AZ292" s="518"/>
      <c r="BA292" s="518"/>
      <c r="BB292" s="518"/>
      <c r="BC292" s="518"/>
      <c r="BD292" s="518"/>
      <c r="BE292" s="518"/>
    </row>
    <row r="293" spans="1:57" ht="12.75" customHeight="1">
      <c r="A293" s="518"/>
      <c r="B293" s="518"/>
      <c r="C293" s="518"/>
      <c r="D293" s="518"/>
      <c r="E293" s="518"/>
      <c r="F293" s="518"/>
      <c r="G293" s="518"/>
      <c r="H293" s="518"/>
      <c r="I293" s="518"/>
      <c r="J293" s="518"/>
      <c r="K293" s="518"/>
      <c r="L293" s="518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  <c r="AB293" s="518"/>
      <c r="AC293" s="518"/>
      <c r="AD293" s="518"/>
      <c r="AE293" s="518"/>
      <c r="AF293" s="518"/>
      <c r="AG293" s="518"/>
      <c r="AH293" s="518"/>
      <c r="AI293" s="518"/>
      <c r="AJ293" s="518"/>
      <c r="AK293" s="518"/>
      <c r="AL293" s="518"/>
      <c r="AM293" s="518"/>
      <c r="AN293" s="518"/>
      <c r="AO293" s="518"/>
      <c r="AP293" s="518"/>
      <c r="AQ293" s="518"/>
      <c r="AR293" s="518"/>
      <c r="AS293" s="518"/>
      <c r="AT293" s="518"/>
      <c r="AU293" s="518"/>
      <c r="AV293" s="518"/>
      <c r="AW293" s="518"/>
      <c r="AX293" s="518"/>
      <c r="AY293" s="518"/>
      <c r="AZ293" s="518"/>
      <c r="BA293" s="518"/>
      <c r="BB293" s="518"/>
      <c r="BC293" s="518"/>
      <c r="BD293" s="518"/>
      <c r="BE293" s="518"/>
    </row>
    <row r="294" spans="1:57" ht="12.75" customHeight="1">
      <c r="A294" s="518"/>
      <c r="B294" s="518"/>
      <c r="C294" s="518"/>
      <c r="D294" s="518"/>
      <c r="E294" s="518"/>
      <c r="F294" s="518"/>
      <c r="G294" s="518"/>
      <c r="H294" s="518"/>
      <c r="I294" s="518"/>
      <c r="J294" s="518"/>
      <c r="K294" s="518"/>
      <c r="L294" s="518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  <c r="AB294" s="518"/>
      <c r="AC294" s="518"/>
      <c r="AD294" s="518"/>
      <c r="AE294" s="518"/>
      <c r="AF294" s="518"/>
      <c r="AG294" s="518"/>
      <c r="AH294" s="518"/>
      <c r="AI294" s="518"/>
      <c r="AJ294" s="518"/>
      <c r="AK294" s="518"/>
      <c r="AL294" s="518"/>
      <c r="AM294" s="518"/>
      <c r="AN294" s="518"/>
      <c r="AO294" s="518"/>
      <c r="AP294" s="518"/>
      <c r="AQ294" s="518"/>
      <c r="AR294" s="518"/>
      <c r="AS294" s="518"/>
      <c r="AT294" s="518"/>
      <c r="AU294" s="518"/>
      <c r="AV294" s="518"/>
      <c r="AW294" s="518"/>
      <c r="AX294" s="518"/>
      <c r="AY294" s="518"/>
      <c r="AZ294" s="518"/>
      <c r="BA294" s="518"/>
      <c r="BB294" s="518"/>
      <c r="BC294" s="518"/>
      <c r="BD294" s="518"/>
      <c r="BE294" s="518"/>
    </row>
    <row r="295" spans="1:57" ht="12.75" customHeight="1">
      <c r="A295" s="518"/>
      <c r="B295" s="518"/>
      <c r="C295" s="518"/>
      <c r="D295" s="518"/>
      <c r="E295" s="518"/>
      <c r="F295" s="518"/>
      <c r="G295" s="518"/>
      <c r="H295" s="518"/>
      <c r="I295" s="518"/>
      <c r="J295" s="518"/>
      <c r="K295" s="518"/>
      <c r="L295" s="518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  <c r="AB295" s="518"/>
      <c r="AC295" s="518"/>
      <c r="AD295" s="518"/>
      <c r="AE295" s="518"/>
      <c r="AF295" s="518"/>
      <c r="AG295" s="518"/>
      <c r="AH295" s="518"/>
      <c r="AI295" s="518"/>
      <c r="AJ295" s="518"/>
      <c r="AK295" s="518"/>
      <c r="AL295" s="518"/>
      <c r="AM295" s="518"/>
      <c r="AN295" s="518"/>
      <c r="AO295" s="518"/>
      <c r="AP295" s="518"/>
      <c r="AQ295" s="518"/>
      <c r="AR295" s="518"/>
      <c r="AS295" s="518"/>
      <c r="AT295" s="518"/>
      <c r="AU295" s="518"/>
      <c r="AV295" s="518"/>
      <c r="AW295" s="518"/>
      <c r="AX295" s="518"/>
      <c r="AY295" s="518"/>
      <c r="AZ295" s="518"/>
      <c r="BA295" s="518"/>
      <c r="BB295" s="518"/>
      <c r="BC295" s="518"/>
      <c r="BD295" s="518"/>
      <c r="BE295" s="518"/>
    </row>
    <row r="296" spans="1:57" ht="12.75" customHeight="1">
      <c r="A296" s="518"/>
      <c r="B296" s="518"/>
      <c r="C296" s="518"/>
      <c r="D296" s="518"/>
      <c r="E296" s="518"/>
      <c r="F296" s="518"/>
      <c r="G296" s="518"/>
      <c r="H296" s="518"/>
      <c r="I296" s="518"/>
      <c r="J296" s="518"/>
      <c r="K296" s="518"/>
      <c r="L296" s="518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  <c r="AB296" s="518"/>
      <c r="AC296" s="518"/>
      <c r="AD296" s="518"/>
      <c r="AE296" s="518"/>
      <c r="AF296" s="518"/>
      <c r="AG296" s="518"/>
      <c r="AH296" s="518"/>
      <c r="AI296" s="518"/>
      <c r="AJ296" s="518"/>
      <c r="AK296" s="518"/>
      <c r="AL296" s="518"/>
      <c r="AM296" s="518"/>
      <c r="AN296" s="518"/>
      <c r="AO296" s="518"/>
      <c r="AP296" s="518"/>
      <c r="AQ296" s="518"/>
      <c r="AR296" s="518"/>
      <c r="AS296" s="518"/>
      <c r="AT296" s="518"/>
      <c r="AU296" s="518"/>
      <c r="AV296" s="518"/>
      <c r="AW296" s="518"/>
      <c r="AX296" s="518"/>
      <c r="AY296" s="518"/>
      <c r="AZ296" s="518"/>
      <c r="BA296" s="518"/>
      <c r="BB296" s="518"/>
      <c r="BC296" s="518"/>
      <c r="BD296" s="518"/>
      <c r="BE296" s="518"/>
    </row>
    <row r="297" spans="1:57" ht="12.75" customHeight="1">
      <c r="A297" s="518"/>
      <c r="B297" s="518"/>
      <c r="C297" s="518"/>
      <c r="D297" s="518"/>
      <c r="E297" s="518"/>
      <c r="F297" s="518"/>
      <c r="G297" s="518"/>
      <c r="H297" s="518"/>
      <c r="I297" s="518"/>
      <c r="J297" s="518"/>
      <c r="K297" s="518"/>
      <c r="L297" s="518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  <c r="AB297" s="518"/>
      <c r="AC297" s="518"/>
      <c r="AD297" s="518"/>
      <c r="AE297" s="518"/>
      <c r="AF297" s="518"/>
      <c r="AG297" s="518"/>
      <c r="AH297" s="518"/>
      <c r="AI297" s="518"/>
      <c r="AJ297" s="518"/>
      <c r="AK297" s="518"/>
      <c r="AL297" s="518"/>
      <c r="AM297" s="518"/>
      <c r="AN297" s="518"/>
      <c r="AO297" s="518"/>
      <c r="AP297" s="518"/>
      <c r="AQ297" s="518"/>
      <c r="AR297" s="518"/>
      <c r="AS297" s="518"/>
      <c r="AT297" s="518"/>
      <c r="AU297" s="518"/>
      <c r="AV297" s="518"/>
      <c r="AW297" s="518"/>
      <c r="AX297" s="518"/>
      <c r="AY297" s="518"/>
      <c r="AZ297" s="518"/>
      <c r="BA297" s="518"/>
      <c r="BB297" s="518"/>
      <c r="BC297" s="518"/>
      <c r="BD297" s="518"/>
      <c r="BE297" s="518"/>
    </row>
    <row r="298" spans="1:57" ht="12.75" customHeight="1">
      <c r="A298" s="518"/>
      <c r="B298" s="518"/>
      <c r="C298" s="518"/>
      <c r="D298" s="518"/>
      <c r="E298" s="518"/>
      <c r="F298" s="518"/>
      <c r="G298" s="518"/>
      <c r="H298" s="518"/>
      <c r="I298" s="518"/>
      <c r="J298" s="518"/>
      <c r="K298" s="518"/>
      <c r="L298" s="518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  <c r="AB298" s="518"/>
      <c r="AC298" s="518"/>
      <c r="AD298" s="518"/>
      <c r="AE298" s="518"/>
      <c r="AF298" s="518"/>
      <c r="AG298" s="518"/>
      <c r="AH298" s="518"/>
      <c r="AI298" s="518"/>
      <c r="AJ298" s="518"/>
      <c r="AK298" s="518"/>
      <c r="AL298" s="518"/>
      <c r="AM298" s="518"/>
      <c r="AN298" s="518"/>
      <c r="AO298" s="518"/>
      <c r="AP298" s="518"/>
      <c r="AQ298" s="518"/>
      <c r="AR298" s="518"/>
      <c r="AS298" s="518"/>
      <c r="AT298" s="518"/>
      <c r="AU298" s="518"/>
      <c r="AV298" s="518"/>
      <c r="AW298" s="518"/>
      <c r="AX298" s="518"/>
      <c r="AY298" s="518"/>
      <c r="AZ298" s="518"/>
      <c r="BA298" s="518"/>
      <c r="BB298" s="518"/>
      <c r="BC298" s="518"/>
      <c r="BD298" s="518"/>
      <c r="BE298" s="518"/>
    </row>
    <row r="299" spans="1:57" ht="12.75" customHeight="1">
      <c r="A299" s="518"/>
      <c r="B299" s="518"/>
      <c r="C299" s="518"/>
      <c r="D299" s="518"/>
      <c r="E299" s="518"/>
      <c r="F299" s="518"/>
      <c r="G299" s="518"/>
      <c r="H299" s="518"/>
      <c r="I299" s="518"/>
      <c r="J299" s="518"/>
      <c r="K299" s="518"/>
      <c r="L299" s="518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  <c r="AB299" s="518"/>
      <c r="AC299" s="518"/>
      <c r="AD299" s="518"/>
      <c r="AE299" s="518"/>
      <c r="AF299" s="518"/>
      <c r="AG299" s="518"/>
      <c r="AH299" s="518"/>
      <c r="AI299" s="518"/>
      <c r="AJ299" s="518"/>
      <c r="AK299" s="518"/>
      <c r="AL299" s="518"/>
      <c r="AM299" s="518"/>
      <c r="AN299" s="518"/>
      <c r="AO299" s="518"/>
      <c r="AP299" s="518"/>
      <c r="AQ299" s="518"/>
      <c r="AR299" s="518"/>
      <c r="AS299" s="518"/>
      <c r="AT299" s="518"/>
      <c r="AU299" s="518"/>
      <c r="AV299" s="518"/>
      <c r="AW299" s="518"/>
      <c r="AX299" s="518"/>
      <c r="AY299" s="518"/>
      <c r="AZ299" s="518"/>
      <c r="BA299" s="518"/>
      <c r="BB299" s="518"/>
      <c r="BC299" s="518"/>
      <c r="BD299" s="518"/>
      <c r="BE299" s="518"/>
    </row>
    <row r="300" spans="1:57" ht="12.75" customHeight="1">
      <c r="A300" s="518"/>
      <c r="B300" s="518"/>
      <c r="C300" s="518"/>
      <c r="D300" s="518"/>
      <c r="E300" s="518"/>
      <c r="F300" s="518"/>
      <c r="G300" s="518"/>
      <c r="H300" s="518"/>
      <c r="I300" s="518"/>
      <c r="J300" s="518"/>
      <c r="K300" s="518"/>
      <c r="L300" s="518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  <c r="AB300" s="518"/>
      <c r="AC300" s="518"/>
      <c r="AD300" s="518"/>
      <c r="AE300" s="518"/>
      <c r="AF300" s="518"/>
      <c r="AG300" s="518"/>
      <c r="AH300" s="518"/>
      <c r="AI300" s="518"/>
      <c r="AJ300" s="518"/>
      <c r="AK300" s="518"/>
      <c r="AL300" s="518"/>
      <c r="AM300" s="518"/>
      <c r="AN300" s="518"/>
      <c r="AO300" s="518"/>
      <c r="AP300" s="518"/>
      <c r="AQ300" s="518"/>
      <c r="AR300" s="518"/>
      <c r="AS300" s="518"/>
      <c r="AT300" s="518"/>
      <c r="AU300" s="518"/>
      <c r="AV300" s="518"/>
      <c r="AW300" s="518"/>
      <c r="AX300" s="518"/>
      <c r="AY300" s="518"/>
      <c r="AZ300" s="518"/>
      <c r="BA300" s="518"/>
      <c r="BB300" s="518"/>
      <c r="BC300" s="518"/>
      <c r="BD300" s="518"/>
      <c r="BE300" s="518"/>
    </row>
    <row r="301" spans="1:57" ht="12.75" customHeight="1">
      <c r="A301" s="518"/>
      <c r="B301" s="518"/>
      <c r="C301" s="518"/>
      <c r="D301" s="518"/>
      <c r="E301" s="518"/>
      <c r="F301" s="518"/>
      <c r="G301" s="518"/>
      <c r="H301" s="518"/>
      <c r="I301" s="518"/>
      <c r="J301" s="518"/>
      <c r="K301" s="518"/>
      <c r="L301" s="518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  <c r="AB301" s="518"/>
      <c r="AC301" s="518"/>
      <c r="AD301" s="518"/>
      <c r="AE301" s="518"/>
      <c r="AF301" s="518"/>
      <c r="AG301" s="518"/>
      <c r="AH301" s="518"/>
      <c r="AI301" s="518"/>
      <c r="AJ301" s="518"/>
      <c r="AK301" s="518"/>
      <c r="AL301" s="518"/>
      <c r="AM301" s="518"/>
      <c r="AN301" s="518"/>
      <c r="AO301" s="518"/>
      <c r="AP301" s="518"/>
      <c r="AQ301" s="518"/>
      <c r="AR301" s="518"/>
      <c r="AS301" s="518"/>
      <c r="AT301" s="518"/>
      <c r="AU301" s="518"/>
      <c r="AV301" s="518"/>
      <c r="AW301" s="518"/>
      <c r="AX301" s="518"/>
      <c r="AY301" s="518"/>
      <c r="AZ301" s="518"/>
      <c r="BA301" s="518"/>
      <c r="BB301" s="518"/>
      <c r="BC301" s="518"/>
      <c r="BD301" s="518"/>
      <c r="BE301" s="518"/>
    </row>
    <row r="302" spans="1:57" ht="12.75" customHeight="1">
      <c r="A302" s="518"/>
      <c r="B302" s="518"/>
      <c r="C302" s="518"/>
      <c r="D302" s="518"/>
      <c r="E302" s="518"/>
      <c r="F302" s="518"/>
      <c r="G302" s="518"/>
      <c r="H302" s="518"/>
      <c r="I302" s="518"/>
      <c r="J302" s="518"/>
      <c r="K302" s="518"/>
      <c r="L302" s="518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  <c r="AB302" s="518"/>
      <c r="AC302" s="518"/>
      <c r="AD302" s="518"/>
      <c r="AE302" s="518"/>
      <c r="AF302" s="518"/>
      <c r="AG302" s="518"/>
      <c r="AH302" s="518"/>
      <c r="AI302" s="518"/>
      <c r="AJ302" s="518"/>
      <c r="AK302" s="518"/>
      <c r="AL302" s="518"/>
      <c r="AM302" s="518"/>
      <c r="AN302" s="518"/>
      <c r="AO302" s="518"/>
      <c r="AP302" s="518"/>
      <c r="AQ302" s="518"/>
      <c r="AR302" s="518"/>
      <c r="AS302" s="518"/>
      <c r="AT302" s="518"/>
      <c r="AU302" s="518"/>
      <c r="AV302" s="518"/>
      <c r="AW302" s="518"/>
      <c r="AX302" s="518"/>
      <c r="AY302" s="518"/>
      <c r="AZ302" s="518"/>
      <c r="BA302" s="518"/>
      <c r="BB302" s="518"/>
      <c r="BC302" s="518"/>
      <c r="BD302" s="518"/>
      <c r="BE302" s="518"/>
    </row>
    <row r="303" spans="1:57" ht="12.75" customHeight="1">
      <c r="A303" s="518"/>
      <c r="B303" s="518"/>
      <c r="C303" s="518"/>
      <c r="D303" s="518"/>
      <c r="E303" s="518"/>
      <c r="F303" s="518"/>
      <c r="G303" s="518"/>
      <c r="H303" s="518"/>
      <c r="I303" s="518"/>
      <c r="J303" s="518"/>
      <c r="K303" s="518"/>
      <c r="L303" s="518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  <c r="AB303" s="518"/>
      <c r="AC303" s="518"/>
      <c r="AD303" s="518"/>
      <c r="AE303" s="518"/>
      <c r="AF303" s="518"/>
      <c r="AG303" s="518"/>
      <c r="AH303" s="518"/>
      <c r="AI303" s="518"/>
      <c r="AJ303" s="518"/>
      <c r="AK303" s="518"/>
      <c r="AL303" s="518"/>
      <c r="AM303" s="518"/>
      <c r="AN303" s="518"/>
      <c r="AO303" s="518"/>
      <c r="AP303" s="518"/>
      <c r="AQ303" s="518"/>
      <c r="AR303" s="518"/>
      <c r="AS303" s="518"/>
      <c r="AT303" s="518"/>
      <c r="AU303" s="518"/>
      <c r="AV303" s="518"/>
      <c r="AW303" s="518"/>
      <c r="AX303" s="518"/>
      <c r="AY303" s="518"/>
      <c r="AZ303" s="518"/>
      <c r="BA303" s="518"/>
      <c r="BB303" s="518"/>
      <c r="BC303" s="518"/>
      <c r="BD303" s="518"/>
      <c r="BE303" s="518"/>
    </row>
    <row r="304" spans="1:57" ht="12.75" customHeight="1">
      <c r="A304" s="518"/>
      <c r="B304" s="518"/>
      <c r="C304" s="518"/>
      <c r="D304" s="518"/>
      <c r="E304" s="518"/>
      <c r="F304" s="518"/>
      <c r="G304" s="518"/>
      <c r="H304" s="518"/>
      <c r="I304" s="518"/>
      <c r="J304" s="518"/>
      <c r="K304" s="518"/>
      <c r="L304" s="518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  <c r="AB304" s="518"/>
      <c r="AC304" s="518"/>
      <c r="AD304" s="518"/>
      <c r="AE304" s="518"/>
      <c r="AF304" s="518"/>
      <c r="AG304" s="518"/>
      <c r="AH304" s="518"/>
      <c r="AI304" s="518"/>
      <c r="AJ304" s="518"/>
      <c r="AK304" s="518"/>
      <c r="AL304" s="518"/>
      <c r="AM304" s="518"/>
      <c r="AN304" s="518"/>
      <c r="AO304" s="518"/>
      <c r="AP304" s="518"/>
      <c r="AQ304" s="518"/>
      <c r="AR304" s="518"/>
      <c r="AS304" s="518"/>
      <c r="AT304" s="518"/>
      <c r="AU304" s="518"/>
      <c r="AV304" s="518"/>
      <c r="AW304" s="518"/>
      <c r="AX304" s="518"/>
      <c r="AY304" s="518"/>
      <c r="AZ304" s="518"/>
      <c r="BA304" s="518"/>
      <c r="BB304" s="518"/>
      <c r="BC304" s="518"/>
      <c r="BD304" s="518"/>
      <c r="BE304" s="518"/>
    </row>
    <row r="305" spans="1:57" ht="12.75" customHeight="1">
      <c r="A305" s="518"/>
      <c r="B305" s="518"/>
      <c r="C305" s="518"/>
      <c r="D305" s="518"/>
      <c r="E305" s="518"/>
      <c r="F305" s="518"/>
      <c r="G305" s="518"/>
      <c r="H305" s="518"/>
      <c r="I305" s="518"/>
      <c r="J305" s="518"/>
      <c r="K305" s="518"/>
      <c r="L305" s="518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  <c r="AB305" s="518"/>
      <c r="AC305" s="518"/>
      <c r="AD305" s="518"/>
      <c r="AE305" s="518"/>
      <c r="AF305" s="518"/>
      <c r="AG305" s="518"/>
      <c r="AH305" s="518"/>
      <c r="AI305" s="518"/>
      <c r="AJ305" s="518"/>
      <c r="AK305" s="518"/>
      <c r="AL305" s="518"/>
      <c r="AM305" s="518"/>
      <c r="AN305" s="518"/>
      <c r="AO305" s="518"/>
      <c r="AP305" s="518"/>
      <c r="AQ305" s="518"/>
      <c r="AR305" s="518"/>
      <c r="AS305" s="518"/>
      <c r="AT305" s="518"/>
      <c r="AU305" s="518"/>
      <c r="AV305" s="518"/>
      <c r="AW305" s="518"/>
      <c r="AX305" s="518"/>
      <c r="AY305" s="518"/>
      <c r="AZ305" s="518"/>
      <c r="BA305" s="518"/>
      <c r="BB305" s="518"/>
      <c r="BC305" s="518"/>
      <c r="BD305" s="518"/>
      <c r="BE305" s="518"/>
    </row>
    <row r="306" spans="1:57" ht="12.75" customHeight="1">
      <c r="A306" s="518"/>
      <c r="B306" s="518"/>
      <c r="C306" s="518"/>
      <c r="D306" s="518"/>
      <c r="E306" s="518"/>
      <c r="F306" s="518"/>
      <c r="G306" s="518"/>
      <c r="H306" s="518"/>
      <c r="I306" s="518"/>
      <c r="J306" s="518"/>
      <c r="K306" s="518"/>
      <c r="L306" s="518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  <c r="AB306" s="518"/>
      <c r="AC306" s="518"/>
      <c r="AD306" s="518"/>
      <c r="AE306" s="518"/>
      <c r="AF306" s="518"/>
      <c r="AG306" s="518"/>
      <c r="AH306" s="518"/>
      <c r="AI306" s="518"/>
      <c r="AJ306" s="518"/>
      <c r="AK306" s="518"/>
      <c r="AL306" s="518"/>
      <c r="AM306" s="518"/>
      <c r="AN306" s="518"/>
      <c r="AO306" s="518"/>
      <c r="AP306" s="518"/>
      <c r="AQ306" s="518"/>
      <c r="AR306" s="518"/>
      <c r="AS306" s="518"/>
      <c r="AT306" s="518"/>
      <c r="AU306" s="518"/>
      <c r="AV306" s="518"/>
      <c r="AW306" s="518"/>
      <c r="AX306" s="518"/>
      <c r="AY306" s="518"/>
      <c r="AZ306" s="518"/>
      <c r="BA306" s="518"/>
      <c r="BB306" s="518"/>
      <c r="BC306" s="518"/>
      <c r="BD306" s="518"/>
      <c r="BE306" s="518"/>
    </row>
    <row r="307" spans="1:57" ht="12.75" customHeight="1">
      <c r="A307" s="518"/>
      <c r="B307" s="518"/>
      <c r="C307" s="518"/>
      <c r="D307" s="518"/>
      <c r="E307" s="518"/>
      <c r="F307" s="518"/>
      <c r="G307" s="518"/>
      <c r="H307" s="518"/>
      <c r="I307" s="518"/>
      <c r="J307" s="518"/>
      <c r="K307" s="518"/>
      <c r="L307" s="518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  <c r="AB307" s="518"/>
      <c r="AC307" s="518"/>
      <c r="AD307" s="518"/>
      <c r="AE307" s="518"/>
      <c r="AF307" s="518"/>
      <c r="AG307" s="518"/>
      <c r="AH307" s="518"/>
      <c r="AI307" s="518"/>
      <c r="AJ307" s="518"/>
      <c r="AK307" s="518"/>
      <c r="AL307" s="518"/>
      <c r="AM307" s="518"/>
      <c r="AN307" s="518"/>
      <c r="AO307" s="518"/>
      <c r="AP307" s="518"/>
      <c r="AQ307" s="518"/>
      <c r="AR307" s="518"/>
      <c r="AS307" s="518"/>
      <c r="AT307" s="518"/>
      <c r="AU307" s="518"/>
      <c r="AV307" s="518"/>
      <c r="AW307" s="518"/>
      <c r="AX307" s="518"/>
      <c r="AY307" s="518"/>
      <c r="AZ307" s="518"/>
      <c r="BA307" s="518"/>
      <c r="BB307" s="518"/>
      <c r="BC307" s="518"/>
      <c r="BD307" s="518"/>
      <c r="BE307" s="518"/>
    </row>
    <row r="308" spans="1:57" ht="12.75" customHeight="1">
      <c r="A308" s="518"/>
      <c r="B308" s="518"/>
      <c r="C308" s="518"/>
      <c r="D308" s="518"/>
      <c r="E308" s="518"/>
      <c r="F308" s="518"/>
      <c r="G308" s="518"/>
      <c r="H308" s="518"/>
      <c r="I308" s="518"/>
      <c r="J308" s="518"/>
      <c r="K308" s="518"/>
      <c r="L308" s="518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  <c r="AB308" s="518"/>
      <c r="AC308" s="518"/>
      <c r="AD308" s="518"/>
      <c r="AE308" s="518"/>
      <c r="AF308" s="518"/>
      <c r="AG308" s="518"/>
      <c r="AH308" s="518"/>
      <c r="AI308" s="518"/>
      <c r="AJ308" s="518"/>
      <c r="AK308" s="518"/>
      <c r="AL308" s="518"/>
      <c r="AM308" s="518"/>
      <c r="AN308" s="518"/>
      <c r="AO308" s="518"/>
      <c r="AP308" s="518"/>
      <c r="AQ308" s="518"/>
      <c r="AR308" s="518"/>
      <c r="AS308" s="518"/>
      <c r="AT308" s="518"/>
      <c r="AU308" s="518"/>
      <c r="AV308" s="518"/>
      <c r="AW308" s="518"/>
      <c r="AX308" s="518"/>
      <c r="AY308" s="518"/>
      <c r="AZ308" s="518"/>
      <c r="BA308" s="518"/>
      <c r="BB308" s="518"/>
      <c r="BC308" s="518"/>
      <c r="BD308" s="518"/>
      <c r="BE308" s="518"/>
    </row>
    <row r="309" spans="1:57" ht="12.75" customHeight="1">
      <c r="A309" s="518"/>
      <c r="B309" s="518"/>
      <c r="C309" s="518"/>
      <c r="D309" s="518"/>
      <c r="E309" s="518"/>
      <c r="F309" s="518"/>
      <c r="G309" s="518"/>
      <c r="H309" s="518"/>
      <c r="I309" s="518"/>
      <c r="J309" s="518"/>
      <c r="K309" s="518"/>
      <c r="L309" s="518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  <c r="AB309" s="518"/>
      <c r="AC309" s="518"/>
      <c r="AD309" s="518"/>
      <c r="AE309" s="518"/>
      <c r="AF309" s="518"/>
      <c r="AG309" s="518"/>
      <c r="AH309" s="518"/>
      <c r="AI309" s="518"/>
      <c r="AJ309" s="518"/>
      <c r="AK309" s="518"/>
      <c r="AL309" s="518"/>
      <c r="AM309" s="518"/>
      <c r="AN309" s="518"/>
      <c r="AO309" s="518"/>
      <c r="AP309" s="518"/>
      <c r="AQ309" s="518"/>
      <c r="AR309" s="518"/>
      <c r="AS309" s="518"/>
      <c r="AT309" s="518"/>
      <c r="AU309" s="518"/>
      <c r="AV309" s="518"/>
      <c r="AW309" s="518"/>
      <c r="AX309" s="518"/>
      <c r="AY309" s="518"/>
      <c r="AZ309" s="518"/>
      <c r="BA309" s="518"/>
      <c r="BB309" s="518"/>
      <c r="BC309" s="518"/>
      <c r="BD309" s="518"/>
      <c r="BE309" s="518"/>
    </row>
    <row r="310" spans="1:57" ht="12.75" customHeight="1">
      <c r="A310" s="518"/>
      <c r="B310" s="518"/>
      <c r="C310" s="518"/>
      <c r="D310" s="518"/>
      <c r="E310" s="518"/>
      <c r="F310" s="518"/>
      <c r="G310" s="518"/>
      <c r="H310" s="518"/>
      <c r="I310" s="518"/>
      <c r="J310" s="518"/>
      <c r="K310" s="518"/>
      <c r="L310" s="518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  <c r="AB310" s="518"/>
      <c r="AC310" s="518"/>
      <c r="AD310" s="518"/>
      <c r="AE310" s="518"/>
      <c r="AF310" s="518"/>
      <c r="AG310" s="518"/>
      <c r="AH310" s="518"/>
      <c r="AI310" s="518"/>
      <c r="AJ310" s="518"/>
      <c r="AK310" s="518"/>
      <c r="AL310" s="518"/>
      <c r="AM310" s="518"/>
      <c r="AN310" s="518"/>
      <c r="AO310" s="518"/>
      <c r="AP310" s="518"/>
      <c r="AQ310" s="518"/>
      <c r="AR310" s="518"/>
      <c r="AS310" s="518"/>
      <c r="AT310" s="518"/>
      <c r="AU310" s="518"/>
      <c r="AV310" s="518"/>
      <c r="AW310" s="518"/>
      <c r="AX310" s="518"/>
      <c r="AY310" s="518"/>
      <c r="AZ310" s="518"/>
      <c r="BA310" s="518"/>
      <c r="BB310" s="518"/>
      <c r="BC310" s="518"/>
      <c r="BD310" s="518"/>
      <c r="BE310" s="518"/>
    </row>
    <row r="311" spans="1:57" ht="12.75" customHeight="1">
      <c r="A311" s="518"/>
      <c r="B311" s="518"/>
      <c r="C311" s="518"/>
      <c r="D311" s="518"/>
      <c r="E311" s="518"/>
      <c r="F311" s="518"/>
      <c r="G311" s="518"/>
      <c r="H311" s="518"/>
      <c r="I311" s="518"/>
      <c r="J311" s="518"/>
      <c r="K311" s="518"/>
      <c r="L311" s="518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  <c r="AB311" s="518"/>
      <c r="AC311" s="518"/>
      <c r="AD311" s="518"/>
      <c r="AE311" s="518"/>
      <c r="AF311" s="518"/>
      <c r="AG311" s="518"/>
      <c r="AH311" s="518"/>
      <c r="AI311" s="518"/>
      <c r="AJ311" s="518"/>
      <c r="AK311" s="518"/>
      <c r="AL311" s="518"/>
      <c r="AM311" s="518"/>
      <c r="AN311" s="518"/>
      <c r="AO311" s="518"/>
      <c r="AP311" s="518"/>
      <c r="AQ311" s="518"/>
      <c r="AR311" s="518"/>
      <c r="AS311" s="518"/>
      <c r="AT311" s="518"/>
      <c r="AU311" s="518"/>
      <c r="AV311" s="518"/>
      <c r="AW311" s="518"/>
      <c r="AX311" s="518"/>
      <c r="AY311" s="518"/>
      <c r="AZ311" s="518"/>
      <c r="BA311" s="518"/>
      <c r="BB311" s="518"/>
      <c r="BC311" s="518"/>
      <c r="BD311" s="518"/>
      <c r="BE311" s="518"/>
    </row>
    <row r="312" spans="1:57" ht="12.75" customHeight="1">
      <c r="A312" s="518"/>
      <c r="B312" s="518"/>
      <c r="C312" s="518"/>
      <c r="D312" s="518"/>
      <c r="E312" s="518"/>
      <c r="F312" s="518"/>
      <c r="G312" s="518"/>
      <c r="H312" s="518"/>
      <c r="I312" s="518"/>
      <c r="J312" s="518"/>
      <c r="K312" s="518"/>
      <c r="L312" s="518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  <c r="AB312" s="518"/>
      <c r="AC312" s="518"/>
      <c r="AD312" s="518"/>
      <c r="AE312" s="518"/>
      <c r="AF312" s="518"/>
      <c r="AG312" s="518"/>
      <c r="AH312" s="518"/>
      <c r="AI312" s="518"/>
      <c r="AJ312" s="518"/>
      <c r="AK312" s="518"/>
      <c r="AL312" s="518"/>
      <c r="AM312" s="518"/>
      <c r="AN312" s="518"/>
      <c r="AO312" s="518"/>
      <c r="AP312" s="518"/>
      <c r="AQ312" s="518"/>
      <c r="AR312" s="518"/>
      <c r="AS312" s="518"/>
      <c r="AT312" s="518"/>
      <c r="AU312" s="518"/>
      <c r="AV312" s="518"/>
      <c r="AW312" s="518"/>
      <c r="AX312" s="518"/>
      <c r="AY312" s="518"/>
      <c r="AZ312" s="518"/>
      <c r="BA312" s="518"/>
      <c r="BB312" s="518"/>
      <c r="BC312" s="518"/>
      <c r="BD312" s="518"/>
      <c r="BE312" s="518"/>
    </row>
    <row r="313" spans="1:57" ht="12.75" customHeight="1">
      <c r="A313" s="518"/>
      <c r="B313" s="518"/>
      <c r="C313" s="518"/>
      <c r="D313" s="518"/>
      <c r="E313" s="518"/>
      <c r="F313" s="518"/>
      <c r="G313" s="518"/>
      <c r="H313" s="518"/>
      <c r="I313" s="518"/>
      <c r="J313" s="518"/>
      <c r="K313" s="518"/>
      <c r="L313" s="518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  <c r="AB313" s="518"/>
      <c r="AC313" s="518"/>
      <c r="AD313" s="518"/>
      <c r="AE313" s="518"/>
      <c r="AF313" s="518"/>
      <c r="AG313" s="518"/>
      <c r="AH313" s="518"/>
      <c r="AI313" s="518"/>
      <c r="AJ313" s="518"/>
      <c r="AK313" s="518"/>
      <c r="AL313" s="518"/>
      <c r="AM313" s="518"/>
      <c r="AN313" s="518"/>
      <c r="AO313" s="518"/>
      <c r="AP313" s="518"/>
      <c r="AQ313" s="518"/>
      <c r="AR313" s="518"/>
      <c r="AS313" s="518"/>
      <c r="AT313" s="518"/>
      <c r="AU313" s="518"/>
      <c r="AV313" s="518"/>
      <c r="AW313" s="518"/>
      <c r="AX313" s="518"/>
      <c r="AY313" s="518"/>
      <c r="AZ313" s="518"/>
      <c r="BA313" s="518"/>
      <c r="BB313" s="518"/>
      <c r="BC313" s="518"/>
      <c r="BD313" s="518"/>
      <c r="BE313" s="518"/>
    </row>
    <row r="314" spans="1:57" ht="12.75" customHeight="1">
      <c r="A314" s="518"/>
      <c r="B314" s="518"/>
      <c r="C314" s="518"/>
      <c r="D314" s="518"/>
      <c r="E314" s="518"/>
      <c r="F314" s="518"/>
      <c r="G314" s="518"/>
      <c r="H314" s="518"/>
      <c r="I314" s="518"/>
      <c r="J314" s="518"/>
      <c r="K314" s="518"/>
      <c r="L314" s="518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  <c r="AB314" s="518"/>
      <c r="AC314" s="518"/>
      <c r="AD314" s="518"/>
      <c r="AE314" s="518"/>
      <c r="AF314" s="518"/>
      <c r="AG314" s="518"/>
      <c r="AH314" s="518"/>
      <c r="AI314" s="518"/>
      <c r="AJ314" s="518"/>
      <c r="AK314" s="518"/>
      <c r="AL314" s="518"/>
      <c r="AM314" s="518"/>
      <c r="AN314" s="518"/>
      <c r="AO314" s="518"/>
      <c r="AP314" s="518"/>
      <c r="AQ314" s="518"/>
      <c r="AR314" s="518"/>
      <c r="AS314" s="518"/>
      <c r="AT314" s="518"/>
      <c r="AU314" s="518"/>
      <c r="AV314" s="518"/>
      <c r="AW314" s="518"/>
      <c r="AX314" s="518"/>
      <c r="AY314" s="518"/>
      <c r="AZ314" s="518"/>
      <c r="BA314" s="518"/>
      <c r="BB314" s="518"/>
      <c r="BC314" s="518"/>
      <c r="BD314" s="518"/>
      <c r="BE314" s="518"/>
    </row>
    <row r="315" spans="1:57" ht="12.75" customHeight="1">
      <c r="A315" s="518"/>
      <c r="B315" s="518"/>
      <c r="C315" s="518"/>
      <c r="D315" s="518"/>
      <c r="E315" s="518"/>
      <c r="F315" s="518"/>
      <c r="G315" s="518"/>
      <c r="H315" s="518"/>
      <c r="I315" s="518"/>
      <c r="J315" s="518"/>
      <c r="K315" s="518"/>
      <c r="L315" s="518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  <c r="AB315" s="518"/>
      <c r="AC315" s="518"/>
      <c r="AD315" s="518"/>
      <c r="AE315" s="518"/>
      <c r="AF315" s="518"/>
      <c r="AG315" s="518"/>
      <c r="AH315" s="518"/>
      <c r="AI315" s="518"/>
      <c r="AJ315" s="518"/>
      <c r="AK315" s="518"/>
      <c r="AL315" s="518"/>
      <c r="AM315" s="518"/>
      <c r="AN315" s="518"/>
      <c r="AO315" s="518"/>
      <c r="AP315" s="518"/>
      <c r="AQ315" s="518"/>
      <c r="AR315" s="518"/>
      <c r="AS315" s="518"/>
      <c r="AT315" s="518"/>
      <c r="AU315" s="518"/>
      <c r="AV315" s="518"/>
      <c r="AW315" s="518"/>
      <c r="AX315" s="518"/>
      <c r="AY315" s="518"/>
      <c r="AZ315" s="518"/>
      <c r="BA315" s="518"/>
      <c r="BB315" s="518"/>
      <c r="BC315" s="518"/>
      <c r="BD315" s="518"/>
      <c r="BE315" s="518"/>
    </row>
    <row r="316" spans="1:57" ht="12.75" customHeight="1">
      <c r="A316" s="518"/>
      <c r="B316" s="518"/>
      <c r="C316" s="518"/>
      <c r="D316" s="518"/>
      <c r="E316" s="518"/>
      <c r="F316" s="518"/>
      <c r="G316" s="518"/>
      <c r="H316" s="518"/>
      <c r="I316" s="518"/>
      <c r="J316" s="518"/>
      <c r="K316" s="518"/>
      <c r="L316" s="518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  <c r="AB316" s="518"/>
      <c r="AC316" s="518"/>
      <c r="AD316" s="518"/>
      <c r="AE316" s="518"/>
      <c r="AF316" s="518"/>
      <c r="AG316" s="518"/>
      <c r="AH316" s="518"/>
      <c r="AI316" s="518"/>
      <c r="AJ316" s="518"/>
      <c r="AK316" s="518"/>
      <c r="AL316" s="518"/>
      <c r="AM316" s="518"/>
      <c r="AN316" s="518"/>
      <c r="AO316" s="518"/>
      <c r="AP316" s="518"/>
      <c r="AQ316" s="518"/>
      <c r="AR316" s="518"/>
      <c r="AS316" s="518"/>
      <c r="AT316" s="518"/>
      <c r="AU316" s="518"/>
      <c r="AV316" s="518"/>
      <c r="AW316" s="518"/>
      <c r="AX316" s="518"/>
      <c r="AY316" s="518"/>
      <c r="AZ316" s="518"/>
      <c r="BA316" s="518"/>
      <c r="BB316" s="518"/>
      <c r="BC316" s="518"/>
      <c r="BD316" s="518"/>
      <c r="BE316" s="518"/>
    </row>
    <row r="317" spans="1:57" ht="12.75" customHeight="1">
      <c r="A317" s="518"/>
      <c r="B317" s="518"/>
      <c r="C317" s="518"/>
      <c r="D317" s="518"/>
      <c r="E317" s="518"/>
      <c r="F317" s="518"/>
      <c r="G317" s="518"/>
      <c r="H317" s="518"/>
      <c r="I317" s="518"/>
      <c r="J317" s="518"/>
      <c r="K317" s="518"/>
      <c r="L317" s="518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  <c r="AB317" s="518"/>
      <c r="AC317" s="518"/>
      <c r="AD317" s="518"/>
      <c r="AE317" s="518"/>
      <c r="AF317" s="518"/>
      <c r="AG317" s="518"/>
      <c r="AH317" s="518"/>
      <c r="AI317" s="518"/>
      <c r="AJ317" s="518"/>
      <c r="AK317" s="518"/>
      <c r="AL317" s="518"/>
      <c r="AM317" s="518"/>
      <c r="AN317" s="518"/>
      <c r="AO317" s="518"/>
      <c r="AP317" s="518"/>
      <c r="AQ317" s="518"/>
      <c r="AR317" s="518"/>
      <c r="AS317" s="518"/>
      <c r="AT317" s="518"/>
      <c r="AU317" s="518"/>
      <c r="AV317" s="518"/>
      <c r="AW317" s="518"/>
      <c r="AX317" s="518"/>
      <c r="AY317" s="518"/>
      <c r="AZ317" s="518"/>
      <c r="BA317" s="518"/>
      <c r="BB317" s="518"/>
      <c r="BC317" s="518"/>
      <c r="BD317" s="518"/>
      <c r="BE317" s="518"/>
    </row>
    <row r="318" spans="1:57" ht="12.75" customHeight="1">
      <c r="A318" s="518"/>
      <c r="B318" s="518"/>
      <c r="C318" s="518"/>
      <c r="D318" s="518"/>
      <c r="E318" s="518"/>
      <c r="F318" s="518"/>
      <c r="G318" s="518"/>
      <c r="H318" s="518"/>
      <c r="I318" s="518"/>
      <c r="J318" s="518"/>
      <c r="K318" s="518"/>
      <c r="L318" s="518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  <c r="AB318" s="518"/>
      <c r="AC318" s="518"/>
      <c r="AD318" s="518"/>
      <c r="AE318" s="518"/>
      <c r="AF318" s="518"/>
      <c r="AG318" s="518"/>
      <c r="AH318" s="518"/>
      <c r="AI318" s="518"/>
      <c r="AJ318" s="518"/>
      <c r="AK318" s="518"/>
      <c r="AL318" s="518"/>
      <c r="AM318" s="518"/>
      <c r="AN318" s="518"/>
      <c r="AO318" s="518"/>
      <c r="AP318" s="518"/>
      <c r="AQ318" s="518"/>
      <c r="AR318" s="518"/>
      <c r="AS318" s="518"/>
      <c r="AT318" s="518"/>
      <c r="AU318" s="518"/>
      <c r="AV318" s="518"/>
      <c r="AW318" s="518"/>
      <c r="AX318" s="518"/>
      <c r="AY318" s="518"/>
      <c r="AZ318" s="518"/>
      <c r="BA318" s="518"/>
      <c r="BB318" s="518"/>
      <c r="BC318" s="518"/>
      <c r="BD318" s="518"/>
      <c r="BE318" s="518"/>
    </row>
    <row r="319" spans="1:57" ht="12.75" customHeight="1">
      <c r="A319" s="518"/>
      <c r="B319" s="518"/>
      <c r="C319" s="518"/>
      <c r="D319" s="518"/>
      <c r="E319" s="518"/>
      <c r="F319" s="518"/>
      <c r="G319" s="518"/>
      <c r="H319" s="518"/>
      <c r="I319" s="518"/>
      <c r="J319" s="518"/>
      <c r="K319" s="518"/>
      <c r="L319" s="518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  <c r="AB319" s="518"/>
      <c r="AC319" s="518"/>
      <c r="AD319" s="518"/>
      <c r="AE319" s="518"/>
      <c r="AF319" s="518"/>
      <c r="AG319" s="518"/>
      <c r="AH319" s="518"/>
      <c r="AI319" s="518"/>
      <c r="AJ319" s="518"/>
      <c r="AK319" s="518"/>
      <c r="AL319" s="518"/>
      <c r="AM319" s="518"/>
      <c r="AN319" s="518"/>
      <c r="AO319" s="518"/>
      <c r="AP319" s="518"/>
      <c r="AQ319" s="518"/>
      <c r="AR319" s="518"/>
      <c r="AS319" s="518"/>
      <c r="AT319" s="518"/>
      <c r="AU319" s="518"/>
      <c r="AV319" s="518"/>
      <c r="AW319" s="518"/>
      <c r="AX319" s="518"/>
      <c r="AY319" s="518"/>
      <c r="AZ319" s="518"/>
      <c r="BA319" s="518"/>
      <c r="BB319" s="518"/>
      <c r="BC319" s="518"/>
      <c r="BD319" s="518"/>
      <c r="BE319" s="518"/>
    </row>
    <row r="320" spans="1:57" ht="12.75" customHeight="1">
      <c r="A320" s="518"/>
      <c r="B320" s="518"/>
      <c r="C320" s="518"/>
      <c r="D320" s="518"/>
      <c r="E320" s="518"/>
      <c r="F320" s="518"/>
      <c r="G320" s="518"/>
      <c r="H320" s="518"/>
      <c r="I320" s="518"/>
      <c r="J320" s="518"/>
      <c r="K320" s="518"/>
      <c r="L320" s="518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  <c r="AB320" s="518"/>
      <c r="AC320" s="518"/>
      <c r="AD320" s="518"/>
      <c r="AE320" s="518"/>
      <c r="AF320" s="518"/>
      <c r="AG320" s="518"/>
      <c r="AH320" s="518"/>
      <c r="AI320" s="518"/>
      <c r="AJ320" s="518"/>
      <c r="AK320" s="518"/>
      <c r="AL320" s="518"/>
      <c r="AM320" s="518"/>
      <c r="AN320" s="518"/>
      <c r="AO320" s="518"/>
      <c r="AP320" s="518"/>
      <c r="AQ320" s="518"/>
      <c r="AR320" s="518"/>
      <c r="AS320" s="518"/>
      <c r="AT320" s="518"/>
      <c r="AU320" s="518"/>
      <c r="AV320" s="518"/>
      <c r="AW320" s="518"/>
      <c r="AX320" s="518"/>
      <c r="AY320" s="518"/>
      <c r="AZ320" s="518"/>
      <c r="BA320" s="518"/>
      <c r="BB320" s="518"/>
      <c r="BC320" s="518"/>
      <c r="BD320" s="518"/>
      <c r="BE320" s="518"/>
    </row>
    <row r="321" spans="1:57" ht="12.75" customHeight="1">
      <c r="A321" s="518"/>
      <c r="B321" s="518"/>
      <c r="C321" s="518"/>
      <c r="D321" s="518"/>
      <c r="E321" s="518"/>
      <c r="F321" s="518"/>
      <c r="G321" s="518"/>
      <c r="H321" s="518"/>
      <c r="I321" s="518"/>
      <c r="J321" s="518"/>
      <c r="K321" s="518"/>
      <c r="L321" s="518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  <c r="AB321" s="518"/>
      <c r="AC321" s="518"/>
      <c r="AD321" s="518"/>
      <c r="AE321" s="518"/>
      <c r="AF321" s="518"/>
      <c r="AG321" s="518"/>
      <c r="AH321" s="518"/>
      <c r="AI321" s="518"/>
      <c r="AJ321" s="518"/>
      <c r="AK321" s="518"/>
      <c r="AL321" s="518"/>
      <c r="AM321" s="518"/>
      <c r="AN321" s="518"/>
      <c r="AO321" s="518"/>
      <c r="AP321" s="518"/>
      <c r="AQ321" s="518"/>
      <c r="AR321" s="518"/>
      <c r="AS321" s="518"/>
      <c r="AT321" s="518"/>
      <c r="AU321" s="518"/>
      <c r="AV321" s="518"/>
      <c r="AW321" s="518"/>
      <c r="AX321" s="518"/>
      <c r="AY321" s="518"/>
      <c r="AZ321" s="518"/>
      <c r="BA321" s="518"/>
      <c r="BB321" s="518"/>
      <c r="BC321" s="518"/>
      <c r="BD321" s="518"/>
      <c r="BE321" s="518"/>
    </row>
    <row r="322" spans="1:57" ht="12.75" customHeight="1">
      <c r="A322" s="518"/>
      <c r="B322" s="518"/>
      <c r="C322" s="518"/>
      <c r="D322" s="518"/>
      <c r="E322" s="518"/>
      <c r="F322" s="518"/>
      <c r="G322" s="518"/>
      <c r="H322" s="518"/>
      <c r="I322" s="518"/>
      <c r="J322" s="518"/>
      <c r="K322" s="518"/>
      <c r="L322" s="518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  <c r="AB322" s="518"/>
      <c r="AC322" s="518"/>
      <c r="AD322" s="518"/>
      <c r="AE322" s="518"/>
      <c r="AF322" s="518"/>
      <c r="AG322" s="518"/>
      <c r="AH322" s="518"/>
      <c r="AI322" s="518"/>
      <c r="AJ322" s="518"/>
      <c r="AK322" s="518"/>
      <c r="AL322" s="518"/>
      <c r="AM322" s="518"/>
      <c r="AN322" s="518"/>
      <c r="AO322" s="518"/>
      <c r="AP322" s="518"/>
      <c r="AQ322" s="518"/>
      <c r="AR322" s="518"/>
      <c r="AS322" s="518"/>
      <c r="AT322" s="518"/>
      <c r="AU322" s="518"/>
      <c r="AV322" s="518"/>
      <c r="AW322" s="518"/>
      <c r="AX322" s="518"/>
      <c r="AY322" s="518"/>
      <c r="AZ322" s="518"/>
      <c r="BA322" s="518"/>
      <c r="BB322" s="518"/>
      <c r="BC322" s="518"/>
      <c r="BD322" s="518"/>
      <c r="BE322" s="518"/>
    </row>
    <row r="323" spans="1:57" ht="12.75" customHeight="1">
      <c r="A323" s="518"/>
      <c r="B323" s="518"/>
      <c r="C323" s="518"/>
      <c r="D323" s="518"/>
      <c r="E323" s="518"/>
      <c r="F323" s="518"/>
      <c r="G323" s="518"/>
      <c r="H323" s="518"/>
      <c r="I323" s="518"/>
      <c r="J323" s="518"/>
      <c r="K323" s="518"/>
      <c r="L323" s="518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  <c r="AB323" s="518"/>
      <c r="AC323" s="518"/>
      <c r="AD323" s="518"/>
      <c r="AE323" s="518"/>
      <c r="AF323" s="518"/>
      <c r="AG323" s="518"/>
      <c r="AH323" s="518"/>
      <c r="AI323" s="518"/>
      <c r="AJ323" s="518"/>
      <c r="AK323" s="518"/>
      <c r="AL323" s="518"/>
      <c r="AM323" s="518"/>
      <c r="AN323" s="518"/>
      <c r="AO323" s="518"/>
      <c r="AP323" s="518"/>
      <c r="AQ323" s="518"/>
      <c r="AR323" s="518"/>
      <c r="AS323" s="518"/>
      <c r="AT323" s="518"/>
      <c r="AU323" s="518"/>
      <c r="AV323" s="518"/>
      <c r="AW323" s="518"/>
      <c r="AX323" s="518"/>
      <c r="AY323" s="518"/>
      <c r="AZ323" s="518"/>
      <c r="BA323" s="518"/>
      <c r="BB323" s="518"/>
      <c r="BC323" s="518"/>
      <c r="BD323" s="518"/>
      <c r="BE323" s="518"/>
    </row>
    <row r="324" spans="1:57" ht="12.75" customHeight="1">
      <c r="A324" s="518"/>
      <c r="B324" s="518"/>
      <c r="C324" s="518"/>
      <c r="D324" s="518"/>
      <c r="E324" s="518"/>
      <c r="F324" s="518"/>
      <c r="G324" s="518"/>
      <c r="H324" s="518"/>
      <c r="I324" s="518"/>
      <c r="J324" s="518"/>
      <c r="K324" s="518"/>
      <c r="L324" s="518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  <c r="AB324" s="518"/>
      <c r="AC324" s="518"/>
      <c r="AD324" s="518"/>
      <c r="AE324" s="518"/>
      <c r="AF324" s="518"/>
      <c r="AG324" s="518"/>
      <c r="AH324" s="518"/>
      <c r="AI324" s="518"/>
      <c r="AJ324" s="518"/>
      <c r="AK324" s="518"/>
      <c r="AL324" s="518"/>
      <c r="AM324" s="518"/>
      <c r="AN324" s="518"/>
      <c r="AO324" s="518"/>
      <c r="AP324" s="518"/>
      <c r="AQ324" s="518"/>
      <c r="AR324" s="518"/>
      <c r="AS324" s="518"/>
      <c r="AT324" s="518"/>
      <c r="AU324" s="518"/>
      <c r="AV324" s="518"/>
      <c r="AW324" s="518"/>
      <c r="AX324" s="518"/>
      <c r="AY324" s="518"/>
      <c r="AZ324" s="518"/>
      <c r="BA324" s="518"/>
      <c r="BB324" s="518"/>
      <c r="BC324" s="518"/>
      <c r="BD324" s="518"/>
      <c r="BE324" s="518"/>
    </row>
    <row r="325" spans="1:57" ht="12.75" customHeight="1">
      <c r="A325" s="518"/>
      <c r="B325" s="518"/>
      <c r="C325" s="518"/>
      <c r="D325" s="518"/>
      <c r="E325" s="518"/>
      <c r="F325" s="518"/>
      <c r="G325" s="518"/>
      <c r="H325" s="518"/>
      <c r="I325" s="518"/>
      <c r="J325" s="518"/>
      <c r="K325" s="518"/>
      <c r="L325" s="518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  <c r="AB325" s="518"/>
      <c r="AC325" s="518"/>
      <c r="AD325" s="518"/>
      <c r="AE325" s="518"/>
      <c r="AF325" s="518"/>
      <c r="AG325" s="518"/>
      <c r="AH325" s="518"/>
      <c r="AI325" s="518"/>
      <c r="AJ325" s="518"/>
      <c r="AK325" s="518"/>
      <c r="AL325" s="518"/>
      <c r="AM325" s="518"/>
      <c r="AN325" s="518"/>
      <c r="AO325" s="518"/>
      <c r="AP325" s="518"/>
      <c r="AQ325" s="518"/>
      <c r="AR325" s="518"/>
      <c r="AS325" s="518"/>
      <c r="AT325" s="518"/>
      <c r="AU325" s="518"/>
      <c r="AV325" s="518"/>
      <c r="AW325" s="518"/>
      <c r="AX325" s="518"/>
      <c r="AY325" s="518"/>
      <c r="AZ325" s="518"/>
      <c r="BA325" s="518"/>
      <c r="BB325" s="518"/>
      <c r="BC325" s="518"/>
      <c r="BD325" s="518"/>
      <c r="BE325" s="518"/>
    </row>
    <row r="326" spans="1:57" ht="12.75" customHeight="1">
      <c r="A326" s="518"/>
      <c r="B326" s="518"/>
      <c r="C326" s="518"/>
      <c r="D326" s="518"/>
      <c r="E326" s="518"/>
      <c r="F326" s="518"/>
      <c r="G326" s="518"/>
      <c r="H326" s="518"/>
      <c r="I326" s="518"/>
      <c r="J326" s="518"/>
      <c r="K326" s="518"/>
      <c r="L326" s="518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  <c r="AB326" s="518"/>
      <c r="AC326" s="518"/>
      <c r="AD326" s="518"/>
      <c r="AE326" s="518"/>
      <c r="AF326" s="518"/>
      <c r="AG326" s="518"/>
      <c r="AH326" s="518"/>
      <c r="AI326" s="518"/>
      <c r="AJ326" s="518"/>
      <c r="AK326" s="518"/>
      <c r="AL326" s="518"/>
      <c r="AM326" s="518"/>
      <c r="AN326" s="518"/>
      <c r="AO326" s="518"/>
      <c r="AP326" s="518"/>
      <c r="AQ326" s="518"/>
      <c r="AR326" s="518"/>
      <c r="AS326" s="518"/>
      <c r="AT326" s="518"/>
      <c r="AU326" s="518"/>
      <c r="AV326" s="518"/>
      <c r="AW326" s="518"/>
      <c r="AX326" s="518"/>
      <c r="AY326" s="518"/>
      <c r="AZ326" s="518"/>
      <c r="BA326" s="518"/>
      <c r="BB326" s="518"/>
      <c r="BC326" s="518"/>
      <c r="BD326" s="518"/>
      <c r="BE326" s="518"/>
    </row>
    <row r="327" spans="1:57" ht="12.75" customHeight="1">
      <c r="A327" s="518"/>
      <c r="B327" s="518"/>
      <c r="C327" s="518"/>
      <c r="D327" s="518"/>
      <c r="E327" s="518"/>
      <c r="F327" s="518"/>
      <c r="G327" s="518"/>
      <c r="H327" s="518"/>
      <c r="I327" s="518"/>
      <c r="J327" s="518"/>
      <c r="K327" s="518"/>
      <c r="L327" s="518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  <c r="AB327" s="518"/>
      <c r="AC327" s="518"/>
      <c r="AD327" s="518"/>
      <c r="AE327" s="518"/>
      <c r="AF327" s="518"/>
      <c r="AG327" s="518"/>
      <c r="AH327" s="518"/>
      <c r="AI327" s="518"/>
      <c r="AJ327" s="518"/>
      <c r="AK327" s="518"/>
      <c r="AL327" s="518"/>
      <c r="AM327" s="518"/>
      <c r="AN327" s="518"/>
      <c r="AO327" s="518"/>
      <c r="AP327" s="518"/>
      <c r="AQ327" s="518"/>
      <c r="AR327" s="518"/>
      <c r="AS327" s="518"/>
      <c r="AT327" s="518"/>
      <c r="AU327" s="518"/>
      <c r="AV327" s="518"/>
      <c r="AW327" s="518"/>
      <c r="AX327" s="518"/>
      <c r="AY327" s="518"/>
      <c r="AZ327" s="518"/>
      <c r="BA327" s="518"/>
      <c r="BB327" s="518"/>
      <c r="BC327" s="518"/>
      <c r="BD327" s="518"/>
      <c r="BE327" s="518"/>
    </row>
    <row r="328" spans="1:57" ht="12.75" customHeight="1">
      <c r="A328" s="518"/>
      <c r="B328" s="518"/>
      <c r="C328" s="518"/>
      <c r="D328" s="518"/>
      <c r="E328" s="518"/>
      <c r="F328" s="518"/>
      <c r="G328" s="518"/>
      <c r="H328" s="518"/>
      <c r="I328" s="518"/>
      <c r="J328" s="518"/>
      <c r="K328" s="518"/>
      <c r="L328" s="518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  <c r="AB328" s="518"/>
      <c r="AC328" s="518"/>
      <c r="AD328" s="518"/>
      <c r="AE328" s="518"/>
      <c r="AF328" s="518"/>
      <c r="AG328" s="518"/>
      <c r="AH328" s="518"/>
      <c r="AI328" s="518"/>
      <c r="AJ328" s="518"/>
      <c r="AK328" s="518"/>
      <c r="AL328" s="518"/>
      <c r="AM328" s="518"/>
      <c r="AN328" s="518"/>
      <c r="AO328" s="518"/>
      <c r="AP328" s="518"/>
      <c r="AQ328" s="518"/>
      <c r="AR328" s="518"/>
      <c r="AS328" s="518"/>
      <c r="AT328" s="518"/>
      <c r="AU328" s="518"/>
      <c r="AV328" s="518"/>
      <c r="AW328" s="518"/>
      <c r="AX328" s="518"/>
      <c r="AY328" s="518"/>
      <c r="AZ328" s="518"/>
      <c r="BA328" s="518"/>
      <c r="BB328" s="518"/>
      <c r="BC328" s="518"/>
      <c r="BD328" s="518"/>
      <c r="BE328" s="518"/>
    </row>
    <row r="329" spans="1:57" ht="12.75" customHeight="1">
      <c r="A329" s="518"/>
      <c r="B329" s="518"/>
      <c r="C329" s="518"/>
      <c r="D329" s="518"/>
      <c r="E329" s="518"/>
      <c r="F329" s="518"/>
      <c r="G329" s="518"/>
      <c r="H329" s="518"/>
      <c r="I329" s="518"/>
      <c r="J329" s="518"/>
      <c r="K329" s="518"/>
      <c r="L329" s="518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  <c r="AB329" s="518"/>
      <c r="AC329" s="518"/>
      <c r="AD329" s="518"/>
      <c r="AE329" s="518"/>
      <c r="AF329" s="518"/>
      <c r="AG329" s="518"/>
      <c r="AH329" s="518"/>
      <c r="AI329" s="518"/>
      <c r="AJ329" s="518"/>
      <c r="AK329" s="518"/>
      <c r="AL329" s="518"/>
      <c r="AM329" s="518"/>
      <c r="AN329" s="518"/>
      <c r="AO329" s="518"/>
      <c r="AP329" s="518"/>
      <c r="AQ329" s="518"/>
      <c r="AR329" s="518"/>
      <c r="AS329" s="518"/>
      <c r="AT329" s="518"/>
      <c r="AU329" s="518"/>
      <c r="AV329" s="518"/>
      <c r="AW329" s="518"/>
      <c r="AX329" s="518"/>
      <c r="AY329" s="518"/>
      <c r="AZ329" s="518"/>
      <c r="BA329" s="518"/>
      <c r="BB329" s="518"/>
      <c r="BC329" s="518"/>
      <c r="BD329" s="518"/>
      <c r="BE329" s="518"/>
    </row>
    <row r="330" spans="1:57" ht="12.75" customHeight="1">
      <c r="A330" s="518"/>
      <c r="B330" s="518"/>
      <c r="C330" s="518"/>
      <c r="D330" s="518"/>
      <c r="E330" s="518"/>
      <c r="F330" s="518"/>
      <c r="G330" s="518"/>
      <c r="H330" s="518"/>
      <c r="I330" s="518"/>
      <c r="J330" s="518"/>
      <c r="K330" s="518"/>
      <c r="L330" s="518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  <c r="AB330" s="518"/>
      <c r="AC330" s="518"/>
      <c r="AD330" s="518"/>
      <c r="AE330" s="518"/>
      <c r="AF330" s="518"/>
      <c r="AG330" s="518"/>
      <c r="AH330" s="518"/>
      <c r="AI330" s="518"/>
      <c r="AJ330" s="518"/>
      <c r="AK330" s="518"/>
      <c r="AL330" s="518"/>
      <c r="AM330" s="518"/>
      <c r="AN330" s="518"/>
      <c r="AO330" s="518"/>
      <c r="AP330" s="518"/>
      <c r="AQ330" s="518"/>
      <c r="AR330" s="518"/>
      <c r="AS330" s="518"/>
      <c r="AT330" s="518"/>
      <c r="AU330" s="518"/>
      <c r="AV330" s="518"/>
      <c r="AW330" s="518"/>
      <c r="AX330" s="518"/>
      <c r="AY330" s="518"/>
      <c r="AZ330" s="518"/>
      <c r="BA330" s="518"/>
      <c r="BB330" s="518"/>
      <c r="BC330" s="518"/>
      <c r="BD330" s="518"/>
      <c r="BE330" s="518"/>
    </row>
    <row r="331" spans="1:57" ht="12.75" customHeight="1">
      <c r="A331" s="518"/>
      <c r="B331" s="518"/>
      <c r="C331" s="518"/>
      <c r="D331" s="518"/>
      <c r="E331" s="518"/>
      <c r="F331" s="518"/>
      <c r="G331" s="518"/>
      <c r="H331" s="518"/>
      <c r="I331" s="518"/>
      <c r="J331" s="518"/>
      <c r="K331" s="518"/>
      <c r="L331" s="518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  <c r="AB331" s="518"/>
      <c r="AC331" s="518"/>
      <c r="AD331" s="518"/>
      <c r="AE331" s="518"/>
      <c r="AF331" s="518"/>
      <c r="AG331" s="518"/>
      <c r="AH331" s="518"/>
      <c r="AI331" s="518"/>
      <c r="AJ331" s="518"/>
      <c r="AK331" s="518"/>
      <c r="AL331" s="518"/>
      <c r="AM331" s="518"/>
      <c r="AN331" s="518"/>
      <c r="AO331" s="518"/>
      <c r="AP331" s="518"/>
      <c r="AQ331" s="518"/>
      <c r="AR331" s="518"/>
      <c r="AS331" s="518"/>
      <c r="AT331" s="518"/>
      <c r="AU331" s="518"/>
      <c r="AV331" s="518"/>
      <c r="AW331" s="518"/>
      <c r="AX331" s="518"/>
      <c r="AY331" s="518"/>
      <c r="AZ331" s="518"/>
      <c r="BA331" s="518"/>
      <c r="BB331" s="518"/>
      <c r="BC331" s="518"/>
      <c r="BD331" s="518"/>
      <c r="BE331" s="518"/>
    </row>
    <row r="332" spans="1:57" ht="12.75" customHeight="1">
      <c r="A332" s="518"/>
      <c r="B332" s="518"/>
      <c r="C332" s="518"/>
      <c r="D332" s="518"/>
      <c r="E332" s="518"/>
      <c r="F332" s="518"/>
      <c r="G332" s="518"/>
      <c r="H332" s="518"/>
      <c r="I332" s="518"/>
      <c r="J332" s="518"/>
      <c r="K332" s="518"/>
      <c r="L332" s="518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  <c r="AB332" s="518"/>
      <c r="AC332" s="518"/>
      <c r="AD332" s="518"/>
      <c r="AE332" s="518"/>
      <c r="AF332" s="518"/>
      <c r="AG332" s="518"/>
      <c r="AH332" s="518"/>
      <c r="AI332" s="518"/>
      <c r="AJ332" s="518"/>
      <c r="AK332" s="518"/>
      <c r="AL332" s="518"/>
      <c r="AM332" s="518"/>
      <c r="AN332" s="518"/>
      <c r="AO332" s="518"/>
      <c r="AP332" s="518"/>
      <c r="AQ332" s="518"/>
      <c r="AR332" s="518"/>
      <c r="AS332" s="518"/>
      <c r="AT332" s="518"/>
      <c r="AU332" s="518"/>
      <c r="AV332" s="518"/>
      <c r="AW332" s="518"/>
      <c r="AX332" s="518"/>
      <c r="AY332" s="518"/>
      <c r="AZ332" s="518"/>
      <c r="BA332" s="518"/>
      <c r="BB332" s="518"/>
      <c r="BC332" s="518"/>
      <c r="BD332" s="518"/>
      <c r="BE332" s="518"/>
    </row>
    <row r="333" spans="1:57" ht="12.75" customHeight="1">
      <c r="A333" s="518"/>
      <c r="B333" s="518"/>
      <c r="C333" s="518"/>
      <c r="D333" s="518"/>
      <c r="E333" s="518"/>
      <c r="F333" s="518"/>
      <c r="G333" s="518"/>
      <c r="H333" s="518"/>
      <c r="I333" s="518"/>
      <c r="J333" s="518"/>
      <c r="K333" s="518"/>
      <c r="L333" s="518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  <c r="AB333" s="518"/>
      <c r="AC333" s="518"/>
      <c r="AD333" s="518"/>
      <c r="AE333" s="518"/>
      <c r="AF333" s="518"/>
      <c r="AG333" s="518"/>
      <c r="AH333" s="518"/>
      <c r="AI333" s="518"/>
      <c r="AJ333" s="518"/>
      <c r="AK333" s="518"/>
      <c r="AL333" s="518"/>
      <c r="AM333" s="518"/>
      <c r="AN333" s="518"/>
      <c r="AO333" s="518"/>
      <c r="AP333" s="518"/>
      <c r="AQ333" s="518"/>
      <c r="AR333" s="518"/>
      <c r="AS333" s="518"/>
      <c r="AT333" s="518"/>
      <c r="AU333" s="518"/>
      <c r="AV333" s="518"/>
      <c r="AW333" s="518"/>
      <c r="AX333" s="518"/>
      <c r="AY333" s="518"/>
      <c r="AZ333" s="518"/>
      <c r="BA333" s="518"/>
      <c r="BB333" s="518"/>
      <c r="BC333" s="518"/>
      <c r="BD333" s="518"/>
      <c r="BE333" s="518"/>
    </row>
    <row r="334" spans="1:57" ht="12.75" customHeight="1">
      <c r="A334" s="518"/>
      <c r="B334" s="518"/>
      <c r="C334" s="518"/>
      <c r="D334" s="518"/>
      <c r="E334" s="518"/>
      <c r="F334" s="518"/>
      <c r="G334" s="518"/>
      <c r="H334" s="518"/>
      <c r="I334" s="518"/>
      <c r="J334" s="518"/>
      <c r="K334" s="518"/>
      <c r="L334" s="518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  <c r="AB334" s="518"/>
      <c r="AC334" s="518"/>
      <c r="AD334" s="518"/>
      <c r="AE334" s="518"/>
      <c r="AF334" s="518"/>
      <c r="AG334" s="518"/>
      <c r="AH334" s="518"/>
      <c r="AI334" s="518"/>
      <c r="AJ334" s="518"/>
      <c r="AK334" s="518"/>
      <c r="AL334" s="518"/>
      <c r="AM334" s="518"/>
      <c r="AN334" s="518"/>
      <c r="AO334" s="518"/>
      <c r="AP334" s="518"/>
      <c r="AQ334" s="518"/>
      <c r="AR334" s="518"/>
      <c r="AS334" s="518"/>
      <c r="AT334" s="518"/>
      <c r="AU334" s="518"/>
      <c r="AV334" s="518"/>
      <c r="AW334" s="518"/>
      <c r="AX334" s="518"/>
      <c r="AY334" s="518"/>
      <c r="AZ334" s="518"/>
      <c r="BA334" s="518"/>
      <c r="BB334" s="518"/>
      <c r="BC334" s="518"/>
      <c r="BD334" s="518"/>
      <c r="BE334" s="518"/>
    </row>
    <row r="335" spans="1:57" ht="12.75" customHeight="1">
      <c r="A335" s="518"/>
      <c r="B335" s="518"/>
      <c r="C335" s="518"/>
      <c r="D335" s="518"/>
      <c r="E335" s="518"/>
      <c r="F335" s="518"/>
      <c r="G335" s="518"/>
      <c r="H335" s="518"/>
      <c r="I335" s="518"/>
      <c r="J335" s="518"/>
      <c r="K335" s="518"/>
      <c r="L335" s="518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  <c r="AB335" s="518"/>
      <c r="AC335" s="518"/>
      <c r="AD335" s="518"/>
      <c r="AE335" s="518"/>
      <c r="AF335" s="518"/>
      <c r="AG335" s="518"/>
      <c r="AH335" s="518"/>
      <c r="AI335" s="518"/>
      <c r="AJ335" s="518"/>
      <c r="AK335" s="518"/>
      <c r="AL335" s="518"/>
      <c r="AM335" s="518"/>
      <c r="AN335" s="518"/>
      <c r="AO335" s="518"/>
      <c r="AP335" s="518"/>
      <c r="AQ335" s="518"/>
      <c r="AR335" s="518"/>
      <c r="AS335" s="518"/>
      <c r="AT335" s="518"/>
      <c r="AU335" s="518"/>
      <c r="AV335" s="518"/>
      <c r="AW335" s="518"/>
      <c r="AX335" s="518"/>
      <c r="AY335" s="518"/>
      <c r="AZ335" s="518"/>
      <c r="BA335" s="518"/>
      <c r="BB335" s="518"/>
      <c r="BC335" s="518"/>
      <c r="BD335" s="518"/>
      <c r="BE335" s="518"/>
    </row>
    <row r="336" spans="1:57" ht="12.75" customHeight="1">
      <c r="A336" s="518"/>
      <c r="B336" s="518"/>
      <c r="C336" s="518"/>
      <c r="D336" s="518"/>
      <c r="E336" s="518"/>
      <c r="F336" s="518"/>
      <c r="G336" s="518"/>
      <c r="H336" s="518"/>
      <c r="I336" s="518"/>
      <c r="J336" s="518"/>
      <c r="K336" s="518"/>
      <c r="L336" s="518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  <c r="AB336" s="518"/>
      <c r="AC336" s="518"/>
      <c r="AD336" s="518"/>
      <c r="AE336" s="518"/>
      <c r="AF336" s="518"/>
      <c r="AG336" s="518"/>
      <c r="AH336" s="518"/>
      <c r="AI336" s="518"/>
      <c r="AJ336" s="518"/>
      <c r="AK336" s="518"/>
      <c r="AL336" s="518"/>
      <c r="AM336" s="518"/>
      <c r="AN336" s="518"/>
      <c r="AO336" s="518"/>
      <c r="AP336" s="518"/>
      <c r="AQ336" s="518"/>
      <c r="AR336" s="518"/>
      <c r="AS336" s="518"/>
      <c r="AT336" s="518"/>
      <c r="AU336" s="518"/>
      <c r="AV336" s="518"/>
      <c r="AW336" s="518"/>
      <c r="AX336" s="518"/>
      <c r="AY336" s="518"/>
      <c r="AZ336" s="518"/>
      <c r="BA336" s="518"/>
      <c r="BB336" s="518"/>
      <c r="BC336" s="518"/>
      <c r="BD336" s="518"/>
      <c r="BE336" s="518"/>
    </row>
    <row r="337" spans="1:57" ht="12.75" customHeight="1">
      <c r="A337" s="518"/>
      <c r="B337" s="518"/>
      <c r="C337" s="518"/>
      <c r="D337" s="518"/>
      <c r="E337" s="518"/>
      <c r="F337" s="518"/>
      <c r="G337" s="518"/>
      <c r="H337" s="518"/>
      <c r="I337" s="518"/>
      <c r="J337" s="518"/>
      <c r="K337" s="518"/>
      <c r="L337" s="518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  <c r="AB337" s="518"/>
      <c r="AC337" s="518"/>
      <c r="AD337" s="518"/>
      <c r="AE337" s="518"/>
      <c r="AF337" s="518"/>
      <c r="AG337" s="518"/>
      <c r="AH337" s="518"/>
      <c r="AI337" s="518"/>
      <c r="AJ337" s="518"/>
      <c r="AK337" s="518"/>
      <c r="AL337" s="518"/>
      <c r="AM337" s="518"/>
      <c r="AN337" s="518"/>
      <c r="AO337" s="518"/>
      <c r="AP337" s="518"/>
      <c r="AQ337" s="518"/>
      <c r="AR337" s="518"/>
      <c r="AS337" s="518"/>
      <c r="AT337" s="518"/>
      <c r="AU337" s="518"/>
      <c r="AV337" s="518"/>
      <c r="AW337" s="518"/>
      <c r="AX337" s="518"/>
      <c r="AY337" s="518"/>
      <c r="AZ337" s="518"/>
      <c r="BA337" s="518"/>
      <c r="BB337" s="518"/>
      <c r="BC337" s="518"/>
      <c r="BD337" s="518"/>
      <c r="BE337" s="518"/>
    </row>
    <row r="338" spans="1:57" ht="12.75" customHeight="1">
      <c r="A338" s="518"/>
      <c r="B338" s="518"/>
      <c r="C338" s="518"/>
      <c r="D338" s="518"/>
      <c r="E338" s="518"/>
      <c r="F338" s="518"/>
      <c r="G338" s="518"/>
      <c r="H338" s="518"/>
      <c r="I338" s="518"/>
      <c r="J338" s="518"/>
      <c r="K338" s="518"/>
      <c r="L338" s="518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  <c r="AB338" s="518"/>
      <c r="AC338" s="518"/>
      <c r="AD338" s="518"/>
      <c r="AE338" s="518"/>
      <c r="AF338" s="518"/>
      <c r="AG338" s="518"/>
      <c r="AH338" s="518"/>
      <c r="AI338" s="518"/>
      <c r="AJ338" s="518"/>
      <c r="AK338" s="518"/>
      <c r="AL338" s="518"/>
      <c r="AM338" s="518"/>
      <c r="AN338" s="518"/>
      <c r="AO338" s="518"/>
      <c r="AP338" s="518"/>
      <c r="AQ338" s="518"/>
      <c r="AR338" s="518"/>
      <c r="AS338" s="518"/>
      <c r="AT338" s="518"/>
      <c r="AU338" s="518"/>
      <c r="AV338" s="518"/>
      <c r="AW338" s="518"/>
      <c r="AX338" s="518"/>
      <c r="AY338" s="518"/>
      <c r="AZ338" s="518"/>
      <c r="BA338" s="518"/>
      <c r="BB338" s="518"/>
      <c r="BC338" s="518"/>
      <c r="BD338" s="518"/>
      <c r="BE338" s="518"/>
    </row>
    <row r="339" spans="1:57" ht="12.75" customHeight="1">
      <c r="A339" s="518"/>
      <c r="B339" s="518"/>
      <c r="C339" s="518"/>
      <c r="D339" s="518"/>
      <c r="E339" s="518"/>
      <c r="F339" s="518"/>
      <c r="G339" s="518"/>
      <c r="H339" s="518"/>
      <c r="I339" s="518"/>
      <c r="J339" s="518"/>
      <c r="K339" s="518"/>
      <c r="L339" s="518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  <c r="AB339" s="518"/>
      <c r="AC339" s="518"/>
      <c r="AD339" s="518"/>
      <c r="AE339" s="518"/>
      <c r="AF339" s="518"/>
      <c r="AG339" s="518"/>
      <c r="AH339" s="518"/>
      <c r="AI339" s="518"/>
      <c r="AJ339" s="518"/>
      <c r="AK339" s="518"/>
      <c r="AL339" s="518"/>
      <c r="AM339" s="518"/>
      <c r="AN339" s="518"/>
      <c r="AO339" s="518"/>
      <c r="AP339" s="518"/>
      <c r="AQ339" s="518"/>
      <c r="AR339" s="518"/>
      <c r="AS339" s="518"/>
      <c r="AT339" s="518"/>
      <c r="AU339" s="518"/>
      <c r="AV339" s="518"/>
      <c r="AW339" s="518"/>
      <c r="AX339" s="518"/>
      <c r="AY339" s="518"/>
      <c r="AZ339" s="518"/>
      <c r="BA339" s="518"/>
      <c r="BB339" s="518"/>
      <c r="BC339" s="518"/>
      <c r="BD339" s="518"/>
      <c r="BE339" s="518"/>
    </row>
    <row r="340" spans="1:57" ht="12.75" customHeight="1">
      <c r="A340" s="518"/>
      <c r="B340" s="518"/>
      <c r="C340" s="518"/>
      <c r="D340" s="518"/>
      <c r="E340" s="518"/>
      <c r="F340" s="518"/>
      <c r="G340" s="518"/>
      <c r="H340" s="518"/>
      <c r="I340" s="518"/>
      <c r="J340" s="518"/>
      <c r="K340" s="518"/>
      <c r="L340" s="518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  <c r="AB340" s="518"/>
      <c r="AC340" s="518"/>
      <c r="AD340" s="518"/>
      <c r="AE340" s="518"/>
      <c r="AF340" s="518"/>
      <c r="AG340" s="518"/>
      <c r="AH340" s="518"/>
      <c r="AI340" s="518"/>
      <c r="AJ340" s="518"/>
      <c r="AK340" s="518"/>
      <c r="AL340" s="518"/>
      <c r="AM340" s="518"/>
      <c r="AN340" s="518"/>
      <c r="AO340" s="518"/>
      <c r="AP340" s="518"/>
      <c r="AQ340" s="518"/>
      <c r="AR340" s="518"/>
      <c r="AS340" s="518"/>
      <c r="AT340" s="518"/>
      <c r="AU340" s="518"/>
      <c r="AV340" s="518"/>
      <c r="AW340" s="518"/>
      <c r="AX340" s="518"/>
      <c r="AY340" s="518"/>
      <c r="AZ340" s="518"/>
      <c r="BA340" s="518"/>
      <c r="BB340" s="518"/>
      <c r="BC340" s="518"/>
      <c r="BD340" s="518"/>
      <c r="BE340" s="518"/>
    </row>
    <row r="341" spans="1:57" ht="12.75" customHeight="1">
      <c r="A341" s="518"/>
      <c r="B341" s="518"/>
      <c r="C341" s="518"/>
      <c r="D341" s="518"/>
      <c r="E341" s="518"/>
      <c r="F341" s="518"/>
      <c r="G341" s="518"/>
      <c r="H341" s="518"/>
      <c r="I341" s="518"/>
      <c r="J341" s="518"/>
      <c r="K341" s="518"/>
      <c r="L341" s="518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  <c r="AB341" s="518"/>
      <c r="AC341" s="518"/>
      <c r="AD341" s="518"/>
      <c r="AE341" s="518"/>
      <c r="AF341" s="518"/>
      <c r="AG341" s="518"/>
      <c r="AH341" s="518"/>
      <c r="AI341" s="518"/>
      <c r="AJ341" s="518"/>
      <c r="AK341" s="518"/>
      <c r="AL341" s="518"/>
      <c r="AM341" s="518"/>
      <c r="AN341" s="518"/>
      <c r="AO341" s="518"/>
      <c r="AP341" s="518"/>
      <c r="AQ341" s="518"/>
      <c r="AR341" s="518"/>
      <c r="AS341" s="518"/>
      <c r="AT341" s="518"/>
      <c r="AU341" s="518"/>
      <c r="AV341" s="518"/>
      <c r="AW341" s="518"/>
      <c r="AX341" s="518"/>
      <c r="AY341" s="518"/>
      <c r="AZ341" s="518"/>
      <c r="BA341" s="518"/>
      <c r="BB341" s="518"/>
      <c r="BC341" s="518"/>
      <c r="BD341" s="518"/>
      <c r="BE341" s="518"/>
    </row>
    <row r="342" spans="1:57" ht="12.75" customHeight="1">
      <c r="A342" s="518"/>
      <c r="B342" s="518"/>
      <c r="C342" s="518"/>
      <c r="D342" s="518"/>
      <c r="E342" s="518"/>
      <c r="F342" s="518"/>
      <c r="G342" s="518"/>
      <c r="H342" s="518"/>
      <c r="I342" s="518"/>
      <c r="J342" s="518"/>
      <c r="K342" s="518"/>
      <c r="L342" s="518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  <c r="AB342" s="518"/>
      <c r="AC342" s="518"/>
      <c r="AD342" s="518"/>
      <c r="AE342" s="518"/>
      <c r="AF342" s="518"/>
      <c r="AG342" s="518"/>
      <c r="AH342" s="518"/>
      <c r="AI342" s="518"/>
      <c r="AJ342" s="518"/>
      <c r="AK342" s="518"/>
      <c r="AL342" s="518"/>
      <c r="AM342" s="518"/>
      <c r="AN342" s="518"/>
      <c r="AO342" s="518"/>
      <c r="AP342" s="518"/>
      <c r="AQ342" s="518"/>
      <c r="AR342" s="518"/>
      <c r="AS342" s="518"/>
      <c r="AT342" s="518"/>
      <c r="AU342" s="518"/>
      <c r="AV342" s="518"/>
      <c r="AW342" s="518"/>
      <c r="AX342" s="518"/>
      <c r="AY342" s="518"/>
      <c r="AZ342" s="518"/>
      <c r="BA342" s="518"/>
      <c r="BB342" s="518"/>
      <c r="BC342" s="518"/>
      <c r="BD342" s="518"/>
      <c r="BE342" s="518"/>
    </row>
    <row r="343" spans="1:57" ht="12.75" customHeight="1">
      <c r="A343" s="518"/>
      <c r="B343" s="518"/>
      <c r="C343" s="518"/>
      <c r="D343" s="518"/>
      <c r="E343" s="518"/>
      <c r="F343" s="518"/>
      <c r="G343" s="518"/>
      <c r="H343" s="518"/>
      <c r="I343" s="518"/>
      <c r="J343" s="518"/>
      <c r="K343" s="518"/>
      <c r="L343" s="518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  <c r="AB343" s="518"/>
      <c r="AC343" s="518"/>
      <c r="AD343" s="518"/>
      <c r="AE343" s="518"/>
      <c r="AF343" s="518"/>
      <c r="AG343" s="518"/>
      <c r="AH343" s="518"/>
      <c r="AI343" s="518"/>
      <c r="AJ343" s="518"/>
      <c r="AK343" s="518"/>
      <c r="AL343" s="518"/>
      <c r="AM343" s="518"/>
      <c r="AN343" s="518"/>
      <c r="AO343" s="518"/>
      <c r="AP343" s="518"/>
      <c r="AQ343" s="518"/>
      <c r="AR343" s="518"/>
      <c r="AS343" s="518"/>
      <c r="AT343" s="518"/>
      <c r="AU343" s="518"/>
      <c r="AV343" s="518"/>
      <c r="AW343" s="518"/>
      <c r="AX343" s="518"/>
      <c r="AY343" s="518"/>
      <c r="AZ343" s="518"/>
      <c r="BA343" s="518"/>
      <c r="BB343" s="518"/>
      <c r="BC343" s="518"/>
      <c r="BD343" s="518"/>
      <c r="BE343" s="518"/>
    </row>
    <row r="344" spans="1:57" ht="12.75" customHeight="1">
      <c r="A344" s="518"/>
      <c r="B344" s="518"/>
      <c r="C344" s="518"/>
      <c r="D344" s="518"/>
      <c r="E344" s="518"/>
      <c r="F344" s="518"/>
      <c r="G344" s="518"/>
      <c r="H344" s="518"/>
      <c r="I344" s="518"/>
      <c r="J344" s="518"/>
      <c r="K344" s="518"/>
      <c r="L344" s="518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  <c r="AB344" s="518"/>
      <c r="AC344" s="518"/>
      <c r="AD344" s="518"/>
      <c r="AE344" s="518"/>
      <c r="AF344" s="518"/>
      <c r="AG344" s="518"/>
      <c r="AH344" s="518"/>
      <c r="AI344" s="518"/>
      <c r="AJ344" s="518"/>
      <c r="AK344" s="518"/>
      <c r="AL344" s="518"/>
      <c r="AM344" s="518"/>
      <c r="AN344" s="518"/>
      <c r="AO344" s="518"/>
      <c r="AP344" s="518"/>
      <c r="AQ344" s="518"/>
      <c r="AR344" s="518"/>
      <c r="AS344" s="518"/>
      <c r="AT344" s="518"/>
      <c r="AU344" s="518"/>
      <c r="AV344" s="518"/>
      <c r="AW344" s="518"/>
      <c r="AX344" s="518"/>
      <c r="AY344" s="518"/>
      <c r="AZ344" s="518"/>
      <c r="BA344" s="518"/>
      <c r="BB344" s="518"/>
      <c r="BC344" s="518"/>
      <c r="BD344" s="518"/>
      <c r="BE344" s="518"/>
    </row>
    <row r="345" spans="1:57" ht="12.75" customHeight="1">
      <c r="A345" s="518"/>
      <c r="B345" s="518"/>
      <c r="C345" s="518"/>
      <c r="D345" s="518"/>
      <c r="E345" s="518"/>
      <c r="F345" s="518"/>
      <c r="G345" s="518"/>
      <c r="H345" s="518"/>
      <c r="I345" s="518"/>
      <c r="J345" s="518"/>
      <c r="K345" s="518"/>
      <c r="L345" s="518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  <c r="AB345" s="518"/>
      <c r="AC345" s="518"/>
      <c r="AD345" s="518"/>
      <c r="AE345" s="518"/>
      <c r="AF345" s="518"/>
      <c r="AG345" s="518"/>
      <c r="AH345" s="518"/>
      <c r="AI345" s="518"/>
      <c r="AJ345" s="518"/>
      <c r="AK345" s="518"/>
      <c r="AL345" s="518"/>
      <c r="AM345" s="518"/>
      <c r="AN345" s="518"/>
      <c r="AO345" s="518"/>
      <c r="AP345" s="518"/>
      <c r="AQ345" s="518"/>
      <c r="AR345" s="518"/>
      <c r="AS345" s="518"/>
      <c r="AT345" s="518"/>
      <c r="AU345" s="518"/>
      <c r="AV345" s="518"/>
      <c r="AW345" s="518"/>
      <c r="AX345" s="518"/>
      <c r="AY345" s="518"/>
      <c r="AZ345" s="518"/>
      <c r="BA345" s="518"/>
      <c r="BB345" s="518"/>
      <c r="BC345" s="518"/>
      <c r="BD345" s="518"/>
      <c r="BE345" s="518"/>
    </row>
    <row r="346" spans="1:57" ht="12.75" customHeight="1">
      <c r="A346" s="518"/>
      <c r="B346" s="518"/>
      <c r="C346" s="518"/>
      <c r="D346" s="518"/>
      <c r="E346" s="518"/>
      <c r="F346" s="518"/>
      <c r="G346" s="518"/>
      <c r="H346" s="518"/>
      <c r="I346" s="518"/>
      <c r="J346" s="518"/>
      <c r="K346" s="518"/>
      <c r="L346" s="518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  <c r="AB346" s="518"/>
      <c r="AC346" s="518"/>
      <c r="AD346" s="518"/>
      <c r="AE346" s="518"/>
      <c r="AF346" s="518"/>
      <c r="AG346" s="518"/>
      <c r="AH346" s="518"/>
      <c r="AI346" s="518"/>
      <c r="AJ346" s="518"/>
      <c r="AK346" s="518"/>
      <c r="AL346" s="518"/>
      <c r="AM346" s="518"/>
      <c r="AN346" s="518"/>
      <c r="AO346" s="518"/>
      <c r="AP346" s="518"/>
      <c r="AQ346" s="518"/>
      <c r="AR346" s="518"/>
      <c r="AS346" s="518"/>
      <c r="AT346" s="518"/>
      <c r="AU346" s="518"/>
      <c r="AV346" s="518"/>
      <c r="AW346" s="518"/>
      <c r="AX346" s="518"/>
      <c r="AY346" s="518"/>
      <c r="AZ346" s="518"/>
      <c r="BA346" s="518"/>
      <c r="BB346" s="518"/>
      <c r="BC346" s="518"/>
      <c r="BD346" s="518"/>
      <c r="BE346" s="518"/>
    </row>
    <row r="347" spans="1:57" ht="12.75" customHeight="1">
      <c r="A347" s="518"/>
      <c r="B347" s="518"/>
      <c r="C347" s="518"/>
      <c r="D347" s="518"/>
      <c r="E347" s="518"/>
      <c r="F347" s="518"/>
      <c r="G347" s="518"/>
      <c r="H347" s="518"/>
      <c r="I347" s="518"/>
      <c r="J347" s="518"/>
      <c r="K347" s="518"/>
      <c r="L347" s="518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  <c r="AB347" s="518"/>
      <c r="AC347" s="518"/>
      <c r="AD347" s="518"/>
      <c r="AE347" s="518"/>
      <c r="AF347" s="518"/>
      <c r="AG347" s="518"/>
      <c r="AH347" s="518"/>
      <c r="AI347" s="518"/>
      <c r="AJ347" s="518"/>
      <c r="AK347" s="518"/>
      <c r="AL347" s="518"/>
      <c r="AM347" s="518"/>
      <c r="AN347" s="518"/>
      <c r="AO347" s="518"/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</row>
    <row r="348" spans="1:57" ht="12.75" customHeight="1">
      <c r="A348" s="518"/>
      <c r="B348" s="518"/>
      <c r="C348" s="518"/>
      <c r="D348" s="518"/>
      <c r="E348" s="518"/>
      <c r="F348" s="518"/>
      <c r="G348" s="518"/>
      <c r="H348" s="518"/>
      <c r="I348" s="518"/>
      <c r="J348" s="518"/>
      <c r="K348" s="518"/>
      <c r="L348" s="518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  <c r="AB348" s="518"/>
      <c r="AC348" s="518"/>
      <c r="AD348" s="518"/>
      <c r="AE348" s="518"/>
      <c r="AF348" s="518"/>
      <c r="AG348" s="518"/>
      <c r="AH348" s="518"/>
      <c r="AI348" s="518"/>
      <c r="AJ348" s="518"/>
      <c r="AK348" s="518"/>
      <c r="AL348" s="518"/>
      <c r="AM348" s="518"/>
      <c r="AN348" s="518"/>
      <c r="AO348" s="518"/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</row>
    <row r="349" spans="1:57" ht="12.75" customHeight="1">
      <c r="A349" s="518"/>
      <c r="B349" s="518"/>
      <c r="C349" s="518"/>
      <c r="D349" s="518"/>
      <c r="E349" s="518"/>
      <c r="F349" s="518"/>
      <c r="G349" s="518"/>
      <c r="H349" s="518"/>
      <c r="I349" s="518"/>
      <c r="J349" s="518"/>
      <c r="K349" s="518"/>
      <c r="L349" s="518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  <c r="AB349" s="518"/>
      <c r="AC349" s="518"/>
      <c r="AD349" s="518"/>
      <c r="AE349" s="518"/>
      <c r="AF349" s="518"/>
      <c r="AG349" s="518"/>
      <c r="AH349" s="518"/>
      <c r="AI349" s="518"/>
      <c r="AJ349" s="518"/>
      <c r="AK349" s="518"/>
      <c r="AL349" s="518"/>
      <c r="AM349" s="518"/>
      <c r="AN349" s="518"/>
      <c r="AO349" s="518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</row>
    <row r="350" spans="1:57" ht="12.75" customHeight="1">
      <c r="A350" s="518"/>
      <c r="B350" s="518"/>
      <c r="C350" s="518"/>
      <c r="D350" s="518"/>
      <c r="E350" s="518"/>
      <c r="F350" s="518"/>
      <c r="G350" s="518"/>
      <c r="H350" s="518"/>
      <c r="I350" s="518"/>
      <c r="J350" s="518"/>
      <c r="K350" s="518"/>
      <c r="L350" s="518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  <c r="AB350" s="518"/>
      <c r="AC350" s="518"/>
      <c r="AD350" s="518"/>
      <c r="AE350" s="518"/>
      <c r="AF350" s="518"/>
      <c r="AG350" s="518"/>
      <c r="AH350" s="518"/>
      <c r="AI350" s="518"/>
      <c r="AJ350" s="518"/>
      <c r="AK350" s="518"/>
      <c r="AL350" s="518"/>
      <c r="AM350" s="518"/>
      <c r="AN350" s="518"/>
      <c r="AO350" s="518"/>
      <c r="AP350" s="518"/>
      <c r="AQ350" s="518"/>
      <c r="AR350" s="518"/>
      <c r="AS350" s="518"/>
      <c r="AT350" s="518"/>
      <c r="AU350" s="518"/>
      <c r="AV350" s="518"/>
      <c r="AW350" s="518"/>
      <c r="AX350" s="518"/>
      <c r="AY350" s="518"/>
      <c r="AZ350" s="518"/>
      <c r="BA350" s="518"/>
      <c r="BB350" s="518"/>
      <c r="BC350" s="518"/>
      <c r="BD350" s="518"/>
      <c r="BE350" s="518"/>
    </row>
    <row r="351" spans="1:57" ht="12.75" customHeight="1">
      <c r="A351" s="518"/>
      <c r="B351" s="518"/>
      <c r="C351" s="518"/>
      <c r="D351" s="518"/>
      <c r="E351" s="518"/>
      <c r="F351" s="518"/>
      <c r="G351" s="518"/>
      <c r="H351" s="518"/>
      <c r="I351" s="518"/>
      <c r="J351" s="518"/>
      <c r="K351" s="518"/>
      <c r="L351" s="518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  <c r="AB351" s="518"/>
      <c r="AC351" s="518"/>
      <c r="AD351" s="518"/>
      <c r="AE351" s="518"/>
      <c r="AF351" s="518"/>
      <c r="AG351" s="518"/>
      <c r="AH351" s="518"/>
      <c r="AI351" s="518"/>
      <c r="AJ351" s="518"/>
      <c r="AK351" s="518"/>
      <c r="AL351" s="518"/>
      <c r="AM351" s="518"/>
      <c r="AN351" s="518"/>
      <c r="AO351" s="518"/>
      <c r="AP351" s="518"/>
      <c r="AQ351" s="518"/>
      <c r="AR351" s="518"/>
      <c r="AS351" s="518"/>
      <c r="AT351" s="518"/>
      <c r="AU351" s="518"/>
      <c r="AV351" s="518"/>
      <c r="AW351" s="518"/>
      <c r="AX351" s="518"/>
      <c r="AY351" s="518"/>
      <c r="AZ351" s="518"/>
      <c r="BA351" s="518"/>
      <c r="BB351" s="518"/>
      <c r="BC351" s="518"/>
      <c r="BD351" s="518"/>
      <c r="BE351" s="518"/>
    </row>
    <row r="352" spans="1:57" ht="12.75" customHeight="1">
      <c r="A352" s="518"/>
      <c r="B352" s="518"/>
      <c r="C352" s="518"/>
      <c r="D352" s="518"/>
      <c r="E352" s="518"/>
      <c r="F352" s="518"/>
      <c r="G352" s="518"/>
      <c r="H352" s="518"/>
      <c r="I352" s="518"/>
      <c r="J352" s="518"/>
      <c r="K352" s="518"/>
      <c r="L352" s="518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  <c r="AB352" s="518"/>
      <c r="AC352" s="518"/>
      <c r="AD352" s="518"/>
      <c r="AE352" s="518"/>
      <c r="AF352" s="518"/>
      <c r="AG352" s="518"/>
      <c r="AH352" s="518"/>
      <c r="AI352" s="518"/>
      <c r="AJ352" s="518"/>
      <c r="AK352" s="518"/>
      <c r="AL352" s="518"/>
      <c r="AM352" s="518"/>
      <c r="AN352" s="518"/>
      <c r="AO352" s="518"/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</row>
    <row r="353" spans="1:57" ht="12.75" customHeight="1">
      <c r="A353" s="518"/>
      <c r="B353" s="518"/>
      <c r="C353" s="518"/>
      <c r="D353" s="518"/>
      <c r="E353" s="518"/>
      <c r="F353" s="518"/>
      <c r="G353" s="518"/>
      <c r="H353" s="518"/>
      <c r="I353" s="518"/>
      <c r="J353" s="518"/>
      <c r="K353" s="518"/>
      <c r="L353" s="518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  <c r="AB353" s="518"/>
      <c r="AC353" s="518"/>
      <c r="AD353" s="518"/>
      <c r="AE353" s="518"/>
      <c r="AF353" s="518"/>
      <c r="AG353" s="518"/>
      <c r="AH353" s="518"/>
      <c r="AI353" s="518"/>
      <c r="AJ353" s="518"/>
      <c r="AK353" s="518"/>
      <c r="AL353" s="518"/>
      <c r="AM353" s="518"/>
      <c r="AN353" s="518"/>
      <c r="AO353" s="518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</row>
    <row r="354" spans="1:57" ht="12.75" customHeight="1">
      <c r="A354" s="518"/>
      <c r="B354" s="518"/>
      <c r="C354" s="518"/>
      <c r="D354" s="518"/>
      <c r="E354" s="518"/>
      <c r="F354" s="518"/>
      <c r="G354" s="518"/>
      <c r="H354" s="518"/>
      <c r="I354" s="518"/>
      <c r="J354" s="518"/>
      <c r="K354" s="518"/>
      <c r="L354" s="518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  <c r="AB354" s="518"/>
      <c r="AC354" s="518"/>
      <c r="AD354" s="518"/>
      <c r="AE354" s="518"/>
      <c r="AF354" s="518"/>
      <c r="AG354" s="518"/>
      <c r="AH354" s="518"/>
      <c r="AI354" s="518"/>
      <c r="AJ354" s="518"/>
      <c r="AK354" s="518"/>
      <c r="AL354" s="518"/>
      <c r="AM354" s="518"/>
      <c r="AN354" s="518"/>
      <c r="AO354" s="518"/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</row>
    <row r="355" spans="1:57" ht="12.75" customHeight="1">
      <c r="A355" s="518"/>
      <c r="B355" s="518"/>
      <c r="C355" s="518"/>
      <c r="D355" s="518"/>
      <c r="E355" s="518"/>
      <c r="F355" s="518"/>
      <c r="G355" s="518"/>
      <c r="H355" s="518"/>
      <c r="I355" s="518"/>
      <c r="J355" s="518"/>
      <c r="K355" s="518"/>
      <c r="L355" s="518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  <c r="AB355" s="518"/>
      <c r="AC355" s="518"/>
      <c r="AD355" s="518"/>
      <c r="AE355" s="518"/>
      <c r="AF355" s="518"/>
      <c r="AG355" s="518"/>
      <c r="AH355" s="518"/>
      <c r="AI355" s="518"/>
      <c r="AJ355" s="518"/>
      <c r="AK355" s="518"/>
      <c r="AL355" s="518"/>
      <c r="AM355" s="518"/>
      <c r="AN355" s="518"/>
      <c r="AO355" s="518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</row>
    <row r="356" spans="1:57" ht="12.75" customHeight="1">
      <c r="A356" s="518"/>
      <c r="B356" s="518"/>
      <c r="C356" s="518"/>
      <c r="D356" s="518"/>
      <c r="E356" s="518"/>
      <c r="F356" s="518"/>
      <c r="G356" s="518"/>
      <c r="H356" s="518"/>
      <c r="I356" s="518"/>
      <c r="J356" s="518"/>
      <c r="K356" s="518"/>
      <c r="L356" s="518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  <c r="AB356" s="518"/>
      <c r="AC356" s="518"/>
      <c r="AD356" s="518"/>
      <c r="AE356" s="518"/>
      <c r="AF356" s="518"/>
      <c r="AG356" s="518"/>
      <c r="AH356" s="518"/>
      <c r="AI356" s="518"/>
      <c r="AJ356" s="518"/>
      <c r="AK356" s="518"/>
      <c r="AL356" s="518"/>
      <c r="AM356" s="518"/>
      <c r="AN356" s="518"/>
      <c r="AO356" s="518"/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</row>
    <row r="357" spans="1:57" ht="12.75" customHeight="1">
      <c r="A357" s="518"/>
      <c r="B357" s="518"/>
      <c r="C357" s="518"/>
      <c r="D357" s="518"/>
      <c r="E357" s="518"/>
      <c r="F357" s="518"/>
      <c r="G357" s="518"/>
      <c r="H357" s="518"/>
      <c r="I357" s="518"/>
      <c r="J357" s="518"/>
      <c r="K357" s="518"/>
      <c r="L357" s="518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  <c r="AB357" s="518"/>
      <c r="AC357" s="518"/>
      <c r="AD357" s="518"/>
      <c r="AE357" s="518"/>
      <c r="AF357" s="518"/>
      <c r="AG357" s="518"/>
      <c r="AH357" s="518"/>
      <c r="AI357" s="518"/>
      <c r="AJ357" s="518"/>
      <c r="AK357" s="518"/>
      <c r="AL357" s="518"/>
      <c r="AM357" s="518"/>
      <c r="AN357" s="518"/>
      <c r="AO357" s="518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</row>
    <row r="358" spans="1:57" ht="12.75" customHeight="1">
      <c r="A358" s="518"/>
      <c r="B358" s="518"/>
      <c r="C358" s="518"/>
      <c r="D358" s="518"/>
      <c r="E358" s="518"/>
      <c r="F358" s="518"/>
      <c r="G358" s="518"/>
      <c r="H358" s="518"/>
      <c r="I358" s="518"/>
      <c r="J358" s="518"/>
      <c r="K358" s="518"/>
      <c r="L358" s="518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  <c r="AB358" s="518"/>
      <c r="AC358" s="518"/>
      <c r="AD358" s="518"/>
      <c r="AE358" s="518"/>
      <c r="AF358" s="518"/>
      <c r="AG358" s="518"/>
      <c r="AH358" s="518"/>
      <c r="AI358" s="518"/>
      <c r="AJ358" s="518"/>
      <c r="AK358" s="518"/>
      <c r="AL358" s="518"/>
      <c r="AM358" s="518"/>
      <c r="AN358" s="518"/>
      <c r="AO358" s="518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</row>
    <row r="359" spans="1:57" ht="12.75" customHeight="1">
      <c r="A359" s="518"/>
      <c r="B359" s="518"/>
      <c r="C359" s="518"/>
      <c r="D359" s="518"/>
      <c r="E359" s="518"/>
      <c r="F359" s="518"/>
      <c r="G359" s="518"/>
      <c r="H359" s="518"/>
      <c r="I359" s="518"/>
      <c r="J359" s="518"/>
      <c r="K359" s="518"/>
      <c r="L359" s="518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  <c r="AB359" s="518"/>
      <c r="AC359" s="518"/>
      <c r="AD359" s="518"/>
      <c r="AE359" s="518"/>
      <c r="AF359" s="518"/>
      <c r="AG359" s="518"/>
      <c r="AH359" s="518"/>
      <c r="AI359" s="518"/>
      <c r="AJ359" s="518"/>
      <c r="AK359" s="518"/>
      <c r="AL359" s="518"/>
      <c r="AM359" s="518"/>
      <c r="AN359" s="518"/>
      <c r="AO359" s="51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</row>
    <row r="360" spans="1:57" ht="12.75" customHeight="1">
      <c r="A360" s="518"/>
      <c r="B360" s="518"/>
      <c r="C360" s="518"/>
      <c r="D360" s="518"/>
      <c r="E360" s="518"/>
      <c r="F360" s="518"/>
      <c r="G360" s="518"/>
      <c r="H360" s="518"/>
      <c r="I360" s="518"/>
      <c r="J360" s="518"/>
      <c r="K360" s="518"/>
      <c r="L360" s="518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  <c r="AB360" s="518"/>
      <c r="AC360" s="518"/>
      <c r="AD360" s="518"/>
      <c r="AE360" s="518"/>
      <c r="AF360" s="518"/>
      <c r="AG360" s="518"/>
      <c r="AH360" s="518"/>
      <c r="AI360" s="518"/>
      <c r="AJ360" s="518"/>
      <c r="AK360" s="518"/>
      <c r="AL360" s="518"/>
      <c r="AM360" s="518"/>
      <c r="AN360" s="518"/>
      <c r="AO360" s="518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</row>
    <row r="361" spans="1:57" ht="12.75" customHeight="1">
      <c r="A361" s="518"/>
      <c r="B361" s="518"/>
      <c r="C361" s="518"/>
      <c r="D361" s="518"/>
      <c r="E361" s="518"/>
      <c r="F361" s="518"/>
      <c r="G361" s="518"/>
      <c r="H361" s="518"/>
      <c r="I361" s="518"/>
      <c r="J361" s="518"/>
      <c r="K361" s="518"/>
      <c r="L361" s="518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  <c r="AB361" s="518"/>
      <c r="AC361" s="518"/>
      <c r="AD361" s="518"/>
      <c r="AE361" s="518"/>
      <c r="AF361" s="518"/>
      <c r="AG361" s="518"/>
      <c r="AH361" s="518"/>
      <c r="AI361" s="518"/>
      <c r="AJ361" s="518"/>
      <c r="AK361" s="518"/>
      <c r="AL361" s="518"/>
      <c r="AM361" s="518"/>
      <c r="AN361" s="518"/>
      <c r="AO361" s="518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</row>
    <row r="362" spans="1:57" ht="12.75" customHeight="1">
      <c r="A362" s="518"/>
      <c r="B362" s="518"/>
      <c r="C362" s="518"/>
      <c r="D362" s="518"/>
      <c r="E362" s="518"/>
      <c r="F362" s="518"/>
      <c r="G362" s="518"/>
      <c r="H362" s="518"/>
      <c r="I362" s="518"/>
      <c r="J362" s="518"/>
      <c r="K362" s="518"/>
      <c r="L362" s="518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  <c r="AB362" s="518"/>
      <c r="AC362" s="518"/>
      <c r="AD362" s="518"/>
      <c r="AE362" s="518"/>
      <c r="AF362" s="518"/>
      <c r="AG362" s="518"/>
      <c r="AH362" s="518"/>
      <c r="AI362" s="518"/>
      <c r="AJ362" s="518"/>
      <c r="AK362" s="518"/>
      <c r="AL362" s="518"/>
      <c r="AM362" s="518"/>
      <c r="AN362" s="518"/>
      <c r="AO362" s="518"/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</row>
    <row r="363" spans="1:57" ht="12.75" customHeight="1">
      <c r="A363" s="518"/>
      <c r="B363" s="518"/>
      <c r="C363" s="518"/>
      <c r="D363" s="518"/>
      <c r="E363" s="518"/>
      <c r="F363" s="518"/>
      <c r="G363" s="518"/>
      <c r="H363" s="518"/>
      <c r="I363" s="518"/>
      <c r="J363" s="518"/>
      <c r="K363" s="518"/>
      <c r="L363" s="518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  <c r="AB363" s="518"/>
      <c r="AC363" s="518"/>
      <c r="AD363" s="518"/>
      <c r="AE363" s="518"/>
      <c r="AF363" s="518"/>
      <c r="AG363" s="518"/>
      <c r="AH363" s="518"/>
      <c r="AI363" s="518"/>
      <c r="AJ363" s="518"/>
      <c r="AK363" s="518"/>
      <c r="AL363" s="518"/>
      <c r="AM363" s="518"/>
      <c r="AN363" s="518"/>
      <c r="AO363" s="518"/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</row>
    <row r="364" spans="1:57" ht="12.75" customHeight="1">
      <c r="A364" s="518"/>
      <c r="B364" s="518"/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  <c r="AB364" s="518"/>
      <c r="AC364" s="518"/>
      <c r="AD364" s="518"/>
      <c r="AE364" s="518"/>
      <c r="AF364" s="518"/>
      <c r="AG364" s="518"/>
      <c r="AH364" s="518"/>
      <c r="AI364" s="518"/>
      <c r="AJ364" s="518"/>
      <c r="AK364" s="518"/>
      <c r="AL364" s="518"/>
      <c r="AM364" s="518"/>
      <c r="AN364" s="518"/>
      <c r="AO364" s="51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</row>
    <row r="365" spans="1:57" ht="12.75" customHeight="1">
      <c r="A365" s="518"/>
      <c r="B365" s="518"/>
      <c r="C365" s="518"/>
      <c r="D365" s="518"/>
      <c r="E365" s="518"/>
      <c r="F365" s="518"/>
      <c r="G365" s="518"/>
      <c r="H365" s="518"/>
      <c r="I365" s="518"/>
      <c r="J365" s="518"/>
      <c r="K365" s="518"/>
      <c r="L365" s="518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  <c r="AB365" s="518"/>
      <c r="AC365" s="518"/>
      <c r="AD365" s="518"/>
      <c r="AE365" s="518"/>
      <c r="AF365" s="518"/>
      <c r="AG365" s="518"/>
      <c r="AH365" s="518"/>
      <c r="AI365" s="518"/>
      <c r="AJ365" s="518"/>
      <c r="AK365" s="518"/>
      <c r="AL365" s="518"/>
      <c r="AM365" s="518"/>
      <c r="AN365" s="518"/>
      <c r="AO365" s="518"/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</row>
    <row r="366" spans="1:57" ht="12.75" customHeight="1">
      <c r="A366" s="518"/>
      <c r="B366" s="518"/>
      <c r="C366" s="518"/>
      <c r="D366" s="518"/>
      <c r="E366" s="518"/>
      <c r="F366" s="518"/>
      <c r="G366" s="518"/>
      <c r="H366" s="518"/>
      <c r="I366" s="518"/>
      <c r="J366" s="518"/>
      <c r="K366" s="518"/>
      <c r="L366" s="518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  <c r="AB366" s="518"/>
      <c r="AC366" s="518"/>
      <c r="AD366" s="518"/>
      <c r="AE366" s="518"/>
      <c r="AF366" s="518"/>
      <c r="AG366" s="518"/>
      <c r="AH366" s="518"/>
      <c r="AI366" s="518"/>
      <c r="AJ366" s="518"/>
      <c r="AK366" s="518"/>
      <c r="AL366" s="518"/>
      <c r="AM366" s="518"/>
      <c r="AN366" s="518"/>
      <c r="AO366" s="51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</row>
    <row r="367" spans="1:57" ht="12.75" customHeight="1">
      <c r="A367" s="518"/>
      <c r="B367" s="518"/>
      <c r="C367" s="518"/>
      <c r="D367" s="518"/>
      <c r="E367" s="518"/>
      <c r="F367" s="518"/>
      <c r="G367" s="518"/>
      <c r="H367" s="518"/>
      <c r="I367" s="518"/>
      <c r="J367" s="518"/>
      <c r="K367" s="518"/>
      <c r="L367" s="518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  <c r="AB367" s="518"/>
      <c r="AC367" s="518"/>
      <c r="AD367" s="518"/>
      <c r="AE367" s="518"/>
      <c r="AF367" s="518"/>
      <c r="AG367" s="518"/>
      <c r="AH367" s="518"/>
      <c r="AI367" s="518"/>
      <c r="AJ367" s="518"/>
      <c r="AK367" s="518"/>
      <c r="AL367" s="518"/>
      <c r="AM367" s="518"/>
      <c r="AN367" s="518"/>
      <c r="AO367" s="51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</row>
    <row r="368" spans="1:57" ht="12.75" customHeight="1">
      <c r="A368" s="518"/>
      <c r="B368" s="518"/>
      <c r="C368" s="518"/>
      <c r="D368" s="518"/>
      <c r="E368" s="518"/>
      <c r="F368" s="518"/>
      <c r="G368" s="518"/>
      <c r="H368" s="518"/>
      <c r="I368" s="518"/>
      <c r="J368" s="518"/>
      <c r="K368" s="518"/>
      <c r="L368" s="518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  <c r="AB368" s="518"/>
      <c r="AC368" s="518"/>
      <c r="AD368" s="518"/>
      <c r="AE368" s="518"/>
      <c r="AF368" s="518"/>
      <c r="AG368" s="518"/>
      <c r="AH368" s="518"/>
      <c r="AI368" s="518"/>
      <c r="AJ368" s="518"/>
      <c r="AK368" s="518"/>
      <c r="AL368" s="518"/>
      <c r="AM368" s="518"/>
      <c r="AN368" s="518"/>
      <c r="AO368" s="518"/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</row>
    <row r="369" spans="1:57" ht="12.75" customHeight="1">
      <c r="A369" s="518"/>
      <c r="B369" s="518"/>
      <c r="C369" s="518"/>
      <c r="D369" s="518"/>
      <c r="E369" s="518"/>
      <c r="F369" s="518"/>
      <c r="G369" s="518"/>
      <c r="H369" s="518"/>
      <c r="I369" s="518"/>
      <c r="J369" s="518"/>
      <c r="K369" s="518"/>
      <c r="L369" s="518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  <c r="AB369" s="518"/>
      <c r="AC369" s="518"/>
      <c r="AD369" s="518"/>
      <c r="AE369" s="518"/>
      <c r="AF369" s="518"/>
      <c r="AG369" s="518"/>
      <c r="AH369" s="518"/>
      <c r="AI369" s="518"/>
      <c r="AJ369" s="518"/>
      <c r="AK369" s="518"/>
      <c r="AL369" s="518"/>
      <c r="AM369" s="518"/>
      <c r="AN369" s="518"/>
      <c r="AO369" s="518"/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</row>
    <row r="370" spans="1:57" ht="12.75" customHeight="1">
      <c r="A370" s="518"/>
      <c r="B370" s="518"/>
      <c r="C370" s="518"/>
      <c r="D370" s="518"/>
      <c r="E370" s="518"/>
      <c r="F370" s="518"/>
      <c r="G370" s="518"/>
      <c r="H370" s="518"/>
      <c r="I370" s="518"/>
      <c r="J370" s="518"/>
      <c r="K370" s="518"/>
      <c r="L370" s="518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  <c r="AB370" s="518"/>
      <c r="AC370" s="518"/>
      <c r="AD370" s="518"/>
      <c r="AE370" s="518"/>
      <c r="AF370" s="518"/>
      <c r="AG370" s="518"/>
      <c r="AH370" s="518"/>
      <c r="AI370" s="518"/>
      <c r="AJ370" s="518"/>
      <c r="AK370" s="518"/>
      <c r="AL370" s="518"/>
      <c r="AM370" s="518"/>
      <c r="AN370" s="518"/>
      <c r="AO370" s="518"/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</row>
    <row r="371" spans="1:57" ht="12.75" customHeight="1">
      <c r="A371" s="518"/>
      <c r="B371" s="518"/>
      <c r="C371" s="518"/>
      <c r="D371" s="518"/>
      <c r="E371" s="518"/>
      <c r="F371" s="518"/>
      <c r="G371" s="518"/>
      <c r="H371" s="518"/>
      <c r="I371" s="518"/>
      <c r="J371" s="518"/>
      <c r="K371" s="518"/>
      <c r="L371" s="518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  <c r="AB371" s="518"/>
      <c r="AC371" s="518"/>
      <c r="AD371" s="518"/>
      <c r="AE371" s="518"/>
      <c r="AF371" s="518"/>
      <c r="AG371" s="518"/>
      <c r="AH371" s="518"/>
      <c r="AI371" s="518"/>
      <c r="AJ371" s="518"/>
      <c r="AK371" s="518"/>
      <c r="AL371" s="518"/>
      <c r="AM371" s="518"/>
      <c r="AN371" s="518"/>
      <c r="AO371" s="518"/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</row>
    <row r="372" spans="1:57" ht="12.75" customHeight="1">
      <c r="A372" s="518"/>
      <c r="B372" s="518"/>
      <c r="C372" s="518"/>
      <c r="D372" s="518"/>
      <c r="E372" s="518"/>
      <c r="F372" s="518"/>
      <c r="G372" s="518"/>
      <c r="H372" s="518"/>
      <c r="I372" s="518"/>
      <c r="J372" s="518"/>
      <c r="K372" s="518"/>
      <c r="L372" s="518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  <c r="AB372" s="518"/>
      <c r="AC372" s="518"/>
      <c r="AD372" s="518"/>
      <c r="AE372" s="518"/>
      <c r="AF372" s="518"/>
      <c r="AG372" s="518"/>
      <c r="AH372" s="518"/>
      <c r="AI372" s="518"/>
      <c r="AJ372" s="518"/>
      <c r="AK372" s="518"/>
      <c r="AL372" s="518"/>
      <c r="AM372" s="518"/>
      <c r="AN372" s="518"/>
      <c r="AO372" s="518"/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</row>
    <row r="373" spans="1:57" ht="12.75" customHeight="1">
      <c r="A373" s="518"/>
      <c r="B373" s="518"/>
      <c r="C373" s="518"/>
      <c r="D373" s="518"/>
      <c r="E373" s="518"/>
      <c r="F373" s="518"/>
      <c r="G373" s="518"/>
      <c r="H373" s="518"/>
      <c r="I373" s="518"/>
      <c r="J373" s="518"/>
      <c r="K373" s="518"/>
      <c r="L373" s="518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  <c r="AB373" s="518"/>
      <c r="AC373" s="518"/>
      <c r="AD373" s="518"/>
      <c r="AE373" s="518"/>
      <c r="AF373" s="518"/>
      <c r="AG373" s="518"/>
      <c r="AH373" s="518"/>
      <c r="AI373" s="518"/>
      <c r="AJ373" s="518"/>
      <c r="AK373" s="518"/>
      <c r="AL373" s="518"/>
      <c r="AM373" s="518"/>
      <c r="AN373" s="518"/>
      <c r="AO373" s="518"/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</row>
    <row r="374" spans="1:57" ht="12.75" customHeight="1">
      <c r="A374" s="518"/>
      <c r="B374" s="518"/>
      <c r="C374" s="518"/>
      <c r="D374" s="518"/>
      <c r="E374" s="518"/>
      <c r="F374" s="518"/>
      <c r="G374" s="518"/>
      <c r="H374" s="518"/>
      <c r="I374" s="518"/>
      <c r="J374" s="518"/>
      <c r="K374" s="518"/>
      <c r="L374" s="518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  <c r="AB374" s="518"/>
      <c r="AC374" s="518"/>
      <c r="AD374" s="518"/>
      <c r="AE374" s="518"/>
      <c r="AF374" s="518"/>
      <c r="AG374" s="518"/>
      <c r="AH374" s="518"/>
      <c r="AI374" s="518"/>
      <c r="AJ374" s="518"/>
      <c r="AK374" s="518"/>
      <c r="AL374" s="518"/>
      <c r="AM374" s="518"/>
      <c r="AN374" s="518"/>
      <c r="AO374" s="518"/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</row>
    <row r="375" spans="1:57" ht="12.75" customHeight="1">
      <c r="A375" s="518"/>
      <c r="B375" s="518"/>
      <c r="C375" s="518"/>
      <c r="D375" s="518"/>
      <c r="E375" s="518"/>
      <c r="F375" s="518"/>
      <c r="G375" s="518"/>
      <c r="H375" s="518"/>
      <c r="I375" s="518"/>
      <c r="J375" s="518"/>
      <c r="K375" s="518"/>
      <c r="L375" s="518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  <c r="AB375" s="518"/>
      <c r="AC375" s="518"/>
      <c r="AD375" s="518"/>
      <c r="AE375" s="518"/>
      <c r="AF375" s="518"/>
      <c r="AG375" s="518"/>
      <c r="AH375" s="518"/>
      <c r="AI375" s="518"/>
      <c r="AJ375" s="518"/>
      <c r="AK375" s="518"/>
      <c r="AL375" s="518"/>
      <c r="AM375" s="518"/>
      <c r="AN375" s="518"/>
      <c r="AO375" s="518"/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</row>
    <row r="376" spans="1:57" ht="12.75" customHeight="1">
      <c r="A376" s="518"/>
      <c r="B376" s="518"/>
      <c r="C376" s="518"/>
      <c r="D376" s="518"/>
      <c r="E376" s="518"/>
      <c r="F376" s="518"/>
      <c r="G376" s="518"/>
      <c r="H376" s="518"/>
      <c r="I376" s="518"/>
      <c r="J376" s="518"/>
      <c r="K376" s="518"/>
      <c r="L376" s="518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  <c r="AB376" s="518"/>
      <c r="AC376" s="518"/>
      <c r="AD376" s="518"/>
      <c r="AE376" s="518"/>
      <c r="AF376" s="518"/>
      <c r="AG376" s="518"/>
      <c r="AH376" s="518"/>
      <c r="AI376" s="518"/>
      <c r="AJ376" s="518"/>
      <c r="AK376" s="518"/>
      <c r="AL376" s="518"/>
      <c r="AM376" s="518"/>
      <c r="AN376" s="518"/>
      <c r="AO376" s="518"/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</row>
    <row r="377" spans="1:57" ht="12.75" customHeight="1">
      <c r="A377" s="518"/>
      <c r="B377" s="518"/>
      <c r="C377" s="518"/>
      <c r="D377" s="518"/>
      <c r="E377" s="518"/>
      <c r="F377" s="518"/>
      <c r="G377" s="518"/>
      <c r="H377" s="518"/>
      <c r="I377" s="518"/>
      <c r="J377" s="518"/>
      <c r="K377" s="518"/>
      <c r="L377" s="518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  <c r="AB377" s="518"/>
      <c r="AC377" s="518"/>
      <c r="AD377" s="518"/>
      <c r="AE377" s="518"/>
      <c r="AF377" s="518"/>
      <c r="AG377" s="518"/>
      <c r="AH377" s="518"/>
      <c r="AI377" s="518"/>
      <c r="AJ377" s="518"/>
      <c r="AK377" s="518"/>
      <c r="AL377" s="518"/>
      <c r="AM377" s="518"/>
      <c r="AN377" s="518"/>
      <c r="AO377" s="518"/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</row>
    <row r="378" spans="1:57" ht="12.75" customHeight="1">
      <c r="A378" s="518"/>
      <c r="B378" s="518"/>
      <c r="C378" s="518"/>
      <c r="D378" s="518"/>
      <c r="E378" s="518"/>
      <c r="F378" s="518"/>
      <c r="G378" s="518"/>
      <c r="H378" s="518"/>
      <c r="I378" s="518"/>
      <c r="J378" s="518"/>
      <c r="K378" s="518"/>
      <c r="L378" s="518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  <c r="AB378" s="518"/>
      <c r="AC378" s="518"/>
      <c r="AD378" s="518"/>
      <c r="AE378" s="518"/>
      <c r="AF378" s="518"/>
      <c r="AG378" s="518"/>
      <c r="AH378" s="518"/>
      <c r="AI378" s="518"/>
      <c r="AJ378" s="518"/>
      <c r="AK378" s="518"/>
      <c r="AL378" s="518"/>
      <c r="AM378" s="518"/>
      <c r="AN378" s="518"/>
      <c r="AO378" s="518"/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</row>
    <row r="379" spans="1:57" ht="12.75" customHeight="1">
      <c r="A379" s="518"/>
      <c r="B379" s="518"/>
      <c r="C379" s="518"/>
      <c r="D379" s="518"/>
      <c r="E379" s="518"/>
      <c r="F379" s="518"/>
      <c r="G379" s="518"/>
      <c r="H379" s="518"/>
      <c r="I379" s="518"/>
      <c r="J379" s="518"/>
      <c r="K379" s="518"/>
      <c r="L379" s="518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  <c r="AB379" s="518"/>
      <c r="AC379" s="518"/>
      <c r="AD379" s="518"/>
      <c r="AE379" s="518"/>
      <c r="AF379" s="518"/>
      <c r="AG379" s="518"/>
      <c r="AH379" s="518"/>
      <c r="AI379" s="518"/>
      <c r="AJ379" s="518"/>
      <c r="AK379" s="518"/>
      <c r="AL379" s="518"/>
      <c r="AM379" s="518"/>
      <c r="AN379" s="518"/>
      <c r="AO379" s="518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</row>
    <row r="380" spans="1:57" ht="12.75" customHeight="1">
      <c r="A380" s="518"/>
      <c r="B380" s="518"/>
      <c r="C380" s="518"/>
      <c r="D380" s="518"/>
      <c r="E380" s="518"/>
      <c r="F380" s="518"/>
      <c r="G380" s="518"/>
      <c r="H380" s="518"/>
      <c r="I380" s="518"/>
      <c r="J380" s="518"/>
      <c r="K380" s="518"/>
      <c r="L380" s="518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  <c r="AB380" s="518"/>
      <c r="AC380" s="518"/>
      <c r="AD380" s="518"/>
      <c r="AE380" s="518"/>
      <c r="AF380" s="518"/>
      <c r="AG380" s="518"/>
      <c r="AH380" s="518"/>
      <c r="AI380" s="518"/>
      <c r="AJ380" s="518"/>
      <c r="AK380" s="518"/>
      <c r="AL380" s="518"/>
      <c r="AM380" s="518"/>
      <c r="AN380" s="518"/>
      <c r="AO380" s="518"/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</row>
    <row r="381" spans="1:57" ht="12.75" customHeight="1">
      <c r="A381" s="518"/>
      <c r="B381" s="518"/>
      <c r="C381" s="518"/>
      <c r="D381" s="518"/>
      <c r="E381" s="518"/>
      <c r="F381" s="518"/>
      <c r="G381" s="518"/>
      <c r="H381" s="518"/>
      <c r="I381" s="518"/>
      <c r="J381" s="518"/>
      <c r="K381" s="518"/>
      <c r="L381" s="518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  <c r="AB381" s="518"/>
      <c r="AC381" s="518"/>
      <c r="AD381" s="518"/>
      <c r="AE381" s="518"/>
      <c r="AF381" s="518"/>
      <c r="AG381" s="518"/>
      <c r="AH381" s="518"/>
      <c r="AI381" s="518"/>
      <c r="AJ381" s="518"/>
      <c r="AK381" s="518"/>
      <c r="AL381" s="518"/>
      <c r="AM381" s="518"/>
      <c r="AN381" s="518"/>
      <c r="AO381" s="518"/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</row>
    <row r="382" spans="1:57" ht="12.75" customHeight="1">
      <c r="A382" s="518"/>
      <c r="B382" s="518"/>
      <c r="C382" s="518"/>
      <c r="D382" s="518"/>
      <c r="E382" s="518"/>
      <c r="F382" s="518"/>
      <c r="G382" s="518"/>
      <c r="H382" s="518"/>
      <c r="I382" s="518"/>
      <c r="J382" s="518"/>
      <c r="K382" s="518"/>
      <c r="L382" s="518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  <c r="AB382" s="518"/>
      <c r="AC382" s="518"/>
      <c r="AD382" s="518"/>
      <c r="AE382" s="518"/>
      <c r="AF382" s="518"/>
      <c r="AG382" s="518"/>
      <c r="AH382" s="518"/>
      <c r="AI382" s="518"/>
      <c r="AJ382" s="518"/>
      <c r="AK382" s="518"/>
      <c r="AL382" s="518"/>
      <c r="AM382" s="518"/>
      <c r="AN382" s="518"/>
      <c r="AO382" s="518"/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</row>
    <row r="383" spans="1:57" ht="12.75" customHeight="1">
      <c r="A383" s="518"/>
      <c r="B383" s="518"/>
      <c r="C383" s="518"/>
      <c r="D383" s="518"/>
      <c r="E383" s="518"/>
      <c r="F383" s="518"/>
      <c r="G383" s="518"/>
      <c r="H383" s="518"/>
      <c r="I383" s="518"/>
      <c r="J383" s="518"/>
      <c r="K383" s="518"/>
      <c r="L383" s="518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  <c r="AB383" s="518"/>
      <c r="AC383" s="518"/>
      <c r="AD383" s="518"/>
      <c r="AE383" s="518"/>
      <c r="AF383" s="518"/>
      <c r="AG383" s="518"/>
      <c r="AH383" s="518"/>
      <c r="AI383" s="518"/>
      <c r="AJ383" s="518"/>
      <c r="AK383" s="518"/>
      <c r="AL383" s="518"/>
      <c r="AM383" s="518"/>
      <c r="AN383" s="518"/>
      <c r="AO383" s="518"/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</row>
    <row r="384" spans="1:57" ht="12.75" customHeight="1">
      <c r="A384" s="518"/>
      <c r="B384" s="518"/>
      <c r="C384" s="518"/>
      <c r="D384" s="518"/>
      <c r="E384" s="518"/>
      <c r="F384" s="518"/>
      <c r="G384" s="518"/>
      <c r="H384" s="518"/>
      <c r="I384" s="518"/>
      <c r="J384" s="518"/>
      <c r="K384" s="518"/>
      <c r="L384" s="518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  <c r="AB384" s="518"/>
      <c r="AC384" s="518"/>
      <c r="AD384" s="518"/>
      <c r="AE384" s="518"/>
      <c r="AF384" s="518"/>
      <c r="AG384" s="518"/>
      <c r="AH384" s="518"/>
      <c r="AI384" s="518"/>
      <c r="AJ384" s="518"/>
      <c r="AK384" s="518"/>
      <c r="AL384" s="518"/>
      <c r="AM384" s="518"/>
      <c r="AN384" s="518"/>
      <c r="AO384" s="518"/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</row>
    <row r="385" spans="1:57" ht="12.75" customHeight="1">
      <c r="A385" s="518"/>
      <c r="B385" s="518"/>
      <c r="C385" s="518"/>
      <c r="D385" s="518"/>
      <c r="E385" s="518"/>
      <c r="F385" s="518"/>
      <c r="G385" s="518"/>
      <c r="H385" s="518"/>
      <c r="I385" s="518"/>
      <c r="J385" s="518"/>
      <c r="K385" s="518"/>
      <c r="L385" s="518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  <c r="AB385" s="518"/>
      <c r="AC385" s="518"/>
      <c r="AD385" s="518"/>
      <c r="AE385" s="518"/>
      <c r="AF385" s="518"/>
      <c r="AG385" s="518"/>
      <c r="AH385" s="518"/>
      <c r="AI385" s="518"/>
      <c r="AJ385" s="518"/>
      <c r="AK385" s="518"/>
      <c r="AL385" s="518"/>
      <c r="AM385" s="518"/>
      <c r="AN385" s="518"/>
      <c r="AO385" s="518"/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</row>
    <row r="386" spans="1:57" ht="12.75" customHeight="1">
      <c r="A386" s="518"/>
      <c r="B386" s="518"/>
      <c r="C386" s="518"/>
      <c r="D386" s="518"/>
      <c r="E386" s="518"/>
      <c r="F386" s="518"/>
      <c r="G386" s="518"/>
      <c r="H386" s="518"/>
      <c r="I386" s="518"/>
      <c r="J386" s="518"/>
      <c r="K386" s="518"/>
      <c r="L386" s="518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  <c r="AB386" s="518"/>
      <c r="AC386" s="518"/>
      <c r="AD386" s="518"/>
      <c r="AE386" s="518"/>
      <c r="AF386" s="518"/>
      <c r="AG386" s="518"/>
      <c r="AH386" s="518"/>
      <c r="AI386" s="518"/>
      <c r="AJ386" s="518"/>
      <c r="AK386" s="518"/>
      <c r="AL386" s="518"/>
      <c r="AM386" s="518"/>
      <c r="AN386" s="518"/>
      <c r="AO386" s="518"/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</row>
    <row r="387" spans="1:57" ht="12.75" customHeight="1">
      <c r="A387" s="518"/>
      <c r="B387" s="518"/>
      <c r="C387" s="518"/>
      <c r="D387" s="518"/>
      <c r="E387" s="518"/>
      <c r="F387" s="518"/>
      <c r="G387" s="518"/>
      <c r="H387" s="518"/>
      <c r="I387" s="518"/>
      <c r="J387" s="518"/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  <c r="AB387" s="518"/>
      <c r="AC387" s="518"/>
      <c r="AD387" s="518"/>
      <c r="AE387" s="518"/>
      <c r="AF387" s="518"/>
      <c r="AG387" s="518"/>
      <c r="AH387" s="518"/>
      <c r="AI387" s="518"/>
      <c r="AJ387" s="518"/>
      <c r="AK387" s="518"/>
      <c r="AL387" s="518"/>
      <c r="AM387" s="518"/>
      <c r="AN387" s="518"/>
      <c r="AO387" s="518"/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</row>
    <row r="388" spans="1:57" ht="12.75" customHeight="1">
      <c r="A388" s="518"/>
      <c r="B388" s="518"/>
      <c r="C388" s="518"/>
      <c r="D388" s="518"/>
      <c r="E388" s="518"/>
      <c r="F388" s="518"/>
      <c r="G388" s="518"/>
      <c r="H388" s="518"/>
      <c r="I388" s="518"/>
      <c r="J388" s="518"/>
      <c r="K388" s="518"/>
      <c r="L388" s="518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  <c r="AB388" s="518"/>
      <c r="AC388" s="518"/>
      <c r="AD388" s="518"/>
      <c r="AE388" s="518"/>
      <c r="AF388" s="518"/>
      <c r="AG388" s="518"/>
      <c r="AH388" s="518"/>
      <c r="AI388" s="518"/>
      <c r="AJ388" s="518"/>
      <c r="AK388" s="518"/>
      <c r="AL388" s="518"/>
      <c r="AM388" s="518"/>
      <c r="AN388" s="518"/>
      <c r="AO388" s="518"/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</row>
    <row r="389" spans="1:57" ht="12.75" customHeight="1">
      <c r="A389" s="518"/>
      <c r="B389" s="518"/>
      <c r="C389" s="518"/>
      <c r="D389" s="518"/>
      <c r="E389" s="518"/>
      <c r="F389" s="518"/>
      <c r="G389" s="518"/>
      <c r="H389" s="518"/>
      <c r="I389" s="518"/>
      <c r="J389" s="518"/>
      <c r="K389" s="518"/>
      <c r="L389" s="518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  <c r="AB389" s="518"/>
      <c r="AC389" s="518"/>
      <c r="AD389" s="518"/>
      <c r="AE389" s="518"/>
      <c r="AF389" s="518"/>
      <c r="AG389" s="518"/>
      <c r="AH389" s="518"/>
      <c r="AI389" s="518"/>
      <c r="AJ389" s="518"/>
      <c r="AK389" s="518"/>
      <c r="AL389" s="518"/>
      <c r="AM389" s="518"/>
      <c r="AN389" s="518"/>
      <c r="AO389" s="518"/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</row>
    <row r="390" spans="1:57" ht="12.75" customHeight="1">
      <c r="A390" s="518"/>
      <c r="B390" s="518"/>
      <c r="C390" s="518"/>
      <c r="D390" s="518"/>
      <c r="E390" s="518"/>
      <c r="F390" s="518"/>
      <c r="G390" s="518"/>
      <c r="H390" s="518"/>
      <c r="I390" s="518"/>
      <c r="J390" s="518"/>
      <c r="K390" s="518"/>
      <c r="L390" s="518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  <c r="AB390" s="518"/>
      <c r="AC390" s="518"/>
      <c r="AD390" s="518"/>
      <c r="AE390" s="518"/>
      <c r="AF390" s="518"/>
      <c r="AG390" s="518"/>
      <c r="AH390" s="518"/>
      <c r="AI390" s="518"/>
      <c r="AJ390" s="518"/>
      <c r="AK390" s="518"/>
      <c r="AL390" s="518"/>
      <c r="AM390" s="518"/>
      <c r="AN390" s="518"/>
      <c r="AO390" s="518"/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</row>
    <row r="391" spans="1:57" ht="12.75" customHeight="1">
      <c r="A391" s="518"/>
      <c r="B391" s="518"/>
      <c r="C391" s="518"/>
      <c r="D391" s="518"/>
      <c r="E391" s="518"/>
      <c r="F391" s="518"/>
      <c r="G391" s="518"/>
      <c r="H391" s="518"/>
      <c r="I391" s="518"/>
      <c r="J391" s="518"/>
      <c r="K391" s="518"/>
      <c r="L391" s="518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  <c r="AB391" s="518"/>
      <c r="AC391" s="518"/>
      <c r="AD391" s="518"/>
      <c r="AE391" s="518"/>
      <c r="AF391" s="518"/>
      <c r="AG391" s="518"/>
      <c r="AH391" s="518"/>
      <c r="AI391" s="518"/>
      <c r="AJ391" s="518"/>
      <c r="AK391" s="518"/>
      <c r="AL391" s="518"/>
      <c r="AM391" s="518"/>
      <c r="AN391" s="518"/>
      <c r="AO391" s="518"/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</row>
    <row r="392" spans="1:57" ht="12.75" customHeight="1">
      <c r="A392" s="518"/>
      <c r="B392" s="518"/>
      <c r="C392" s="518"/>
      <c r="D392" s="518"/>
      <c r="E392" s="518"/>
      <c r="F392" s="518"/>
      <c r="G392" s="518"/>
      <c r="H392" s="518"/>
      <c r="I392" s="518"/>
      <c r="J392" s="518"/>
      <c r="K392" s="518"/>
      <c r="L392" s="518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  <c r="AB392" s="518"/>
      <c r="AC392" s="518"/>
      <c r="AD392" s="518"/>
      <c r="AE392" s="518"/>
      <c r="AF392" s="518"/>
      <c r="AG392" s="518"/>
      <c r="AH392" s="518"/>
      <c r="AI392" s="518"/>
      <c r="AJ392" s="518"/>
      <c r="AK392" s="518"/>
      <c r="AL392" s="518"/>
      <c r="AM392" s="518"/>
      <c r="AN392" s="518"/>
      <c r="AO392" s="518"/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</row>
    <row r="393" spans="1:57" ht="12.75" customHeight="1">
      <c r="A393" s="518"/>
      <c r="B393" s="518"/>
      <c r="C393" s="518"/>
      <c r="D393" s="518"/>
      <c r="E393" s="518"/>
      <c r="F393" s="518"/>
      <c r="G393" s="518"/>
      <c r="H393" s="518"/>
      <c r="I393" s="518"/>
      <c r="J393" s="518"/>
      <c r="K393" s="518"/>
      <c r="L393" s="518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  <c r="AB393" s="518"/>
      <c r="AC393" s="518"/>
      <c r="AD393" s="518"/>
      <c r="AE393" s="518"/>
      <c r="AF393" s="518"/>
      <c r="AG393" s="518"/>
      <c r="AH393" s="518"/>
      <c r="AI393" s="518"/>
      <c r="AJ393" s="518"/>
      <c r="AK393" s="518"/>
      <c r="AL393" s="518"/>
      <c r="AM393" s="518"/>
      <c r="AN393" s="518"/>
      <c r="AO393" s="518"/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</row>
    <row r="394" spans="1:57" ht="12.75" customHeight="1">
      <c r="A394" s="518"/>
      <c r="B394" s="518"/>
      <c r="C394" s="518"/>
      <c r="D394" s="518"/>
      <c r="E394" s="518"/>
      <c r="F394" s="518"/>
      <c r="G394" s="518"/>
      <c r="H394" s="518"/>
      <c r="I394" s="518"/>
      <c r="J394" s="518"/>
      <c r="K394" s="518"/>
      <c r="L394" s="518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  <c r="AB394" s="518"/>
      <c r="AC394" s="518"/>
      <c r="AD394" s="518"/>
      <c r="AE394" s="518"/>
      <c r="AF394" s="518"/>
      <c r="AG394" s="518"/>
      <c r="AH394" s="518"/>
      <c r="AI394" s="518"/>
      <c r="AJ394" s="518"/>
      <c r="AK394" s="518"/>
      <c r="AL394" s="518"/>
      <c r="AM394" s="518"/>
      <c r="AN394" s="518"/>
      <c r="AO394" s="518"/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</row>
    <row r="395" spans="1:57" ht="12.75" customHeight="1">
      <c r="A395" s="518"/>
      <c r="B395" s="518"/>
      <c r="C395" s="518"/>
      <c r="D395" s="518"/>
      <c r="E395" s="518"/>
      <c r="F395" s="518"/>
      <c r="G395" s="518"/>
      <c r="H395" s="518"/>
      <c r="I395" s="518"/>
      <c r="J395" s="518"/>
      <c r="K395" s="518"/>
      <c r="L395" s="518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  <c r="AB395" s="518"/>
      <c r="AC395" s="518"/>
      <c r="AD395" s="518"/>
      <c r="AE395" s="518"/>
      <c r="AF395" s="518"/>
      <c r="AG395" s="518"/>
      <c r="AH395" s="518"/>
      <c r="AI395" s="518"/>
      <c r="AJ395" s="518"/>
      <c r="AK395" s="518"/>
      <c r="AL395" s="518"/>
      <c r="AM395" s="518"/>
      <c r="AN395" s="518"/>
      <c r="AO395" s="518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</row>
    <row r="396" spans="1:57" ht="12.75" customHeight="1">
      <c r="A396" s="518"/>
      <c r="B396" s="518"/>
      <c r="C396" s="518"/>
      <c r="D396" s="518"/>
      <c r="E396" s="518"/>
      <c r="F396" s="518"/>
      <c r="G396" s="518"/>
      <c r="H396" s="518"/>
      <c r="I396" s="518"/>
      <c r="J396" s="518"/>
      <c r="K396" s="518"/>
      <c r="L396" s="518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  <c r="AB396" s="518"/>
      <c r="AC396" s="518"/>
      <c r="AD396" s="518"/>
      <c r="AE396" s="518"/>
      <c r="AF396" s="518"/>
      <c r="AG396" s="518"/>
      <c r="AH396" s="518"/>
      <c r="AI396" s="518"/>
      <c r="AJ396" s="518"/>
      <c r="AK396" s="518"/>
      <c r="AL396" s="518"/>
      <c r="AM396" s="518"/>
      <c r="AN396" s="518"/>
      <c r="AO396" s="518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</row>
    <row r="397" spans="1:57" ht="12.75" customHeight="1">
      <c r="A397" s="518"/>
      <c r="B397" s="518"/>
      <c r="C397" s="518"/>
      <c r="D397" s="518"/>
      <c r="E397" s="518"/>
      <c r="F397" s="518"/>
      <c r="G397" s="518"/>
      <c r="H397" s="518"/>
      <c r="I397" s="518"/>
      <c r="J397" s="518"/>
      <c r="K397" s="518"/>
      <c r="L397" s="518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  <c r="AB397" s="518"/>
      <c r="AC397" s="518"/>
      <c r="AD397" s="518"/>
      <c r="AE397" s="518"/>
      <c r="AF397" s="518"/>
      <c r="AG397" s="518"/>
      <c r="AH397" s="518"/>
      <c r="AI397" s="518"/>
      <c r="AJ397" s="518"/>
      <c r="AK397" s="518"/>
      <c r="AL397" s="518"/>
      <c r="AM397" s="518"/>
      <c r="AN397" s="518"/>
      <c r="AO397" s="518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</row>
    <row r="398" spans="1:57" ht="12.75" customHeight="1">
      <c r="A398" s="518"/>
      <c r="B398" s="518"/>
      <c r="C398" s="518"/>
      <c r="D398" s="518"/>
      <c r="E398" s="518"/>
      <c r="F398" s="518"/>
      <c r="G398" s="518"/>
      <c r="H398" s="518"/>
      <c r="I398" s="518"/>
      <c r="J398" s="518"/>
      <c r="K398" s="518"/>
      <c r="L398" s="518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  <c r="AB398" s="518"/>
      <c r="AC398" s="518"/>
      <c r="AD398" s="518"/>
      <c r="AE398" s="518"/>
      <c r="AF398" s="518"/>
      <c r="AG398" s="518"/>
      <c r="AH398" s="518"/>
      <c r="AI398" s="518"/>
      <c r="AJ398" s="518"/>
      <c r="AK398" s="518"/>
      <c r="AL398" s="518"/>
      <c r="AM398" s="518"/>
      <c r="AN398" s="518"/>
      <c r="AO398" s="518"/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</row>
    <row r="399" spans="1:57" ht="12.75" customHeight="1">
      <c r="A399" s="518"/>
      <c r="B399" s="518"/>
      <c r="C399" s="518"/>
      <c r="D399" s="518"/>
      <c r="E399" s="518"/>
      <c r="F399" s="518"/>
      <c r="G399" s="518"/>
      <c r="H399" s="518"/>
      <c r="I399" s="518"/>
      <c r="J399" s="518"/>
      <c r="K399" s="518"/>
      <c r="L399" s="518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  <c r="AB399" s="518"/>
      <c r="AC399" s="518"/>
      <c r="AD399" s="518"/>
      <c r="AE399" s="518"/>
      <c r="AF399" s="518"/>
      <c r="AG399" s="518"/>
      <c r="AH399" s="518"/>
      <c r="AI399" s="518"/>
      <c r="AJ399" s="518"/>
      <c r="AK399" s="518"/>
      <c r="AL399" s="518"/>
      <c r="AM399" s="518"/>
      <c r="AN399" s="518"/>
      <c r="AO399" s="51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</row>
    <row r="400" spans="1:57" ht="12.75" customHeight="1">
      <c r="A400" s="518"/>
      <c r="B400" s="518"/>
      <c r="C400" s="518"/>
      <c r="D400" s="518"/>
      <c r="E400" s="518"/>
      <c r="F400" s="518"/>
      <c r="G400" s="518"/>
      <c r="H400" s="518"/>
      <c r="I400" s="518"/>
      <c r="J400" s="518"/>
      <c r="K400" s="518"/>
      <c r="L400" s="518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  <c r="AB400" s="518"/>
      <c r="AC400" s="518"/>
      <c r="AD400" s="518"/>
      <c r="AE400" s="518"/>
      <c r="AF400" s="518"/>
      <c r="AG400" s="518"/>
      <c r="AH400" s="518"/>
      <c r="AI400" s="518"/>
      <c r="AJ400" s="518"/>
      <c r="AK400" s="518"/>
      <c r="AL400" s="518"/>
      <c r="AM400" s="518"/>
      <c r="AN400" s="518"/>
      <c r="AO400" s="518"/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</row>
    <row r="401" spans="1:57" ht="12.75" customHeight="1">
      <c r="A401" s="518"/>
      <c r="B401" s="518"/>
      <c r="C401" s="518"/>
      <c r="D401" s="518"/>
      <c r="E401" s="518"/>
      <c r="F401" s="518"/>
      <c r="G401" s="518"/>
      <c r="H401" s="518"/>
      <c r="I401" s="518"/>
      <c r="J401" s="518"/>
      <c r="K401" s="518"/>
      <c r="L401" s="518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  <c r="AB401" s="518"/>
      <c r="AC401" s="518"/>
      <c r="AD401" s="518"/>
      <c r="AE401" s="518"/>
      <c r="AF401" s="518"/>
      <c r="AG401" s="518"/>
      <c r="AH401" s="518"/>
      <c r="AI401" s="518"/>
      <c r="AJ401" s="518"/>
      <c r="AK401" s="518"/>
      <c r="AL401" s="518"/>
      <c r="AM401" s="518"/>
      <c r="AN401" s="518"/>
      <c r="AO401" s="518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</row>
    <row r="402" spans="1:57" ht="12.75" customHeight="1">
      <c r="A402" s="518"/>
      <c r="B402" s="518"/>
      <c r="C402" s="518"/>
      <c r="D402" s="518"/>
      <c r="E402" s="518"/>
      <c r="F402" s="518"/>
      <c r="G402" s="518"/>
      <c r="H402" s="518"/>
      <c r="I402" s="518"/>
      <c r="J402" s="518"/>
      <c r="K402" s="518"/>
      <c r="L402" s="518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  <c r="AB402" s="518"/>
      <c r="AC402" s="518"/>
      <c r="AD402" s="518"/>
      <c r="AE402" s="518"/>
      <c r="AF402" s="518"/>
      <c r="AG402" s="518"/>
      <c r="AH402" s="518"/>
      <c r="AI402" s="518"/>
      <c r="AJ402" s="518"/>
      <c r="AK402" s="518"/>
      <c r="AL402" s="518"/>
      <c r="AM402" s="518"/>
      <c r="AN402" s="518"/>
      <c r="AO402" s="518"/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</row>
    <row r="403" spans="1:57" ht="12.75" customHeight="1">
      <c r="A403" s="518"/>
      <c r="B403" s="518"/>
      <c r="C403" s="518"/>
      <c r="D403" s="518"/>
      <c r="E403" s="518"/>
      <c r="F403" s="518"/>
      <c r="G403" s="518"/>
      <c r="H403" s="518"/>
      <c r="I403" s="518"/>
      <c r="J403" s="518"/>
      <c r="K403" s="518"/>
      <c r="L403" s="518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  <c r="AB403" s="518"/>
      <c r="AC403" s="518"/>
      <c r="AD403" s="518"/>
      <c r="AE403" s="518"/>
      <c r="AF403" s="518"/>
      <c r="AG403" s="518"/>
      <c r="AH403" s="518"/>
      <c r="AI403" s="518"/>
      <c r="AJ403" s="518"/>
      <c r="AK403" s="518"/>
      <c r="AL403" s="518"/>
      <c r="AM403" s="518"/>
      <c r="AN403" s="518"/>
      <c r="AO403" s="518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</row>
    <row r="404" spans="1:57" ht="12.75" customHeight="1">
      <c r="A404" s="518"/>
      <c r="B404" s="518"/>
      <c r="C404" s="518"/>
      <c r="D404" s="518"/>
      <c r="E404" s="518"/>
      <c r="F404" s="518"/>
      <c r="G404" s="518"/>
      <c r="H404" s="518"/>
      <c r="I404" s="518"/>
      <c r="J404" s="518"/>
      <c r="K404" s="518"/>
      <c r="L404" s="518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  <c r="AB404" s="518"/>
      <c r="AC404" s="518"/>
      <c r="AD404" s="518"/>
      <c r="AE404" s="518"/>
      <c r="AF404" s="518"/>
      <c r="AG404" s="518"/>
      <c r="AH404" s="518"/>
      <c r="AI404" s="518"/>
      <c r="AJ404" s="518"/>
      <c r="AK404" s="518"/>
      <c r="AL404" s="518"/>
      <c r="AM404" s="518"/>
      <c r="AN404" s="518"/>
      <c r="AO404" s="518"/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</row>
    <row r="405" spans="1:57" ht="12.75" customHeight="1">
      <c r="A405" s="518"/>
      <c r="B405" s="518"/>
      <c r="C405" s="518"/>
      <c r="D405" s="518"/>
      <c r="E405" s="518"/>
      <c r="F405" s="518"/>
      <c r="G405" s="518"/>
      <c r="H405" s="518"/>
      <c r="I405" s="518"/>
      <c r="J405" s="518"/>
      <c r="K405" s="518"/>
      <c r="L405" s="518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  <c r="AB405" s="518"/>
      <c r="AC405" s="518"/>
      <c r="AD405" s="518"/>
      <c r="AE405" s="518"/>
      <c r="AF405" s="518"/>
      <c r="AG405" s="518"/>
      <c r="AH405" s="518"/>
      <c r="AI405" s="518"/>
      <c r="AJ405" s="518"/>
      <c r="AK405" s="518"/>
      <c r="AL405" s="518"/>
      <c r="AM405" s="518"/>
      <c r="AN405" s="518"/>
      <c r="AO405" s="51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</row>
    <row r="406" spans="1:57" ht="12.75" customHeight="1">
      <c r="A406" s="518"/>
      <c r="B406" s="518"/>
      <c r="C406" s="518"/>
      <c r="D406" s="518"/>
      <c r="E406" s="518"/>
      <c r="F406" s="518"/>
      <c r="G406" s="518"/>
      <c r="H406" s="518"/>
      <c r="I406" s="518"/>
      <c r="J406" s="518"/>
      <c r="K406" s="518"/>
      <c r="L406" s="518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  <c r="AB406" s="518"/>
      <c r="AC406" s="518"/>
      <c r="AD406" s="518"/>
      <c r="AE406" s="518"/>
      <c r="AF406" s="518"/>
      <c r="AG406" s="518"/>
      <c r="AH406" s="518"/>
      <c r="AI406" s="518"/>
      <c r="AJ406" s="518"/>
      <c r="AK406" s="518"/>
      <c r="AL406" s="518"/>
      <c r="AM406" s="518"/>
      <c r="AN406" s="518"/>
      <c r="AO406" s="518"/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</row>
    <row r="407" spans="1:57" ht="12.75" customHeight="1">
      <c r="A407" s="518"/>
      <c r="B407" s="518"/>
      <c r="C407" s="518"/>
      <c r="D407" s="518"/>
      <c r="E407" s="518"/>
      <c r="F407" s="518"/>
      <c r="G407" s="518"/>
      <c r="H407" s="518"/>
      <c r="I407" s="518"/>
      <c r="J407" s="518"/>
      <c r="K407" s="518"/>
      <c r="L407" s="518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  <c r="AB407" s="518"/>
      <c r="AC407" s="518"/>
      <c r="AD407" s="518"/>
      <c r="AE407" s="518"/>
      <c r="AF407" s="518"/>
      <c r="AG407" s="518"/>
      <c r="AH407" s="518"/>
      <c r="AI407" s="518"/>
      <c r="AJ407" s="518"/>
      <c r="AK407" s="518"/>
      <c r="AL407" s="518"/>
      <c r="AM407" s="518"/>
      <c r="AN407" s="518"/>
      <c r="AO407" s="518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</row>
    <row r="408" spans="1:57" ht="12.75" customHeight="1">
      <c r="A408" s="518"/>
      <c r="B408" s="518"/>
      <c r="C408" s="518"/>
      <c r="D408" s="518"/>
      <c r="E408" s="518"/>
      <c r="F408" s="518"/>
      <c r="G408" s="518"/>
      <c r="H408" s="518"/>
      <c r="I408" s="518"/>
      <c r="J408" s="518"/>
      <c r="K408" s="518"/>
      <c r="L408" s="518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  <c r="AB408" s="518"/>
      <c r="AC408" s="518"/>
      <c r="AD408" s="518"/>
      <c r="AE408" s="518"/>
      <c r="AF408" s="518"/>
      <c r="AG408" s="518"/>
      <c r="AH408" s="518"/>
      <c r="AI408" s="518"/>
      <c r="AJ408" s="518"/>
      <c r="AK408" s="518"/>
      <c r="AL408" s="518"/>
      <c r="AM408" s="518"/>
      <c r="AN408" s="518"/>
      <c r="AO408" s="518"/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</row>
    <row r="409" spans="1:57" ht="12.75" customHeight="1">
      <c r="A409" s="518"/>
      <c r="B409" s="518"/>
      <c r="C409" s="518"/>
      <c r="D409" s="518"/>
      <c r="E409" s="518"/>
      <c r="F409" s="518"/>
      <c r="G409" s="518"/>
      <c r="H409" s="518"/>
      <c r="I409" s="518"/>
      <c r="J409" s="518"/>
      <c r="K409" s="518"/>
      <c r="L409" s="518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  <c r="AB409" s="518"/>
      <c r="AC409" s="518"/>
      <c r="AD409" s="518"/>
      <c r="AE409" s="518"/>
      <c r="AF409" s="518"/>
      <c r="AG409" s="518"/>
      <c r="AH409" s="518"/>
      <c r="AI409" s="518"/>
      <c r="AJ409" s="518"/>
      <c r="AK409" s="518"/>
      <c r="AL409" s="518"/>
      <c r="AM409" s="518"/>
      <c r="AN409" s="518"/>
      <c r="AO409" s="518"/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</row>
    <row r="410" spans="1:57" ht="12.75" customHeight="1">
      <c r="A410" s="518"/>
      <c r="B410" s="518"/>
      <c r="C410" s="518"/>
      <c r="D410" s="518"/>
      <c r="E410" s="518"/>
      <c r="F410" s="518"/>
      <c r="G410" s="518"/>
      <c r="H410" s="518"/>
      <c r="I410" s="518"/>
      <c r="J410" s="518"/>
      <c r="K410" s="518"/>
      <c r="L410" s="518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  <c r="AB410" s="518"/>
      <c r="AC410" s="518"/>
      <c r="AD410" s="518"/>
      <c r="AE410" s="518"/>
      <c r="AF410" s="518"/>
      <c r="AG410" s="518"/>
      <c r="AH410" s="518"/>
      <c r="AI410" s="518"/>
      <c r="AJ410" s="518"/>
      <c r="AK410" s="518"/>
      <c r="AL410" s="518"/>
      <c r="AM410" s="518"/>
      <c r="AN410" s="518"/>
      <c r="AO410" s="518"/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</row>
    <row r="411" spans="1:57" ht="12.75" customHeight="1">
      <c r="A411" s="518"/>
      <c r="B411" s="518"/>
      <c r="C411" s="518"/>
      <c r="D411" s="518"/>
      <c r="E411" s="518"/>
      <c r="F411" s="518"/>
      <c r="G411" s="518"/>
      <c r="H411" s="518"/>
      <c r="I411" s="518"/>
      <c r="J411" s="518"/>
      <c r="K411" s="518"/>
      <c r="L411" s="518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  <c r="AB411" s="518"/>
      <c r="AC411" s="518"/>
      <c r="AD411" s="518"/>
      <c r="AE411" s="518"/>
      <c r="AF411" s="518"/>
      <c r="AG411" s="518"/>
      <c r="AH411" s="518"/>
      <c r="AI411" s="518"/>
      <c r="AJ411" s="518"/>
      <c r="AK411" s="518"/>
      <c r="AL411" s="518"/>
      <c r="AM411" s="518"/>
      <c r="AN411" s="518"/>
      <c r="AO411" s="518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</row>
    <row r="412" spans="1:57" ht="12.75" customHeight="1">
      <c r="A412" s="518"/>
      <c r="B412" s="518"/>
      <c r="C412" s="518"/>
      <c r="D412" s="518"/>
      <c r="E412" s="518"/>
      <c r="F412" s="518"/>
      <c r="G412" s="518"/>
      <c r="H412" s="518"/>
      <c r="I412" s="518"/>
      <c r="J412" s="518"/>
      <c r="K412" s="518"/>
      <c r="L412" s="518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  <c r="AB412" s="518"/>
      <c r="AC412" s="518"/>
      <c r="AD412" s="518"/>
      <c r="AE412" s="518"/>
      <c r="AF412" s="518"/>
      <c r="AG412" s="518"/>
      <c r="AH412" s="518"/>
      <c r="AI412" s="518"/>
      <c r="AJ412" s="518"/>
      <c r="AK412" s="518"/>
      <c r="AL412" s="518"/>
      <c r="AM412" s="518"/>
      <c r="AN412" s="518"/>
      <c r="AO412" s="518"/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</row>
    <row r="413" spans="1:57" ht="12.75" customHeight="1">
      <c r="A413" s="518"/>
      <c r="B413" s="518"/>
      <c r="C413" s="518"/>
      <c r="D413" s="518"/>
      <c r="E413" s="518"/>
      <c r="F413" s="518"/>
      <c r="G413" s="518"/>
      <c r="H413" s="518"/>
      <c r="I413" s="518"/>
      <c r="J413" s="518"/>
      <c r="K413" s="518"/>
      <c r="L413" s="518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</row>
    <row r="414" spans="1:57" ht="12.75" customHeight="1">
      <c r="A414" s="518"/>
      <c r="B414" s="518"/>
      <c r="C414" s="518"/>
      <c r="D414" s="518"/>
      <c r="E414" s="518"/>
      <c r="F414" s="518"/>
      <c r="G414" s="518"/>
      <c r="H414" s="518"/>
      <c r="I414" s="518"/>
      <c r="J414" s="518"/>
      <c r="K414" s="518"/>
      <c r="L414" s="518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  <c r="AB414" s="518"/>
      <c r="AC414" s="518"/>
      <c r="AD414" s="518"/>
      <c r="AE414" s="518"/>
      <c r="AF414" s="518"/>
      <c r="AG414" s="518"/>
      <c r="AH414" s="518"/>
      <c r="AI414" s="518"/>
      <c r="AJ414" s="518"/>
      <c r="AK414" s="518"/>
      <c r="AL414" s="518"/>
      <c r="AM414" s="518"/>
      <c r="AN414" s="518"/>
      <c r="AO414" s="518"/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</row>
    <row r="415" spans="1:57" ht="12.75" customHeight="1">
      <c r="A415" s="518"/>
      <c r="B415" s="518"/>
      <c r="C415" s="518"/>
      <c r="D415" s="518"/>
      <c r="E415" s="518"/>
      <c r="F415" s="518"/>
      <c r="G415" s="518"/>
      <c r="H415" s="518"/>
      <c r="I415" s="518"/>
      <c r="J415" s="518"/>
      <c r="K415" s="518"/>
      <c r="L415" s="518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  <c r="AB415" s="518"/>
      <c r="AC415" s="518"/>
      <c r="AD415" s="518"/>
      <c r="AE415" s="518"/>
      <c r="AF415" s="518"/>
      <c r="AG415" s="518"/>
      <c r="AH415" s="518"/>
      <c r="AI415" s="518"/>
      <c r="AJ415" s="518"/>
      <c r="AK415" s="518"/>
      <c r="AL415" s="518"/>
      <c r="AM415" s="518"/>
      <c r="AN415" s="518"/>
      <c r="AO415" s="518"/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</row>
    <row r="416" spans="1:57" ht="12.75" customHeight="1">
      <c r="A416" s="518"/>
      <c r="B416" s="518"/>
      <c r="C416" s="518"/>
      <c r="D416" s="518"/>
      <c r="E416" s="518"/>
      <c r="F416" s="518"/>
      <c r="G416" s="518"/>
      <c r="H416" s="518"/>
      <c r="I416" s="518"/>
      <c r="J416" s="518"/>
      <c r="K416" s="518"/>
      <c r="L416" s="518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  <c r="AB416" s="518"/>
      <c r="AC416" s="518"/>
      <c r="AD416" s="518"/>
      <c r="AE416" s="518"/>
      <c r="AF416" s="518"/>
      <c r="AG416" s="518"/>
      <c r="AH416" s="518"/>
      <c r="AI416" s="518"/>
      <c r="AJ416" s="518"/>
      <c r="AK416" s="518"/>
      <c r="AL416" s="518"/>
      <c r="AM416" s="518"/>
      <c r="AN416" s="518"/>
      <c r="AO416" s="518"/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</row>
    <row r="417" spans="1:57" ht="12.75" customHeight="1">
      <c r="A417" s="518"/>
      <c r="B417" s="518"/>
      <c r="C417" s="518"/>
      <c r="D417" s="518"/>
      <c r="E417" s="518"/>
      <c r="F417" s="518"/>
      <c r="G417" s="518"/>
      <c r="H417" s="518"/>
      <c r="I417" s="518"/>
      <c r="J417" s="518"/>
      <c r="K417" s="518"/>
      <c r="L417" s="518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  <c r="AB417" s="518"/>
      <c r="AC417" s="518"/>
      <c r="AD417" s="518"/>
      <c r="AE417" s="518"/>
      <c r="AF417" s="518"/>
      <c r="AG417" s="518"/>
      <c r="AH417" s="518"/>
      <c r="AI417" s="518"/>
      <c r="AJ417" s="518"/>
      <c r="AK417" s="518"/>
      <c r="AL417" s="518"/>
      <c r="AM417" s="518"/>
      <c r="AN417" s="518"/>
      <c r="AO417" s="518"/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</row>
    <row r="418" spans="1:57" ht="12.75" customHeight="1">
      <c r="A418" s="518"/>
      <c r="B418" s="518"/>
      <c r="C418" s="518"/>
      <c r="D418" s="518"/>
      <c r="E418" s="518"/>
      <c r="F418" s="518"/>
      <c r="G418" s="518"/>
      <c r="H418" s="518"/>
      <c r="I418" s="518"/>
      <c r="J418" s="518"/>
      <c r="K418" s="518"/>
      <c r="L418" s="518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  <c r="AB418" s="518"/>
      <c r="AC418" s="518"/>
      <c r="AD418" s="518"/>
      <c r="AE418" s="518"/>
      <c r="AF418" s="518"/>
      <c r="AG418" s="518"/>
      <c r="AH418" s="518"/>
      <c r="AI418" s="518"/>
      <c r="AJ418" s="518"/>
      <c r="AK418" s="518"/>
      <c r="AL418" s="518"/>
      <c r="AM418" s="518"/>
      <c r="AN418" s="518"/>
      <c r="AO418" s="518"/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</row>
    <row r="419" spans="1:57" ht="12.75" customHeight="1">
      <c r="A419" s="518"/>
      <c r="B419" s="518"/>
      <c r="C419" s="518"/>
      <c r="D419" s="518"/>
      <c r="E419" s="518"/>
      <c r="F419" s="518"/>
      <c r="G419" s="518"/>
      <c r="H419" s="518"/>
      <c r="I419" s="518"/>
      <c r="J419" s="518"/>
      <c r="K419" s="518"/>
      <c r="L419" s="518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  <c r="AB419" s="518"/>
      <c r="AC419" s="518"/>
      <c r="AD419" s="518"/>
      <c r="AE419" s="518"/>
      <c r="AF419" s="518"/>
      <c r="AG419" s="518"/>
      <c r="AH419" s="518"/>
      <c r="AI419" s="518"/>
      <c r="AJ419" s="518"/>
      <c r="AK419" s="518"/>
      <c r="AL419" s="518"/>
      <c r="AM419" s="518"/>
      <c r="AN419" s="518"/>
      <c r="AO419" s="518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</row>
    <row r="420" spans="1:57" ht="12.75" customHeight="1">
      <c r="A420" s="518"/>
      <c r="B420" s="518"/>
      <c r="C420" s="518"/>
      <c r="D420" s="518"/>
      <c r="E420" s="518"/>
      <c r="F420" s="518"/>
      <c r="G420" s="518"/>
      <c r="H420" s="518"/>
      <c r="I420" s="518"/>
      <c r="J420" s="518"/>
      <c r="K420" s="518"/>
      <c r="L420" s="518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  <c r="AB420" s="518"/>
      <c r="AC420" s="518"/>
      <c r="AD420" s="518"/>
      <c r="AE420" s="518"/>
      <c r="AF420" s="518"/>
      <c r="AG420" s="518"/>
      <c r="AH420" s="518"/>
      <c r="AI420" s="518"/>
      <c r="AJ420" s="518"/>
      <c r="AK420" s="518"/>
      <c r="AL420" s="518"/>
      <c r="AM420" s="518"/>
      <c r="AN420" s="518"/>
      <c r="AO420" s="518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</row>
    <row r="421" spans="1:57" ht="12.75" customHeight="1">
      <c r="A421" s="518"/>
      <c r="B421" s="518"/>
      <c r="C421" s="518"/>
      <c r="D421" s="518"/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  <c r="AB421" s="518"/>
      <c r="AC421" s="518"/>
      <c r="AD421" s="518"/>
      <c r="AE421" s="518"/>
      <c r="AF421" s="518"/>
      <c r="AG421" s="518"/>
      <c r="AH421" s="518"/>
      <c r="AI421" s="518"/>
      <c r="AJ421" s="518"/>
      <c r="AK421" s="518"/>
      <c r="AL421" s="518"/>
      <c r="AM421" s="518"/>
      <c r="AN421" s="518"/>
      <c r="AO421" s="518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</row>
    <row r="422" spans="1:57" ht="12.75" customHeight="1">
      <c r="A422" s="518"/>
      <c r="B422" s="518"/>
      <c r="C422" s="518"/>
      <c r="D422" s="518"/>
      <c r="E422" s="518"/>
      <c r="F422" s="518"/>
      <c r="G422" s="518"/>
      <c r="H422" s="518"/>
      <c r="I422" s="518"/>
      <c r="J422" s="518"/>
      <c r="K422" s="518"/>
      <c r="L422" s="518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  <c r="AB422" s="518"/>
      <c r="AC422" s="518"/>
      <c r="AD422" s="518"/>
      <c r="AE422" s="518"/>
      <c r="AF422" s="518"/>
      <c r="AG422" s="518"/>
      <c r="AH422" s="518"/>
      <c r="AI422" s="518"/>
      <c r="AJ422" s="518"/>
      <c r="AK422" s="518"/>
      <c r="AL422" s="518"/>
      <c r="AM422" s="518"/>
      <c r="AN422" s="518"/>
      <c r="AO422" s="518"/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</row>
    <row r="423" spans="1:57" ht="12.75" customHeight="1">
      <c r="A423" s="518"/>
      <c r="B423" s="518"/>
      <c r="C423" s="518"/>
      <c r="D423" s="518"/>
      <c r="E423" s="518"/>
      <c r="F423" s="518"/>
      <c r="G423" s="518"/>
      <c r="H423" s="518"/>
      <c r="I423" s="518"/>
      <c r="J423" s="518"/>
      <c r="K423" s="518"/>
      <c r="L423" s="518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  <c r="AB423" s="518"/>
      <c r="AC423" s="518"/>
      <c r="AD423" s="518"/>
      <c r="AE423" s="518"/>
      <c r="AF423" s="518"/>
      <c r="AG423" s="518"/>
      <c r="AH423" s="518"/>
      <c r="AI423" s="518"/>
      <c r="AJ423" s="518"/>
      <c r="AK423" s="518"/>
      <c r="AL423" s="518"/>
      <c r="AM423" s="518"/>
      <c r="AN423" s="518"/>
      <c r="AO423" s="518"/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</row>
    <row r="424" spans="1:57" ht="12.75" customHeight="1">
      <c r="A424" s="518"/>
      <c r="B424" s="518"/>
      <c r="C424" s="518"/>
      <c r="D424" s="518"/>
      <c r="E424" s="518"/>
      <c r="F424" s="518"/>
      <c r="G424" s="518"/>
      <c r="H424" s="518"/>
      <c r="I424" s="518"/>
      <c r="J424" s="518"/>
      <c r="K424" s="518"/>
      <c r="L424" s="518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  <c r="AB424" s="518"/>
      <c r="AC424" s="518"/>
      <c r="AD424" s="518"/>
      <c r="AE424" s="518"/>
      <c r="AF424" s="518"/>
      <c r="AG424" s="518"/>
      <c r="AH424" s="518"/>
      <c r="AI424" s="518"/>
      <c r="AJ424" s="518"/>
      <c r="AK424" s="518"/>
      <c r="AL424" s="518"/>
      <c r="AM424" s="518"/>
      <c r="AN424" s="518"/>
      <c r="AO424" s="518"/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</row>
    <row r="425" spans="1:57" ht="12.75" customHeight="1">
      <c r="A425" s="518"/>
      <c r="B425" s="518"/>
      <c r="C425" s="518"/>
      <c r="D425" s="518"/>
      <c r="E425" s="518"/>
      <c r="F425" s="518"/>
      <c r="G425" s="518"/>
      <c r="H425" s="518"/>
      <c r="I425" s="518"/>
      <c r="J425" s="518"/>
      <c r="K425" s="518"/>
      <c r="L425" s="518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  <c r="AB425" s="518"/>
      <c r="AC425" s="518"/>
      <c r="AD425" s="518"/>
      <c r="AE425" s="518"/>
      <c r="AF425" s="518"/>
      <c r="AG425" s="518"/>
      <c r="AH425" s="518"/>
      <c r="AI425" s="518"/>
      <c r="AJ425" s="518"/>
      <c r="AK425" s="518"/>
      <c r="AL425" s="518"/>
      <c r="AM425" s="518"/>
      <c r="AN425" s="518"/>
      <c r="AO425" s="518"/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</row>
    <row r="426" spans="1:57" ht="12.75" customHeight="1">
      <c r="A426" s="518"/>
      <c r="B426" s="518"/>
      <c r="C426" s="518"/>
      <c r="D426" s="518"/>
      <c r="E426" s="518"/>
      <c r="F426" s="518"/>
      <c r="G426" s="518"/>
      <c r="H426" s="518"/>
      <c r="I426" s="518"/>
      <c r="J426" s="518"/>
      <c r="K426" s="518"/>
      <c r="L426" s="518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  <c r="AB426" s="518"/>
      <c r="AC426" s="518"/>
      <c r="AD426" s="518"/>
      <c r="AE426" s="518"/>
      <c r="AF426" s="518"/>
      <c r="AG426" s="518"/>
      <c r="AH426" s="518"/>
      <c r="AI426" s="518"/>
      <c r="AJ426" s="518"/>
      <c r="AK426" s="518"/>
      <c r="AL426" s="518"/>
      <c r="AM426" s="518"/>
      <c r="AN426" s="518"/>
      <c r="AO426" s="518"/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</row>
    <row r="427" spans="1:57" ht="12.75" customHeight="1">
      <c r="A427" s="518"/>
      <c r="B427" s="518"/>
      <c r="C427" s="518"/>
      <c r="D427" s="518"/>
      <c r="E427" s="518"/>
      <c r="F427" s="518"/>
      <c r="G427" s="518"/>
      <c r="H427" s="518"/>
      <c r="I427" s="518"/>
      <c r="J427" s="518"/>
      <c r="K427" s="518"/>
      <c r="L427" s="518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  <c r="AB427" s="518"/>
      <c r="AC427" s="518"/>
      <c r="AD427" s="518"/>
      <c r="AE427" s="518"/>
      <c r="AF427" s="518"/>
      <c r="AG427" s="518"/>
      <c r="AH427" s="518"/>
      <c r="AI427" s="518"/>
      <c r="AJ427" s="518"/>
      <c r="AK427" s="518"/>
      <c r="AL427" s="518"/>
      <c r="AM427" s="518"/>
      <c r="AN427" s="518"/>
      <c r="AO427" s="518"/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</row>
    <row r="428" spans="1:57" ht="12.75" customHeight="1">
      <c r="A428" s="518"/>
      <c r="B428" s="518"/>
      <c r="C428" s="518"/>
      <c r="D428" s="518"/>
      <c r="E428" s="518"/>
      <c r="F428" s="518"/>
      <c r="G428" s="518"/>
      <c r="H428" s="518"/>
      <c r="I428" s="518"/>
      <c r="J428" s="518"/>
      <c r="K428" s="518"/>
      <c r="L428" s="518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  <c r="AB428" s="518"/>
      <c r="AC428" s="518"/>
      <c r="AD428" s="518"/>
      <c r="AE428" s="518"/>
      <c r="AF428" s="518"/>
      <c r="AG428" s="518"/>
      <c r="AH428" s="518"/>
      <c r="AI428" s="518"/>
      <c r="AJ428" s="518"/>
      <c r="AK428" s="518"/>
      <c r="AL428" s="518"/>
      <c r="AM428" s="518"/>
      <c r="AN428" s="518"/>
      <c r="AO428" s="518"/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</row>
    <row r="429" spans="1:57" ht="12.75" customHeight="1">
      <c r="A429" s="518"/>
      <c r="B429" s="518"/>
      <c r="C429" s="518"/>
      <c r="D429" s="518"/>
      <c r="E429" s="518"/>
      <c r="F429" s="518"/>
      <c r="G429" s="518"/>
      <c r="H429" s="518"/>
      <c r="I429" s="518"/>
      <c r="J429" s="518"/>
      <c r="K429" s="518"/>
      <c r="L429" s="518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  <c r="AB429" s="518"/>
      <c r="AC429" s="518"/>
      <c r="AD429" s="518"/>
      <c r="AE429" s="518"/>
      <c r="AF429" s="518"/>
      <c r="AG429" s="518"/>
      <c r="AH429" s="518"/>
      <c r="AI429" s="518"/>
      <c r="AJ429" s="518"/>
      <c r="AK429" s="518"/>
      <c r="AL429" s="518"/>
      <c r="AM429" s="518"/>
      <c r="AN429" s="518"/>
      <c r="AO429" s="518"/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</row>
    <row r="430" spans="1:57" ht="12.75" customHeight="1">
      <c r="A430" s="518"/>
      <c r="B430" s="518"/>
      <c r="C430" s="518"/>
      <c r="D430" s="518"/>
      <c r="E430" s="518"/>
      <c r="F430" s="518"/>
      <c r="G430" s="518"/>
      <c r="H430" s="518"/>
      <c r="I430" s="518"/>
      <c r="J430" s="518"/>
      <c r="K430" s="518"/>
      <c r="L430" s="518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  <c r="AB430" s="518"/>
      <c r="AC430" s="518"/>
      <c r="AD430" s="518"/>
      <c r="AE430" s="518"/>
      <c r="AF430" s="518"/>
      <c r="AG430" s="518"/>
      <c r="AH430" s="518"/>
      <c r="AI430" s="518"/>
      <c r="AJ430" s="518"/>
      <c r="AK430" s="518"/>
      <c r="AL430" s="518"/>
      <c r="AM430" s="518"/>
      <c r="AN430" s="518"/>
      <c r="AO430" s="518"/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</row>
    <row r="431" spans="1:57" ht="12.75" customHeight="1">
      <c r="A431" s="518"/>
      <c r="B431" s="518"/>
      <c r="C431" s="518"/>
      <c r="D431" s="518"/>
      <c r="E431" s="518"/>
      <c r="F431" s="518"/>
      <c r="G431" s="518"/>
      <c r="H431" s="518"/>
      <c r="I431" s="518"/>
      <c r="J431" s="518"/>
      <c r="K431" s="518"/>
      <c r="L431" s="518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  <c r="AB431" s="518"/>
      <c r="AC431" s="518"/>
      <c r="AD431" s="518"/>
      <c r="AE431" s="518"/>
      <c r="AF431" s="518"/>
      <c r="AG431" s="518"/>
      <c r="AH431" s="518"/>
      <c r="AI431" s="518"/>
      <c r="AJ431" s="518"/>
      <c r="AK431" s="518"/>
      <c r="AL431" s="518"/>
      <c r="AM431" s="518"/>
      <c r="AN431" s="518"/>
      <c r="AO431" s="518"/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</row>
    <row r="432" spans="1:57" ht="12.75" customHeight="1">
      <c r="A432" s="518"/>
      <c r="B432" s="518"/>
      <c r="C432" s="518"/>
      <c r="D432" s="518"/>
      <c r="E432" s="518"/>
      <c r="F432" s="518"/>
      <c r="G432" s="518"/>
      <c r="H432" s="518"/>
      <c r="I432" s="518"/>
      <c r="J432" s="518"/>
      <c r="K432" s="518"/>
      <c r="L432" s="518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  <c r="AB432" s="518"/>
      <c r="AC432" s="518"/>
      <c r="AD432" s="518"/>
      <c r="AE432" s="518"/>
      <c r="AF432" s="518"/>
      <c r="AG432" s="518"/>
      <c r="AH432" s="518"/>
      <c r="AI432" s="518"/>
      <c r="AJ432" s="518"/>
      <c r="AK432" s="518"/>
      <c r="AL432" s="518"/>
      <c r="AM432" s="518"/>
      <c r="AN432" s="518"/>
      <c r="AO432" s="518"/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</row>
    <row r="433" spans="1:57" ht="12.75" customHeight="1">
      <c r="A433" s="518"/>
      <c r="B433" s="518"/>
      <c r="C433" s="518"/>
      <c r="D433" s="518"/>
      <c r="E433" s="518"/>
      <c r="F433" s="518"/>
      <c r="G433" s="518"/>
      <c r="H433" s="518"/>
      <c r="I433" s="518"/>
      <c r="J433" s="518"/>
      <c r="K433" s="518"/>
      <c r="L433" s="518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  <c r="AB433" s="518"/>
      <c r="AC433" s="518"/>
      <c r="AD433" s="518"/>
      <c r="AE433" s="518"/>
      <c r="AF433" s="518"/>
      <c r="AG433" s="518"/>
      <c r="AH433" s="518"/>
      <c r="AI433" s="518"/>
      <c r="AJ433" s="518"/>
      <c r="AK433" s="518"/>
      <c r="AL433" s="518"/>
      <c r="AM433" s="518"/>
      <c r="AN433" s="518"/>
      <c r="AO433" s="518"/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</row>
    <row r="434" spans="1:57" ht="12.75" customHeight="1">
      <c r="A434" s="518"/>
      <c r="B434" s="518"/>
      <c r="C434" s="518"/>
      <c r="D434" s="518"/>
      <c r="E434" s="518"/>
      <c r="F434" s="518"/>
      <c r="G434" s="518"/>
      <c r="H434" s="518"/>
      <c r="I434" s="518"/>
      <c r="J434" s="518"/>
      <c r="K434" s="518"/>
      <c r="L434" s="518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  <c r="AB434" s="518"/>
      <c r="AC434" s="518"/>
      <c r="AD434" s="518"/>
      <c r="AE434" s="518"/>
      <c r="AF434" s="518"/>
      <c r="AG434" s="518"/>
      <c r="AH434" s="518"/>
      <c r="AI434" s="518"/>
      <c r="AJ434" s="518"/>
      <c r="AK434" s="518"/>
      <c r="AL434" s="518"/>
      <c r="AM434" s="518"/>
      <c r="AN434" s="518"/>
      <c r="AO434" s="518"/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</row>
    <row r="435" spans="1:57" ht="12.75" customHeight="1">
      <c r="A435" s="518"/>
      <c r="B435" s="518"/>
      <c r="C435" s="518"/>
      <c r="D435" s="518"/>
      <c r="E435" s="518"/>
      <c r="F435" s="518"/>
      <c r="G435" s="518"/>
      <c r="H435" s="518"/>
      <c r="I435" s="518"/>
      <c r="J435" s="518"/>
      <c r="K435" s="518"/>
      <c r="L435" s="518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  <c r="AB435" s="518"/>
      <c r="AC435" s="518"/>
      <c r="AD435" s="518"/>
      <c r="AE435" s="518"/>
      <c r="AF435" s="518"/>
      <c r="AG435" s="518"/>
      <c r="AH435" s="518"/>
      <c r="AI435" s="518"/>
      <c r="AJ435" s="518"/>
      <c r="AK435" s="518"/>
      <c r="AL435" s="518"/>
      <c r="AM435" s="518"/>
      <c r="AN435" s="518"/>
      <c r="AO435" s="518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</row>
    <row r="436" spans="1:57" ht="12.75" customHeight="1">
      <c r="A436" s="518"/>
      <c r="B436" s="518"/>
      <c r="C436" s="518"/>
      <c r="D436" s="518"/>
      <c r="E436" s="518"/>
      <c r="F436" s="518"/>
      <c r="G436" s="518"/>
      <c r="H436" s="518"/>
      <c r="I436" s="518"/>
      <c r="J436" s="518"/>
      <c r="K436" s="518"/>
      <c r="L436" s="518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  <c r="AB436" s="518"/>
      <c r="AC436" s="518"/>
      <c r="AD436" s="518"/>
      <c r="AE436" s="518"/>
      <c r="AF436" s="518"/>
      <c r="AG436" s="518"/>
      <c r="AH436" s="518"/>
      <c r="AI436" s="518"/>
      <c r="AJ436" s="518"/>
      <c r="AK436" s="518"/>
      <c r="AL436" s="518"/>
      <c r="AM436" s="518"/>
      <c r="AN436" s="518"/>
      <c r="AO436" s="518"/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</row>
    <row r="437" spans="1:57" ht="12.75" customHeight="1">
      <c r="A437" s="518"/>
      <c r="B437" s="518"/>
      <c r="C437" s="518"/>
      <c r="D437" s="518"/>
      <c r="E437" s="518"/>
      <c r="F437" s="518"/>
      <c r="G437" s="518"/>
      <c r="H437" s="518"/>
      <c r="I437" s="518"/>
      <c r="J437" s="518"/>
      <c r="K437" s="518"/>
      <c r="L437" s="518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  <c r="AB437" s="518"/>
      <c r="AC437" s="518"/>
      <c r="AD437" s="518"/>
      <c r="AE437" s="518"/>
      <c r="AF437" s="518"/>
      <c r="AG437" s="518"/>
      <c r="AH437" s="518"/>
      <c r="AI437" s="518"/>
      <c r="AJ437" s="518"/>
      <c r="AK437" s="518"/>
      <c r="AL437" s="518"/>
      <c r="AM437" s="518"/>
      <c r="AN437" s="518"/>
      <c r="AO437" s="518"/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</row>
    <row r="438" spans="1:57" ht="12.75" customHeight="1">
      <c r="A438" s="518"/>
      <c r="B438" s="518"/>
      <c r="C438" s="518"/>
      <c r="D438" s="518"/>
      <c r="E438" s="518"/>
      <c r="F438" s="518"/>
      <c r="G438" s="518"/>
      <c r="H438" s="518"/>
      <c r="I438" s="518"/>
      <c r="J438" s="518"/>
      <c r="K438" s="518"/>
      <c r="L438" s="518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  <c r="AB438" s="518"/>
      <c r="AC438" s="518"/>
      <c r="AD438" s="518"/>
      <c r="AE438" s="518"/>
      <c r="AF438" s="518"/>
      <c r="AG438" s="518"/>
      <c r="AH438" s="518"/>
      <c r="AI438" s="518"/>
      <c r="AJ438" s="518"/>
      <c r="AK438" s="518"/>
      <c r="AL438" s="518"/>
      <c r="AM438" s="518"/>
      <c r="AN438" s="518"/>
      <c r="AO438" s="518"/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</row>
    <row r="439" spans="1:57" ht="12.75" customHeight="1">
      <c r="A439" s="518"/>
      <c r="B439" s="518"/>
      <c r="C439" s="518"/>
      <c r="D439" s="518"/>
      <c r="E439" s="518"/>
      <c r="F439" s="518"/>
      <c r="G439" s="518"/>
      <c r="H439" s="518"/>
      <c r="I439" s="518"/>
      <c r="J439" s="518"/>
      <c r="K439" s="518"/>
      <c r="L439" s="518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  <c r="AB439" s="518"/>
      <c r="AC439" s="518"/>
      <c r="AD439" s="518"/>
      <c r="AE439" s="518"/>
      <c r="AF439" s="518"/>
      <c r="AG439" s="518"/>
      <c r="AH439" s="518"/>
      <c r="AI439" s="518"/>
      <c r="AJ439" s="518"/>
      <c r="AK439" s="518"/>
      <c r="AL439" s="518"/>
      <c r="AM439" s="518"/>
      <c r="AN439" s="518"/>
      <c r="AO439" s="518"/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</row>
    <row r="440" spans="1:57" ht="12.75" customHeight="1">
      <c r="A440" s="518"/>
      <c r="B440" s="518"/>
      <c r="C440" s="518"/>
      <c r="D440" s="518"/>
      <c r="E440" s="518"/>
      <c r="F440" s="518"/>
      <c r="G440" s="518"/>
      <c r="H440" s="518"/>
      <c r="I440" s="518"/>
      <c r="J440" s="518"/>
      <c r="K440" s="518"/>
      <c r="L440" s="518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  <c r="AB440" s="518"/>
      <c r="AC440" s="518"/>
      <c r="AD440" s="518"/>
      <c r="AE440" s="518"/>
      <c r="AF440" s="518"/>
      <c r="AG440" s="518"/>
      <c r="AH440" s="518"/>
      <c r="AI440" s="518"/>
      <c r="AJ440" s="518"/>
      <c r="AK440" s="518"/>
      <c r="AL440" s="518"/>
      <c r="AM440" s="518"/>
      <c r="AN440" s="518"/>
      <c r="AO440" s="518"/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</row>
    <row r="441" spans="1:57" ht="12.75" customHeight="1">
      <c r="A441" s="518"/>
      <c r="B441" s="518"/>
      <c r="C441" s="518"/>
      <c r="D441" s="518"/>
      <c r="E441" s="518"/>
      <c r="F441" s="518"/>
      <c r="G441" s="518"/>
      <c r="H441" s="518"/>
      <c r="I441" s="518"/>
      <c r="J441" s="518"/>
      <c r="K441" s="518"/>
      <c r="L441" s="518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  <c r="AB441" s="518"/>
      <c r="AC441" s="518"/>
      <c r="AD441" s="518"/>
      <c r="AE441" s="518"/>
      <c r="AF441" s="518"/>
      <c r="AG441" s="518"/>
      <c r="AH441" s="518"/>
      <c r="AI441" s="518"/>
      <c r="AJ441" s="518"/>
      <c r="AK441" s="518"/>
      <c r="AL441" s="518"/>
      <c r="AM441" s="518"/>
      <c r="AN441" s="518"/>
      <c r="AO441" s="518"/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</row>
    <row r="442" spans="1:57" ht="12.75" customHeight="1">
      <c r="A442" s="518"/>
      <c r="B442" s="518"/>
      <c r="C442" s="518"/>
      <c r="D442" s="518"/>
      <c r="E442" s="518"/>
      <c r="F442" s="518"/>
      <c r="G442" s="518"/>
      <c r="H442" s="518"/>
      <c r="I442" s="518"/>
      <c r="J442" s="518"/>
      <c r="K442" s="518"/>
      <c r="L442" s="518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  <c r="AB442" s="518"/>
      <c r="AC442" s="518"/>
      <c r="AD442" s="518"/>
      <c r="AE442" s="518"/>
      <c r="AF442" s="518"/>
      <c r="AG442" s="518"/>
      <c r="AH442" s="518"/>
      <c r="AI442" s="518"/>
      <c r="AJ442" s="518"/>
      <c r="AK442" s="518"/>
      <c r="AL442" s="518"/>
      <c r="AM442" s="518"/>
      <c r="AN442" s="518"/>
      <c r="AO442" s="518"/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</row>
    <row r="443" spans="1:57" ht="12.75" customHeight="1">
      <c r="A443" s="518"/>
      <c r="B443" s="518"/>
      <c r="C443" s="518"/>
      <c r="D443" s="518"/>
      <c r="E443" s="518"/>
      <c r="F443" s="518"/>
      <c r="G443" s="518"/>
      <c r="H443" s="518"/>
      <c r="I443" s="518"/>
      <c r="J443" s="518"/>
      <c r="K443" s="518"/>
      <c r="L443" s="518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  <c r="AB443" s="518"/>
      <c r="AC443" s="518"/>
      <c r="AD443" s="518"/>
      <c r="AE443" s="518"/>
      <c r="AF443" s="518"/>
      <c r="AG443" s="518"/>
      <c r="AH443" s="518"/>
      <c r="AI443" s="518"/>
      <c r="AJ443" s="518"/>
      <c r="AK443" s="518"/>
      <c r="AL443" s="518"/>
      <c r="AM443" s="518"/>
      <c r="AN443" s="518"/>
      <c r="AO443" s="518"/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</row>
    <row r="444" spans="1:57" ht="12.75" customHeight="1">
      <c r="A444" s="518"/>
      <c r="B444" s="518"/>
      <c r="C444" s="518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  <c r="AB444" s="518"/>
      <c r="AC444" s="518"/>
      <c r="AD444" s="518"/>
      <c r="AE444" s="518"/>
      <c r="AF444" s="518"/>
      <c r="AG444" s="518"/>
      <c r="AH444" s="518"/>
      <c r="AI444" s="518"/>
      <c r="AJ444" s="518"/>
      <c r="AK444" s="518"/>
      <c r="AL444" s="518"/>
      <c r="AM444" s="518"/>
      <c r="AN444" s="518"/>
      <c r="AO444" s="518"/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</row>
    <row r="445" spans="1:57" ht="12.75" customHeight="1">
      <c r="A445" s="518"/>
      <c r="B445" s="518"/>
      <c r="C445" s="518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  <c r="AB445" s="518"/>
      <c r="AC445" s="518"/>
      <c r="AD445" s="518"/>
      <c r="AE445" s="518"/>
      <c r="AF445" s="518"/>
      <c r="AG445" s="518"/>
      <c r="AH445" s="518"/>
      <c r="AI445" s="518"/>
      <c r="AJ445" s="518"/>
      <c r="AK445" s="518"/>
      <c r="AL445" s="518"/>
      <c r="AM445" s="518"/>
      <c r="AN445" s="518"/>
      <c r="AO445" s="518"/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</row>
    <row r="446" spans="1:57" ht="12.75" customHeight="1">
      <c r="A446" s="518"/>
      <c r="B446" s="518"/>
      <c r="C446" s="518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  <c r="AB446" s="518"/>
      <c r="AC446" s="518"/>
      <c r="AD446" s="518"/>
      <c r="AE446" s="518"/>
      <c r="AF446" s="518"/>
      <c r="AG446" s="518"/>
      <c r="AH446" s="518"/>
      <c r="AI446" s="518"/>
      <c r="AJ446" s="518"/>
      <c r="AK446" s="518"/>
      <c r="AL446" s="518"/>
      <c r="AM446" s="518"/>
      <c r="AN446" s="518"/>
      <c r="AO446" s="518"/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</row>
    <row r="447" spans="1:57" ht="12.75" customHeight="1">
      <c r="A447" s="518"/>
      <c r="B447" s="518"/>
      <c r="C447" s="518"/>
      <c r="D447" s="518"/>
      <c r="E447" s="518"/>
      <c r="F447" s="518"/>
      <c r="G447" s="518"/>
      <c r="H447" s="518"/>
      <c r="I447" s="518"/>
      <c r="J447" s="518"/>
      <c r="K447" s="518"/>
      <c r="L447" s="518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  <c r="AB447" s="518"/>
      <c r="AC447" s="518"/>
      <c r="AD447" s="518"/>
      <c r="AE447" s="518"/>
      <c r="AF447" s="518"/>
      <c r="AG447" s="518"/>
      <c r="AH447" s="518"/>
      <c r="AI447" s="518"/>
      <c r="AJ447" s="518"/>
      <c r="AK447" s="518"/>
      <c r="AL447" s="518"/>
      <c r="AM447" s="518"/>
      <c r="AN447" s="518"/>
      <c r="AO447" s="518"/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</row>
    <row r="448" spans="1:57" ht="12.75" customHeight="1">
      <c r="A448" s="518"/>
      <c r="B448" s="518"/>
      <c r="C448" s="518"/>
      <c r="D448" s="518"/>
      <c r="E448" s="518"/>
      <c r="F448" s="518"/>
      <c r="G448" s="518"/>
      <c r="H448" s="518"/>
      <c r="I448" s="518"/>
      <c r="J448" s="518"/>
      <c r="K448" s="518"/>
      <c r="L448" s="518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  <c r="AB448" s="518"/>
      <c r="AC448" s="518"/>
      <c r="AD448" s="518"/>
      <c r="AE448" s="518"/>
      <c r="AF448" s="518"/>
      <c r="AG448" s="518"/>
      <c r="AH448" s="518"/>
      <c r="AI448" s="518"/>
      <c r="AJ448" s="518"/>
      <c r="AK448" s="518"/>
      <c r="AL448" s="518"/>
      <c r="AM448" s="518"/>
      <c r="AN448" s="518"/>
      <c r="AO448" s="518"/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</row>
    <row r="449" spans="1:57" ht="12.75" customHeight="1">
      <c r="A449" s="518"/>
      <c r="B449" s="518"/>
      <c r="C449" s="518"/>
      <c r="D449" s="518"/>
      <c r="E449" s="518"/>
      <c r="F449" s="518"/>
      <c r="G449" s="518"/>
      <c r="H449" s="518"/>
      <c r="I449" s="518"/>
      <c r="J449" s="518"/>
      <c r="K449" s="518"/>
      <c r="L449" s="518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  <c r="AB449" s="518"/>
      <c r="AC449" s="518"/>
      <c r="AD449" s="518"/>
      <c r="AE449" s="518"/>
      <c r="AF449" s="518"/>
      <c r="AG449" s="518"/>
      <c r="AH449" s="518"/>
      <c r="AI449" s="518"/>
      <c r="AJ449" s="518"/>
      <c r="AK449" s="518"/>
      <c r="AL449" s="518"/>
      <c r="AM449" s="518"/>
      <c r="AN449" s="518"/>
      <c r="AO449" s="518"/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</row>
    <row r="450" spans="1:57" ht="12.75" customHeight="1">
      <c r="A450" s="518"/>
      <c r="B450" s="518"/>
      <c r="C450" s="518"/>
      <c r="D450" s="518"/>
      <c r="E450" s="518"/>
      <c r="F450" s="518"/>
      <c r="G450" s="518"/>
      <c r="H450" s="518"/>
      <c r="I450" s="518"/>
      <c r="J450" s="518"/>
      <c r="K450" s="518"/>
      <c r="L450" s="518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18"/>
      <c r="AN450" s="518"/>
      <c r="AO450" s="518"/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</row>
    <row r="451" spans="1:57" ht="12.75" customHeight="1">
      <c r="A451" s="518"/>
      <c r="B451" s="518"/>
      <c r="C451" s="518"/>
      <c r="D451" s="518"/>
      <c r="E451" s="518"/>
      <c r="F451" s="518"/>
      <c r="G451" s="518"/>
      <c r="H451" s="518"/>
      <c r="I451" s="518"/>
      <c r="J451" s="518"/>
      <c r="K451" s="518"/>
      <c r="L451" s="518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  <c r="AB451" s="518"/>
      <c r="AC451" s="518"/>
      <c r="AD451" s="518"/>
      <c r="AE451" s="518"/>
      <c r="AF451" s="518"/>
      <c r="AG451" s="518"/>
      <c r="AH451" s="518"/>
      <c r="AI451" s="518"/>
      <c r="AJ451" s="518"/>
      <c r="AK451" s="518"/>
      <c r="AL451" s="518"/>
      <c r="AM451" s="518"/>
      <c r="AN451" s="518"/>
      <c r="AO451" s="518"/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</row>
    <row r="452" spans="1:57" ht="12.75" customHeight="1">
      <c r="A452" s="518"/>
      <c r="B452" s="518"/>
      <c r="C452" s="518"/>
      <c r="D452" s="518"/>
      <c r="E452" s="518"/>
      <c r="F452" s="518"/>
      <c r="G452" s="518"/>
      <c r="H452" s="518"/>
      <c r="I452" s="518"/>
      <c r="J452" s="518"/>
      <c r="K452" s="518"/>
      <c r="L452" s="518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  <c r="AB452" s="518"/>
      <c r="AC452" s="518"/>
      <c r="AD452" s="518"/>
      <c r="AE452" s="518"/>
      <c r="AF452" s="518"/>
      <c r="AG452" s="518"/>
      <c r="AH452" s="518"/>
      <c r="AI452" s="518"/>
      <c r="AJ452" s="518"/>
      <c r="AK452" s="518"/>
      <c r="AL452" s="518"/>
      <c r="AM452" s="518"/>
      <c r="AN452" s="518"/>
      <c r="AO452" s="518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</row>
    <row r="453" spans="1:57" ht="12.75" customHeight="1">
      <c r="A453" s="518"/>
      <c r="B453" s="518"/>
      <c r="C453" s="518"/>
      <c r="D453" s="518"/>
      <c r="E453" s="518"/>
      <c r="F453" s="518"/>
      <c r="G453" s="518"/>
      <c r="H453" s="518"/>
      <c r="I453" s="518"/>
      <c r="J453" s="518"/>
      <c r="K453" s="518"/>
      <c r="L453" s="518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  <c r="AB453" s="518"/>
      <c r="AC453" s="518"/>
      <c r="AD453" s="518"/>
      <c r="AE453" s="518"/>
      <c r="AF453" s="518"/>
      <c r="AG453" s="518"/>
      <c r="AH453" s="518"/>
      <c r="AI453" s="518"/>
      <c r="AJ453" s="518"/>
      <c r="AK453" s="518"/>
      <c r="AL453" s="518"/>
      <c r="AM453" s="518"/>
      <c r="AN453" s="518"/>
      <c r="AO453" s="518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</row>
    <row r="454" spans="1:57" ht="12.75" customHeight="1">
      <c r="A454" s="518"/>
      <c r="B454" s="518"/>
      <c r="C454" s="518"/>
      <c r="D454" s="518"/>
      <c r="E454" s="518"/>
      <c r="F454" s="518"/>
      <c r="G454" s="518"/>
      <c r="H454" s="518"/>
      <c r="I454" s="518"/>
      <c r="J454" s="518"/>
      <c r="K454" s="518"/>
      <c r="L454" s="518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18"/>
      <c r="AN454" s="518"/>
      <c r="AO454" s="518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</row>
    <row r="455" spans="1:57" ht="12.75" customHeight="1">
      <c r="A455" s="518"/>
      <c r="B455" s="518"/>
      <c r="C455" s="518"/>
      <c r="D455" s="518"/>
      <c r="E455" s="518"/>
      <c r="F455" s="518"/>
      <c r="G455" s="518"/>
      <c r="H455" s="518"/>
      <c r="I455" s="518"/>
      <c r="J455" s="518"/>
      <c r="K455" s="518"/>
      <c r="L455" s="518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  <c r="AB455" s="518"/>
      <c r="AC455" s="518"/>
      <c r="AD455" s="518"/>
      <c r="AE455" s="518"/>
      <c r="AF455" s="518"/>
      <c r="AG455" s="518"/>
      <c r="AH455" s="518"/>
      <c r="AI455" s="518"/>
      <c r="AJ455" s="518"/>
      <c r="AK455" s="518"/>
      <c r="AL455" s="518"/>
      <c r="AM455" s="518"/>
      <c r="AN455" s="518"/>
      <c r="AO455" s="518"/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</row>
    <row r="456" spans="1:57" ht="12.75" customHeight="1">
      <c r="A456" s="518"/>
      <c r="B456" s="518"/>
      <c r="C456" s="518"/>
      <c r="D456" s="518"/>
      <c r="E456" s="518"/>
      <c r="F456" s="518"/>
      <c r="G456" s="518"/>
      <c r="H456" s="518"/>
      <c r="I456" s="518"/>
      <c r="J456" s="518"/>
      <c r="K456" s="518"/>
      <c r="L456" s="518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  <c r="AB456" s="518"/>
      <c r="AC456" s="518"/>
      <c r="AD456" s="518"/>
      <c r="AE456" s="518"/>
      <c r="AF456" s="518"/>
      <c r="AG456" s="518"/>
      <c r="AH456" s="518"/>
      <c r="AI456" s="518"/>
      <c r="AJ456" s="518"/>
      <c r="AK456" s="518"/>
      <c r="AL456" s="518"/>
      <c r="AM456" s="518"/>
      <c r="AN456" s="518"/>
      <c r="AO456" s="518"/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</row>
    <row r="457" spans="1:57" ht="12.75" customHeight="1">
      <c r="A457" s="518"/>
      <c r="B457" s="518"/>
      <c r="C457" s="518"/>
      <c r="D457" s="518"/>
      <c r="E457" s="518"/>
      <c r="F457" s="518"/>
      <c r="G457" s="518"/>
      <c r="H457" s="518"/>
      <c r="I457" s="518"/>
      <c r="J457" s="518"/>
      <c r="K457" s="518"/>
      <c r="L457" s="518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  <c r="AB457" s="518"/>
      <c r="AC457" s="518"/>
      <c r="AD457" s="518"/>
      <c r="AE457" s="518"/>
      <c r="AF457" s="518"/>
      <c r="AG457" s="518"/>
      <c r="AH457" s="518"/>
      <c r="AI457" s="518"/>
      <c r="AJ457" s="518"/>
      <c r="AK457" s="518"/>
      <c r="AL457" s="518"/>
      <c r="AM457" s="518"/>
      <c r="AN457" s="518"/>
      <c r="AO457" s="518"/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</row>
    <row r="458" spans="1:57" ht="12.75" customHeight="1">
      <c r="A458" s="518"/>
      <c r="B458" s="518"/>
      <c r="C458" s="518"/>
      <c r="D458" s="518"/>
      <c r="E458" s="518"/>
      <c r="F458" s="518"/>
      <c r="G458" s="518"/>
      <c r="H458" s="518"/>
      <c r="I458" s="518"/>
      <c r="J458" s="518"/>
      <c r="K458" s="518"/>
      <c r="L458" s="518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  <c r="AB458" s="518"/>
      <c r="AC458" s="518"/>
      <c r="AD458" s="518"/>
      <c r="AE458" s="518"/>
      <c r="AF458" s="518"/>
      <c r="AG458" s="518"/>
      <c r="AH458" s="518"/>
      <c r="AI458" s="518"/>
      <c r="AJ458" s="518"/>
      <c r="AK458" s="518"/>
      <c r="AL458" s="518"/>
      <c r="AM458" s="518"/>
      <c r="AN458" s="518"/>
      <c r="AO458" s="518"/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</row>
    <row r="459" spans="1:57" ht="12.75" customHeight="1">
      <c r="A459" s="518"/>
      <c r="B459" s="518"/>
      <c r="C459" s="518"/>
      <c r="D459" s="518"/>
      <c r="E459" s="518"/>
      <c r="F459" s="518"/>
      <c r="G459" s="518"/>
      <c r="H459" s="518"/>
      <c r="I459" s="518"/>
      <c r="J459" s="518"/>
      <c r="K459" s="518"/>
      <c r="L459" s="518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  <c r="AB459" s="518"/>
      <c r="AC459" s="518"/>
      <c r="AD459" s="518"/>
      <c r="AE459" s="518"/>
      <c r="AF459" s="518"/>
      <c r="AG459" s="518"/>
      <c r="AH459" s="518"/>
      <c r="AI459" s="518"/>
      <c r="AJ459" s="518"/>
      <c r="AK459" s="518"/>
      <c r="AL459" s="518"/>
      <c r="AM459" s="518"/>
      <c r="AN459" s="518"/>
      <c r="AO459" s="518"/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</row>
    <row r="460" spans="1:57" ht="12.75" customHeight="1">
      <c r="A460" s="518"/>
      <c r="B460" s="518"/>
      <c r="C460" s="518"/>
      <c r="D460" s="518"/>
      <c r="E460" s="518"/>
      <c r="F460" s="518"/>
      <c r="G460" s="518"/>
      <c r="H460" s="518"/>
      <c r="I460" s="518"/>
      <c r="J460" s="518"/>
      <c r="K460" s="518"/>
      <c r="L460" s="518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  <c r="AB460" s="518"/>
      <c r="AC460" s="518"/>
      <c r="AD460" s="518"/>
      <c r="AE460" s="518"/>
      <c r="AF460" s="518"/>
      <c r="AG460" s="518"/>
      <c r="AH460" s="518"/>
      <c r="AI460" s="518"/>
      <c r="AJ460" s="518"/>
      <c r="AK460" s="518"/>
      <c r="AL460" s="518"/>
      <c r="AM460" s="518"/>
      <c r="AN460" s="518"/>
      <c r="AO460" s="518"/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</row>
    <row r="461" spans="1:57" ht="12.75" customHeight="1">
      <c r="A461" s="518"/>
      <c r="B461" s="518"/>
      <c r="C461" s="518"/>
      <c r="D461" s="518"/>
      <c r="E461" s="518"/>
      <c r="F461" s="518"/>
      <c r="G461" s="518"/>
      <c r="H461" s="518"/>
      <c r="I461" s="518"/>
      <c r="J461" s="518"/>
      <c r="K461" s="518"/>
      <c r="L461" s="518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  <c r="AB461" s="518"/>
      <c r="AC461" s="518"/>
      <c r="AD461" s="518"/>
      <c r="AE461" s="518"/>
      <c r="AF461" s="518"/>
      <c r="AG461" s="518"/>
      <c r="AH461" s="518"/>
      <c r="AI461" s="518"/>
      <c r="AJ461" s="518"/>
      <c r="AK461" s="518"/>
      <c r="AL461" s="518"/>
      <c r="AM461" s="518"/>
      <c r="AN461" s="518"/>
      <c r="AO461" s="518"/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</row>
    <row r="462" spans="1:57" ht="12.75" customHeight="1">
      <c r="A462" s="518"/>
      <c r="B462" s="518"/>
      <c r="C462" s="518"/>
      <c r="D462" s="518"/>
      <c r="E462" s="518"/>
      <c r="F462" s="518"/>
      <c r="G462" s="518"/>
      <c r="H462" s="518"/>
      <c r="I462" s="518"/>
      <c r="J462" s="518"/>
      <c r="K462" s="518"/>
      <c r="L462" s="518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  <c r="AB462" s="518"/>
      <c r="AC462" s="518"/>
      <c r="AD462" s="518"/>
      <c r="AE462" s="518"/>
      <c r="AF462" s="518"/>
      <c r="AG462" s="518"/>
      <c r="AH462" s="518"/>
      <c r="AI462" s="518"/>
      <c r="AJ462" s="518"/>
      <c r="AK462" s="518"/>
      <c r="AL462" s="518"/>
      <c r="AM462" s="518"/>
      <c r="AN462" s="518"/>
      <c r="AO462" s="518"/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</row>
    <row r="463" spans="1:57" ht="12.75" customHeight="1">
      <c r="A463" s="518"/>
      <c r="B463" s="518"/>
      <c r="C463" s="518"/>
      <c r="D463" s="518"/>
      <c r="E463" s="518"/>
      <c r="F463" s="518"/>
      <c r="G463" s="518"/>
      <c r="H463" s="518"/>
      <c r="I463" s="518"/>
      <c r="J463" s="518"/>
      <c r="K463" s="518"/>
      <c r="L463" s="518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  <c r="AB463" s="518"/>
      <c r="AC463" s="518"/>
      <c r="AD463" s="518"/>
      <c r="AE463" s="518"/>
      <c r="AF463" s="518"/>
      <c r="AG463" s="518"/>
      <c r="AH463" s="518"/>
      <c r="AI463" s="518"/>
      <c r="AJ463" s="518"/>
      <c r="AK463" s="518"/>
      <c r="AL463" s="518"/>
      <c r="AM463" s="518"/>
      <c r="AN463" s="518"/>
      <c r="AO463" s="518"/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</row>
    <row r="464" spans="1:57" ht="12.75" customHeight="1">
      <c r="A464" s="518"/>
      <c r="B464" s="518"/>
      <c r="C464" s="518"/>
      <c r="D464" s="518"/>
      <c r="E464" s="518"/>
      <c r="F464" s="518"/>
      <c r="G464" s="518"/>
      <c r="H464" s="518"/>
      <c r="I464" s="518"/>
      <c r="J464" s="518"/>
      <c r="K464" s="518"/>
      <c r="L464" s="518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  <c r="AB464" s="518"/>
      <c r="AC464" s="518"/>
      <c r="AD464" s="518"/>
      <c r="AE464" s="518"/>
      <c r="AF464" s="518"/>
      <c r="AG464" s="518"/>
      <c r="AH464" s="518"/>
      <c r="AI464" s="518"/>
      <c r="AJ464" s="518"/>
      <c r="AK464" s="518"/>
      <c r="AL464" s="518"/>
      <c r="AM464" s="518"/>
      <c r="AN464" s="518"/>
      <c r="AO464" s="518"/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</row>
    <row r="465" spans="1:57" ht="12.75" customHeight="1">
      <c r="A465" s="518"/>
      <c r="B465" s="518"/>
      <c r="C465" s="518"/>
      <c r="D465" s="518"/>
      <c r="E465" s="518"/>
      <c r="F465" s="518"/>
      <c r="G465" s="518"/>
      <c r="H465" s="518"/>
      <c r="I465" s="518"/>
      <c r="J465" s="518"/>
      <c r="K465" s="518"/>
      <c r="L465" s="518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  <c r="AB465" s="518"/>
      <c r="AC465" s="518"/>
      <c r="AD465" s="518"/>
      <c r="AE465" s="518"/>
      <c r="AF465" s="518"/>
      <c r="AG465" s="518"/>
      <c r="AH465" s="518"/>
      <c r="AI465" s="518"/>
      <c r="AJ465" s="518"/>
      <c r="AK465" s="518"/>
      <c r="AL465" s="518"/>
      <c r="AM465" s="518"/>
      <c r="AN465" s="518"/>
      <c r="AO465" s="518"/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</row>
    <row r="466" spans="1:57" ht="12.75" customHeight="1">
      <c r="A466" s="518"/>
      <c r="B466" s="518"/>
      <c r="C466" s="518"/>
      <c r="D466" s="518"/>
      <c r="E466" s="518"/>
      <c r="F466" s="518"/>
      <c r="G466" s="518"/>
      <c r="H466" s="518"/>
      <c r="I466" s="518"/>
      <c r="J466" s="518"/>
      <c r="K466" s="518"/>
      <c r="L466" s="518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  <c r="AB466" s="518"/>
      <c r="AC466" s="518"/>
      <c r="AD466" s="518"/>
      <c r="AE466" s="518"/>
      <c r="AF466" s="518"/>
      <c r="AG466" s="518"/>
      <c r="AH466" s="518"/>
      <c r="AI466" s="518"/>
      <c r="AJ466" s="518"/>
      <c r="AK466" s="518"/>
      <c r="AL466" s="518"/>
      <c r="AM466" s="518"/>
      <c r="AN466" s="518"/>
      <c r="AO466" s="518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</row>
    <row r="467" spans="1:57" ht="12.75" customHeight="1">
      <c r="A467" s="518"/>
      <c r="B467" s="518"/>
      <c r="C467" s="518"/>
      <c r="D467" s="518"/>
      <c r="E467" s="518"/>
      <c r="F467" s="518"/>
      <c r="G467" s="518"/>
      <c r="H467" s="518"/>
      <c r="I467" s="518"/>
      <c r="J467" s="518"/>
      <c r="K467" s="518"/>
      <c r="L467" s="518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  <c r="AB467" s="518"/>
      <c r="AC467" s="518"/>
      <c r="AD467" s="518"/>
      <c r="AE467" s="518"/>
      <c r="AF467" s="518"/>
      <c r="AG467" s="518"/>
      <c r="AH467" s="518"/>
      <c r="AI467" s="518"/>
      <c r="AJ467" s="518"/>
      <c r="AK467" s="518"/>
      <c r="AL467" s="518"/>
      <c r="AM467" s="518"/>
      <c r="AN467" s="518"/>
      <c r="AO467" s="518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</row>
    <row r="468" spans="1:57" ht="12.75" customHeight="1">
      <c r="A468" s="518"/>
      <c r="B468" s="518"/>
      <c r="C468" s="518"/>
      <c r="D468" s="518"/>
      <c r="E468" s="518"/>
      <c r="F468" s="518"/>
      <c r="G468" s="518"/>
      <c r="H468" s="518"/>
      <c r="I468" s="518"/>
      <c r="J468" s="518"/>
      <c r="K468" s="518"/>
      <c r="L468" s="518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  <c r="AB468" s="518"/>
      <c r="AC468" s="518"/>
      <c r="AD468" s="518"/>
      <c r="AE468" s="518"/>
      <c r="AF468" s="518"/>
      <c r="AG468" s="518"/>
      <c r="AH468" s="518"/>
      <c r="AI468" s="518"/>
      <c r="AJ468" s="518"/>
      <c r="AK468" s="518"/>
      <c r="AL468" s="518"/>
      <c r="AM468" s="518"/>
      <c r="AN468" s="518"/>
      <c r="AO468" s="518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</row>
    <row r="469" spans="1:57" ht="12.75" customHeight="1">
      <c r="A469" s="518"/>
      <c r="B469" s="518"/>
      <c r="C469" s="518"/>
      <c r="D469" s="518"/>
      <c r="E469" s="518"/>
      <c r="F469" s="518"/>
      <c r="G469" s="518"/>
      <c r="H469" s="518"/>
      <c r="I469" s="518"/>
      <c r="J469" s="518"/>
      <c r="K469" s="518"/>
      <c r="L469" s="518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  <c r="AB469" s="518"/>
      <c r="AC469" s="518"/>
      <c r="AD469" s="518"/>
      <c r="AE469" s="518"/>
      <c r="AF469" s="518"/>
      <c r="AG469" s="518"/>
      <c r="AH469" s="518"/>
      <c r="AI469" s="518"/>
      <c r="AJ469" s="518"/>
      <c r="AK469" s="518"/>
      <c r="AL469" s="518"/>
      <c r="AM469" s="518"/>
      <c r="AN469" s="518"/>
      <c r="AO469" s="518"/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</row>
    <row r="470" spans="1:57" ht="12.75" customHeight="1">
      <c r="A470" s="518"/>
      <c r="B470" s="518"/>
      <c r="C470" s="518"/>
      <c r="D470" s="518"/>
      <c r="E470" s="518"/>
      <c r="F470" s="518"/>
      <c r="G470" s="518"/>
      <c r="H470" s="518"/>
      <c r="I470" s="518"/>
      <c r="J470" s="518"/>
      <c r="K470" s="518"/>
      <c r="L470" s="518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  <c r="AB470" s="518"/>
      <c r="AC470" s="518"/>
      <c r="AD470" s="518"/>
      <c r="AE470" s="518"/>
      <c r="AF470" s="518"/>
      <c r="AG470" s="518"/>
      <c r="AH470" s="518"/>
      <c r="AI470" s="518"/>
      <c r="AJ470" s="518"/>
      <c r="AK470" s="518"/>
      <c r="AL470" s="518"/>
      <c r="AM470" s="518"/>
      <c r="AN470" s="518"/>
      <c r="AO470" s="518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</row>
    <row r="471" spans="1:57" ht="12.75" customHeight="1">
      <c r="A471" s="518"/>
      <c r="B471" s="518"/>
      <c r="C471" s="518"/>
      <c r="D471" s="518"/>
      <c r="E471" s="518"/>
      <c r="F471" s="518"/>
      <c r="G471" s="518"/>
      <c r="H471" s="518"/>
      <c r="I471" s="518"/>
      <c r="J471" s="518"/>
      <c r="K471" s="518"/>
      <c r="L471" s="518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  <c r="AB471" s="518"/>
      <c r="AC471" s="518"/>
      <c r="AD471" s="518"/>
      <c r="AE471" s="518"/>
      <c r="AF471" s="518"/>
      <c r="AG471" s="518"/>
      <c r="AH471" s="518"/>
      <c r="AI471" s="518"/>
      <c r="AJ471" s="518"/>
      <c r="AK471" s="518"/>
      <c r="AL471" s="518"/>
      <c r="AM471" s="518"/>
      <c r="AN471" s="518"/>
      <c r="AO471" s="518"/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</row>
    <row r="472" spans="1:57" ht="12.75" customHeight="1">
      <c r="A472" s="518"/>
      <c r="B472" s="518"/>
      <c r="C472" s="518"/>
      <c r="D472" s="518"/>
      <c r="E472" s="518"/>
      <c r="F472" s="518"/>
      <c r="G472" s="518"/>
      <c r="H472" s="518"/>
      <c r="I472" s="518"/>
      <c r="J472" s="518"/>
      <c r="K472" s="518"/>
      <c r="L472" s="518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  <c r="AB472" s="518"/>
      <c r="AC472" s="518"/>
      <c r="AD472" s="518"/>
      <c r="AE472" s="518"/>
      <c r="AF472" s="518"/>
      <c r="AG472" s="518"/>
      <c r="AH472" s="518"/>
      <c r="AI472" s="518"/>
      <c r="AJ472" s="518"/>
      <c r="AK472" s="518"/>
      <c r="AL472" s="518"/>
      <c r="AM472" s="518"/>
      <c r="AN472" s="518"/>
      <c r="AO472" s="518"/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</row>
    <row r="473" spans="1:57" ht="12.75" customHeight="1">
      <c r="A473" s="518"/>
      <c r="B473" s="518"/>
      <c r="C473" s="518"/>
      <c r="D473" s="518"/>
      <c r="E473" s="518"/>
      <c r="F473" s="518"/>
      <c r="G473" s="518"/>
      <c r="H473" s="518"/>
      <c r="I473" s="518"/>
      <c r="J473" s="518"/>
      <c r="K473" s="518"/>
      <c r="L473" s="518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  <c r="AB473" s="518"/>
      <c r="AC473" s="518"/>
      <c r="AD473" s="518"/>
      <c r="AE473" s="518"/>
      <c r="AF473" s="518"/>
      <c r="AG473" s="518"/>
      <c r="AH473" s="518"/>
      <c r="AI473" s="518"/>
      <c r="AJ473" s="518"/>
      <c r="AK473" s="518"/>
      <c r="AL473" s="518"/>
      <c r="AM473" s="518"/>
      <c r="AN473" s="518"/>
      <c r="AO473" s="518"/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</row>
    <row r="474" spans="1:57" ht="12.75" customHeight="1">
      <c r="A474" s="518"/>
      <c r="B474" s="518"/>
      <c r="C474" s="518"/>
      <c r="D474" s="518"/>
      <c r="E474" s="518"/>
      <c r="F474" s="518"/>
      <c r="G474" s="518"/>
      <c r="H474" s="518"/>
      <c r="I474" s="518"/>
      <c r="J474" s="518"/>
      <c r="K474" s="518"/>
      <c r="L474" s="518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  <c r="AB474" s="518"/>
      <c r="AC474" s="518"/>
      <c r="AD474" s="518"/>
      <c r="AE474" s="518"/>
      <c r="AF474" s="518"/>
      <c r="AG474" s="518"/>
      <c r="AH474" s="518"/>
      <c r="AI474" s="518"/>
      <c r="AJ474" s="518"/>
      <c r="AK474" s="518"/>
      <c r="AL474" s="518"/>
      <c r="AM474" s="518"/>
      <c r="AN474" s="518"/>
      <c r="AO474" s="518"/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</row>
    <row r="475" spans="1:57" ht="12.75" customHeight="1">
      <c r="A475" s="518"/>
      <c r="B475" s="518"/>
      <c r="C475" s="518"/>
      <c r="D475" s="518"/>
      <c r="E475" s="518"/>
      <c r="F475" s="518"/>
      <c r="G475" s="518"/>
      <c r="H475" s="518"/>
      <c r="I475" s="518"/>
      <c r="J475" s="518"/>
      <c r="K475" s="518"/>
      <c r="L475" s="518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  <c r="AB475" s="518"/>
      <c r="AC475" s="518"/>
      <c r="AD475" s="518"/>
      <c r="AE475" s="518"/>
      <c r="AF475" s="518"/>
      <c r="AG475" s="518"/>
      <c r="AH475" s="518"/>
      <c r="AI475" s="518"/>
      <c r="AJ475" s="518"/>
      <c r="AK475" s="518"/>
      <c r="AL475" s="518"/>
      <c r="AM475" s="518"/>
      <c r="AN475" s="518"/>
      <c r="AO475" s="518"/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</row>
    <row r="476" spans="1:57" ht="12.75" customHeight="1">
      <c r="A476" s="518"/>
      <c r="B476" s="518"/>
      <c r="C476" s="518"/>
      <c r="D476" s="518"/>
      <c r="E476" s="518"/>
      <c r="F476" s="518"/>
      <c r="G476" s="518"/>
      <c r="H476" s="518"/>
      <c r="I476" s="518"/>
      <c r="J476" s="518"/>
      <c r="K476" s="518"/>
      <c r="L476" s="518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  <c r="AB476" s="518"/>
      <c r="AC476" s="518"/>
      <c r="AD476" s="518"/>
      <c r="AE476" s="518"/>
      <c r="AF476" s="518"/>
      <c r="AG476" s="518"/>
      <c r="AH476" s="518"/>
      <c r="AI476" s="518"/>
      <c r="AJ476" s="518"/>
      <c r="AK476" s="518"/>
      <c r="AL476" s="518"/>
      <c r="AM476" s="518"/>
      <c r="AN476" s="518"/>
      <c r="AO476" s="518"/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</row>
    <row r="477" spans="1:57" ht="12.75" customHeight="1">
      <c r="A477" s="518"/>
      <c r="B477" s="518"/>
      <c r="C477" s="518"/>
      <c r="D477" s="518"/>
      <c r="E477" s="518"/>
      <c r="F477" s="518"/>
      <c r="G477" s="518"/>
      <c r="H477" s="518"/>
      <c r="I477" s="518"/>
      <c r="J477" s="518"/>
      <c r="K477" s="518"/>
      <c r="L477" s="518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  <c r="AB477" s="518"/>
      <c r="AC477" s="518"/>
      <c r="AD477" s="518"/>
      <c r="AE477" s="518"/>
      <c r="AF477" s="518"/>
      <c r="AG477" s="518"/>
      <c r="AH477" s="518"/>
      <c r="AI477" s="518"/>
      <c r="AJ477" s="518"/>
      <c r="AK477" s="518"/>
      <c r="AL477" s="518"/>
      <c r="AM477" s="518"/>
      <c r="AN477" s="518"/>
      <c r="AO477" s="518"/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</row>
    <row r="478" spans="1:57" ht="12.75" customHeight="1">
      <c r="A478" s="518"/>
      <c r="B478" s="518"/>
      <c r="C478" s="518"/>
      <c r="D478" s="518"/>
      <c r="E478" s="518"/>
      <c r="F478" s="518"/>
      <c r="G478" s="518"/>
      <c r="H478" s="518"/>
      <c r="I478" s="518"/>
      <c r="J478" s="518"/>
      <c r="K478" s="518"/>
      <c r="L478" s="518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  <c r="AB478" s="518"/>
      <c r="AC478" s="518"/>
      <c r="AD478" s="518"/>
      <c r="AE478" s="518"/>
      <c r="AF478" s="518"/>
      <c r="AG478" s="518"/>
      <c r="AH478" s="518"/>
      <c r="AI478" s="518"/>
      <c r="AJ478" s="518"/>
      <c r="AK478" s="518"/>
      <c r="AL478" s="518"/>
      <c r="AM478" s="518"/>
      <c r="AN478" s="518"/>
      <c r="AO478" s="518"/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</row>
    <row r="479" spans="1:57" ht="12.75" customHeight="1">
      <c r="A479" s="518"/>
      <c r="B479" s="518"/>
      <c r="C479" s="518"/>
      <c r="D479" s="518"/>
      <c r="E479" s="518"/>
      <c r="F479" s="518"/>
      <c r="G479" s="518"/>
      <c r="H479" s="518"/>
      <c r="I479" s="518"/>
      <c r="J479" s="518"/>
      <c r="K479" s="518"/>
      <c r="L479" s="518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  <c r="AB479" s="518"/>
      <c r="AC479" s="518"/>
      <c r="AD479" s="518"/>
      <c r="AE479" s="518"/>
      <c r="AF479" s="518"/>
      <c r="AG479" s="518"/>
      <c r="AH479" s="518"/>
      <c r="AI479" s="518"/>
      <c r="AJ479" s="518"/>
      <c r="AK479" s="518"/>
      <c r="AL479" s="518"/>
      <c r="AM479" s="518"/>
      <c r="AN479" s="518"/>
      <c r="AO479" s="518"/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</row>
    <row r="480" spans="1:57" ht="12.75" customHeight="1">
      <c r="A480" s="518"/>
      <c r="B480" s="518"/>
      <c r="C480" s="518"/>
      <c r="D480" s="518"/>
      <c r="E480" s="518"/>
      <c r="F480" s="518"/>
      <c r="G480" s="518"/>
      <c r="H480" s="518"/>
      <c r="I480" s="518"/>
      <c r="J480" s="518"/>
      <c r="K480" s="518"/>
      <c r="L480" s="518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  <c r="AB480" s="518"/>
      <c r="AC480" s="518"/>
      <c r="AD480" s="518"/>
      <c r="AE480" s="518"/>
      <c r="AF480" s="518"/>
      <c r="AG480" s="518"/>
      <c r="AH480" s="518"/>
      <c r="AI480" s="518"/>
      <c r="AJ480" s="518"/>
      <c r="AK480" s="518"/>
      <c r="AL480" s="518"/>
      <c r="AM480" s="518"/>
      <c r="AN480" s="518"/>
      <c r="AO480" s="518"/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</row>
    <row r="481" spans="1:57" ht="12.75" customHeight="1">
      <c r="A481" s="518"/>
      <c r="B481" s="518"/>
      <c r="C481" s="518"/>
      <c r="D481" s="518"/>
      <c r="E481" s="518"/>
      <c r="F481" s="518"/>
      <c r="G481" s="518"/>
      <c r="H481" s="518"/>
      <c r="I481" s="518"/>
      <c r="J481" s="518"/>
      <c r="K481" s="518"/>
      <c r="L481" s="518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  <c r="AB481" s="518"/>
      <c r="AC481" s="518"/>
      <c r="AD481" s="518"/>
      <c r="AE481" s="518"/>
      <c r="AF481" s="518"/>
      <c r="AG481" s="518"/>
      <c r="AH481" s="518"/>
      <c r="AI481" s="518"/>
      <c r="AJ481" s="518"/>
      <c r="AK481" s="518"/>
      <c r="AL481" s="518"/>
      <c r="AM481" s="518"/>
      <c r="AN481" s="518"/>
      <c r="AO481" s="518"/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</row>
    <row r="482" spans="1:57" ht="12.75" customHeight="1">
      <c r="A482" s="518"/>
      <c r="B482" s="518"/>
      <c r="C482" s="518"/>
      <c r="D482" s="518"/>
      <c r="E482" s="518"/>
      <c r="F482" s="518"/>
      <c r="G482" s="518"/>
      <c r="H482" s="518"/>
      <c r="I482" s="518"/>
      <c r="J482" s="518"/>
      <c r="K482" s="518"/>
      <c r="L482" s="518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  <c r="AB482" s="518"/>
      <c r="AC482" s="518"/>
      <c r="AD482" s="518"/>
      <c r="AE482" s="518"/>
      <c r="AF482" s="518"/>
      <c r="AG482" s="518"/>
      <c r="AH482" s="518"/>
      <c r="AI482" s="518"/>
      <c r="AJ482" s="518"/>
      <c r="AK482" s="518"/>
      <c r="AL482" s="518"/>
      <c r="AM482" s="518"/>
      <c r="AN482" s="518"/>
      <c r="AO482" s="518"/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</row>
    <row r="483" spans="1:57" ht="12.75" customHeight="1">
      <c r="A483" s="518"/>
      <c r="B483" s="518"/>
      <c r="C483" s="518"/>
      <c r="D483" s="518"/>
      <c r="E483" s="518"/>
      <c r="F483" s="518"/>
      <c r="G483" s="518"/>
      <c r="H483" s="518"/>
      <c r="I483" s="518"/>
      <c r="J483" s="518"/>
      <c r="K483" s="518"/>
      <c r="L483" s="518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  <c r="AB483" s="518"/>
      <c r="AC483" s="518"/>
      <c r="AD483" s="518"/>
      <c r="AE483" s="518"/>
      <c r="AF483" s="518"/>
      <c r="AG483" s="518"/>
      <c r="AH483" s="518"/>
      <c r="AI483" s="518"/>
      <c r="AJ483" s="518"/>
      <c r="AK483" s="518"/>
      <c r="AL483" s="518"/>
      <c r="AM483" s="518"/>
      <c r="AN483" s="518"/>
      <c r="AO483" s="518"/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</row>
    <row r="484" spans="1:57" ht="12.75" customHeight="1">
      <c r="A484" s="518"/>
      <c r="B484" s="518"/>
      <c r="C484" s="518"/>
      <c r="D484" s="518"/>
      <c r="E484" s="518"/>
      <c r="F484" s="518"/>
      <c r="G484" s="518"/>
      <c r="H484" s="518"/>
      <c r="I484" s="518"/>
      <c r="J484" s="518"/>
      <c r="K484" s="518"/>
      <c r="L484" s="518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  <c r="AB484" s="518"/>
      <c r="AC484" s="518"/>
      <c r="AD484" s="518"/>
      <c r="AE484" s="518"/>
      <c r="AF484" s="518"/>
      <c r="AG484" s="518"/>
      <c r="AH484" s="518"/>
      <c r="AI484" s="518"/>
      <c r="AJ484" s="518"/>
      <c r="AK484" s="518"/>
      <c r="AL484" s="518"/>
      <c r="AM484" s="518"/>
      <c r="AN484" s="518"/>
      <c r="AO484" s="518"/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</row>
    <row r="485" spans="1:57" ht="12.75" customHeight="1">
      <c r="A485" s="518"/>
      <c r="B485" s="518"/>
      <c r="C485" s="518"/>
      <c r="D485" s="518"/>
      <c r="E485" s="518"/>
      <c r="F485" s="518"/>
      <c r="G485" s="518"/>
      <c r="H485" s="518"/>
      <c r="I485" s="518"/>
      <c r="J485" s="518"/>
      <c r="K485" s="518"/>
      <c r="L485" s="518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  <c r="AB485" s="518"/>
      <c r="AC485" s="518"/>
      <c r="AD485" s="518"/>
      <c r="AE485" s="518"/>
      <c r="AF485" s="518"/>
      <c r="AG485" s="518"/>
      <c r="AH485" s="518"/>
      <c r="AI485" s="518"/>
      <c r="AJ485" s="518"/>
      <c r="AK485" s="518"/>
      <c r="AL485" s="518"/>
      <c r="AM485" s="518"/>
      <c r="AN485" s="518"/>
      <c r="AO485" s="518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</row>
    <row r="486" spans="1:57" ht="12.75" customHeight="1">
      <c r="A486" s="518"/>
      <c r="B486" s="518"/>
      <c r="C486" s="518"/>
      <c r="D486" s="518"/>
      <c r="E486" s="518"/>
      <c r="F486" s="518"/>
      <c r="G486" s="518"/>
      <c r="H486" s="518"/>
      <c r="I486" s="518"/>
      <c r="J486" s="518"/>
      <c r="K486" s="518"/>
      <c r="L486" s="518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  <c r="AB486" s="518"/>
      <c r="AC486" s="518"/>
      <c r="AD486" s="518"/>
      <c r="AE486" s="518"/>
      <c r="AF486" s="518"/>
      <c r="AG486" s="518"/>
      <c r="AH486" s="518"/>
      <c r="AI486" s="518"/>
      <c r="AJ486" s="518"/>
      <c r="AK486" s="518"/>
      <c r="AL486" s="518"/>
      <c r="AM486" s="518"/>
      <c r="AN486" s="518"/>
      <c r="AO486" s="518"/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</row>
    <row r="487" spans="1:57" ht="12.75" customHeight="1">
      <c r="A487" s="518"/>
      <c r="B487" s="518"/>
      <c r="C487" s="518"/>
      <c r="D487" s="518"/>
      <c r="E487" s="518"/>
      <c r="F487" s="518"/>
      <c r="G487" s="518"/>
      <c r="H487" s="518"/>
      <c r="I487" s="518"/>
      <c r="J487" s="518"/>
      <c r="K487" s="518"/>
      <c r="L487" s="518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  <c r="AB487" s="518"/>
      <c r="AC487" s="518"/>
      <c r="AD487" s="518"/>
      <c r="AE487" s="518"/>
      <c r="AF487" s="518"/>
      <c r="AG487" s="518"/>
      <c r="AH487" s="518"/>
      <c r="AI487" s="518"/>
      <c r="AJ487" s="518"/>
      <c r="AK487" s="518"/>
      <c r="AL487" s="518"/>
      <c r="AM487" s="518"/>
      <c r="AN487" s="518"/>
      <c r="AO487" s="518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</row>
    <row r="488" spans="1:57" ht="12.75" customHeight="1">
      <c r="A488" s="518"/>
      <c r="B488" s="518"/>
      <c r="C488" s="518"/>
      <c r="D488" s="518"/>
      <c r="E488" s="518"/>
      <c r="F488" s="518"/>
      <c r="G488" s="518"/>
      <c r="H488" s="518"/>
      <c r="I488" s="518"/>
      <c r="J488" s="518"/>
      <c r="K488" s="518"/>
      <c r="L488" s="518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  <c r="AB488" s="518"/>
      <c r="AC488" s="518"/>
      <c r="AD488" s="518"/>
      <c r="AE488" s="518"/>
      <c r="AF488" s="518"/>
      <c r="AG488" s="518"/>
      <c r="AH488" s="518"/>
      <c r="AI488" s="518"/>
      <c r="AJ488" s="518"/>
      <c r="AK488" s="518"/>
      <c r="AL488" s="518"/>
      <c r="AM488" s="518"/>
      <c r="AN488" s="518"/>
      <c r="AO488" s="51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</row>
    <row r="489" spans="1:57" ht="12.75" customHeight="1">
      <c r="A489" s="518"/>
      <c r="B489" s="518"/>
      <c r="C489" s="518"/>
      <c r="D489" s="518"/>
      <c r="E489" s="518"/>
      <c r="F489" s="518"/>
      <c r="G489" s="518"/>
      <c r="H489" s="518"/>
      <c r="I489" s="518"/>
      <c r="J489" s="518"/>
      <c r="K489" s="518"/>
      <c r="L489" s="518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  <c r="AB489" s="518"/>
      <c r="AC489" s="518"/>
      <c r="AD489" s="518"/>
      <c r="AE489" s="518"/>
      <c r="AF489" s="518"/>
      <c r="AG489" s="518"/>
      <c r="AH489" s="518"/>
      <c r="AI489" s="518"/>
      <c r="AJ489" s="518"/>
      <c r="AK489" s="518"/>
      <c r="AL489" s="518"/>
      <c r="AM489" s="518"/>
      <c r="AN489" s="518"/>
      <c r="AO489" s="518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</row>
    <row r="490" spans="1:57" ht="12.75" customHeight="1">
      <c r="A490" s="518"/>
      <c r="B490" s="518"/>
      <c r="C490" s="518"/>
      <c r="D490" s="518"/>
      <c r="E490" s="518"/>
      <c r="F490" s="518"/>
      <c r="G490" s="518"/>
      <c r="H490" s="518"/>
      <c r="I490" s="518"/>
      <c r="J490" s="518"/>
      <c r="K490" s="518"/>
      <c r="L490" s="518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  <c r="AB490" s="518"/>
      <c r="AC490" s="518"/>
      <c r="AD490" s="518"/>
      <c r="AE490" s="518"/>
      <c r="AF490" s="518"/>
      <c r="AG490" s="518"/>
      <c r="AH490" s="518"/>
      <c r="AI490" s="518"/>
      <c r="AJ490" s="518"/>
      <c r="AK490" s="518"/>
      <c r="AL490" s="518"/>
      <c r="AM490" s="518"/>
      <c r="AN490" s="518"/>
      <c r="AO490" s="518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</row>
    <row r="491" spans="1:57" ht="12.75" customHeight="1">
      <c r="A491" s="518"/>
      <c r="B491" s="518"/>
      <c r="C491" s="518"/>
      <c r="D491" s="518"/>
      <c r="E491" s="518"/>
      <c r="F491" s="518"/>
      <c r="G491" s="518"/>
      <c r="H491" s="518"/>
      <c r="I491" s="518"/>
      <c r="J491" s="518"/>
      <c r="K491" s="518"/>
      <c r="L491" s="518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  <c r="AB491" s="518"/>
      <c r="AC491" s="518"/>
      <c r="AD491" s="518"/>
      <c r="AE491" s="518"/>
      <c r="AF491" s="518"/>
      <c r="AG491" s="518"/>
      <c r="AH491" s="518"/>
      <c r="AI491" s="518"/>
      <c r="AJ491" s="518"/>
      <c r="AK491" s="518"/>
      <c r="AL491" s="518"/>
      <c r="AM491" s="518"/>
      <c r="AN491" s="518"/>
      <c r="AO491" s="518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</row>
    <row r="492" spans="1:57" ht="12.75" customHeight="1">
      <c r="A492" s="518"/>
      <c r="B492" s="518"/>
      <c r="C492" s="518"/>
      <c r="D492" s="518"/>
      <c r="E492" s="518"/>
      <c r="F492" s="518"/>
      <c r="G492" s="518"/>
      <c r="H492" s="518"/>
      <c r="I492" s="518"/>
      <c r="J492" s="518"/>
      <c r="K492" s="518"/>
      <c r="L492" s="518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  <c r="AB492" s="518"/>
      <c r="AC492" s="518"/>
      <c r="AD492" s="518"/>
      <c r="AE492" s="518"/>
      <c r="AF492" s="518"/>
      <c r="AG492" s="518"/>
      <c r="AH492" s="518"/>
      <c r="AI492" s="518"/>
      <c r="AJ492" s="518"/>
      <c r="AK492" s="518"/>
      <c r="AL492" s="518"/>
      <c r="AM492" s="518"/>
      <c r="AN492" s="518"/>
      <c r="AO492" s="518"/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</row>
    <row r="493" spans="1:57" ht="12.75" customHeight="1">
      <c r="A493" s="518"/>
      <c r="B493" s="518"/>
      <c r="C493" s="518"/>
      <c r="D493" s="518"/>
      <c r="E493" s="518"/>
      <c r="F493" s="518"/>
      <c r="G493" s="518"/>
      <c r="H493" s="518"/>
      <c r="I493" s="518"/>
      <c r="J493" s="518"/>
      <c r="K493" s="518"/>
      <c r="L493" s="518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  <c r="AB493" s="518"/>
      <c r="AC493" s="518"/>
      <c r="AD493" s="518"/>
      <c r="AE493" s="518"/>
      <c r="AF493" s="518"/>
      <c r="AG493" s="518"/>
      <c r="AH493" s="518"/>
      <c r="AI493" s="518"/>
      <c r="AJ493" s="518"/>
      <c r="AK493" s="518"/>
      <c r="AL493" s="518"/>
      <c r="AM493" s="518"/>
      <c r="AN493" s="518"/>
      <c r="AO493" s="518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</row>
    <row r="494" spans="1:57" ht="12.75" customHeight="1">
      <c r="A494" s="518"/>
      <c r="B494" s="518"/>
      <c r="C494" s="518"/>
      <c r="D494" s="518"/>
      <c r="E494" s="518"/>
      <c r="F494" s="518"/>
      <c r="G494" s="518"/>
      <c r="H494" s="518"/>
      <c r="I494" s="518"/>
      <c r="J494" s="518"/>
      <c r="K494" s="518"/>
      <c r="L494" s="518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  <c r="AB494" s="518"/>
      <c r="AC494" s="518"/>
      <c r="AD494" s="518"/>
      <c r="AE494" s="518"/>
      <c r="AF494" s="518"/>
      <c r="AG494" s="518"/>
      <c r="AH494" s="518"/>
      <c r="AI494" s="518"/>
      <c r="AJ494" s="518"/>
      <c r="AK494" s="518"/>
      <c r="AL494" s="518"/>
      <c r="AM494" s="518"/>
      <c r="AN494" s="518"/>
      <c r="AO494" s="518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</row>
    <row r="495" spans="1:57" ht="12.75" customHeight="1">
      <c r="A495" s="518"/>
      <c r="B495" s="518"/>
      <c r="C495" s="518"/>
      <c r="D495" s="518"/>
      <c r="E495" s="518"/>
      <c r="F495" s="518"/>
      <c r="G495" s="518"/>
      <c r="H495" s="518"/>
      <c r="I495" s="518"/>
      <c r="J495" s="518"/>
      <c r="K495" s="518"/>
      <c r="L495" s="518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  <c r="AB495" s="518"/>
      <c r="AC495" s="518"/>
      <c r="AD495" s="518"/>
      <c r="AE495" s="518"/>
      <c r="AF495" s="518"/>
      <c r="AG495" s="518"/>
      <c r="AH495" s="518"/>
      <c r="AI495" s="518"/>
      <c r="AJ495" s="518"/>
      <c r="AK495" s="518"/>
      <c r="AL495" s="518"/>
      <c r="AM495" s="518"/>
      <c r="AN495" s="518"/>
      <c r="AO495" s="518"/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</row>
    <row r="496" spans="1:57" ht="12.75" customHeight="1">
      <c r="A496" s="518"/>
      <c r="B496" s="518"/>
      <c r="C496" s="518"/>
      <c r="D496" s="518"/>
      <c r="E496" s="518"/>
      <c r="F496" s="518"/>
      <c r="G496" s="518"/>
      <c r="H496" s="518"/>
      <c r="I496" s="518"/>
      <c r="J496" s="518"/>
      <c r="K496" s="518"/>
      <c r="L496" s="518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  <c r="AB496" s="518"/>
      <c r="AC496" s="518"/>
      <c r="AD496" s="518"/>
      <c r="AE496" s="518"/>
      <c r="AF496" s="518"/>
      <c r="AG496" s="518"/>
      <c r="AH496" s="518"/>
      <c r="AI496" s="518"/>
      <c r="AJ496" s="518"/>
      <c r="AK496" s="518"/>
      <c r="AL496" s="518"/>
      <c r="AM496" s="518"/>
      <c r="AN496" s="518"/>
      <c r="AO496" s="518"/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</row>
    <row r="497" spans="1:57" ht="12.75" customHeight="1">
      <c r="A497" s="518"/>
      <c r="B497" s="518"/>
      <c r="C497" s="518"/>
      <c r="D497" s="518"/>
      <c r="E497" s="518"/>
      <c r="F497" s="518"/>
      <c r="G497" s="518"/>
      <c r="H497" s="518"/>
      <c r="I497" s="518"/>
      <c r="J497" s="518"/>
      <c r="K497" s="518"/>
      <c r="L497" s="518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  <c r="AB497" s="518"/>
      <c r="AC497" s="518"/>
      <c r="AD497" s="518"/>
      <c r="AE497" s="518"/>
      <c r="AF497" s="518"/>
      <c r="AG497" s="518"/>
      <c r="AH497" s="518"/>
      <c r="AI497" s="518"/>
      <c r="AJ497" s="518"/>
      <c r="AK497" s="518"/>
      <c r="AL497" s="518"/>
      <c r="AM497" s="518"/>
      <c r="AN497" s="518"/>
      <c r="AO497" s="518"/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</row>
    <row r="498" spans="1:57" ht="12.75" customHeight="1">
      <c r="A498" s="518"/>
      <c r="B498" s="518"/>
      <c r="C498" s="518"/>
      <c r="D498" s="518"/>
      <c r="E498" s="518"/>
      <c r="F498" s="518"/>
      <c r="G498" s="518"/>
      <c r="H498" s="518"/>
      <c r="I498" s="518"/>
      <c r="J498" s="518"/>
      <c r="K498" s="518"/>
      <c r="L498" s="518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  <c r="AB498" s="518"/>
      <c r="AC498" s="518"/>
      <c r="AD498" s="518"/>
      <c r="AE498" s="518"/>
      <c r="AF498" s="518"/>
      <c r="AG498" s="518"/>
      <c r="AH498" s="518"/>
      <c r="AI498" s="518"/>
      <c r="AJ498" s="518"/>
      <c r="AK498" s="518"/>
      <c r="AL498" s="518"/>
      <c r="AM498" s="518"/>
      <c r="AN498" s="518"/>
      <c r="AO498" s="518"/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</row>
    <row r="499" spans="1:57" ht="12.75" customHeight="1">
      <c r="A499" s="518"/>
      <c r="B499" s="518"/>
      <c r="C499" s="518"/>
      <c r="D499" s="518"/>
      <c r="E499" s="518"/>
      <c r="F499" s="518"/>
      <c r="G499" s="518"/>
      <c r="H499" s="518"/>
      <c r="I499" s="518"/>
      <c r="J499" s="518"/>
      <c r="K499" s="518"/>
      <c r="L499" s="518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  <c r="AB499" s="518"/>
      <c r="AC499" s="518"/>
      <c r="AD499" s="518"/>
      <c r="AE499" s="518"/>
      <c r="AF499" s="518"/>
      <c r="AG499" s="518"/>
      <c r="AH499" s="518"/>
      <c r="AI499" s="518"/>
      <c r="AJ499" s="518"/>
      <c r="AK499" s="518"/>
      <c r="AL499" s="518"/>
      <c r="AM499" s="518"/>
      <c r="AN499" s="518"/>
      <c r="AO499" s="518"/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</row>
    <row r="500" spans="1:57" ht="12.75" customHeight="1">
      <c r="A500" s="518"/>
      <c r="B500" s="518"/>
      <c r="C500" s="518"/>
      <c r="D500" s="518"/>
      <c r="E500" s="518"/>
      <c r="F500" s="518"/>
      <c r="G500" s="518"/>
      <c r="H500" s="518"/>
      <c r="I500" s="518"/>
      <c r="J500" s="518"/>
      <c r="K500" s="518"/>
      <c r="L500" s="518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  <c r="AB500" s="518"/>
      <c r="AC500" s="518"/>
      <c r="AD500" s="518"/>
      <c r="AE500" s="518"/>
      <c r="AF500" s="518"/>
      <c r="AG500" s="518"/>
      <c r="AH500" s="518"/>
      <c r="AI500" s="518"/>
      <c r="AJ500" s="518"/>
      <c r="AK500" s="518"/>
      <c r="AL500" s="518"/>
      <c r="AM500" s="518"/>
      <c r="AN500" s="518"/>
      <c r="AO500" s="518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</row>
    <row r="501" spans="1:57" ht="12.75" customHeight="1">
      <c r="A501" s="518"/>
      <c r="B501" s="518"/>
      <c r="C501" s="518"/>
      <c r="D501" s="518"/>
      <c r="E501" s="518"/>
      <c r="F501" s="518"/>
      <c r="G501" s="518"/>
      <c r="H501" s="518"/>
      <c r="I501" s="518"/>
      <c r="J501" s="518"/>
      <c r="K501" s="518"/>
      <c r="L501" s="518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  <c r="AB501" s="518"/>
      <c r="AC501" s="518"/>
      <c r="AD501" s="518"/>
      <c r="AE501" s="518"/>
      <c r="AF501" s="518"/>
      <c r="AG501" s="518"/>
      <c r="AH501" s="518"/>
      <c r="AI501" s="518"/>
      <c r="AJ501" s="518"/>
      <c r="AK501" s="518"/>
      <c r="AL501" s="518"/>
      <c r="AM501" s="518"/>
      <c r="AN501" s="518"/>
      <c r="AO501" s="518"/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</row>
    <row r="502" spans="1:57" ht="12.75" customHeight="1">
      <c r="A502" s="518"/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</row>
    <row r="503" spans="1:57" ht="12.75" customHeight="1">
      <c r="A503" s="518"/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</row>
    <row r="504" spans="1:57" ht="12.75" customHeight="1">
      <c r="A504" s="518"/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</row>
    <row r="505" spans="1:57" ht="12.75" customHeight="1">
      <c r="A505" s="518"/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</row>
    <row r="506" spans="1:57" ht="12.75" customHeight="1">
      <c r="A506" s="518"/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</row>
    <row r="507" spans="1:57" ht="12.75" customHeight="1">
      <c r="A507" s="518"/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</row>
    <row r="508" spans="1:57" ht="12.75" customHeight="1">
      <c r="A508" s="518"/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</row>
    <row r="509" spans="1:57" ht="12.75" customHeight="1">
      <c r="A509" s="518"/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</row>
    <row r="510" spans="1:57" ht="12.75" customHeight="1">
      <c r="A510" s="518"/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</row>
    <row r="511" spans="1:57" ht="12.75" customHeight="1">
      <c r="A511" s="518"/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</row>
    <row r="512" spans="1:57" ht="12.75" customHeight="1">
      <c r="A512" s="518"/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</row>
    <row r="513" spans="1:57" ht="12.75" customHeight="1">
      <c r="A513" s="518"/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</row>
    <row r="514" spans="1:57" ht="12.75" customHeight="1">
      <c r="A514" s="518"/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</row>
    <row r="515" spans="1:57" ht="12.75" customHeight="1">
      <c r="A515" s="518"/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</row>
    <row r="516" spans="1:57" ht="12.75" customHeight="1">
      <c r="A516" s="518"/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</row>
    <row r="517" spans="1:57" ht="12.75" customHeight="1">
      <c r="A517" s="518"/>
      <c r="B517" s="518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</row>
    <row r="518" spans="1:57" ht="12.75" customHeight="1">
      <c r="A518" s="518"/>
      <c r="B518" s="518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</row>
    <row r="519" spans="1:57" ht="12.75" customHeight="1">
      <c r="A519" s="518"/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</row>
    <row r="520" spans="1:57" ht="12.75" customHeight="1">
      <c r="A520" s="518"/>
      <c r="B520" s="518"/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  <c r="AB520" s="518"/>
      <c r="AC520" s="518"/>
      <c r="AD520" s="518"/>
      <c r="AE520" s="518"/>
      <c r="AF520" s="518"/>
      <c r="AG520" s="518"/>
      <c r="AH520" s="518"/>
      <c r="AI520" s="518"/>
      <c r="AJ520" s="518"/>
      <c r="AK520" s="518"/>
      <c r="AL520" s="518"/>
      <c r="AM520" s="518"/>
      <c r="AN520" s="518"/>
      <c r="AO520" s="518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</row>
    <row r="521" spans="1:57" ht="12.75" customHeight="1">
      <c r="A521" s="518"/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</row>
    <row r="522" spans="1:57" ht="12.75" customHeight="1">
      <c r="A522" s="518"/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</row>
    <row r="523" spans="1:57" ht="12.75" customHeight="1">
      <c r="A523" s="518"/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</row>
    <row r="524" spans="1:57" ht="12.75" customHeight="1">
      <c r="A524" s="518"/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</row>
    <row r="525" spans="1:57" ht="12.75" customHeight="1">
      <c r="A525" s="518"/>
      <c r="B525" s="518"/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  <c r="AB525" s="518"/>
      <c r="AC525" s="518"/>
      <c r="AD525" s="518"/>
      <c r="AE525" s="518"/>
      <c r="AF525" s="518"/>
      <c r="AG525" s="518"/>
      <c r="AH525" s="518"/>
      <c r="AI525" s="518"/>
      <c r="AJ525" s="518"/>
      <c r="AK525" s="518"/>
      <c r="AL525" s="518"/>
      <c r="AM525" s="518"/>
      <c r="AN525" s="518"/>
      <c r="AO525" s="518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</row>
    <row r="526" spans="1:57" ht="12.75" customHeight="1">
      <c r="A526" s="518"/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</row>
    <row r="527" spans="1:57" ht="12.75" customHeight="1">
      <c r="A527" s="518"/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</row>
    <row r="528" spans="1:57" ht="12.75" customHeight="1">
      <c r="A528" s="518"/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</row>
    <row r="529" spans="1:57" ht="12.75" customHeight="1">
      <c r="A529" s="518"/>
      <c r="B529" s="518"/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  <c r="AB529" s="518"/>
      <c r="AC529" s="518"/>
      <c r="AD529" s="518"/>
      <c r="AE529" s="518"/>
      <c r="AF529" s="518"/>
      <c r="AG529" s="518"/>
      <c r="AH529" s="518"/>
      <c r="AI529" s="518"/>
      <c r="AJ529" s="518"/>
      <c r="AK529" s="518"/>
      <c r="AL529" s="518"/>
      <c r="AM529" s="518"/>
      <c r="AN529" s="518"/>
      <c r="AO529" s="518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</row>
    <row r="530" spans="1:57" ht="12.75" customHeight="1">
      <c r="A530" s="518"/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</row>
    <row r="531" spans="1:57" ht="12.75" customHeight="1">
      <c r="A531" s="518"/>
      <c r="B531" s="518"/>
      <c r="C531" s="518"/>
      <c r="D531" s="518"/>
      <c r="E531" s="518"/>
      <c r="F531" s="518"/>
      <c r="G531" s="518"/>
      <c r="H531" s="518"/>
      <c r="I531" s="518"/>
      <c r="J531" s="518"/>
      <c r="K531" s="518"/>
      <c r="L531" s="518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  <c r="AB531" s="518"/>
      <c r="AC531" s="518"/>
      <c r="AD531" s="518"/>
      <c r="AE531" s="518"/>
      <c r="AF531" s="518"/>
      <c r="AG531" s="518"/>
      <c r="AH531" s="518"/>
      <c r="AI531" s="518"/>
      <c r="AJ531" s="518"/>
      <c r="AK531" s="518"/>
      <c r="AL531" s="518"/>
      <c r="AM531" s="518"/>
      <c r="AN531" s="518"/>
      <c r="AO531" s="518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</row>
    <row r="532" spans="1:57" ht="12.75" customHeight="1">
      <c r="A532" s="518"/>
      <c r="B532" s="518"/>
      <c r="C532" s="518"/>
      <c r="D532" s="518"/>
      <c r="E532" s="518"/>
      <c r="F532" s="518"/>
      <c r="G532" s="518"/>
      <c r="H532" s="518"/>
      <c r="I532" s="518"/>
      <c r="J532" s="518"/>
      <c r="K532" s="518"/>
      <c r="L532" s="518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  <c r="AB532" s="518"/>
      <c r="AC532" s="518"/>
      <c r="AD532" s="518"/>
      <c r="AE532" s="518"/>
      <c r="AF532" s="518"/>
      <c r="AG532" s="518"/>
      <c r="AH532" s="518"/>
      <c r="AI532" s="518"/>
      <c r="AJ532" s="518"/>
      <c r="AK532" s="518"/>
      <c r="AL532" s="518"/>
      <c r="AM532" s="518"/>
      <c r="AN532" s="518"/>
      <c r="AO532" s="518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</row>
    <row r="533" spans="1:57" ht="12.75" customHeight="1">
      <c r="A533" s="518"/>
      <c r="B533" s="518"/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  <c r="AB533" s="518"/>
      <c r="AC533" s="518"/>
      <c r="AD533" s="518"/>
      <c r="AE533" s="518"/>
      <c r="AF533" s="518"/>
      <c r="AG533" s="518"/>
      <c r="AH533" s="518"/>
      <c r="AI533" s="518"/>
      <c r="AJ533" s="518"/>
      <c r="AK533" s="518"/>
      <c r="AL533" s="518"/>
      <c r="AM533" s="518"/>
      <c r="AN533" s="518"/>
      <c r="AO533" s="518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</row>
    <row r="534" spans="1:57" ht="12.75" customHeight="1">
      <c r="A534" s="518"/>
      <c r="B534" s="518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</row>
    <row r="535" spans="1:57" ht="12.75" customHeight="1">
      <c r="A535" s="518"/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</row>
    <row r="536" spans="1:57" ht="12.75" customHeight="1">
      <c r="A536" s="518"/>
      <c r="B536" s="518"/>
      <c r="C536" s="518"/>
      <c r="D536" s="518"/>
      <c r="E536" s="518"/>
      <c r="F536" s="518"/>
      <c r="G536" s="518"/>
      <c r="H536" s="518"/>
      <c r="I536" s="518"/>
      <c r="J536" s="518"/>
      <c r="K536" s="518"/>
      <c r="L536" s="518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  <c r="AB536" s="518"/>
      <c r="AC536" s="518"/>
      <c r="AD536" s="518"/>
      <c r="AE536" s="518"/>
      <c r="AF536" s="518"/>
      <c r="AG536" s="518"/>
      <c r="AH536" s="518"/>
      <c r="AI536" s="518"/>
      <c r="AJ536" s="518"/>
      <c r="AK536" s="518"/>
      <c r="AL536" s="518"/>
      <c r="AM536" s="518"/>
      <c r="AN536" s="518"/>
      <c r="AO536" s="518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</row>
    <row r="537" spans="1:57" ht="12.75" customHeight="1">
      <c r="A537" s="518"/>
      <c r="B537" s="518"/>
      <c r="C537" s="518"/>
      <c r="D537" s="518"/>
      <c r="E537" s="518"/>
      <c r="F537" s="518"/>
      <c r="G537" s="518"/>
      <c r="H537" s="518"/>
      <c r="I537" s="518"/>
      <c r="J537" s="518"/>
      <c r="K537" s="518"/>
      <c r="L537" s="518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  <c r="AB537" s="518"/>
      <c r="AC537" s="518"/>
      <c r="AD537" s="518"/>
      <c r="AE537" s="518"/>
      <c r="AF537" s="518"/>
      <c r="AG537" s="518"/>
      <c r="AH537" s="518"/>
      <c r="AI537" s="518"/>
      <c r="AJ537" s="518"/>
      <c r="AK537" s="518"/>
      <c r="AL537" s="518"/>
      <c r="AM537" s="518"/>
      <c r="AN537" s="518"/>
      <c r="AO537" s="518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</row>
    <row r="538" spans="1:57" ht="12.75" customHeight="1">
      <c r="A538" s="518"/>
      <c r="B538" s="518"/>
      <c r="C538" s="518"/>
      <c r="D538" s="518"/>
      <c r="E538" s="518"/>
      <c r="F538" s="518"/>
      <c r="G538" s="518"/>
      <c r="H538" s="518"/>
      <c r="I538" s="518"/>
      <c r="J538" s="518"/>
      <c r="K538" s="518"/>
      <c r="L538" s="518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  <c r="AB538" s="518"/>
      <c r="AC538" s="518"/>
      <c r="AD538" s="518"/>
      <c r="AE538" s="518"/>
      <c r="AF538" s="518"/>
      <c r="AG538" s="518"/>
      <c r="AH538" s="518"/>
      <c r="AI538" s="518"/>
      <c r="AJ538" s="518"/>
      <c r="AK538" s="518"/>
      <c r="AL538" s="518"/>
      <c r="AM538" s="518"/>
      <c r="AN538" s="518"/>
      <c r="AO538" s="518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</row>
    <row r="539" spans="1:57" ht="12.75" customHeight="1">
      <c r="A539" s="518"/>
      <c r="B539" s="518"/>
      <c r="C539" s="518"/>
      <c r="D539" s="518"/>
      <c r="E539" s="518"/>
      <c r="F539" s="518"/>
      <c r="G539" s="518"/>
      <c r="H539" s="518"/>
      <c r="I539" s="518"/>
      <c r="J539" s="518"/>
      <c r="K539" s="518"/>
      <c r="L539" s="518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  <c r="AB539" s="518"/>
      <c r="AC539" s="518"/>
      <c r="AD539" s="518"/>
      <c r="AE539" s="518"/>
      <c r="AF539" s="518"/>
      <c r="AG539" s="518"/>
      <c r="AH539" s="518"/>
      <c r="AI539" s="518"/>
      <c r="AJ539" s="518"/>
      <c r="AK539" s="518"/>
      <c r="AL539" s="518"/>
      <c r="AM539" s="518"/>
      <c r="AN539" s="518"/>
      <c r="AO539" s="518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</row>
    <row r="540" spans="1:57" ht="12.75" customHeight="1">
      <c r="A540" s="518"/>
      <c r="B540" s="518"/>
      <c r="C540" s="518"/>
      <c r="D540" s="518"/>
      <c r="E540" s="518"/>
      <c r="F540" s="518"/>
      <c r="G540" s="518"/>
      <c r="H540" s="518"/>
      <c r="I540" s="518"/>
      <c r="J540" s="518"/>
      <c r="K540" s="518"/>
      <c r="L540" s="518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  <c r="AB540" s="518"/>
      <c r="AC540" s="518"/>
      <c r="AD540" s="518"/>
      <c r="AE540" s="518"/>
      <c r="AF540" s="518"/>
      <c r="AG540" s="518"/>
      <c r="AH540" s="518"/>
      <c r="AI540" s="518"/>
      <c r="AJ540" s="518"/>
      <c r="AK540" s="518"/>
      <c r="AL540" s="518"/>
      <c r="AM540" s="518"/>
      <c r="AN540" s="518"/>
      <c r="AO540" s="518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</row>
    <row r="541" spans="1:57" ht="12.75" customHeight="1">
      <c r="A541" s="518"/>
      <c r="B541" s="518"/>
      <c r="C541" s="518"/>
      <c r="D541" s="518"/>
      <c r="E541" s="518"/>
      <c r="F541" s="518"/>
      <c r="G541" s="518"/>
      <c r="H541" s="518"/>
      <c r="I541" s="518"/>
      <c r="J541" s="518"/>
      <c r="K541" s="518"/>
      <c r="L541" s="518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  <c r="AB541" s="518"/>
      <c r="AC541" s="518"/>
      <c r="AD541" s="518"/>
      <c r="AE541" s="518"/>
      <c r="AF541" s="518"/>
      <c r="AG541" s="518"/>
      <c r="AH541" s="518"/>
      <c r="AI541" s="518"/>
      <c r="AJ541" s="518"/>
      <c r="AK541" s="518"/>
      <c r="AL541" s="518"/>
      <c r="AM541" s="518"/>
      <c r="AN541" s="518"/>
      <c r="AO541" s="518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</row>
    <row r="542" spans="1:57" ht="12.75" customHeight="1">
      <c r="A542" s="518"/>
      <c r="B542" s="518"/>
      <c r="C542" s="518"/>
      <c r="D542" s="518"/>
      <c r="E542" s="518"/>
      <c r="F542" s="518"/>
      <c r="G542" s="518"/>
      <c r="H542" s="518"/>
      <c r="I542" s="518"/>
      <c r="J542" s="518"/>
      <c r="K542" s="518"/>
      <c r="L542" s="518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  <c r="AB542" s="518"/>
      <c r="AC542" s="518"/>
      <c r="AD542" s="518"/>
      <c r="AE542" s="518"/>
      <c r="AF542" s="518"/>
      <c r="AG542" s="518"/>
      <c r="AH542" s="518"/>
      <c r="AI542" s="518"/>
      <c r="AJ542" s="518"/>
      <c r="AK542" s="518"/>
      <c r="AL542" s="518"/>
      <c r="AM542" s="518"/>
      <c r="AN542" s="518"/>
      <c r="AO542" s="518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</row>
    <row r="543" spans="1:57" ht="12.75" customHeight="1">
      <c r="A543" s="518"/>
      <c r="B543" s="518"/>
      <c r="C543" s="518"/>
      <c r="D543" s="518"/>
      <c r="E543" s="518"/>
      <c r="F543" s="518"/>
      <c r="G543" s="518"/>
      <c r="H543" s="518"/>
      <c r="I543" s="518"/>
      <c r="J543" s="518"/>
      <c r="K543" s="518"/>
      <c r="L543" s="518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  <c r="AB543" s="518"/>
      <c r="AC543" s="518"/>
      <c r="AD543" s="518"/>
      <c r="AE543" s="518"/>
      <c r="AF543" s="518"/>
      <c r="AG543" s="518"/>
      <c r="AH543" s="518"/>
      <c r="AI543" s="518"/>
      <c r="AJ543" s="518"/>
      <c r="AK543" s="518"/>
      <c r="AL543" s="518"/>
      <c r="AM543" s="518"/>
      <c r="AN543" s="518"/>
      <c r="AO543" s="518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</row>
    <row r="544" spans="1:57" ht="12.75" customHeight="1">
      <c r="A544" s="518"/>
      <c r="B544" s="518"/>
      <c r="C544" s="518"/>
      <c r="D544" s="518"/>
      <c r="E544" s="518"/>
      <c r="F544" s="518"/>
      <c r="G544" s="518"/>
      <c r="H544" s="518"/>
      <c r="I544" s="518"/>
      <c r="J544" s="518"/>
      <c r="K544" s="518"/>
      <c r="L544" s="518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  <c r="AB544" s="518"/>
      <c r="AC544" s="518"/>
      <c r="AD544" s="518"/>
      <c r="AE544" s="518"/>
      <c r="AF544" s="518"/>
      <c r="AG544" s="518"/>
      <c r="AH544" s="518"/>
      <c r="AI544" s="518"/>
      <c r="AJ544" s="518"/>
      <c r="AK544" s="518"/>
      <c r="AL544" s="518"/>
      <c r="AM544" s="518"/>
      <c r="AN544" s="518"/>
      <c r="AO544" s="518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</row>
    <row r="545" spans="1:57" ht="12.75" customHeight="1">
      <c r="A545" s="518"/>
      <c r="B545" s="518"/>
      <c r="C545" s="518"/>
      <c r="D545" s="518"/>
      <c r="E545" s="518"/>
      <c r="F545" s="518"/>
      <c r="G545" s="518"/>
      <c r="H545" s="518"/>
      <c r="I545" s="518"/>
      <c r="J545" s="518"/>
      <c r="K545" s="518"/>
      <c r="L545" s="518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  <c r="AB545" s="518"/>
      <c r="AC545" s="518"/>
      <c r="AD545" s="518"/>
      <c r="AE545" s="518"/>
      <c r="AF545" s="518"/>
      <c r="AG545" s="518"/>
      <c r="AH545" s="518"/>
      <c r="AI545" s="518"/>
      <c r="AJ545" s="518"/>
      <c r="AK545" s="518"/>
      <c r="AL545" s="518"/>
      <c r="AM545" s="518"/>
      <c r="AN545" s="518"/>
      <c r="AO545" s="518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</row>
    <row r="546" spans="1:57" ht="12.75" customHeight="1">
      <c r="A546" s="518"/>
      <c r="B546" s="518"/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  <c r="AB546" s="518"/>
      <c r="AC546" s="518"/>
      <c r="AD546" s="518"/>
      <c r="AE546" s="518"/>
      <c r="AF546" s="518"/>
      <c r="AG546" s="518"/>
      <c r="AH546" s="518"/>
      <c r="AI546" s="518"/>
      <c r="AJ546" s="518"/>
      <c r="AK546" s="518"/>
      <c r="AL546" s="518"/>
      <c r="AM546" s="518"/>
      <c r="AN546" s="518"/>
      <c r="AO546" s="518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</row>
    <row r="547" spans="1:57" ht="12.75" customHeight="1">
      <c r="A547" s="518"/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</row>
    <row r="548" spans="1:57" ht="12.75" customHeight="1">
      <c r="A548" s="518"/>
      <c r="B548" s="518"/>
      <c r="C548" s="518"/>
      <c r="D548" s="518"/>
      <c r="E548" s="518"/>
      <c r="F548" s="518"/>
      <c r="G548" s="518"/>
      <c r="H548" s="518"/>
      <c r="I548" s="518"/>
      <c r="J548" s="518"/>
      <c r="K548" s="518"/>
      <c r="L548" s="518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  <c r="AB548" s="518"/>
      <c r="AC548" s="518"/>
      <c r="AD548" s="518"/>
      <c r="AE548" s="518"/>
      <c r="AF548" s="518"/>
      <c r="AG548" s="518"/>
      <c r="AH548" s="518"/>
      <c r="AI548" s="518"/>
      <c r="AJ548" s="518"/>
      <c r="AK548" s="518"/>
      <c r="AL548" s="518"/>
      <c r="AM548" s="518"/>
      <c r="AN548" s="518"/>
      <c r="AO548" s="518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</row>
    <row r="549" spans="1:57" ht="12.75" customHeight="1">
      <c r="A549" s="518"/>
      <c r="B549" s="518"/>
      <c r="C549" s="518"/>
      <c r="D549" s="518"/>
      <c r="E549" s="518"/>
      <c r="F549" s="518"/>
      <c r="G549" s="518"/>
      <c r="H549" s="518"/>
      <c r="I549" s="518"/>
      <c r="J549" s="518"/>
      <c r="K549" s="518"/>
      <c r="L549" s="518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  <c r="AB549" s="518"/>
      <c r="AC549" s="518"/>
      <c r="AD549" s="518"/>
      <c r="AE549" s="518"/>
      <c r="AF549" s="518"/>
      <c r="AG549" s="518"/>
      <c r="AH549" s="518"/>
      <c r="AI549" s="518"/>
      <c r="AJ549" s="518"/>
      <c r="AK549" s="518"/>
      <c r="AL549" s="518"/>
      <c r="AM549" s="518"/>
      <c r="AN549" s="518"/>
      <c r="AO549" s="518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</row>
    <row r="550" spans="1:57" ht="12.75" customHeight="1">
      <c r="A550" s="518"/>
      <c r="B550" s="518"/>
      <c r="C550" s="518"/>
      <c r="D550" s="518"/>
      <c r="E550" s="518"/>
      <c r="F550" s="518"/>
      <c r="G550" s="518"/>
      <c r="H550" s="518"/>
      <c r="I550" s="518"/>
      <c r="J550" s="518"/>
      <c r="K550" s="518"/>
      <c r="L550" s="518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  <c r="AB550" s="518"/>
      <c r="AC550" s="518"/>
      <c r="AD550" s="518"/>
      <c r="AE550" s="518"/>
      <c r="AF550" s="518"/>
      <c r="AG550" s="518"/>
      <c r="AH550" s="518"/>
      <c r="AI550" s="518"/>
      <c r="AJ550" s="518"/>
      <c r="AK550" s="518"/>
      <c r="AL550" s="518"/>
      <c r="AM550" s="518"/>
      <c r="AN550" s="518"/>
      <c r="AO550" s="518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</row>
    <row r="551" spans="1:57" ht="12.75" customHeight="1">
      <c r="A551" s="518"/>
      <c r="B551" s="518"/>
      <c r="C551" s="518"/>
      <c r="D551" s="518"/>
      <c r="E551" s="518"/>
      <c r="F551" s="518"/>
      <c r="G551" s="518"/>
      <c r="H551" s="518"/>
      <c r="I551" s="518"/>
      <c r="J551" s="518"/>
      <c r="K551" s="518"/>
      <c r="L551" s="518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  <c r="AB551" s="518"/>
      <c r="AC551" s="518"/>
      <c r="AD551" s="518"/>
      <c r="AE551" s="518"/>
      <c r="AF551" s="518"/>
      <c r="AG551" s="518"/>
      <c r="AH551" s="518"/>
      <c r="AI551" s="518"/>
      <c r="AJ551" s="518"/>
      <c r="AK551" s="518"/>
      <c r="AL551" s="518"/>
      <c r="AM551" s="518"/>
      <c r="AN551" s="518"/>
      <c r="AO551" s="518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</row>
    <row r="552" spans="1:57" ht="12.75" customHeight="1">
      <c r="A552" s="518"/>
      <c r="B552" s="518"/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  <c r="AB552" s="518"/>
      <c r="AC552" s="518"/>
      <c r="AD552" s="518"/>
      <c r="AE552" s="518"/>
      <c r="AF552" s="518"/>
      <c r="AG552" s="518"/>
      <c r="AH552" s="518"/>
      <c r="AI552" s="518"/>
      <c r="AJ552" s="518"/>
      <c r="AK552" s="518"/>
      <c r="AL552" s="518"/>
      <c r="AM552" s="518"/>
      <c r="AN552" s="518"/>
      <c r="AO552" s="518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</row>
    <row r="553" spans="1:57" ht="12.75" customHeight="1">
      <c r="A553" s="518"/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</row>
    <row r="554" spans="1:57" ht="12.75" customHeight="1">
      <c r="A554" s="518"/>
      <c r="B554" s="518"/>
      <c r="C554" s="518"/>
      <c r="D554" s="518"/>
      <c r="E554" s="518"/>
      <c r="F554" s="518"/>
      <c r="G554" s="518"/>
      <c r="H554" s="518"/>
      <c r="I554" s="518"/>
      <c r="J554" s="518"/>
      <c r="K554" s="518"/>
      <c r="L554" s="518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  <c r="AB554" s="518"/>
      <c r="AC554" s="518"/>
      <c r="AD554" s="518"/>
      <c r="AE554" s="518"/>
      <c r="AF554" s="518"/>
      <c r="AG554" s="518"/>
      <c r="AH554" s="518"/>
      <c r="AI554" s="518"/>
      <c r="AJ554" s="518"/>
      <c r="AK554" s="518"/>
      <c r="AL554" s="518"/>
      <c r="AM554" s="518"/>
      <c r="AN554" s="518"/>
      <c r="AO554" s="518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</row>
    <row r="555" spans="1:57" ht="12.75" customHeight="1">
      <c r="A555" s="518"/>
      <c r="B555" s="518"/>
      <c r="C555" s="518"/>
      <c r="D555" s="518"/>
      <c r="E555" s="518"/>
      <c r="F555" s="518"/>
      <c r="G555" s="518"/>
      <c r="H555" s="518"/>
      <c r="I555" s="518"/>
      <c r="J555" s="518"/>
      <c r="K555" s="518"/>
      <c r="L555" s="518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  <c r="AB555" s="518"/>
      <c r="AC555" s="518"/>
      <c r="AD555" s="518"/>
      <c r="AE555" s="518"/>
      <c r="AF555" s="518"/>
      <c r="AG555" s="518"/>
      <c r="AH555" s="518"/>
      <c r="AI555" s="518"/>
      <c r="AJ555" s="518"/>
      <c r="AK555" s="518"/>
      <c r="AL555" s="518"/>
      <c r="AM555" s="518"/>
      <c r="AN555" s="518"/>
      <c r="AO555" s="518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</row>
    <row r="556" spans="1:57" ht="12.75" customHeight="1">
      <c r="A556" s="518"/>
      <c r="B556" s="518"/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  <c r="AB556" s="518"/>
      <c r="AC556" s="518"/>
      <c r="AD556" s="518"/>
      <c r="AE556" s="518"/>
      <c r="AF556" s="518"/>
      <c r="AG556" s="518"/>
      <c r="AH556" s="518"/>
      <c r="AI556" s="518"/>
      <c r="AJ556" s="518"/>
      <c r="AK556" s="518"/>
      <c r="AL556" s="518"/>
      <c r="AM556" s="518"/>
      <c r="AN556" s="518"/>
      <c r="AO556" s="518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</row>
    <row r="557" spans="1:57" ht="12.75" customHeight="1">
      <c r="A557" s="518"/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</row>
    <row r="558" spans="1:57" ht="12.75" customHeight="1">
      <c r="A558" s="518"/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</row>
    <row r="559" spans="1:57" ht="12.75" customHeight="1">
      <c r="A559" s="518"/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</row>
    <row r="560" spans="1:57" ht="12.75" customHeight="1">
      <c r="A560" s="518"/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</row>
    <row r="561" spans="1:57" ht="12.75" customHeight="1">
      <c r="A561" s="518"/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</row>
    <row r="562" spans="1:57" ht="12.75" customHeight="1">
      <c r="A562" s="518"/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</row>
    <row r="563" spans="1:57" ht="12.75" customHeight="1">
      <c r="A563" s="518"/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</row>
    <row r="564" spans="1:57" ht="12.75" customHeight="1">
      <c r="A564" s="518"/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</row>
    <row r="565" spans="1:57" ht="12.75" customHeight="1">
      <c r="A565" s="518"/>
      <c r="B565" s="518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</row>
    <row r="566" spans="1:57" ht="12.75" customHeight="1">
      <c r="A566" s="518"/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</row>
    <row r="567" spans="1:57" ht="12.75" customHeight="1">
      <c r="A567" s="518"/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</row>
    <row r="568" spans="1:57" ht="12.75" customHeight="1">
      <c r="A568" s="518"/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</row>
    <row r="569" spans="1:57" ht="12.75" customHeight="1">
      <c r="A569" s="518"/>
      <c r="B569" s="518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</row>
    <row r="570" spans="1:57" ht="12.75" customHeight="1">
      <c r="A570" s="518"/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</row>
    <row r="571" spans="1:57" ht="12.75" customHeight="1">
      <c r="A571" s="518"/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</row>
    <row r="572" spans="1:57" ht="12.75" customHeight="1">
      <c r="A572" s="518"/>
      <c r="B572" s="518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</row>
    <row r="573" spans="1:57" ht="12.75" customHeight="1">
      <c r="A573" s="518"/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</row>
    <row r="574" spans="1:57" ht="12.75" customHeight="1">
      <c r="A574" s="518"/>
      <c r="B574" s="518"/>
      <c r="C574" s="518"/>
      <c r="D574" s="518"/>
      <c r="E574" s="518"/>
      <c r="F574" s="518"/>
      <c r="G574" s="518"/>
      <c r="H574" s="518"/>
      <c r="I574" s="518"/>
      <c r="J574" s="518"/>
      <c r="K574" s="518"/>
      <c r="L574" s="518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  <c r="AB574" s="518"/>
      <c r="AC574" s="518"/>
      <c r="AD574" s="518"/>
      <c r="AE574" s="518"/>
      <c r="AF574" s="518"/>
      <c r="AG574" s="518"/>
      <c r="AH574" s="518"/>
      <c r="AI574" s="518"/>
      <c r="AJ574" s="518"/>
      <c r="AK574" s="518"/>
      <c r="AL574" s="518"/>
      <c r="AM574" s="518"/>
      <c r="AN574" s="518"/>
      <c r="AO574" s="518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</row>
    <row r="575" spans="1:57" ht="12.75" customHeight="1">
      <c r="A575" s="518"/>
      <c r="B575" s="518"/>
      <c r="C575" s="518"/>
      <c r="D575" s="518"/>
      <c r="E575" s="518"/>
      <c r="F575" s="518"/>
      <c r="G575" s="518"/>
      <c r="H575" s="518"/>
      <c r="I575" s="518"/>
      <c r="J575" s="518"/>
      <c r="K575" s="518"/>
      <c r="L575" s="518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  <c r="AB575" s="518"/>
      <c r="AC575" s="518"/>
      <c r="AD575" s="518"/>
      <c r="AE575" s="518"/>
      <c r="AF575" s="518"/>
      <c r="AG575" s="518"/>
      <c r="AH575" s="518"/>
      <c r="AI575" s="518"/>
      <c r="AJ575" s="518"/>
      <c r="AK575" s="518"/>
      <c r="AL575" s="518"/>
      <c r="AM575" s="518"/>
      <c r="AN575" s="518"/>
      <c r="AO575" s="518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</row>
    <row r="576" spans="1:57" ht="12.75" customHeight="1">
      <c r="A576" s="518"/>
      <c r="B576" s="518"/>
      <c r="C576" s="518"/>
      <c r="D576" s="518"/>
      <c r="E576" s="518"/>
      <c r="F576" s="518"/>
      <c r="G576" s="518"/>
      <c r="H576" s="518"/>
      <c r="I576" s="518"/>
      <c r="J576" s="518"/>
      <c r="K576" s="518"/>
      <c r="L576" s="518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  <c r="AB576" s="518"/>
      <c r="AC576" s="518"/>
      <c r="AD576" s="518"/>
      <c r="AE576" s="518"/>
      <c r="AF576" s="518"/>
      <c r="AG576" s="518"/>
      <c r="AH576" s="518"/>
      <c r="AI576" s="518"/>
      <c r="AJ576" s="518"/>
      <c r="AK576" s="518"/>
      <c r="AL576" s="518"/>
      <c r="AM576" s="518"/>
      <c r="AN576" s="518"/>
      <c r="AO576" s="51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</row>
    <row r="577" spans="1:57" ht="12.75" customHeight="1">
      <c r="A577" s="518"/>
      <c r="B577" s="518"/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  <c r="AB577" s="518"/>
      <c r="AC577" s="518"/>
      <c r="AD577" s="518"/>
      <c r="AE577" s="518"/>
      <c r="AF577" s="518"/>
      <c r="AG577" s="518"/>
      <c r="AH577" s="518"/>
      <c r="AI577" s="518"/>
      <c r="AJ577" s="518"/>
      <c r="AK577" s="518"/>
      <c r="AL577" s="518"/>
      <c r="AM577" s="518"/>
      <c r="AN577" s="518"/>
      <c r="AO577" s="51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</row>
    <row r="578" spans="1:57" ht="12.75" customHeight="1">
      <c r="A578" s="518"/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</row>
    <row r="579" spans="1:57" ht="12.75" customHeight="1">
      <c r="A579" s="518"/>
      <c r="B579" s="518"/>
      <c r="C579" s="518"/>
      <c r="D579" s="518"/>
      <c r="E579" s="518"/>
      <c r="F579" s="518"/>
      <c r="G579" s="518"/>
      <c r="H579" s="518"/>
      <c r="I579" s="518"/>
      <c r="J579" s="518"/>
      <c r="K579" s="518"/>
      <c r="L579" s="518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  <c r="AB579" s="518"/>
      <c r="AC579" s="518"/>
      <c r="AD579" s="518"/>
      <c r="AE579" s="518"/>
      <c r="AF579" s="518"/>
      <c r="AG579" s="518"/>
      <c r="AH579" s="518"/>
      <c r="AI579" s="518"/>
      <c r="AJ579" s="518"/>
      <c r="AK579" s="518"/>
      <c r="AL579" s="518"/>
      <c r="AM579" s="518"/>
      <c r="AN579" s="518"/>
      <c r="AO579" s="51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</row>
    <row r="580" spans="1:57" ht="12.75" customHeight="1">
      <c r="A580" s="518"/>
      <c r="B580" s="518"/>
      <c r="C580" s="518"/>
      <c r="D580" s="518"/>
      <c r="E580" s="518"/>
      <c r="F580" s="518"/>
      <c r="G580" s="518"/>
      <c r="H580" s="518"/>
      <c r="I580" s="518"/>
      <c r="J580" s="518"/>
      <c r="K580" s="518"/>
      <c r="L580" s="518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  <c r="AB580" s="518"/>
      <c r="AC580" s="518"/>
      <c r="AD580" s="518"/>
      <c r="AE580" s="518"/>
      <c r="AF580" s="518"/>
      <c r="AG580" s="518"/>
      <c r="AH580" s="518"/>
      <c r="AI580" s="518"/>
      <c r="AJ580" s="518"/>
      <c r="AK580" s="518"/>
      <c r="AL580" s="518"/>
      <c r="AM580" s="518"/>
      <c r="AN580" s="518"/>
      <c r="AO580" s="51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</row>
    <row r="581" spans="1:57" ht="12.75" customHeight="1">
      <c r="A581" s="518"/>
      <c r="B581" s="518"/>
      <c r="C581" s="518"/>
      <c r="D581" s="518"/>
      <c r="E581" s="518"/>
      <c r="F581" s="518"/>
      <c r="G581" s="518"/>
      <c r="H581" s="518"/>
      <c r="I581" s="518"/>
      <c r="J581" s="518"/>
      <c r="K581" s="518"/>
      <c r="L581" s="518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  <c r="AB581" s="518"/>
      <c r="AC581" s="518"/>
      <c r="AD581" s="518"/>
      <c r="AE581" s="518"/>
      <c r="AF581" s="518"/>
      <c r="AG581" s="518"/>
      <c r="AH581" s="518"/>
      <c r="AI581" s="518"/>
      <c r="AJ581" s="518"/>
      <c r="AK581" s="518"/>
      <c r="AL581" s="518"/>
      <c r="AM581" s="518"/>
      <c r="AN581" s="518"/>
      <c r="AO581" s="51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</row>
    <row r="582" spans="1:57" ht="12.75" customHeight="1">
      <c r="A582" s="518"/>
      <c r="B582" s="518"/>
      <c r="C582" s="518"/>
      <c r="D582" s="518"/>
      <c r="E582" s="518"/>
      <c r="F582" s="518"/>
      <c r="G582" s="518"/>
      <c r="H582" s="518"/>
      <c r="I582" s="518"/>
      <c r="J582" s="518"/>
      <c r="K582" s="518"/>
      <c r="L582" s="518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  <c r="AB582" s="518"/>
      <c r="AC582" s="518"/>
      <c r="AD582" s="518"/>
      <c r="AE582" s="518"/>
      <c r="AF582" s="518"/>
      <c r="AG582" s="518"/>
      <c r="AH582" s="518"/>
      <c r="AI582" s="518"/>
      <c r="AJ582" s="518"/>
      <c r="AK582" s="518"/>
      <c r="AL582" s="518"/>
      <c r="AM582" s="518"/>
      <c r="AN582" s="518"/>
      <c r="AO582" s="51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</row>
    <row r="583" spans="1:57" ht="12.75" customHeight="1">
      <c r="A583" s="518"/>
      <c r="B583" s="518"/>
      <c r="C583" s="518"/>
      <c r="D583" s="518"/>
      <c r="E583" s="518"/>
      <c r="F583" s="518"/>
      <c r="G583" s="518"/>
      <c r="H583" s="518"/>
      <c r="I583" s="518"/>
      <c r="J583" s="518"/>
      <c r="K583" s="518"/>
      <c r="L583" s="518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  <c r="AB583" s="518"/>
      <c r="AC583" s="518"/>
      <c r="AD583" s="518"/>
      <c r="AE583" s="518"/>
      <c r="AF583" s="518"/>
      <c r="AG583" s="518"/>
      <c r="AH583" s="518"/>
      <c r="AI583" s="518"/>
      <c r="AJ583" s="518"/>
      <c r="AK583" s="518"/>
      <c r="AL583" s="518"/>
      <c r="AM583" s="518"/>
      <c r="AN583" s="518"/>
      <c r="AO583" s="51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</row>
    <row r="584" spans="1:57" ht="12.75" customHeight="1">
      <c r="A584" s="518"/>
      <c r="B584" s="518"/>
      <c r="C584" s="518"/>
      <c r="D584" s="518"/>
      <c r="E584" s="518"/>
      <c r="F584" s="518"/>
      <c r="G584" s="518"/>
      <c r="H584" s="518"/>
      <c r="I584" s="518"/>
      <c r="J584" s="518"/>
      <c r="K584" s="518"/>
      <c r="L584" s="518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  <c r="AB584" s="518"/>
      <c r="AC584" s="518"/>
      <c r="AD584" s="518"/>
      <c r="AE584" s="518"/>
      <c r="AF584" s="518"/>
      <c r="AG584" s="518"/>
      <c r="AH584" s="518"/>
      <c r="AI584" s="518"/>
      <c r="AJ584" s="518"/>
      <c r="AK584" s="518"/>
      <c r="AL584" s="518"/>
      <c r="AM584" s="518"/>
      <c r="AN584" s="518"/>
      <c r="AO584" s="51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</row>
    <row r="585" spans="1:57" ht="12.75" customHeight="1">
      <c r="A585" s="518"/>
      <c r="B585" s="518"/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  <c r="AB585" s="518"/>
      <c r="AC585" s="518"/>
      <c r="AD585" s="518"/>
      <c r="AE585" s="518"/>
      <c r="AF585" s="518"/>
      <c r="AG585" s="518"/>
      <c r="AH585" s="518"/>
      <c r="AI585" s="518"/>
      <c r="AJ585" s="518"/>
      <c r="AK585" s="518"/>
      <c r="AL585" s="518"/>
      <c r="AM585" s="518"/>
      <c r="AN585" s="518"/>
      <c r="AO585" s="51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</row>
    <row r="586" spans="1:57" ht="12.75" customHeight="1">
      <c r="A586" s="518"/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</row>
    <row r="587" spans="1:57" ht="12.75" customHeight="1">
      <c r="A587" s="518"/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</row>
    <row r="588" spans="1:57" ht="12.75" customHeight="1">
      <c r="A588" s="518"/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</row>
    <row r="589" spans="1:57" ht="12.75" customHeight="1">
      <c r="A589" s="518"/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</row>
    <row r="590" spans="1:57" ht="12.75" customHeight="1">
      <c r="A590" s="518"/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</row>
    <row r="591" spans="1:57" ht="12.75" customHeight="1">
      <c r="A591" s="518"/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</row>
    <row r="592" spans="1:57" ht="12.75" customHeight="1">
      <c r="A592" s="518"/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</row>
    <row r="593" spans="1:57" ht="12.75" customHeight="1">
      <c r="A593" s="518"/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</row>
    <row r="594" spans="1:57" ht="12.75" customHeight="1">
      <c r="A594" s="518"/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</row>
    <row r="595" spans="1:57" ht="12.75" customHeight="1">
      <c r="A595" s="518"/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</row>
    <row r="596" spans="1:57" ht="12.75" customHeight="1">
      <c r="A596" s="518"/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</row>
    <row r="597" spans="1:57" ht="12.75" customHeight="1">
      <c r="A597" s="518"/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</row>
    <row r="598" spans="1:57" ht="12.75" customHeight="1">
      <c r="A598" s="518"/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</row>
    <row r="599" spans="1:57" ht="12.75" customHeight="1">
      <c r="A599" s="518"/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</row>
    <row r="600" spans="1:57" ht="12.75" customHeight="1">
      <c r="A600" s="518"/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</row>
    <row r="601" spans="1:57" ht="12.75" customHeight="1">
      <c r="A601" s="518"/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</row>
    <row r="602" spans="1:57" ht="12.75" customHeight="1">
      <c r="A602" s="518"/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</row>
    <row r="603" spans="1:57" ht="12.75" customHeight="1">
      <c r="A603" s="518"/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</row>
    <row r="604" spans="1:57" ht="12.75" customHeight="1">
      <c r="A604" s="518"/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</row>
    <row r="605" spans="1:57" ht="12.75" customHeight="1">
      <c r="A605" s="518"/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</row>
    <row r="606" spans="1:57" ht="12.75" customHeight="1">
      <c r="A606" s="518"/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</row>
    <row r="607" spans="1:57" ht="12.75" customHeight="1">
      <c r="A607" s="518"/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</row>
    <row r="608" spans="1:57" ht="12.75" customHeight="1">
      <c r="A608" s="518"/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</row>
    <row r="609" spans="1:57" ht="12.75" customHeight="1">
      <c r="A609" s="518"/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</row>
    <row r="610" spans="1:57" ht="12.75" customHeight="1">
      <c r="A610" s="518"/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</row>
    <row r="611" spans="1:57" ht="12.75" customHeight="1">
      <c r="A611" s="518"/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</row>
    <row r="612" spans="1:57" ht="12.75" customHeight="1">
      <c r="A612" s="518"/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</row>
    <row r="613" spans="1:57" ht="12.75" customHeight="1">
      <c r="A613" s="518"/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</row>
    <row r="614" spans="1:57" ht="12.75" customHeight="1">
      <c r="A614" s="518"/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</row>
    <row r="615" spans="1:57" ht="12.75" customHeight="1">
      <c r="A615" s="518"/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</row>
    <row r="616" spans="1:57" ht="12.75" customHeight="1">
      <c r="A616" s="518"/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</row>
    <row r="617" spans="1:57" ht="12.75" customHeight="1">
      <c r="A617" s="518"/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</row>
    <row r="618" spans="1:57" ht="12.75" customHeight="1">
      <c r="A618" s="518"/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</row>
    <row r="619" spans="1:57" ht="12.75" customHeight="1">
      <c r="A619" s="518"/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</row>
    <row r="620" spans="1:57" ht="12.75" customHeight="1">
      <c r="A620" s="518"/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</row>
    <row r="621" spans="1:57" ht="12.75" customHeight="1">
      <c r="A621" s="518"/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</row>
    <row r="622" spans="1:57" ht="12.75" customHeight="1">
      <c r="A622" s="518"/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</row>
    <row r="623" spans="1:57" ht="12.75" customHeight="1">
      <c r="A623" s="518"/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</row>
    <row r="624" spans="1:57" ht="12.75" customHeight="1">
      <c r="A624" s="518"/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</row>
    <row r="625" spans="1:57" ht="12.75" customHeight="1">
      <c r="A625" s="518"/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</row>
    <row r="626" spans="1:57" ht="12.75" customHeight="1">
      <c r="A626" s="518"/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</row>
    <row r="627" spans="1:57" ht="12.75" customHeight="1">
      <c r="A627" s="518"/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</row>
    <row r="628" spans="1:57" ht="12.75" customHeight="1">
      <c r="A628" s="518"/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</row>
    <row r="629" spans="1:57" ht="12.75" customHeight="1">
      <c r="A629" s="518"/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</row>
    <row r="630" spans="1:57" ht="12.75" customHeight="1">
      <c r="A630" s="518"/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</row>
    <row r="631" spans="1:57" ht="12.75" customHeight="1">
      <c r="A631" s="518"/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</row>
    <row r="632" spans="1:57" ht="12.75" customHeight="1">
      <c r="A632" s="518"/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</row>
    <row r="633" spans="1:57" ht="12.75" customHeight="1">
      <c r="A633" s="518"/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</row>
    <row r="634" spans="1:57" ht="12.75" customHeight="1">
      <c r="A634" s="518"/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</row>
    <row r="635" spans="1:57" ht="12.75" customHeight="1">
      <c r="A635" s="518"/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</row>
    <row r="636" spans="1:57" ht="12.75" customHeight="1">
      <c r="A636" s="518"/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</row>
    <row r="637" spans="1:57" ht="12.75" customHeight="1">
      <c r="A637" s="518"/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</row>
    <row r="638" spans="1:57" ht="12.75" customHeight="1">
      <c r="A638" s="518"/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</row>
    <row r="639" spans="1:57" ht="12.75" customHeight="1">
      <c r="A639" s="518"/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</row>
    <row r="640" spans="1:57" ht="12.75" customHeight="1">
      <c r="A640" s="518"/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</row>
    <row r="641" spans="1:57" ht="12.75" customHeight="1">
      <c r="A641" s="518"/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</row>
    <row r="642" spans="1:57" ht="12.75" customHeight="1">
      <c r="A642" s="518"/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</row>
    <row r="643" spans="1:57" ht="12.75" customHeight="1">
      <c r="A643" s="518"/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</row>
    <row r="644" spans="1:57" ht="12.75" customHeight="1">
      <c r="A644" s="518"/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</row>
    <row r="645" spans="1:57" ht="12.75" customHeight="1">
      <c r="A645" s="518"/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</row>
    <row r="646" spans="1:57" ht="12.75" customHeight="1">
      <c r="A646" s="518"/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</row>
    <row r="647" spans="1:57" ht="12.75" customHeight="1">
      <c r="A647" s="518"/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</row>
    <row r="648" spans="1:57" ht="12.75" customHeight="1">
      <c r="A648" s="518"/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</row>
    <row r="649" spans="1:57" ht="12.75" customHeight="1">
      <c r="A649" s="518"/>
      <c r="B649" s="518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</row>
    <row r="650" spans="1:57" ht="12.75" customHeight="1">
      <c r="A650" s="518"/>
      <c r="B650" s="518"/>
      <c r="C650" s="518"/>
      <c r="D650" s="518"/>
      <c r="E650" s="518"/>
      <c r="F650" s="518"/>
      <c r="G650" s="518"/>
      <c r="H650" s="518"/>
      <c r="I650" s="518"/>
      <c r="J650" s="518"/>
      <c r="K650" s="518"/>
      <c r="L650" s="518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  <c r="AB650" s="518"/>
      <c r="AC650" s="518"/>
      <c r="AD650" s="518"/>
      <c r="AE650" s="518"/>
      <c r="AF650" s="518"/>
      <c r="AG650" s="518"/>
      <c r="AH650" s="518"/>
      <c r="AI650" s="518"/>
      <c r="AJ650" s="518"/>
      <c r="AK650" s="518"/>
      <c r="AL650" s="518"/>
      <c r="AM650" s="518"/>
      <c r="AN650" s="518"/>
      <c r="AO650" s="518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</row>
    <row r="651" spans="1:57" ht="12.75" customHeight="1">
      <c r="A651" s="518"/>
      <c r="B651" s="518"/>
      <c r="C651" s="518"/>
      <c r="D651" s="518"/>
      <c r="E651" s="518"/>
      <c r="F651" s="518"/>
      <c r="G651" s="518"/>
      <c r="H651" s="518"/>
      <c r="I651" s="518"/>
      <c r="J651" s="518"/>
      <c r="K651" s="518"/>
      <c r="L651" s="518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  <c r="AB651" s="518"/>
      <c r="AC651" s="518"/>
      <c r="AD651" s="518"/>
      <c r="AE651" s="518"/>
      <c r="AF651" s="518"/>
      <c r="AG651" s="518"/>
      <c r="AH651" s="518"/>
      <c r="AI651" s="518"/>
      <c r="AJ651" s="518"/>
      <c r="AK651" s="518"/>
      <c r="AL651" s="518"/>
      <c r="AM651" s="518"/>
      <c r="AN651" s="518"/>
      <c r="AO651" s="518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</row>
    <row r="652" spans="1:57" ht="12.75" customHeight="1">
      <c r="A652" s="518"/>
      <c r="B652" s="518"/>
      <c r="C652" s="518"/>
      <c r="D652" s="518"/>
      <c r="E652" s="518"/>
      <c r="F652" s="518"/>
      <c r="G652" s="518"/>
      <c r="H652" s="518"/>
      <c r="I652" s="518"/>
      <c r="J652" s="518"/>
      <c r="K652" s="518"/>
      <c r="L652" s="518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  <c r="AB652" s="518"/>
      <c r="AC652" s="518"/>
      <c r="AD652" s="518"/>
      <c r="AE652" s="518"/>
      <c r="AF652" s="518"/>
      <c r="AG652" s="518"/>
      <c r="AH652" s="518"/>
      <c r="AI652" s="518"/>
      <c r="AJ652" s="518"/>
      <c r="AK652" s="518"/>
      <c r="AL652" s="518"/>
      <c r="AM652" s="518"/>
      <c r="AN652" s="518"/>
      <c r="AO652" s="518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</row>
    <row r="653" spans="1:57" ht="12.75" customHeight="1">
      <c r="A653" s="518"/>
      <c r="B653" s="518"/>
      <c r="C653" s="518"/>
      <c r="D653" s="518"/>
      <c r="E653" s="518"/>
      <c r="F653" s="518"/>
      <c r="G653" s="518"/>
      <c r="H653" s="518"/>
      <c r="I653" s="518"/>
      <c r="J653" s="518"/>
      <c r="K653" s="518"/>
      <c r="L653" s="518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  <c r="AB653" s="518"/>
      <c r="AC653" s="518"/>
      <c r="AD653" s="518"/>
      <c r="AE653" s="518"/>
      <c r="AF653" s="518"/>
      <c r="AG653" s="518"/>
      <c r="AH653" s="518"/>
      <c r="AI653" s="518"/>
      <c r="AJ653" s="518"/>
      <c r="AK653" s="518"/>
      <c r="AL653" s="518"/>
      <c r="AM653" s="518"/>
      <c r="AN653" s="518"/>
      <c r="AO653" s="51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</row>
    <row r="654" spans="1:57" ht="12.75" customHeight="1">
      <c r="A654" s="518"/>
      <c r="B654" s="518"/>
      <c r="C654" s="518"/>
      <c r="D654" s="518"/>
      <c r="E654" s="518"/>
      <c r="F654" s="518"/>
      <c r="G654" s="518"/>
      <c r="H654" s="518"/>
      <c r="I654" s="518"/>
      <c r="J654" s="518"/>
      <c r="K654" s="518"/>
      <c r="L654" s="518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  <c r="AB654" s="518"/>
      <c r="AC654" s="518"/>
      <c r="AD654" s="518"/>
      <c r="AE654" s="518"/>
      <c r="AF654" s="518"/>
      <c r="AG654" s="518"/>
      <c r="AH654" s="518"/>
      <c r="AI654" s="518"/>
      <c r="AJ654" s="518"/>
      <c r="AK654" s="518"/>
      <c r="AL654" s="518"/>
      <c r="AM654" s="518"/>
      <c r="AN654" s="518"/>
      <c r="AO654" s="518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</row>
    <row r="655" spans="1:57" ht="12.75" customHeight="1">
      <c r="A655" s="518"/>
      <c r="B655" s="518"/>
      <c r="C655" s="518"/>
      <c r="D655" s="518"/>
      <c r="E655" s="518"/>
      <c r="F655" s="518"/>
      <c r="G655" s="518"/>
      <c r="H655" s="518"/>
      <c r="I655" s="518"/>
      <c r="J655" s="518"/>
      <c r="K655" s="518"/>
      <c r="L655" s="518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  <c r="AB655" s="518"/>
      <c r="AC655" s="518"/>
      <c r="AD655" s="518"/>
      <c r="AE655" s="518"/>
      <c r="AF655" s="518"/>
      <c r="AG655" s="518"/>
      <c r="AH655" s="518"/>
      <c r="AI655" s="518"/>
      <c r="AJ655" s="518"/>
      <c r="AK655" s="518"/>
      <c r="AL655" s="518"/>
      <c r="AM655" s="518"/>
      <c r="AN655" s="518"/>
      <c r="AO655" s="51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</row>
    <row r="656" spans="1:57" ht="12.75" customHeight="1">
      <c r="A656" s="518"/>
      <c r="B656" s="518"/>
      <c r="C656" s="518"/>
      <c r="D656" s="518"/>
      <c r="E656" s="518"/>
      <c r="F656" s="518"/>
      <c r="G656" s="518"/>
      <c r="H656" s="518"/>
      <c r="I656" s="518"/>
      <c r="J656" s="518"/>
      <c r="K656" s="518"/>
      <c r="L656" s="518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  <c r="AB656" s="518"/>
      <c r="AC656" s="518"/>
      <c r="AD656" s="518"/>
      <c r="AE656" s="518"/>
      <c r="AF656" s="518"/>
      <c r="AG656" s="518"/>
      <c r="AH656" s="518"/>
      <c r="AI656" s="518"/>
      <c r="AJ656" s="518"/>
      <c r="AK656" s="518"/>
      <c r="AL656" s="518"/>
      <c r="AM656" s="518"/>
      <c r="AN656" s="518"/>
      <c r="AO656" s="51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</row>
    <row r="657" spans="1:57" ht="12.75" customHeight="1">
      <c r="A657" s="518"/>
      <c r="B657" s="518"/>
      <c r="C657" s="518"/>
      <c r="D657" s="518"/>
      <c r="E657" s="518"/>
      <c r="F657" s="518"/>
      <c r="G657" s="518"/>
      <c r="H657" s="518"/>
      <c r="I657" s="518"/>
      <c r="J657" s="518"/>
      <c r="K657" s="518"/>
      <c r="L657" s="518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  <c r="AB657" s="518"/>
      <c r="AC657" s="518"/>
      <c r="AD657" s="518"/>
      <c r="AE657" s="518"/>
      <c r="AF657" s="518"/>
      <c r="AG657" s="518"/>
      <c r="AH657" s="518"/>
      <c r="AI657" s="518"/>
      <c r="AJ657" s="518"/>
      <c r="AK657" s="518"/>
      <c r="AL657" s="518"/>
      <c r="AM657" s="518"/>
      <c r="AN657" s="518"/>
      <c r="AO657" s="51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</row>
    <row r="658" spans="1:57" ht="12.75" customHeight="1">
      <c r="A658" s="518"/>
      <c r="B658" s="518"/>
      <c r="C658" s="518"/>
      <c r="D658" s="518"/>
      <c r="E658" s="518"/>
      <c r="F658" s="518"/>
      <c r="G658" s="518"/>
      <c r="H658" s="518"/>
      <c r="I658" s="518"/>
      <c r="J658" s="518"/>
      <c r="K658" s="518"/>
      <c r="L658" s="518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  <c r="AB658" s="518"/>
      <c r="AC658" s="518"/>
      <c r="AD658" s="518"/>
      <c r="AE658" s="518"/>
      <c r="AF658" s="518"/>
      <c r="AG658" s="518"/>
      <c r="AH658" s="518"/>
      <c r="AI658" s="518"/>
      <c r="AJ658" s="518"/>
      <c r="AK658" s="518"/>
      <c r="AL658" s="518"/>
      <c r="AM658" s="518"/>
      <c r="AN658" s="518"/>
      <c r="AO658" s="51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</row>
    <row r="659" spans="1:57" ht="12.75" customHeight="1">
      <c r="A659" s="518"/>
      <c r="B659" s="518"/>
      <c r="C659" s="518"/>
      <c r="D659" s="518"/>
      <c r="E659" s="518"/>
      <c r="F659" s="518"/>
      <c r="G659" s="518"/>
      <c r="H659" s="518"/>
      <c r="I659" s="518"/>
      <c r="J659" s="518"/>
      <c r="K659" s="518"/>
      <c r="L659" s="518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  <c r="AB659" s="518"/>
      <c r="AC659" s="518"/>
      <c r="AD659" s="518"/>
      <c r="AE659" s="518"/>
      <c r="AF659" s="518"/>
      <c r="AG659" s="518"/>
      <c r="AH659" s="518"/>
      <c r="AI659" s="518"/>
      <c r="AJ659" s="518"/>
      <c r="AK659" s="518"/>
      <c r="AL659" s="518"/>
      <c r="AM659" s="518"/>
      <c r="AN659" s="518"/>
      <c r="AO659" s="51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</row>
    <row r="660" spans="1:57" ht="12.75" customHeight="1">
      <c r="A660" s="518"/>
      <c r="B660" s="518"/>
      <c r="C660" s="518"/>
      <c r="D660" s="518"/>
      <c r="E660" s="518"/>
      <c r="F660" s="518"/>
      <c r="G660" s="518"/>
      <c r="H660" s="518"/>
      <c r="I660" s="518"/>
      <c r="J660" s="518"/>
      <c r="K660" s="518"/>
      <c r="L660" s="518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  <c r="AB660" s="518"/>
      <c r="AC660" s="518"/>
      <c r="AD660" s="518"/>
      <c r="AE660" s="518"/>
      <c r="AF660" s="518"/>
      <c r="AG660" s="518"/>
      <c r="AH660" s="518"/>
      <c r="AI660" s="518"/>
      <c r="AJ660" s="518"/>
      <c r="AK660" s="518"/>
      <c r="AL660" s="518"/>
      <c r="AM660" s="518"/>
      <c r="AN660" s="518"/>
      <c r="AO660" s="51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</row>
    <row r="661" spans="1:57" ht="12.75" customHeight="1">
      <c r="A661" s="518"/>
      <c r="B661" s="518"/>
      <c r="C661" s="518"/>
      <c r="D661" s="518"/>
      <c r="E661" s="518"/>
      <c r="F661" s="518"/>
      <c r="G661" s="518"/>
      <c r="H661" s="518"/>
      <c r="I661" s="518"/>
      <c r="J661" s="518"/>
      <c r="K661" s="518"/>
      <c r="L661" s="518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  <c r="AB661" s="518"/>
      <c r="AC661" s="518"/>
      <c r="AD661" s="518"/>
      <c r="AE661" s="518"/>
      <c r="AF661" s="518"/>
      <c r="AG661" s="518"/>
      <c r="AH661" s="518"/>
      <c r="AI661" s="518"/>
      <c r="AJ661" s="518"/>
      <c r="AK661" s="518"/>
      <c r="AL661" s="518"/>
      <c r="AM661" s="518"/>
      <c r="AN661" s="518"/>
      <c r="AO661" s="518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</row>
    <row r="662" spans="1:57" ht="12.75" customHeight="1">
      <c r="A662" s="518"/>
      <c r="B662" s="518"/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  <c r="AB662" s="518"/>
      <c r="AC662" s="518"/>
      <c r="AD662" s="518"/>
      <c r="AE662" s="518"/>
      <c r="AF662" s="518"/>
      <c r="AG662" s="518"/>
      <c r="AH662" s="518"/>
      <c r="AI662" s="518"/>
      <c r="AJ662" s="518"/>
      <c r="AK662" s="518"/>
      <c r="AL662" s="518"/>
      <c r="AM662" s="518"/>
      <c r="AN662" s="518"/>
      <c r="AO662" s="51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</row>
    <row r="663" spans="1:57" ht="12.75" customHeight="1">
      <c r="A663" s="518"/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</row>
    <row r="664" spans="1:57" ht="12.75" customHeight="1">
      <c r="A664" s="518"/>
      <c r="B664" s="518"/>
      <c r="C664" s="518"/>
      <c r="D664" s="518"/>
      <c r="E664" s="518"/>
      <c r="F664" s="518"/>
      <c r="G664" s="518"/>
      <c r="H664" s="518"/>
      <c r="I664" s="518"/>
      <c r="J664" s="518"/>
      <c r="K664" s="518"/>
      <c r="L664" s="518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  <c r="AB664" s="518"/>
      <c r="AC664" s="518"/>
      <c r="AD664" s="518"/>
      <c r="AE664" s="518"/>
      <c r="AF664" s="518"/>
      <c r="AG664" s="518"/>
      <c r="AH664" s="518"/>
      <c r="AI664" s="518"/>
      <c r="AJ664" s="518"/>
      <c r="AK664" s="518"/>
      <c r="AL664" s="518"/>
      <c r="AM664" s="518"/>
      <c r="AN664" s="518"/>
      <c r="AO664" s="518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</row>
    <row r="665" spans="1:57" ht="12.75" customHeight="1">
      <c r="A665" s="518"/>
      <c r="B665" s="518"/>
      <c r="C665" s="518"/>
      <c r="D665" s="518"/>
      <c r="E665" s="518"/>
      <c r="F665" s="518"/>
      <c r="G665" s="518"/>
      <c r="H665" s="518"/>
      <c r="I665" s="518"/>
      <c r="J665" s="518"/>
      <c r="K665" s="518"/>
      <c r="L665" s="518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  <c r="AB665" s="518"/>
      <c r="AC665" s="518"/>
      <c r="AD665" s="518"/>
      <c r="AE665" s="518"/>
      <c r="AF665" s="518"/>
      <c r="AG665" s="518"/>
      <c r="AH665" s="518"/>
      <c r="AI665" s="518"/>
      <c r="AJ665" s="518"/>
      <c r="AK665" s="518"/>
      <c r="AL665" s="518"/>
      <c r="AM665" s="518"/>
      <c r="AN665" s="518"/>
      <c r="AO665" s="51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</row>
    <row r="666" spans="1:57" ht="12.75" customHeight="1">
      <c r="A666" s="518"/>
      <c r="B666" s="518"/>
      <c r="C666" s="518"/>
      <c r="D666" s="518"/>
      <c r="E666" s="518"/>
      <c r="F666" s="518"/>
      <c r="G666" s="518"/>
      <c r="H666" s="518"/>
      <c r="I666" s="518"/>
      <c r="J666" s="518"/>
      <c r="K666" s="518"/>
      <c r="L666" s="518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  <c r="AB666" s="518"/>
      <c r="AC666" s="518"/>
      <c r="AD666" s="518"/>
      <c r="AE666" s="518"/>
      <c r="AF666" s="518"/>
      <c r="AG666" s="518"/>
      <c r="AH666" s="518"/>
      <c r="AI666" s="518"/>
      <c r="AJ666" s="518"/>
      <c r="AK666" s="518"/>
      <c r="AL666" s="518"/>
      <c r="AM666" s="518"/>
      <c r="AN666" s="518"/>
      <c r="AO666" s="51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</row>
    <row r="667" spans="1:57" ht="12.75" customHeight="1">
      <c r="A667" s="518"/>
      <c r="B667" s="518"/>
      <c r="C667" s="518"/>
      <c r="D667" s="518"/>
      <c r="E667" s="518"/>
      <c r="F667" s="518"/>
      <c r="G667" s="518"/>
      <c r="H667" s="518"/>
      <c r="I667" s="518"/>
      <c r="J667" s="518"/>
      <c r="K667" s="518"/>
      <c r="L667" s="518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  <c r="AB667" s="518"/>
      <c r="AC667" s="518"/>
      <c r="AD667" s="518"/>
      <c r="AE667" s="518"/>
      <c r="AF667" s="518"/>
      <c r="AG667" s="518"/>
      <c r="AH667" s="518"/>
      <c r="AI667" s="518"/>
      <c r="AJ667" s="518"/>
      <c r="AK667" s="518"/>
      <c r="AL667" s="518"/>
      <c r="AM667" s="518"/>
      <c r="AN667" s="518"/>
      <c r="AO667" s="51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</row>
    <row r="668" spans="1:57" ht="12.75" customHeight="1">
      <c r="A668" s="518"/>
      <c r="B668" s="518"/>
      <c r="C668" s="518"/>
      <c r="D668" s="518"/>
      <c r="E668" s="518"/>
      <c r="F668" s="518"/>
      <c r="G668" s="518"/>
      <c r="H668" s="518"/>
      <c r="I668" s="518"/>
      <c r="J668" s="518"/>
      <c r="K668" s="518"/>
      <c r="L668" s="518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  <c r="AB668" s="518"/>
      <c r="AC668" s="518"/>
      <c r="AD668" s="518"/>
      <c r="AE668" s="518"/>
      <c r="AF668" s="518"/>
      <c r="AG668" s="518"/>
      <c r="AH668" s="518"/>
      <c r="AI668" s="518"/>
      <c r="AJ668" s="518"/>
      <c r="AK668" s="518"/>
      <c r="AL668" s="518"/>
      <c r="AM668" s="518"/>
      <c r="AN668" s="518"/>
      <c r="AO668" s="51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</row>
    <row r="669" spans="1:57" ht="12.75" customHeight="1">
      <c r="A669" s="518"/>
      <c r="B669" s="518"/>
      <c r="C669" s="518"/>
      <c r="D669" s="518"/>
      <c r="E669" s="518"/>
      <c r="F669" s="518"/>
      <c r="G669" s="518"/>
      <c r="H669" s="518"/>
      <c r="I669" s="518"/>
      <c r="J669" s="518"/>
      <c r="K669" s="518"/>
      <c r="L669" s="518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  <c r="AB669" s="518"/>
      <c r="AC669" s="518"/>
      <c r="AD669" s="518"/>
      <c r="AE669" s="518"/>
      <c r="AF669" s="518"/>
      <c r="AG669" s="518"/>
      <c r="AH669" s="518"/>
      <c r="AI669" s="518"/>
      <c r="AJ669" s="518"/>
      <c r="AK669" s="518"/>
      <c r="AL669" s="518"/>
      <c r="AM669" s="518"/>
      <c r="AN669" s="518"/>
      <c r="AO669" s="51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</row>
    <row r="670" spans="1:57" ht="12.75" customHeight="1">
      <c r="A670" s="518"/>
      <c r="B670" s="518"/>
      <c r="C670" s="518"/>
      <c r="D670" s="518"/>
      <c r="E670" s="518"/>
      <c r="F670" s="518"/>
      <c r="G670" s="518"/>
      <c r="H670" s="518"/>
      <c r="I670" s="518"/>
      <c r="J670" s="518"/>
      <c r="K670" s="518"/>
      <c r="L670" s="518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  <c r="AB670" s="518"/>
      <c r="AC670" s="518"/>
      <c r="AD670" s="518"/>
      <c r="AE670" s="518"/>
      <c r="AF670" s="518"/>
      <c r="AG670" s="518"/>
      <c r="AH670" s="518"/>
      <c r="AI670" s="518"/>
      <c r="AJ670" s="518"/>
      <c r="AK670" s="518"/>
      <c r="AL670" s="518"/>
      <c r="AM670" s="518"/>
      <c r="AN670" s="518"/>
      <c r="AO670" s="51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</row>
    <row r="671" spans="1:57" ht="12.75" customHeight="1">
      <c r="A671" s="518"/>
      <c r="B671" s="518"/>
      <c r="C671" s="518"/>
      <c r="D671" s="518"/>
      <c r="E671" s="518"/>
      <c r="F671" s="518"/>
      <c r="G671" s="518"/>
      <c r="H671" s="518"/>
      <c r="I671" s="518"/>
      <c r="J671" s="518"/>
      <c r="K671" s="518"/>
      <c r="L671" s="518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  <c r="AB671" s="518"/>
      <c r="AC671" s="518"/>
      <c r="AD671" s="518"/>
      <c r="AE671" s="518"/>
      <c r="AF671" s="518"/>
      <c r="AG671" s="518"/>
      <c r="AH671" s="518"/>
      <c r="AI671" s="518"/>
      <c r="AJ671" s="518"/>
      <c r="AK671" s="518"/>
      <c r="AL671" s="518"/>
      <c r="AM671" s="518"/>
      <c r="AN671" s="518"/>
      <c r="AO671" s="51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</row>
    <row r="672" spans="1:57" ht="12.75" customHeight="1">
      <c r="A672" s="518"/>
      <c r="B672" s="518"/>
      <c r="C672" s="518"/>
      <c r="D672" s="518"/>
      <c r="E672" s="518"/>
      <c r="F672" s="518"/>
      <c r="G672" s="518"/>
      <c r="H672" s="518"/>
      <c r="I672" s="518"/>
      <c r="J672" s="518"/>
      <c r="K672" s="518"/>
      <c r="L672" s="518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  <c r="AB672" s="518"/>
      <c r="AC672" s="518"/>
      <c r="AD672" s="518"/>
      <c r="AE672" s="518"/>
      <c r="AF672" s="518"/>
      <c r="AG672" s="518"/>
      <c r="AH672" s="518"/>
      <c r="AI672" s="518"/>
      <c r="AJ672" s="518"/>
      <c r="AK672" s="518"/>
      <c r="AL672" s="518"/>
      <c r="AM672" s="518"/>
      <c r="AN672" s="518"/>
      <c r="AO672" s="51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</row>
    <row r="673" spans="1:57" ht="12.75" customHeight="1">
      <c r="A673" s="518"/>
      <c r="B673" s="518"/>
      <c r="C673" s="518"/>
      <c r="D673" s="518"/>
      <c r="E673" s="518"/>
      <c r="F673" s="518"/>
      <c r="G673" s="518"/>
      <c r="H673" s="518"/>
      <c r="I673" s="518"/>
      <c r="J673" s="518"/>
      <c r="K673" s="518"/>
      <c r="L673" s="518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  <c r="AB673" s="518"/>
      <c r="AC673" s="518"/>
      <c r="AD673" s="518"/>
      <c r="AE673" s="518"/>
      <c r="AF673" s="518"/>
      <c r="AG673" s="518"/>
      <c r="AH673" s="518"/>
      <c r="AI673" s="518"/>
      <c r="AJ673" s="518"/>
      <c r="AK673" s="518"/>
      <c r="AL673" s="518"/>
      <c r="AM673" s="518"/>
      <c r="AN673" s="518"/>
      <c r="AO673" s="51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</row>
    <row r="674" spans="1:57" ht="12.75" customHeight="1">
      <c r="A674" s="518"/>
      <c r="B674" s="518"/>
      <c r="C674" s="518"/>
      <c r="D674" s="518"/>
      <c r="E674" s="518"/>
      <c r="F674" s="518"/>
      <c r="G674" s="518"/>
      <c r="H674" s="518"/>
      <c r="I674" s="518"/>
      <c r="J674" s="518"/>
      <c r="K674" s="518"/>
      <c r="L674" s="518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  <c r="AB674" s="518"/>
      <c r="AC674" s="518"/>
      <c r="AD674" s="518"/>
      <c r="AE674" s="518"/>
      <c r="AF674" s="518"/>
      <c r="AG674" s="518"/>
      <c r="AH674" s="518"/>
      <c r="AI674" s="518"/>
      <c r="AJ674" s="518"/>
      <c r="AK674" s="518"/>
      <c r="AL674" s="518"/>
      <c r="AM674" s="518"/>
      <c r="AN674" s="518"/>
      <c r="AO674" s="518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</row>
    <row r="675" spans="1:57" ht="12.75" customHeight="1">
      <c r="A675" s="518"/>
      <c r="B675" s="518"/>
      <c r="C675" s="518"/>
      <c r="D675" s="518"/>
      <c r="E675" s="518"/>
      <c r="F675" s="518"/>
      <c r="G675" s="518"/>
      <c r="H675" s="518"/>
      <c r="I675" s="518"/>
      <c r="J675" s="518"/>
      <c r="K675" s="518"/>
      <c r="L675" s="518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  <c r="AB675" s="518"/>
      <c r="AC675" s="518"/>
      <c r="AD675" s="518"/>
      <c r="AE675" s="518"/>
      <c r="AF675" s="518"/>
      <c r="AG675" s="518"/>
      <c r="AH675" s="518"/>
      <c r="AI675" s="518"/>
      <c r="AJ675" s="518"/>
      <c r="AK675" s="518"/>
      <c r="AL675" s="518"/>
      <c r="AM675" s="518"/>
      <c r="AN675" s="518"/>
      <c r="AO675" s="51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</row>
    <row r="676" spans="1:57" ht="12.75" customHeight="1">
      <c r="A676" s="518"/>
      <c r="B676" s="518"/>
      <c r="C676" s="518"/>
      <c r="D676" s="518"/>
      <c r="E676" s="518"/>
      <c r="F676" s="518"/>
      <c r="G676" s="518"/>
      <c r="H676" s="518"/>
      <c r="I676" s="518"/>
      <c r="J676" s="518"/>
      <c r="K676" s="518"/>
      <c r="L676" s="518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  <c r="AB676" s="518"/>
      <c r="AC676" s="518"/>
      <c r="AD676" s="518"/>
      <c r="AE676" s="518"/>
      <c r="AF676" s="518"/>
      <c r="AG676" s="518"/>
      <c r="AH676" s="518"/>
      <c r="AI676" s="518"/>
      <c r="AJ676" s="518"/>
      <c r="AK676" s="518"/>
      <c r="AL676" s="518"/>
      <c r="AM676" s="518"/>
      <c r="AN676" s="518"/>
      <c r="AO676" s="51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</row>
    <row r="677" spans="1:57" ht="12.75" customHeight="1">
      <c r="A677" s="518"/>
      <c r="B677" s="518"/>
      <c r="C677" s="518"/>
      <c r="D677" s="518"/>
      <c r="E677" s="518"/>
      <c r="F677" s="518"/>
      <c r="G677" s="518"/>
      <c r="H677" s="518"/>
      <c r="I677" s="518"/>
      <c r="J677" s="518"/>
      <c r="K677" s="518"/>
      <c r="L677" s="518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  <c r="AB677" s="518"/>
      <c r="AC677" s="518"/>
      <c r="AD677" s="518"/>
      <c r="AE677" s="518"/>
      <c r="AF677" s="518"/>
      <c r="AG677" s="518"/>
      <c r="AH677" s="518"/>
      <c r="AI677" s="518"/>
      <c r="AJ677" s="518"/>
      <c r="AK677" s="518"/>
      <c r="AL677" s="518"/>
      <c r="AM677" s="518"/>
      <c r="AN677" s="518"/>
      <c r="AO677" s="51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</row>
    <row r="678" spans="1:57" ht="12.75" customHeight="1">
      <c r="A678" s="518"/>
      <c r="B678" s="518"/>
      <c r="C678" s="518"/>
      <c r="D678" s="518"/>
      <c r="E678" s="518"/>
      <c r="F678" s="518"/>
      <c r="G678" s="518"/>
      <c r="H678" s="518"/>
      <c r="I678" s="518"/>
      <c r="J678" s="518"/>
      <c r="K678" s="518"/>
      <c r="L678" s="518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  <c r="AB678" s="518"/>
      <c r="AC678" s="518"/>
      <c r="AD678" s="518"/>
      <c r="AE678" s="518"/>
      <c r="AF678" s="518"/>
      <c r="AG678" s="518"/>
      <c r="AH678" s="518"/>
      <c r="AI678" s="518"/>
      <c r="AJ678" s="518"/>
      <c r="AK678" s="518"/>
      <c r="AL678" s="518"/>
      <c r="AM678" s="518"/>
      <c r="AN678" s="518"/>
      <c r="AO678" s="51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</row>
    <row r="679" spans="1:57" ht="12.75" customHeight="1">
      <c r="A679" s="518"/>
      <c r="B679" s="518"/>
      <c r="C679" s="518"/>
      <c r="D679" s="518"/>
      <c r="E679" s="518"/>
      <c r="F679" s="518"/>
      <c r="G679" s="518"/>
      <c r="H679" s="518"/>
      <c r="I679" s="518"/>
      <c r="J679" s="518"/>
      <c r="K679" s="518"/>
      <c r="L679" s="518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  <c r="AB679" s="518"/>
      <c r="AC679" s="518"/>
      <c r="AD679" s="518"/>
      <c r="AE679" s="518"/>
      <c r="AF679" s="518"/>
      <c r="AG679" s="518"/>
      <c r="AH679" s="518"/>
      <c r="AI679" s="518"/>
      <c r="AJ679" s="518"/>
      <c r="AK679" s="518"/>
      <c r="AL679" s="518"/>
      <c r="AM679" s="518"/>
      <c r="AN679" s="518"/>
      <c r="AO679" s="51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</row>
    <row r="680" spans="1:57" ht="12.75" customHeight="1">
      <c r="A680" s="518"/>
      <c r="B680" s="518"/>
      <c r="C680" s="518"/>
      <c r="D680" s="518"/>
      <c r="E680" s="518"/>
      <c r="F680" s="518"/>
      <c r="G680" s="518"/>
      <c r="H680" s="518"/>
      <c r="I680" s="518"/>
      <c r="J680" s="518"/>
      <c r="K680" s="518"/>
      <c r="L680" s="518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  <c r="AB680" s="518"/>
      <c r="AC680" s="518"/>
      <c r="AD680" s="518"/>
      <c r="AE680" s="518"/>
      <c r="AF680" s="518"/>
      <c r="AG680" s="518"/>
      <c r="AH680" s="518"/>
      <c r="AI680" s="518"/>
      <c r="AJ680" s="518"/>
      <c r="AK680" s="518"/>
      <c r="AL680" s="518"/>
      <c r="AM680" s="518"/>
      <c r="AN680" s="518"/>
      <c r="AO680" s="51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</row>
    <row r="681" spans="1:57" ht="12.75" customHeight="1">
      <c r="A681" s="518"/>
      <c r="B681" s="518"/>
      <c r="C681" s="518"/>
      <c r="D681" s="518"/>
      <c r="E681" s="518"/>
      <c r="F681" s="518"/>
      <c r="G681" s="518"/>
      <c r="H681" s="518"/>
      <c r="I681" s="518"/>
      <c r="J681" s="518"/>
      <c r="K681" s="518"/>
      <c r="L681" s="518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  <c r="AB681" s="518"/>
      <c r="AC681" s="518"/>
      <c r="AD681" s="518"/>
      <c r="AE681" s="518"/>
      <c r="AF681" s="518"/>
      <c r="AG681" s="518"/>
      <c r="AH681" s="518"/>
      <c r="AI681" s="518"/>
      <c r="AJ681" s="518"/>
      <c r="AK681" s="518"/>
      <c r="AL681" s="518"/>
      <c r="AM681" s="518"/>
      <c r="AN681" s="518"/>
      <c r="AO681" s="51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</row>
    <row r="682" spans="1:57" ht="12.75" customHeight="1">
      <c r="A682" s="518"/>
      <c r="B682" s="518"/>
      <c r="C682" s="518"/>
      <c r="D682" s="518"/>
      <c r="E682" s="518"/>
      <c r="F682" s="518"/>
      <c r="G682" s="518"/>
      <c r="H682" s="518"/>
      <c r="I682" s="518"/>
      <c r="J682" s="518"/>
      <c r="K682" s="518"/>
      <c r="L682" s="518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  <c r="AB682" s="518"/>
      <c r="AC682" s="518"/>
      <c r="AD682" s="518"/>
      <c r="AE682" s="518"/>
      <c r="AF682" s="518"/>
      <c r="AG682" s="518"/>
      <c r="AH682" s="518"/>
      <c r="AI682" s="518"/>
      <c r="AJ682" s="518"/>
      <c r="AK682" s="518"/>
      <c r="AL682" s="518"/>
      <c r="AM682" s="518"/>
      <c r="AN682" s="518"/>
      <c r="AO682" s="51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</row>
    <row r="683" spans="1:57" ht="12.75" customHeight="1">
      <c r="A683" s="518"/>
      <c r="B683" s="518"/>
      <c r="C683" s="518"/>
      <c r="D683" s="518"/>
      <c r="E683" s="518"/>
      <c r="F683" s="518"/>
      <c r="G683" s="518"/>
      <c r="H683" s="518"/>
      <c r="I683" s="518"/>
      <c r="J683" s="518"/>
      <c r="K683" s="518"/>
      <c r="L683" s="518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  <c r="AB683" s="518"/>
      <c r="AC683" s="518"/>
      <c r="AD683" s="518"/>
      <c r="AE683" s="518"/>
      <c r="AF683" s="518"/>
      <c r="AG683" s="518"/>
      <c r="AH683" s="518"/>
      <c r="AI683" s="518"/>
      <c r="AJ683" s="518"/>
      <c r="AK683" s="518"/>
      <c r="AL683" s="518"/>
      <c r="AM683" s="518"/>
      <c r="AN683" s="518"/>
      <c r="AO683" s="51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</row>
    <row r="684" spans="1:57" ht="12.75" customHeight="1">
      <c r="A684" s="518"/>
      <c r="B684" s="518"/>
      <c r="C684" s="518"/>
      <c r="D684" s="518"/>
      <c r="E684" s="518"/>
      <c r="F684" s="518"/>
      <c r="G684" s="518"/>
      <c r="H684" s="518"/>
      <c r="I684" s="518"/>
      <c r="J684" s="518"/>
      <c r="K684" s="518"/>
      <c r="L684" s="518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  <c r="AB684" s="518"/>
      <c r="AC684" s="518"/>
      <c r="AD684" s="518"/>
      <c r="AE684" s="518"/>
      <c r="AF684" s="518"/>
      <c r="AG684" s="518"/>
      <c r="AH684" s="518"/>
      <c r="AI684" s="518"/>
      <c r="AJ684" s="518"/>
      <c r="AK684" s="518"/>
      <c r="AL684" s="518"/>
      <c r="AM684" s="518"/>
      <c r="AN684" s="518"/>
      <c r="AO684" s="51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</row>
    <row r="685" spans="1:57" ht="12.75" customHeight="1">
      <c r="A685" s="518"/>
      <c r="B685" s="518"/>
      <c r="C685" s="518"/>
      <c r="D685" s="518"/>
      <c r="E685" s="518"/>
      <c r="F685" s="518"/>
      <c r="G685" s="518"/>
      <c r="H685" s="518"/>
      <c r="I685" s="518"/>
      <c r="J685" s="518"/>
      <c r="K685" s="518"/>
      <c r="L685" s="518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  <c r="AB685" s="518"/>
      <c r="AC685" s="518"/>
      <c r="AD685" s="518"/>
      <c r="AE685" s="518"/>
      <c r="AF685" s="518"/>
      <c r="AG685" s="518"/>
      <c r="AH685" s="518"/>
      <c r="AI685" s="518"/>
      <c r="AJ685" s="518"/>
      <c r="AK685" s="518"/>
      <c r="AL685" s="518"/>
      <c r="AM685" s="518"/>
      <c r="AN685" s="518"/>
      <c r="AO685" s="51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</row>
    <row r="686" spans="1:57" ht="12.75" customHeight="1">
      <c r="A686" s="518"/>
      <c r="B686" s="518"/>
      <c r="C686" s="518"/>
      <c r="D686" s="518"/>
      <c r="E686" s="518"/>
      <c r="F686" s="518"/>
      <c r="G686" s="518"/>
      <c r="H686" s="518"/>
      <c r="I686" s="518"/>
      <c r="J686" s="518"/>
      <c r="K686" s="518"/>
      <c r="L686" s="518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  <c r="AB686" s="518"/>
      <c r="AC686" s="518"/>
      <c r="AD686" s="518"/>
      <c r="AE686" s="518"/>
      <c r="AF686" s="518"/>
      <c r="AG686" s="518"/>
      <c r="AH686" s="518"/>
      <c r="AI686" s="518"/>
      <c r="AJ686" s="518"/>
      <c r="AK686" s="518"/>
      <c r="AL686" s="518"/>
      <c r="AM686" s="518"/>
      <c r="AN686" s="518"/>
      <c r="AO686" s="51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</row>
    <row r="687" spans="1:57" ht="12.75" customHeight="1">
      <c r="A687" s="518"/>
      <c r="B687" s="518"/>
      <c r="C687" s="518"/>
      <c r="D687" s="518"/>
      <c r="E687" s="518"/>
      <c r="F687" s="518"/>
      <c r="G687" s="518"/>
      <c r="H687" s="518"/>
      <c r="I687" s="518"/>
      <c r="J687" s="518"/>
      <c r="K687" s="518"/>
      <c r="L687" s="518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  <c r="AB687" s="518"/>
      <c r="AC687" s="518"/>
      <c r="AD687" s="518"/>
      <c r="AE687" s="518"/>
      <c r="AF687" s="518"/>
      <c r="AG687" s="518"/>
      <c r="AH687" s="518"/>
      <c r="AI687" s="518"/>
      <c r="AJ687" s="518"/>
      <c r="AK687" s="518"/>
      <c r="AL687" s="518"/>
      <c r="AM687" s="518"/>
      <c r="AN687" s="518"/>
      <c r="AO687" s="51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</row>
    <row r="688" spans="1:57" ht="12.75" customHeight="1">
      <c r="A688" s="518"/>
      <c r="B688" s="518"/>
      <c r="C688" s="518"/>
      <c r="D688" s="518"/>
      <c r="E688" s="518"/>
      <c r="F688" s="518"/>
      <c r="G688" s="518"/>
      <c r="H688" s="518"/>
      <c r="I688" s="518"/>
      <c r="J688" s="518"/>
      <c r="K688" s="518"/>
      <c r="L688" s="518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  <c r="AB688" s="518"/>
      <c r="AC688" s="518"/>
      <c r="AD688" s="518"/>
      <c r="AE688" s="518"/>
      <c r="AF688" s="518"/>
      <c r="AG688" s="518"/>
      <c r="AH688" s="518"/>
      <c r="AI688" s="518"/>
      <c r="AJ688" s="518"/>
      <c r="AK688" s="518"/>
      <c r="AL688" s="518"/>
      <c r="AM688" s="518"/>
      <c r="AN688" s="518"/>
      <c r="AO688" s="51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</row>
    <row r="689" spans="1:57" ht="12.75" customHeight="1">
      <c r="A689" s="518"/>
      <c r="B689" s="518"/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  <c r="AB689" s="518"/>
      <c r="AC689" s="518"/>
      <c r="AD689" s="518"/>
      <c r="AE689" s="518"/>
      <c r="AF689" s="518"/>
      <c r="AG689" s="518"/>
      <c r="AH689" s="518"/>
      <c r="AI689" s="518"/>
      <c r="AJ689" s="518"/>
      <c r="AK689" s="518"/>
      <c r="AL689" s="518"/>
      <c r="AM689" s="518"/>
      <c r="AN689" s="518"/>
      <c r="AO689" s="51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</row>
    <row r="690" spans="1:57" ht="12.75" customHeight="1">
      <c r="A690" s="518"/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</row>
    <row r="691" spans="1:57" ht="12.75" customHeight="1">
      <c r="A691" s="518"/>
      <c r="B691" s="518"/>
      <c r="C691" s="518"/>
      <c r="D691" s="518"/>
      <c r="E691" s="518"/>
      <c r="F691" s="518"/>
      <c r="G691" s="518"/>
      <c r="H691" s="518"/>
      <c r="I691" s="518"/>
      <c r="J691" s="518"/>
      <c r="K691" s="518"/>
      <c r="L691" s="518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  <c r="AB691" s="518"/>
      <c r="AC691" s="518"/>
      <c r="AD691" s="518"/>
      <c r="AE691" s="518"/>
      <c r="AF691" s="518"/>
      <c r="AG691" s="518"/>
      <c r="AH691" s="518"/>
      <c r="AI691" s="518"/>
      <c r="AJ691" s="518"/>
      <c r="AK691" s="518"/>
      <c r="AL691" s="518"/>
      <c r="AM691" s="518"/>
      <c r="AN691" s="518"/>
      <c r="AO691" s="518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</row>
    <row r="692" spans="1:57" ht="12.75" customHeight="1">
      <c r="A692" s="518"/>
      <c r="B692" s="518"/>
      <c r="C692" s="518"/>
      <c r="D692" s="518"/>
      <c r="E692" s="518"/>
      <c r="F692" s="518"/>
      <c r="G692" s="518"/>
      <c r="H692" s="518"/>
      <c r="I692" s="518"/>
      <c r="J692" s="518"/>
      <c r="K692" s="518"/>
      <c r="L692" s="518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  <c r="AB692" s="518"/>
      <c r="AC692" s="518"/>
      <c r="AD692" s="518"/>
      <c r="AE692" s="518"/>
      <c r="AF692" s="518"/>
      <c r="AG692" s="518"/>
      <c r="AH692" s="518"/>
      <c r="AI692" s="518"/>
      <c r="AJ692" s="518"/>
      <c r="AK692" s="518"/>
      <c r="AL692" s="518"/>
      <c r="AM692" s="518"/>
      <c r="AN692" s="518"/>
      <c r="AO692" s="51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</row>
    <row r="693" spans="1:57" ht="12.75" customHeight="1">
      <c r="A693" s="518"/>
      <c r="B693" s="518"/>
      <c r="C693" s="518"/>
      <c r="D693" s="518"/>
      <c r="E693" s="518"/>
      <c r="F693" s="518"/>
      <c r="G693" s="518"/>
      <c r="H693" s="518"/>
      <c r="I693" s="518"/>
      <c r="J693" s="518"/>
      <c r="K693" s="518"/>
      <c r="L693" s="518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  <c r="AB693" s="518"/>
      <c r="AC693" s="518"/>
      <c r="AD693" s="518"/>
      <c r="AE693" s="518"/>
      <c r="AF693" s="518"/>
      <c r="AG693" s="518"/>
      <c r="AH693" s="518"/>
      <c r="AI693" s="518"/>
      <c r="AJ693" s="518"/>
      <c r="AK693" s="518"/>
      <c r="AL693" s="518"/>
      <c r="AM693" s="518"/>
      <c r="AN693" s="518"/>
      <c r="AO693" s="51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</row>
    <row r="694" spans="1:57" ht="12.75" customHeight="1">
      <c r="A694" s="518"/>
      <c r="B694" s="518"/>
      <c r="C694" s="518"/>
      <c r="D694" s="518"/>
      <c r="E694" s="518"/>
      <c r="F694" s="518"/>
      <c r="G694" s="518"/>
      <c r="H694" s="518"/>
      <c r="I694" s="518"/>
      <c r="J694" s="518"/>
      <c r="K694" s="518"/>
      <c r="L694" s="518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  <c r="AB694" s="518"/>
      <c r="AC694" s="518"/>
      <c r="AD694" s="518"/>
      <c r="AE694" s="518"/>
      <c r="AF694" s="518"/>
      <c r="AG694" s="518"/>
      <c r="AH694" s="518"/>
      <c r="AI694" s="518"/>
      <c r="AJ694" s="518"/>
      <c r="AK694" s="518"/>
      <c r="AL694" s="518"/>
      <c r="AM694" s="518"/>
      <c r="AN694" s="518"/>
      <c r="AO694" s="51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</row>
    <row r="695" spans="1:57" ht="12.75" customHeight="1">
      <c r="A695" s="518"/>
      <c r="B695" s="518"/>
      <c r="C695" s="518"/>
      <c r="D695" s="518"/>
      <c r="E695" s="518"/>
      <c r="F695" s="518"/>
      <c r="G695" s="518"/>
      <c r="H695" s="518"/>
      <c r="I695" s="518"/>
      <c r="J695" s="518"/>
      <c r="K695" s="518"/>
      <c r="L695" s="518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  <c r="AB695" s="518"/>
      <c r="AC695" s="518"/>
      <c r="AD695" s="518"/>
      <c r="AE695" s="518"/>
      <c r="AF695" s="518"/>
      <c r="AG695" s="518"/>
      <c r="AH695" s="518"/>
      <c r="AI695" s="518"/>
      <c r="AJ695" s="518"/>
      <c r="AK695" s="518"/>
      <c r="AL695" s="518"/>
      <c r="AM695" s="518"/>
      <c r="AN695" s="518"/>
      <c r="AO695" s="51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</row>
    <row r="696" spans="1:57" ht="12.75" customHeight="1">
      <c r="A696" s="518"/>
      <c r="B696" s="518"/>
      <c r="C696" s="518"/>
      <c r="D696" s="518"/>
      <c r="E696" s="518"/>
      <c r="F696" s="518"/>
      <c r="G696" s="518"/>
      <c r="H696" s="518"/>
      <c r="I696" s="518"/>
      <c r="J696" s="518"/>
      <c r="K696" s="518"/>
      <c r="L696" s="518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  <c r="AB696" s="518"/>
      <c r="AC696" s="518"/>
      <c r="AD696" s="518"/>
      <c r="AE696" s="518"/>
      <c r="AF696" s="518"/>
      <c r="AG696" s="518"/>
      <c r="AH696" s="518"/>
      <c r="AI696" s="518"/>
      <c r="AJ696" s="518"/>
      <c r="AK696" s="518"/>
      <c r="AL696" s="518"/>
      <c r="AM696" s="518"/>
      <c r="AN696" s="518"/>
      <c r="AO696" s="51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</row>
    <row r="697" spans="1:57" ht="12.75" customHeight="1">
      <c r="A697" s="518"/>
      <c r="B697" s="518"/>
      <c r="C697" s="518"/>
      <c r="D697" s="518"/>
      <c r="E697" s="518"/>
      <c r="F697" s="518"/>
      <c r="G697" s="518"/>
      <c r="H697" s="518"/>
      <c r="I697" s="518"/>
      <c r="J697" s="518"/>
      <c r="K697" s="518"/>
      <c r="L697" s="518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  <c r="AB697" s="518"/>
      <c r="AC697" s="518"/>
      <c r="AD697" s="518"/>
      <c r="AE697" s="518"/>
      <c r="AF697" s="518"/>
      <c r="AG697" s="518"/>
      <c r="AH697" s="518"/>
      <c r="AI697" s="518"/>
      <c r="AJ697" s="518"/>
      <c r="AK697" s="518"/>
      <c r="AL697" s="518"/>
      <c r="AM697" s="518"/>
      <c r="AN697" s="518"/>
      <c r="AO697" s="51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</row>
    <row r="698" spans="1:57" ht="12.75" customHeight="1">
      <c r="A698" s="518"/>
      <c r="B698" s="518"/>
      <c r="C698" s="518"/>
      <c r="D698" s="518"/>
      <c r="E698" s="518"/>
      <c r="F698" s="518"/>
      <c r="G698" s="518"/>
      <c r="H698" s="518"/>
      <c r="I698" s="518"/>
      <c r="J698" s="518"/>
      <c r="K698" s="518"/>
      <c r="L698" s="518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  <c r="AB698" s="518"/>
      <c r="AC698" s="518"/>
      <c r="AD698" s="518"/>
      <c r="AE698" s="518"/>
      <c r="AF698" s="518"/>
      <c r="AG698" s="518"/>
      <c r="AH698" s="518"/>
      <c r="AI698" s="518"/>
      <c r="AJ698" s="518"/>
      <c r="AK698" s="518"/>
      <c r="AL698" s="518"/>
      <c r="AM698" s="518"/>
      <c r="AN698" s="518"/>
      <c r="AO698" s="518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</row>
    <row r="699" spans="1:57" ht="12.75" customHeight="1">
      <c r="A699" s="518"/>
      <c r="B699" s="518"/>
      <c r="C699" s="518"/>
      <c r="D699" s="518"/>
      <c r="E699" s="518"/>
      <c r="F699" s="518"/>
      <c r="G699" s="518"/>
      <c r="H699" s="518"/>
      <c r="I699" s="518"/>
      <c r="J699" s="518"/>
      <c r="K699" s="518"/>
      <c r="L699" s="518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  <c r="AB699" s="518"/>
      <c r="AC699" s="518"/>
      <c r="AD699" s="518"/>
      <c r="AE699" s="518"/>
      <c r="AF699" s="518"/>
      <c r="AG699" s="518"/>
      <c r="AH699" s="518"/>
      <c r="AI699" s="518"/>
      <c r="AJ699" s="518"/>
      <c r="AK699" s="518"/>
      <c r="AL699" s="518"/>
      <c r="AM699" s="518"/>
      <c r="AN699" s="518"/>
      <c r="AO699" s="51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</row>
    <row r="700" spans="1:57" ht="12.75" customHeight="1">
      <c r="A700" s="518"/>
      <c r="B700" s="518"/>
      <c r="C700" s="518"/>
      <c r="D700" s="518"/>
      <c r="E700" s="518"/>
      <c r="F700" s="518"/>
      <c r="G700" s="518"/>
      <c r="H700" s="518"/>
      <c r="I700" s="518"/>
      <c r="J700" s="518"/>
      <c r="K700" s="518"/>
      <c r="L700" s="518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  <c r="AB700" s="518"/>
      <c r="AC700" s="518"/>
      <c r="AD700" s="518"/>
      <c r="AE700" s="518"/>
      <c r="AF700" s="518"/>
      <c r="AG700" s="518"/>
      <c r="AH700" s="518"/>
      <c r="AI700" s="518"/>
      <c r="AJ700" s="518"/>
      <c r="AK700" s="518"/>
      <c r="AL700" s="518"/>
      <c r="AM700" s="518"/>
      <c r="AN700" s="518"/>
      <c r="AO700" s="51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</row>
    <row r="701" spans="1:57" ht="12.75" customHeight="1">
      <c r="A701" s="518"/>
      <c r="B701" s="518"/>
      <c r="C701" s="518"/>
      <c r="D701" s="518"/>
      <c r="E701" s="518"/>
      <c r="F701" s="518"/>
      <c r="G701" s="518"/>
      <c r="H701" s="518"/>
      <c r="I701" s="518"/>
      <c r="J701" s="518"/>
      <c r="K701" s="518"/>
      <c r="L701" s="518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  <c r="AB701" s="518"/>
      <c r="AC701" s="518"/>
      <c r="AD701" s="518"/>
      <c r="AE701" s="518"/>
      <c r="AF701" s="518"/>
      <c r="AG701" s="518"/>
      <c r="AH701" s="518"/>
      <c r="AI701" s="518"/>
      <c r="AJ701" s="518"/>
      <c r="AK701" s="518"/>
      <c r="AL701" s="518"/>
      <c r="AM701" s="518"/>
      <c r="AN701" s="518"/>
      <c r="AO701" s="51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</row>
    <row r="702" spans="1:57" ht="12.75" customHeight="1">
      <c r="A702" s="518"/>
      <c r="B702" s="518"/>
      <c r="C702" s="518"/>
      <c r="D702" s="518"/>
      <c r="E702" s="518"/>
      <c r="F702" s="518"/>
      <c r="G702" s="518"/>
      <c r="H702" s="518"/>
      <c r="I702" s="518"/>
      <c r="J702" s="518"/>
      <c r="K702" s="518"/>
      <c r="L702" s="518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  <c r="AB702" s="518"/>
      <c r="AC702" s="518"/>
      <c r="AD702" s="518"/>
      <c r="AE702" s="518"/>
      <c r="AF702" s="518"/>
      <c r="AG702" s="518"/>
      <c r="AH702" s="518"/>
      <c r="AI702" s="518"/>
      <c r="AJ702" s="518"/>
      <c r="AK702" s="518"/>
      <c r="AL702" s="518"/>
      <c r="AM702" s="518"/>
      <c r="AN702" s="518"/>
      <c r="AO702" s="51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</row>
    <row r="703" spans="1:57" ht="12.75" customHeight="1">
      <c r="A703" s="518"/>
      <c r="B703" s="518"/>
      <c r="C703" s="518"/>
      <c r="D703" s="518"/>
      <c r="E703" s="518"/>
      <c r="F703" s="518"/>
      <c r="G703" s="518"/>
      <c r="H703" s="518"/>
      <c r="I703" s="518"/>
      <c r="J703" s="518"/>
      <c r="K703" s="518"/>
      <c r="L703" s="518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  <c r="AB703" s="518"/>
      <c r="AC703" s="518"/>
      <c r="AD703" s="518"/>
      <c r="AE703" s="518"/>
      <c r="AF703" s="518"/>
      <c r="AG703" s="518"/>
      <c r="AH703" s="518"/>
      <c r="AI703" s="518"/>
      <c r="AJ703" s="518"/>
      <c r="AK703" s="518"/>
      <c r="AL703" s="518"/>
      <c r="AM703" s="518"/>
      <c r="AN703" s="518"/>
      <c r="AO703" s="51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</row>
    <row r="704" spans="1:57" ht="12.75" customHeight="1">
      <c r="A704" s="518"/>
      <c r="B704" s="518"/>
      <c r="C704" s="518"/>
      <c r="D704" s="518"/>
      <c r="E704" s="518"/>
      <c r="F704" s="518"/>
      <c r="G704" s="518"/>
      <c r="H704" s="518"/>
      <c r="I704" s="518"/>
      <c r="J704" s="518"/>
      <c r="K704" s="518"/>
      <c r="L704" s="518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  <c r="AB704" s="518"/>
      <c r="AC704" s="518"/>
      <c r="AD704" s="518"/>
      <c r="AE704" s="518"/>
      <c r="AF704" s="518"/>
      <c r="AG704" s="518"/>
      <c r="AH704" s="518"/>
      <c r="AI704" s="518"/>
      <c r="AJ704" s="518"/>
      <c r="AK704" s="518"/>
      <c r="AL704" s="518"/>
      <c r="AM704" s="518"/>
      <c r="AN704" s="518"/>
      <c r="AO704" s="51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</row>
    <row r="705" spans="1:57" ht="12.75" customHeight="1">
      <c r="A705" s="518"/>
      <c r="B705" s="518"/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  <c r="AB705" s="518"/>
      <c r="AC705" s="518"/>
      <c r="AD705" s="518"/>
      <c r="AE705" s="518"/>
      <c r="AF705" s="518"/>
      <c r="AG705" s="518"/>
      <c r="AH705" s="518"/>
      <c r="AI705" s="518"/>
      <c r="AJ705" s="518"/>
      <c r="AK705" s="518"/>
      <c r="AL705" s="518"/>
      <c r="AM705" s="518"/>
      <c r="AN705" s="518"/>
      <c r="AO705" s="518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</row>
    <row r="706" spans="1:57" ht="12.75" customHeight="1">
      <c r="A706" s="518"/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</row>
    <row r="707" spans="1:57" ht="12.75" customHeight="1">
      <c r="A707" s="518"/>
      <c r="B707" s="518"/>
      <c r="C707" s="518"/>
      <c r="D707" s="518"/>
      <c r="E707" s="518"/>
      <c r="F707" s="518"/>
      <c r="G707" s="518"/>
      <c r="H707" s="518"/>
      <c r="I707" s="518"/>
      <c r="J707" s="518"/>
      <c r="K707" s="518"/>
      <c r="L707" s="518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  <c r="AB707" s="518"/>
      <c r="AC707" s="518"/>
      <c r="AD707" s="518"/>
      <c r="AE707" s="518"/>
      <c r="AF707" s="518"/>
      <c r="AG707" s="518"/>
      <c r="AH707" s="518"/>
      <c r="AI707" s="518"/>
      <c r="AJ707" s="518"/>
      <c r="AK707" s="518"/>
      <c r="AL707" s="518"/>
      <c r="AM707" s="518"/>
      <c r="AN707" s="518"/>
      <c r="AO707" s="518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</row>
    <row r="708" spans="1:57" ht="12.75" customHeight="1">
      <c r="A708" s="518"/>
      <c r="B708" s="518"/>
      <c r="C708" s="518"/>
      <c r="D708" s="518"/>
      <c r="E708" s="518"/>
      <c r="F708" s="518"/>
      <c r="G708" s="518"/>
      <c r="H708" s="518"/>
      <c r="I708" s="518"/>
      <c r="J708" s="518"/>
      <c r="K708" s="518"/>
      <c r="L708" s="518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  <c r="AB708" s="518"/>
      <c r="AC708" s="518"/>
      <c r="AD708" s="518"/>
      <c r="AE708" s="518"/>
      <c r="AF708" s="518"/>
      <c r="AG708" s="518"/>
      <c r="AH708" s="518"/>
      <c r="AI708" s="518"/>
      <c r="AJ708" s="518"/>
      <c r="AK708" s="518"/>
      <c r="AL708" s="518"/>
      <c r="AM708" s="518"/>
      <c r="AN708" s="518"/>
      <c r="AO708" s="51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</row>
    <row r="709" spans="1:57" ht="12.75" customHeight="1">
      <c r="A709" s="518"/>
      <c r="B709" s="518"/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  <c r="AB709" s="518"/>
      <c r="AC709" s="518"/>
      <c r="AD709" s="518"/>
      <c r="AE709" s="518"/>
      <c r="AF709" s="518"/>
      <c r="AG709" s="518"/>
      <c r="AH709" s="518"/>
      <c r="AI709" s="518"/>
      <c r="AJ709" s="518"/>
      <c r="AK709" s="518"/>
      <c r="AL709" s="518"/>
      <c r="AM709" s="518"/>
      <c r="AN709" s="518"/>
      <c r="AO709" s="518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</row>
    <row r="710" spans="1:57" ht="12.75" customHeight="1">
      <c r="A710" s="518"/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</row>
    <row r="711" spans="1:57" ht="12.75" customHeight="1">
      <c r="A711" s="518"/>
      <c r="B711" s="518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</row>
    <row r="712" spans="1:57" ht="12.75" customHeight="1">
      <c r="A712" s="518"/>
      <c r="B712" s="518"/>
      <c r="C712" s="518"/>
      <c r="D712" s="518"/>
      <c r="E712" s="518"/>
      <c r="F712" s="518"/>
      <c r="G712" s="518"/>
      <c r="H712" s="518"/>
      <c r="I712" s="518"/>
      <c r="J712" s="518"/>
      <c r="K712" s="518"/>
      <c r="L712" s="518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  <c r="AB712" s="518"/>
      <c r="AC712" s="518"/>
      <c r="AD712" s="518"/>
      <c r="AE712" s="518"/>
      <c r="AF712" s="518"/>
      <c r="AG712" s="518"/>
      <c r="AH712" s="518"/>
      <c r="AI712" s="518"/>
      <c r="AJ712" s="518"/>
      <c r="AK712" s="518"/>
      <c r="AL712" s="518"/>
      <c r="AM712" s="518"/>
      <c r="AN712" s="518"/>
      <c r="AO712" s="518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</row>
    <row r="713" spans="1:57" ht="12.75" customHeight="1">
      <c r="A713" s="518"/>
      <c r="B713" s="518"/>
      <c r="C713" s="518"/>
      <c r="D713" s="518"/>
      <c r="E713" s="518"/>
      <c r="F713" s="518"/>
      <c r="G713" s="518"/>
      <c r="H713" s="518"/>
      <c r="I713" s="518"/>
      <c r="J713" s="518"/>
      <c r="K713" s="518"/>
      <c r="L713" s="518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  <c r="AB713" s="518"/>
      <c r="AC713" s="518"/>
      <c r="AD713" s="518"/>
      <c r="AE713" s="518"/>
      <c r="AF713" s="518"/>
      <c r="AG713" s="518"/>
      <c r="AH713" s="518"/>
      <c r="AI713" s="518"/>
      <c r="AJ713" s="518"/>
      <c r="AK713" s="518"/>
      <c r="AL713" s="518"/>
      <c r="AM713" s="518"/>
      <c r="AN713" s="518"/>
      <c r="AO713" s="518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</row>
    <row r="714" spans="1:57" ht="12.75" customHeight="1">
      <c r="A714" s="518"/>
      <c r="B714" s="518"/>
      <c r="C714" s="518"/>
      <c r="D714" s="518"/>
      <c r="E714" s="518"/>
      <c r="F714" s="518"/>
      <c r="G714" s="518"/>
      <c r="H714" s="518"/>
      <c r="I714" s="518"/>
      <c r="J714" s="518"/>
      <c r="K714" s="518"/>
      <c r="L714" s="518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  <c r="AB714" s="518"/>
      <c r="AC714" s="518"/>
      <c r="AD714" s="518"/>
      <c r="AE714" s="518"/>
      <c r="AF714" s="518"/>
      <c r="AG714" s="518"/>
      <c r="AH714" s="518"/>
      <c r="AI714" s="518"/>
      <c r="AJ714" s="518"/>
      <c r="AK714" s="518"/>
      <c r="AL714" s="518"/>
      <c r="AM714" s="518"/>
      <c r="AN714" s="518"/>
      <c r="AO714" s="518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</row>
    <row r="715" spans="1:57" ht="12.75" customHeight="1">
      <c r="A715" s="518"/>
      <c r="B715" s="518"/>
      <c r="C715" s="518"/>
      <c r="D715" s="518"/>
      <c r="E715" s="518"/>
      <c r="F715" s="518"/>
      <c r="G715" s="518"/>
      <c r="H715" s="518"/>
      <c r="I715" s="518"/>
      <c r="J715" s="518"/>
      <c r="K715" s="518"/>
      <c r="L715" s="518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  <c r="AB715" s="518"/>
      <c r="AC715" s="518"/>
      <c r="AD715" s="518"/>
      <c r="AE715" s="518"/>
      <c r="AF715" s="518"/>
      <c r="AG715" s="518"/>
      <c r="AH715" s="518"/>
      <c r="AI715" s="518"/>
      <c r="AJ715" s="518"/>
      <c r="AK715" s="518"/>
      <c r="AL715" s="518"/>
      <c r="AM715" s="518"/>
      <c r="AN715" s="518"/>
      <c r="AO715" s="51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</row>
    <row r="716" spans="1:57" ht="12.75" customHeight="1">
      <c r="A716" s="518"/>
      <c r="B716" s="518"/>
      <c r="C716" s="518"/>
      <c r="D716" s="518"/>
      <c r="E716" s="518"/>
      <c r="F716" s="518"/>
      <c r="G716" s="518"/>
      <c r="H716" s="518"/>
      <c r="I716" s="518"/>
      <c r="J716" s="518"/>
      <c r="K716" s="518"/>
      <c r="L716" s="518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  <c r="AB716" s="518"/>
      <c r="AC716" s="518"/>
      <c r="AD716" s="518"/>
      <c r="AE716" s="518"/>
      <c r="AF716" s="518"/>
      <c r="AG716" s="518"/>
      <c r="AH716" s="518"/>
      <c r="AI716" s="518"/>
      <c r="AJ716" s="518"/>
      <c r="AK716" s="518"/>
      <c r="AL716" s="518"/>
      <c r="AM716" s="518"/>
      <c r="AN716" s="518"/>
      <c r="AO716" s="518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</row>
    <row r="717" spans="1:57" ht="12.75" customHeight="1">
      <c r="A717" s="518"/>
      <c r="B717" s="518"/>
      <c r="C717" s="518"/>
      <c r="D717" s="518"/>
      <c r="E717" s="518"/>
      <c r="F717" s="518"/>
      <c r="G717" s="518"/>
      <c r="H717" s="518"/>
      <c r="I717" s="518"/>
      <c r="J717" s="518"/>
      <c r="K717" s="518"/>
      <c r="L717" s="518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  <c r="AB717" s="518"/>
      <c r="AC717" s="518"/>
      <c r="AD717" s="518"/>
      <c r="AE717" s="518"/>
      <c r="AF717" s="518"/>
      <c r="AG717" s="518"/>
      <c r="AH717" s="518"/>
      <c r="AI717" s="518"/>
      <c r="AJ717" s="518"/>
      <c r="AK717" s="518"/>
      <c r="AL717" s="518"/>
      <c r="AM717" s="518"/>
      <c r="AN717" s="518"/>
      <c r="AO717" s="51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</row>
    <row r="718" spans="1:57" ht="12.75" customHeight="1">
      <c r="A718" s="518"/>
      <c r="B718" s="518"/>
      <c r="C718" s="518"/>
      <c r="D718" s="518"/>
      <c r="E718" s="518"/>
      <c r="F718" s="518"/>
      <c r="G718" s="518"/>
      <c r="H718" s="518"/>
      <c r="I718" s="518"/>
      <c r="J718" s="518"/>
      <c r="K718" s="518"/>
      <c r="L718" s="518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  <c r="AB718" s="518"/>
      <c r="AC718" s="518"/>
      <c r="AD718" s="518"/>
      <c r="AE718" s="518"/>
      <c r="AF718" s="518"/>
      <c r="AG718" s="518"/>
      <c r="AH718" s="518"/>
      <c r="AI718" s="518"/>
      <c r="AJ718" s="518"/>
      <c r="AK718" s="518"/>
      <c r="AL718" s="518"/>
      <c r="AM718" s="518"/>
      <c r="AN718" s="518"/>
      <c r="AO718" s="51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</row>
    <row r="719" spans="1:57" ht="12.75" customHeight="1">
      <c r="A719" s="518"/>
      <c r="B719" s="518"/>
      <c r="C719" s="518"/>
      <c r="D719" s="518"/>
      <c r="E719" s="518"/>
      <c r="F719" s="518"/>
      <c r="G719" s="518"/>
      <c r="H719" s="518"/>
      <c r="I719" s="518"/>
      <c r="J719" s="518"/>
      <c r="K719" s="518"/>
      <c r="L719" s="518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  <c r="AB719" s="518"/>
      <c r="AC719" s="518"/>
      <c r="AD719" s="518"/>
      <c r="AE719" s="518"/>
      <c r="AF719" s="518"/>
      <c r="AG719" s="518"/>
      <c r="AH719" s="518"/>
      <c r="AI719" s="518"/>
      <c r="AJ719" s="518"/>
      <c r="AK719" s="518"/>
      <c r="AL719" s="518"/>
      <c r="AM719" s="518"/>
      <c r="AN719" s="518"/>
      <c r="AO719" s="51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</row>
    <row r="720" spans="1:57" ht="12.75" customHeight="1">
      <c r="A720" s="518"/>
      <c r="B720" s="518"/>
      <c r="C720" s="518"/>
      <c r="D720" s="518"/>
      <c r="E720" s="518"/>
      <c r="F720" s="518"/>
      <c r="G720" s="518"/>
      <c r="H720" s="518"/>
      <c r="I720" s="518"/>
      <c r="J720" s="518"/>
      <c r="K720" s="518"/>
      <c r="L720" s="518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  <c r="AB720" s="518"/>
      <c r="AC720" s="518"/>
      <c r="AD720" s="518"/>
      <c r="AE720" s="518"/>
      <c r="AF720" s="518"/>
      <c r="AG720" s="518"/>
      <c r="AH720" s="518"/>
      <c r="AI720" s="518"/>
      <c r="AJ720" s="518"/>
      <c r="AK720" s="518"/>
      <c r="AL720" s="518"/>
      <c r="AM720" s="518"/>
      <c r="AN720" s="518"/>
      <c r="AO720" s="51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</row>
    <row r="721" spans="1:57" ht="12.75" customHeight="1">
      <c r="A721" s="518"/>
      <c r="B721" s="518"/>
      <c r="C721" s="518"/>
      <c r="D721" s="518"/>
      <c r="E721" s="518"/>
      <c r="F721" s="518"/>
      <c r="G721" s="518"/>
      <c r="H721" s="518"/>
      <c r="I721" s="518"/>
      <c r="J721" s="518"/>
      <c r="K721" s="518"/>
      <c r="L721" s="518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  <c r="AB721" s="518"/>
      <c r="AC721" s="518"/>
      <c r="AD721" s="518"/>
      <c r="AE721" s="518"/>
      <c r="AF721" s="518"/>
      <c r="AG721" s="518"/>
      <c r="AH721" s="518"/>
      <c r="AI721" s="518"/>
      <c r="AJ721" s="518"/>
      <c r="AK721" s="518"/>
      <c r="AL721" s="518"/>
      <c r="AM721" s="518"/>
      <c r="AN721" s="518"/>
      <c r="AO721" s="51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</row>
    <row r="722" spans="1:57" ht="12.75" customHeight="1">
      <c r="A722" s="518"/>
      <c r="B722" s="518"/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  <c r="AB722" s="518"/>
      <c r="AC722" s="518"/>
      <c r="AD722" s="518"/>
      <c r="AE722" s="518"/>
      <c r="AF722" s="518"/>
      <c r="AG722" s="518"/>
      <c r="AH722" s="518"/>
      <c r="AI722" s="518"/>
      <c r="AJ722" s="518"/>
      <c r="AK722" s="518"/>
      <c r="AL722" s="518"/>
      <c r="AM722" s="518"/>
      <c r="AN722" s="518"/>
      <c r="AO722" s="51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</row>
    <row r="723" spans="1:57" ht="12.75" customHeight="1">
      <c r="A723" s="518"/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</row>
    <row r="724" spans="1:57" ht="12.75" customHeight="1">
      <c r="A724" s="518"/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</row>
    <row r="725" spans="1:57" ht="12.75" customHeight="1">
      <c r="A725" s="518"/>
      <c r="B725" s="518"/>
      <c r="C725" s="518"/>
      <c r="D725" s="518"/>
      <c r="E725" s="518"/>
      <c r="F725" s="518"/>
      <c r="G725" s="518"/>
      <c r="H725" s="518"/>
      <c r="I725" s="518"/>
      <c r="J725" s="518"/>
      <c r="K725" s="518"/>
      <c r="L725" s="518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  <c r="AB725" s="518"/>
      <c r="AC725" s="518"/>
      <c r="AD725" s="518"/>
      <c r="AE725" s="518"/>
      <c r="AF725" s="518"/>
      <c r="AG725" s="518"/>
      <c r="AH725" s="518"/>
      <c r="AI725" s="518"/>
      <c r="AJ725" s="518"/>
      <c r="AK725" s="518"/>
      <c r="AL725" s="518"/>
      <c r="AM725" s="518"/>
      <c r="AN725" s="518"/>
      <c r="AO725" s="518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</row>
    <row r="726" spans="1:57" ht="12.75" customHeight="1">
      <c r="A726" s="518"/>
      <c r="B726" s="518"/>
      <c r="C726" s="518"/>
      <c r="D726" s="518"/>
      <c r="E726" s="518"/>
      <c r="F726" s="518"/>
      <c r="G726" s="518"/>
      <c r="H726" s="518"/>
      <c r="I726" s="518"/>
      <c r="J726" s="518"/>
      <c r="K726" s="518"/>
      <c r="L726" s="518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  <c r="AB726" s="518"/>
      <c r="AC726" s="518"/>
      <c r="AD726" s="518"/>
      <c r="AE726" s="518"/>
      <c r="AF726" s="518"/>
      <c r="AG726" s="518"/>
      <c r="AH726" s="518"/>
      <c r="AI726" s="518"/>
      <c r="AJ726" s="518"/>
      <c r="AK726" s="518"/>
      <c r="AL726" s="518"/>
      <c r="AM726" s="518"/>
      <c r="AN726" s="518"/>
      <c r="AO726" s="51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</row>
    <row r="727" spans="1:57" ht="12.75" customHeight="1">
      <c r="A727" s="518"/>
      <c r="B727" s="518"/>
      <c r="C727" s="518"/>
      <c r="D727" s="518"/>
      <c r="E727" s="518"/>
      <c r="F727" s="518"/>
      <c r="G727" s="518"/>
      <c r="H727" s="518"/>
      <c r="I727" s="518"/>
      <c r="J727" s="518"/>
      <c r="K727" s="518"/>
      <c r="L727" s="518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  <c r="AB727" s="518"/>
      <c r="AC727" s="518"/>
      <c r="AD727" s="518"/>
      <c r="AE727" s="518"/>
      <c r="AF727" s="518"/>
      <c r="AG727" s="518"/>
      <c r="AH727" s="518"/>
      <c r="AI727" s="518"/>
      <c r="AJ727" s="518"/>
      <c r="AK727" s="518"/>
      <c r="AL727" s="518"/>
      <c r="AM727" s="518"/>
      <c r="AN727" s="518"/>
      <c r="AO727" s="51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</row>
    <row r="728" spans="1:57" ht="12.75" customHeight="1">
      <c r="A728" s="518"/>
      <c r="B728" s="518"/>
      <c r="C728" s="518"/>
      <c r="D728" s="518"/>
      <c r="E728" s="518"/>
      <c r="F728" s="518"/>
      <c r="G728" s="518"/>
      <c r="H728" s="518"/>
      <c r="I728" s="518"/>
      <c r="J728" s="518"/>
      <c r="K728" s="518"/>
      <c r="L728" s="518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  <c r="AB728" s="518"/>
      <c r="AC728" s="518"/>
      <c r="AD728" s="518"/>
      <c r="AE728" s="518"/>
      <c r="AF728" s="518"/>
      <c r="AG728" s="518"/>
      <c r="AH728" s="518"/>
      <c r="AI728" s="518"/>
      <c r="AJ728" s="518"/>
      <c r="AK728" s="518"/>
      <c r="AL728" s="518"/>
      <c r="AM728" s="518"/>
      <c r="AN728" s="518"/>
      <c r="AO728" s="51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</row>
    <row r="729" spans="1:57" ht="12.75" customHeight="1">
      <c r="A729" s="518"/>
      <c r="B729" s="518"/>
      <c r="C729" s="518"/>
      <c r="D729" s="518"/>
      <c r="E729" s="518"/>
      <c r="F729" s="518"/>
      <c r="G729" s="518"/>
      <c r="H729" s="518"/>
      <c r="I729" s="518"/>
      <c r="J729" s="518"/>
      <c r="K729" s="518"/>
      <c r="L729" s="518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  <c r="AB729" s="518"/>
      <c r="AC729" s="518"/>
      <c r="AD729" s="518"/>
      <c r="AE729" s="518"/>
      <c r="AF729" s="518"/>
      <c r="AG729" s="518"/>
      <c r="AH729" s="518"/>
      <c r="AI729" s="518"/>
      <c r="AJ729" s="518"/>
      <c r="AK729" s="518"/>
      <c r="AL729" s="518"/>
      <c r="AM729" s="518"/>
      <c r="AN729" s="518"/>
      <c r="AO729" s="51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</row>
    <row r="730" spans="1:57" ht="12.75" customHeight="1">
      <c r="A730" s="518"/>
      <c r="B730" s="518"/>
      <c r="C730" s="518"/>
      <c r="D730" s="518"/>
      <c r="E730" s="518"/>
      <c r="F730" s="518"/>
      <c r="G730" s="518"/>
      <c r="H730" s="518"/>
      <c r="I730" s="518"/>
      <c r="J730" s="518"/>
      <c r="K730" s="518"/>
      <c r="L730" s="518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  <c r="AB730" s="518"/>
      <c r="AC730" s="518"/>
      <c r="AD730" s="518"/>
      <c r="AE730" s="518"/>
      <c r="AF730" s="518"/>
      <c r="AG730" s="518"/>
      <c r="AH730" s="518"/>
      <c r="AI730" s="518"/>
      <c r="AJ730" s="518"/>
      <c r="AK730" s="518"/>
      <c r="AL730" s="518"/>
      <c r="AM730" s="518"/>
      <c r="AN730" s="518"/>
      <c r="AO730" s="51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</row>
    <row r="731" spans="1:57" ht="12.75" customHeight="1">
      <c r="A731" s="518"/>
      <c r="B731" s="518"/>
      <c r="C731" s="518"/>
      <c r="D731" s="518"/>
      <c r="E731" s="518"/>
      <c r="F731" s="518"/>
      <c r="G731" s="518"/>
      <c r="H731" s="518"/>
      <c r="I731" s="518"/>
      <c r="J731" s="518"/>
      <c r="K731" s="518"/>
      <c r="L731" s="518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  <c r="AB731" s="518"/>
      <c r="AC731" s="518"/>
      <c r="AD731" s="518"/>
      <c r="AE731" s="518"/>
      <c r="AF731" s="518"/>
      <c r="AG731" s="518"/>
      <c r="AH731" s="518"/>
      <c r="AI731" s="518"/>
      <c r="AJ731" s="518"/>
      <c r="AK731" s="518"/>
      <c r="AL731" s="518"/>
      <c r="AM731" s="518"/>
      <c r="AN731" s="518"/>
      <c r="AO731" s="51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</row>
    <row r="732" spans="1:57" ht="12.75" customHeight="1">
      <c r="A732" s="518"/>
      <c r="B732" s="518"/>
      <c r="C732" s="518"/>
      <c r="D732" s="518"/>
      <c r="E732" s="518"/>
      <c r="F732" s="518"/>
      <c r="G732" s="518"/>
      <c r="H732" s="518"/>
      <c r="I732" s="518"/>
      <c r="J732" s="518"/>
      <c r="K732" s="518"/>
      <c r="L732" s="518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  <c r="AB732" s="518"/>
      <c r="AC732" s="518"/>
      <c r="AD732" s="518"/>
      <c r="AE732" s="518"/>
      <c r="AF732" s="518"/>
      <c r="AG732" s="518"/>
      <c r="AH732" s="518"/>
      <c r="AI732" s="518"/>
      <c r="AJ732" s="518"/>
      <c r="AK732" s="518"/>
      <c r="AL732" s="518"/>
      <c r="AM732" s="518"/>
      <c r="AN732" s="518"/>
      <c r="AO732" s="51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</row>
    <row r="733" spans="1:57" ht="12.75" customHeight="1">
      <c r="A733" s="518"/>
      <c r="B733" s="518"/>
      <c r="C733" s="518"/>
      <c r="D733" s="518"/>
      <c r="E733" s="518"/>
      <c r="F733" s="518"/>
      <c r="G733" s="518"/>
      <c r="H733" s="518"/>
      <c r="I733" s="518"/>
      <c r="J733" s="518"/>
      <c r="K733" s="518"/>
      <c r="L733" s="518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  <c r="AB733" s="518"/>
      <c r="AC733" s="518"/>
      <c r="AD733" s="518"/>
      <c r="AE733" s="518"/>
      <c r="AF733" s="518"/>
      <c r="AG733" s="518"/>
      <c r="AH733" s="518"/>
      <c r="AI733" s="518"/>
      <c r="AJ733" s="518"/>
      <c r="AK733" s="518"/>
      <c r="AL733" s="518"/>
      <c r="AM733" s="518"/>
      <c r="AN733" s="518"/>
      <c r="AO733" s="51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</row>
    <row r="734" spans="1:57" ht="12.75" customHeight="1">
      <c r="A734" s="518"/>
      <c r="B734" s="518"/>
      <c r="C734" s="518"/>
      <c r="D734" s="518"/>
      <c r="E734" s="518"/>
      <c r="F734" s="518"/>
      <c r="G734" s="518"/>
      <c r="H734" s="518"/>
      <c r="I734" s="518"/>
      <c r="J734" s="518"/>
      <c r="K734" s="518"/>
      <c r="L734" s="518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  <c r="AB734" s="518"/>
      <c r="AC734" s="518"/>
      <c r="AD734" s="518"/>
      <c r="AE734" s="518"/>
      <c r="AF734" s="518"/>
      <c r="AG734" s="518"/>
      <c r="AH734" s="518"/>
      <c r="AI734" s="518"/>
      <c r="AJ734" s="518"/>
      <c r="AK734" s="518"/>
      <c r="AL734" s="518"/>
      <c r="AM734" s="518"/>
      <c r="AN734" s="518"/>
      <c r="AO734" s="51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</row>
    <row r="735" spans="1:57" ht="12.75" customHeight="1">
      <c r="A735" s="518"/>
      <c r="B735" s="518"/>
      <c r="C735" s="518"/>
      <c r="D735" s="518"/>
      <c r="E735" s="518"/>
      <c r="F735" s="518"/>
      <c r="G735" s="518"/>
      <c r="H735" s="518"/>
      <c r="I735" s="518"/>
      <c r="J735" s="518"/>
      <c r="K735" s="518"/>
      <c r="L735" s="518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  <c r="AB735" s="518"/>
      <c r="AC735" s="518"/>
      <c r="AD735" s="518"/>
      <c r="AE735" s="518"/>
      <c r="AF735" s="518"/>
      <c r="AG735" s="518"/>
      <c r="AH735" s="518"/>
      <c r="AI735" s="518"/>
      <c r="AJ735" s="518"/>
      <c r="AK735" s="518"/>
      <c r="AL735" s="518"/>
      <c r="AM735" s="518"/>
      <c r="AN735" s="518"/>
      <c r="AO735" s="51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</row>
    <row r="736" spans="1:57" ht="12.75" customHeight="1">
      <c r="A736" s="518"/>
      <c r="B736" s="518"/>
      <c r="C736" s="518"/>
      <c r="D736" s="518"/>
      <c r="E736" s="518"/>
      <c r="F736" s="518"/>
      <c r="G736" s="518"/>
      <c r="H736" s="518"/>
      <c r="I736" s="518"/>
      <c r="J736" s="518"/>
      <c r="K736" s="518"/>
      <c r="L736" s="518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  <c r="AB736" s="518"/>
      <c r="AC736" s="518"/>
      <c r="AD736" s="518"/>
      <c r="AE736" s="518"/>
      <c r="AF736" s="518"/>
      <c r="AG736" s="518"/>
      <c r="AH736" s="518"/>
      <c r="AI736" s="518"/>
      <c r="AJ736" s="518"/>
      <c r="AK736" s="518"/>
      <c r="AL736" s="518"/>
      <c r="AM736" s="518"/>
      <c r="AN736" s="518"/>
      <c r="AO736" s="518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</row>
    <row r="737" spans="1:57" ht="12.75" customHeight="1">
      <c r="A737" s="518"/>
      <c r="B737" s="518"/>
      <c r="C737" s="518"/>
      <c r="D737" s="518"/>
      <c r="E737" s="518"/>
      <c r="F737" s="518"/>
      <c r="G737" s="518"/>
      <c r="H737" s="518"/>
      <c r="I737" s="518"/>
      <c r="J737" s="518"/>
      <c r="K737" s="518"/>
      <c r="L737" s="518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  <c r="AB737" s="518"/>
      <c r="AC737" s="518"/>
      <c r="AD737" s="518"/>
      <c r="AE737" s="518"/>
      <c r="AF737" s="518"/>
      <c r="AG737" s="518"/>
      <c r="AH737" s="518"/>
      <c r="AI737" s="518"/>
      <c r="AJ737" s="518"/>
      <c r="AK737" s="518"/>
      <c r="AL737" s="518"/>
      <c r="AM737" s="518"/>
      <c r="AN737" s="518"/>
      <c r="AO737" s="51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</row>
    <row r="738" spans="1:57" ht="12.75" customHeight="1">
      <c r="A738" s="518"/>
      <c r="B738" s="518"/>
      <c r="C738" s="518"/>
      <c r="D738" s="518"/>
      <c r="E738" s="518"/>
      <c r="F738" s="518"/>
      <c r="G738" s="518"/>
      <c r="H738" s="518"/>
      <c r="I738" s="518"/>
      <c r="J738" s="518"/>
      <c r="K738" s="518"/>
      <c r="L738" s="518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  <c r="AB738" s="518"/>
      <c r="AC738" s="518"/>
      <c r="AD738" s="518"/>
      <c r="AE738" s="518"/>
      <c r="AF738" s="518"/>
      <c r="AG738" s="518"/>
      <c r="AH738" s="518"/>
      <c r="AI738" s="518"/>
      <c r="AJ738" s="518"/>
      <c r="AK738" s="518"/>
      <c r="AL738" s="518"/>
      <c r="AM738" s="518"/>
      <c r="AN738" s="518"/>
      <c r="AO738" s="51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</row>
    <row r="739" spans="1:57" ht="12.75" customHeight="1">
      <c r="A739" s="518"/>
      <c r="B739" s="518"/>
      <c r="C739" s="518"/>
      <c r="D739" s="518"/>
      <c r="E739" s="518"/>
      <c r="F739" s="518"/>
      <c r="G739" s="518"/>
      <c r="H739" s="518"/>
      <c r="I739" s="518"/>
      <c r="J739" s="518"/>
      <c r="K739" s="518"/>
      <c r="L739" s="518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  <c r="AB739" s="518"/>
      <c r="AC739" s="518"/>
      <c r="AD739" s="518"/>
      <c r="AE739" s="518"/>
      <c r="AF739" s="518"/>
      <c r="AG739" s="518"/>
      <c r="AH739" s="518"/>
      <c r="AI739" s="518"/>
      <c r="AJ739" s="518"/>
      <c r="AK739" s="518"/>
      <c r="AL739" s="518"/>
      <c r="AM739" s="518"/>
      <c r="AN739" s="518"/>
      <c r="AO739" s="51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</row>
    <row r="740" spans="1:57" ht="12.75" customHeight="1">
      <c r="A740" s="518"/>
      <c r="B740" s="518"/>
      <c r="C740" s="518"/>
      <c r="D740" s="518"/>
      <c r="E740" s="518"/>
      <c r="F740" s="518"/>
      <c r="G740" s="518"/>
      <c r="H740" s="518"/>
      <c r="I740" s="518"/>
      <c r="J740" s="518"/>
      <c r="K740" s="518"/>
      <c r="L740" s="518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  <c r="AB740" s="518"/>
      <c r="AC740" s="518"/>
      <c r="AD740" s="518"/>
      <c r="AE740" s="518"/>
      <c r="AF740" s="518"/>
      <c r="AG740" s="518"/>
      <c r="AH740" s="518"/>
      <c r="AI740" s="518"/>
      <c r="AJ740" s="518"/>
      <c r="AK740" s="518"/>
      <c r="AL740" s="518"/>
      <c r="AM740" s="518"/>
      <c r="AN740" s="518"/>
      <c r="AO740" s="51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</row>
    <row r="741" spans="1:57" ht="12.75" customHeight="1">
      <c r="A741" s="518"/>
      <c r="B741" s="518"/>
      <c r="C741" s="518"/>
      <c r="D741" s="518"/>
      <c r="E741" s="518"/>
      <c r="F741" s="518"/>
      <c r="G741" s="518"/>
      <c r="H741" s="518"/>
      <c r="I741" s="518"/>
      <c r="J741" s="518"/>
      <c r="K741" s="518"/>
      <c r="L741" s="518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  <c r="AB741" s="518"/>
      <c r="AC741" s="518"/>
      <c r="AD741" s="518"/>
      <c r="AE741" s="518"/>
      <c r="AF741" s="518"/>
      <c r="AG741" s="518"/>
      <c r="AH741" s="518"/>
      <c r="AI741" s="518"/>
      <c r="AJ741" s="518"/>
      <c r="AK741" s="518"/>
      <c r="AL741" s="518"/>
      <c r="AM741" s="518"/>
      <c r="AN741" s="518"/>
      <c r="AO741" s="51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</row>
    <row r="742" spans="1:57" ht="12.75" customHeight="1">
      <c r="A742" s="518"/>
      <c r="B742" s="518"/>
      <c r="C742" s="518"/>
      <c r="D742" s="518"/>
      <c r="E742" s="518"/>
      <c r="F742" s="518"/>
      <c r="G742" s="518"/>
      <c r="H742" s="518"/>
      <c r="I742" s="518"/>
      <c r="J742" s="518"/>
      <c r="K742" s="518"/>
      <c r="L742" s="518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  <c r="AB742" s="518"/>
      <c r="AC742" s="518"/>
      <c r="AD742" s="518"/>
      <c r="AE742" s="518"/>
      <c r="AF742" s="518"/>
      <c r="AG742" s="518"/>
      <c r="AH742" s="518"/>
      <c r="AI742" s="518"/>
      <c r="AJ742" s="518"/>
      <c r="AK742" s="518"/>
      <c r="AL742" s="518"/>
      <c r="AM742" s="518"/>
      <c r="AN742" s="518"/>
      <c r="AO742" s="51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</row>
    <row r="743" spans="1:57" ht="12.75" customHeight="1">
      <c r="A743" s="518"/>
      <c r="B743" s="518"/>
      <c r="C743" s="518"/>
      <c r="D743" s="518"/>
      <c r="E743" s="518"/>
      <c r="F743" s="518"/>
      <c r="G743" s="518"/>
      <c r="H743" s="518"/>
      <c r="I743" s="518"/>
      <c r="J743" s="518"/>
      <c r="K743" s="518"/>
      <c r="L743" s="518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  <c r="AB743" s="518"/>
      <c r="AC743" s="518"/>
      <c r="AD743" s="518"/>
      <c r="AE743" s="518"/>
      <c r="AF743" s="518"/>
      <c r="AG743" s="518"/>
      <c r="AH743" s="518"/>
      <c r="AI743" s="518"/>
      <c r="AJ743" s="518"/>
      <c r="AK743" s="518"/>
      <c r="AL743" s="518"/>
      <c r="AM743" s="518"/>
      <c r="AN743" s="518"/>
      <c r="AO743" s="51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</row>
    <row r="744" spans="1:57" ht="12.75" customHeight="1">
      <c r="A744" s="518"/>
      <c r="B744" s="518"/>
      <c r="C744" s="518"/>
      <c r="D744" s="518"/>
      <c r="E744" s="518"/>
      <c r="F744" s="518"/>
      <c r="G744" s="518"/>
      <c r="H744" s="518"/>
      <c r="I744" s="518"/>
      <c r="J744" s="518"/>
      <c r="K744" s="518"/>
      <c r="L744" s="518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  <c r="AB744" s="518"/>
      <c r="AC744" s="518"/>
      <c r="AD744" s="518"/>
      <c r="AE744" s="518"/>
      <c r="AF744" s="518"/>
      <c r="AG744" s="518"/>
      <c r="AH744" s="518"/>
      <c r="AI744" s="518"/>
      <c r="AJ744" s="518"/>
      <c r="AK744" s="518"/>
      <c r="AL744" s="518"/>
      <c r="AM744" s="518"/>
      <c r="AN744" s="518"/>
      <c r="AO744" s="51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</row>
    <row r="745" spans="1:57" ht="12.75" customHeight="1">
      <c r="A745" s="518"/>
      <c r="B745" s="518"/>
      <c r="C745" s="518"/>
      <c r="D745" s="518"/>
      <c r="E745" s="518"/>
      <c r="F745" s="518"/>
      <c r="G745" s="518"/>
      <c r="H745" s="518"/>
      <c r="I745" s="518"/>
      <c r="J745" s="518"/>
      <c r="K745" s="518"/>
      <c r="L745" s="518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  <c r="AB745" s="518"/>
      <c r="AC745" s="518"/>
      <c r="AD745" s="518"/>
      <c r="AE745" s="518"/>
      <c r="AF745" s="518"/>
      <c r="AG745" s="518"/>
      <c r="AH745" s="518"/>
      <c r="AI745" s="518"/>
      <c r="AJ745" s="518"/>
      <c r="AK745" s="518"/>
      <c r="AL745" s="518"/>
      <c r="AM745" s="518"/>
      <c r="AN745" s="518"/>
      <c r="AO745" s="51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</row>
    <row r="746" spans="1:57" ht="12.75" customHeight="1">
      <c r="A746" s="518"/>
      <c r="B746" s="518"/>
      <c r="C746" s="518"/>
      <c r="D746" s="518"/>
      <c r="E746" s="518"/>
      <c r="F746" s="518"/>
      <c r="G746" s="518"/>
      <c r="H746" s="518"/>
      <c r="I746" s="518"/>
      <c r="J746" s="518"/>
      <c r="K746" s="518"/>
      <c r="L746" s="518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  <c r="AB746" s="518"/>
      <c r="AC746" s="518"/>
      <c r="AD746" s="518"/>
      <c r="AE746" s="518"/>
      <c r="AF746" s="518"/>
      <c r="AG746" s="518"/>
      <c r="AH746" s="518"/>
      <c r="AI746" s="518"/>
      <c r="AJ746" s="518"/>
      <c r="AK746" s="518"/>
      <c r="AL746" s="518"/>
      <c r="AM746" s="518"/>
      <c r="AN746" s="518"/>
      <c r="AO746" s="51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</row>
    <row r="747" spans="1:57" ht="12.75" customHeight="1">
      <c r="A747" s="518"/>
      <c r="B747" s="518"/>
      <c r="C747" s="518"/>
      <c r="D747" s="518"/>
      <c r="E747" s="518"/>
      <c r="F747" s="518"/>
      <c r="G747" s="518"/>
      <c r="H747" s="518"/>
      <c r="I747" s="518"/>
      <c r="J747" s="518"/>
      <c r="K747" s="518"/>
      <c r="L747" s="518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  <c r="AB747" s="518"/>
      <c r="AC747" s="518"/>
      <c r="AD747" s="518"/>
      <c r="AE747" s="518"/>
      <c r="AF747" s="518"/>
      <c r="AG747" s="518"/>
      <c r="AH747" s="518"/>
      <c r="AI747" s="518"/>
      <c r="AJ747" s="518"/>
      <c r="AK747" s="518"/>
      <c r="AL747" s="518"/>
      <c r="AM747" s="518"/>
      <c r="AN747" s="518"/>
      <c r="AO747" s="51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</row>
    <row r="748" spans="1:57" ht="12.75" customHeight="1">
      <c r="A748" s="518"/>
      <c r="B748" s="518"/>
      <c r="C748" s="518"/>
      <c r="D748" s="518"/>
      <c r="E748" s="518"/>
      <c r="F748" s="518"/>
      <c r="G748" s="518"/>
      <c r="H748" s="518"/>
      <c r="I748" s="518"/>
      <c r="J748" s="518"/>
      <c r="K748" s="518"/>
      <c r="L748" s="518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  <c r="AB748" s="518"/>
      <c r="AC748" s="518"/>
      <c r="AD748" s="518"/>
      <c r="AE748" s="518"/>
      <c r="AF748" s="518"/>
      <c r="AG748" s="518"/>
      <c r="AH748" s="518"/>
      <c r="AI748" s="518"/>
      <c r="AJ748" s="518"/>
      <c r="AK748" s="518"/>
      <c r="AL748" s="518"/>
      <c r="AM748" s="518"/>
      <c r="AN748" s="518"/>
      <c r="AO748" s="51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</row>
    <row r="749" spans="1:57" ht="12.75" customHeight="1">
      <c r="A749" s="518"/>
      <c r="B749" s="518"/>
      <c r="C749" s="518"/>
      <c r="D749" s="518"/>
      <c r="E749" s="518"/>
      <c r="F749" s="518"/>
      <c r="G749" s="518"/>
      <c r="H749" s="518"/>
      <c r="I749" s="518"/>
      <c r="J749" s="518"/>
      <c r="K749" s="518"/>
      <c r="L749" s="518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  <c r="AB749" s="518"/>
      <c r="AC749" s="518"/>
      <c r="AD749" s="518"/>
      <c r="AE749" s="518"/>
      <c r="AF749" s="518"/>
      <c r="AG749" s="518"/>
      <c r="AH749" s="518"/>
      <c r="AI749" s="518"/>
      <c r="AJ749" s="518"/>
      <c r="AK749" s="518"/>
      <c r="AL749" s="518"/>
      <c r="AM749" s="518"/>
      <c r="AN749" s="518"/>
      <c r="AO749" s="51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</row>
    <row r="750" spans="1:57" ht="12.75" customHeight="1">
      <c r="A750" s="518"/>
      <c r="B750" s="518"/>
      <c r="C750" s="518"/>
      <c r="D750" s="518"/>
      <c r="E750" s="518"/>
      <c r="F750" s="518"/>
      <c r="G750" s="518"/>
      <c r="H750" s="518"/>
      <c r="I750" s="518"/>
      <c r="J750" s="518"/>
      <c r="K750" s="518"/>
      <c r="L750" s="518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  <c r="AB750" s="518"/>
      <c r="AC750" s="518"/>
      <c r="AD750" s="518"/>
      <c r="AE750" s="518"/>
      <c r="AF750" s="518"/>
      <c r="AG750" s="518"/>
      <c r="AH750" s="518"/>
      <c r="AI750" s="518"/>
      <c r="AJ750" s="518"/>
      <c r="AK750" s="518"/>
      <c r="AL750" s="518"/>
      <c r="AM750" s="518"/>
      <c r="AN750" s="518"/>
      <c r="AO750" s="51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</row>
    <row r="751" spans="1:57" ht="12.75" customHeight="1">
      <c r="A751" s="518"/>
      <c r="B751" s="518"/>
      <c r="C751" s="518"/>
      <c r="D751" s="518"/>
      <c r="E751" s="518"/>
      <c r="F751" s="518"/>
      <c r="G751" s="518"/>
      <c r="H751" s="518"/>
      <c r="I751" s="518"/>
      <c r="J751" s="518"/>
      <c r="K751" s="518"/>
      <c r="L751" s="518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  <c r="AB751" s="518"/>
      <c r="AC751" s="518"/>
      <c r="AD751" s="518"/>
      <c r="AE751" s="518"/>
      <c r="AF751" s="518"/>
      <c r="AG751" s="518"/>
      <c r="AH751" s="518"/>
      <c r="AI751" s="518"/>
      <c r="AJ751" s="518"/>
      <c r="AK751" s="518"/>
      <c r="AL751" s="518"/>
      <c r="AM751" s="518"/>
      <c r="AN751" s="518"/>
      <c r="AO751" s="518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</row>
    <row r="752" spans="1:57" ht="12.75" customHeight="1">
      <c r="A752" s="518"/>
      <c r="B752" s="518"/>
      <c r="C752" s="518"/>
      <c r="D752" s="518"/>
      <c r="E752" s="518"/>
      <c r="F752" s="518"/>
      <c r="G752" s="518"/>
      <c r="H752" s="518"/>
      <c r="I752" s="518"/>
      <c r="J752" s="518"/>
      <c r="K752" s="518"/>
      <c r="L752" s="518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  <c r="AB752" s="518"/>
      <c r="AC752" s="518"/>
      <c r="AD752" s="518"/>
      <c r="AE752" s="518"/>
      <c r="AF752" s="518"/>
      <c r="AG752" s="518"/>
      <c r="AH752" s="518"/>
      <c r="AI752" s="518"/>
      <c r="AJ752" s="518"/>
      <c r="AK752" s="518"/>
      <c r="AL752" s="518"/>
      <c r="AM752" s="518"/>
      <c r="AN752" s="518"/>
      <c r="AO752" s="51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</row>
    <row r="753" spans="1:57" ht="12.75" customHeight="1">
      <c r="A753" s="518"/>
      <c r="B753" s="518"/>
      <c r="C753" s="518"/>
      <c r="D753" s="518"/>
      <c r="E753" s="518"/>
      <c r="F753" s="518"/>
      <c r="G753" s="518"/>
      <c r="H753" s="518"/>
      <c r="I753" s="518"/>
      <c r="J753" s="518"/>
      <c r="K753" s="518"/>
      <c r="L753" s="518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  <c r="AB753" s="518"/>
      <c r="AC753" s="518"/>
      <c r="AD753" s="518"/>
      <c r="AE753" s="518"/>
      <c r="AF753" s="518"/>
      <c r="AG753" s="518"/>
      <c r="AH753" s="518"/>
      <c r="AI753" s="518"/>
      <c r="AJ753" s="518"/>
      <c r="AK753" s="518"/>
      <c r="AL753" s="518"/>
      <c r="AM753" s="518"/>
      <c r="AN753" s="518"/>
      <c r="AO753" s="51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</row>
    <row r="754" spans="1:57" ht="12.75" customHeight="1">
      <c r="A754" s="518"/>
      <c r="B754" s="518"/>
      <c r="C754" s="518"/>
      <c r="D754" s="518"/>
      <c r="E754" s="518"/>
      <c r="F754" s="518"/>
      <c r="G754" s="518"/>
      <c r="H754" s="518"/>
      <c r="I754" s="518"/>
      <c r="J754" s="518"/>
      <c r="K754" s="518"/>
      <c r="L754" s="518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  <c r="AB754" s="518"/>
      <c r="AC754" s="518"/>
      <c r="AD754" s="518"/>
      <c r="AE754" s="518"/>
      <c r="AF754" s="518"/>
      <c r="AG754" s="518"/>
      <c r="AH754" s="518"/>
      <c r="AI754" s="518"/>
      <c r="AJ754" s="518"/>
      <c r="AK754" s="518"/>
      <c r="AL754" s="518"/>
      <c r="AM754" s="518"/>
      <c r="AN754" s="518"/>
      <c r="AO754" s="51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</row>
    <row r="755" spans="1:57" ht="12.75" customHeight="1">
      <c r="A755" s="518"/>
      <c r="B755" s="518"/>
      <c r="C755" s="518"/>
      <c r="D755" s="518"/>
      <c r="E755" s="518"/>
      <c r="F755" s="518"/>
      <c r="G755" s="518"/>
      <c r="H755" s="518"/>
      <c r="I755" s="518"/>
      <c r="J755" s="518"/>
      <c r="K755" s="518"/>
      <c r="L755" s="518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  <c r="AB755" s="518"/>
      <c r="AC755" s="518"/>
      <c r="AD755" s="518"/>
      <c r="AE755" s="518"/>
      <c r="AF755" s="518"/>
      <c r="AG755" s="518"/>
      <c r="AH755" s="518"/>
      <c r="AI755" s="518"/>
      <c r="AJ755" s="518"/>
      <c r="AK755" s="518"/>
      <c r="AL755" s="518"/>
      <c r="AM755" s="518"/>
      <c r="AN755" s="518"/>
      <c r="AO755" s="51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</row>
    <row r="756" spans="1:57" ht="12.75" customHeight="1">
      <c r="A756" s="518"/>
      <c r="B756" s="518"/>
      <c r="C756" s="518"/>
      <c r="D756" s="518"/>
      <c r="E756" s="518"/>
      <c r="F756" s="518"/>
      <c r="G756" s="518"/>
      <c r="H756" s="518"/>
      <c r="I756" s="518"/>
      <c r="J756" s="518"/>
      <c r="K756" s="518"/>
      <c r="L756" s="518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  <c r="AB756" s="518"/>
      <c r="AC756" s="518"/>
      <c r="AD756" s="518"/>
      <c r="AE756" s="518"/>
      <c r="AF756" s="518"/>
      <c r="AG756" s="518"/>
      <c r="AH756" s="518"/>
      <c r="AI756" s="518"/>
      <c r="AJ756" s="518"/>
      <c r="AK756" s="518"/>
      <c r="AL756" s="518"/>
      <c r="AM756" s="518"/>
      <c r="AN756" s="518"/>
      <c r="AO756" s="51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</row>
    <row r="757" spans="1:57" ht="12.75" customHeight="1">
      <c r="A757" s="518"/>
      <c r="B757" s="518"/>
      <c r="C757" s="518"/>
      <c r="D757" s="518"/>
      <c r="E757" s="518"/>
      <c r="F757" s="518"/>
      <c r="G757" s="518"/>
      <c r="H757" s="518"/>
      <c r="I757" s="518"/>
      <c r="J757" s="518"/>
      <c r="K757" s="518"/>
      <c r="L757" s="518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  <c r="AB757" s="518"/>
      <c r="AC757" s="518"/>
      <c r="AD757" s="518"/>
      <c r="AE757" s="518"/>
      <c r="AF757" s="518"/>
      <c r="AG757" s="518"/>
      <c r="AH757" s="518"/>
      <c r="AI757" s="518"/>
      <c r="AJ757" s="518"/>
      <c r="AK757" s="518"/>
      <c r="AL757" s="518"/>
      <c r="AM757" s="518"/>
      <c r="AN757" s="518"/>
      <c r="AO757" s="51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</row>
    <row r="758" spans="1:57" ht="12.75" customHeight="1">
      <c r="A758" s="518"/>
      <c r="B758" s="518"/>
      <c r="C758" s="518"/>
      <c r="D758" s="518"/>
      <c r="E758" s="518"/>
      <c r="F758" s="518"/>
      <c r="G758" s="518"/>
      <c r="H758" s="518"/>
      <c r="I758" s="518"/>
      <c r="J758" s="518"/>
      <c r="K758" s="518"/>
      <c r="L758" s="518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  <c r="AB758" s="518"/>
      <c r="AC758" s="518"/>
      <c r="AD758" s="518"/>
      <c r="AE758" s="518"/>
      <c r="AF758" s="518"/>
      <c r="AG758" s="518"/>
      <c r="AH758" s="518"/>
      <c r="AI758" s="518"/>
      <c r="AJ758" s="518"/>
      <c r="AK758" s="518"/>
      <c r="AL758" s="518"/>
      <c r="AM758" s="518"/>
      <c r="AN758" s="518"/>
      <c r="AO758" s="51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</row>
    <row r="759" spans="1:57" ht="12.75" customHeight="1">
      <c r="A759" s="518"/>
      <c r="B759" s="518"/>
      <c r="C759" s="518"/>
      <c r="D759" s="518"/>
      <c r="E759" s="518"/>
      <c r="F759" s="518"/>
      <c r="G759" s="518"/>
      <c r="H759" s="518"/>
      <c r="I759" s="518"/>
      <c r="J759" s="518"/>
      <c r="K759" s="518"/>
      <c r="L759" s="518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  <c r="AB759" s="518"/>
      <c r="AC759" s="518"/>
      <c r="AD759" s="518"/>
      <c r="AE759" s="518"/>
      <c r="AF759" s="518"/>
      <c r="AG759" s="518"/>
      <c r="AH759" s="518"/>
      <c r="AI759" s="518"/>
      <c r="AJ759" s="518"/>
      <c r="AK759" s="518"/>
      <c r="AL759" s="518"/>
      <c r="AM759" s="518"/>
      <c r="AN759" s="518"/>
      <c r="AO759" s="51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</row>
    <row r="760" spans="1:57" ht="12.75" customHeight="1">
      <c r="A760" s="518"/>
      <c r="B760" s="518"/>
      <c r="C760" s="518"/>
      <c r="D760" s="518"/>
      <c r="E760" s="518"/>
      <c r="F760" s="518"/>
      <c r="G760" s="518"/>
      <c r="H760" s="518"/>
      <c r="I760" s="518"/>
      <c r="J760" s="518"/>
      <c r="K760" s="518"/>
      <c r="L760" s="518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  <c r="AB760" s="518"/>
      <c r="AC760" s="518"/>
      <c r="AD760" s="518"/>
      <c r="AE760" s="518"/>
      <c r="AF760" s="518"/>
      <c r="AG760" s="518"/>
      <c r="AH760" s="518"/>
      <c r="AI760" s="518"/>
      <c r="AJ760" s="518"/>
      <c r="AK760" s="518"/>
      <c r="AL760" s="518"/>
      <c r="AM760" s="518"/>
      <c r="AN760" s="518"/>
      <c r="AO760" s="51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</row>
    <row r="761" spans="1:57" ht="12.75" customHeight="1">
      <c r="A761" s="518"/>
      <c r="B761" s="518"/>
      <c r="C761" s="518"/>
      <c r="D761" s="518"/>
      <c r="E761" s="518"/>
      <c r="F761" s="518"/>
      <c r="G761" s="518"/>
      <c r="H761" s="518"/>
      <c r="I761" s="518"/>
      <c r="J761" s="518"/>
      <c r="K761" s="518"/>
      <c r="L761" s="518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  <c r="AB761" s="518"/>
      <c r="AC761" s="518"/>
      <c r="AD761" s="518"/>
      <c r="AE761" s="518"/>
      <c r="AF761" s="518"/>
      <c r="AG761" s="518"/>
      <c r="AH761" s="518"/>
      <c r="AI761" s="518"/>
      <c r="AJ761" s="518"/>
      <c r="AK761" s="518"/>
      <c r="AL761" s="518"/>
      <c r="AM761" s="518"/>
      <c r="AN761" s="518"/>
      <c r="AO761" s="51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</row>
    <row r="762" spans="1:57" ht="12.75" customHeight="1">
      <c r="A762" s="518"/>
      <c r="B762" s="518"/>
      <c r="C762" s="518"/>
      <c r="D762" s="518"/>
      <c r="E762" s="518"/>
      <c r="F762" s="518"/>
      <c r="G762" s="518"/>
      <c r="H762" s="518"/>
      <c r="I762" s="518"/>
      <c r="J762" s="518"/>
      <c r="K762" s="518"/>
      <c r="L762" s="518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  <c r="AB762" s="518"/>
      <c r="AC762" s="518"/>
      <c r="AD762" s="518"/>
      <c r="AE762" s="518"/>
      <c r="AF762" s="518"/>
      <c r="AG762" s="518"/>
      <c r="AH762" s="518"/>
      <c r="AI762" s="518"/>
      <c r="AJ762" s="518"/>
      <c r="AK762" s="518"/>
      <c r="AL762" s="518"/>
      <c r="AM762" s="518"/>
      <c r="AN762" s="518"/>
      <c r="AO762" s="51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</row>
    <row r="763" spans="1:57" ht="12.75" customHeight="1">
      <c r="A763" s="518"/>
      <c r="B763" s="518"/>
      <c r="C763" s="518"/>
      <c r="D763" s="518"/>
      <c r="E763" s="518"/>
      <c r="F763" s="518"/>
      <c r="G763" s="518"/>
      <c r="H763" s="518"/>
      <c r="I763" s="518"/>
      <c r="J763" s="518"/>
      <c r="K763" s="518"/>
      <c r="L763" s="518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  <c r="AB763" s="518"/>
      <c r="AC763" s="518"/>
      <c r="AD763" s="518"/>
      <c r="AE763" s="518"/>
      <c r="AF763" s="518"/>
      <c r="AG763" s="518"/>
      <c r="AH763" s="518"/>
      <c r="AI763" s="518"/>
      <c r="AJ763" s="518"/>
      <c r="AK763" s="518"/>
      <c r="AL763" s="518"/>
      <c r="AM763" s="518"/>
      <c r="AN763" s="518"/>
      <c r="AO763" s="51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</row>
    <row r="764" spans="1:57" ht="12.75" customHeight="1">
      <c r="A764" s="518"/>
      <c r="B764" s="518"/>
      <c r="C764" s="518"/>
      <c r="D764" s="518"/>
      <c r="E764" s="518"/>
      <c r="F764" s="518"/>
      <c r="G764" s="518"/>
      <c r="H764" s="518"/>
      <c r="I764" s="518"/>
      <c r="J764" s="518"/>
      <c r="K764" s="518"/>
      <c r="L764" s="518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  <c r="AB764" s="518"/>
      <c r="AC764" s="518"/>
      <c r="AD764" s="518"/>
      <c r="AE764" s="518"/>
      <c r="AF764" s="518"/>
      <c r="AG764" s="518"/>
      <c r="AH764" s="518"/>
      <c r="AI764" s="518"/>
      <c r="AJ764" s="518"/>
      <c r="AK764" s="518"/>
      <c r="AL764" s="518"/>
      <c r="AM764" s="518"/>
      <c r="AN764" s="518"/>
      <c r="AO764" s="51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</row>
    <row r="765" spans="1:57" ht="12.75" customHeight="1">
      <c r="A765" s="518"/>
      <c r="B765" s="518"/>
      <c r="C765" s="518"/>
      <c r="D765" s="518"/>
      <c r="E765" s="518"/>
      <c r="F765" s="518"/>
      <c r="G765" s="518"/>
      <c r="H765" s="518"/>
      <c r="I765" s="518"/>
      <c r="J765" s="518"/>
      <c r="K765" s="518"/>
      <c r="L765" s="518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  <c r="AB765" s="518"/>
      <c r="AC765" s="518"/>
      <c r="AD765" s="518"/>
      <c r="AE765" s="518"/>
      <c r="AF765" s="518"/>
      <c r="AG765" s="518"/>
      <c r="AH765" s="518"/>
      <c r="AI765" s="518"/>
      <c r="AJ765" s="518"/>
      <c r="AK765" s="518"/>
      <c r="AL765" s="518"/>
      <c r="AM765" s="518"/>
      <c r="AN765" s="518"/>
      <c r="AO765" s="518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</row>
    <row r="766" spans="1:57" ht="12.75" customHeight="1">
      <c r="A766" s="518"/>
      <c r="B766" s="518"/>
      <c r="C766" s="518"/>
      <c r="D766" s="518"/>
      <c r="E766" s="518"/>
      <c r="F766" s="518"/>
      <c r="G766" s="518"/>
      <c r="H766" s="518"/>
      <c r="I766" s="518"/>
      <c r="J766" s="518"/>
      <c r="K766" s="518"/>
      <c r="L766" s="518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  <c r="AB766" s="518"/>
      <c r="AC766" s="518"/>
      <c r="AD766" s="518"/>
      <c r="AE766" s="518"/>
      <c r="AF766" s="518"/>
      <c r="AG766" s="518"/>
      <c r="AH766" s="518"/>
      <c r="AI766" s="518"/>
      <c r="AJ766" s="518"/>
      <c r="AK766" s="518"/>
      <c r="AL766" s="518"/>
      <c r="AM766" s="518"/>
      <c r="AN766" s="518"/>
      <c r="AO766" s="51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</row>
    <row r="767" spans="1:57" ht="12.75" customHeight="1">
      <c r="A767" s="518"/>
      <c r="B767" s="518"/>
      <c r="C767" s="518"/>
      <c r="D767" s="518"/>
      <c r="E767" s="518"/>
      <c r="F767" s="518"/>
      <c r="G767" s="518"/>
      <c r="H767" s="518"/>
      <c r="I767" s="518"/>
      <c r="J767" s="518"/>
      <c r="K767" s="518"/>
      <c r="L767" s="518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  <c r="AB767" s="518"/>
      <c r="AC767" s="518"/>
      <c r="AD767" s="518"/>
      <c r="AE767" s="518"/>
      <c r="AF767" s="518"/>
      <c r="AG767" s="518"/>
      <c r="AH767" s="518"/>
      <c r="AI767" s="518"/>
      <c r="AJ767" s="518"/>
      <c r="AK767" s="518"/>
      <c r="AL767" s="518"/>
      <c r="AM767" s="518"/>
      <c r="AN767" s="518"/>
      <c r="AO767" s="518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</row>
    <row r="768" spans="1:57" ht="12.75" customHeight="1">
      <c r="A768" s="518"/>
      <c r="B768" s="518"/>
      <c r="C768" s="518"/>
      <c r="D768" s="518"/>
      <c r="E768" s="518"/>
      <c r="F768" s="518"/>
      <c r="G768" s="518"/>
      <c r="H768" s="518"/>
      <c r="I768" s="518"/>
      <c r="J768" s="518"/>
      <c r="K768" s="518"/>
      <c r="L768" s="518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  <c r="AB768" s="518"/>
      <c r="AC768" s="518"/>
      <c r="AD768" s="518"/>
      <c r="AE768" s="518"/>
      <c r="AF768" s="518"/>
      <c r="AG768" s="518"/>
      <c r="AH768" s="518"/>
      <c r="AI768" s="518"/>
      <c r="AJ768" s="518"/>
      <c r="AK768" s="518"/>
      <c r="AL768" s="518"/>
      <c r="AM768" s="518"/>
      <c r="AN768" s="518"/>
      <c r="AO768" s="518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</row>
    <row r="769" spans="1:57" ht="12.75" customHeight="1">
      <c r="A769" s="518"/>
      <c r="B769" s="518"/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  <c r="AB769" s="518"/>
      <c r="AC769" s="518"/>
      <c r="AD769" s="518"/>
      <c r="AE769" s="518"/>
      <c r="AF769" s="518"/>
      <c r="AG769" s="518"/>
      <c r="AH769" s="518"/>
      <c r="AI769" s="518"/>
      <c r="AJ769" s="518"/>
      <c r="AK769" s="518"/>
      <c r="AL769" s="518"/>
      <c r="AM769" s="518"/>
      <c r="AN769" s="518"/>
      <c r="AO769" s="518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</row>
    <row r="770" spans="1:57" ht="12.75" customHeight="1">
      <c r="A770" s="518"/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</row>
    <row r="771" spans="1:57" ht="12.75" customHeight="1">
      <c r="A771" s="518"/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</row>
    <row r="772" spans="1:57" ht="12.75" customHeight="1">
      <c r="A772" s="518"/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</row>
    <row r="773" spans="1:57" ht="12.75" customHeight="1">
      <c r="A773" s="518"/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</row>
    <row r="774" spans="1:57" ht="12.75" customHeight="1">
      <c r="A774" s="518"/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</row>
    <row r="775" spans="1:57" ht="12.75" customHeight="1">
      <c r="A775" s="518"/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</row>
    <row r="776" spans="1:57" ht="12.75" customHeight="1">
      <c r="A776" s="518"/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</row>
    <row r="777" spans="1:57" ht="12.75" customHeight="1">
      <c r="A777" s="518"/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</row>
    <row r="778" spans="1:57" ht="12.75" customHeight="1">
      <c r="A778" s="518"/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</row>
    <row r="779" spans="1:57" ht="12.75" customHeight="1">
      <c r="A779" s="518"/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</row>
    <row r="780" spans="1:57" ht="12.75" customHeight="1">
      <c r="A780" s="518"/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</row>
    <row r="781" spans="1:57" ht="12.75" customHeight="1">
      <c r="A781" s="518"/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</row>
    <row r="782" spans="1:57" ht="12.75" customHeight="1">
      <c r="A782" s="518"/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</row>
    <row r="783" spans="1:57" ht="12.75" customHeight="1">
      <c r="A783" s="518"/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</row>
    <row r="784" spans="1:57" ht="12.75" customHeight="1">
      <c r="A784" s="518"/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</row>
    <row r="785" spans="1:57" ht="12.75" customHeight="1">
      <c r="A785" s="518"/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</row>
    <row r="786" spans="1:57" ht="12.75" customHeight="1">
      <c r="A786" s="518"/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</row>
    <row r="787" spans="1:57" ht="12.75" customHeight="1">
      <c r="A787" s="518"/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</row>
    <row r="788" spans="1:57" ht="12.75" customHeight="1">
      <c r="A788" s="518"/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</row>
    <row r="789" spans="1:57" ht="12.75" customHeight="1">
      <c r="A789" s="518"/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</row>
    <row r="790" spans="1:57" ht="12.75" customHeight="1">
      <c r="A790" s="518"/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</row>
    <row r="791" spans="1:57" ht="12.75" customHeight="1">
      <c r="A791" s="518"/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</row>
    <row r="792" spans="1:57" ht="12.75" customHeight="1">
      <c r="A792" s="518"/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</row>
    <row r="793" spans="1:57" ht="12.75" customHeight="1">
      <c r="A793" s="518"/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</row>
    <row r="794" spans="1:57" ht="12.75" customHeight="1">
      <c r="A794" s="518"/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</row>
    <row r="795" spans="1:57" ht="12.75" customHeight="1">
      <c r="A795" s="518"/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</row>
    <row r="796" spans="1:57" ht="12.75" customHeight="1">
      <c r="A796" s="518"/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</row>
    <row r="797" spans="1:57" ht="12.75" customHeight="1">
      <c r="A797" s="518"/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</row>
    <row r="798" spans="1:57" ht="12.75" customHeight="1">
      <c r="A798" s="518"/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</row>
    <row r="799" spans="1:57" ht="12.75" customHeight="1">
      <c r="A799" s="518"/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</row>
    <row r="800" spans="1:57" ht="12.75" customHeight="1">
      <c r="A800" s="518"/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</row>
    <row r="801" spans="1:57" ht="12.75" customHeight="1">
      <c r="A801" s="518"/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</row>
    <row r="802" spans="1:57" ht="12.75" customHeight="1">
      <c r="A802" s="518"/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</row>
    <row r="803" spans="1:57" ht="12.75" customHeight="1">
      <c r="A803" s="518"/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</row>
    <row r="804" spans="1:57" ht="12.75" customHeight="1">
      <c r="A804" s="518"/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</row>
    <row r="805" spans="1:57" ht="12.75" customHeight="1">
      <c r="A805" s="518"/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</row>
    <row r="806" spans="1:57" ht="12.75" customHeight="1">
      <c r="A806" s="518"/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</row>
    <row r="807" spans="1:57" ht="12.75" customHeight="1">
      <c r="A807" s="518"/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</row>
    <row r="808" spans="1:57" ht="12.75" customHeight="1">
      <c r="A808" s="518"/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</row>
    <row r="809" spans="1:57" ht="12.75" customHeight="1">
      <c r="A809" s="518"/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</row>
    <row r="810" spans="1:57" ht="12.75" customHeight="1">
      <c r="A810" s="518"/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</row>
    <row r="811" spans="1:57" ht="12.75" customHeight="1">
      <c r="A811" s="518"/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</row>
    <row r="812" spans="1:57" ht="12.75" customHeight="1">
      <c r="A812" s="518"/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</row>
    <row r="813" spans="1:57" ht="12.75" customHeight="1">
      <c r="A813" s="518"/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</row>
    <row r="814" spans="1:57" ht="12.75" customHeight="1">
      <c r="A814" s="518"/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</row>
    <row r="815" spans="1:57" ht="12.75" customHeight="1">
      <c r="A815" s="518"/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</row>
    <row r="816" spans="1:57" ht="12.75" customHeight="1">
      <c r="A816" s="518"/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</row>
    <row r="817" spans="1:57" ht="12.75" customHeight="1">
      <c r="A817" s="518"/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</row>
    <row r="818" spans="1:57" ht="12.75" customHeight="1">
      <c r="A818" s="518"/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</row>
    <row r="819" spans="1:57" ht="12.75" customHeight="1">
      <c r="A819" s="518"/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</row>
    <row r="820" spans="1:57" ht="12.75" customHeight="1">
      <c r="A820" s="518"/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</row>
    <row r="821" spans="1:57" ht="12.75" customHeight="1">
      <c r="A821" s="518"/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</row>
    <row r="822" spans="1:57" ht="12.75" customHeight="1">
      <c r="A822" s="518"/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</row>
    <row r="823" spans="1:57" ht="12.75" customHeight="1">
      <c r="A823" s="518"/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</row>
    <row r="824" spans="1:57" ht="12.75" customHeight="1">
      <c r="A824" s="518"/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</row>
    <row r="825" spans="1:57" ht="12.75" customHeight="1">
      <c r="A825" s="518"/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</row>
    <row r="826" spans="1:57" ht="12.75" customHeight="1">
      <c r="A826" s="518"/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</row>
    <row r="827" spans="1:57" ht="12.75" customHeight="1">
      <c r="A827" s="518"/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</row>
    <row r="828" spans="1:57" ht="12.75" customHeight="1">
      <c r="A828" s="518"/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</row>
    <row r="829" spans="1:57" ht="12.75" customHeight="1">
      <c r="A829" s="518"/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</row>
    <row r="830" spans="1:57" ht="12.75" customHeight="1">
      <c r="A830" s="518"/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</row>
    <row r="831" spans="1:57" ht="12.75" customHeight="1">
      <c r="A831" s="518"/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</row>
    <row r="832" spans="1:57" ht="12.75" customHeight="1">
      <c r="A832" s="518"/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</row>
    <row r="833" spans="1:57" ht="12.75" customHeight="1">
      <c r="A833" s="518"/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</row>
    <row r="834" spans="1:57" ht="12.75" customHeight="1">
      <c r="A834" s="518"/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</row>
    <row r="835" spans="1:57" ht="12.75" customHeight="1">
      <c r="A835" s="518"/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</row>
    <row r="836" spans="1:57" ht="12.75" customHeight="1">
      <c r="A836" s="518"/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</row>
    <row r="837" spans="1:57" ht="12.75" customHeight="1">
      <c r="A837" s="518"/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</row>
    <row r="838" spans="1:57" ht="12.75" customHeight="1">
      <c r="A838" s="518"/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</row>
    <row r="839" spans="1:57" ht="12.75" customHeight="1">
      <c r="A839" s="518"/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</row>
    <row r="840" spans="1:57" ht="12.75" customHeight="1">
      <c r="A840" s="518"/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</row>
    <row r="841" spans="1:57" ht="12.75" customHeight="1">
      <c r="A841" s="518"/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</row>
    <row r="842" spans="1:57" ht="12.75" customHeight="1">
      <c r="A842" s="518"/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</row>
    <row r="843" spans="1:57" ht="12.75" customHeight="1">
      <c r="A843" s="518"/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</row>
    <row r="844" spans="1:57" ht="12.75" customHeight="1">
      <c r="A844" s="518"/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</row>
    <row r="845" spans="1:57" ht="12.75" customHeight="1">
      <c r="A845" s="518"/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</row>
    <row r="846" spans="1:57" ht="12.75" customHeight="1">
      <c r="A846" s="518"/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</row>
    <row r="847" spans="1:57" ht="12.75" customHeight="1">
      <c r="A847" s="518"/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</row>
    <row r="848" spans="1:57" ht="12.75" customHeight="1">
      <c r="A848" s="518"/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</row>
    <row r="849" spans="1:57" ht="12.75" customHeight="1">
      <c r="A849" s="518"/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</row>
    <row r="850" spans="1:57" ht="12.75" customHeight="1">
      <c r="A850" s="518"/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</row>
    <row r="851" spans="1:57" ht="12.75" customHeight="1">
      <c r="A851" s="518"/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</row>
    <row r="852" spans="1:57" ht="12.75" customHeight="1">
      <c r="A852" s="518"/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</row>
    <row r="853" spans="1:57" ht="12.75" customHeight="1">
      <c r="A853" s="518"/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</row>
    <row r="854" spans="1:57" ht="12.75" customHeight="1">
      <c r="A854" s="518"/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</row>
    <row r="855" spans="1:57" ht="12.75" customHeight="1">
      <c r="A855" s="518"/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</row>
    <row r="856" spans="1:57" ht="12.75" customHeight="1">
      <c r="A856" s="518"/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</row>
    <row r="857" spans="1:57" ht="12.75" customHeight="1">
      <c r="A857" s="518"/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</row>
    <row r="858" spans="1:57" ht="12.75" customHeight="1">
      <c r="A858" s="518"/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</row>
    <row r="859" spans="1:57" ht="12.75" customHeight="1">
      <c r="A859" s="518"/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</row>
    <row r="860" spans="1:57" ht="12.75" customHeight="1">
      <c r="A860" s="518"/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</row>
    <row r="861" spans="1:57" ht="12.75" customHeight="1">
      <c r="A861" s="518"/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</row>
    <row r="862" spans="1:57" ht="12.75" customHeight="1">
      <c r="A862" s="518"/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</row>
    <row r="863" spans="1:57" ht="12.75" customHeight="1">
      <c r="A863" s="518"/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</row>
    <row r="864" spans="1:57" ht="12.75" customHeight="1">
      <c r="A864" s="518"/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</row>
    <row r="865" spans="1:57" ht="12.75" customHeight="1">
      <c r="A865" s="518"/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</row>
    <row r="866" spans="1:57" ht="12.75" customHeight="1">
      <c r="A866" s="518"/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</row>
    <row r="867" spans="1:57" ht="12.75" customHeight="1">
      <c r="A867" s="518"/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</row>
    <row r="868" spans="1:57" ht="12.75" customHeight="1">
      <c r="A868" s="518"/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</row>
    <row r="869" spans="1:57" ht="12.75" customHeight="1">
      <c r="A869" s="518"/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</row>
    <row r="870" spans="1:57" ht="12.75" customHeight="1">
      <c r="A870" s="518"/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</row>
    <row r="871" spans="1:57" ht="12.75" customHeight="1">
      <c r="A871" s="518"/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</row>
    <row r="872" spans="1:57" ht="12.75" customHeight="1">
      <c r="A872" s="518"/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</row>
    <row r="873" spans="1:57" ht="12.75" customHeight="1">
      <c r="A873" s="518"/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</row>
    <row r="874" spans="1:57" ht="12.75" customHeight="1">
      <c r="A874" s="518"/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</row>
    <row r="875" spans="1:57" ht="12.75" customHeight="1">
      <c r="A875" s="518"/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</row>
    <row r="876" spans="1:57" ht="12.75" customHeight="1">
      <c r="A876" s="518"/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</row>
    <row r="877" spans="1:57" ht="12.75" customHeight="1">
      <c r="A877" s="518"/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</row>
    <row r="878" spans="1:57" ht="12.75" customHeight="1">
      <c r="A878" s="518"/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</row>
    <row r="879" spans="1:57" ht="12.75" customHeight="1">
      <c r="A879" s="518"/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</row>
    <row r="880" spans="1:57" ht="12.75" customHeight="1">
      <c r="A880" s="518"/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</row>
    <row r="881" spans="1:57" ht="12.75" customHeight="1">
      <c r="A881" s="518"/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</row>
    <row r="882" spans="1:57" ht="12.75" customHeight="1">
      <c r="A882" s="518"/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</row>
    <row r="883" spans="1:57" ht="12.75" customHeight="1">
      <c r="A883" s="518"/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</row>
    <row r="884" spans="1:57" ht="12.75" customHeight="1">
      <c r="A884" s="518"/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</row>
    <row r="885" spans="1:57" ht="12.75" customHeight="1">
      <c r="A885" s="518"/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</row>
    <row r="886" spans="1:57" ht="12.75" customHeight="1">
      <c r="A886" s="518"/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</row>
    <row r="887" spans="1:57" ht="12.75" customHeight="1">
      <c r="A887" s="518"/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</row>
    <row r="888" spans="1:57" ht="12.75" customHeight="1">
      <c r="A888" s="518"/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</row>
    <row r="889" spans="1:57" ht="12.75" customHeight="1">
      <c r="A889" s="518"/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</row>
    <row r="890" spans="1:57" ht="12.75" customHeight="1">
      <c r="A890" s="518"/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</row>
    <row r="891" spans="1:57" ht="12.75" customHeight="1">
      <c r="A891" s="518"/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</row>
    <row r="892" spans="1:57" ht="12.75" customHeight="1">
      <c r="A892" s="518"/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</row>
    <row r="893" spans="1:57" ht="12.75" customHeight="1">
      <c r="A893" s="518"/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</row>
    <row r="894" spans="1:57" ht="12.75" customHeight="1">
      <c r="A894" s="518"/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</row>
    <row r="895" spans="1:57" ht="12.75" customHeight="1">
      <c r="A895" s="518"/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</row>
    <row r="896" spans="1:57" ht="12.75" customHeight="1">
      <c r="A896" s="518"/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</row>
    <row r="897" spans="1:57" ht="12.75" customHeight="1">
      <c r="A897" s="518"/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</row>
    <row r="898" spans="1:57" ht="12.75" customHeight="1">
      <c r="A898" s="518"/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</row>
    <row r="899" spans="1:57" ht="12.75" customHeight="1">
      <c r="A899" s="518"/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</row>
    <row r="900" spans="1:57" ht="12.75" customHeight="1">
      <c r="A900" s="518"/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</row>
    <row r="901" spans="1:57" ht="12.75" customHeight="1">
      <c r="A901" s="518"/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</row>
    <row r="902" spans="1:57" ht="12.75" customHeight="1">
      <c r="A902" s="518"/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</row>
    <row r="903" spans="1:57" ht="12.75" customHeight="1">
      <c r="A903" s="518"/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</row>
    <row r="904" spans="1:57" ht="12.75" customHeight="1">
      <c r="A904" s="518"/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</row>
    <row r="905" spans="1:57" ht="12.75" customHeight="1">
      <c r="A905" s="518"/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</row>
    <row r="906" spans="1:57" ht="12.75" customHeight="1">
      <c r="A906" s="518"/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</row>
    <row r="907" spans="1:57" ht="12.75" customHeight="1">
      <c r="A907" s="518"/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</row>
    <row r="908" spans="1:57" ht="12.75" customHeight="1">
      <c r="A908" s="518"/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</row>
    <row r="909" spans="1:57" ht="12.75" customHeight="1">
      <c r="A909" s="518"/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</row>
    <row r="910" spans="1:57" ht="12.75" customHeight="1">
      <c r="A910" s="518"/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</row>
    <row r="911" spans="1:57" ht="12.75" customHeight="1">
      <c r="A911" s="518"/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</row>
    <row r="912" spans="1:57" ht="12.75" customHeight="1">
      <c r="A912" s="518"/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</row>
    <row r="913" spans="1:57" ht="12.75" customHeight="1">
      <c r="A913" s="518"/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</row>
    <row r="914" spans="1:57" ht="12.75" customHeight="1">
      <c r="A914" s="518"/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</row>
    <row r="915" spans="1:57" ht="12.75" customHeight="1">
      <c r="A915" s="518"/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</row>
    <row r="916" spans="1:57" ht="12.75" customHeight="1">
      <c r="A916" s="518"/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</row>
    <row r="917" spans="1:57" ht="12.75" customHeight="1">
      <c r="A917" s="518"/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</row>
    <row r="918" spans="1:57" ht="12.75" customHeight="1">
      <c r="A918" s="518"/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</row>
    <row r="919" spans="1:57" ht="12.75" customHeight="1">
      <c r="A919" s="518"/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</row>
    <row r="920" spans="1:57" ht="12.75" customHeight="1">
      <c r="A920" s="518"/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</row>
    <row r="921" spans="1:57" ht="12.75" customHeight="1">
      <c r="A921" s="518"/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</row>
    <row r="922" spans="1:57" ht="12.75" customHeight="1">
      <c r="A922" s="518"/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</row>
    <row r="923" spans="1:57" ht="12.75" customHeight="1">
      <c r="A923" s="518"/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</row>
    <row r="924" spans="1:57" ht="12.75" customHeight="1">
      <c r="A924" s="518"/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</row>
    <row r="925" spans="1:57" ht="12.75" customHeight="1">
      <c r="A925" s="518"/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</row>
    <row r="926" spans="1:57" ht="12.75" customHeight="1">
      <c r="A926" s="518"/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</row>
    <row r="927" spans="1:57" ht="12.75" customHeight="1">
      <c r="A927" s="518"/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</row>
    <row r="928" spans="1:57" ht="12.75" customHeight="1">
      <c r="A928" s="518"/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</row>
    <row r="929" spans="1:57" ht="12.75" customHeight="1">
      <c r="A929" s="518"/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</row>
    <row r="930" spans="1:57" ht="12.75" customHeight="1">
      <c r="A930" s="518"/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</row>
    <row r="931" spans="1:57" ht="12.75" customHeight="1">
      <c r="A931" s="518"/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</row>
    <row r="932" spans="1:57" ht="12.75" customHeight="1">
      <c r="A932" s="518"/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</row>
    <row r="933" spans="1:57" ht="12.75" customHeight="1">
      <c r="A933" s="518"/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</row>
    <row r="934" spans="1:57" ht="12.75" customHeight="1">
      <c r="A934" s="518"/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</row>
    <row r="935" spans="1:57" ht="12.75" customHeight="1">
      <c r="A935" s="518"/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</row>
    <row r="936" spans="1:57" ht="12.75" customHeight="1">
      <c r="A936" s="518"/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</row>
    <row r="937" spans="1:57" ht="12.75" customHeight="1">
      <c r="A937" s="518"/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</row>
    <row r="938" spans="1:57" ht="12.75" customHeight="1">
      <c r="A938" s="518"/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</row>
    <row r="939" spans="1:57" ht="12.75" customHeight="1">
      <c r="A939" s="518"/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</row>
    <row r="940" spans="1:57" ht="12.75" customHeight="1">
      <c r="A940" s="518"/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</row>
    <row r="941" spans="1:57" ht="12.75" customHeight="1">
      <c r="A941" s="518"/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</row>
    <row r="942" spans="1:57" ht="12.75" customHeight="1">
      <c r="A942" s="518"/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</row>
    <row r="943" spans="1:57" ht="12.75" customHeight="1">
      <c r="A943" s="518"/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</row>
    <row r="944" spans="1:57" ht="12.75" customHeight="1">
      <c r="A944" s="518"/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</row>
    <row r="945" spans="1:57" ht="12.75" customHeight="1">
      <c r="A945" s="518"/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</row>
    <row r="946" spans="1:57" ht="12.75" customHeight="1">
      <c r="A946" s="518"/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</row>
    <row r="947" spans="1:57" ht="12.75" customHeight="1">
      <c r="A947" s="518"/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</row>
    <row r="948" spans="1:57" ht="12.75" customHeight="1">
      <c r="A948" s="518"/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</row>
    <row r="949" spans="1:57" ht="12.75" customHeight="1">
      <c r="A949" s="518"/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</row>
    <row r="950" spans="1:57" ht="12.75" customHeight="1">
      <c r="A950" s="518"/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</row>
    <row r="951" spans="1:57" ht="12.75" customHeight="1">
      <c r="A951" s="518"/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</row>
    <row r="952" spans="1:57" ht="12.75" customHeight="1">
      <c r="A952" s="518"/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</row>
    <row r="953" spans="1:57" ht="12.75" customHeight="1">
      <c r="A953" s="518"/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</row>
    <row r="954" spans="1:57" ht="12.75" customHeight="1">
      <c r="A954" s="518"/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</row>
    <row r="955" spans="1:57" ht="12.75" customHeight="1">
      <c r="A955" s="518"/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</row>
    <row r="956" spans="1:57" ht="12.75" customHeight="1">
      <c r="A956" s="518"/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</row>
    <row r="957" spans="1:57" ht="12.75" customHeight="1">
      <c r="A957" s="518"/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</row>
    <row r="958" spans="1:57" ht="12.75" customHeight="1">
      <c r="A958" s="518"/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</row>
    <row r="959" spans="1:57" ht="12.75" customHeight="1">
      <c r="A959" s="518"/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</row>
    <row r="960" spans="1:57" ht="12.75" customHeight="1">
      <c r="A960" s="518"/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</row>
    <row r="961" spans="1:57" ht="12.75" customHeight="1">
      <c r="A961" s="518"/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</row>
    <row r="962" spans="1:57" ht="12.75" customHeight="1">
      <c r="A962" s="518"/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</row>
    <row r="963" spans="1:57" ht="12.75" customHeight="1">
      <c r="A963" s="518"/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</row>
    <row r="964" spans="1:57" ht="12.75" customHeight="1">
      <c r="A964" s="518"/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</row>
    <row r="965" spans="1:57" ht="12.75" customHeight="1">
      <c r="A965" s="518"/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</row>
    <row r="966" spans="1:57" ht="12.75" customHeight="1">
      <c r="A966" s="518"/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</row>
    <row r="967" spans="1:57" ht="12.75" customHeight="1">
      <c r="A967" s="518"/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</row>
    <row r="968" spans="1:57" ht="12.75" customHeight="1">
      <c r="A968" s="518"/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</row>
    <row r="969" spans="1:57" ht="12.75" customHeight="1">
      <c r="A969" s="518"/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</row>
    <row r="970" spans="1:57" ht="12.75" customHeight="1">
      <c r="A970" s="518"/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</row>
    <row r="971" spans="1:57" ht="12.75" customHeight="1">
      <c r="A971" s="518"/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</row>
    <row r="972" spans="1:57" ht="12.75" customHeight="1">
      <c r="A972" s="518"/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</row>
    <row r="973" spans="1:57" ht="12.75" customHeight="1">
      <c r="A973" s="518"/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</row>
    <row r="974" spans="1:57" ht="12.75" customHeight="1">
      <c r="A974" s="518"/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</row>
    <row r="975" spans="1:57" ht="12.75" customHeight="1">
      <c r="A975" s="518"/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</row>
    <row r="976" spans="1:57" ht="12.75" customHeight="1">
      <c r="A976" s="518"/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</row>
    <row r="977" spans="1:57" ht="12.75" customHeight="1">
      <c r="A977" s="518"/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</row>
    <row r="978" spans="1:57" ht="12.75" customHeight="1">
      <c r="A978" s="518"/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</row>
    <row r="979" spans="1:57" ht="12.75" customHeight="1">
      <c r="A979" s="518"/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</row>
    <row r="980" spans="1:57" ht="12.75" customHeight="1">
      <c r="A980" s="518"/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</row>
    <row r="981" spans="1:57" ht="12.75" customHeight="1">
      <c r="A981" s="518"/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</row>
    <row r="982" spans="1:57" ht="12.75" customHeight="1">
      <c r="A982" s="518"/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</row>
    <row r="983" spans="1:57" ht="12.75" customHeight="1">
      <c r="A983" s="518"/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</row>
    <row r="984" spans="1:57" ht="12.75" customHeight="1">
      <c r="A984" s="518"/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</row>
    <row r="985" spans="1:57" ht="12.75" customHeight="1">
      <c r="A985" s="518"/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</row>
    <row r="986" spans="1:57" ht="12.75" customHeight="1">
      <c r="A986" s="518"/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</row>
    <row r="987" spans="1:57" ht="12.75" customHeight="1">
      <c r="A987" s="518"/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</row>
    <row r="988" spans="1:57" ht="12.75" customHeight="1">
      <c r="A988" s="518"/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</row>
    <row r="989" spans="1:57" ht="12.75" customHeight="1">
      <c r="A989" s="518"/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</row>
    <row r="990" spans="1:57" ht="12.75" customHeight="1">
      <c r="A990" s="518"/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</row>
    <row r="991" spans="1:57" ht="12.75" customHeight="1">
      <c r="A991" s="518"/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</row>
    <row r="992" spans="1:57" ht="12.75" customHeight="1">
      <c r="A992" s="518"/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</row>
    <row r="993" spans="1:57" ht="12.75" customHeight="1">
      <c r="A993" s="518"/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</row>
    <row r="994" spans="1:57" ht="12.75" customHeight="1">
      <c r="A994" s="518"/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</row>
    <row r="995" spans="1:57" ht="12.75" customHeight="1">
      <c r="A995" s="518"/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</row>
    <row r="996" spans="1:57" ht="12.75" customHeight="1">
      <c r="A996" s="518"/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</row>
    <row r="997" spans="1:57" ht="12.75" customHeight="1">
      <c r="A997" s="518"/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</row>
    <row r="998" spans="1:57" ht="12.75" customHeight="1">
      <c r="A998" s="518"/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</row>
    <row r="999" spans="1:57" ht="12.75" customHeight="1">
      <c r="A999" s="518"/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</row>
    <row r="1000" spans="1:57" ht="12.75" customHeight="1">
      <c r="A1000" s="518"/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</row>
    <row r="1001" spans="1:57" ht="12.75" customHeight="1">
      <c r="A1001" s="518"/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</row>
    <row r="1002" spans="1:57" ht="12.75" customHeight="1">
      <c r="A1002" s="518"/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</row>
    <row r="1003" spans="1:57" ht="12.75" customHeight="1">
      <c r="A1003" s="518"/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</row>
    <row r="1004" spans="1:57" ht="12.75" customHeight="1">
      <c r="A1004" s="518"/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</row>
    <row r="1005" spans="1:57" ht="12.75" customHeight="1">
      <c r="A1005" s="518"/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</row>
  </sheetData>
  <mergeCells count="50">
    <mergeCell ref="BA4:BA5"/>
    <mergeCell ref="BB4:BB5"/>
    <mergeCell ref="AU4:AU5"/>
    <mergeCell ref="AV4:AV5"/>
    <mergeCell ref="AW4:AW5"/>
    <mergeCell ref="AX4:AX5"/>
    <mergeCell ref="AY4:AY5"/>
    <mergeCell ref="AZ4:AZ5"/>
    <mergeCell ref="AT4:AT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V4:V5"/>
    <mergeCell ref="J4:J5"/>
    <mergeCell ref="K4:K5"/>
    <mergeCell ref="L4:L5"/>
    <mergeCell ref="M4:M5"/>
    <mergeCell ref="O4:O5"/>
    <mergeCell ref="P4:P5"/>
    <mergeCell ref="Q4:Q5"/>
    <mergeCell ref="R4:R5"/>
    <mergeCell ref="S4:S5"/>
    <mergeCell ref="T4:T5"/>
    <mergeCell ref="U4:U5"/>
    <mergeCell ref="I4:I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F0CD-D8FE-4FE0-97E8-47BB27CF00B3}">
  <sheetPr>
    <tabColor theme="8" tint="0.39997558519241921"/>
  </sheetPr>
  <dimension ref="A1:BE1005"/>
  <sheetViews>
    <sheetView showGridLines="0" workbookViewId="0">
      <pane xSplit="2" ySplit="5" topLeftCell="C27" activePane="bottomRight" state="frozen"/>
      <selection pane="bottomRight" activeCell="B43" sqref="B43"/>
      <selection pane="bottomLeft" activeCell="A6" sqref="A6"/>
      <selection pane="topRight" activeCell="C1" sqref="C1"/>
    </sheetView>
  </sheetViews>
  <sheetFormatPr defaultColWidth="14.42578125" defaultRowHeight="12.6"/>
  <cols>
    <col min="1" max="1" width="35.42578125" style="519" customWidth="1"/>
    <col min="2" max="2" width="17.5703125" style="519" customWidth="1"/>
    <col min="3" max="34" width="15.5703125" style="519" customWidth="1"/>
    <col min="35" max="35" width="18" style="519" customWidth="1"/>
    <col min="36" max="53" width="15.5703125" style="519" customWidth="1"/>
    <col min="54" max="54" width="16.42578125" style="519" customWidth="1"/>
    <col min="55" max="55" width="15.5703125" style="519" customWidth="1"/>
    <col min="56" max="57" width="13.5703125" style="519" bestFit="1" customWidth="1"/>
    <col min="58" max="16384" width="14.42578125" style="519"/>
  </cols>
  <sheetData>
    <row r="1" spans="1:57" ht="12.75" customHeight="1">
      <c r="A1" s="515"/>
      <c r="B1" s="516">
        <v>176611926142.73544</v>
      </c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7"/>
      <c r="AS1" s="517"/>
      <c r="AT1" s="517"/>
      <c r="AU1" s="517"/>
      <c r="AV1" s="517"/>
      <c r="AW1" s="517"/>
      <c r="AX1" s="517"/>
      <c r="AY1" s="517"/>
      <c r="AZ1" s="517"/>
      <c r="BA1" s="517"/>
      <c r="BB1" s="517"/>
      <c r="BC1" s="518"/>
      <c r="BD1" s="518"/>
      <c r="BE1" s="518"/>
    </row>
    <row r="2" spans="1:57" ht="12.75" customHeight="1">
      <c r="A2" s="520">
        <f>C3/2</f>
        <v>0</v>
      </c>
      <c r="B2" s="515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517"/>
      <c r="AK2" s="517"/>
      <c r="AL2" s="517"/>
      <c r="AM2" s="517"/>
      <c r="AN2" s="517"/>
      <c r="AO2" s="517"/>
      <c r="AP2" s="517"/>
      <c r="AQ2" s="517" t="s">
        <v>1536</v>
      </c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8"/>
      <c r="BD2" s="518"/>
      <c r="BE2" s="518"/>
    </row>
    <row r="3" spans="1:57" ht="12.75" customHeight="1">
      <c r="A3" s="515"/>
      <c r="B3" s="518"/>
      <c r="C3" s="521"/>
      <c r="D3" s="521"/>
      <c r="E3" s="521"/>
      <c r="F3" s="521"/>
      <c r="G3" s="521"/>
      <c r="H3" s="521"/>
      <c r="I3" s="521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517"/>
      <c r="AK3" s="517"/>
      <c r="AL3" s="517"/>
      <c r="AM3" s="517"/>
      <c r="AN3" s="517"/>
      <c r="AO3" s="517"/>
      <c r="AP3" s="517"/>
      <c r="AQ3" s="517"/>
      <c r="AR3" s="517"/>
      <c r="AS3" s="517"/>
      <c r="AT3" s="517"/>
      <c r="AU3" s="517"/>
      <c r="AV3" s="517"/>
      <c r="AW3" s="517"/>
      <c r="AX3" s="517"/>
      <c r="AY3" s="517"/>
      <c r="AZ3" s="517"/>
      <c r="BA3" s="517"/>
      <c r="BB3" s="517"/>
      <c r="BC3" s="518"/>
      <c r="BD3" s="518"/>
      <c r="BE3" s="518"/>
    </row>
    <row r="4" spans="1:57" ht="12.75" customHeight="1">
      <c r="A4" s="522"/>
      <c r="B4" s="522"/>
      <c r="C4" s="2464" t="s">
        <v>188</v>
      </c>
      <c r="D4" s="2464" t="s">
        <v>189</v>
      </c>
      <c r="E4" s="2464" t="s">
        <v>190</v>
      </c>
      <c r="F4" s="2464" t="s">
        <v>191</v>
      </c>
      <c r="G4" s="2464" t="s">
        <v>192</v>
      </c>
      <c r="H4" s="523" t="s">
        <v>193</v>
      </c>
      <c r="I4" s="2464" t="s">
        <v>194</v>
      </c>
      <c r="J4" s="2464" t="s">
        <v>59</v>
      </c>
      <c r="K4" s="2464" t="s">
        <v>195</v>
      </c>
      <c r="L4" s="2464" t="s">
        <v>1537</v>
      </c>
      <c r="M4" s="2464" t="s">
        <v>196</v>
      </c>
      <c r="N4" s="523" t="s">
        <v>197</v>
      </c>
      <c r="O4" s="2475" t="s">
        <v>198</v>
      </c>
      <c r="P4" s="2475" t="s">
        <v>199</v>
      </c>
      <c r="Q4" s="2475" t="s">
        <v>200</v>
      </c>
      <c r="R4" s="2464" t="s">
        <v>201</v>
      </c>
      <c r="S4" s="2464" t="s">
        <v>202</v>
      </c>
      <c r="T4" s="2464" t="s">
        <v>203</v>
      </c>
      <c r="U4" s="2476" t="s">
        <v>204</v>
      </c>
      <c r="V4" s="2464" t="s">
        <v>68</v>
      </c>
      <c r="W4" s="2464" t="s">
        <v>1538</v>
      </c>
      <c r="X4" s="2474" t="s">
        <v>206</v>
      </c>
      <c r="Y4" s="2464" t="s">
        <v>207</v>
      </c>
      <c r="Z4" s="2464" t="s">
        <v>208</v>
      </c>
      <c r="AA4" s="2464" t="s">
        <v>209</v>
      </c>
      <c r="AB4" s="2464" t="s">
        <v>210</v>
      </c>
      <c r="AC4" s="2464" t="s">
        <v>211</v>
      </c>
      <c r="AD4" s="2464" t="s">
        <v>212</v>
      </c>
      <c r="AE4" s="2464" t="s">
        <v>213</v>
      </c>
      <c r="AF4" s="2464" t="s">
        <v>1539</v>
      </c>
      <c r="AG4" s="2464" t="s">
        <v>1528</v>
      </c>
      <c r="AH4" s="2464" t="s">
        <v>216</v>
      </c>
      <c r="AI4" s="2464" t="s">
        <v>217</v>
      </c>
      <c r="AJ4" s="2464" t="s">
        <v>1540</v>
      </c>
      <c r="AK4" s="2464" t="s">
        <v>219</v>
      </c>
      <c r="AL4" s="2471" t="s">
        <v>1541</v>
      </c>
      <c r="AM4" s="2472" t="s">
        <v>94</v>
      </c>
      <c r="AN4" s="2472" t="s">
        <v>95</v>
      </c>
      <c r="AO4" s="2472" t="s">
        <v>220</v>
      </c>
      <c r="AP4" s="2472" t="s">
        <v>221</v>
      </c>
      <c r="AQ4" s="2473" t="s">
        <v>1542</v>
      </c>
      <c r="AR4" s="2378" t="s">
        <v>1543</v>
      </c>
      <c r="AS4" s="2378" t="s">
        <v>1544</v>
      </c>
      <c r="AT4" s="2470" t="s">
        <v>98</v>
      </c>
      <c r="AU4" s="2464" t="s">
        <v>163</v>
      </c>
      <c r="AV4" s="2465" t="s">
        <v>225</v>
      </c>
      <c r="AW4" s="2465" t="s">
        <v>115</v>
      </c>
      <c r="AX4" s="2466" t="s">
        <v>226</v>
      </c>
      <c r="AY4" s="2467" t="s">
        <v>227</v>
      </c>
      <c r="AZ4" s="2468" t="s">
        <v>228</v>
      </c>
      <c r="BA4" s="2462" t="s">
        <v>229</v>
      </c>
      <c r="BB4" s="2463" t="s">
        <v>231</v>
      </c>
      <c r="BC4" s="524"/>
      <c r="BD4" s="518"/>
      <c r="BE4" s="518"/>
    </row>
    <row r="5" spans="1:57" ht="24.75" customHeight="1">
      <c r="A5" s="525"/>
      <c r="B5" s="525"/>
      <c r="C5" s="2504"/>
      <c r="D5" s="2504"/>
      <c r="E5" s="2504"/>
      <c r="F5" s="2504"/>
      <c r="G5" s="2504"/>
      <c r="H5" s="523" t="s">
        <v>87</v>
      </c>
      <c r="I5" s="2504"/>
      <c r="J5" s="2504"/>
      <c r="K5" s="2464"/>
      <c r="L5" s="2464"/>
      <c r="M5" s="2464"/>
      <c r="N5" s="523" t="s">
        <v>232</v>
      </c>
      <c r="O5" s="2504"/>
      <c r="P5" s="2504"/>
      <c r="Q5" s="2504"/>
      <c r="R5" s="2504"/>
      <c r="S5" s="2504"/>
      <c r="T5" s="2504"/>
      <c r="U5" s="2505"/>
      <c r="V5" s="2504"/>
      <c r="W5" s="2464"/>
      <c r="X5" s="2474"/>
      <c r="Y5" s="2464"/>
      <c r="Z5" s="2504"/>
      <c r="AA5" s="2504"/>
      <c r="AB5" s="2504"/>
      <c r="AC5" s="2504"/>
      <c r="AD5" s="2504"/>
      <c r="AE5" s="2504"/>
      <c r="AF5" s="2504"/>
      <c r="AG5" s="2504"/>
      <c r="AH5" s="2504"/>
      <c r="AI5" s="2504"/>
      <c r="AJ5" s="2504"/>
      <c r="AK5" s="2504"/>
      <c r="AL5" s="2506"/>
      <c r="AM5" s="2504"/>
      <c r="AN5" s="2504"/>
      <c r="AO5" s="2504"/>
      <c r="AP5" s="2504"/>
      <c r="AQ5" s="2507"/>
      <c r="AR5" s="2379"/>
      <c r="AS5" s="2379"/>
      <c r="AT5" s="2504"/>
      <c r="AU5" s="2504"/>
      <c r="AV5" s="2504"/>
      <c r="AW5" s="2504"/>
      <c r="AX5" s="2504"/>
      <c r="AY5" s="2504"/>
      <c r="AZ5" s="2469"/>
      <c r="BA5" s="2504"/>
      <c r="BB5" s="2504"/>
      <c r="BC5" s="518"/>
      <c r="BD5" s="518"/>
      <c r="BE5" s="518"/>
    </row>
    <row r="6" spans="1:57" ht="12.75" customHeight="1">
      <c r="A6" s="525"/>
      <c r="B6" s="526"/>
      <c r="C6" s="527"/>
      <c r="D6" s="528"/>
      <c r="E6" s="528"/>
      <c r="F6" s="528"/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28"/>
      <c r="U6" s="528"/>
      <c r="V6" s="528"/>
      <c r="W6" s="528"/>
      <c r="X6" s="528"/>
      <c r="Y6" s="528"/>
      <c r="Z6" s="528"/>
      <c r="AA6" s="528"/>
      <c r="AB6" s="528"/>
      <c r="AC6" s="528"/>
      <c r="AD6" s="528"/>
      <c r="AE6" s="528"/>
      <c r="AF6" s="528"/>
      <c r="AG6" s="528"/>
      <c r="AH6" s="528"/>
      <c r="AI6" s="528"/>
      <c r="AJ6" s="528"/>
      <c r="AK6" s="528"/>
      <c r="AL6" s="528"/>
      <c r="AM6" s="528"/>
      <c r="AN6" s="528"/>
      <c r="AO6" s="528"/>
      <c r="AP6" s="528"/>
      <c r="AQ6" s="528"/>
      <c r="AR6" s="528"/>
      <c r="AS6" s="528"/>
      <c r="AT6" s="581"/>
      <c r="AU6" s="581"/>
      <c r="AV6" s="581"/>
      <c r="AW6" s="581"/>
      <c r="AX6" s="582"/>
      <c r="AY6" s="582"/>
      <c r="AZ6" s="582"/>
      <c r="BA6" s="582"/>
      <c r="BB6" s="582"/>
      <c r="BC6" s="518"/>
      <c r="BD6" s="518"/>
      <c r="BE6" s="515"/>
    </row>
    <row r="7" spans="1:57" ht="12.75" customHeight="1">
      <c r="A7" s="529"/>
      <c r="B7" s="526">
        <v>45107</v>
      </c>
      <c r="C7" s="530">
        <f>'BS Konsol'!J11</f>
        <v>5733063270</v>
      </c>
      <c r="D7" s="530">
        <f>'BS Konsol'!J14</f>
        <v>25423470999</v>
      </c>
      <c r="E7" s="530">
        <f>'BS Konsol'!J13</f>
        <v>1783377782</v>
      </c>
      <c r="F7" s="530"/>
      <c r="G7" s="530"/>
      <c r="H7" s="530">
        <f>'BS Konsol'!J26</f>
        <v>7348897634</v>
      </c>
      <c r="I7" s="530">
        <f>'BS Konsol'!J16</f>
        <v>549732399</v>
      </c>
      <c r="J7" s="530">
        <f>'BS Konsol'!J17</f>
        <v>215178073837</v>
      </c>
      <c r="K7" s="530"/>
      <c r="L7" s="530">
        <v>0</v>
      </c>
      <c r="M7" s="530">
        <f>'BS Konsol'!J19</f>
        <v>9041536321</v>
      </c>
      <c r="N7" s="530">
        <f>'[194]BS Konsol'!K23</f>
        <v>0</v>
      </c>
      <c r="O7" s="530"/>
      <c r="P7" s="530"/>
      <c r="Q7" s="530"/>
      <c r="R7" s="530">
        <f>'BS Konsol'!J18+'BS Konsol'!J34</f>
        <v>81032686421</v>
      </c>
      <c r="S7" s="530">
        <f>'BS Konsol'!J20</f>
        <v>903603741</v>
      </c>
      <c r="T7" s="530"/>
      <c r="U7" s="530">
        <f>'BS Konsol'!J43</f>
        <v>8028906725</v>
      </c>
      <c r="V7" s="530">
        <f>'BS Konsol'!J45</f>
        <v>1508277305</v>
      </c>
      <c r="W7" s="530"/>
      <c r="X7" s="530">
        <f>-'BS Konsol'!J61</f>
        <v>-166123612313</v>
      </c>
      <c r="Y7" s="530">
        <f>-'BS Konsol'!J69</f>
        <v>-6824412708</v>
      </c>
      <c r="Z7" s="530">
        <v>0</v>
      </c>
      <c r="AA7" s="531">
        <f>-'BS Konsol'!J58</f>
        <v>-47195337849</v>
      </c>
      <c r="AB7" s="530"/>
      <c r="AC7" s="530">
        <f>-'BS Konsol'!J62</f>
        <v>-8217143369</v>
      </c>
      <c r="AD7" s="530">
        <f>-'BS Konsol'!J77</f>
        <v>-41000000</v>
      </c>
      <c r="AE7" s="531">
        <f>-'BS Konsol'!J76</f>
        <v>-1313271695</v>
      </c>
      <c r="AF7" s="530">
        <f>-'BS Konsol'!J68</f>
        <v>-3533493723</v>
      </c>
      <c r="AG7" s="530">
        <f>-'BS Konsol'!J79-'BS Konsol'!J66</f>
        <v>-111140657</v>
      </c>
      <c r="AH7" s="530">
        <f>-'BS Konsol'!J78</f>
        <v>-3403633336</v>
      </c>
      <c r="AI7" s="530">
        <f>-'BS Konsol'!J63</f>
        <v>-2317673499</v>
      </c>
      <c r="AJ7" s="530"/>
      <c r="AK7" s="530">
        <f>-'BS Konsol'!J81</f>
        <v>-8419134989</v>
      </c>
      <c r="AL7" s="530">
        <f>-'BS Konsol'!J80</f>
        <v>-630000000</v>
      </c>
      <c r="AM7" s="532">
        <f>-'BS Konsol'!J97</f>
        <v>-40000000000</v>
      </c>
      <c r="AN7" s="532">
        <f>-'BS Konsol'!J99</f>
        <v>-49739416785</v>
      </c>
      <c r="AO7" s="532">
        <v>0</v>
      </c>
      <c r="AP7" s="532">
        <f>-'BS Konsol'!J102</f>
        <v>368797440</v>
      </c>
      <c r="AQ7" s="533">
        <f>AQ8</f>
        <v>0</v>
      </c>
      <c r="AR7" s="533">
        <f>-'BS Konsol'!J104</f>
        <v>-410000000</v>
      </c>
      <c r="AS7" s="1042">
        <v>461224443</v>
      </c>
      <c r="AT7" s="533">
        <f>-'BS Konsol'!N105</f>
        <v>-18237502879</v>
      </c>
      <c r="AU7" s="532">
        <f>-'PL Konsol'!L11</f>
        <v>-120318473492</v>
      </c>
      <c r="AV7" s="532">
        <f>-'PL Konsol'!L12</f>
        <v>80614456121</v>
      </c>
      <c r="AW7" s="532">
        <f>-'PL Konsol'!L16</f>
        <v>13411387825</v>
      </c>
      <c r="AX7" s="532">
        <f>-'PL Konsol'!L17</f>
        <v>15441855165</v>
      </c>
      <c r="AY7" s="532">
        <f>-'PL Konsol'!L18</f>
        <v>1927750383</v>
      </c>
      <c r="AZ7" s="532">
        <f>-'PL Konsol'!L19</f>
        <v>7603308083</v>
      </c>
      <c r="BA7" s="532">
        <f>-'PL Konsol'!L25</f>
        <v>474841400</v>
      </c>
      <c r="BB7" s="534"/>
      <c r="BC7" s="515">
        <f>SUM(C7:BB7)</f>
        <v>0</v>
      </c>
      <c r="BD7" s="535"/>
      <c r="BE7" s="536">
        <f>BC7/2</f>
        <v>0</v>
      </c>
    </row>
    <row r="8" spans="1:57" ht="12.75" customHeight="1">
      <c r="A8" s="529"/>
      <c r="B8" s="583">
        <v>44926</v>
      </c>
      <c r="C8" s="537">
        <f>'BS Konsol'!N11</f>
        <v>4920468963</v>
      </c>
      <c r="D8" s="537">
        <f>'BS Konsol'!N14</f>
        <v>53102808880</v>
      </c>
      <c r="E8" s="537">
        <f>'BS Konsol'!N13</f>
        <v>1729176327</v>
      </c>
      <c r="F8" s="537"/>
      <c r="G8" s="537"/>
      <c r="H8" s="537">
        <f>'BS Konsol'!N26</f>
        <v>7197443207</v>
      </c>
      <c r="I8" s="537">
        <f>'BS Konsol'!N16</f>
        <v>549732399</v>
      </c>
      <c r="J8" s="537">
        <f>'BS Konsol'!N17</f>
        <v>137179893500</v>
      </c>
      <c r="K8" s="537"/>
      <c r="L8" s="537">
        <v>0</v>
      </c>
      <c r="M8" s="537">
        <f>'BS Konsol'!N19</f>
        <v>8035438770</v>
      </c>
      <c r="N8" s="537">
        <f>'[194]BS Konsol'!Q23</f>
        <v>0</v>
      </c>
      <c r="O8" s="537"/>
      <c r="P8" s="537"/>
      <c r="Q8" s="537"/>
      <c r="R8" s="537">
        <f>'BS Konsol'!N34+'BS Konsol'!N18</f>
        <v>84899538624</v>
      </c>
      <c r="S8" s="537">
        <f>'BS Konsol'!N20</f>
        <v>349309986</v>
      </c>
      <c r="T8" s="537"/>
      <c r="U8" s="537">
        <f>'BS Konsol'!N43</f>
        <v>8186336269</v>
      </c>
      <c r="V8" s="537">
        <f>'BS Konsol'!N45</f>
        <v>1508277305</v>
      </c>
      <c r="W8" s="537"/>
      <c r="X8" s="537">
        <f>-'BS Konsol'!N61</f>
        <v>-155339616431</v>
      </c>
      <c r="Y8" s="537">
        <f>-'BS Konsol'!N69</f>
        <v>-3403633332</v>
      </c>
      <c r="Z8" s="537">
        <v>0</v>
      </c>
      <c r="AA8" s="538">
        <f>-'BS Konsol'!N58</f>
        <v>-12347357380</v>
      </c>
      <c r="AB8" s="537"/>
      <c r="AC8" s="537">
        <f>-'BS Konsol'!N62</f>
        <v>-5031429971</v>
      </c>
      <c r="AD8" s="537">
        <f>-'BS Konsol'!N77</f>
        <v>-41000000</v>
      </c>
      <c r="AE8" s="538">
        <f>-'BS Konsol'!N76</f>
        <v>-533174595</v>
      </c>
      <c r="AF8" s="537">
        <f>-'BS Konsol'!N68</f>
        <v>-3539216266</v>
      </c>
      <c r="AG8" s="537">
        <f>-'BS Konsol'!N79-'BS Konsol'!N66</f>
        <v>-143835319</v>
      </c>
      <c r="AH8" s="537">
        <f>-'BS Konsol'!N78</f>
        <v>-8526229378</v>
      </c>
      <c r="AI8" s="537">
        <f>-'BS Konsol'!N63</f>
        <v>-2152621331</v>
      </c>
      <c r="AJ8" s="537"/>
      <c r="AK8" s="537">
        <f>-'BS Konsol'!N81</f>
        <v>-8419134989</v>
      </c>
      <c r="AL8" s="537">
        <f>-'BS Konsol'!N80</f>
        <v>-624277457</v>
      </c>
      <c r="AM8" s="539">
        <f>-'BS Konsol'!N97</f>
        <v>-40000000000</v>
      </c>
      <c r="AN8" s="539">
        <f>-'BS Konsol'!N99</f>
        <v>-25871690669</v>
      </c>
      <c r="AO8" s="539">
        <v>0</v>
      </c>
      <c r="AP8" s="539">
        <f>-'BS Konsol'!N102</f>
        <v>368797440</v>
      </c>
      <c r="AQ8" s="537"/>
      <c r="AR8" s="537">
        <f>-'BS Konsol'!N104</f>
        <v>-410000000</v>
      </c>
      <c r="AS8" s="537">
        <f>-'BS Konsol'!N100</f>
        <v>-23406501672.86277</v>
      </c>
      <c r="AT8" s="537">
        <f>-'BS Konsol'!N105</f>
        <v>-18237502879</v>
      </c>
      <c r="AU8" s="539"/>
      <c r="AV8" s="539"/>
      <c r="AW8" s="539"/>
      <c r="AX8" s="539"/>
      <c r="AY8" s="539"/>
      <c r="AZ8" s="539"/>
      <c r="BA8" s="539"/>
      <c r="BB8" s="539"/>
      <c r="BC8" s="515">
        <f>SUM(C8:BB8)</f>
        <v>0.13722991943359375</v>
      </c>
      <c r="BD8" s="535"/>
      <c r="BE8" s="536"/>
    </row>
    <row r="9" spans="1:57" ht="12.75" customHeight="1">
      <c r="A9" s="525"/>
      <c r="B9" s="540" t="s">
        <v>233</v>
      </c>
      <c r="C9" s="541">
        <f>C7-C8</f>
        <v>812594307</v>
      </c>
      <c r="D9" s="541">
        <f t="shared" ref="D9:N9" si="0">D7-D8</f>
        <v>-27679337881</v>
      </c>
      <c r="E9" s="541">
        <f t="shared" si="0"/>
        <v>54201455</v>
      </c>
      <c r="F9" s="541">
        <f t="shared" si="0"/>
        <v>0</v>
      </c>
      <c r="G9" s="541">
        <f t="shared" si="0"/>
        <v>0</v>
      </c>
      <c r="H9" s="541">
        <f>H7-H8</f>
        <v>151454427</v>
      </c>
      <c r="I9" s="541">
        <f>I7-I8</f>
        <v>0</v>
      </c>
      <c r="J9" s="541">
        <f t="shared" si="0"/>
        <v>77998180337</v>
      </c>
      <c r="K9" s="541">
        <f t="shared" si="0"/>
        <v>0</v>
      </c>
      <c r="L9" s="541">
        <f t="shared" si="0"/>
        <v>0</v>
      </c>
      <c r="M9" s="541">
        <f>M7-M8</f>
        <v>1006097551</v>
      </c>
      <c r="N9" s="541">
        <f t="shared" si="0"/>
        <v>0</v>
      </c>
      <c r="O9" s="541"/>
      <c r="P9" s="541">
        <f t="shared" ref="P9:AP9" si="1">P7-P8</f>
        <v>0</v>
      </c>
      <c r="Q9" s="541">
        <f t="shared" si="1"/>
        <v>0</v>
      </c>
      <c r="R9" s="541">
        <f t="shared" si="1"/>
        <v>-3866852203</v>
      </c>
      <c r="S9" s="541">
        <f>S7-S8</f>
        <v>554293755</v>
      </c>
      <c r="T9" s="541">
        <f t="shared" si="1"/>
        <v>0</v>
      </c>
      <c r="U9" s="541">
        <f t="shared" si="1"/>
        <v>-157429544</v>
      </c>
      <c r="V9" s="541">
        <f t="shared" si="1"/>
        <v>0</v>
      </c>
      <c r="W9" s="541">
        <f t="shared" si="1"/>
        <v>0</v>
      </c>
      <c r="X9" s="541">
        <f t="shared" si="1"/>
        <v>-10783995882</v>
      </c>
      <c r="Y9" s="541">
        <f t="shared" si="1"/>
        <v>-3420779376</v>
      </c>
      <c r="Z9" s="541">
        <f t="shared" si="1"/>
        <v>0</v>
      </c>
      <c r="AA9" s="541">
        <f t="shared" si="1"/>
        <v>-34847980469</v>
      </c>
      <c r="AB9" s="541">
        <f t="shared" si="1"/>
        <v>0</v>
      </c>
      <c r="AC9" s="541">
        <f t="shared" si="1"/>
        <v>-3185713398</v>
      </c>
      <c r="AD9" s="541">
        <f t="shared" si="1"/>
        <v>0</v>
      </c>
      <c r="AE9" s="541">
        <f t="shared" si="1"/>
        <v>-780097100</v>
      </c>
      <c r="AF9" s="541">
        <f t="shared" si="1"/>
        <v>5722543</v>
      </c>
      <c r="AG9" s="541">
        <f t="shared" si="1"/>
        <v>32694662</v>
      </c>
      <c r="AH9" s="541">
        <f t="shared" si="1"/>
        <v>5122596042</v>
      </c>
      <c r="AI9" s="541">
        <f t="shared" si="1"/>
        <v>-165052168</v>
      </c>
      <c r="AJ9" s="541">
        <f t="shared" si="1"/>
        <v>0</v>
      </c>
      <c r="AK9" s="541">
        <f t="shared" si="1"/>
        <v>0</v>
      </c>
      <c r="AL9" s="541">
        <f t="shared" si="1"/>
        <v>-5722543</v>
      </c>
      <c r="AM9" s="541">
        <f t="shared" si="1"/>
        <v>0</v>
      </c>
      <c r="AN9" s="541">
        <f t="shared" si="1"/>
        <v>-23867726116</v>
      </c>
      <c r="AO9" s="541">
        <f t="shared" si="1"/>
        <v>0</v>
      </c>
      <c r="AP9" s="541">
        <f t="shared" si="1"/>
        <v>0</v>
      </c>
      <c r="AQ9" s="541"/>
      <c r="AR9" s="541">
        <f t="shared" ref="AR9:AZ9" si="2">AR7-AR8</f>
        <v>0</v>
      </c>
      <c r="AS9" s="541">
        <f t="shared" si="2"/>
        <v>23867726115.86277</v>
      </c>
      <c r="AT9" s="541">
        <f t="shared" si="2"/>
        <v>0</v>
      </c>
      <c r="AU9" s="541">
        <f t="shared" si="2"/>
        <v>-120318473492</v>
      </c>
      <c r="AV9" s="541">
        <f t="shared" si="2"/>
        <v>80614456121</v>
      </c>
      <c r="AW9" s="541">
        <f t="shared" si="2"/>
        <v>13411387825</v>
      </c>
      <c r="AX9" s="541">
        <f t="shared" si="2"/>
        <v>15441855165</v>
      </c>
      <c r="AY9" s="541">
        <f t="shared" si="2"/>
        <v>1927750383</v>
      </c>
      <c r="AZ9" s="541">
        <f t="shared" si="2"/>
        <v>7603308083</v>
      </c>
      <c r="BA9" s="541">
        <f>BA7-BA8</f>
        <v>474841400</v>
      </c>
      <c r="BB9" s="541">
        <f>BB7-BB8</f>
        <v>0</v>
      </c>
      <c r="BC9" s="515">
        <f>SUM(C9:BB9)</f>
        <v>-0.137237548828125</v>
      </c>
      <c r="BD9" s="542">
        <f>BC9/2</f>
        <v>-6.86187744140625E-2</v>
      </c>
      <c r="BE9" s="520">
        <f>BC9*2</f>
        <v>-0.27447509765625</v>
      </c>
    </row>
    <row r="10" spans="1:57" ht="12.75" customHeight="1">
      <c r="A10" s="543"/>
      <c r="B10" s="544" t="s">
        <v>234</v>
      </c>
      <c r="C10" s="518"/>
      <c r="D10" s="518"/>
      <c r="E10" s="518"/>
      <c r="F10" s="518"/>
      <c r="G10" s="518"/>
      <c r="H10" s="518"/>
      <c r="I10" s="518"/>
      <c r="J10" s="518"/>
      <c r="K10" s="518"/>
      <c r="L10" s="518"/>
      <c r="M10" s="518"/>
      <c r="N10" s="518"/>
      <c r="O10" s="518"/>
      <c r="P10" s="518"/>
      <c r="Q10" s="518"/>
      <c r="R10" s="518"/>
      <c r="S10" s="518"/>
      <c r="T10" s="518"/>
      <c r="U10" s="518"/>
      <c r="V10" s="518"/>
      <c r="W10" s="518"/>
      <c r="X10" s="518"/>
      <c r="Y10" s="518"/>
      <c r="Z10" s="518"/>
      <c r="AA10" s="518"/>
      <c r="AB10" s="518"/>
      <c r="AC10" s="518"/>
      <c r="AD10" s="518"/>
      <c r="AE10" s="518"/>
      <c r="AF10" s="518"/>
      <c r="AG10" s="518"/>
      <c r="AH10" s="518"/>
      <c r="AI10" s="518"/>
      <c r="AJ10" s="518"/>
      <c r="AK10" s="518"/>
      <c r="AL10" s="518"/>
      <c r="AM10" s="518"/>
      <c r="AN10" s="518"/>
      <c r="AO10" s="518"/>
      <c r="AP10" s="515"/>
      <c r="AQ10" s="518"/>
      <c r="AR10" s="518"/>
      <c r="AS10" s="518"/>
      <c r="AT10" s="518"/>
      <c r="AU10" s="518"/>
      <c r="AV10" s="518"/>
      <c r="AW10" s="518"/>
      <c r="AX10" s="518"/>
      <c r="AY10" s="518"/>
      <c r="AZ10" s="518"/>
      <c r="BA10" s="518"/>
      <c r="BB10" s="518"/>
      <c r="BC10" s="515"/>
      <c r="BD10" s="518"/>
      <c r="BE10" s="518"/>
    </row>
    <row r="11" spans="1:57" ht="12.75" customHeight="1">
      <c r="A11" s="545" t="s">
        <v>235</v>
      </c>
      <c r="B11" s="546"/>
      <c r="C11" s="547"/>
      <c r="D11" s="515"/>
      <c r="E11" s="515"/>
      <c r="F11" s="515"/>
      <c r="G11" s="515"/>
      <c r="H11" s="515"/>
      <c r="I11" s="515"/>
      <c r="J11" s="515"/>
      <c r="K11" s="515"/>
      <c r="L11" s="515"/>
      <c r="M11" s="515"/>
      <c r="N11" s="515"/>
      <c r="O11" s="515"/>
      <c r="P11" s="515"/>
      <c r="Q11" s="515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8"/>
      <c r="AH11" s="518"/>
      <c r="AI11" s="518"/>
      <c r="AJ11" s="518"/>
      <c r="AK11" s="518"/>
      <c r="AL11" s="518"/>
      <c r="AM11" s="518"/>
      <c r="AN11" s="518"/>
      <c r="AO11" s="518"/>
      <c r="AP11" s="515"/>
      <c r="AQ11" s="515"/>
      <c r="AR11" s="515"/>
      <c r="AS11" s="515"/>
      <c r="AT11" s="515"/>
      <c r="AU11" s="518"/>
      <c r="AV11" s="518"/>
      <c r="AW11" s="518"/>
      <c r="AX11" s="518"/>
      <c r="AY11" s="518"/>
      <c r="AZ11" s="518"/>
      <c r="BA11" s="518"/>
      <c r="BB11" s="518"/>
      <c r="BC11" s="515"/>
      <c r="BD11" s="518"/>
      <c r="BE11" s="518"/>
    </row>
    <row r="12" spans="1:57" ht="12.75" customHeight="1">
      <c r="A12" s="548" t="s">
        <v>236</v>
      </c>
      <c r="B12" s="584">
        <f>SUM(D12:BB12)</f>
        <v>147943609918</v>
      </c>
      <c r="C12" s="547"/>
      <c r="D12" s="550">
        <f>-D9</f>
        <v>27679337881</v>
      </c>
      <c r="E12" s="550">
        <f>-E9</f>
        <v>-54201455</v>
      </c>
      <c r="F12" s="550">
        <f>-F9</f>
        <v>0</v>
      </c>
      <c r="G12" s="550"/>
      <c r="H12" s="550"/>
      <c r="I12" s="550"/>
      <c r="J12" s="550"/>
      <c r="K12" s="550"/>
      <c r="L12" s="550"/>
      <c r="M12" s="550"/>
      <c r="N12" s="550"/>
      <c r="O12" s="550"/>
      <c r="P12" s="550"/>
      <c r="Q12" s="550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5">
        <f>-AB9</f>
        <v>0</v>
      </c>
      <c r="AC12" s="515"/>
      <c r="AD12" s="550"/>
      <c r="AE12" s="550"/>
      <c r="AF12" s="550"/>
      <c r="AG12" s="550"/>
      <c r="AH12" s="550"/>
      <c r="AI12" s="518"/>
      <c r="AJ12" s="518"/>
      <c r="AK12" s="518"/>
      <c r="AL12" s="518"/>
      <c r="AM12" s="515"/>
      <c r="AN12" s="518"/>
      <c r="AO12" s="518"/>
      <c r="AP12" s="518"/>
      <c r="AQ12" s="518"/>
      <c r="AR12" s="518"/>
      <c r="AS12" s="518"/>
      <c r="AT12" s="518"/>
      <c r="AU12" s="550">
        <f>-AU9</f>
        <v>120318473492</v>
      </c>
      <c r="AV12" s="518"/>
      <c r="AW12" s="518"/>
      <c r="AX12" s="518"/>
      <c r="AY12" s="550"/>
      <c r="AZ12" s="550"/>
      <c r="BA12" s="515"/>
      <c r="BB12" s="518"/>
      <c r="BC12" s="551"/>
      <c r="BD12" s="518"/>
      <c r="BE12" s="518"/>
    </row>
    <row r="13" spans="1:57" ht="12.75" customHeight="1">
      <c r="A13" s="548" t="s">
        <v>237</v>
      </c>
      <c r="B13" s="584">
        <f t="shared" ref="B13:B21" si="3">SUM(D13:BB13)</f>
        <v>-113398734628</v>
      </c>
      <c r="C13" s="547"/>
      <c r="D13" s="518"/>
      <c r="E13" s="518"/>
      <c r="F13" s="518"/>
      <c r="G13" s="518"/>
      <c r="H13" s="552">
        <f>-H9</f>
        <v>-151454427</v>
      </c>
      <c r="I13" s="553">
        <f>-I9</f>
        <v>0</v>
      </c>
      <c r="J13" s="553">
        <f>-J9</f>
        <v>-77998180337</v>
      </c>
      <c r="K13" s="553">
        <f t="shared" ref="K13:L13" si="4">-K9</f>
        <v>0</v>
      </c>
      <c r="L13" s="553">
        <f t="shared" si="4"/>
        <v>0</v>
      </c>
      <c r="M13" s="553"/>
      <c r="N13" s="553">
        <f>-N9</f>
        <v>0</v>
      </c>
      <c r="O13" s="553"/>
      <c r="P13" s="553">
        <f>-P9</f>
        <v>0</v>
      </c>
      <c r="Q13" s="553">
        <f>-Q9</f>
        <v>0</v>
      </c>
      <c r="R13" s="515"/>
      <c r="S13" s="568">
        <f>-S9</f>
        <v>-554293755</v>
      </c>
      <c r="T13" s="515"/>
      <c r="U13" s="515"/>
      <c r="V13" s="515"/>
      <c r="W13" s="515">
        <f>-W9</f>
        <v>0</v>
      </c>
      <c r="X13" s="515"/>
      <c r="Y13" s="515"/>
      <c r="Z13" s="553">
        <f>-Z9</f>
        <v>0</v>
      </c>
      <c r="AA13" s="553">
        <f>-AA9</f>
        <v>34847980469</v>
      </c>
      <c r="AB13" s="553"/>
      <c r="AC13" s="553">
        <f>-AC9</f>
        <v>3185713398</v>
      </c>
      <c r="AF13" s="553"/>
      <c r="AG13" s="553">
        <f>-AG9</f>
        <v>-32694662</v>
      </c>
      <c r="AH13" s="515"/>
      <c r="AI13" s="553"/>
      <c r="AJ13" s="553"/>
      <c r="AK13" s="553"/>
      <c r="AL13" s="553"/>
      <c r="AM13" s="553"/>
      <c r="AN13" s="515"/>
      <c r="AO13" s="515"/>
      <c r="AP13" s="515">
        <f>-AP9-AP29</f>
        <v>0</v>
      </c>
      <c r="AQ13" s="515"/>
      <c r="AR13" s="515"/>
      <c r="AS13" s="515"/>
      <c r="AT13" s="515"/>
      <c r="AU13" s="515"/>
      <c r="AV13" s="553">
        <f>-AV9-AV14-AV15</f>
        <v>-66841158646</v>
      </c>
      <c r="AW13" s="554"/>
      <c r="AX13" s="553">
        <f>-AX9-AX14-AX15</f>
        <v>-5854646668</v>
      </c>
      <c r="AY13" s="553"/>
      <c r="AZ13" s="553"/>
      <c r="BA13" s="551"/>
      <c r="BB13" s="515">
        <f>-BB9*0</f>
        <v>0</v>
      </c>
      <c r="BC13" s="551"/>
      <c r="BD13" s="518"/>
      <c r="BE13" s="518"/>
    </row>
    <row r="14" spans="1:57" ht="12.75" customHeight="1">
      <c r="A14" s="548" t="s">
        <v>238</v>
      </c>
      <c r="B14" s="584">
        <f t="shared" si="3"/>
        <v>-18032431758</v>
      </c>
      <c r="C14" s="555"/>
      <c r="D14" s="518"/>
      <c r="E14" s="518"/>
      <c r="F14" s="518"/>
      <c r="G14" s="515">
        <f>-G9</f>
        <v>0</v>
      </c>
      <c r="H14" s="515"/>
      <c r="I14" s="518"/>
      <c r="J14" s="518"/>
      <c r="K14" s="518"/>
      <c r="L14" s="518"/>
      <c r="M14" s="518"/>
      <c r="N14" s="518"/>
      <c r="O14" s="518"/>
      <c r="P14" s="518"/>
      <c r="Q14" s="518"/>
      <c r="R14" s="515"/>
      <c r="S14" s="515"/>
      <c r="T14" s="515"/>
      <c r="U14" s="515"/>
      <c r="V14" s="515"/>
      <c r="W14" s="515"/>
      <c r="X14" s="515"/>
      <c r="Y14" s="515"/>
      <c r="Z14" s="553"/>
      <c r="AA14" s="553"/>
      <c r="AB14" s="553"/>
      <c r="AC14" s="553"/>
      <c r="AD14" s="518"/>
      <c r="AE14" s="518"/>
      <c r="AF14" s="518"/>
      <c r="AG14" s="518"/>
      <c r="AH14" s="515"/>
      <c r="AI14" s="553"/>
      <c r="AJ14" s="553"/>
      <c r="AK14" s="556"/>
      <c r="AL14" s="556"/>
      <c r="AM14" s="515"/>
      <c r="AN14" s="515"/>
      <c r="AO14" s="515"/>
      <c r="AP14" s="515"/>
      <c r="AQ14" s="515"/>
      <c r="AR14" s="515"/>
      <c r="AS14" s="515"/>
      <c r="AT14" s="515"/>
      <c r="AU14" s="515"/>
      <c r="AV14" s="553">
        <f>-(SUM('WS Konsol'!BC609:BC614)+'WS Konsol'!BC617+'WS Konsol'!BC620)</f>
        <v>-9663777205</v>
      </c>
      <c r="AW14" s="554"/>
      <c r="AX14" s="553">
        <f>-'WS Konsol'!BE665</f>
        <v>-8368654553</v>
      </c>
      <c r="AY14" s="515"/>
      <c r="AZ14" s="515"/>
      <c r="BA14" s="518"/>
      <c r="BB14" s="518"/>
      <c r="BC14" s="551"/>
      <c r="BD14" s="518"/>
      <c r="BE14" s="518"/>
    </row>
    <row r="15" spans="1:57" ht="12.75" customHeight="1">
      <c r="A15" s="548" t="s">
        <v>239</v>
      </c>
      <c r="B15" s="584">
        <f t="shared" si="3"/>
        <v>-13990581179.86277</v>
      </c>
      <c r="C15" s="555"/>
      <c r="D15" s="518"/>
      <c r="E15" s="518"/>
      <c r="F15" s="518"/>
      <c r="G15" s="515"/>
      <c r="H15" s="515"/>
      <c r="I15" s="518"/>
      <c r="J15" s="518"/>
      <c r="K15" s="518"/>
      <c r="L15" s="518"/>
      <c r="M15" s="515">
        <f>-M9</f>
        <v>-1006097551</v>
      </c>
      <c r="N15" s="518"/>
      <c r="O15" s="518"/>
      <c r="P15" s="518"/>
      <c r="Q15" s="518"/>
      <c r="R15" s="515">
        <f>-R9-R28</f>
        <v>4015967203</v>
      </c>
      <c r="S15" s="515"/>
      <c r="T15" s="515"/>
      <c r="U15" s="515">
        <f>-U9</f>
        <v>157429544</v>
      </c>
      <c r="V15" s="515">
        <f>-V9</f>
        <v>0</v>
      </c>
      <c r="W15" s="515"/>
      <c r="X15" s="515">
        <f>-X9-X37-X38</f>
        <v>1701816666</v>
      </c>
      <c r="Y15" s="515"/>
      <c r="Z15" s="553"/>
      <c r="AA15" s="553"/>
      <c r="AB15" s="553"/>
      <c r="AC15" s="553"/>
      <c r="AD15" s="518"/>
      <c r="AE15" s="518"/>
      <c r="AF15" s="518"/>
      <c r="AG15" s="518"/>
      <c r="AH15" s="515"/>
      <c r="AI15" s="515">
        <f>-AI9-AI21</f>
        <v>2396376920</v>
      </c>
      <c r="AJ15" s="553"/>
      <c r="AK15" s="553">
        <f>-AK9</f>
        <v>0</v>
      </c>
      <c r="AL15" s="553"/>
      <c r="AM15" s="515"/>
      <c r="AN15" s="515">
        <f>-AN9</f>
        <v>23867726116</v>
      </c>
      <c r="AO15" s="515"/>
      <c r="AP15" s="515"/>
      <c r="AQ15" s="515"/>
      <c r="AR15" s="515"/>
      <c r="AS15" s="515">
        <f>-AS9</f>
        <v>-23867726115.86277</v>
      </c>
      <c r="AT15" s="515"/>
      <c r="AU15" s="515"/>
      <c r="AV15" s="553">
        <f>-'WS Konsol'!BC623-'WS Konsol'!BC619</f>
        <v>-4109520270</v>
      </c>
      <c r="AW15" s="554">
        <f>-AW9</f>
        <v>-13411387825</v>
      </c>
      <c r="AX15" s="553">
        <f>-SUM('WS Konsol'!BC707:BC718)</f>
        <v>-1218553944</v>
      </c>
      <c r="AY15" s="515">
        <f>-AY9</f>
        <v>-1927750383</v>
      </c>
      <c r="AZ15" s="1044">
        <f>-AZ9-AZ20</f>
        <v>-114020140</v>
      </c>
      <c r="BA15" s="515">
        <f>-BA9</f>
        <v>-474841400</v>
      </c>
      <c r="BB15" s="518"/>
      <c r="BC15" s="551"/>
      <c r="BD15" s="518"/>
      <c r="BE15" s="518"/>
    </row>
    <row r="16" spans="1:57" ht="12.75" customHeight="1">
      <c r="A16" s="548" t="s">
        <v>240</v>
      </c>
      <c r="B16" s="584">
        <f t="shared" si="3"/>
        <v>0</v>
      </c>
      <c r="C16" s="547"/>
      <c r="D16" s="518"/>
      <c r="E16" s="518"/>
      <c r="F16" s="518"/>
      <c r="G16" s="518"/>
      <c r="H16" s="518"/>
      <c r="I16" s="518"/>
      <c r="J16" s="518"/>
      <c r="K16" s="518"/>
      <c r="L16" s="518"/>
      <c r="M16" s="518"/>
      <c r="N16" s="518"/>
      <c r="O16" s="518"/>
      <c r="P16" s="518"/>
      <c r="Q16" s="518"/>
      <c r="R16" s="515"/>
      <c r="S16" s="515"/>
      <c r="T16" s="515"/>
      <c r="U16" s="515"/>
      <c r="V16" s="515"/>
      <c r="W16" s="515"/>
      <c r="X16" s="515"/>
      <c r="Y16" s="515"/>
      <c r="Z16" s="553"/>
      <c r="AA16" s="553"/>
      <c r="AB16" s="553"/>
      <c r="AC16" s="553"/>
      <c r="AD16" s="518"/>
      <c r="AE16" s="518"/>
      <c r="AF16" s="518"/>
      <c r="AG16" s="518"/>
      <c r="AH16" s="515"/>
      <c r="AI16" s="553"/>
      <c r="AJ16" s="553"/>
      <c r="AK16" s="553"/>
      <c r="AL16" s="553"/>
      <c r="AM16" s="515"/>
      <c r="AN16" s="515"/>
      <c r="AO16" s="515"/>
      <c r="AP16" s="515"/>
      <c r="AQ16" s="515"/>
      <c r="AR16" s="515"/>
      <c r="AS16" s="515"/>
      <c r="AT16" s="515"/>
      <c r="AU16" s="515"/>
      <c r="AV16" s="554"/>
      <c r="AW16" s="554"/>
      <c r="AX16" s="557"/>
      <c r="AZ16" s="515"/>
      <c r="BA16" s="518"/>
      <c r="BB16" s="518"/>
      <c r="BC16" s="551"/>
      <c r="BD16" s="518"/>
      <c r="BE16" s="518"/>
    </row>
    <row r="17" spans="1:57" ht="12.75" customHeight="1">
      <c r="A17" s="558" t="s">
        <v>241</v>
      </c>
      <c r="B17" s="584">
        <f t="shared" si="3"/>
        <v>0</v>
      </c>
      <c r="C17" s="547"/>
      <c r="D17" s="518"/>
      <c r="E17" s="518"/>
      <c r="F17" s="518"/>
      <c r="G17" s="518"/>
      <c r="H17" s="518"/>
      <c r="I17" s="518"/>
      <c r="J17" s="518"/>
      <c r="K17" s="518"/>
      <c r="L17" s="518"/>
      <c r="M17" s="518"/>
      <c r="N17" s="518"/>
      <c r="O17" s="518"/>
      <c r="P17" s="518"/>
      <c r="Q17" s="518"/>
      <c r="R17" s="515"/>
      <c r="S17" s="515"/>
      <c r="T17" s="515"/>
      <c r="U17" s="515"/>
      <c r="W17" s="515"/>
      <c r="X17" s="515"/>
      <c r="Y17" s="515"/>
      <c r="Z17" s="553"/>
      <c r="AA17" s="553"/>
      <c r="AB17" s="553"/>
      <c r="AC17" s="553"/>
      <c r="AD17" s="518"/>
      <c r="AE17" s="518"/>
      <c r="AF17" s="518"/>
      <c r="AG17" s="518"/>
      <c r="AH17" s="515"/>
      <c r="AI17" s="554"/>
      <c r="AJ17" s="553"/>
      <c r="AK17" s="553"/>
      <c r="AL17" s="553"/>
      <c r="AM17" s="515"/>
      <c r="AN17" s="515"/>
      <c r="AO17" s="515"/>
      <c r="AP17" s="515"/>
      <c r="AQ17" s="515"/>
      <c r="AR17" s="515"/>
      <c r="AS17" s="515"/>
      <c r="AT17" s="515"/>
      <c r="AU17" s="515"/>
      <c r="AV17" s="554"/>
      <c r="AW17" s="554"/>
      <c r="AX17" s="554"/>
      <c r="AY17" s="515"/>
      <c r="AZ17" s="515"/>
      <c r="BA17" s="518"/>
      <c r="BB17" s="536">
        <v>0</v>
      </c>
      <c r="BC17" s="551"/>
      <c r="BD17" s="518"/>
      <c r="BE17" s="518"/>
    </row>
    <row r="18" spans="1:57" ht="12.75" customHeight="1">
      <c r="A18" s="558" t="s">
        <v>242</v>
      </c>
      <c r="B18" s="584">
        <f t="shared" si="3"/>
        <v>0</v>
      </c>
      <c r="C18" s="547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5"/>
      <c r="S18" s="515"/>
      <c r="T18" s="515"/>
      <c r="U18" s="515"/>
      <c r="V18" s="515"/>
      <c r="W18" s="515"/>
      <c r="X18" s="515"/>
      <c r="Y18" s="515"/>
      <c r="Z18" s="553"/>
      <c r="AA18" s="553"/>
      <c r="AB18" s="553"/>
      <c r="AC18" s="553"/>
      <c r="AD18" s="518"/>
      <c r="AE18" s="518"/>
      <c r="AF18" s="518"/>
      <c r="AG18" s="518"/>
      <c r="AH18" s="515"/>
      <c r="AI18" s="554"/>
      <c r="AJ18" s="553"/>
      <c r="AM18" s="515"/>
      <c r="AN18" s="515"/>
      <c r="AO18" s="515"/>
      <c r="AP18" s="515"/>
      <c r="AQ18" s="515"/>
      <c r="AR18" s="515"/>
      <c r="AS18" s="515"/>
      <c r="AT18" s="515"/>
      <c r="AU18" s="515"/>
      <c r="AV18" s="554"/>
      <c r="AW18" s="554"/>
      <c r="AX18" s="554"/>
      <c r="AY18" s="515"/>
      <c r="AZ18" s="515"/>
      <c r="BA18" s="518"/>
      <c r="BB18" s="536"/>
      <c r="BC18" s="551"/>
      <c r="BD18" s="518"/>
      <c r="BE18" s="518"/>
    </row>
    <row r="19" spans="1:57" ht="12.75" customHeight="1">
      <c r="A19" s="548" t="s">
        <v>243</v>
      </c>
      <c r="B19" s="584">
        <f t="shared" si="3"/>
        <v>0</v>
      </c>
      <c r="C19" s="547"/>
      <c r="D19" s="518"/>
      <c r="E19" s="518"/>
      <c r="F19" s="518"/>
      <c r="G19" s="518"/>
      <c r="H19" s="518"/>
      <c r="I19" s="518"/>
      <c r="J19" s="518"/>
      <c r="K19" s="518"/>
      <c r="L19" s="518"/>
      <c r="M19" s="518"/>
      <c r="N19" s="518"/>
      <c r="O19" s="518"/>
      <c r="P19" s="518"/>
      <c r="Q19" s="518"/>
      <c r="R19" s="515"/>
      <c r="S19" s="515"/>
      <c r="T19" s="515"/>
      <c r="U19" s="515"/>
      <c r="V19" s="515"/>
      <c r="W19" s="515"/>
      <c r="X19" s="515"/>
      <c r="Y19" s="515"/>
      <c r="Z19" s="553"/>
      <c r="AA19" s="553"/>
      <c r="AB19" s="553"/>
      <c r="AC19" s="553"/>
      <c r="AD19" s="518"/>
      <c r="AE19" s="518"/>
      <c r="AF19" s="518"/>
      <c r="AG19" s="518"/>
      <c r="AH19" s="515"/>
      <c r="AI19" s="554"/>
      <c r="AJ19" s="553"/>
      <c r="AK19" s="553"/>
      <c r="AL19" s="553"/>
      <c r="AM19" s="515">
        <f>-AM9</f>
        <v>0</v>
      </c>
      <c r="AN19" s="515"/>
      <c r="AO19" s="515"/>
      <c r="AP19" s="515"/>
      <c r="AQ19" s="515"/>
      <c r="AR19" s="515"/>
      <c r="AS19" s="515"/>
      <c r="AT19" s="515"/>
      <c r="AU19" s="515"/>
      <c r="AV19" s="554"/>
      <c r="AW19" s="554"/>
      <c r="AX19" s="554"/>
      <c r="AY19" s="515"/>
      <c r="AZ19" s="515"/>
      <c r="BA19" s="518"/>
      <c r="BB19" s="518"/>
      <c r="BC19" s="551"/>
      <c r="BD19" s="518"/>
      <c r="BE19" s="518"/>
    </row>
    <row r="20" spans="1:57" ht="12.75" customHeight="1">
      <c r="A20" s="548" t="s">
        <v>244</v>
      </c>
      <c r="B20" s="584">
        <f t="shared" si="3"/>
        <v>-7489287943</v>
      </c>
      <c r="C20" s="547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5"/>
      <c r="S20" s="515"/>
      <c r="T20" s="515"/>
      <c r="U20" s="515"/>
      <c r="V20" s="515"/>
      <c r="W20" s="515"/>
      <c r="X20" s="515"/>
      <c r="Y20" s="515"/>
      <c r="Z20" s="553"/>
      <c r="AA20" s="553"/>
      <c r="AB20" s="553"/>
      <c r="AC20" s="553"/>
      <c r="AD20" s="518"/>
      <c r="AE20" s="518"/>
      <c r="AF20" s="518"/>
      <c r="AG20" s="518"/>
      <c r="AH20" s="515"/>
      <c r="AI20" s="554"/>
      <c r="AJ20" s="553"/>
      <c r="AK20" s="553"/>
      <c r="AL20" s="553"/>
      <c r="AM20" s="515"/>
      <c r="AN20" s="515"/>
      <c r="AO20" s="515"/>
      <c r="AP20" s="515"/>
      <c r="AQ20" s="515"/>
      <c r="AR20" s="515"/>
      <c r="AS20" s="515"/>
      <c r="AT20" s="515"/>
      <c r="AU20" s="515"/>
      <c r="AV20" s="554"/>
      <c r="AW20" s="554"/>
      <c r="AX20" s="554"/>
      <c r="AY20" s="515"/>
      <c r="AZ20" s="515">
        <f>-('WS Konsol'!BC737+'WS Konsol'!BC738)</f>
        <v>-7489287943</v>
      </c>
      <c r="BA20" s="518"/>
      <c r="BB20" s="515"/>
      <c r="BC20" s="551"/>
      <c r="BD20" s="518"/>
      <c r="BE20" s="518"/>
    </row>
    <row r="21" spans="1:57" ht="12.75" customHeight="1">
      <c r="A21" s="548" t="s">
        <v>246</v>
      </c>
      <c r="B21" s="584">
        <f t="shared" si="3"/>
        <v>-2231324752</v>
      </c>
      <c r="C21" s="547"/>
      <c r="D21" s="518"/>
      <c r="E21" s="518"/>
      <c r="F21" s="518"/>
      <c r="G21" s="518"/>
      <c r="H21" s="518"/>
      <c r="I21" s="518"/>
      <c r="J21" s="518"/>
      <c r="K21" s="518"/>
      <c r="L21" s="518"/>
      <c r="M21" s="518"/>
      <c r="N21" s="518"/>
      <c r="O21" s="518"/>
      <c r="P21" s="518"/>
      <c r="Q21" s="518"/>
      <c r="R21" s="518"/>
      <c r="S21" s="518"/>
      <c r="T21" s="518"/>
      <c r="U21" s="518"/>
      <c r="V21" s="518"/>
      <c r="W21" s="518"/>
      <c r="X21" s="518"/>
      <c r="Y21" s="518"/>
      <c r="Z21" s="518"/>
      <c r="AA21" s="515"/>
      <c r="AB21" s="515"/>
      <c r="AC21" s="515"/>
      <c r="AD21" s="518"/>
      <c r="AE21" s="518"/>
      <c r="AF21" s="518"/>
      <c r="AG21" s="518"/>
      <c r="AH21" s="518"/>
      <c r="AI21" s="1043">
        <f>-SUM('WS Konsol'!BC442:BC449)</f>
        <v>-2231324752</v>
      </c>
      <c r="AJ21" s="559"/>
      <c r="AK21" s="559"/>
      <c r="AL21" s="559"/>
      <c r="AM21" s="518"/>
      <c r="AN21" s="518"/>
      <c r="AO21" s="518"/>
      <c r="AP21" s="518"/>
      <c r="AQ21" s="518"/>
      <c r="AR21" s="518"/>
      <c r="AS21" s="518"/>
      <c r="AT21" s="518"/>
      <c r="AU21" s="518"/>
      <c r="AV21" s="518"/>
      <c r="AW21" s="518"/>
      <c r="AX21" s="560"/>
      <c r="AY21" s="518"/>
      <c r="BA21" s="515"/>
      <c r="BB21" s="561"/>
      <c r="BC21" s="515"/>
      <c r="BD21" s="518"/>
      <c r="BE21" s="518"/>
    </row>
    <row r="22" spans="1:57" ht="12.75" customHeight="1">
      <c r="A22" s="562" t="s">
        <v>248</v>
      </c>
      <c r="B22" s="563">
        <f>SUM(B12:B21)</f>
        <v>-7198750342.8627701</v>
      </c>
      <c r="C22" s="547"/>
      <c r="D22" s="518"/>
      <c r="E22" s="518"/>
      <c r="F22" s="518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  <c r="AU22" s="518"/>
      <c r="AV22" s="518"/>
      <c r="AW22" s="518"/>
      <c r="AX22" s="518"/>
      <c r="AY22" s="518"/>
      <c r="AZ22" s="518"/>
      <c r="BA22" s="518"/>
      <c r="BB22" s="518"/>
      <c r="BC22" s="518"/>
      <c r="BD22" s="518"/>
      <c r="BE22" s="518"/>
    </row>
    <row r="23" spans="1:57" ht="12.75" customHeight="1">
      <c r="A23" s="564"/>
      <c r="B23" s="565"/>
      <c r="C23" s="547"/>
      <c r="D23" s="518"/>
      <c r="E23" s="518"/>
      <c r="F23" s="518"/>
      <c r="G23" s="518"/>
      <c r="H23" s="518"/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  <c r="AA23" s="518"/>
      <c r="AB23" s="518"/>
      <c r="AC23" s="518"/>
      <c r="AD23" s="518"/>
      <c r="AE23" s="518"/>
      <c r="AF23" s="518"/>
      <c r="AG23" s="518"/>
      <c r="AH23" s="518"/>
      <c r="AI23" s="518"/>
      <c r="AJ23" s="518"/>
      <c r="AK23" s="518"/>
      <c r="AL23" s="518"/>
      <c r="AM23" s="518"/>
      <c r="AN23" s="518"/>
      <c r="AO23" s="518"/>
      <c r="AP23" s="518"/>
      <c r="AQ23" s="518"/>
      <c r="AR23" s="518"/>
      <c r="AS23" s="518"/>
      <c r="AT23" s="518"/>
      <c r="AU23" s="518"/>
      <c r="AV23" s="518"/>
      <c r="AW23" s="518"/>
      <c r="AX23" s="518"/>
      <c r="AY23" s="518"/>
      <c r="AZ23" s="518"/>
      <c r="BA23" s="518"/>
      <c r="BB23" s="518"/>
      <c r="BC23" s="518"/>
      <c r="BD23" s="518"/>
      <c r="BE23" s="518"/>
    </row>
    <row r="24" spans="1:57" ht="12.75" customHeight="1">
      <c r="A24" s="548"/>
      <c r="B24" s="565"/>
      <c r="C24" s="547"/>
      <c r="D24" s="518"/>
      <c r="E24" s="518"/>
      <c r="F24" s="518"/>
      <c r="G24" s="518"/>
      <c r="H24" s="518"/>
      <c r="I24" s="518"/>
      <c r="J24" s="518"/>
      <c r="K24" s="518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8"/>
      <c r="Z24" s="518"/>
      <c r="AA24" s="518"/>
      <c r="AB24" s="518"/>
      <c r="AC24" s="518"/>
      <c r="AD24" s="518"/>
      <c r="AE24" s="518"/>
      <c r="AF24" s="518"/>
      <c r="AG24" s="518"/>
      <c r="AH24" s="518"/>
      <c r="AI24" s="518"/>
      <c r="AJ24" s="518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  <c r="AU24" s="518"/>
      <c r="AV24" s="518"/>
      <c r="AW24" s="518"/>
      <c r="AX24" s="518"/>
      <c r="AY24" s="518"/>
      <c r="AZ24" s="518"/>
      <c r="BA24" s="518"/>
      <c r="BB24" s="518"/>
      <c r="BC24" s="518"/>
      <c r="BD24" s="518"/>
      <c r="BE24" s="518"/>
    </row>
    <row r="25" spans="1:57" ht="12.75" customHeight="1">
      <c r="A25" s="566" t="s">
        <v>251</v>
      </c>
      <c r="B25" s="565"/>
      <c r="C25" s="547"/>
      <c r="D25" s="518"/>
      <c r="E25" s="518"/>
      <c r="F25" s="518"/>
      <c r="G25" s="51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8"/>
      <c r="Z25" s="518"/>
      <c r="AA25" s="518"/>
      <c r="AB25" s="518"/>
      <c r="AC25" s="518"/>
      <c r="AD25" s="518"/>
      <c r="AE25" s="518"/>
      <c r="AF25" s="518"/>
      <c r="AG25" s="518"/>
      <c r="AH25" s="518"/>
      <c r="AI25" s="518"/>
      <c r="AJ25" s="518"/>
      <c r="AK25" s="518"/>
      <c r="AL25" s="518"/>
      <c r="AM25" s="518"/>
      <c r="AN25" s="518"/>
      <c r="AO25" s="518"/>
      <c r="AP25" s="518"/>
      <c r="AQ25" s="518"/>
      <c r="AR25" s="518"/>
      <c r="AS25" s="518"/>
      <c r="AT25" s="518"/>
      <c r="AU25" s="518"/>
      <c r="AV25" s="518"/>
      <c r="AW25" s="518"/>
      <c r="AX25" s="518"/>
      <c r="AY25" s="518"/>
      <c r="AZ25" s="518"/>
      <c r="BA25" s="518"/>
      <c r="BB25" s="518"/>
      <c r="BC25" s="518"/>
      <c r="BD25" s="518"/>
      <c r="BE25" s="518"/>
    </row>
    <row r="26" spans="1:57" ht="12.75" customHeight="1">
      <c r="A26" s="548"/>
      <c r="B26" s="565"/>
      <c r="C26" s="547"/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  <c r="AA26" s="518"/>
      <c r="AB26" s="518"/>
      <c r="AC26" s="518"/>
      <c r="AD26" s="518"/>
      <c r="AE26" s="518"/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S26" s="518"/>
      <c r="AT26" s="518"/>
      <c r="AU26" s="518"/>
      <c r="AV26" s="518"/>
      <c r="AW26" s="518"/>
      <c r="AX26" s="518"/>
      <c r="AY26" s="518"/>
      <c r="AZ26" s="518"/>
      <c r="BA26" s="518"/>
      <c r="BB26" s="518"/>
      <c r="BC26" s="518"/>
      <c r="BD26" s="518"/>
      <c r="BE26" s="518"/>
    </row>
    <row r="27" spans="1:57" ht="12.75" customHeight="1">
      <c r="A27" s="566" t="s">
        <v>253</v>
      </c>
      <c r="B27" s="565"/>
      <c r="C27" s="547"/>
      <c r="D27" s="518"/>
      <c r="E27" s="518"/>
      <c r="F27" s="518"/>
      <c r="G27" s="518"/>
      <c r="H27" s="518"/>
      <c r="I27" s="518"/>
      <c r="J27" s="518"/>
      <c r="K27" s="518"/>
      <c r="L27" s="518"/>
      <c r="M27" s="518"/>
      <c r="N27" s="518"/>
      <c r="O27" s="518"/>
      <c r="P27" s="518"/>
      <c r="Q27" s="518"/>
      <c r="R27" s="518"/>
      <c r="S27" s="518"/>
      <c r="T27" s="518"/>
      <c r="U27" s="518"/>
      <c r="V27" s="518"/>
      <c r="W27" s="518"/>
      <c r="X27" s="518"/>
      <c r="Y27" s="518"/>
      <c r="Z27" s="518"/>
      <c r="AA27" s="518"/>
      <c r="AB27" s="518"/>
      <c r="AC27" s="518"/>
      <c r="AD27" s="518"/>
      <c r="AE27" s="518"/>
      <c r="AF27" s="518"/>
      <c r="AG27" s="518"/>
      <c r="AH27" s="518"/>
      <c r="AI27" s="518"/>
      <c r="AJ27" s="518"/>
      <c r="AK27" s="518"/>
      <c r="AL27" s="518"/>
      <c r="AM27" s="518"/>
      <c r="AN27" s="518"/>
      <c r="AO27" s="518"/>
      <c r="AP27" s="518"/>
      <c r="AQ27" s="518"/>
      <c r="AR27" s="518"/>
      <c r="AS27" s="518"/>
      <c r="AT27" s="518"/>
      <c r="AU27" s="518"/>
      <c r="AV27" s="518"/>
      <c r="AW27" s="518"/>
      <c r="AX27" s="518"/>
      <c r="AY27" s="518"/>
      <c r="AZ27" s="518"/>
      <c r="BA27" s="518"/>
      <c r="BB27" s="518"/>
      <c r="BC27" s="518"/>
      <c r="BD27" s="518"/>
      <c r="BE27" s="518"/>
    </row>
    <row r="28" spans="1:57" ht="12.75" customHeight="1">
      <c r="A28" s="567" t="s">
        <v>254</v>
      </c>
      <c r="B28" s="584">
        <f t="shared" ref="B28:B33" si="5">SUM(D28:BB28)</f>
        <v>-149115000</v>
      </c>
      <c r="C28" s="547"/>
      <c r="D28" s="518"/>
      <c r="E28" s="518"/>
      <c r="F28" s="518"/>
      <c r="G28" s="518"/>
      <c r="H28" s="518"/>
      <c r="I28" s="518"/>
      <c r="J28" s="518"/>
      <c r="K28" s="518"/>
      <c r="L28" s="518"/>
      <c r="M28" s="518"/>
      <c r="N28" s="518"/>
      <c r="O28" s="518"/>
      <c r="P28" s="568"/>
      <c r="Q28" s="568"/>
      <c r="R28" s="568">
        <v>-149115000</v>
      </c>
      <c r="T28" s="568"/>
      <c r="V28" s="568"/>
      <c r="W28" s="568"/>
      <c r="X28" s="568"/>
      <c r="Y28" s="568"/>
      <c r="Z28" s="518"/>
      <c r="AA28" s="518"/>
      <c r="AB28" s="518"/>
      <c r="AC28" s="518"/>
      <c r="AD28" s="518"/>
      <c r="AE28" s="518"/>
      <c r="AF28" s="518"/>
      <c r="AG28" s="518"/>
      <c r="AH28" s="518"/>
      <c r="AI28" s="518"/>
      <c r="AJ28" s="518"/>
      <c r="AK28" s="518"/>
      <c r="AL28" s="518"/>
      <c r="AM28" s="518"/>
      <c r="AN28" s="518"/>
      <c r="AO28" s="518"/>
      <c r="AP28" s="518"/>
      <c r="AQ28" s="568">
        <f>-AQ9</f>
        <v>0</v>
      </c>
      <c r="AR28" s="568"/>
      <c r="AS28" s="568"/>
      <c r="AT28" s="568">
        <f>-AT9</f>
        <v>0</v>
      </c>
      <c r="AU28" s="518"/>
      <c r="AV28" s="518"/>
      <c r="AW28" s="518"/>
      <c r="AX28" s="551"/>
      <c r="AY28" s="551"/>
      <c r="AZ28" s="551"/>
      <c r="BA28" s="518"/>
      <c r="BB28" s="518"/>
      <c r="BC28" s="518"/>
      <c r="BD28" s="518"/>
      <c r="BE28" s="518"/>
    </row>
    <row r="29" spans="1:57" ht="12.75" customHeight="1">
      <c r="A29" s="548" t="s">
        <v>256</v>
      </c>
      <c r="B29" s="584">
        <f t="shared" si="5"/>
        <v>0</v>
      </c>
      <c r="C29" s="547"/>
      <c r="D29" s="518"/>
      <c r="E29" s="518"/>
      <c r="F29" s="518"/>
      <c r="G29" s="518"/>
      <c r="H29" s="518"/>
      <c r="I29" s="518"/>
      <c r="J29" s="518"/>
      <c r="K29" s="518"/>
      <c r="L29" s="518"/>
      <c r="M29" s="518"/>
      <c r="N29" s="518"/>
      <c r="O29" s="518"/>
      <c r="P29" s="518"/>
      <c r="Q29" s="518"/>
      <c r="R29" s="568"/>
      <c r="S29" s="568"/>
      <c r="T29" s="568"/>
      <c r="U29" s="568"/>
      <c r="V29" s="568"/>
      <c r="W29" s="568"/>
      <c r="X29" s="568"/>
      <c r="Y29" s="568"/>
      <c r="Z29" s="518"/>
      <c r="AA29" s="518"/>
      <c r="AB29" s="518"/>
      <c r="AC29" s="518"/>
      <c r="AD29" s="518"/>
      <c r="AE29" s="518"/>
      <c r="AF29" s="518"/>
      <c r="AG29" s="518"/>
      <c r="AH29" s="518"/>
      <c r="AI29" s="518"/>
      <c r="AJ29" s="518"/>
      <c r="AK29" s="518"/>
      <c r="AL29" s="518"/>
      <c r="AM29" s="518"/>
      <c r="AN29" s="518"/>
      <c r="AO29" s="518"/>
      <c r="AP29" s="518"/>
      <c r="AQ29" s="518"/>
      <c r="AR29" s="518"/>
      <c r="AS29" s="518"/>
      <c r="AT29" s="518"/>
      <c r="AU29" s="518"/>
      <c r="AV29" s="518"/>
      <c r="AW29" s="518"/>
      <c r="AX29" s="551"/>
      <c r="AY29" s="551"/>
      <c r="AZ29" s="551"/>
      <c r="BA29" s="518"/>
      <c r="BB29" s="518"/>
      <c r="BC29" s="518"/>
      <c r="BD29" s="518"/>
      <c r="BE29" s="515"/>
    </row>
    <row r="30" spans="1:57" ht="12.75" customHeight="1">
      <c r="A30" s="548" t="s">
        <v>257</v>
      </c>
      <c r="B30" s="584">
        <f t="shared" si="5"/>
        <v>0</v>
      </c>
      <c r="C30" s="547"/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68"/>
      <c r="S30" s="568"/>
      <c r="T30" s="568"/>
      <c r="U30" s="568"/>
      <c r="V30" s="568"/>
      <c r="W30" s="568"/>
      <c r="X30" s="568"/>
      <c r="Y30" s="56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518"/>
      <c r="AQ30" s="518"/>
      <c r="AR30" s="518"/>
      <c r="AS30" s="518"/>
      <c r="AT30" s="518"/>
      <c r="AU30" s="518"/>
      <c r="AV30" s="518"/>
      <c r="AW30" s="518"/>
      <c r="AX30" s="551"/>
      <c r="AY30" s="551"/>
      <c r="AZ30" s="551"/>
      <c r="BA30" s="518"/>
      <c r="BB30" s="518"/>
      <c r="BC30" s="518"/>
      <c r="BD30" s="518"/>
      <c r="BE30" s="551"/>
    </row>
    <row r="31" spans="1:57" ht="12.75" customHeight="1">
      <c r="A31" s="548" t="s">
        <v>258</v>
      </c>
      <c r="B31" s="584">
        <f t="shared" si="5"/>
        <v>0</v>
      </c>
      <c r="C31" s="547"/>
      <c r="D31" s="518"/>
      <c r="E31" s="518"/>
      <c r="F31" s="518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Q31" s="518"/>
      <c r="R31" s="568"/>
      <c r="S31" s="568"/>
      <c r="T31" s="568"/>
      <c r="U31" s="568"/>
      <c r="V31" s="568"/>
      <c r="W31" s="568"/>
      <c r="X31" s="568"/>
      <c r="Y31" s="568"/>
      <c r="Z31" s="518"/>
      <c r="AA31" s="518"/>
      <c r="AB31" s="518"/>
      <c r="AC31" s="518"/>
      <c r="AD31" s="518"/>
      <c r="AE31" s="518"/>
      <c r="AF31" s="518"/>
      <c r="AG31" s="518"/>
      <c r="AH31" s="518"/>
      <c r="AI31" s="518"/>
      <c r="AJ31" s="518"/>
      <c r="AK31" s="518"/>
      <c r="AL31" s="518"/>
      <c r="AM31" s="518"/>
      <c r="AN31" s="518"/>
      <c r="AO31" s="518"/>
      <c r="AP31" s="518"/>
      <c r="AQ31" s="518"/>
      <c r="AR31" s="518"/>
      <c r="AS31" s="518"/>
      <c r="AT31" s="518"/>
      <c r="AU31" s="518"/>
      <c r="AV31" s="518"/>
      <c r="AW31" s="518"/>
      <c r="AX31" s="551"/>
      <c r="AY31" s="550"/>
      <c r="AZ31" s="550"/>
      <c r="BA31" s="518"/>
      <c r="BB31" s="518"/>
      <c r="BC31" s="518"/>
      <c r="BD31" s="518"/>
      <c r="BE31" s="551"/>
    </row>
    <row r="32" spans="1:57" ht="12.75" customHeight="1">
      <c r="A32" s="548" t="s">
        <v>260</v>
      </c>
      <c r="B32" s="584">
        <f t="shared" si="5"/>
        <v>0</v>
      </c>
      <c r="C32" s="547"/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8"/>
      <c r="P32" s="518"/>
      <c r="Q32" s="518"/>
      <c r="R32" s="568"/>
      <c r="S32" s="568"/>
      <c r="T32" s="568"/>
      <c r="U32" s="568"/>
      <c r="V32" s="568"/>
      <c r="W32" s="568"/>
      <c r="X32" s="568"/>
      <c r="Y32" s="568"/>
      <c r="Z32" s="518"/>
      <c r="AA32" s="518"/>
      <c r="AB32" s="518"/>
      <c r="AC32" s="518"/>
      <c r="AD32" s="518"/>
      <c r="AE32" s="518"/>
      <c r="AF32" s="518"/>
      <c r="AG32" s="518"/>
      <c r="AH32" s="518"/>
      <c r="AI32" s="518"/>
      <c r="AJ32" s="515"/>
      <c r="AK32" s="518"/>
      <c r="AL32" s="518"/>
      <c r="AM32" s="518"/>
      <c r="AN32" s="518"/>
      <c r="AO32" s="518"/>
      <c r="AP32" s="518"/>
      <c r="AQ32" s="518"/>
      <c r="AR32" s="518"/>
      <c r="AS32" s="518"/>
      <c r="AT32" s="518"/>
      <c r="AU32" s="518"/>
      <c r="AV32" s="518"/>
      <c r="AW32" s="518"/>
      <c r="AX32" s="551"/>
      <c r="AY32" s="550"/>
      <c r="AZ32" s="550"/>
      <c r="BA32" s="518"/>
      <c r="BB32" s="518"/>
      <c r="BC32" s="518"/>
      <c r="BD32" s="518"/>
      <c r="BE32" s="518"/>
    </row>
    <row r="33" spans="1:57" ht="12.75" customHeight="1">
      <c r="A33" s="548" t="s">
        <v>261</v>
      </c>
      <c r="B33" s="584">
        <f t="shared" si="5"/>
        <v>0</v>
      </c>
      <c r="C33" s="547"/>
      <c r="D33" s="515"/>
      <c r="E33" s="515"/>
      <c r="F33" s="515"/>
      <c r="G33" s="515"/>
      <c r="H33" s="515"/>
      <c r="I33" s="515"/>
      <c r="J33" s="515"/>
      <c r="K33" s="515"/>
      <c r="L33" s="515"/>
      <c r="M33" s="515"/>
      <c r="N33" s="515"/>
      <c r="O33" s="515"/>
      <c r="P33" s="515"/>
      <c r="Q33" s="515"/>
      <c r="R33" s="568"/>
      <c r="S33" s="568"/>
      <c r="T33" s="568"/>
      <c r="U33" s="568"/>
      <c r="V33" s="568"/>
      <c r="W33" s="568"/>
      <c r="X33" s="568"/>
      <c r="Y33" s="568"/>
      <c r="Z33" s="518"/>
      <c r="AA33" s="518"/>
      <c r="AB33" s="518"/>
      <c r="AC33" s="518"/>
      <c r="AD33" s="515"/>
      <c r="AE33" s="515"/>
      <c r="AF33" s="515"/>
      <c r="AG33" s="515"/>
      <c r="AH33" s="518"/>
      <c r="AI33" s="518"/>
      <c r="AJ33" s="518"/>
      <c r="AK33" s="518"/>
      <c r="AL33" s="518"/>
      <c r="AM33" s="518"/>
      <c r="AN33" s="518"/>
      <c r="AO33" s="518"/>
      <c r="AP33" s="518"/>
      <c r="AQ33" s="518"/>
      <c r="AR33" s="518"/>
      <c r="AS33" s="518"/>
      <c r="AT33" s="518"/>
      <c r="AU33" s="518"/>
      <c r="AV33" s="518"/>
      <c r="AW33" s="518"/>
      <c r="AX33" s="551"/>
      <c r="AY33" s="551"/>
      <c r="AZ33" s="551"/>
      <c r="BA33" s="518"/>
      <c r="BB33" s="518"/>
      <c r="BC33" s="518"/>
      <c r="BD33" s="518"/>
      <c r="BE33" s="518"/>
    </row>
    <row r="34" spans="1:57" ht="12.75" customHeight="1">
      <c r="A34" s="548" t="s">
        <v>263</v>
      </c>
      <c r="B34" s="569">
        <f>SUM(B28:B33)</f>
        <v>-149115000</v>
      </c>
      <c r="C34" s="547"/>
      <c r="D34" s="518"/>
      <c r="E34" s="518"/>
      <c r="F34" s="518"/>
      <c r="G34" s="518"/>
      <c r="H34" s="518"/>
      <c r="I34" s="518"/>
      <c r="J34" s="518"/>
      <c r="K34" s="518"/>
      <c r="L34" s="518"/>
      <c r="M34" s="518"/>
      <c r="N34" s="518"/>
      <c r="O34" s="518"/>
      <c r="P34" s="518"/>
      <c r="Q34" s="518"/>
      <c r="R34" s="518"/>
      <c r="S34" s="518"/>
      <c r="T34" s="518"/>
      <c r="U34" s="518"/>
      <c r="V34" s="518"/>
      <c r="W34" s="518"/>
      <c r="X34" s="518"/>
      <c r="Y34" s="518"/>
      <c r="Z34" s="518"/>
      <c r="AA34" s="518"/>
      <c r="AB34" s="518"/>
      <c r="AC34" s="518"/>
      <c r="AD34" s="518"/>
      <c r="AE34" s="518"/>
      <c r="AF34" s="518"/>
      <c r="AG34" s="518"/>
      <c r="AH34" s="518"/>
      <c r="AI34" s="518"/>
      <c r="AJ34" s="518"/>
      <c r="AK34" s="518"/>
      <c r="AL34" s="518"/>
      <c r="AM34" s="518"/>
      <c r="AN34" s="518"/>
      <c r="AO34" s="518"/>
      <c r="AP34" s="518"/>
      <c r="AQ34" s="518"/>
      <c r="AR34" s="518"/>
      <c r="AS34" s="518"/>
      <c r="AT34" s="518"/>
      <c r="AU34" s="518"/>
      <c r="AV34" s="518"/>
      <c r="AW34" s="518"/>
      <c r="AX34" s="518"/>
      <c r="AY34" s="518"/>
      <c r="AZ34" s="518"/>
      <c r="BA34" s="518"/>
      <c r="BB34" s="518"/>
      <c r="BC34" s="518"/>
      <c r="BD34" s="518"/>
      <c r="BE34" s="518"/>
    </row>
    <row r="35" spans="1:57" ht="12.75" customHeight="1">
      <c r="A35" s="548"/>
      <c r="B35" s="549"/>
      <c r="C35" s="547"/>
      <c r="D35" s="518"/>
      <c r="E35" s="518"/>
      <c r="F35" s="518"/>
      <c r="G35" s="518"/>
      <c r="H35" s="518"/>
      <c r="I35" s="518"/>
      <c r="J35" s="518"/>
      <c r="K35" s="518"/>
      <c r="L35" s="518"/>
      <c r="M35" s="518"/>
      <c r="N35" s="518"/>
      <c r="O35" s="518"/>
      <c r="P35" s="518"/>
      <c r="Q35" s="518"/>
      <c r="R35" s="518"/>
      <c r="S35" s="518"/>
      <c r="T35" s="518"/>
      <c r="U35" s="518"/>
      <c r="V35" s="518"/>
      <c r="W35" s="518"/>
      <c r="X35" s="518"/>
      <c r="Y35" s="518"/>
      <c r="Z35" s="518"/>
      <c r="AA35" s="518"/>
      <c r="AB35" s="518"/>
      <c r="AC35" s="518"/>
      <c r="AD35" s="518"/>
      <c r="AE35" s="518"/>
      <c r="AF35" s="518"/>
      <c r="AG35" s="518"/>
      <c r="AH35" s="518"/>
      <c r="AI35" s="518"/>
      <c r="AJ35" s="518"/>
      <c r="AK35" s="518"/>
      <c r="AL35" s="518"/>
      <c r="AM35" s="518"/>
      <c r="AN35" s="518"/>
      <c r="AO35" s="518"/>
      <c r="AP35" s="518"/>
      <c r="AQ35" s="518"/>
      <c r="AR35" s="518"/>
      <c r="AS35" s="518"/>
      <c r="AT35" s="518"/>
      <c r="AU35" s="518"/>
      <c r="AV35" s="518"/>
      <c r="AW35" s="518"/>
      <c r="AX35" s="518"/>
      <c r="AY35" s="518"/>
      <c r="AZ35" s="518"/>
      <c r="BA35" s="518"/>
      <c r="BB35" s="518"/>
      <c r="BC35" s="518"/>
      <c r="BD35" s="518"/>
      <c r="BE35" s="518"/>
    </row>
    <row r="36" spans="1:57" ht="12.75" customHeight="1">
      <c r="A36" s="566" t="s">
        <v>265</v>
      </c>
      <c r="B36" s="570"/>
      <c r="C36" s="547"/>
      <c r="D36" s="518"/>
      <c r="E36" s="518"/>
      <c r="F36" s="518"/>
      <c r="G36" s="518"/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8"/>
      <c r="T36" s="518"/>
      <c r="U36" s="518"/>
      <c r="V36" s="518"/>
      <c r="W36" s="518"/>
      <c r="X36" s="518"/>
      <c r="Y36" s="518"/>
      <c r="Z36" s="518"/>
      <c r="AA36" s="518"/>
      <c r="AB36" s="518"/>
      <c r="AC36" s="518"/>
      <c r="AD36" s="518"/>
      <c r="AE36" s="518"/>
      <c r="AF36" s="518"/>
      <c r="AG36" s="518"/>
      <c r="AH36" s="518"/>
      <c r="AI36" s="518"/>
      <c r="AJ36" s="518"/>
      <c r="AK36" s="518"/>
      <c r="AL36" s="518"/>
      <c r="AM36" s="518"/>
      <c r="AN36" s="518"/>
      <c r="AO36" s="518"/>
      <c r="AP36" s="518"/>
      <c r="AQ36" s="518"/>
      <c r="AR36" s="518"/>
      <c r="AS36" s="518"/>
      <c r="AT36" s="518"/>
      <c r="AU36" s="518"/>
      <c r="AV36" s="518"/>
      <c r="AW36" s="518"/>
      <c r="AX36" s="518"/>
      <c r="AY36" s="518"/>
      <c r="AZ36" s="518"/>
      <c r="BA36" s="518"/>
      <c r="BB36" s="518"/>
      <c r="BC36" s="518"/>
      <c r="BD36" s="518"/>
      <c r="BE36" s="518"/>
    </row>
    <row r="37" spans="1:57" ht="12.75" customHeight="1">
      <c r="A37" s="548" t="s">
        <v>267</v>
      </c>
      <c r="B37" s="584">
        <f t="shared" ref="B37:B43" si="6">SUM(D37:BB37)</f>
        <v>223626289709</v>
      </c>
      <c r="C37" s="547"/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18"/>
      <c r="X37" s="515">
        <v>223626289709</v>
      </c>
      <c r="Y37" s="515"/>
      <c r="Z37" s="518"/>
      <c r="AA37" s="518"/>
      <c r="AB37" s="551"/>
      <c r="AC37" s="551"/>
      <c r="AD37" s="515"/>
      <c r="AE37" s="515"/>
      <c r="AF37" s="515"/>
      <c r="AG37" s="515"/>
      <c r="AH37" s="515"/>
      <c r="AI37" s="518"/>
      <c r="AJ37" s="515"/>
      <c r="AK37" s="515"/>
      <c r="AL37" s="515"/>
      <c r="AM37" s="518"/>
      <c r="AN37" s="518"/>
      <c r="AO37" s="518"/>
      <c r="AP37" s="518"/>
      <c r="AQ37" s="518"/>
      <c r="AR37" s="518"/>
      <c r="AS37" s="518"/>
      <c r="AT37" s="518"/>
      <c r="AU37" s="518"/>
      <c r="AV37" s="518"/>
      <c r="AW37" s="518"/>
      <c r="AX37" s="518"/>
      <c r="AY37" s="518"/>
      <c r="AZ37" s="518"/>
      <c r="BA37" s="518"/>
      <c r="BB37" s="518"/>
      <c r="BC37" s="518"/>
      <c r="BD37" s="518"/>
      <c r="BE37" s="518"/>
    </row>
    <row r="38" spans="1:57" ht="12.75" customHeight="1">
      <c r="A38" s="548" t="s">
        <v>268</v>
      </c>
      <c r="B38" s="584">
        <f t="shared" si="6"/>
        <v>-216245927159</v>
      </c>
      <c r="C38" s="547"/>
      <c r="D38" s="518"/>
      <c r="E38" s="518"/>
      <c r="F38" s="518"/>
      <c r="G38" s="518"/>
      <c r="H38" s="518"/>
      <c r="I38" s="518"/>
      <c r="J38" s="518"/>
      <c r="K38" s="518"/>
      <c r="L38" s="518"/>
      <c r="M38" s="518"/>
      <c r="N38" s="518"/>
      <c r="O38" s="518"/>
      <c r="P38" s="518"/>
      <c r="Q38" s="518"/>
      <c r="R38" s="518"/>
      <c r="S38" s="518"/>
      <c r="T38" s="518"/>
      <c r="U38" s="518"/>
      <c r="V38" s="518"/>
      <c r="W38" s="518"/>
      <c r="X38" s="515">
        <v>-214544110493</v>
      </c>
      <c r="Y38" s="515">
        <f>-Y9</f>
        <v>3420779376</v>
      </c>
      <c r="Z38" s="518"/>
      <c r="AA38" s="518"/>
      <c r="AB38" s="551"/>
      <c r="AC38" s="551"/>
      <c r="AD38" s="515"/>
      <c r="AE38" s="515"/>
      <c r="AF38" s="515"/>
      <c r="AG38" s="515"/>
      <c r="AH38" s="1045">
        <f>-'KK CF Konsol Juni 23'!AH9</f>
        <v>-5122596042</v>
      </c>
      <c r="AI38" s="518"/>
      <c r="AJ38" s="515"/>
      <c r="AK38" s="515"/>
      <c r="AL38" s="515"/>
      <c r="AM38" s="518"/>
      <c r="AN38" s="518"/>
      <c r="AO38" s="518"/>
      <c r="AP38" s="518"/>
      <c r="AQ38" s="518"/>
      <c r="AR38" s="518"/>
      <c r="AS38" s="518"/>
      <c r="AT38" s="518"/>
      <c r="AU38" s="518"/>
      <c r="AV38" s="518"/>
      <c r="AW38" s="518"/>
      <c r="AX38" s="518"/>
      <c r="AY38" s="518"/>
      <c r="AZ38" s="518"/>
      <c r="BA38" s="518"/>
      <c r="BB38" s="518"/>
      <c r="BC38" s="518"/>
      <c r="BD38" s="518"/>
      <c r="BE38" s="518"/>
    </row>
    <row r="39" spans="1:57" ht="12.75" customHeight="1">
      <c r="A39" s="548" t="s">
        <v>1539</v>
      </c>
      <c r="B39" s="584">
        <f t="shared" si="6"/>
        <v>0</v>
      </c>
      <c r="C39" s="547"/>
      <c r="D39" s="518"/>
      <c r="E39" s="518"/>
      <c r="F39" s="518"/>
      <c r="G39" s="518"/>
      <c r="H39" s="518"/>
      <c r="I39" s="518"/>
      <c r="J39" s="518"/>
      <c r="K39" s="518"/>
      <c r="L39" s="518"/>
      <c r="M39" s="518"/>
      <c r="N39" s="518"/>
      <c r="O39" s="518"/>
      <c r="P39" s="518"/>
      <c r="Q39" s="518"/>
      <c r="R39" s="518"/>
      <c r="S39" s="518"/>
      <c r="T39" s="518"/>
      <c r="U39" s="518"/>
      <c r="V39" s="518"/>
      <c r="W39" s="518"/>
      <c r="X39" s="518"/>
      <c r="Y39" s="518"/>
      <c r="Z39" s="518"/>
      <c r="AA39" s="518"/>
      <c r="AB39" s="551"/>
      <c r="AC39" s="551"/>
      <c r="AD39" s="515"/>
      <c r="AE39" s="515"/>
      <c r="AF39" s="515">
        <f>-AF9</f>
        <v>-5722543</v>
      </c>
      <c r="AG39" s="515"/>
      <c r="AH39" s="515"/>
      <c r="AI39" s="518"/>
      <c r="AJ39" s="515"/>
      <c r="AK39" s="515"/>
      <c r="AL39" s="515">
        <f>-AL9</f>
        <v>5722543</v>
      </c>
      <c r="AM39" s="518"/>
      <c r="AN39" s="518"/>
      <c r="AO39" s="518"/>
      <c r="AP39" s="518"/>
      <c r="AQ39" s="518"/>
      <c r="AR39" s="518"/>
      <c r="AS39" s="518"/>
      <c r="AT39" s="518"/>
      <c r="AU39" s="518"/>
      <c r="AV39" s="518"/>
      <c r="AW39" s="518"/>
      <c r="AX39" s="518"/>
      <c r="AY39" s="518"/>
      <c r="AZ39" s="518"/>
      <c r="BA39" s="518"/>
      <c r="BB39" s="518"/>
      <c r="BC39" s="518"/>
      <c r="BD39" s="518"/>
      <c r="BE39" s="518"/>
    </row>
    <row r="40" spans="1:57" ht="12.75" customHeight="1">
      <c r="A40" s="548" t="s">
        <v>270</v>
      </c>
      <c r="B40" s="584">
        <f t="shared" si="6"/>
        <v>0</v>
      </c>
      <c r="C40" s="547"/>
      <c r="D40" s="518"/>
      <c r="E40" s="518"/>
      <c r="F40" s="518"/>
      <c r="G40" s="518"/>
      <c r="H40" s="518"/>
      <c r="I40" s="518"/>
      <c r="J40" s="518"/>
      <c r="K40" s="518"/>
      <c r="L40" s="518"/>
      <c r="M40" s="518"/>
      <c r="N40" s="518"/>
      <c r="O40" s="518"/>
      <c r="P40" s="518"/>
      <c r="Q40" s="518"/>
      <c r="R40" s="518"/>
      <c r="S40" s="518"/>
      <c r="T40" s="518"/>
      <c r="U40" s="518"/>
      <c r="V40" s="518"/>
      <c r="W40" s="518"/>
      <c r="X40" s="518"/>
      <c r="Y40" s="518"/>
      <c r="Z40" s="518"/>
      <c r="AA40" s="518"/>
      <c r="AB40" s="551"/>
      <c r="AC40" s="551"/>
      <c r="AD40" s="515"/>
      <c r="AE40" s="515"/>
      <c r="AF40" s="515"/>
      <c r="AG40" s="515"/>
      <c r="AH40" s="515"/>
      <c r="AI40" s="518"/>
      <c r="AJ40" s="515"/>
      <c r="AK40" s="515"/>
      <c r="AL40" s="515"/>
      <c r="AM40" s="518"/>
      <c r="AN40" s="518"/>
      <c r="AO40" s="518"/>
      <c r="AP40" s="518"/>
      <c r="AQ40" s="518"/>
      <c r="AR40" s="518"/>
      <c r="AS40" s="518"/>
      <c r="AT40" s="518"/>
      <c r="AU40" s="518"/>
      <c r="AV40" s="518"/>
      <c r="AW40" s="518"/>
      <c r="AX40" s="518"/>
      <c r="AY40" s="518"/>
      <c r="AZ40" s="518"/>
      <c r="BA40" s="518"/>
      <c r="BB40" s="518"/>
      <c r="BC40" s="518"/>
      <c r="BD40" s="518"/>
      <c r="BE40" s="518"/>
    </row>
    <row r="41" spans="1:57" ht="12.75" customHeight="1">
      <c r="A41" s="548" t="s">
        <v>1545</v>
      </c>
      <c r="B41" s="584">
        <f t="shared" si="6"/>
        <v>0</v>
      </c>
      <c r="C41" s="547"/>
      <c r="D41" s="518"/>
      <c r="E41" s="518"/>
      <c r="F41" s="518"/>
      <c r="G41" s="518"/>
      <c r="H41" s="518"/>
      <c r="I41" s="518"/>
      <c r="J41" s="518"/>
      <c r="K41" s="518"/>
      <c r="L41" s="518"/>
      <c r="M41" s="518"/>
      <c r="N41" s="518"/>
      <c r="O41" s="518"/>
      <c r="P41" s="518"/>
      <c r="Q41" s="518"/>
      <c r="R41" s="518"/>
      <c r="S41" s="518"/>
      <c r="T41" s="518"/>
      <c r="U41" s="518"/>
      <c r="V41" s="518"/>
      <c r="W41" s="518"/>
      <c r="X41" s="518"/>
      <c r="Y41" s="518"/>
      <c r="Z41" s="518"/>
      <c r="AA41" s="518"/>
      <c r="AB41" s="551"/>
      <c r="AC41" s="551"/>
      <c r="AD41" s="515"/>
      <c r="AE41" s="515"/>
      <c r="AF41" s="515"/>
      <c r="AG41" s="515"/>
      <c r="AH41" s="518"/>
      <c r="AI41" s="518"/>
      <c r="AJ41" s="515"/>
      <c r="AK41" s="515"/>
      <c r="AL41" s="515"/>
      <c r="AM41" s="518"/>
      <c r="AN41" s="518"/>
      <c r="AO41" s="518"/>
      <c r="AP41" s="518"/>
      <c r="AQ41" s="518"/>
      <c r="AR41" s="518"/>
      <c r="AS41" s="518"/>
      <c r="AT41" s="518"/>
      <c r="AU41" s="518"/>
      <c r="AV41" s="518"/>
      <c r="AW41" s="518"/>
      <c r="AX41" s="518"/>
      <c r="AY41" s="518"/>
      <c r="AZ41" s="518"/>
      <c r="BA41" s="518"/>
      <c r="BB41" s="518"/>
      <c r="BC41" s="518"/>
      <c r="BD41" s="518"/>
      <c r="BE41" s="518"/>
    </row>
    <row r="42" spans="1:57" ht="12.75" customHeight="1">
      <c r="A42" s="548" t="s">
        <v>272</v>
      </c>
      <c r="B42" s="584">
        <f t="shared" si="6"/>
        <v>0</v>
      </c>
      <c r="C42" s="547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8"/>
      <c r="T42" s="518"/>
      <c r="U42" s="518"/>
      <c r="V42" s="518"/>
      <c r="W42" s="518"/>
      <c r="X42" s="518"/>
      <c r="Y42" s="518"/>
      <c r="Z42" s="518"/>
      <c r="AA42" s="518"/>
      <c r="AB42" s="551"/>
      <c r="AC42" s="551"/>
      <c r="AD42" s="515"/>
      <c r="AE42" s="515"/>
      <c r="AF42" s="515"/>
      <c r="AG42" s="515"/>
      <c r="AH42" s="518"/>
      <c r="AI42" s="518"/>
      <c r="AJ42" s="515"/>
      <c r="AK42" s="515"/>
      <c r="AL42" s="515"/>
      <c r="AM42" s="518"/>
      <c r="AN42" s="518"/>
      <c r="AO42" s="518"/>
      <c r="AP42" s="518"/>
      <c r="AQ42" s="518"/>
      <c r="AR42" s="518"/>
      <c r="AS42" s="518"/>
      <c r="AT42" s="518"/>
      <c r="AU42" s="518"/>
      <c r="AV42" s="518"/>
      <c r="AW42" s="518"/>
      <c r="AX42" s="518"/>
      <c r="AY42" s="518"/>
      <c r="AZ42" s="518"/>
      <c r="BA42" s="518"/>
      <c r="BB42" s="518"/>
      <c r="BC42" s="518"/>
      <c r="BD42" s="518"/>
      <c r="BE42" s="518"/>
    </row>
    <row r="43" spans="1:57" ht="12.75" customHeight="1">
      <c r="A43" s="548" t="s">
        <v>273</v>
      </c>
      <c r="B43" s="584">
        <f t="shared" si="6"/>
        <v>780097100</v>
      </c>
      <c r="C43" s="547"/>
      <c r="D43" s="518"/>
      <c r="E43" s="518"/>
      <c r="F43" s="518"/>
      <c r="G43" s="518"/>
      <c r="H43" s="518"/>
      <c r="I43" s="518"/>
      <c r="J43" s="518"/>
      <c r="K43" s="518"/>
      <c r="L43" s="518"/>
      <c r="M43" s="518"/>
      <c r="N43" s="518"/>
      <c r="O43" s="518"/>
      <c r="P43" s="518"/>
      <c r="Q43" s="518"/>
      <c r="R43" s="518"/>
      <c r="S43" s="518"/>
      <c r="T43" s="518"/>
      <c r="U43" s="518"/>
      <c r="V43" s="518"/>
      <c r="W43" s="518"/>
      <c r="X43" s="518"/>
      <c r="Y43" s="518"/>
      <c r="Z43" s="515"/>
      <c r="AA43" s="515"/>
      <c r="AB43" s="515"/>
      <c r="AC43" s="515"/>
      <c r="AD43" s="553">
        <f>-AD9</f>
        <v>0</v>
      </c>
      <c r="AE43" s="553">
        <f>-AE9</f>
        <v>780097100</v>
      </c>
      <c r="AF43" s="515"/>
      <c r="AG43" s="518"/>
      <c r="AH43" s="518"/>
      <c r="AI43" s="518"/>
      <c r="AJ43" s="515">
        <f>-AJ9</f>
        <v>0</v>
      </c>
      <c r="AK43" s="518"/>
      <c r="AL43" s="515"/>
      <c r="AM43" s="515"/>
      <c r="AN43" s="515"/>
      <c r="AO43" s="515"/>
      <c r="AP43" s="515"/>
      <c r="AQ43" s="518"/>
      <c r="AR43" s="518"/>
      <c r="AS43" s="518"/>
      <c r="AT43" s="518"/>
      <c r="AU43" s="518"/>
      <c r="AV43" s="518"/>
      <c r="AW43" s="518"/>
      <c r="AX43" s="518"/>
      <c r="AY43" s="518"/>
      <c r="AZ43" s="518"/>
      <c r="BA43" s="518"/>
      <c r="BB43" s="518"/>
      <c r="BC43" s="518"/>
      <c r="BD43" s="518"/>
      <c r="BE43" s="518"/>
    </row>
    <row r="44" spans="1:57" ht="12.75" customHeight="1">
      <c r="A44" s="571" t="s">
        <v>274</v>
      </c>
      <c r="B44" s="572">
        <f>SUM(B37:B43)</f>
        <v>8160459650</v>
      </c>
      <c r="C44" s="547"/>
      <c r="D44" s="518"/>
      <c r="E44" s="518"/>
      <c r="F44" s="518"/>
      <c r="G44" s="518"/>
      <c r="H44" s="518"/>
      <c r="I44" s="518"/>
      <c r="J44" s="518"/>
      <c r="K44" s="518"/>
      <c r="L44" s="518"/>
      <c r="M44" s="518"/>
      <c r="N44" s="518"/>
      <c r="O44" s="518"/>
      <c r="P44" s="518"/>
      <c r="Q44" s="518"/>
      <c r="R44" s="518"/>
      <c r="S44" s="518"/>
      <c r="T44" s="518"/>
      <c r="U44" s="518"/>
      <c r="V44" s="518"/>
      <c r="W44" s="518"/>
      <c r="X44" s="518"/>
      <c r="Y44" s="518"/>
      <c r="Z44" s="518"/>
      <c r="AA44" s="518"/>
      <c r="AB44" s="518"/>
      <c r="AC44" s="518"/>
      <c r="AD44" s="518"/>
      <c r="AE44" s="518"/>
      <c r="AF44" s="518"/>
      <c r="AG44" s="518"/>
      <c r="AH44" s="518"/>
      <c r="AI44" s="518"/>
      <c r="AJ44" s="518"/>
      <c r="AK44" s="518"/>
      <c r="AL44" s="518"/>
      <c r="AM44" s="518"/>
      <c r="AN44" s="518"/>
      <c r="AO44" s="518"/>
      <c r="AP44" s="518"/>
      <c r="AQ44" s="518"/>
      <c r="AR44" s="518"/>
      <c r="AS44" s="518"/>
      <c r="AT44" s="518"/>
      <c r="AU44" s="518"/>
      <c r="AV44" s="518"/>
      <c r="AW44" s="518"/>
      <c r="AX44" s="518"/>
      <c r="AY44" s="518"/>
      <c r="AZ44" s="518"/>
      <c r="BA44" s="518"/>
      <c r="BB44" s="518"/>
      <c r="BC44" s="518"/>
      <c r="BD44" s="518"/>
      <c r="BE44" s="518"/>
    </row>
    <row r="45" spans="1:57" ht="12.75" customHeight="1">
      <c r="A45" s="571"/>
      <c r="B45" s="565"/>
      <c r="C45" s="547"/>
      <c r="D45" s="518"/>
      <c r="E45" s="518"/>
      <c r="F45" s="518"/>
      <c r="G45" s="518"/>
      <c r="H45" s="518"/>
      <c r="I45" s="518"/>
      <c r="J45" s="518"/>
      <c r="K45" s="518"/>
      <c r="L45" s="518"/>
      <c r="M45" s="518"/>
      <c r="N45" s="518"/>
      <c r="O45" s="518"/>
      <c r="P45" s="518"/>
      <c r="Q45" s="518"/>
      <c r="R45" s="518"/>
      <c r="S45" s="518"/>
      <c r="T45" s="518"/>
      <c r="U45" s="518"/>
      <c r="V45" s="518"/>
      <c r="W45" s="518"/>
      <c r="X45" s="518"/>
      <c r="Y45" s="518"/>
      <c r="Z45" s="518"/>
      <c r="AA45" s="518"/>
      <c r="AB45" s="518"/>
      <c r="AC45" s="518"/>
      <c r="AD45" s="518"/>
      <c r="AE45" s="518"/>
      <c r="AF45" s="518"/>
      <c r="AG45" s="518"/>
      <c r="AH45" s="518"/>
      <c r="AI45" s="518"/>
      <c r="AJ45" s="518"/>
      <c r="AK45" s="518"/>
      <c r="AL45" s="518"/>
      <c r="AM45" s="518"/>
      <c r="AN45" s="518"/>
      <c r="AO45" s="518"/>
      <c r="AP45" s="518"/>
      <c r="AQ45" s="518"/>
      <c r="AR45" s="518"/>
      <c r="AS45" s="518"/>
      <c r="AT45" s="518"/>
      <c r="AU45" s="518"/>
      <c r="AV45" s="518"/>
      <c r="AW45" s="518"/>
      <c r="AX45" s="518"/>
      <c r="AY45" s="518"/>
      <c r="AZ45" s="518"/>
      <c r="BA45" s="518"/>
      <c r="BB45" s="518"/>
      <c r="BC45" s="518"/>
      <c r="BD45" s="518"/>
      <c r="BE45" s="518"/>
    </row>
    <row r="46" spans="1:57" ht="12.75" customHeight="1">
      <c r="A46" s="571" t="s">
        <v>275</v>
      </c>
      <c r="B46" s="565"/>
      <c r="C46" s="547"/>
      <c r="D46" s="518"/>
      <c r="E46" s="518"/>
      <c r="F46" s="518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518"/>
      <c r="S46" s="518"/>
      <c r="T46" s="518"/>
      <c r="U46" s="518"/>
      <c r="V46" s="518"/>
      <c r="W46" s="518"/>
      <c r="X46" s="518"/>
      <c r="Y46" s="518"/>
      <c r="Z46" s="518"/>
      <c r="AA46" s="518"/>
      <c r="AB46" s="518"/>
      <c r="AC46" s="518"/>
      <c r="AD46" s="518"/>
      <c r="AE46" s="518"/>
      <c r="AF46" s="518"/>
      <c r="AG46" s="518"/>
      <c r="AH46" s="518"/>
      <c r="AI46" s="518"/>
      <c r="AJ46" s="518"/>
      <c r="AK46" s="518"/>
      <c r="AL46" s="518"/>
      <c r="AM46" s="518"/>
      <c r="AN46" s="518"/>
      <c r="AO46" s="518"/>
      <c r="AP46" s="518"/>
      <c r="AQ46" s="518"/>
      <c r="AR46" s="518"/>
      <c r="AS46" s="518"/>
      <c r="AT46" s="518"/>
      <c r="AU46" s="518"/>
      <c r="AV46" s="518"/>
      <c r="AW46" s="518"/>
      <c r="AX46" s="518"/>
      <c r="AY46" s="518"/>
      <c r="AZ46" s="518"/>
      <c r="BA46" s="518"/>
      <c r="BB46" s="518"/>
      <c r="BC46" s="518"/>
      <c r="BD46" s="518"/>
      <c r="BE46" s="518"/>
    </row>
    <row r="47" spans="1:57" ht="12.75" customHeight="1">
      <c r="A47" s="571"/>
      <c r="B47" s="565"/>
      <c r="C47" s="547"/>
      <c r="D47" s="518"/>
      <c r="E47" s="518"/>
      <c r="F47" s="518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518"/>
      <c r="S47" s="518"/>
      <c r="T47" s="518"/>
      <c r="U47" s="518"/>
      <c r="V47" s="518"/>
      <c r="W47" s="518"/>
      <c r="X47" s="518"/>
      <c r="Y47" s="518"/>
      <c r="Z47" s="518"/>
      <c r="AA47" s="518"/>
      <c r="AB47" s="518"/>
      <c r="AC47" s="518"/>
      <c r="AD47" s="518"/>
      <c r="AE47" s="518"/>
      <c r="AF47" s="518"/>
      <c r="AG47" s="518"/>
      <c r="AH47" s="518"/>
      <c r="AI47" s="518"/>
      <c r="AJ47" s="518"/>
      <c r="AK47" s="518"/>
      <c r="AL47" s="518"/>
      <c r="AM47" s="518"/>
      <c r="AN47" s="518"/>
      <c r="AO47" s="518"/>
      <c r="AP47" s="518"/>
      <c r="AQ47" s="518"/>
      <c r="AR47" s="518"/>
      <c r="AS47" s="518"/>
      <c r="AT47" s="518"/>
      <c r="AU47" s="518"/>
      <c r="AV47" s="518"/>
      <c r="AW47" s="518"/>
      <c r="AX47" s="518"/>
      <c r="AY47" s="518"/>
      <c r="AZ47" s="518"/>
      <c r="BA47" s="518"/>
      <c r="BB47" s="518"/>
      <c r="BC47" s="518"/>
      <c r="BD47" s="518"/>
      <c r="BE47" s="518"/>
    </row>
    <row r="48" spans="1:57" ht="12.75" customHeight="1">
      <c r="A48" s="548"/>
      <c r="B48" s="565"/>
      <c r="C48" s="547"/>
      <c r="D48" s="518"/>
      <c r="E48" s="518"/>
      <c r="F48" s="518"/>
      <c r="G48" s="518"/>
      <c r="H48" s="518"/>
      <c r="I48" s="518"/>
      <c r="J48" s="518"/>
      <c r="K48" s="518"/>
      <c r="L48" s="518"/>
      <c r="M48" s="518"/>
      <c r="N48" s="518"/>
      <c r="O48" s="518"/>
      <c r="P48" s="518"/>
      <c r="Q48" s="518"/>
      <c r="R48" s="518"/>
      <c r="S48" s="518"/>
      <c r="T48" s="518"/>
      <c r="U48" s="518"/>
      <c r="V48" s="518"/>
      <c r="W48" s="518"/>
      <c r="X48" s="518"/>
      <c r="Y48" s="518"/>
      <c r="Z48" s="518"/>
      <c r="AA48" s="518"/>
      <c r="AB48" s="518"/>
      <c r="AC48" s="518"/>
      <c r="AD48" s="518"/>
      <c r="AE48" s="518"/>
      <c r="AF48" s="518"/>
      <c r="AG48" s="518"/>
      <c r="AH48" s="518"/>
      <c r="AI48" s="518"/>
      <c r="AJ48" s="518"/>
      <c r="AK48" s="518"/>
      <c r="AL48" s="518"/>
      <c r="AM48" s="518"/>
      <c r="AN48" s="518"/>
      <c r="AO48" s="518"/>
      <c r="AP48" s="518"/>
      <c r="AQ48" s="518"/>
      <c r="AR48" s="518"/>
      <c r="AS48" s="518"/>
      <c r="AT48" s="518"/>
      <c r="AU48" s="518"/>
      <c r="AV48" s="518"/>
      <c r="AW48" s="518"/>
      <c r="AX48" s="518"/>
      <c r="AY48" s="518"/>
      <c r="AZ48" s="518"/>
      <c r="BA48" s="518"/>
      <c r="BB48" s="518"/>
      <c r="BC48" s="518"/>
      <c r="BD48" s="518"/>
      <c r="BE48" s="518"/>
    </row>
    <row r="49" spans="1:57" ht="12.75" customHeight="1">
      <c r="A49" s="566" t="s">
        <v>276</v>
      </c>
      <c r="B49" s="565">
        <f>B44+B34+B22</f>
        <v>812594307.13722992</v>
      </c>
      <c r="C49" s="555"/>
      <c r="D49" s="518"/>
      <c r="E49" s="518"/>
      <c r="F49" s="518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518"/>
      <c r="S49" s="518"/>
      <c r="T49" s="518"/>
      <c r="U49" s="518"/>
      <c r="V49" s="518"/>
      <c r="W49" s="518"/>
      <c r="X49" s="518"/>
      <c r="Y49" s="518"/>
      <c r="Z49" s="518"/>
      <c r="AA49" s="518"/>
      <c r="AB49" s="518"/>
      <c r="AC49" s="518"/>
      <c r="AD49" s="518"/>
      <c r="AE49" s="518"/>
      <c r="AF49" s="518"/>
      <c r="AG49" s="518"/>
      <c r="AH49" s="518"/>
      <c r="AI49" s="518"/>
      <c r="AJ49" s="518"/>
      <c r="AK49" s="518"/>
      <c r="AL49" s="518"/>
      <c r="AM49" s="518"/>
      <c r="AN49" s="518"/>
      <c r="AO49" s="518"/>
      <c r="AP49" s="518"/>
      <c r="AQ49" s="518"/>
      <c r="AR49" s="518"/>
      <c r="AS49" s="518"/>
      <c r="AT49" s="518"/>
      <c r="AU49" s="518"/>
      <c r="AV49" s="518"/>
      <c r="AW49" s="518"/>
      <c r="AX49" s="518"/>
      <c r="AY49" s="518"/>
      <c r="AZ49" s="518"/>
      <c r="BA49" s="518"/>
      <c r="BB49" s="518"/>
      <c r="BC49" s="518"/>
      <c r="BD49" s="518"/>
      <c r="BE49" s="518"/>
    </row>
    <row r="50" spans="1:57" ht="12.75" customHeight="1">
      <c r="A50" s="566"/>
      <c r="B50" s="565"/>
      <c r="C50" s="547"/>
      <c r="D50" s="518"/>
      <c r="E50" s="518"/>
      <c r="F50" s="518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18"/>
      <c r="Z50" s="518"/>
      <c r="AA50" s="518"/>
      <c r="AB50" s="518"/>
      <c r="AC50" s="518"/>
      <c r="AD50" s="518"/>
      <c r="AE50" s="518"/>
      <c r="AF50" s="518"/>
      <c r="AG50" s="518"/>
      <c r="AH50" s="518"/>
      <c r="AI50" s="518"/>
      <c r="AJ50" s="518"/>
      <c r="AK50" s="518"/>
      <c r="AL50" s="518"/>
      <c r="AM50" s="518"/>
      <c r="AN50" s="518"/>
      <c r="AO50" s="518"/>
      <c r="AP50" s="518"/>
      <c r="AQ50" s="518"/>
      <c r="AR50" s="518"/>
      <c r="AS50" s="518"/>
      <c r="AT50" s="518"/>
      <c r="AU50" s="518"/>
      <c r="AV50" s="518"/>
      <c r="AW50" s="518"/>
      <c r="AX50" s="518"/>
      <c r="AY50" s="518"/>
      <c r="AZ50" s="518"/>
      <c r="BA50" s="518"/>
      <c r="BB50" s="518"/>
      <c r="BC50" s="518"/>
      <c r="BD50" s="518"/>
      <c r="BE50" s="518"/>
    </row>
    <row r="51" spans="1:57" ht="12.75" customHeight="1">
      <c r="A51" s="566" t="s">
        <v>277</v>
      </c>
      <c r="B51" s="565">
        <f>C8</f>
        <v>4920468963</v>
      </c>
      <c r="C51" s="547"/>
      <c r="D51" s="518"/>
      <c r="E51" s="518"/>
      <c r="F51" s="518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518"/>
      <c r="S51" s="518"/>
      <c r="T51" s="518"/>
      <c r="U51" s="518"/>
      <c r="V51" s="518"/>
      <c r="W51" s="518"/>
      <c r="X51" s="518"/>
      <c r="Y51" s="518"/>
      <c r="Z51" s="518"/>
      <c r="AA51" s="518"/>
      <c r="AB51" s="518"/>
      <c r="AC51" s="518"/>
      <c r="AD51" s="518"/>
      <c r="AE51" s="518"/>
      <c r="AF51" s="518"/>
      <c r="AG51" s="518"/>
      <c r="AH51" s="518"/>
      <c r="AI51" s="518"/>
      <c r="AJ51" s="518"/>
      <c r="AK51" s="518"/>
      <c r="AL51" s="518"/>
      <c r="AM51" s="518"/>
      <c r="AN51" s="518"/>
      <c r="AO51" s="518"/>
      <c r="AP51" s="518"/>
      <c r="AQ51" s="518"/>
      <c r="AR51" s="518"/>
      <c r="AS51" s="518"/>
      <c r="AT51" s="518"/>
      <c r="AU51" s="518"/>
      <c r="AV51" s="518"/>
      <c r="AW51" s="518"/>
      <c r="AX51" s="518"/>
      <c r="AY51" s="518"/>
      <c r="AZ51" s="518"/>
      <c r="BA51" s="518"/>
      <c r="BB51" s="518"/>
      <c r="BC51" s="518"/>
      <c r="BD51" s="518"/>
      <c r="BE51" s="518"/>
    </row>
    <row r="52" spans="1:57" ht="12.75" customHeight="1">
      <c r="A52" s="566"/>
      <c r="B52" s="573"/>
      <c r="C52" s="547"/>
      <c r="D52" s="518"/>
      <c r="E52" s="518"/>
      <c r="F52" s="518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18"/>
      <c r="S52" s="518"/>
      <c r="T52" s="518"/>
      <c r="U52" s="518"/>
      <c r="V52" s="518"/>
      <c r="W52" s="518"/>
      <c r="X52" s="518"/>
      <c r="Y52" s="518"/>
      <c r="Z52" s="518"/>
      <c r="AA52" s="518"/>
      <c r="AB52" s="518"/>
      <c r="AC52" s="518"/>
      <c r="AD52" s="518"/>
      <c r="AE52" s="518"/>
      <c r="AF52" s="518"/>
      <c r="AG52" s="518"/>
      <c r="AH52" s="518"/>
      <c r="AI52" s="518"/>
      <c r="AJ52" s="518"/>
      <c r="AK52" s="518"/>
      <c r="AL52" s="518"/>
      <c r="AM52" s="518"/>
      <c r="AN52" s="518"/>
      <c r="AO52" s="518"/>
      <c r="AP52" s="518"/>
      <c r="AQ52" s="518"/>
      <c r="AR52" s="518"/>
      <c r="AS52" s="518"/>
      <c r="AT52" s="518"/>
      <c r="AU52" s="518"/>
      <c r="AV52" s="518"/>
      <c r="AW52" s="518"/>
      <c r="AX52" s="518"/>
      <c r="AY52" s="518"/>
      <c r="AZ52" s="518"/>
      <c r="BA52" s="518"/>
      <c r="BB52" s="518"/>
      <c r="BC52" s="518"/>
      <c r="BD52" s="518"/>
      <c r="BE52" s="518"/>
    </row>
    <row r="53" spans="1:57" ht="12.75" customHeight="1">
      <c r="A53" s="574" t="s">
        <v>278</v>
      </c>
      <c r="B53" s="575">
        <f>B49+B51</f>
        <v>5733063270.1372299</v>
      </c>
      <c r="C53" s="576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  <c r="AE53" s="577"/>
      <c r="AF53" s="577"/>
      <c r="AG53" s="577"/>
      <c r="AH53" s="577"/>
      <c r="AI53" s="577"/>
      <c r="AJ53" s="577"/>
      <c r="AK53" s="577"/>
      <c r="AL53" s="577"/>
      <c r="AM53" s="577"/>
      <c r="AN53" s="577"/>
      <c r="AO53" s="577"/>
      <c r="AP53" s="577"/>
      <c r="AQ53" s="577"/>
      <c r="AR53" s="577"/>
      <c r="AS53" s="577"/>
      <c r="AT53" s="577"/>
      <c r="AU53" s="577"/>
      <c r="AV53" s="577"/>
      <c r="AW53" s="518"/>
      <c r="AX53" s="518"/>
      <c r="AY53" s="518"/>
      <c r="AZ53" s="518"/>
      <c r="BA53" s="518"/>
      <c r="BB53" s="518"/>
      <c r="BC53" s="518"/>
      <c r="BD53" s="518"/>
      <c r="BE53" s="518"/>
    </row>
    <row r="54" spans="1:57" ht="12.75" customHeight="1">
      <c r="A54" s="578"/>
      <c r="B54" s="515"/>
      <c r="C54" s="579">
        <f t="shared" ref="C54:X54" si="7">SUM(C9:C53)</f>
        <v>812594307</v>
      </c>
      <c r="D54" s="579">
        <f t="shared" si="7"/>
        <v>0</v>
      </c>
      <c r="E54" s="579">
        <f t="shared" si="7"/>
        <v>0</v>
      </c>
      <c r="F54" s="579">
        <f t="shared" si="7"/>
        <v>0</v>
      </c>
      <c r="G54" s="579">
        <f t="shared" si="7"/>
        <v>0</v>
      </c>
      <c r="H54" s="579">
        <f t="shared" si="7"/>
        <v>0</v>
      </c>
      <c r="I54" s="579">
        <f t="shared" si="7"/>
        <v>0</v>
      </c>
      <c r="J54" s="579">
        <f t="shared" si="7"/>
        <v>0</v>
      </c>
      <c r="K54" s="579">
        <f t="shared" si="7"/>
        <v>0</v>
      </c>
      <c r="L54" s="579">
        <f t="shared" si="7"/>
        <v>0</v>
      </c>
      <c r="M54" s="579">
        <f t="shared" si="7"/>
        <v>0</v>
      </c>
      <c r="N54" s="579">
        <f t="shared" si="7"/>
        <v>0</v>
      </c>
      <c r="O54" s="579">
        <f t="shared" si="7"/>
        <v>0</v>
      </c>
      <c r="P54" s="579">
        <f t="shared" si="7"/>
        <v>0</v>
      </c>
      <c r="Q54" s="579">
        <f t="shared" si="7"/>
        <v>0</v>
      </c>
      <c r="R54" s="579">
        <f t="shared" si="7"/>
        <v>0</v>
      </c>
      <c r="S54" s="579">
        <f t="shared" si="7"/>
        <v>0</v>
      </c>
      <c r="T54" s="579">
        <f t="shared" si="7"/>
        <v>0</v>
      </c>
      <c r="U54" s="579">
        <f t="shared" si="7"/>
        <v>0</v>
      </c>
      <c r="V54" s="579">
        <f t="shared" si="7"/>
        <v>0</v>
      </c>
      <c r="W54" s="579">
        <f t="shared" si="7"/>
        <v>0</v>
      </c>
      <c r="X54" s="579">
        <f t="shared" si="7"/>
        <v>0</v>
      </c>
      <c r="Y54" s="579"/>
      <c r="Z54" s="579">
        <f t="shared" ref="Z54:BB54" si="8">SUM(Z9:Z53)</f>
        <v>0</v>
      </c>
      <c r="AA54" s="579">
        <f t="shared" si="8"/>
        <v>0</v>
      </c>
      <c r="AB54" s="579">
        <f t="shared" si="8"/>
        <v>0</v>
      </c>
      <c r="AC54" s="579">
        <f t="shared" si="8"/>
        <v>0</v>
      </c>
      <c r="AD54" s="579">
        <f t="shared" si="8"/>
        <v>0</v>
      </c>
      <c r="AE54" s="579">
        <f t="shared" si="8"/>
        <v>0</v>
      </c>
      <c r="AF54" s="579">
        <f t="shared" si="8"/>
        <v>0</v>
      </c>
      <c r="AG54" s="579">
        <f t="shared" si="8"/>
        <v>0</v>
      </c>
      <c r="AH54" s="579">
        <f t="shared" si="8"/>
        <v>0</v>
      </c>
      <c r="AI54" s="579">
        <f t="shared" si="8"/>
        <v>0</v>
      </c>
      <c r="AJ54" s="579">
        <f t="shared" si="8"/>
        <v>0</v>
      </c>
      <c r="AK54" s="579">
        <f t="shared" si="8"/>
        <v>0</v>
      </c>
      <c r="AL54" s="579">
        <f t="shared" si="8"/>
        <v>0</v>
      </c>
      <c r="AM54" s="579">
        <f t="shared" si="8"/>
        <v>0</v>
      </c>
      <c r="AN54" s="579">
        <f t="shared" si="8"/>
        <v>0</v>
      </c>
      <c r="AO54" s="579">
        <f t="shared" si="8"/>
        <v>0</v>
      </c>
      <c r="AP54" s="579">
        <f t="shared" si="8"/>
        <v>0</v>
      </c>
      <c r="AQ54" s="579">
        <f t="shared" si="8"/>
        <v>0</v>
      </c>
      <c r="AR54" s="579"/>
      <c r="AS54" s="579"/>
      <c r="AT54" s="579">
        <f t="shared" si="8"/>
        <v>0</v>
      </c>
      <c r="AU54" s="579">
        <f t="shared" si="8"/>
        <v>0</v>
      </c>
      <c r="AV54" s="579">
        <f t="shared" si="8"/>
        <v>0</v>
      </c>
      <c r="AW54" s="579"/>
      <c r="AX54" s="579">
        <f>SUM(AX9:AX53)</f>
        <v>0</v>
      </c>
      <c r="AY54" s="579">
        <f>SUM(AY9:AY53)</f>
        <v>0</v>
      </c>
      <c r="AZ54" s="579"/>
      <c r="BA54" s="579">
        <f>SUM(BA9:BA53)</f>
        <v>0</v>
      </c>
      <c r="BB54" s="579">
        <f t="shared" si="8"/>
        <v>0</v>
      </c>
      <c r="BC54" s="515">
        <f>SUM(D54:BB54)</f>
        <v>0</v>
      </c>
      <c r="BD54" s="518"/>
      <c r="BE54" s="518"/>
    </row>
    <row r="55" spans="1:57" ht="12.75" customHeight="1">
      <c r="A55" s="518"/>
      <c r="B55" s="515"/>
      <c r="C55" s="518"/>
      <c r="D55" s="518"/>
      <c r="E55" s="518"/>
      <c r="F55" s="518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518"/>
      <c r="S55" s="518"/>
      <c r="T55" s="518"/>
      <c r="U55" s="518"/>
      <c r="V55" s="518"/>
      <c r="W55" s="518"/>
      <c r="X55" s="518"/>
      <c r="Y55" s="518"/>
      <c r="Z55" s="518"/>
      <c r="AA55" s="518"/>
      <c r="AB55" s="518"/>
      <c r="AC55" s="518"/>
      <c r="AD55" s="518"/>
      <c r="AE55" s="518"/>
      <c r="AF55" s="518"/>
      <c r="AG55" s="518"/>
      <c r="AH55" s="518"/>
      <c r="AI55" s="518"/>
      <c r="AJ55" s="518"/>
      <c r="AK55" s="518"/>
      <c r="AL55" s="518"/>
      <c r="AM55" s="518"/>
      <c r="AN55" s="518"/>
      <c r="AO55" s="518"/>
      <c r="AP55" s="518"/>
      <c r="AQ55" s="518"/>
      <c r="AR55" s="518"/>
      <c r="AS55" s="518"/>
      <c r="AT55" s="518"/>
      <c r="AU55" s="518"/>
      <c r="AV55" s="518"/>
      <c r="AW55" s="518"/>
      <c r="AX55" s="518"/>
      <c r="AY55" s="518"/>
      <c r="AZ55" s="518"/>
      <c r="BA55" s="518"/>
      <c r="BB55" s="518"/>
      <c r="BC55" s="518"/>
      <c r="BD55" s="518"/>
      <c r="BE55" s="518"/>
    </row>
    <row r="56" spans="1:57" ht="12.75" customHeight="1">
      <c r="A56" s="518"/>
      <c r="B56" s="515"/>
      <c r="C56" s="518"/>
      <c r="D56" s="518"/>
      <c r="E56" s="518"/>
      <c r="F56" s="518"/>
      <c r="G56" s="518"/>
      <c r="H56" s="518"/>
      <c r="I56" s="518"/>
      <c r="J56" s="518"/>
      <c r="K56" s="518"/>
      <c r="L56" s="518"/>
      <c r="M56" s="518"/>
      <c r="N56" s="518"/>
      <c r="O56" s="518"/>
      <c r="P56" s="518"/>
      <c r="Q56" s="518"/>
      <c r="R56" s="518"/>
      <c r="S56" s="518"/>
      <c r="T56" s="518"/>
      <c r="U56" s="518"/>
      <c r="V56" s="518"/>
      <c r="W56" s="518"/>
      <c r="X56" s="518"/>
      <c r="Y56" s="518"/>
      <c r="Z56" s="518"/>
      <c r="AA56" s="518"/>
      <c r="AB56" s="518"/>
      <c r="AC56" s="518"/>
      <c r="AD56" s="518"/>
      <c r="AE56" s="518"/>
      <c r="AF56" s="518"/>
      <c r="AG56" s="518"/>
      <c r="AH56" s="518"/>
      <c r="AI56" s="518"/>
      <c r="AJ56" s="518"/>
      <c r="AK56" s="518"/>
      <c r="AL56" s="518"/>
      <c r="AM56" s="518"/>
      <c r="AN56" s="518"/>
      <c r="AO56" s="518"/>
      <c r="AP56" s="518"/>
      <c r="AQ56" s="518"/>
      <c r="AR56" s="518"/>
      <c r="AS56" s="518"/>
      <c r="AT56" s="518"/>
      <c r="AU56" s="518"/>
      <c r="AV56" s="518"/>
      <c r="AW56" s="518"/>
      <c r="AX56" s="518"/>
      <c r="AY56" s="518"/>
      <c r="AZ56" s="518"/>
      <c r="BA56" s="518"/>
      <c r="BB56" s="518"/>
      <c r="BC56" s="518"/>
      <c r="BD56" s="518"/>
      <c r="BE56" s="518"/>
    </row>
    <row r="57" spans="1:57" ht="12.75" customHeight="1">
      <c r="A57" s="518"/>
      <c r="B57" s="580">
        <f>'BS Konsol'!J11</f>
        <v>5733063270</v>
      </c>
      <c r="C57" s="518"/>
      <c r="D57" s="518"/>
      <c r="E57" s="518"/>
      <c r="F57" s="518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8"/>
      <c r="AB57" s="518"/>
      <c r="AC57" s="518"/>
      <c r="AD57" s="518"/>
      <c r="AE57" s="518"/>
      <c r="AF57" s="518"/>
      <c r="AG57" s="518"/>
      <c r="AH57" s="518"/>
      <c r="AI57" s="518"/>
      <c r="AJ57" s="518"/>
      <c r="AK57" s="518"/>
      <c r="AL57" s="518"/>
      <c r="AM57" s="518"/>
      <c r="AN57" s="518"/>
      <c r="AO57" s="518"/>
      <c r="AP57" s="518"/>
      <c r="AQ57" s="518"/>
      <c r="AR57" s="518"/>
      <c r="AS57" s="518"/>
      <c r="AT57" s="518"/>
      <c r="AU57" s="518"/>
      <c r="AV57" s="518"/>
      <c r="AW57" s="518"/>
      <c r="AX57" s="518"/>
      <c r="AY57" s="518"/>
      <c r="AZ57" s="518"/>
      <c r="BA57" s="518"/>
      <c r="BB57" s="518"/>
      <c r="BC57" s="518"/>
      <c r="BD57" s="518"/>
      <c r="BE57" s="518"/>
    </row>
    <row r="58" spans="1:57" ht="12.75" customHeight="1">
      <c r="A58" s="518" t="s">
        <v>279</v>
      </c>
      <c r="B58" s="515">
        <f>B57-B53</f>
        <v>-0.13722991943359375</v>
      </c>
      <c r="C58" s="518"/>
      <c r="D58" s="518"/>
      <c r="E58" s="518"/>
      <c r="F58" s="518"/>
      <c r="G58" s="518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8"/>
      <c r="AB58" s="518"/>
      <c r="AC58" s="518"/>
      <c r="AD58" s="518"/>
      <c r="AE58" s="518"/>
      <c r="AF58" s="518"/>
      <c r="AG58" s="518"/>
      <c r="AH58" s="518"/>
      <c r="AI58" s="518"/>
      <c r="AJ58" s="518"/>
      <c r="AK58" s="518"/>
      <c r="AL58" s="518"/>
      <c r="AM58" s="518"/>
      <c r="AN58" s="518"/>
      <c r="AO58" s="518"/>
      <c r="AP58" s="518"/>
      <c r="AQ58" s="518"/>
      <c r="AR58" s="518"/>
      <c r="AS58" s="518"/>
      <c r="AT58" s="518"/>
      <c r="AU58" s="518"/>
      <c r="AV58" s="518"/>
      <c r="AW58" s="518"/>
      <c r="AX58" s="518"/>
      <c r="AY58" s="518"/>
      <c r="AZ58" s="518"/>
      <c r="BA58" s="518"/>
      <c r="BB58" s="518"/>
      <c r="BC58" s="518"/>
      <c r="BD58" s="518"/>
      <c r="BE58" s="518"/>
    </row>
    <row r="59" spans="1:57" ht="12.75" customHeight="1">
      <c r="A59" s="518"/>
      <c r="B59" s="515"/>
      <c r="C59" s="518"/>
      <c r="D59" s="518"/>
      <c r="E59" s="518"/>
      <c r="F59" s="518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8"/>
      <c r="AB59" s="518"/>
      <c r="AC59" s="518"/>
      <c r="AD59" s="518"/>
      <c r="AE59" s="518"/>
      <c r="AF59" s="518"/>
      <c r="AG59" s="518"/>
      <c r="AH59" s="518"/>
      <c r="AI59" s="518"/>
      <c r="AJ59" s="518"/>
      <c r="AK59" s="518"/>
      <c r="AL59" s="518"/>
      <c r="AM59" s="518"/>
      <c r="AN59" s="518"/>
      <c r="AO59" s="518"/>
      <c r="AP59" s="518"/>
      <c r="AQ59" s="518"/>
      <c r="AR59" s="518"/>
      <c r="AS59" s="518"/>
      <c r="AT59" s="518"/>
      <c r="AU59" s="518"/>
      <c r="AV59" s="518"/>
      <c r="AW59" s="518"/>
      <c r="AX59" s="518"/>
      <c r="AY59" s="518"/>
      <c r="AZ59" s="518"/>
      <c r="BA59" s="518"/>
      <c r="BB59" s="518"/>
      <c r="BC59" s="518"/>
      <c r="BD59" s="518"/>
      <c r="BE59" s="518"/>
    </row>
    <row r="60" spans="1:57" ht="12.75" customHeight="1">
      <c r="A60" s="518"/>
      <c r="B60" s="515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518"/>
      <c r="AN60" s="518"/>
      <c r="AO60" s="518"/>
      <c r="AP60" s="518"/>
      <c r="AQ60" s="518"/>
      <c r="AR60" s="518"/>
      <c r="AS60" s="518"/>
      <c r="AT60" s="518"/>
      <c r="AU60" s="518"/>
      <c r="AV60" s="518"/>
      <c r="AW60" s="518"/>
      <c r="AX60" s="518"/>
      <c r="AY60" s="518"/>
      <c r="AZ60" s="518"/>
      <c r="BA60" s="518"/>
      <c r="BB60" s="518"/>
      <c r="BC60" s="518"/>
      <c r="BD60" s="518"/>
      <c r="BE60" s="518"/>
    </row>
    <row r="61" spans="1:57" ht="12.75" customHeight="1">
      <c r="A61" s="518"/>
      <c r="B61" s="515"/>
      <c r="C61" s="518"/>
      <c r="D61" s="518"/>
      <c r="E61" s="518"/>
      <c r="F61" s="518"/>
      <c r="G61" s="518"/>
      <c r="H61" s="518"/>
      <c r="I61" s="518"/>
      <c r="J61" s="518"/>
      <c r="K61" s="518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8"/>
      <c r="AB61" s="518"/>
      <c r="AC61" s="518"/>
      <c r="AD61" s="518"/>
      <c r="AE61" s="518"/>
      <c r="AF61" s="518"/>
      <c r="AG61" s="518"/>
      <c r="AH61" s="518"/>
      <c r="AI61" s="518"/>
      <c r="AJ61" s="518"/>
      <c r="AK61" s="518"/>
      <c r="AL61" s="518"/>
      <c r="AM61" s="518"/>
      <c r="AN61" s="518"/>
      <c r="AO61" s="518"/>
      <c r="AP61" s="518"/>
      <c r="AQ61" s="518"/>
      <c r="AR61" s="518"/>
      <c r="AS61" s="518"/>
      <c r="AT61" s="518"/>
      <c r="AU61" s="518"/>
      <c r="AV61" s="518"/>
      <c r="AW61" s="518"/>
      <c r="AX61" s="518"/>
      <c r="AY61" s="518"/>
      <c r="AZ61" s="518"/>
      <c r="BA61" s="518"/>
      <c r="BB61" s="518"/>
      <c r="BC61" s="518"/>
      <c r="BD61" s="518"/>
      <c r="BE61" s="518"/>
    </row>
    <row r="62" spans="1:57" ht="12.75" customHeight="1">
      <c r="A62" s="518"/>
      <c r="B62" s="515"/>
      <c r="C62" s="518"/>
      <c r="D62" s="518"/>
      <c r="E62" s="518"/>
      <c r="F62" s="518"/>
      <c r="G62" s="518"/>
      <c r="H62" s="518"/>
      <c r="I62" s="518"/>
      <c r="J62" s="518"/>
      <c r="K62" s="518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8"/>
      <c r="AB62" s="518"/>
      <c r="AC62" s="518"/>
      <c r="AD62" s="518"/>
      <c r="AE62" s="518"/>
      <c r="AF62" s="518"/>
      <c r="AG62" s="518"/>
      <c r="AH62" s="518"/>
      <c r="AI62" s="518"/>
      <c r="AJ62" s="518"/>
      <c r="AK62" s="518"/>
      <c r="AL62" s="518"/>
      <c r="AM62" s="518"/>
      <c r="AN62" s="518"/>
      <c r="AO62" s="518"/>
      <c r="AP62" s="518"/>
      <c r="AQ62" s="518"/>
      <c r="AR62" s="518"/>
      <c r="AS62" s="518"/>
      <c r="AT62" s="518"/>
      <c r="AU62" s="518"/>
      <c r="AV62" s="518"/>
      <c r="AW62" s="518"/>
      <c r="AX62" s="518"/>
      <c r="AY62" s="518"/>
      <c r="AZ62" s="518"/>
      <c r="BA62" s="518"/>
      <c r="BB62" s="518"/>
      <c r="BC62" s="518"/>
      <c r="BD62" s="518"/>
      <c r="BE62" s="518"/>
    </row>
    <row r="63" spans="1:57" ht="12.75" customHeight="1">
      <c r="A63" s="518"/>
      <c r="B63" s="515"/>
      <c r="C63" s="518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/>
      <c r="AC63" s="518"/>
      <c r="AD63" s="518"/>
      <c r="AE63" s="518"/>
      <c r="AF63" s="518"/>
      <c r="AG63" s="518"/>
      <c r="AH63" s="518"/>
      <c r="AI63" s="518"/>
      <c r="AJ63" s="518"/>
      <c r="AK63" s="518"/>
      <c r="AL63" s="518"/>
      <c r="AM63" s="518"/>
      <c r="AN63" s="518"/>
      <c r="AO63" s="518"/>
      <c r="AP63" s="518"/>
      <c r="AQ63" s="518"/>
      <c r="AR63" s="518"/>
      <c r="AS63" s="518"/>
      <c r="AT63" s="518"/>
      <c r="AU63" s="518"/>
      <c r="AV63" s="518"/>
      <c r="AW63" s="518"/>
      <c r="AX63" s="518"/>
      <c r="AY63" s="518"/>
      <c r="AZ63" s="518"/>
      <c r="BA63" s="518"/>
      <c r="BB63" s="518"/>
      <c r="BC63" s="518"/>
      <c r="BD63" s="518"/>
      <c r="BE63" s="518"/>
    </row>
    <row r="64" spans="1:57" ht="12.75" customHeight="1">
      <c r="A64" s="518"/>
      <c r="B64" s="515"/>
      <c r="C64" s="518"/>
      <c r="D64" s="518"/>
      <c r="E64" s="518"/>
      <c r="F64" s="518"/>
      <c r="G64" s="518"/>
      <c r="H64" s="518"/>
      <c r="I64" s="518"/>
      <c r="J64" s="518"/>
      <c r="K64" s="518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8"/>
      <c r="AB64" s="518"/>
      <c r="AC64" s="518"/>
      <c r="AD64" s="518"/>
      <c r="AE64" s="518"/>
      <c r="AF64" s="518"/>
      <c r="AG64" s="518"/>
      <c r="AH64" s="518"/>
      <c r="AI64" s="518"/>
      <c r="AJ64" s="518"/>
      <c r="AK64" s="518"/>
      <c r="AL64" s="518"/>
      <c r="AM64" s="518"/>
      <c r="AN64" s="518"/>
      <c r="AO64" s="518"/>
      <c r="AP64" s="518"/>
      <c r="AQ64" s="518"/>
      <c r="AR64" s="518"/>
      <c r="AS64" s="518"/>
      <c r="AT64" s="518"/>
      <c r="AU64" s="518"/>
      <c r="AV64" s="518"/>
      <c r="AW64" s="518"/>
      <c r="AX64" s="518"/>
      <c r="AY64" s="518"/>
      <c r="AZ64" s="518"/>
      <c r="BA64" s="518"/>
      <c r="BB64" s="518"/>
      <c r="BC64" s="518"/>
      <c r="BD64" s="518"/>
      <c r="BE64" s="518"/>
    </row>
    <row r="65" spans="1:57" ht="12.75" customHeight="1">
      <c r="A65" s="518"/>
      <c r="B65" s="515"/>
      <c r="C65" s="518"/>
      <c r="D65" s="518"/>
      <c r="E65" s="518"/>
      <c r="F65" s="518"/>
      <c r="G65" s="518"/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18"/>
      <c r="AM65" s="518"/>
      <c r="AN65" s="518"/>
      <c r="AO65" s="518"/>
      <c r="AP65" s="518"/>
      <c r="AQ65" s="518"/>
      <c r="AR65" s="518"/>
      <c r="AS65" s="518"/>
      <c r="AT65" s="518"/>
      <c r="AU65" s="518"/>
      <c r="AV65" s="518"/>
      <c r="AW65" s="518"/>
      <c r="AX65" s="518"/>
      <c r="AY65" s="518"/>
      <c r="AZ65" s="518"/>
      <c r="BA65" s="518"/>
      <c r="BB65" s="518"/>
      <c r="BC65" s="518"/>
      <c r="BD65" s="518"/>
      <c r="BE65" s="518"/>
    </row>
    <row r="66" spans="1:57" ht="12.75" customHeight="1">
      <c r="A66" s="518"/>
      <c r="B66" s="515"/>
      <c r="C66" s="518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</row>
    <row r="67" spans="1:57" ht="12.75" customHeight="1">
      <c r="A67" s="518"/>
      <c r="B67" s="518"/>
      <c r="C67" s="518"/>
      <c r="D67" s="518"/>
      <c r="E67" s="518"/>
      <c r="F67" s="518"/>
      <c r="G67" s="518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8"/>
      <c r="AB67" s="518"/>
      <c r="AC67" s="518"/>
      <c r="AD67" s="518"/>
      <c r="AE67" s="518"/>
      <c r="AF67" s="518"/>
      <c r="AG67" s="518"/>
      <c r="AH67" s="518"/>
      <c r="AI67" s="518"/>
      <c r="AJ67" s="518"/>
      <c r="AK67" s="518"/>
      <c r="AL67" s="518"/>
      <c r="AM67" s="518"/>
      <c r="AN67" s="518"/>
      <c r="AO67" s="518"/>
      <c r="AP67" s="518"/>
      <c r="AQ67" s="518"/>
      <c r="AR67" s="518"/>
      <c r="AS67" s="518"/>
      <c r="AT67" s="518"/>
      <c r="AU67" s="518"/>
      <c r="AV67" s="518"/>
      <c r="AW67" s="518"/>
      <c r="AX67" s="518"/>
      <c r="AY67" s="518"/>
      <c r="AZ67" s="518"/>
      <c r="BA67" s="518"/>
      <c r="BB67" s="518"/>
      <c r="BC67" s="518"/>
      <c r="BD67" s="518"/>
      <c r="BE67" s="518"/>
    </row>
    <row r="68" spans="1:57" ht="12.75" customHeight="1">
      <c r="A68" s="518"/>
      <c r="B68" s="518"/>
      <c r="C68" s="518"/>
      <c r="D68" s="518"/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8"/>
      <c r="AB68" s="518"/>
      <c r="AC68" s="518"/>
      <c r="AD68" s="518"/>
      <c r="AE68" s="518"/>
      <c r="AF68" s="518"/>
      <c r="AG68" s="518"/>
      <c r="AH68" s="518"/>
      <c r="AI68" s="518"/>
      <c r="AJ68" s="518"/>
      <c r="AK68" s="518"/>
      <c r="AL68" s="518"/>
      <c r="AM68" s="518"/>
      <c r="AN68" s="518"/>
      <c r="AO68" s="518"/>
      <c r="AP68" s="518"/>
      <c r="AQ68" s="518"/>
      <c r="AR68" s="518"/>
      <c r="AS68" s="518"/>
      <c r="AT68" s="518"/>
      <c r="AU68" s="518"/>
      <c r="AV68" s="518"/>
      <c r="AW68" s="518"/>
      <c r="AX68" s="518"/>
      <c r="AY68" s="518"/>
      <c r="AZ68" s="518"/>
      <c r="BA68" s="518"/>
      <c r="BB68" s="518"/>
      <c r="BC68" s="518"/>
      <c r="BD68" s="518"/>
      <c r="BE68" s="518"/>
    </row>
    <row r="69" spans="1:57" ht="12.75" customHeight="1">
      <c r="A69" s="518"/>
      <c r="B69" s="518"/>
      <c r="C69" s="518"/>
      <c r="D69" s="518"/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18"/>
      <c r="AM69" s="518"/>
      <c r="AN69" s="518"/>
      <c r="AO69" s="518"/>
      <c r="AP69" s="518"/>
      <c r="AQ69" s="518"/>
      <c r="AR69" s="518"/>
      <c r="AS69" s="518"/>
      <c r="AT69" s="518"/>
      <c r="AU69" s="518"/>
      <c r="AV69" s="518"/>
      <c r="AW69" s="518"/>
      <c r="AX69" s="518"/>
      <c r="AY69" s="518"/>
      <c r="AZ69" s="518"/>
      <c r="BA69" s="518"/>
      <c r="BB69" s="518"/>
      <c r="BC69" s="518"/>
      <c r="BD69" s="518"/>
      <c r="BE69" s="518"/>
    </row>
    <row r="70" spans="1:57" ht="12.75" customHeight="1">
      <c r="A70" s="518"/>
      <c r="B70" s="518"/>
      <c r="C70" s="518"/>
      <c r="D70" s="518"/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8"/>
      <c r="AB70" s="518"/>
      <c r="AC70" s="518"/>
      <c r="AD70" s="518"/>
      <c r="AE70" s="518"/>
      <c r="AF70" s="518"/>
      <c r="AG70" s="518"/>
      <c r="AH70" s="518"/>
      <c r="AI70" s="518"/>
      <c r="AJ70" s="518"/>
      <c r="AK70" s="518"/>
      <c r="AL70" s="518"/>
      <c r="AM70" s="518"/>
      <c r="AN70" s="518"/>
      <c r="AO70" s="518"/>
      <c r="AP70" s="518"/>
      <c r="AQ70" s="518"/>
      <c r="AR70" s="518"/>
      <c r="AS70" s="518"/>
      <c r="AT70" s="518"/>
      <c r="AU70" s="518"/>
      <c r="AV70" s="518"/>
      <c r="AW70" s="518"/>
      <c r="AX70" s="518"/>
      <c r="AY70" s="518"/>
      <c r="AZ70" s="518"/>
      <c r="BA70" s="518"/>
      <c r="BB70" s="518"/>
      <c r="BC70" s="518"/>
      <c r="BD70" s="518"/>
      <c r="BE70" s="518"/>
    </row>
    <row r="71" spans="1:57" ht="12.75" customHeight="1">
      <c r="A71" s="518"/>
      <c r="B71" s="518"/>
      <c r="C71" s="518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8"/>
      <c r="AB71" s="518"/>
      <c r="AC71" s="518"/>
      <c r="AD71" s="518"/>
      <c r="AE71" s="518"/>
      <c r="AF71" s="518"/>
      <c r="AG71" s="518"/>
      <c r="AH71" s="518"/>
      <c r="AI71" s="518"/>
      <c r="AJ71" s="518"/>
      <c r="AK71" s="518"/>
      <c r="AL71" s="518"/>
      <c r="AM71" s="518"/>
      <c r="AN71" s="518"/>
      <c r="AO71" s="518"/>
      <c r="AP71" s="518"/>
      <c r="AQ71" s="518"/>
      <c r="AR71" s="518"/>
      <c r="AS71" s="518"/>
      <c r="AT71" s="518"/>
      <c r="AU71" s="518"/>
      <c r="AV71" s="518"/>
      <c r="AW71" s="518"/>
      <c r="AX71" s="518"/>
      <c r="AY71" s="518"/>
      <c r="AZ71" s="518"/>
      <c r="BA71" s="518"/>
      <c r="BB71" s="518"/>
      <c r="BC71" s="518"/>
      <c r="BD71" s="518"/>
      <c r="BE71" s="518"/>
    </row>
    <row r="72" spans="1:57" ht="12.75" customHeight="1">
      <c r="A72" s="518"/>
      <c r="B72" s="518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8"/>
      <c r="AB72" s="518"/>
      <c r="AC72" s="518"/>
      <c r="AD72" s="518"/>
      <c r="AE72" s="518"/>
      <c r="AF72" s="518"/>
      <c r="AG72" s="518"/>
      <c r="AH72" s="518"/>
      <c r="AI72" s="518"/>
      <c r="AJ72" s="518"/>
      <c r="AK72" s="518"/>
      <c r="AL72" s="518"/>
      <c r="AM72" s="518"/>
      <c r="AN72" s="518"/>
      <c r="AO72" s="518"/>
      <c r="AP72" s="518"/>
      <c r="AQ72" s="518"/>
      <c r="AR72" s="518"/>
      <c r="AS72" s="518"/>
      <c r="AT72" s="518"/>
      <c r="AU72" s="518"/>
      <c r="AV72" s="518"/>
      <c r="AW72" s="518"/>
      <c r="AX72" s="518"/>
      <c r="AY72" s="518"/>
      <c r="AZ72" s="518"/>
      <c r="BA72" s="518"/>
      <c r="BB72" s="518"/>
      <c r="BC72" s="518"/>
      <c r="BD72" s="518"/>
      <c r="BE72" s="518"/>
    </row>
    <row r="73" spans="1:57" ht="12.75" customHeight="1">
      <c r="A73" s="518"/>
      <c r="B73" s="518"/>
      <c r="C73" s="518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</row>
    <row r="74" spans="1:57" ht="12.75" customHeight="1">
      <c r="A74" s="518"/>
      <c r="B74" s="518"/>
      <c r="C74" s="518"/>
      <c r="D74" s="518"/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8"/>
      <c r="AB74" s="518"/>
      <c r="AC74" s="518"/>
      <c r="AD74" s="518"/>
      <c r="AE74" s="518"/>
      <c r="AF74" s="518"/>
      <c r="AG74" s="518"/>
      <c r="AH74" s="518"/>
      <c r="AI74" s="518"/>
      <c r="AJ74" s="518"/>
      <c r="AK74" s="518"/>
      <c r="AL74" s="518"/>
      <c r="AM74" s="518"/>
      <c r="AN74" s="518"/>
      <c r="AO74" s="518"/>
      <c r="AP74" s="518"/>
      <c r="AQ74" s="518"/>
      <c r="AR74" s="518"/>
      <c r="AS74" s="518"/>
      <c r="AT74" s="518"/>
      <c r="AU74" s="518"/>
      <c r="AV74" s="518"/>
      <c r="AW74" s="518"/>
      <c r="AX74" s="518"/>
      <c r="AY74" s="518"/>
      <c r="AZ74" s="518"/>
      <c r="BA74" s="518"/>
      <c r="BB74" s="518"/>
      <c r="BC74" s="518"/>
      <c r="BD74" s="518"/>
      <c r="BE74" s="518"/>
    </row>
    <row r="75" spans="1:57" ht="12.75" customHeight="1">
      <c r="A75" s="518"/>
      <c r="B75" s="518"/>
      <c r="C75" s="518"/>
      <c r="D75" s="518"/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8"/>
      <c r="AB75" s="518"/>
      <c r="AC75" s="518"/>
      <c r="AD75" s="518"/>
      <c r="AE75" s="518"/>
      <c r="AF75" s="518"/>
      <c r="AG75" s="518"/>
      <c r="AH75" s="518"/>
      <c r="AI75" s="518"/>
      <c r="AJ75" s="518"/>
      <c r="AK75" s="518"/>
      <c r="AL75" s="518"/>
      <c r="AM75" s="518"/>
      <c r="AN75" s="518"/>
      <c r="AO75" s="518"/>
      <c r="AP75" s="518"/>
      <c r="AQ75" s="518"/>
      <c r="AR75" s="518"/>
      <c r="AS75" s="518"/>
      <c r="AT75" s="518"/>
      <c r="AU75" s="518"/>
      <c r="AV75" s="518"/>
      <c r="AW75" s="518"/>
      <c r="AX75" s="518"/>
      <c r="AY75" s="518"/>
      <c r="AZ75" s="518"/>
      <c r="BA75" s="518"/>
      <c r="BB75" s="518"/>
      <c r="BC75" s="518"/>
      <c r="BD75" s="518"/>
      <c r="BE75" s="518"/>
    </row>
    <row r="76" spans="1:57" ht="12.75" customHeight="1">
      <c r="A76" s="518"/>
      <c r="B76" s="518"/>
      <c r="C76" s="518"/>
      <c r="D76" s="518"/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  <c r="AC76" s="518"/>
      <c r="AD76" s="518"/>
      <c r="AE76" s="518"/>
      <c r="AF76" s="518"/>
      <c r="AG76" s="518"/>
      <c r="AH76" s="518"/>
      <c r="AI76" s="518"/>
      <c r="AJ76" s="518"/>
      <c r="AK76" s="518"/>
      <c r="AL76" s="518"/>
      <c r="AM76" s="518"/>
      <c r="AN76" s="518"/>
      <c r="AO76" s="518"/>
      <c r="AP76" s="518"/>
      <c r="AQ76" s="518"/>
      <c r="AR76" s="518"/>
      <c r="AS76" s="518"/>
      <c r="AT76" s="518"/>
      <c r="AU76" s="518"/>
      <c r="AV76" s="518"/>
      <c r="AW76" s="518"/>
      <c r="AX76" s="518"/>
      <c r="AY76" s="518"/>
      <c r="AZ76" s="518"/>
      <c r="BA76" s="518"/>
      <c r="BB76" s="518"/>
      <c r="BC76" s="518"/>
      <c r="BD76" s="518"/>
      <c r="BE76" s="518"/>
    </row>
    <row r="77" spans="1:57" ht="12.75" customHeight="1">
      <c r="A77" s="518"/>
      <c r="B77" s="518"/>
      <c r="C77" s="518"/>
      <c r="D77" s="518"/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8"/>
      <c r="AB77" s="518"/>
      <c r="AC77" s="518"/>
      <c r="AD77" s="518"/>
      <c r="AE77" s="518"/>
      <c r="AF77" s="518"/>
      <c r="AG77" s="518"/>
      <c r="AH77" s="518"/>
      <c r="AI77" s="518"/>
      <c r="AJ77" s="518"/>
      <c r="AK77" s="518"/>
      <c r="AL77" s="518"/>
      <c r="AM77" s="518"/>
      <c r="AN77" s="518"/>
      <c r="AO77" s="518"/>
      <c r="AP77" s="518"/>
      <c r="AQ77" s="518"/>
      <c r="AR77" s="518"/>
      <c r="AS77" s="518"/>
      <c r="AT77" s="518"/>
      <c r="AU77" s="518"/>
      <c r="AV77" s="518"/>
      <c r="AW77" s="518"/>
      <c r="AX77" s="518"/>
      <c r="AY77" s="518"/>
      <c r="AZ77" s="518"/>
      <c r="BA77" s="518"/>
      <c r="BB77" s="518"/>
      <c r="BC77" s="518"/>
      <c r="BD77" s="518"/>
      <c r="BE77" s="518"/>
    </row>
    <row r="78" spans="1:57" ht="12.75" customHeight="1">
      <c r="A78" s="518"/>
      <c r="B78" s="518"/>
      <c r="C78" s="518"/>
      <c r="D78" s="518"/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  <c r="AC78" s="518"/>
      <c r="AD78" s="518"/>
      <c r="AE78" s="518"/>
      <c r="AF78" s="518"/>
      <c r="AG78" s="518"/>
      <c r="AH78" s="518"/>
      <c r="AI78" s="518"/>
      <c r="AJ78" s="518"/>
      <c r="AK78" s="518"/>
      <c r="AL78" s="518"/>
      <c r="AM78" s="518"/>
      <c r="AN78" s="518"/>
      <c r="AO78" s="518"/>
      <c r="AP78" s="518"/>
      <c r="AQ78" s="518"/>
      <c r="AR78" s="518"/>
      <c r="AS78" s="518"/>
      <c r="AT78" s="518"/>
      <c r="AU78" s="518"/>
      <c r="AV78" s="518"/>
      <c r="AW78" s="518"/>
      <c r="AX78" s="518"/>
      <c r="AY78" s="518"/>
      <c r="AZ78" s="518"/>
      <c r="BA78" s="518"/>
      <c r="BB78" s="518"/>
      <c r="BC78" s="518"/>
      <c r="BD78" s="518"/>
      <c r="BE78" s="518"/>
    </row>
    <row r="79" spans="1:57" ht="12.75" customHeight="1">
      <c r="A79" s="518"/>
      <c r="B79" s="518"/>
      <c r="C79" s="518"/>
      <c r="D79" s="518"/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  <c r="AC79" s="518"/>
      <c r="AD79" s="518"/>
      <c r="AE79" s="518"/>
      <c r="AF79" s="518"/>
      <c r="AG79" s="518"/>
      <c r="AH79" s="518"/>
      <c r="AI79" s="518"/>
      <c r="AJ79" s="518"/>
      <c r="AK79" s="518"/>
      <c r="AL79" s="518"/>
      <c r="AM79" s="518"/>
      <c r="AN79" s="518"/>
      <c r="AO79" s="518"/>
      <c r="AP79" s="518"/>
      <c r="AQ79" s="518"/>
      <c r="AR79" s="518"/>
      <c r="AS79" s="518"/>
      <c r="AT79" s="518"/>
      <c r="AU79" s="518"/>
      <c r="AV79" s="518"/>
      <c r="AW79" s="518"/>
      <c r="AX79" s="518"/>
      <c r="AY79" s="518"/>
      <c r="AZ79" s="518"/>
      <c r="BA79" s="518"/>
      <c r="BB79" s="518"/>
      <c r="BC79" s="518"/>
      <c r="BD79" s="518"/>
      <c r="BE79" s="518"/>
    </row>
    <row r="80" spans="1:57" ht="12.75" customHeight="1">
      <c r="A80" s="518"/>
      <c r="B80" s="518"/>
      <c r="C80" s="518"/>
      <c r="D80" s="518"/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8"/>
      <c r="AB80" s="518"/>
      <c r="AC80" s="518"/>
      <c r="AD80" s="518"/>
      <c r="AE80" s="518"/>
      <c r="AF80" s="518"/>
      <c r="AG80" s="518"/>
      <c r="AH80" s="518"/>
      <c r="AI80" s="518"/>
      <c r="AJ80" s="518"/>
      <c r="AK80" s="518"/>
      <c r="AL80" s="518"/>
      <c r="AM80" s="518"/>
      <c r="AN80" s="518"/>
      <c r="AO80" s="518"/>
      <c r="AP80" s="518"/>
      <c r="AQ80" s="518"/>
      <c r="AR80" s="518"/>
      <c r="AS80" s="518"/>
      <c r="AT80" s="518"/>
      <c r="AU80" s="518"/>
      <c r="AV80" s="518"/>
      <c r="AW80" s="518"/>
      <c r="AX80" s="518"/>
      <c r="AY80" s="518"/>
      <c r="AZ80" s="518"/>
      <c r="BA80" s="518"/>
      <c r="BB80" s="518"/>
      <c r="BC80" s="518"/>
      <c r="BD80" s="518"/>
      <c r="BE80" s="518"/>
    </row>
    <row r="81" spans="1:57" ht="12.75" customHeight="1">
      <c r="A81" s="518"/>
      <c r="B81" s="518"/>
      <c r="C81" s="518"/>
      <c r="D81" s="518"/>
      <c r="E81" s="518"/>
      <c r="F81" s="518"/>
      <c r="G81" s="518"/>
      <c r="H81" s="518"/>
      <c r="I81" s="518"/>
      <c r="J81" s="518"/>
      <c r="K81" s="518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8"/>
      <c r="AB81" s="518"/>
      <c r="AC81" s="518"/>
      <c r="AD81" s="518"/>
      <c r="AE81" s="518"/>
      <c r="AF81" s="518"/>
      <c r="AG81" s="518"/>
      <c r="AH81" s="518"/>
      <c r="AI81" s="518"/>
      <c r="AJ81" s="518"/>
      <c r="AK81" s="518"/>
      <c r="AL81" s="518"/>
      <c r="AM81" s="518"/>
      <c r="AN81" s="518"/>
      <c r="AO81" s="518"/>
      <c r="AP81" s="518"/>
      <c r="AQ81" s="518"/>
      <c r="AR81" s="518"/>
      <c r="AS81" s="518"/>
      <c r="AT81" s="518"/>
      <c r="AU81" s="518"/>
      <c r="AV81" s="518"/>
      <c r="AW81" s="518"/>
      <c r="AX81" s="518"/>
      <c r="AY81" s="518"/>
      <c r="AZ81" s="518"/>
      <c r="BA81" s="518"/>
      <c r="BB81" s="518"/>
      <c r="BC81" s="518"/>
      <c r="BD81" s="518"/>
      <c r="BE81" s="518"/>
    </row>
    <row r="82" spans="1:57" ht="12.75" customHeight="1">
      <c r="A82" s="518"/>
      <c r="B82" s="518"/>
      <c r="C82" s="518"/>
      <c r="D82" s="518"/>
      <c r="E82" s="518"/>
      <c r="F82" s="518"/>
      <c r="G82" s="518"/>
      <c r="H82" s="518"/>
      <c r="I82" s="518"/>
      <c r="J82" s="518"/>
      <c r="K82" s="518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8"/>
      <c r="AB82" s="518"/>
      <c r="AC82" s="518"/>
      <c r="AD82" s="518"/>
      <c r="AE82" s="518"/>
      <c r="AF82" s="518"/>
      <c r="AG82" s="518"/>
      <c r="AH82" s="518"/>
      <c r="AI82" s="518"/>
      <c r="AJ82" s="518"/>
      <c r="AK82" s="518"/>
      <c r="AL82" s="518"/>
      <c r="AM82" s="518"/>
      <c r="AN82" s="518"/>
      <c r="AO82" s="518"/>
      <c r="AP82" s="518"/>
      <c r="AQ82" s="518"/>
      <c r="AR82" s="518"/>
      <c r="AS82" s="518"/>
      <c r="AT82" s="518"/>
      <c r="AU82" s="518"/>
      <c r="AV82" s="518"/>
      <c r="AW82" s="518"/>
      <c r="AX82" s="518"/>
      <c r="AY82" s="518"/>
      <c r="AZ82" s="518"/>
      <c r="BA82" s="518"/>
      <c r="BB82" s="518"/>
      <c r="BC82" s="518"/>
      <c r="BD82" s="518"/>
      <c r="BE82" s="518"/>
    </row>
    <row r="83" spans="1:57" ht="12.75" customHeight="1">
      <c r="A83" s="518"/>
      <c r="B83" s="518"/>
      <c r="C83" s="518"/>
      <c r="D83" s="518"/>
      <c r="E83" s="518"/>
      <c r="F83" s="518"/>
      <c r="G83" s="518"/>
      <c r="H83" s="518"/>
      <c r="I83" s="518"/>
      <c r="J83" s="518"/>
      <c r="K83" s="518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8"/>
      <c r="AB83" s="518"/>
      <c r="AC83" s="518"/>
      <c r="AD83" s="518"/>
      <c r="AE83" s="518"/>
      <c r="AF83" s="518"/>
      <c r="AG83" s="518"/>
      <c r="AH83" s="518"/>
      <c r="AI83" s="518"/>
      <c r="AJ83" s="518"/>
      <c r="AK83" s="518"/>
      <c r="AL83" s="518"/>
      <c r="AM83" s="518"/>
      <c r="AN83" s="518"/>
      <c r="AO83" s="518"/>
      <c r="AP83" s="518"/>
      <c r="AQ83" s="518"/>
      <c r="AR83" s="518"/>
      <c r="AS83" s="518"/>
      <c r="AT83" s="518"/>
      <c r="AU83" s="518"/>
      <c r="AV83" s="518"/>
      <c r="AW83" s="518"/>
      <c r="AX83" s="518"/>
      <c r="AY83" s="518"/>
      <c r="AZ83" s="518"/>
      <c r="BA83" s="518"/>
      <c r="BB83" s="518"/>
      <c r="BC83" s="518"/>
      <c r="BD83" s="518"/>
      <c r="BE83" s="518"/>
    </row>
    <row r="84" spans="1:57" ht="12.75" customHeight="1">
      <c r="A84" s="518"/>
      <c r="B84" s="518"/>
      <c r="C84" s="518"/>
      <c r="D84" s="518"/>
      <c r="E84" s="518"/>
      <c r="F84" s="518"/>
      <c r="G84" s="518"/>
      <c r="H84" s="518"/>
      <c r="I84" s="518"/>
      <c r="J84" s="518"/>
      <c r="K84" s="518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8"/>
      <c r="AB84" s="518"/>
      <c r="AC84" s="518"/>
      <c r="AD84" s="518"/>
      <c r="AE84" s="518"/>
      <c r="AF84" s="518"/>
      <c r="AG84" s="518"/>
      <c r="AH84" s="518"/>
      <c r="AI84" s="518"/>
      <c r="AJ84" s="518"/>
      <c r="AK84" s="518"/>
      <c r="AL84" s="518"/>
      <c r="AM84" s="518"/>
      <c r="AN84" s="518"/>
      <c r="AO84" s="518"/>
      <c r="AP84" s="518"/>
      <c r="AQ84" s="518"/>
      <c r="AR84" s="518"/>
      <c r="AS84" s="518"/>
      <c r="AT84" s="518"/>
      <c r="AU84" s="518"/>
      <c r="AV84" s="518"/>
      <c r="AW84" s="518"/>
      <c r="AX84" s="518"/>
      <c r="AY84" s="518"/>
      <c r="AZ84" s="518"/>
      <c r="BA84" s="518"/>
      <c r="BB84" s="518"/>
      <c r="BC84" s="518"/>
      <c r="BD84" s="518"/>
      <c r="BE84" s="518"/>
    </row>
    <row r="85" spans="1:57" ht="12.75" customHeight="1">
      <c r="A85" s="518"/>
      <c r="B85" s="518"/>
      <c r="C85" s="518"/>
      <c r="D85" s="518"/>
      <c r="E85" s="518"/>
      <c r="F85" s="518"/>
      <c r="G85" s="518"/>
      <c r="H85" s="518"/>
      <c r="I85" s="518"/>
      <c r="J85" s="518"/>
      <c r="K85" s="518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8"/>
      <c r="AB85" s="518"/>
      <c r="AC85" s="518"/>
      <c r="AD85" s="518"/>
      <c r="AE85" s="518"/>
      <c r="AF85" s="518"/>
      <c r="AG85" s="518"/>
      <c r="AH85" s="518"/>
      <c r="AI85" s="518"/>
      <c r="AJ85" s="518"/>
      <c r="AK85" s="518"/>
      <c r="AL85" s="518"/>
      <c r="AM85" s="518"/>
      <c r="AN85" s="518"/>
      <c r="AO85" s="518"/>
      <c r="AP85" s="518"/>
      <c r="AQ85" s="518"/>
      <c r="AR85" s="518"/>
      <c r="AS85" s="518"/>
      <c r="AT85" s="518"/>
      <c r="AU85" s="518"/>
      <c r="AV85" s="518"/>
      <c r="AW85" s="518"/>
      <c r="AX85" s="518"/>
      <c r="AY85" s="518"/>
      <c r="AZ85" s="518"/>
      <c r="BA85" s="518"/>
      <c r="BB85" s="518"/>
      <c r="BC85" s="518"/>
      <c r="BD85" s="518"/>
      <c r="BE85" s="518"/>
    </row>
    <row r="86" spans="1:57" ht="12.75" customHeight="1">
      <c r="A86" s="518"/>
      <c r="B86" s="518"/>
      <c r="C86" s="518"/>
      <c r="D86" s="518"/>
      <c r="E86" s="518"/>
      <c r="F86" s="518"/>
      <c r="G86" s="518"/>
      <c r="H86" s="518"/>
      <c r="I86" s="518"/>
      <c r="J86" s="518"/>
      <c r="K86" s="518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8"/>
      <c r="AB86" s="518"/>
      <c r="AC86" s="518"/>
      <c r="AD86" s="518"/>
      <c r="AE86" s="518"/>
      <c r="AF86" s="518"/>
      <c r="AG86" s="518"/>
      <c r="AH86" s="518"/>
      <c r="AI86" s="518"/>
      <c r="AJ86" s="518"/>
      <c r="AK86" s="518"/>
      <c r="AL86" s="518"/>
      <c r="AM86" s="518"/>
      <c r="AN86" s="518"/>
      <c r="AO86" s="518"/>
      <c r="AP86" s="518"/>
      <c r="AQ86" s="518"/>
      <c r="AR86" s="518"/>
      <c r="AS86" s="518"/>
      <c r="AT86" s="518"/>
      <c r="AU86" s="518"/>
      <c r="AV86" s="518"/>
      <c r="AW86" s="518"/>
      <c r="AX86" s="518"/>
      <c r="AY86" s="518"/>
      <c r="AZ86" s="518"/>
      <c r="BA86" s="518"/>
      <c r="BB86" s="518"/>
      <c r="BC86" s="518"/>
      <c r="BD86" s="518"/>
      <c r="BE86" s="518"/>
    </row>
    <row r="87" spans="1:57" ht="12.75" customHeight="1">
      <c r="A87" s="518"/>
      <c r="B87" s="518"/>
      <c r="C87" s="518"/>
      <c r="D87" s="518"/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8"/>
      <c r="AB87" s="518"/>
      <c r="AC87" s="518"/>
      <c r="AD87" s="518"/>
      <c r="AE87" s="518"/>
      <c r="AF87" s="518"/>
      <c r="AG87" s="518"/>
      <c r="AH87" s="518"/>
      <c r="AI87" s="518"/>
      <c r="AJ87" s="518"/>
      <c r="AK87" s="518"/>
      <c r="AL87" s="518"/>
      <c r="AM87" s="518"/>
      <c r="AN87" s="518"/>
      <c r="AO87" s="518"/>
      <c r="AP87" s="518"/>
      <c r="AQ87" s="518"/>
      <c r="AR87" s="518"/>
      <c r="AS87" s="518"/>
      <c r="AT87" s="518"/>
      <c r="AU87" s="518"/>
      <c r="AV87" s="518"/>
      <c r="AW87" s="518"/>
      <c r="AX87" s="518"/>
      <c r="AY87" s="518"/>
      <c r="AZ87" s="518"/>
      <c r="BA87" s="518"/>
      <c r="BB87" s="518"/>
      <c r="BC87" s="518"/>
      <c r="BD87" s="518"/>
      <c r="BE87" s="518"/>
    </row>
    <row r="88" spans="1:57" ht="12.75" customHeight="1">
      <c r="A88" s="518"/>
      <c r="B88" s="518"/>
      <c r="C88" s="518"/>
      <c r="D88" s="518"/>
      <c r="E88" s="518"/>
      <c r="F88" s="518"/>
      <c r="G88" s="518"/>
      <c r="H88" s="518"/>
      <c r="I88" s="518"/>
      <c r="J88" s="518"/>
      <c r="K88" s="518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  <c r="AC88" s="518"/>
      <c r="AD88" s="518"/>
      <c r="AE88" s="518"/>
      <c r="AF88" s="518"/>
      <c r="AG88" s="518"/>
      <c r="AH88" s="518"/>
      <c r="AI88" s="518"/>
      <c r="AJ88" s="518"/>
      <c r="AK88" s="518"/>
      <c r="AL88" s="518"/>
      <c r="AM88" s="518"/>
      <c r="AN88" s="518"/>
      <c r="AO88" s="518"/>
      <c r="AP88" s="518"/>
      <c r="AQ88" s="518"/>
      <c r="AR88" s="518"/>
      <c r="AS88" s="518"/>
      <c r="AT88" s="518"/>
      <c r="AU88" s="518"/>
      <c r="AV88" s="518"/>
      <c r="AW88" s="518"/>
      <c r="AX88" s="518"/>
      <c r="AY88" s="518"/>
      <c r="AZ88" s="518"/>
      <c r="BA88" s="518"/>
      <c r="BB88" s="518"/>
      <c r="BC88" s="518"/>
      <c r="BD88" s="518"/>
      <c r="BE88" s="518"/>
    </row>
    <row r="89" spans="1:57" ht="12.75" customHeight="1">
      <c r="A89" s="518"/>
      <c r="B89" s="518"/>
      <c r="C89" s="518"/>
      <c r="D89" s="518"/>
      <c r="E89" s="518"/>
      <c r="F89" s="518"/>
      <c r="G89" s="518"/>
      <c r="H89" s="518"/>
      <c r="I89" s="518"/>
      <c r="J89" s="518"/>
      <c r="K89" s="518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  <c r="AC89" s="518"/>
      <c r="AD89" s="518"/>
      <c r="AE89" s="518"/>
      <c r="AF89" s="518"/>
      <c r="AG89" s="518"/>
      <c r="AH89" s="518"/>
      <c r="AI89" s="518"/>
      <c r="AJ89" s="518"/>
      <c r="AK89" s="518"/>
      <c r="AL89" s="518"/>
      <c r="AM89" s="518"/>
      <c r="AN89" s="518"/>
      <c r="AO89" s="518"/>
      <c r="AP89" s="518"/>
      <c r="AQ89" s="518"/>
      <c r="AR89" s="518"/>
      <c r="AS89" s="518"/>
      <c r="AT89" s="518"/>
      <c r="AU89" s="518"/>
      <c r="AV89" s="518"/>
      <c r="AW89" s="518"/>
      <c r="AX89" s="518"/>
      <c r="AY89" s="518"/>
      <c r="AZ89" s="518"/>
      <c r="BA89" s="518"/>
      <c r="BB89" s="518"/>
      <c r="BC89" s="518"/>
      <c r="BD89" s="518"/>
      <c r="BE89" s="518"/>
    </row>
    <row r="90" spans="1:57" ht="12.75" customHeight="1">
      <c r="A90" s="518"/>
      <c r="B90" s="518"/>
      <c r="C90" s="518"/>
      <c r="D90" s="518"/>
      <c r="E90" s="518"/>
      <c r="F90" s="518"/>
      <c r="G90" s="518"/>
      <c r="H90" s="518"/>
      <c r="I90" s="518"/>
      <c r="J90" s="518"/>
      <c r="K90" s="518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  <c r="AC90" s="518"/>
      <c r="AD90" s="518"/>
      <c r="AE90" s="518"/>
      <c r="AF90" s="518"/>
      <c r="AG90" s="518"/>
      <c r="AH90" s="518"/>
      <c r="AI90" s="518"/>
      <c r="AJ90" s="518"/>
      <c r="AK90" s="518"/>
      <c r="AL90" s="518"/>
      <c r="AM90" s="518"/>
      <c r="AN90" s="518"/>
      <c r="AO90" s="518"/>
      <c r="AP90" s="518"/>
      <c r="AQ90" s="518"/>
      <c r="AR90" s="518"/>
      <c r="AS90" s="518"/>
      <c r="AT90" s="518"/>
      <c r="AU90" s="518"/>
      <c r="AV90" s="518"/>
      <c r="AW90" s="518"/>
      <c r="AX90" s="518"/>
      <c r="AY90" s="518"/>
      <c r="AZ90" s="518"/>
      <c r="BA90" s="518"/>
      <c r="BB90" s="518"/>
      <c r="BC90" s="518"/>
      <c r="BD90" s="518"/>
      <c r="BE90" s="518"/>
    </row>
    <row r="91" spans="1:57" ht="12.75" customHeight="1">
      <c r="A91" s="518"/>
      <c r="B91" s="518"/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  <c r="AC91" s="518"/>
      <c r="AD91" s="518"/>
      <c r="AE91" s="518"/>
      <c r="AF91" s="518"/>
      <c r="AG91" s="518"/>
      <c r="AH91" s="518"/>
      <c r="AI91" s="518"/>
      <c r="AJ91" s="518"/>
      <c r="AK91" s="518"/>
      <c r="AL91" s="518"/>
      <c r="AM91" s="518"/>
      <c r="AN91" s="518"/>
      <c r="AO91" s="518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</row>
    <row r="92" spans="1:57" ht="12.75" customHeight="1">
      <c r="A92" s="518"/>
      <c r="B92" s="518"/>
      <c r="C92" s="518"/>
      <c r="D92" s="518"/>
      <c r="E92" s="518"/>
      <c r="F92" s="518"/>
      <c r="G92" s="518"/>
      <c r="H92" s="518"/>
      <c r="I92" s="518"/>
      <c r="J92" s="518"/>
      <c r="K92" s="518"/>
      <c r="L92" s="51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  <c r="AB92" s="518"/>
      <c r="AC92" s="518"/>
      <c r="AD92" s="518"/>
      <c r="AE92" s="518"/>
      <c r="AF92" s="518"/>
      <c r="AG92" s="518"/>
      <c r="AH92" s="518"/>
      <c r="AI92" s="518"/>
      <c r="AJ92" s="518"/>
      <c r="AK92" s="518"/>
      <c r="AL92" s="518"/>
      <c r="AM92" s="518"/>
      <c r="AN92" s="518"/>
      <c r="AO92" s="518"/>
      <c r="AP92" s="518"/>
      <c r="AQ92" s="518"/>
      <c r="AR92" s="518"/>
      <c r="AS92" s="518"/>
      <c r="AT92" s="518"/>
      <c r="AU92" s="518"/>
      <c r="AV92" s="518"/>
      <c r="AW92" s="518"/>
      <c r="AX92" s="518"/>
      <c r="AY92" s="518"/>
      <c r="AZ92" s="518"/>
      <c r="BA92" s="518"/>
      <c r="BB92" s="518"/>
      <c r="BC92" s="518"/>
      <c r="BD92" s="518"/>
      <c r="BE92" s="518"/>
    </row>
    <row r="93" spans="1:57" ht="12.75" customHeight="1">
      <c r="A93" s="518"/>
      <c r="B93" s="518"/>
      <c r="C93" s="518"/>
      <c r="D93" s="518"/>
      <c r="E93" s="518"/>
      <c r="F93" s="518"/>
      <c r="G93" s="518"/>
      <c r="H93" s="518"/>
      <c r="I93" s="518"/>
      <c r="J93" s="518"/>
      <c r="K93" s="518"/>
      <c r="L93" s="518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  <c r="AB93" s="518"/>
      <c r="AC93" s="518"/>
      <c r="AD93" s="518"/>
      <c r="AE93" s="518"/>
      <c r="AF93" s="518"/>
      <c r="AG93" s="518"/>
      <c r="AH93" s="518"/>
      <c r="AI93" s="518"/>
      <c r="AJ93" s="518"/>
      <c r="AK93" s="518"/>
      <c r="AL93" s="518"/>
      <c r="AM93" s="518"/>
      <c r="AN93" s="518"/>
      <c r="AO93" s="518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</row>
    <row r="94" spans="1:57" ht="12.75" customHeight="1">
      <c r="A94" s="518"/>
      <c r="B94" s="518"/>
      <c r="C94" s="518"/>
      <c r="D94" s="518"/>
      <c r="E94" s="518"/>
      <c r="F94" s="518"/>
      <c r="G94" s="518"/>
      <c r="H94" s="518"/>
      <c r="I94" s="518"/>
      <c r="J94" s="518"/>
      <c r="K94" s="518"/>
      <c r="L94" s="518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  <c r="AB94" s="518"/>
      <c r="AC94" s="518"/>
      <c r="AD94" s="518"/>
      <c r="AE94" s="518"/>
      <c r="AF94" s="518"/>
      <c r="AG94" s="518"/>
      <c r="AH94" s="518"/>
      <c r="AI94" s="518"/>
      <c r="AJ94" s="518"/>
      <c r="AK94" s="518"/>
      <c r="AL94" s="518"/>
      <c r="AM94" s="518"/>
      <c r="AN94" s="518"/>
      <c r="AO94" s="518"/>
      <c r="AP94" s="518"/>
      <c r="AQ94" s="518"/>
      <c r="AR94" s="518"/>
      <c r="AS94" s="518"/>
      <c r="AT94" s="518"/>
      <c r="AU94" s="518"/>
      <c r="AV94" s="518"/>
      <c r="AW94" s="518"/>
      <c r="AX94" s="518"/>
      <c r="AY94" s="518"/>
      <c r="AZ94" s="518"/>
      <c r="BA94" s="518"/>
      <c r="BB94" s="518"/>
      <c r="BC94" s="518"/>
      <c r="BD94" s="518"/>
      <c r="BE94" s="518"/>
    </row>
    <row r="95" spans="1:57" ht="12.75" customHeight="1">
      <c r="A95" s="518"/>
      <c r="B95" s="518"/>
      <c r="C95" s="518"/>
      <c r="D95" s="518"/>
      <c r="E95" s="518"/>
      <c r="F95" s="518"/>
      <c r="G95" s="518"/>
      <c r="H95" s="518"/>
      <c r="I95" s="518"/>
      <c r="J95" s="518"/>
      <c r="K95" s="518"/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  <c r="AB95" s="518"/>
      <c r="AC95" s="518"/>
      <c r="AD95" s="518"/>
      <c r="AE95" s="518"/>
      <c r="AF95" s="518"/>
      <c r="AG95" s="518"/>
      <c r="AH95" s="518"/>
      <c r="AI95" s="518"/>
      <c r="AJ95" s="518"/>
      <c r="AK95" s="518"/>
      <c r="AL95" s="518"/>
      <c r="AM95" s="518"/>
      <c r="AN95" s="518"/>
      <c r="AO95" s="518"/>
      <c r="AP95" s="518"/>
      <c r="AQ95" s="518"/>
      <c r="AR95" s="518"/>
      <c r="AS95" s="518"/>
      <c r="AT95" s="518"/>
      <c r="AU95" s="518"/>
      <c r="AV95" s="518"/>
      <c r="AW95" s="518"/>
      <c r="AX95" s="518"/>
      <c r="AY95" s="518"/>
      <c r="AZ95" s="518"/>
      <c r="BA95" s="518"/>
      <c r="BB95" s="518"/>
      <c r="BC95" s="518"/>
      <c r="BD95" s="518"/>
      <c r="BE95" s="518"/>
    </row>
    <row r="96" spans="1:57" ht="12.75" customHeight="1">
      <c r="A96" s="518"/>
      <c r="B96" s="518"/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  <c r="R96" s="518"/>
      <c r="S96" s="518"/>
      <c r="T96" s="518"/>
      <c r="U96" s="518"/>
      <c r="V96" s="518"/>
      <c r="W96" s="518"/>
      <c r="X96" s="518"/>
      <c r="Y96" s="518"/>
      <c r="Z96" s="518"/>
      <c r="AA96" s="518"/>
      <c r="AB96" s="518"/>
      <c r="AC96" s="518"/>
      <c r="AD96" s="518"/>
      <c r="AE96" s="518"/>
      <c r="AF96" s="518"/>
      <c r="AG96" s="518"/>
      <c r="AH96" s="518"/>
      <c r="AI96" s="518"/>
      <c r="AJ96" s="518"/>
      <c r="AK96" s="518"/>
      <c r="AL96" s="518"/>
      <c r="AM96" s="518"/>
      <c r="AN96" s="518"/>
      <c r="AO96" s="518"/>
      <c r="AP96" s="518"/>
      <c r="AQ96" s="518"/>
      <c r="AR96" s="518"/>
      <c r="AS96" s="518"/>
      <c r="AT96" s="518"/>
      <c r="AU96" s="518"/>
      <c r="AV96" s="518"/>
      <c r="AW96" s="518"/>
      <c r="AX96" s="518"/>
      <c r="AY96" s="518"/>
      <c r="AZ96" s="518"/>
      <c r="BA96" s="518"/>
      <c r="BB96" s="518"/>
      <c r="BC96" s="518"/>
      <c r="BD96" s="518"/>
      <c r="BE96" s="518"/>
    </row>
    <row r="97" spans="1:57" ht="12.75" customHeight="1">
      <c r="A97" s="518"/>
      <c r="B97" s="518"/>
      <c r="C97" s="518"/>
      <c r="D97" s="518"/>
      <c r="E97" s="518"/>
      <c r="F97" s="518"/>
      <c r="G97" s="518"/>
      <c r="H97" s="518"/>
      <c r="I97" s="518"/>
      <c r="J97" s="518"/>
      <c r="K97" s="518"/>
      <c r="L97" s="518"/>
      <c r="M97" s="518"/>
      <c r="N97" s="518"/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  <c r="Z97" s="518"/>
      <c r="AA97" s="518"/>
      <c r="AB97" s="518"/>
      <c r="AC97" s="518"/>
      <c r="AD97" s="518"/>
      <c r="AE97" s="518"/>
      <c r="AF97" s="518"/>
      <c r="AG97" s="518"/>
      <c r="AH97" s="518"/>
      <c r="AI97" s="518"/>
      <c r="AJ97" s="518"/>
      <c r="AK97" s="518"/>
      <c r="AL97" s="518"/>
      <c r="AM97" s="518"/>
      <c r="AN97" s="518"/>
      <c r="AO97" s="518"/>
      <c r="AP97" s="518"/>
      <c r="AQ97" s="518"/>
      <c r="AR97" s="518"/>
      <c r="AS97" s="518"/>
      <c r="AT97" s="518"/>
      <c r="AU97" s="518"/>
      <c r="AV97" s="518"/>
      <c r="AW97" s="518"/>
      <c r="AX97" s="518"/>
      <c r="AY97" s="518"/>
      <c r="AZ97" s="518"/>
      <c r="BA97" s="518"/>
      <c r="BB97" s="518"/>
      <c r="BC97" s="518"/>
      <c r="BD97" s="518"/>
      <c r="BE97" s="518"/>
    </row>
    <row r="98" spans="1:57" ht="12.75" customHeight="1">
      <c r="A98" s="518"/>
      <c r="B98" s="518"/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8"/>
      <c r="O98" s="518"/>
      <c r="P98" s="518"/>
      <c r="Q98" s="518"/>
      <c r="R98" s="518"/>
      <c r="S98" s="518"/>
      <c r="T98" s="518"/>
      <c r="U98" s="518"/>
      <c r="V98" s="518"/>
      <c r="W98" s="518"/>
      <c r="X98" s="518"/>
      <c r="Y98" s="518"/>
      <c r="Z98" s="518"/>
      <c r="AA98" s="518"/>
      <c r="AB98" s="518"/>
      <c r="AC98" s="518"/>
      <c r="AD98" s="518"/>
      <c r="AE98" s="518"/>
      <c r="AF98" s="518"/>
      <c r="AG98" s="518"/>
      <c r="AH98" s="518"/>
      <c r="AI98" s="518"/>
      <c r="AJ98" s="518"/>
      <c r="AK98" s="518"/>
      <c r="AL98" s="518"/>
      <c r="AM98" s="518"/>
      <c r="AN98" s="518"/>
      <c r="AO98" s="518"/>
      <c r="AP98" s="518"/>
      <c r="AQ98" s="518"/>
      <c r="AR98" s="518"/>
      <c r="AS98" s="518"/>
      <c r="AT98" s="518"/>
      <c r="AU98" s="518"/>
      <c r="AV98" s="518"/>
      <c r="AW98" s="518"/>
      <c r="AX98" s="518"/>
      <c r="AY98" s="518"/>
      <c r="AZ98" s="518"/>
      <c r="BA98" s="518"/>
      <c r="BB98" s="518"/>
      <c r="BC98" s="518"/>
      <c r="BD98" s="518"/>
      <c r="BE98" s="518"/>
    </row>
    <row r="99" spans="1:57" ht="12.75" customHeight="1">
      <c r="A99" s="518"/>
      <c r="B99" s="518"/>
      <c r="C99" s="518"/>
      <c r="D99" s="518"/>
      <c r="E99" s="518"/>
      <c r="F99" s="518"/>
      <c r="G99" s="518"/>
      <c r="H99" s="518"/>
      <c r="I99" s="518"/>
      <c r="J99" s="518"/>
      <c r="K99" s="518"/>
      <c r="L99" s="518"/>
      <c r="M99" s="518"/>
      <c r="N99" s="518"/>
      <c r="O99" s="518"/>
      <c r="P99" s="518"/>
      <c r="Q99" s="518"/>
      <c r="R99" s="518"/>
      <c r="S99" s="518"/>
      <c r="T99" s="518"/>
      <c r="U99" s="518"/>
      <c r="V99" s="518"/>
      <c r="W99" s="518"/>
      <c r="X99" s="518"/>
      <c r="Y99" s="518"/>
      <c r="Z99" s="518"/>
      <c r="AA99" s="518"/>
      <c r="AB99" s="518"/>
      <c r="AC99" s="518"/>
      <c r="AD99" s="518"/>
      <c r="AE99" s="518"/>
      <c r="AF99" s="518"/>
      <c r="AG99" s="518"/>
      <c r="AH99" s="518"/>
      <c r="AI99" s="518"/>
      <c r="AJ99" s="518"/>
      <c r="AK99" s="518"/>
      <c r="AL99" s="518"/>
      <c r="AM99" s="518"/>
      <c r="AN99" s="518"/>
      <c r="AO99" s="518"/>
      <c r="AP99" s="518"/>
      <c r="AQ99" s="518"/>
      <c r="AR99" s="518"/>
      <c r="AS99" s="518"/>
      <c r="AT99" s="518"/>
      <c r="AU99" s="518"/>
      <c r="AV99" s="518"/>
      <c r="AW99" s="518"/>
      <c r="AX99" s="518"/>
      <c r="AY99" s="518"/>
      <c r="AZ99" s="518"/>
      <c r="BA99" s="518"/>
      <c r="BB99" s="518"/>
      <c r="BC99" s="518"/>
      <c r="BD99" s="518"/>
      <c r="BE99" s="518"/>
    </row>
    <row r="100" spans="1:57" ht="12.75" customHeight="1">
      <c r="A100" s="518"/>
      <c r="B100" s="518"/>
      <c r="C100" s="518"/>
      <c r="D100" s="518"/>
      <c r="E100" s="518"/>
      <c r="F100" s="518"/>
      <c r="G100" s="518"/>
      <c r="H100" s="518"/>
      <c r="I100" s="518"/>
      <c r="J100" s="518"/>
      <c r="K100" s="518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  <c r="AC100" s="518"/>
      <c r="AD100" s="518"/>
      <c r="AE100" s="518"/>
      <c r="AF100" s="518"/>
      <c r="AG100" s="518"/>
      <c r="AH100" s="518"/>
      <c r="AI100" s="518"/>
      <c r="AJ100" s="518"/>
      <c r="AK100" s="518"/>
      <c r="AL100" s="518"/>
      <c r="AM100" s="518"/>
      <c r="AN100" s="518"/>
      <c r="AO100" s="518"/>
      <c r="AP100" s="518"/>
      <c r="AQ100" s="518"/>
      <c r="AR100" s="518"/>
      <c r="AS100" s="518"/>
      <c r="AT100" s="518"/>
      <c r="AU100" s="518"/>
      <c r="AV100" s="518"/>
      <c r="AW100" s="518"/>
      <c r="AX100" s="518"/>
      <c r="AY100" s="518"/>
      <c r="AZ100" s="518"/>
      <c r="BA100" s="518"/>
      <c r="BB100" s="518"/>
      <c r="BC100" s="518"/>
      <c r="BD100" s="518"/>
      <c r="BE100" s="518"/>
    </row>
    <row r="101" spans="1:57" ht="12.75" customHeight="1">
      <c r="A101" s="518"/>
      <c r="B101" s="518"/>
      <c r="C101" s="518"/>
      <c r="D101" s="518"/>
      <c r="E101" s="518"/>
      <c r="F101" s="518"/>
      <c r="G101" s="518"/>
      <c r="H101" s="518"/>
      <c r="I101" s="518"/>
      <c r="J101" s="518"/>
      <c r="K101" s="518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  <c r="AA101" s="518"/>
      <c r="AB101" s="518"/>
      <c r="AC101" s="518"/>
      <c r="AD101" s="518"/>
      <c r="AE101" s="518"/>
      <c r="AF101" s="518"/>
      <c r="AG101" s="518"/>
      <c r="AH101" s="518"/>
      <c r="AI101" s="518"/>
      <c r="AJ101" s="518"/>
      <c r="AK101" s="518"/>
      <c r="AL101" s="518"/>
      <c r="AM101" s="518"/>
      <c r="AN101" s="518"/>
      <c r="AO101" s="518"/>
      <c r="AP101" s="518"/>
      <c r="AQ101" s="518"/>
      <c r="AR101" s="518"/>
      <c r="AS101" s="518"/>
      <c r="AT101" s="518"/>
      <c r="AU101" s="518"/>
      <c r="AV101" s="518"/>
      <c r="AW101" s="518"/>
      <c r="AX101" s="518"/>
      <c r="AY101" s="518"/>
      <c r="AZ101" s="518"/>
      <c r="BA101" s="518"/>
      <c r="BB101" s="518"/>
      <c r="BC101" s="518"/>
      <c r="BD101" s="518"/>
      <c r="BE101" s="518"/>
    </row>
    <row r="102" spans="1:57" ht="12.75" customHeight="1">
      <c r="A102" s="518"/>
      <c r="B102" s="518"/>
      <c r="C102" s="518"/>
      <c r="D102" s="518"/>
      <c r="E102" s="518"/>
      <c r="F102" s="518"/>
      <c r="G102" s="518"/>
      <c r="H102" s="518"/>
      <c r="I102" s="518"/>
      <c r="J102" s="518"/>
      <c r="K102" s="518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  <c r="AA102" s="518"/>
      <c r="AB102" s="518"/>
      <c r="AC102" s="518"/>
      <c r="AD102" s="518"/>
      <c r="AE102" s="518"/>
      <c r="AF102" s="518"/>
      <c r="AG102" s="518"/>
      <c r="AH102" s="518"/>
      <c r="AI102" s="518"/>
      <c r="AJ102" s="518"/>
      <c r="AK102" s="518"/>
      <c r="AL102" s="518"/>
      <c r="AM102" s="518"/>
      <c r="AN102" s="518"/>
      <c r="AO102" s="518"/>
      <c r="AP102" s="518"/>
      <c r="AQ102" s="518"/>
      <c r="AR102" s="518"/>
      <c r="AS102" s="518"/>
      <c r="AT102" s="518"/>
      <c r="AU102" s="518"/>
      <c r="AV102" s="518"/>
      <c r="AW102" s="518"/>
      <c r="AX102" s="518"/>
      <c r="AY102" s="518"/>
      <c r="AZ102" s="518"/>
      <c r="BA102" s="518"/>
      <c r="BB102" s="518"/>
      <c r="BC102" s="518"/>
      <c r="BD102" s="518"/>
      <c r="BE102" s="518"/>
    </row>
    <row r="103" spans="1:57" ht="12.75" customHeight="1">
      <c r="A103" s="518"/>
      <c r="B103" s="518"/>
      <c r="C103" s="518"/>
      <c r="D103" s="518"/>
      <c r="E103" s="518"/>
      <c r="F103" s="518"/>
      <c r="G103" s="518"/>
      <c r="H103" s="518"/>
      <c r="I103" s="518"/>
      <c r="J103" s="518"/>
      <c r="K103" s="518"/>
      <c r="L103" s="518"/>
      <c r="M103" s="518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8"/>
      <c r="Y103" s="518"/>
      <c r="Z103" s="518"/>
      <c r="AA103" s="518"/>
      <c r="AB103" s="518"/>
      <c r="AC103" s="518"/>
      <c r="AD103" s="518"/>
      <c r="AE103" s="518"/>
      <c r="AF103" s="518"/>
      <c r="AG103" s="518"/>
      <c r="AH103" s="518"/>
      <c r="AI103" s="518"/>
      <c r="AJ103" s="518"/>
      <c r="AK103" s="518"/>
      <c r="AL103" s="518"/>
      <c r="AM103" s="518"/>
      <c r="AN103" s="518"/>
      <c r="AO103" s="518"/>
      <c r="AP103" s="518"/>
      <c r="AQ103" s="518"/>
      <c r="AR103" s="518"/>
      <c r="AS103" s="518"/>
      <c r="AT103" s="518"/>
      <c r="AU103" s="518"/>
      <c r="AV103" s="518"/>
      <c r="AW103" s="518"/>
      <c r="AX103" s="518"/>
      <c r="AY103" s="518"/>
      <c r="AZ103" s="518"/>
      <c r="BA103" s="518"/>
      <c r="BB103" s="518"/>
      <c r="BC103" s="518"/>
      <c r="BD103" s="518"/>
      <c r="BE103" s="518"/>
    </row>
    <row r="104" spans="1:57" ht="12.75" customHeight="1">
      <c r="A104" s="518"/>
      <c r="B104" s="518"/>
      <c r="C104" s="518"/>
      <c r="D104" s="518"/>
      <c r="E104" s="518"/>
      <c r="F104" s="518"/>
      <c r="G104" s="518"/>
      <c r="H104" s="518"/>
      <c r="I104" s="518"/>
      <c r="J104" s="518"/>
      <c r="K104" s="518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  <c r="AA104" s="518"/>
      <c r="AB104" s="518"/>
      <c r="AC104" s="518"/>
      <c r="AD104" s="518"/>
      <c r="AE104" s="518"/>
      <c r="AF104" s="518"/>
      <c r="AG104" s="518"/>
      <c r="AH104" s="518"/>
      <c r="AI104" s="518"/>
      <c r="AJ104" s="518"/>
      <c r="AK104" s="518"/>
      <c r="AL104" s="518"/>
      <c r="AM104" s="518"/>
      <c r="AN104" s="518"/>
      <c r="AO104" s="518"/>
      <c r="AP104" s="518"/>
      <c r="AQ104" s="518"/>
      <c r="AR104" s="518"/>
      <c r="AS104" s="518"/>
      <c r="AT104" s="518"/>
      <c r="AU104" s="518"/>
      <c r="AV104" s="518"/>
      <c r="AW104" s="518"/>
      <c r="AX104" s="518"/>
      <c r="AY104" s="518"/>
      <c r="AZ104" s="518"/>
      <c r="BA104" s="518"/>
      <c r="BB104" s="518"/>
      <c r="BC104" s="518"/>
      <c r="BD104" s="518"/>
      <c r="BE104" s="518"/>
    </row>
    <row r="105" spans="1:57" ht="12.75" customHeight="1">
      <c r="A105" s="518"/>
      <c r="B105" s="518"/>
      <c r="C105" s="518"/>
      <c r="D105" s="518"/>
      <c r="E105" s="518"/>
      <c r="F105" s="518"/>
      <c r="G105" s="518"/>
      <c r="H105" s="518"/>
      <c r="I105" s="518"/>
      <c r="J105" s="518"/>
      <c r="K105" s="518"/>
      <c r="L105" s="518"/>
      <c r="M105" s="518"/>
      <c r="N105" s="518"/>
      <c r="O105" s="518"/>
      <c r="P105" s="518"/>
      <c r="Q105" s="518"/>
      <c r="R105" s="518"/>
      <c r="S105" s="518"/>
      <c r="T105" s="518"/>
      <c r="U105" s="518"/>
      <c r="V105" s="518"/>
      <c r="W105" s="518"/>
      <c r="X105" s="518"/>
      <c r="Y105" s="518"/>
      <c r="Z105" s="518"/>
      <c r="AA105" s="518"/>
      <c r="AB105" s="518"/>
      <c r="AC105" s="518"/>
      <c r="AD105" s="518"/>
      <c r="AE105" s="518"/>
      <c r="AF105" s="518"/>
      <c r="AG105" s="518"/>
      <c r="AH105" s="518"/>
      <c r="AI105" s="518"/>
      <c r="AJ105" s="518"/>
      <c r="AK105" s="518"/>
      <c r="AL105" s="518"/>
      <c r="AM105" s="518"/>
      <c r="AN105" s="518"/>
      <c r="AO105" s="518"/>
      <c r="AP105" s="518"/>
      <c r="AQ105" s="518"/>
      <c r="AR105" s="518"/>
      <c r="AS105" s="518"/>
      <c r="AT105" s="518"/>
      <c r="AU105" s="518"/>
      <c r="AV105" s="518"/>
      <c r="AW105" s="518"/>
      <c r="AX105" s="518"/>
      <c r="AY105" s="518"/>
      <c r="AZ105" s="518"/>
      <c r="BA105" s="518"/>
      <c r="BB105" s="518"/>
      <c r="BC105" s="518"/>
      <c r="BD105" s="518"/>
      <c r="BE105" s="518"/>
    </row>
    <row r="106" spans="1:57" ht="12.75" customHeight="1">
      <c r="A106" s="518"/>
      <c r="B106" s="518"/>
      <c r="C106" s="518"/>
      <c r="D106" s="518"/>
      <c r="E106" s="518"/>
      <c r="F106" s="518"/>
      <c r="G106" s="518"/>
      <c r="H106" s="518"/>
      <c r="I106" s="518"/>
      <c r="J106" s="518"/>
      <c r="K106" s="518"/>
      <c r="L106" s="518"/>
      <c r="M106" s="518"/>
      <c r="N106" s="518"/>
      <c r="O106" s="518"/>
      <c r="P106" s="518"/>
      <c r="Q106" s="518"/>
      <c r="R106" s="518"/>
      <c r="S106" s="518"/>
      <c r="T106" s="518"/>
      <c r="U106" s="518"/>
      <c r="V106" s="518"/>
      <c r="W106" s="518"/>
      <c r="X106" s="518"/>
      <c r="Y106" s="518"/>
      <c r="Z106" s="518"/>
      <c r="AA106" s="518"/>
      <c r="AB106" s="518"/>
      <c r="AC106" s="518"/>
      <c r="AD106" s="518"/>
      <c r="AE106" s="518"/>
      <c r="AF106" s="518"/>
      <c r="AG106" s="518"/>
      <c r="AH106" s="518"/>
      <c r="AI106" s="518"/>
      <c r="AJ106" s="518"/>
      <c r="AK106" s="518"/>
      <c r="AL106" s="518"/>
      <c r="AM106" s="518"/>
      <c r="AN106" s="518"/>
      <c r="AO106" s="518"/>
      <c r="AP106" s="518"/>
      <c r="AQ106" s="518"/>
      <c r="AR106" s="518"/>
      <c r="AS106" s="518"/>
      <c r="AT106" s="518"/>
      <c r="AU106" s="518"/>
      <c r="AV106" s="518"/>
      <c r="AW106" s="518"/>
      <c r="AX106" s="518"/>
      <c r="AY106" s="518"/>
      <c r="AZ106" s="518"/>
      <c r="BA106" s="518"/>
      <c r="BB106" s="518"/>
      <c r="BC106" s="518"/>
      <c r="BD106" s="518"/>
      <c r="BE106" s="518"/>
    </row>
    <row r="107" spans="1:57" ht="12.75" customHeight="1">
      <c r="A107" s="518"/>
      <c r="B107" s="518"/>
      <c r="C107" s="518"/>
      <c r="D107" s="518"/>
      <c r="E107" s="518"/>
      <c r="F107" s="518"/>
      <c r="G107" s="518"/>
      <c r="H107" s="518"/>
      <c r="I107" s="518"/>
      <c r="J107" s="518"/>
      <c r="K107" s="518"/>
      <c r="L107" s="518"/>
      <c r="M107" s="518"/>
      <c r="N107" s="518"/>
      <c r="O107" s="518"/>
      <c r="P107" s="518"/>
      <c r="Q107" s="518"/>
      <c r="R107" s="518"/>
      <c r="S107" s="518"/>
      <c r="T107" s="518"/>
      <c r="U107" s="518"/>
      <c r="V107" s="518"/>
      <c r="W107" s="518"/>
      <c r="X107" s="518"/>
      <c r="Y107" s="518"/>
      <c r="Z107" s="518"/>
      <c r="AA107" s="518"/>
      <c r="AB107" s="518"/>
      <c r="AC107" s="518"/>
      <c r="AD107" s="518"/>
      <c r="AE107" s="518"/>
      <c r="AF107" s="518"/>
      <c r="AG107" s="518"/>
      <c r="AH107" s="518"/>
      <c r="AI107" s="518"/>
      <c r="AJ107" s="518"/>
      <c r="AK107" s="518"/>
      <c r="AL107" s="518"/>
      <c r="AM107" s="518"/>
      <c r="AN107" s="518"/>
      <c r="AO107" s="518"/>
      <c r="AP107" s="518"/>
      <c r="AQ107" s="518"/>
      <c r="AR107" s="518"/>
      <c r="AS107" s="518"/>
      <c r="AT107" s="518"/>
      <c r="AU107" s="518"/>
      <c r="AV107" s="518"/>
      <c r="AW107" s="518"/>
      <c r="AX107" s="518"/>
      <c r="AY107" s="518"/>
      <c r="AZ107" s="518"/>
      <c r="BA107" s="518"/>
      <c r="BB107" s="518"/>
      <c r="BC107" s="518"/>
      <c r="BD107" s="518"/>
      <c r="BE107" s="518"/>
    </row>
    <row r="108" spans="1:57" ht="12.75" customHeight="1">
      <c r="A108" s="518"/>
      <c r="B108" s="518"/>
      <c r="C108" s="518"/>
      <c r="D108" s="518"/>
      <c r="E108" s="518"/>
      <c r="F108" s="518"/>
      <c r="G108" s="518"/>
      <c r="H108" s="518"/>
      <c r="I108" s="518"/>
      <c r="J108" s="518"/>
      <c r="K108" s="518"/>
      <c r="L108" s="518"/>
      <c r="M108" s="518"/>
      <c r="N108" s="518"/>
      <c r="O108" s="518"/>
      <c r="P108" s="518"/>
      <c r="Q108" s="518"/>
      <c r="R108" s="518"/>
      <c r="S108" s="518"/>
      <c r="T108" s="518"/>
      <c r="U108" s="518"/>
      <c r="V108" s="518"/>
      <c r="W108" s="518"/>
      <c r="X108" s="518"/>
      <c r="Y108" s="518"/>
      <c r="Z108" s="518"/>
      <c r="AA108" s="518"/>
      <c r="AB108" s="518"/>
      <c r="AC108" s="518"/>
      <c r="AD108" s="518"/>
      <c r="AE108" s="518"/>
      <c r="AF108" s="518"/>
      <c r="AG108" s="518"/>
      <c r="AH108" s="518"/>
      <c r="AI108" s="518"/>
      <c r="AJ108" s="518"/>
      <c r="AK108" s="518"/>
      <c r="AL108" s="518"/>
      <c r="AM108" s="518"/>
      <c r="AN108" s="518"/>
      <c r="AO108" s="518"/>
      <c r="AP108" s="518"/>
      <c r="AQ108" s="518"/>
      <c r="AR108" s="518"/>
      <c r="AS108" s="518"/>
      <c r="AT108" s="518"/>
      <c r="AU108" s="518"/>
      <c r="AV108" s="518"/>
      <c r="AW108" s="518"/>
      <c r="AX108" s="518"/>
      <c r="AY108" s="518"/>
      <c r="AZ108" s="518"/>
      <c r="BA108" s="518"/>
      <c r="BB108" s="518"/>
      <c r="BC108" s="518"/>
      <c r="BD108" s="518"/>
      <c r="BE108" s="518"/>
    </row>
    <row r="109" spans="1:57" ht="12.75" customHeight="1">
      <c r="A109" s="518"/>
      <c r="B109" s="518"/>
      <c r="C109" s="518"/>
      <c r="D109" s="518"/>
      <c r="E109" s="518"/>
      <c r="F109" s="518"/>
      <c r="G109" s="518"/>
      <c r="H109" s="518"/>
      <c r="I109" s="518"/>
      <c r="J109" s="518"/>
      <c r="K109" s="518"/>
      <c r="L109" s="518"/>
      <c r="M109" s="518"/>
      <c r="N109" s="518"/>
      <c r="O109" s="518"/>
      <c r="P109" s="518"/>
      <c r="Q109" s="518"/>
      <c r="R109" s="518"/>
      <c r="S109" s="518"/>
      <c r="T109" s="518"/>
      <c r="U109" s="518"/>
      <c r="V109" s="518"/>
      <c r="W109" s="518"/>
      <c r="X109" s="518"/>
      <c r="Y109" s="518"/>
      <c r="Z109" s="518"/>
      <c r="AA109" s="518"/>
      <c r="AB109" s="518"/>
      <c r="AC109" s="518"/>
      <c r="AD109" s="518"/>
      <c r="AE109" s="518"/>
      <c r="AF109" s="518"/>
      <c r="AG109" s="518"/>
      <c r="AH109" s="518"/>
      <c r="AI109" s="518"/>
      <c r="AJ109" s="518"/>
      <c r="AK109" s="518"/>
      <c r="AL109" s="518"/>
      <c r="AM109" s="518"/>
      <c r="AN109" s="518"/>
      <c r="AO109" s="518"/>
      <c r="AP109" s="518"/>
      <c r="AQ109" s="518"/>
      <c r="AR109" s="518"/>
      <c r="AS109" s="518"/>
      <c r="AT109" s="518"/>
      <c r="AU109" s="518"/>
      <c r="AV109" s="518"/>
      <c r="AW109" s="518"/>
      <c r="AX109" s="518"/>
      <c r="AY109" s="518"/>
      <c r="AZ109" s="518"/>
      <c r="BA109" s="518"/>
      <c r="BB109" s="518"/>
      <c r="BC109" s="518"/>
      <c r="BD109" s="518"/>
      <c r="BE109" s="518"/>
    </row>
    <row r="110" spans="1:57" ht="12.75" customHeight="1">
      <c r="A110" s="518"/>
      <c r="B110" s="518"/>
      <c r="C110" s="518"/>
      <c r="D110" s="518"/>
      <c r="E110" s="518"/>
      <c r="F110" s="518"/>
      <c r="G110" s="518"/>
      <c r="H110" s="518"/>
      <c r="I110" s="518"/>
      <c r="J110" s="518"/>
      <c r="K110" s="518"/>
      <c r="L110" s="518"/>
      <c r="M110" s="518"/>
      <c r="N110" s="518"/>
      <c r="O110" s="518"/>
      <c r="P110" s="518"/>
      <c r="Q110" s="518"/>
      <c r="R110" s="518"/>
      <c r="S110" s="518"/>
      <c r="T110" s="518"/>
      <c r="U110" s="518"/>
      <c r="V110" s="518"/>
      <c r="W110" s="518"/>
      <c r="X110" s="518"/>
      <c r="Y110" s="518"/>
      <c r="Z110" s="518"/>
      <c r="AA110" s="518"/>
      <c r="AB110" s="518"/>
      <c r="AC110" s="518"/>
      <c r="AD110" s="518"/>
      <c r="AE110" s="518"/>
      <c r="AF110" s="518"/>
      <c r="AG110" s="518"/>
      <c r="AH110" s="518"/>
      <c r="AI110" s="518"/>
      <c r="AJ110" s="518"/>
      <c r="AK110" s="518"/>
      <c r="AL110" s="518"/>
      <c r="AM110" s="518"/>
      <c r="AN110" s="518"/>
      <c r="AO110" s="518"/>
      <c r="AP110" s="518"/>
      <c r="AQ110" s="518"/>
      <c r="AR110" s="518"/>
      <c r="AS110" s="518"/>
      <c r="AT110" s="518"/>
      <c r="AU110" s="518"/>
      <c r="AV110" s="518"/>
      <c r="AW110" s="518"/>
      <c r="AX110" s="518"/>
      <c r="AY110" s="518"/>
      <c r="AZ110" s="518"/>
      <c r="BA110" s="518"/>
      <c r="BB110" s="518"/>
      <c r="BC110" s="518"/>
      <c r="BD110" s="518"/>
      <c r="BE110" s="518"/>
    </row>
    <row r="111" spans="1:57" ht="12.75" customHeight="1">
      <c r="A111" s="518"/>
      <c r="B111" s="518"/>
      <c r="C111" s="518"/>
      <c r="D111" s="518"/>
      <c r="E111" s="518"/>
      <c r="F111" s="518"/>
      <c r="G111" s="518"/>
      <c r="H111" s="518"/>
      <c r="I111" s="518"/>
      <c r="J111" s="518"/>
      <c r="K111" s="518"/>
      <c r="L111" s="518"/>
      <c r="M111" s="518"/>
      <c r="N111" s="518"/>
      <c r="O111" s="518"/>
      <c r="P111" s="518"/>
      <c r="Q111" s="518"/>
      <c r="R111" s="518"/>
      <c r="S111" s="518"/>
      <c r="T111" s="518"/>
      <c r="U111" s="518"/>
      <c r="V111" s="518"/>
      <c r="W111" s="518"/>
      <c r="X111" s="518"/>
      <c r="Y111" s="518"/>
      <c r="Z111" s="518"/>
      <c r="AA111" s="518"/>
      <c r="AB111" s="518"/>
      <c r="AC111" s="518"/>
      <c r="AD111" s="518"/>
      <c r="AE111" s="518"/>
      <c r="AF111" s="518"/>
      <c r="AG111" s="518"/>
      <c r="AH111" s="518"/>
      <c r="AI111" s="518"/>
      <c r="AJ111" s="518"/>
      <c r="AK111" s="518"/>
      <c r="AL111" s="518"/>
      <c r="AM111" s="518"/>
      <c r="AN111" s="518"/>
      <c r="AO111" s="518"/>
      <c r="AP111" s="518"/>
      <c r="AQ111" s="518"/>
      <c r="AR111" s="518"/>
      <c r="AS111" s="518"/>
      <c r="AT111" s="518"/>
      <c r="AU111" s="518"/>
      <c r="AV111" s="518"/>
      <c r="AW111" s="518"/>
      <c r="AX111" s="518"/>
      <c r="AY111" s="518"/>
      <c r="AZ111" s="518"/>
      <c r="BA111" s="518"/>
      <c r="BB111" s="518"/>
      <c r="BC111" s="518"/>
      <c r="BD111" s="518"/>
      <c r="BE111" s="518"/>
    </row>
    <row r="112" spans="1:57" ht="12.75" customHeight="1">
      <c r="A112" s="518"/>
      <c r="B112" s="518"/>
      <c r="C112" s="518"/>
      <c r="D112" s="518"/>
      <c r="E112" s="518"/>
      <c r="F112" s="518"/>
      <c r="G112" s="518"/>
      <c r="H112" s="518"/>
      <c r="I112" s="518"/>
      <c r="J112" s="518"/>
      <c r="K112" s="518"/>
      <c r="L112" s="518"/>
      <c r="M112" s="518"/>
      <c r="N112" s="518"/>
      <c r="O112" s="518"/>
      <c r="P112" s="518"/>
      <c r="Q112" s="518"/>
      <c r="R112" s="518"/>
      <c r="S112" s="518"/>
      <c r="T112" s="518"/>
      <c r="U112" s="518"/>
      <c r="V112" s="518"/>
      <c r="W112" s="518"/>
      <c r="X112" s="518"/>
      <c r="Y112" s="518"/>
      <c r="Z112" s="518"/>
      <c r="AA112" s="518"/>
      <c r="AB112" s="518"/>
      <c r="AC112" s="518"/>
      <c r="AD112" s="518"/>
      <c r="AE112" s="518"/>
      <c r="AF112" s="518"/>
      <c r="AG112" s="518"/>
      <c r="AH112" s="518"/>
      <c r="AI112" s="518"/>
      <c r="AJ112" s="518"/>
      <c r="AK112" s="518"/>
      <c r="AL112" s="518"/>
      <c r="AM112" s="518"/>
      <c r="AN112" s="518"/>
      <c r="AO112" s="518"/>
      <c r="AP112" s="518"/>
      <c r="AQ112" s="518"/>
      <c r="AR112" s="518"/>
      <c r="AS112" s="518"/>
      <c r="AT112" s="518"/>
      <c r="AU112" s="518"/>
      <c r="AV112" s="518"/>
      <c r="AW112" s="518"/>
      <c r="AX112" s="518"/>
      <c r="AY112" s="518"/>
      <c r="AZ112" s="518"/>
      <c r="BA112" s="518"/>
      <c r="BB112" s="518"/>
      <c r="BC112" s="518"/>
      <c r="BD112" s="518"/>
      <c r="BE112" s="518"/>
    </row>
    <row r="113" spans="1:57" ht="12.75" customHeight="1">
      <c r="A113" s="518"/>
      <c r="B113" s="518"/>
      <c r="C113" s="518"/>
      <c r="D113" s="518"/>
      <c r="E113" s="518"/>
      <c r="F113" s="518"/>
      <c r="G113" s="518"/>
      <c r="H113" s="518"/>
      <c r="I113" s="518"/>
      <c r="J113" s="518"/>
      <c r="K113" s="518"/>
      <c r="L113" s="518"/>
      <c r="M113" s="518"/>
      <c r="N113" s="518"/>
      <c r="O113" s="518"/>
      <c r="P113" s="518"/>
      <c r="Q113" s="518"/>
      <c r="R113" s="518"/>
      <c r="S113" s="518"/>
      <c r="T113" s="518"/>
      <c r="U113" s="518"/>
      <c r="V113" s="518"/>
      <c r="W113" s="518"/>
      <c r="X113" s="518"/>
      <c r="Y113" s="518"/>
      <c r="Z113" s="518"/>
      <c r="AA113" s="518"/>
      <c r="AB113" s="518"/>
      <c r="AC113" s="518"/>
      <c r="AD113" s="518"/>
      <c r="AE113" s="518"/>
      <c r="AF113" s="518"/>
      <c r="AG113" s="518"/>
      <c r="AH113" s="518"/>
      <c r="AI113" s="518"/>
      <c r="AJ113" s="518"/>
      <c r="AK113" s="518"/>
      <c r="AL113" s="518"/>
      <c r="AM113" s="518"/>
      <c r="AN113" s="518"/>
      <c r="AO113" s="518"/>
      <c r="AP113" s="518"/>
      <c r="AQ113" s="518"/>
      <c r="AR113" s="518"/>
      <c r="AS113" s="518"/>
      <c r="AT113" s="518"/>
      <c r="AU113" s="518"/>
      <c r="AV113" s="518"/>
      <c r="AW113" s="518"/>
      <c r="AX113" s="518"/>
      <c r="AY113" s="518"/>
      <c r="AZ113" s="518"/>
      <c r="BA113" s="518"/>
      <c r="BB113" s="518"/>
      <c r="BC113" s="518"/>
      <c r="BD113" s="518"/>
      <c r="BE113" s="518"/>
    </row>
    <row r="114" spans="1:57" ht="12.75" customHeight="1">
      <c r="A114" s="518"/>
      <c r="B114" s="518"/>
      <c r="C114" s="518"/>
      <c r="D114" s="518"/>
      <c r="E114" s="518"/>
      <c r="F114" s="518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8"/>
      <c r="V114" s="518"/>
      <c r="W114" s="518"/>
      <c r="X114" s="518"/>
      <c r="Y114" s="518"/>
      <c r="Z114" s="518"/>
      <c r="AA114" s="518"/>
      <c r="AB114" s="518"/>
      <c r="AC114" s="518"/>
      <c r="AD114" s="518"/>
      <c r="AE114" s="518"/>
      <c r="AF114" s="518"/>
      <c r="AG114" s="518"/>
      <c r="AH114" s="518"/>
      <c r="AI114" s="518"/>
      <c r="AJ114" s="518"/>
      <c r="AK114" s="518"/>
      <c r="AL114" s="518"/>
      <c r="AM114" s="518"/>
      <c r="AN114" s="518"/>
      <c r="AO114" s="518"/>
      <c r="AP114" s="518"/>
      <c r="AQ114" s="518"/>
      <c r="AR114" s="518"/>
      <c r="AS114" s="518"/>
      <c r="AT114" s="518"/>
      <c r="AU114" s="518"/>
      <c r="AV114" s="518"/>
      <c r="AW114" s="518"/>
      <c r="AX114" s="518"/>
      <c r="AY114" s="518"/>
      <c r="AZ114" s="518"/>
      <c r="BA114" s="518"/>
      <c r="BB114" s="518"/>
      <c r="BC114" s="518"/>
      <c r="BD114" s="518"/>
      <c r="BE114" s="518"/>
    </row>
    <row r="115" spans="1:57" ht="12.75" customHeight="1">
      <c r="A115" s="518"/>
      <c r="B115" s="518"/>
      <c r="C115" s="518"/>
      <c r="D115" s="518"/>
      <c r="E115" s="518"/>
      <c r="F115" s="518"/>
      <c r="G115" s="518"/>
      <c r="H115" s="518"/>
      <c r="I115" s="518"/>
      <c r="J115" s="518"/>
      <c r="K115" s="518"/>
      <c r="L115" s="518"/>
      <c r="M115" s="518"/>
      <c r="N115" s="518"/>
      <c r="O115" s="518"/>
      <c r="P115" s="518"/>
      <c r="Q115" s="518"/>
      <c r="R115" s="518"/>
      <c r="S115" s="518"/>
      <c r="T115" s="518"/>
      <c r="U115" s="518"/>
      <c r="V115" s="518"/>
      <c r="W115" s="518"/>
      <c r="X115" s="518"/>
      <c r="Y115" s="518"/>
      <c r="Z115" s="518"/>
      <c r="AA115" s="518"/>
      <c r="AB115" s="518"/>
      <c r="AC115" s="518"/>
      <c r="AD115" s="518"/>
      <c r="AE115" s="518"/>
      <c r="AF115" s="518"/>
      <c r="AG115" s="518"/>
      <c r="AH115" s="518"/>
      <c r="AI115" s="518"/>
      <c r="AJ115" s="518"/>
      <c r="AK115" s="518"/>
      <c r="AL115" s="518"/>
      <c r="AM115" s="518"/>
      <c r="AN115" s="518"/>
      <c r="AO115" s="518"/>
      <c r="AP115" s="518"/>
      <c r="AQ115" s="518"/>
      <c r="AR115" s="518"/>
      <c r="AS115" s="518"/>
      <c r="AT115" s="518"/>
      <c r="AU115" s="518"/>
      <c r="AV115" s="518"/>
      <c r="AW115" s="518"/>
      <c r="AX115" s="518"/>
      <c r="AY115" s="518"/>
      <c r="AZ115" s="518"/>
      <c r="BA115" s="518"/>
      <c r="BB115" s="518"/>
      <c r="BC115" s="518"/>
      <c r="BD115" s="518"/>
      <c r="BE115" s="518"/>
    </row>
    <row r="116" spans="1:57" ht="12.75" customHeight="1">
      <c r="A116" s="518"/>
      <c r="B116" s="518"/>
      <c r="C116" s="518"/>
      <c r="D116" s="518"/>
      <c r="E116" s="518"/>
      <c r="F116" s="518"/>
      <c r="G116" s="518"/>
      <c r="H116" s="518"/>
      <c r="I116" s="518"/>
      <c r="J116" s="518"/>
      <c r="K116" s="518"/>
      <c r="L116" s="518"/>
      <c r="M116" s="518"/>
      <c r="N116" s="518"/>
      <c r="O116" s="518"/>
      <c r="P116" s="518"/>
      <c r="Q116" s="518"/>
      <c r="R116" s="518"/>
      <c r="S116" s="518"/>
      <c r="T116" s="518"/>
      <c r="U116" s="518"/>
      <c r="V116" s="518"/>
      <c r="W116" s="518"/>
      <c r="X116" s="518"/>
      <c r="Y116" s="518"/>
      <c r="Z116" s="518"/>
      <c r="AA116" s="518"/>
      <c r="AB116" s="518"/>
      <c r="AC116" s="518"/>
      <c r="AD116" s="518"/>
      <c r="AE116" s="518"/>
      <c r="AF116" s="518"/>
      <c r="AG116" s="518"/>
      <c r="AH116" s="518"/>
      <c r="AI116" s="518"/>
      <c r="AJ116" s="518"/>
      <c r="AK116" s="518"/>
      <c r="AL116" s="518"/>
      <c r="AM116" s="518"/>
      <c r="AN116" s="518"/>
      <c r="AO116" s="518"/>
      <c r="AP116" s="518"/>
      <c r="AQ116" s="518"/>
      <c r="AR116" s="518"/>
      <c r="AS116" s="518"/>
      <c r="AT116" s="518"/>
      <c r="AU116" s="518"/>
      <c r="AV116" s="518"/>
      <c r="AW116" s="518"/>
      <c r="AX116" s="518"/>
      <c r="AY116" s="518"/>
      <c r="AZ116" s="518"/>
      <c r="BA116" s="518"/>
      <c r="BB116" s="518"/>
      <c r="BC116" s="518"/>
      <c r="BD116" s="518"/>
      <c r="BE116" s="518"/>
    </row>
    <row r="117" spans="1:57" ht="12.75" customHeight="1">
      <c r="A117" s="518"/>
      <c r="B117" s="518"/>
      <c r="C117" s="518"/>
      <c r="D117" s="518"/>
      <c r="E117" s="518"/>
      <c r="F117" s="518"/>
      <c r="G117" s="518"/>
      <c r="H117" s="518"/>
      <c r="I117" s="518"/>
      <c r="J117" s="518"/>
      <c r="K117" s="518"/>
      <c r="L117" s="518"/>
      <c r="M117" s="518"/>
      <c r="N117" s="518"/>
      <c r="O117" s="518"/>
      <c r="P117" s="518"/>
      <c r="Q117" s="518"/>
      <c r="R117" s="518"/>
      <c r="S117" s="518"/>
      <c r="T117" s="518"/>
      <c r="U117" s="518"/>
      <c r="V117" s="518"/>
      <c r="W117" s="518"/>
      <c r="X117" s="518"/>
      <c r="Y117" s="518"/>
      <c r="Z117" s="518"/>
      <c r="AA117" s="518"/>
      <c r="AB117" s="518"/>
      <c r="AC117" s="518"/>
      <c r="AD117" s="518"/>
      <c r="AE117" s="518"/>
      <c r="AF117" s="518"/>
      <c r="AG117" s="518"/>
      <c r="AH117" s="518"/>
      <c r="AI117" s="518"/>
      <c r="AJ117" s="518"/>
      <c r="AK117" s="518"/>
      <c r="AL117" s="518"/>
      <c r="AM117" s="518"/>
      <c r="AN117" s="518"/>
      <c r="AO117" s="518"/>
      <c r="AP117" s="518"/>
      <c r="AQ117" s="518"/>
      <c r="AR117" s="518"/>
      <c r="AS117" s="518"/>
      <c r="AT117" s="518"/>
      <c r="AU117" s="518"/>
      <c r="AV117" s="518"/>
      <c r="AW117" s="518"/>
      <c r="AX117" s="518"/>
      <c r="AY117" s="518"/>
      <c r="AZ117" s="518"/>
      <c r="BA117" s="518"/>
      <c r="BB117" s="518"/>
      <c r="BC117" s="518"/>
      <c r="BD117" s="518"/>
      <c r="BE117" s="518"/>
    </row>
    <row r="118" spans="1:57" ht="12.75" customHeight="1">
      <c r="A118" s="518"/>
      <c r="B118" s="518"/>
      <c r="C118" s="518"/>
      <c r="D118" s="518"/>
      <c r="E118" s="518"/>
      <c r="F118" s="518"/>
      <c r="G118" s="518"/>
      <c r="H118" s="518"/>
      <c r="I118" s="518"/>
      <c r="J118" s="518"/>
      <c r="K118" s="518"/>
      <c r="L118" s="518"/>
      <c r="M118" s="518"/>
      <c r="N118" s="518"/>
      <c r="O118" s="518"/>
      <c r="P118" s="518"/>
      <c r="Q118" s="518"/>
      <c r="R118" s="518"/>
      <c r="S118" s="518"/>
      <c r="T118" s="518"/>
      <c r="U118" s="518"/>
      <c r="V118" s="518"/>
      <c r="W118" s="518"/>
      <c r="X118" s="518"/>
      <c r="Y118" s="518"/>
      <c r="Z118" s="518"/>
      <c r="AA118" s="518"/>
      <c r="AB118" s="518"/>
      <c r="AC118" s="518"/>
      <c r="AD118" s="518"/>
      <c r="AE118" s="518"/>
      <c r="AF118" s="518"/>
      <c r="AG118" s="518"/>
      <c r="AH118" s="518"/>
      <c r="AI118" s="518"/>
      <c r="AJ118" s="518"/>
      <c r="AK118" s="518"/>
      <c r="AL118" s="518"/>
      <c r="AM118" s="518"/>
      <c r="AN118" s="518"/>
      <c r="AO118" s="518"/>
      <c r="AP118" s="518"/>
      <c r="AQ118" s="518"/>
      <c r="AR118" s="518"/>
      <c r="AS118" s="518"/>
      <c r="AT118" s="518"/>
      <c r="AU118" s="518"/>
      <c r="AV118" s="518"/>
      <c r="AW118" s="518"/>
      <c r="AX118" s="518"/>
      <c r="AY118" s="518"/>
      <c r="AZ118" s="518"/>
      <c r="BA118" s="518"/>
      <c r="BB118" s="518"/>
      <c r="BC118" s="518"/>
      <c r="BD118" s="518"/>
      <c r="BE118" s="518"/>
    </row>
    <row r="119" spans="1:57" ht="12.75" customHeight="1">
      <c r="A119" s="518"/>
      <c r="B119" s="518"/>
      <c r="C119" s="518"/>
      <c r="D119" s="518"/>
      <c r="E119" s="518"/>
      <c r="F119" s="518"/>
      <c r="G119" s="518"/>
      <c r="H119" s="518"/>
      <c r="I119" s="518"/>
      <c r="J119" s="518"/>
      <c r="K119" s="518"/>
      <c r="L119" s="518"/>
      <c r="M119" s="518"/>
      <c r="N119" s="518"/>
      <c r="O119" s="518"/>
      <c r="P119" s="518"/>
      <c r="Q119" s="518"/>
      <c r="R119" s="518"/>
      <c r="S119" s="518"/>
      <c r="T119" s="518"/>
      <c r="U119" s="518"/>
      <c r="V119" s="518"/>
      <c r="W119" s="518"/>
      <c r="X119" s="518"/>
      <c r="Y119" s="518"/>
      <c r="Z119" s="518"/>
      <c r="AA119" s="518"/>
      <c r="AB119" s="518"/>
      <c r="AC119" s="518"/>
      <c r="AD119" s="518"/>
      <c r="AE119" s="518"/>
      <c r="AF119" s="518"/>
      <c r="AG119" s="518"/>
      <c r="AH119" s="518"/>
      <c r="AI119" s="518"/>
      <c r="AJ119" s="518"/>
      <c r="AK119" s="518"/>
      <c r="AL119" s="518"/>
      <c r="AM119" s="518"/>
      <c r="AN119" s="518"/>
      <c r="AO119" s="518"/>
      <c r="AP119" s="518"/>
      <c r="AQ119" s="518"/>
      <c r="AR119" s="518"/>
      <c r="AS119" s="518"/>
      <c r="AT119" s="518"/>
      <c r="AU119" s="518"/>
      <c r="AV119" s="518"/>
      <c r="AW119" s="518"/>
      <c r="AX119" s="518"/>
      <c r="AY119" s="518"/>
      <c r="AZ119" s="518"/>
      <c r="BA119" s="518"/>
      <c r="BB119" s="518"/>
      <c r="BC119" s="518"/>
      <c r="BD119" s="518"/>
      <c r="BE119" s="518"/>
    </row>
    <row r="120" spans="1:57" ht="12.75" customHeight="1">
      <c r="A120" s="518"/>
      <c r="B120" s="518"/>
      <c r="C120" s="518"/>
      <c r="D120" s="518"/>
      <c r="E120" s="518"/>
      <c r="F120" s="518"/>
      <c r="G120" s="518"/>
      <c r="H120" s="518"/>
      <c r="I120" s="518"/>
      <c r="J120" s="518"/>
      <c r="K120" s="518"/>
      <c r="L120" s="518"/>
      <c r="M120" s="518"/>
      <c r="N120" s="518"/>
      <c r="O120" s="518"/>
      <c r="P120" s="518"/>
      <c r="Q120" s="518"/>
      <c r="R120" s="518"/>
      <c r="S120" s="518"/>
      <c r="T120" s="518"/>
      <c r="U120" s="518"/>
      <c r="V120" s="518"/>
      <c r="W120" s="518"/>
      <c r="X120" s="518"/>
      <c r="Y120" s="518"/>
      <c r="Z120" s="518"/>
      <c r="AA120" s="518"/>
      <c r="AB120" s="518"/>
      <c r="AC120" s="518"/>
      <c r="AD120" s="518"/>
      <c r="AE120" s="518"/>
      <c r="AF120" s="518"/>
      <c r="AG120" s="518"/>
      <c r="AH120" s="518"/>
      <c r="AI120" s="518"/>
      <c r="AJ120" s="518"/>
      <c r="AK120" s="518"/>
      <c r="AL120" s="518"/>
      <c r="AM120" s="518"/>
      <c r="AN120" s="518"/>
      <c r="AO120" s="518"/>
      <c r="AP120" s="518"/>
      <c r="AQ120" s="518"/>
      <c r="AR120" s="518"/>
      <c r="AS120" s="518"/>
      <c r="AT120" s="518"/>
      <c r="AU120" s="518"/>
      <c r="AV120" s="518"/>
      <c r="AW120" s="518"/>
      <c r="AX120" s="518"/>
      <c r="AY120" s="518"/>
      <c r="AZ120" s="518"/>
      <c r="BA120" s="518"/>
      <c r="BB120" s="518"/>
      <c r="BC120" s="518"/>
      <c r="BD120" s="518"/>
      <c r="BE120" s="518"/>
    </row>
    <row r="121" spans="1:57" ht="12.75" customHeight="1">
      <c r="A121" s="518"/>
      <c r="B121" s="518"/>
      <c r="C121" s="518"/>
      <c r="D121" s="518"/>
      <c r="E121" s="518"/>
      <c r="F121" s="518"/>
      <c r="G121" s="518"/>
      <c r="H121" s="518"/>
      <c r="I121" s="518"/>
      <c r="J121" s="518"/>
      <c r="K121" s="518"/>
      <c r="L121" s="518"/>
      <c r="M121" s="518"/>
      <c r="N121" s="518"/>
      <c r="O121" s="518"/>
      <c r="P121" s="518"/>
      <c r="Q121" s="518"/>
      <c r="R121" s="518"/>
      <c r="S121" s="518"/>
      <c r="T121" s="518"/>
      <c r="U121" s="518"/>
      <c r="V121" s="518"/>
      <c r="W121" s="518"/>
      <c r="X121" s="518"/>
      <c r="Y121" s="518"/>
      <c r="Z121" s="518"/>
      <c r="AA121" s="518"/>
      <c r="AB121" s="518"/>
      <c r="AC121" s="518"/>
      <c r="AD121" s="518"/>
      <c r="AE121" s="518"/>
      <c r="AF121" s="518"/>
      <c r="AG121" s="518"/>
      <c r="AH121" s="518"/>
      <c r="AI121" s="518"/>
      <c r="AJ121" s="518"/>
      <c r="AK121" s="518"/>
      <c r="AL121" s="518"/>
      <c r="AM121" s="518"/>
      <c r="AN121" s="518"/>
      <c r="AO121" s="518"/>
      <c r="AP121" s="518"/>
      <c r="AQ121" s="518"/>
      <c r="AR121" s="518"/>
      <c r="AS121" s="518"/>
      <c r="AT121" s="518"/>
      <c r="AU121" s="518"/>
      <c r="AV121" s="518"/>
      <c r="AW121" s="518"/>
      <c r="AX121" s="518"/>
      <c r="AY121" s="518"/>
      <c r="AZ121" s="518"/>
      <c r="BA121" s="518"/>
      <c r="BB121" s="518"/>
      <c r="BC121" s="518"/>
      <c r="BD121" s="518"/>
      <c r="BE121" s="518"/>
    </row>
    <row r="122" spans="1:57" ht="12.75" customHeight="1">
      <c r="A122" s="518"/>
      <c r="B122" s="518"/>
      <c r="C122" s="518"/>
      <c r="D122" s="518"/>
      <c r="E122" s="518"/>
      <c r="F122" s="518"/>
      <c r="G122" s="518"/>
      <c r="H122" s="518"/>
      <c r="I122" s="518"/>
      <c r="J122" s="518"/>
      <c r="K122" s="518"/>
      <c r="L122" s="518"/>
      <c r="M122" s="518"/>
      <c r="N122" s="518"/>
      <c r="O122" s="518"/>
      <c r="P122" s="518"/>
      <c r="Q122" s="518"/>
      <c r="R122" s="518"/>
      <c r="S122" s="518"/>
      <c r="T122" s="518"/>
      <c r="U122" s="518"/>
      <c r="V122" s="518"/>
      <c r="W122" s="518"/>
      <c r="X122" s="518"/>
      <c r="Y122" s="518"/>
      <c r="Z122" s="518"/>
      <c r="AA122" s="518"/>
      <c r="AB122" s="518"/>
      <c r="AC122" s="518"/>
      <c r="AD122" s="518"/>
      <c r="AE122" s="518"/>
      <c r="AF122" s="518"/>
      <c r="AG122" s="518"/>
      <c r="AH122" s="518"/>
      <c r="AI122" s="518"/>
      <c r="AJ122" s="518"/>
      <c r="AK122" s="518"/>
      <c r="AL122" s="518"/>
      <c r="AM122" s="518"/>
      <c r="AN122" s="518"/>
      <c r="AO122" s="518"/>
      <c r="AP122" s="518"/>
      <c r="AQ122" s="518"/>
      <c r="AR122" s="518"/>
      <c r="AS122" s="518"/>
      <c r="AT122" s="518"/>
      <c r="AU122" s="518"/>
      <c r="AV122" s="518"/>
      <c r="AW122" s="518"/>
      <c r="AX122" s="518"/>
      <c r="AY122" s="518"/>
      <c r="AZ122" s="518"/>
      <c r="BA122" s="518"/>
      <c r="BB122" s="518"/>
      <c r="BC122" s="518"/>
      <c r="BD122" s="518"/>
      <c r="BE122" s="518"/>
    </row>
    <row r="123" spans="1:57" ht="12.75" customHeight="1">
      <c r="A123" s="518"/>
      <c r="B123" s="518"/>
      <c r="C123" s="518"/>
      <c r="D123" s="518"/>
      <c r="E123" s="518"/>
      <c r="F123" s="518"/>
      <c r="G123" s="518"/>
      <c r="H123" s="518"/>
      <c r="I123" s="518"/>
      <c r="J123" s="518"/>
      <c r="K123" s="518"/>
      <c r="L123" s="518"/>
      <c r="M123" s="518"/>
      <c r="N123" s="518"/>
      <c r="O123" s="518"/>
      <c r="P123" s="518"/>
      <c r="Q123" s="518"/>
      <c r="R123" s="518"/>
      <c r="S123" s="518"/>
      <c r="T123" s="518"/>
      <c r="U123" s="518"/>
      <c r="V123" s="518"/>
      <c r="W123" s="518"/>
      <c r="X123" s="518"/>
      <c r="Y123" s="518"/>
      <c r="Z123" s="518"/>
      <c r="AA123" s="518"/>
      <c r="AB123" s="518"/>
      <c r="AC123" s="518"/>
      <c r="AD123" s="518"/>
      <c r="AE123" s="518"/>
      <c r="AF123" s="518"/>
      <c r="AG123" s="518"/>
      <c r="AH123" s="518"/>
      <c r="AI123" s="518"/>
      <c r="AJ123" s="518"/>
      <c r="AK123" s="518"/>
      <c r="AL123" s="518"/>
      <c r="AM123" s="518"/>
      <c r="AN123" s="518"/>
      <c r="AO123" s="518"/>
      <c r="AP123" s="518"/>
      <c r="AQ123" s="518"/>
      <c r="AR123" s="518"/>
      <c r="AS123" s="518"/>
      <c r="AT123" s="518"/>
      <c r="AU123" s="518"/>
      <c r="AV123" s="518"/>
      <c r="AW123" s="518"/>
      <c r="AX123" s="518"/>
      <c r="AY123" s="518"/>
      <c r="AZ123" s="518"/>
      <c r="BA123" s="518"/>
      <c r="BB123" s="518"/>
      <c r="BC123" s="518"/>
      <c r="BD123" s="518"/>
      <c r="BE123" s="518"/>
    </row>
    <row r="124" spans="1:57" ht="12.75" customHeight="1">
      <c r="A124" s="518"/>
      <c r="B124" s="518"/>
      <c r="C124" s="518"/>
      <c r="D124" s="518"/>
      <c r="E124" s="518"/>
      <c r="F124" s="518"/>
      <c r="G124" s="518"/>
      <c r="H124" s="518"/>
      <c r="I124" s="518"/>
      <c r="J124" s="518"/>
      <c r="K124" s="518"/>
      <c r="L124" s="518"/>
      <c r="M124" s="518"/>
      <c r="N124" s="518"/>
      <c r="O124" s="518"/>
      <c r="P124" s="518"/>
      <c r="Q124" s="518"/>
      <c r="R124" s="518"/>
      <c r="S124" s="518"/>
      <c r="T124" s="518"/>
      <c r="U124" s="518"/>
      <c r="V124" s="518"/>
      <c r="W124" s="518"/>
      <c r="X124" s="518"/>
      <c r="Y124" s="518"/>
      <c r="Z124" s="518"/>
      <c r="AA124" s="518"/>
      <c r="AB124" s="518"/>
      <c r="AC124" s="518"/>
      <c r="AD124" s="518"/>
      <c r="AE124" s="518"/>
      <c r="AF124" s="518"/>
      <c r="AG124" s="518"/>
      <c r="AH124" s="518"/>
      <c r="AI124" s="518"/>
      <c r="AJ124" s="518"/>
      <c r="AK124" s="518"/>
      <c r="AL124" s="518"/>
      <c r="AM124" s="518"/>
      <c r="AN124" s="518"/>
      <c r="AO124" s="518"/>
      <c r="AP124" s="518"/>
      <c r="AQ124" s="518"/>
      <c r="AR124" s="518"/>
      <c r="AS124" s="518"/>
      <c r="AT124" s="518"/>
      <c r="AU124" s="518"/>
      <c r="AV124" s="518"/>
      <c r="AW124" s="518"/>
      <c r="AX124" s="518"/>
      <c r="AY124" s="518"/>
      <c r="AZ124" s="518"/>
      <c r="BA124" s="518"/>
      <c r="BB124" s="518"/>
      <c r="BC124" s="518"/>
      <c r="BD124" s="518"/>
      <c r="BE124" s="518"/>
    </row>
    <row r="125" spans="1:57" ht="12.75" customHeight="1">
      <c r="A125" s="518"/>
      <c r="B125" s="518"/>
      <c r="C125" s="518"/>
      <c r="D125" s="518"/>
      <c r="E125" s="518"/>
      <c r="F125" s="518"/>
      <c r="G125" s="518"/>
      <c r="H125" s="518"/>
      <c r="I125" s="518"/>
      <c r="J125" s="518"/>
      <c r="K125" s="518"/>
      <c r="L125" s="518"/>
      <c r="M125" s="518"/>
      <c r="N125" s="518"/>
      <c r="O125" s="518"/>
      <c r="P125" s="518"/>
      <c r="Q125" s="518"/>
      <c r="R125" s="518"/>
      <c r="S125" s="518"/>
      <c r="T125" s="518"/>
      <c r="U125" s="518"/>
      <c r="V125" s="518"/>
      <c r="W125" s="518"/>
      <c r="X125" s="518"/>
      <c r="Y125" s="518"/>
      <c r="Z125" s="518"/>
      <c r="AA125" s="518"/>
      <c r="AB125" s="518"/>
      <c r="AC125" s="518"/>
      <c r="AD125" s="518"/>
      <c r="AE125" s="518"/>
      <c r="AF125" s="518"/>
      <c r="AG125" s="518"/>
      <c r="AH125" s="518"/>
      <c r="AI125" s="518"/>
      <c r="AJ125" s="518"/>
      <c r="AK125" s="518"/>
      <c r="AL125" s="518"/>
      <c r="AM125" s="518"/>
      <c r="AN125" s="518"/>
      <c r="AO125" s="518"/>
      <c r="AP125" s="518"/>
      <c r="AQ125" s="518"/>
      <c r="AR125" s="518"/>
      <c r="AS125" s="518"/>
      <c r="AT125" s="518"/>
      <c r="AU125" s="518"/>
      <c r="AV125" s="518"/>
      <c r="AW125" s="518"/>
      <c r="AX125" s="518"/>
      <c r="AY125" s="518"/>
      <c r="AZ125" s="518"/>
      <c r="BA125" s="518"/>
      <c r="BB125" s="518"/>
      <c r="BC125" s="518"/>
      <c r="BD125" s="518"/>
      <c r="BE125" s="518"/>
    </row>
    <row r="126" spans="1:57" ht="12.75" customHeight="1">
      <c r="A126" s="518"/>
      <c r="B126" s="518"/>
      <c r="C126" s="518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</row>
    <row r="127" spans="1:57" ht="12.75" customHeight="1">
      <c r="A127" s="518"/>
      <c r="B127" s="518"/>
      <c r="C127" s="518"/>
      <c r="D127" s="518"/>
      <c r="E127" s="518"/>
      <c r="F127" s="518"/>
      <c r="G127" s="518"/>
      <c r="H127" s="518"/>
      <c r="I127" s="518"/>
      <c r="J127" s="518"/>
      <c r="K127" s="518"/>
      <c r="L127" s="518"/>
      <c r="M127" s="518"/>
      <c r="N127" s="518"/>
      <c r="O127" s="518"/>
      <c r="P127" s="518"/>
      <c r="Q127" s="518"/>
      <c r="R127" s="518"/>
      <c r="S127" s="518"/>
      <c r="T127" s="518"/>
      <c r="U127" s="518"/>
      <c r="V127" s="518"/>
      <c r="W127" s="518"/>
      <c r="X127" s="518"/>
      <c r="Y127" s="518"/>
      <c r="Z127" s="518"/>
      <c r="AA127" s="518"/>
      <c r="AB127" s="518"/>
      <c r="AC127" s="518"/>
      <c r="AD127" s="518"/>
      <c r="AE127" s="518"/>
      <c r="AF127" s="518"/>
      <c r="AG127" s="518"/>
      <c r="AH127" s="518"/>
      <c r="AI127" s="518"/>
      <c r="AJ127" s="518"/>
      <c r="AK127" s="518"/>
      <c r="AL127" s="518"/>
      <c r="AM127" s="518"/>
      <c r="AN127" s="518"/>
      <c r="AO127" s="518"/>
      <c r="AP127" s="518"/>
      <c r="AQ127" s="518"/>
      <c r="AR127" s="518"/>
      <c r="AS127" s="518"/>
      <c r="AT127" s="518"/>
      <c r="AU127" s="518"/>
      <c r="AV127" s="518"/>
      <c r="AW127" s="518"/>
      <c r="AX127" s="518"/>
      <c r="AY127" s="518"/>
      <c r="AZ127" s="518"/>
      <c r="BA127" s="518"/>
      <c r="BB127" s="518"/>
      <c r="BC127" s="518"/>
      <c r="BD127" s="518"/>
      <c r="BE127" s="518"/>
    </row>
    <row r="128" spans="1:57" ht="12.75" customHeight="1">
      <c r="A128" s="518"/>
      <c r="B128" s="518"/>
      <c r="C128" s="518"/>
      <c r="D128" s="518"/>
      <c r="E128" s="518"/>
      <c r="F128" s="518"/>
      <c r="G128" s="518"/>
      <c r="H128" s="518"/>
      <c r="I128" s="518"/>
      <c r="J128" s="518"/>
      <c r="K128" s="518"/>
      <c r="L128" s="518"/>
      <c r="M128" s="518"/>
      <c r="N128" s="518"/>
      <c r="O128" s="518"/>
      <c r="P128" s="518"/>
      <c r="Q128" s="518"/>
      <c r="R128" s="518"/>
      <c r="S128" s="518"/>
      <c r="T128" s="518"/>
      <c r="U128" s="518"/>
      <c r="V128" s="518"/>
      <c r="W128" s="518"/>
      <c r="X128" s="518"/>
      <c r="Y128" s="518"/>
      <c r="Z128" s="518"/>
      <c r="AA128" s="518"/>
      <c r="AB128" s="518"/>
      <c r="AC128" s="518"/>
      <c r="AD128" s="518"/>
      <c r="AE128" s="518"/>
      <c r="AF128" s="518"/>
      <c r="AG128" s="518"/>
      <c r="AH128" s="518"/>
      <c r="AI128" s="518"/>
      <c r="AJ128" s="518"/>
      <c r="AK128" s="518"/>
      <c r="AL128" s="518"/>
      <c r="AM128" s="518"/>
      <c r="AN128" s="518"/>
      <c r="AO128" s="518"/>
      <c r="AP128" s="518"/>
      <c r="AQ128" s="518"/>
      <c r="AR128" s="518"/>
      <c r="AS128" s="518"/>
      <c r="AT128" s="518"/>
      <c r="AU128" s="518"/>
      <c r="AV128" s="518"/>
      <c r="AW128" s="518"/>
      <c r="AX128" s="518"/>
      <c r="AY128" s="518"/>
      <c r="AZ128" s="518"/>
      <c r="BA128" s="518"/>
      <c r="BB128" s="518"/>
      <c r="BC128" s="518"/>
      <c r="BD128" s="518"/>
      <c r="BE128" s="518"/>
    </row>
    <row r="129" spans="1:57" ht="12.75" customHeight="1">
      <c r="A129" s="518"/>
      <c r="B129" s="518"/>
      <c r="C129" s="518"/>
      <c r="D129" s="518"/>
      <c r="E129" s="518"/>
      <c r="F129" s="518"/>
      <c r="G129" s="518"/>
      <c r="H129" s="518"/>
      <c r="I129" s="518"/>
      <c r="J129" s="518"/>
      <c r="K129" s="518"/>
      <c r="L129" s="518"/>
      <c r="M129" s="518"/>
      <c r="N129" s="518"/>
      <c r="O129" s="518"/>
      <c r="P129" s="518"/>
      <c r="Q129" s="518"/>
      <c r="R129" s="518"/>
      <c r="S129" s="518"/>
      <c r="T129" s="518"/>
      <c r="U129" s="518"/>
      <c r="V129" s="518"/>
      <c r="W129" s="518"/>
      <c r="X129" s="518"/>
      <c r="Y129" s="518"/>
      <c r="Z129" s="518"/>
      <c r="AA129" s="518"/>
      <c r="AB129" s="518"/>
      <c r="AC129" s="518"/>
      <c r="AD129" s="518"/>
      <c r="AE129" s="518"/>
      <c r="AF129" s="518"/>
      <c r="AG129" s="518"/>
      <c r="AH129" s="518"/>
      <c r="AI129" s="518"/>
      <c r="AJ129" s="518"/>
      <c r="AK129" s="518"/>
      <c r="AL129" s="518"/>
      <c r="AM129" s="518"/>
      <c r="AN129" s="518"/>
      <c r="AO129" s="518"/>
      <c r="AP129" s="518"/>
      <c r="AQ129" s="518"/>
      <c r="AR129" s="518"/>
      <c r="AS129" s="518"/>
      <c r="AT129" s="518"/>
      <c r="AU129" s="518"/>
      <c r="AV129" s="518"/>
      <c r="AW129" s="518"/>
      <c r="AX129" s="518"/>
      <c r="AY129" s="518"/>
      <c r="AZ129" s="518"/>
      <c r="BA129" s="518"/>
      <c r="BB129" s="518"/>
      <c r="BC129" s="518"/>
      <c r="BD129" s="518"/>
      <c r="BE129" s="518"/>
    </row>
    <row r="130" spans="1:57" ht="12.75" customHeight="1">
      <c r="A130" s="518"/>
      <c r="B130" s="518"/>
      <c r="C130" s="518"/>
      <c r="D130" s="518"/>
      <c r="E130" s="518"/>
      <c r="F130" s="518"/>
      <c r="G130" s="518"/>
      <c r="H130" s="518"/>
      <c r="I130" s="518"/>
      <c r="J130" s="518"/>
      <c r="K130" s="518"/>
      <c r="L130" s="518"/>
      <c r="M130" s="518"/>
      <c r="N130" s="518"/>
      <c r="O130" s="518"/>
      <c r="P130" s="518"/>
      <c r="Q130" s="518"/>
      <c r="R130" s="518"/>
      <c r="S130" s="518"/>
      <c r="T130" s="518"/>
      <c r="U130" s="518"/>
      <c r="V130" s="518"/>
      <c r="W130" s="518"/>
      <c r="X130" s="518"/>
      <c r="Y130" s="518"/>
      <c r="Z130" s="518"/>
      <c r="AA130" s="518"/>
      <c r="AB130" s="518"/>
      <c r="AC130" s="518"/>
      <c r="AD130" s="518"/>
      <c r="AE130" s="518"/>
      <c r="AF130" s="518"/>
      <c r="AG130" s="518"/>
      <c r="AH130" s="518"/>
      <c r="AI130" s="518"/>
      <c r="AJ130" s="518"/>
      <c r="AK130" s="518"/>
      <c r="AL130" s="518"/>
      <c r="AM130" s="518"/>
      <c r="AN130" s="518"/>
      <c r="AO130" s="518"/>
      <c r="AP130" s="518"/>
      <c r="AQ130" s="518"/>
      <c r="AR130" s="518"/>
      <c r="AS130" s="518"/>
      <c r="AT130" s="518"/>
      <c r="AU130" s="518"/>
      <c r="AV130" s="518"/>
      <c r="AW130" s="518"/>
      <c r="AX130" s="518"/>
      <c r="AY130" s="518"/>
      <c r="AZ130" s="518"/>
      <c r="BA130" s="518"/>
      <c r="BB130" s="518"/>
      <c r="BC130" s="518"/>
      <c r="BD130" s="518"/>
      <c r="BE130" s="518"/>
    </row>
    <row r="131" spans="1:57" ht="12.75" customHeight="1">
      <c r="A131" s="518"/>
      <c r="B131" s="518"/>
      <c r="C131" s="518"/>
      <c r="D131" s="518"/>
      <c r="E131" s="518"/>
      <c r="F131" s="518"/>
      <c r="G131" s="518"/>
      <c r="H131" s="518"/>
      <c r="I131" s="518"/>
      <c r="J131" s="518"/>
      <c r="K131" s="518"/>
      <c r="L131" s="518"/>
      <c r="M131" s="518"/>
      <c r="N131" s="518"/>
      <c r="O131" s="518"/>
      <c r="P131" s="518"/>
      <c r="Q131" s="518"/>
      <c r="R131" s="518"/>
      <c r="S131" s="518"/>
      <c r="T131" s="518"/>
      <c r="U131" s="518"/>
      <c r="V131" s="518"/>
      <c r="W131" s="518"/>
      <c r="X131" s="518"/>
      <c r="Y131" s="518"/>
      <c r="Z131" s="518"/>
      <c r="AA131" s="518"/>
      <c r="AB131" s="518"/>
      <c r="AC131" s="518"/>
      <c r="AD131" s="518"/>
      <c r="AE131" s="518"/>
      <c r="AF131" s="518"/>
      <c r="AG131" s="518"/>
      <c r="AH131" s="518"/>
      <c r="AI131" s="518"/>
      <c r="AJ131" s="518"/>
      <c r="AK131" s="518"/>
      <c r="AL131" s="518"/>
      <c r="AM131" s="518"/>
      <c r="AN131" s="518"/>
      <c r="AO131" s="518"/>
      <c r="AP131" s="518"/>
      <c r="AQ131" s="518"/>
      <c r="AR131" s="518"/>
      <c r="AS131" s="518"/>
      <c r="AT131" s="518"/>
      <c r="AU131" s="518"/>
      <c r="AV131" s="518"/>
      <c r="AW131" s="518"/>
      <c r="AX131" s="518"/>
      <c r="AY131" s="518"/>
      <c r="AZ131" s="518"/>
      <c r="BA131" s="518"/>
      <c r="BB131" s="518"/>
      <c r="BC131" s="518"/>
      <c r="BD131" s="518"/>
      <c r="BE131" s="518"/>
    </row>
    <row r="132" spans="1:57" ht="12.75" customHeight="1">
      <c r="A132" s="518"/>
      <c r="B132" s="518"/>
      <c r="C132" s="518"/>
      <c r="D132" s="518"/>
      <c r="E132" s="518"/>
      <c r="F132" s="518"/>
      <c r="G132" s="518"/>
      <c r="H132" s="518"/>
      <c r="I132" s="518"/>
      <c r="J132" s="518"/>
      <c r="K132" s="518"/>
      <c r="L132" s="518"/>
      <c r="M132" s="518"/>
      <c r="N132" s="518"/>
      <c r="O132" s="518"/>
      <c r="P132" s="518"/>
      <c r="Q132" s="518"/>
      <c r="R132" s="518"/>
      <c r="S132" s="518"/>
      <c r="T132" s="518"/>
      <c r="U132" s="518"/>
      <c r="V132" s="518"/>
      <c r="W132" s="518"/>
      <c r="X132" s="518"/>
      <c r="Y132" s="518"/>
      <c r="Z132" s="518"/>
      <c r="AA132" s="518"/>
      <c r="AB132" s="518"/>
      <c r="AC132" s="518"/>
      <c r="AD132" s="518"/>
      <c r="AE132" s="518"/>
      <c r="AF132" s="518"/>
      <c r="AG132" s="518"/>
      <c r="AH132" s="518"/>
      <c r="AI132" s="518"/>
      <c r="AJ132" s="518"/>
      <c r="AK132" s="518"/>
      <c r="AL132" s="518"/>
      <c r="AM132" s="518"/>
      <c r="AN132" s="518"/>
      <c r="AO132" s="518"/>
      <c r="AP132" s="518"/>
      <c r="AQ132" s="518"/>
      <c r="AR132" s="518"/>
      <c r="AS132" s="518"/>
      <c r="AT132" s="518"/>
      <c r="AU132" s="518"/>
      <c r="AV132" s="518"/>
      <c r="AW132" s="518"/>
      <c r="AX132" s="518"/>
      <c r="AY132" s="518"/>
      <c r="AZ132" s="518"/>
      <c r="BA132" s="518"/>
      <c r="BB132" s="518"/>
      <c r="BC132" s="518"/>
      <c r="BD132" s="518"/>
      <c r="BE132" s="518"/>
    </row>
    <row r="133" spans="1:57" ht="12.75" customHeight="1">
      <c r="A133" s="518"/>
      <c r="B133" s="518"/>
      <c r="C133" s="518"/>
      <c r="D133" s="518"/>
      <c r="E133" s="518"/>
      <c r="F133" s="518"/>
      <c r="G133" s="518"/>
      <c r="H133" s="518"/>
      <c r="I133" s="518"/>
      <c r="J133" s="518"/>
      <c r="K133" s="518"/>
      <c r="L133" s="518"/>
      <c r="M133" s="518"/>
      <c r="N133" s="518"/>
      <c r="O133" s="518"/>
      <c r="P133" s="518"/>
      <c r="Q133" s="518"/>
      <c r="R133" s="518"/>
      <c r="S133" s="518"/>
      <c r="T133" s="518"/>
      <c r="U133" s="518"/>
      <c r="V133" s="518"/>
      <c r="W133" s="518"/>
      <c r="X133" s="518"/>
      <c r="Y133" s="518"/>
      <c r="Z133" s="518"/>
      <c r="AA133" s="518"/>
      <c r="AB133" s="518"/>
      <c r="AC133" s="518"/>
      <c r="AD133" s="518"/>
      <c r="AE133" s="518"/>
      <c r="AF133" s="518"/>
      <c r="AG133" s="518"/>
      <c r="AH133" s="518"/>
      <c r="AI133" s="518"/>
      <c r="AJ133" s="518"/>
      <c r="AK133" s="518"/>
      <c r="AL133" s="518"/>
      <c r="AM133" s="518"/>
      <c r="AN133" s="518"/>
      <c r="AO133" s="518"/>
      <c r="AP133" s="518"/>
      <c r="AQ133" s="518"/>
      <c r="AR133" s="518"/>
      <c r="AS133" s="518"/>
      <c r="AT133" s="518"/>
      <c r="AU133" s="518"/>
      <c r="AV133" s="518"/>
      <c r="AW133" s="518"/>
      <c r="AX133" s="518"/>
      <c r="AY133" s="518"/>
      <c r="AZ133" s="518"/>
      <c r="BA133" s="518"/>
      <c r="BB133" s="518"/>
      <c r="BC133" s="518"/>
      <c r="BD133" s="518"/>
      <c r="BE133" s="518"/>
    </row>
    <row r="134" spans="1:57" ht="12.75" customHeight="1">
      <c r="A134" s="518"/>
      <c r="B134" s="518"/>
      <c r="C134" s="518"/>
      <c r="D134" s="518"/>
      <c r="E134" s="518"/>
      <c r="F134" s="518"/>
      <c r="G134" s="518"/>
      <c r="H134" s="518"/>
      <c r="I134" s="518"/>
      <c r="J134" s="518"/>
      <c r="K134" s="518"/>
      <c r="L134" s="518"/>
      <c r="M134" s="518"/>
      <c r="N134" s="518"/>
      <c r="O134" s="518"/>
      <c r="P134" s="518"/>
      <c r="Q134" s="518"/>
      <c r="R134" s="518"/>
      <c r="S134" s="518"/>
      <c r="T134" s="518"/>
      <c r="U134" s="518"/>
      <c r="V134" s="518"/>
      <c r="W134" s="518"/>
      <c r="X134" s="518"/>
      <c r="Y134" s="518"/>
      <c r="Z134" s="518"/>
      <c r="AA134" s="518"/>
      <c r="AB134" s="518"/>
      <c r="AC134" s="518"/>
      <c r="AD134" s="518"/>
      <c r="AE134" s="518"/>
      <c r="AF134" s="518"/>
      <c r="AG134" s="518"/>
      <c r="AH134" s="518"/>
      <c r="AI134" s="518"/>
      <c r="AJ134" s="518"/>
      <c r="AK134" s="518"/>
      <c r="AL134" s="518"/>
      <c r="AM134" s="518"/>
      <c r="AN134" s="518"/>
      <c r="AO134" s="518"/>
      <c r="AP134" s="518"/>
      <c r="AQ134" s="518"/>
      <c r="AR134" s="518"/>
      <c r="AS134" s="518"/>
      <c r="AT134" s="518"/>
      <c r="AU134" s="518"/>
      <c r="AV134" s="518"/>
      <c r="AW134" s="518"/>
      <c r="AX134" s="518"/>
      <c r="AY134" s="518"/>
      <c r="AZ134" s="518"/>
      <c r="BA134" s="518"/>
      <c r="BB134" s="518"/>
      <c r="BC134" s="518"/>
      <c r="BD134" s="518"/>
      <c r="BE134" s="518"/>
    </row>
    <row r="135" spans="1:57" ht="12.75" customHeight="1">
      <c r="A135" s="518"/>
      <c r="B135" s="518"/>
      <c r="C135" s="518"/>
      <c r="D135" s="518"/>
      <c r="E135" s="518"/>
      <c r="F135" s="518"/>
      <c r="G135" s="518"/>
      <c r="H135" s="518"/>
      <c r="I135" s="518"/>
      <c r="J135" s="518"/>
      <c r="K135" s="518"/>
      <c r="L135" s="518"/>
      <c r="M135" s="518"/>
      <c r="N135" s="518"/>
      <c r="O135" s="518"/>
      <c r="P135" s="518"/>
      <c r="Q135" s="518"/>
      <c r="R135" s="518"/>
      <c r="S135" s="518"/>
      <c r="T135" s="518"/>
      <c r="U135" s="518"/>
      <c r="V135" s="518"/>
      <c r="W135" s="518"/>
      <c r="X135" s="518"/>
      <c r="Y135" s="518"/>
      <c r="Z135" s="518"/>
      <c r="AA135" s="518"/>
      <c r="AB135" s="518"/>
      <c r="AC135" s="518"/>
      <c r="AD135" s="518"/>
      <c r="AE135" s="518"/>
      <c r="AF135" s="518"/>
      <c r="AG135" s="518"/>
      <c r="AH135" s="518"/>
      <c r="AI135" s="518"/>
      <c r="AJ135" s="518"/>
      <c r="AK135" s="518"/>
      <c r="AL135" s="518"/>
      <c r="AM135" s="518"/>
      <c r="AN135" s="518"/>
      <c r="AO135" s="518"/>
      <c r="AP135" s="518"/>
      <c r="AQ135" s="518"/>
      <c r="AR135" s="518"/>
      <c r="AS135" s="518"/>
      <c r="AT135" s="518"/>
      <c r="AU135" s="518"/>
      <c r="AV135" s="518"/>
      <c r="AW135" s="518"/>
      <c r="AX135" s="518"/>
      <c r="AY135" s="518"/>
      <c r="AZ135" s="518"/>
      <c r="BA135" s="518"/>
      <c r="BB135" s="518"/>
      <c r="BC135" s="518"/>
      <c r="BD135" s="518"/>
      <c r="BE135" s="518"/>
    </row>
    <row r="136" spans="1:57" ht="12.75" customHeight="1">
      <c r="A136" s="518"/>
      <c r="B136" s="518"/>
      <c r="C136" s="518"/>
      <c r="D136" s="518"/>
      <c r="E136" s="518"/>
      <c r="F136" s="518"/>
      <c r="G136" s="518"/>
      <c r="H136" s="518"/>
      <c r="I136" s="518"/>
      <c r="J136" s="518"/>
      <c r="K136" s="518"/>
      <c r="L136" s="518"/>
      <c r="M136" s="518"/>
      <c r="N136" s="518"/>
      <c r="O136" s="518"/>
      <c r="P136" s="518"/>
      <c r="Q136" s="518"/>
      <c r="R136" s="518"/>
      <c r="S136" s="518"/>
      <c r="T136" s="518"/>
      <c r="U136" s="518"/>
      <c r="V136" s="518"/>
      <c r="W136" s="518"/>
      <c r="X136" s="518"/>
      <c r="Y136" s="518"/>
      <c r="Z136" s="518"/>
      <c r="AA136" s="518"/>
      <c r="AB136" s="518"/>
      <c r="AC136" s="518"/>
      <c r="AD136" s="518"/>
      <c r="AE136" s="518"/>
      <c r="AF136" s="518"/>
      <c r="AG136" s="518"/>
      <c r="AH136" s="518"/>
      <c r="AI136" s="518"/>
      <c r="AJ136" s="518"/>
      <c r="AK136" s="518"/>
      <c r="AL136" s="518"/>
      <c r="AM136" s="518"/>
      <c r="AN136" s="518"/>
      <c r="AO136" s="518"/>
      <c r="AP136" s="518"/>
      <c r="AQ136" s="518"/>
      <c r="AR136" s="518"/>
      <c r="AS136" s="518"/>
      <c r="AT136" s="518"/>
      <c r="AU136" s="518"/>
      <c r="AV136" s="518"/>
      <c r="AW136" s="518"/>
      <c r="AX136" s="518"/>
      <c r="AY136" s="518"/>
      <c r="AZ136" s="518"/>
      <c r="BA136" s="518"/>
      <c r="BB136" s="518"/>
      <c r="BC136" s="518"/>
      <c r="BD136" s="518"/>
      <c r="BE136" s="518"/>
    </row>
    <row r="137" spans="1:57" ht="12.75" customHeight="1">
      <c r="A137" s="518"/>
      <c r="B137" s="518"/>
      <c r="C137" s="518"/>
      <c r="D137" s="518"/>
      <c r="E137" s="518"/>
      <c r="F137" s="518"/>
      <c r="G137" s="518"/>
      <c r="H137" s="518"/>
      <c r="I137" s="518"/>
      <c r="J137" s="518"/>
      <c r="K137" s="518"/>
      <c r="L137" s="518"/>
      <c r="M137" s="518"/>
      <c r="N137" s="518"/>
      <c r="O137" s="518"/>
      <c r="P137" s="518"/>
      <c r="Q137" s="518"/>
      <c r="R137" s="518"/>
      <c r="S137" s="518"/>
      <c r="T137" s="518"/>
      <c r="U137" s="518"/>
      <c r="V137" s="518"/>
      <c r="W137" s="518"/>
      <c r="X137" s="518"/>
      <c r="Y137" s="518"/>
      <c r="Z137" s="518"/>
      <c r="AA137" s="518"/>
      <c r="AB137" s="518"/>
      <c r="AC137" s="518"/>
      <c r="AD137" s="518"/>
      <c r="AE137" s="518"/>
      <c r="AF137" s="518"/>
      <c r="AG137" s="518"/>
      <c r="AH137" s="518"/>
      <c r="AI137" s="518"/>
      <c r="AJ137" s="518"/>
      <c r="AK137" s="518"/>
      <c r="AL137" s="518"/>
      <c r="AM137" s="518"/>
      <c r="AN137" s="518"/>
      <c r="AO137" s="518"/>
      <c r="AP137" s="518"/>
      <c r="AQ137" s="518"/>
      <c r="AR137" s="518"/>
      <c r="AS137" s="518"/>
      <c r="AT137" s="518"/>
      <c r="AU137" s="518"/>
      <c r="AV137" s="518"/>
      <c r="AW137" s="518"/>
      <c r="AX137" s="518"/>
      <c r="AY137" s="518"/>
      <c r="AZ137" s="518"/>
      <c r="BA137" s="518"/>
      <c r="BB137" s="518"/>
      <c r="BC137" s="518"/>
      <c r="BD137" s="518"/>
      <c r="BE137" s="518"/>
    </row>
    <row r="138" spans="1:57" ht="12.75" customHeight="1">
      <c r="A138" s="518"/>
      <c r="B138" s="518"/>
      <c r="C138" s="518"/>
      <c r="D138" s="518"/>
      <c r="E138" s="518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Q138" s="518"/>
      <c r="R138" s="518"/>
      <c r="S138" s="518"/>
      <c r="T138" s="518"/>
      <c r="U138" s="518"/>
      <c r="V138" s="518"/>
      <c r="W138" s="518"/>
      <c r="X138" s="518"/>
      <c r="Y138" s="518"/>
      <c r="Z138" s="518"/>
      <c r="AA138" s="518"/>
      <c r="AB138" s="518"/>
      <c r="AC138" s="518"/>
      <c r="AD138" s="518"/>
      <c r="AE138" s="518"/>
      <c r="AF138" s="518"/>
      <c r="AG138" s="518"/>
      <c r="AH138" s="518"/>
      <c r="AI138" s="518"/>
      <c r="AJ138" s="518"/>
      <c r="AK138" s="518"/>
      <c r="AL138" s="518"/>
      <c r="AM138" s="518"/>
      <c r="AN138" s="518"/>
      <c r="AO138" s="518"/>
      <c r="AP138" s="518"/>
      <c r="AQ138" s="518"/>
      <c r="AR138" s="518"/>
      <c r="AS138" s="518"/>
      <c r="AT138" s="518"/>
      <c r="AU138" s="518"/>
      <c r="AV138" s="518"/>
      <c r="AW138" s="518"/>
      <c r="AX138" s="518"/>
      <c r="AY138" s="518"/>
      <c r="AZ138" s="518"/>
      <c r="BA138" s="518"/>
      <c r="BB138" s="518"/>
      <c r="BC138" s="518"/>
      <c r="BD138" s="518"/>
      <c r="BE138" s="518"/>
    </row>
    <row r="139" spans="1:57" ht="12.75" customHeight="1">
      <c r="A139" s="518"/>
      <c r="B139" s="518"/>
      <c r="C139" s="518"/>
      <c r="D139" s="518"/>
      <c r="E139" s="518"/>
      <c r="F139" s="518"/>
      <c r="G139" s="518"/>
      <c r="H139" s="518"/>
      <c r="I139" s="518"/>
      <c r="J139" s="518"/>
      <c r="K139" s="518"/>
      <c r="L139" s="518"/>
      <c r="M139" s="518"/>
      <c r="N139" s="518"/>
      <c r="O139" s="518"/>
      <c r="P139" s="518"/>
      <c r="Q139" s="518"/>
      <c r="R139" s="518"/>
      <c r="S139" s="518"/>
      <c r="T139" s="518"/>
      <c r="U139" s="518"/>
      <c r="V139" s="518"/>
      <c r="W139" s="518"/>
      <c r="X139" s="518"/>
      <c r="Y139" s="518"/>
      <c r="Z139" s="518"/>
      <c r="AA139" s="518"/>
      <c r="AB139" s="518"/>
      <c r="AC139" s="518"/>
      <c r="AD139" s="518"/>
      <c r="AE139" s="518"/>
      <c r="AF139" s="518"/>
      <c r="AG139" s="518"/>
      <c r="AH139" s="518"/>
      <c r="AI139" s="518"/>
      <c r="AJ139" s="518"/>
      <c r="AK139" s="518"/>
      <c r="AL139" s="518"/>
      <c r="AM139" s="518"/>
      <c r="AN139" s="518"/>
      <c r="AO139" s="518"/>
      <c r="AP139" s="518"/>
      <c r="AQ139" s="518"/>
      <c r="AR139" s="518"/>
      <c r="AS139" s="518"/>
      <c r="AT139" s="518"/>
      <c r="AU139" s="518"/>
      <c r="AV139" s="518"/>
      <c r="AW139" s="518"/>
      <c r="AX139" s="518"/>
      <c r="AY139" s="518"/>
      <c r="AZ139" s="518"/>
      <c r="BA139" s="518"/>
      <c r="BB139" s="518"/>
      <c r="BC139" s="518"/>
      <c r="BD139" s="518"/>
      <c r="BE139" s="518"/>
    </row>
    <row r="140" spans="1:57" ht="12.75" customHeight="1">
      <c r="A140" s="518"/>
      <c r="B140" s="518"/>
      <c r="C140" s="518"/>
      <c r="D140" s="518"/>
      <c r="E140" s="518"/>
      <c r="F140" s="518"/>
      <c r="G140" s="518"/>
      <c r="H140" s="518"/>
      <c r="I140" s="518"/>
      <c r="J140" s="518"/>
      <c r="K140" s="518"/>
      <c r="L140" s="518"/>
      <c r="M140" s="518"/>
      <c r="N140" s="518"/>
      <c r="O140" s="518"/>
      <c r="P140" s="518"/>
      <c r="Q140" s="518"/>
      <c r="R140" s="518"/>
      <c r="S140" s="518"/>
      <c r="T140" s="518"/>
      <c r="U140" s="518"/>
      <c r="V140" s="518"/>
      <c r="W140" s="518"/>
      <c r="X140" s="518"/>
      <c r="Y140" s="518"/>
      <c r="Z140" s="518"/>
      <c r="AA140" s="518"/>
      <c r="AB140" s="518"/>
      <c r="AC140" s="518"/>
      <c r="AD140" s="518"/>
      <c r="AE140" s="518"/>
      <c r="AF140" s="518"/>
      <c r="AG140" s="518"/>
      <c r="AH140" s="518"/>
      <c r="AI140" s="518"/>
      <c r="AJ140" s="518"/>
      <c r="AK140" s="518"/>
      <c r="AL140" s="518"/>
      <c r="AM140" s="518"/>
      <c r="AN140" s="518"/>
      <c r="AO140" s="518"/>
      <c r="AP140" s="518"/>
      <c r="AQ140" s="518"/>
      <c r="AR140" s="518"/>
      <c r="AS140" s="518"/>
      <c r="AT140" s="518"/>
      <c r="AU140" s="518"/>
      <c r="AV140" s="518"/>
      <c r="AW140" s="518"/>
      <c r="AX140" s="518"/>
      <c r="AY140" s="518"/>
      <c r="AZ140" s="518"/>
      <c r="BA140" s="518"/>
      <c r="BB140" s="518"/>
      <c r="BC140" s="518"/>
      <c r="BD140" s="518"/>
      <c r="BE140" s="518"/>
    </row>
    <row r="141" spans="1:57" ht="12.75" customHeight="1">
      <c r="A141" s="518"/>
      <c r="B141" s="518"/>
      <c r="C141" s="518"/>
      <c r="D141" s="518"/>
      <c r="E141" s="518"/>
      <c r="F141" s="518"/>
      <c r="G141" s="518"/>
      <c r="H141" s="518"/>
      <c r="I141" s="518"/>
      <c r="J141" s="518"/>
      <c r="K141" s="518"/>
      <c r="L141" s="518"/>
      <c r="M141" s="518"/>
      <c r="N141" s="518"/>
      <c r="O141" s="518"/>
      <c r="P141" s="518"/>
      <c r="Q141" s="518"/>
      <c r="R141" s="518"/>
      <c r="S141" s="518"/>
      <c r="T141" s="518"/>
      <c r="U141" s="518"/>
      <c r="V141" s="518"/>
      <c r="W141" s="518"/>
      <c r="X141" s="518"/>
      <c r="Y141" s="518"/>
      <c r="Z141" s="518"/>
      <c r="AA141" s="518"/>
      <c r="AB141" s="518"/>
      <c r="AC141" s="518"/>
      <c r="AD141" s="518"/>
      <c r="AE141" s="518"/>
      <c r="AF141" s="518"/>
      <c r="AG141" s="518"/>
      <c r="AH141" s="518"/>
      <c r="AI141" s="518"/>
      <c r="AJ141" s="518"/>
      <c r="AK141" s="518"/>
      <c r="AL141" s="518"/>
      <c r="AM141" s="518"/>
      <c r="AN141" s="518"/>
      <c r="AO141" s="518"/>
      <c r="AP141" s="518"/>
      <c r="AQ141" s="518"/>
      <c r="AR141" s="518"/>
      <c r="AS141" s="518"/>
      <c r="AT141" s="518"/>
      <c r="AU141" s="518"/>
      <c r="AV141" s="518"/>
      <c r="AW141" s="518"/>
      <c r="AX141" s="518"/>
      <c r="AY141" s="518"/>
      <c r="AZ141" s="518"/>
      <c r="BA141" s="518"/>
      <c r="BB141" s="518"/>
      <c r="BC141" s="518"/>
      <c r="BD141" s="518"/>
      <c r="BE141" s="518"/>
    </row>
    <row r="142" spans="1:57" ht="12.75" customHeight="1">
      <c r="A142" s="518"/>
      <c r="B142" s="518"/>
      <c r="C142" s="518"/>
      <c r="D142" s="518"/>
      <c r="E142" s="518"/>
      <c r="F142" s="518"/>
      <c r="G142" s="518"/>
      <c r="H142" s="518"/>
      <c r="I142" s="518"/>
      <c r="J142" s="518"/>
      <c r="K142" s="518"/>
      <c r="L142" s="518"/>
      <c r="M142" s="518"/>
      <c r="N142" s="518"/>
      <c r="O142" s="518"/>
      <c r="P142" s="518"/>
      <c r="Q142" s="518"/>
      <c r="R142" s="518"/>
      <c r="S142" s="518"/>
      <c r="T142" s="518"/>
      <c r="U142" s="518"/>
      <c r="V142" s="518"/>
      <c r="W142" s="518"/>
      <c r="X142" s="518"/>
      <c r="Y142" s="518"/>
      <c r="Z142" s="518"/>
      <c r="AA142" s="518"/>
      <c r="AB142" s="518"/>
      <c r="AC142" s="518"/>
      <c r="AD142" s="518"/>
      <c r="AE142" s="518"/>
      <c r="AF142" s="518"/>
      <c r="AG142" s="518"/>
      <c r="AH142" s="518"/>
      <c r="AI142" s="518"/>
      <c r="AJ142" s="518"/>
      <c r="AK142" s="518"/>
      <c r="AL142" s="518"/>
      <c r="AM142" s="518"/>
      <c r="AN142" s="518"/>
      <c r="AO142" s="518"/>
      <c r="AP142" s="518"/>
      <c r="AQ142" s="518"/>
      <c r="AR142" s="518"/>
      <c r="AS142" s="518"/>
      <c r="AT142" s="518"/>
      <c r="AU142" s="518"/>
      <c r="AV142" s="518"/>
      <c r="AW142" s="518"/>
      <c r="AX142" s="518"/>
      <c r="AY142" s="518"/>
      <c r="AZ142" s="518"/>
      <c r="BA142" s="518"/>
      <c r="BB142" s="518"/>
      <c r="BC142" s="518"/>
      <c r="BD142" s="518"/>
      <c r="BE142" s="518"/>
    </row>
    <row r="143" spans="1:57" ht="12.75" customHeight="1">
      <c r="A143" s="518"/>
      <c r="B143" s="518"/>
      <c r="C143" s="518"/>
      <c r="D143" s="518"/>
      <c r="E143" s="518"/>
      <c r="F143" s="518"/>
      <c r="G143" s="518"/>
      <c r="H143" s="518"/>
      <c r="I143" s="518"/>
      <c r="J143" s="518"/>
      <c r="K143" s="518"/>
      <c r="L143" s="518"/>
      <c r="M143" s="518"/>
      <c r="N143" s="518"/>
      <c r="O143" s="518"/>
      <c r="P143" s="518"/>
      <c r="Q143" s="518"/>
      <c r="R143" s="518"/>
      <c r="S143" s="518"/>
      <c r="T143" s="518"/>
      <c r="U143" s="518"/>
      <c r="V143" s="518"/>
      <c r="W143" s="518"/>
      <c r="X143" s="518"/>
      <c r="Y143" s="518"/>
      <c r="Z143" s="518"/>
      <c r="AA143" s="518"/>
      <c r="AB143" s="518"/>
      <c r="AC143" s="518"/>
      <c r="AD143" s="518"/>
      <c r="AE143" s="518"/>
      <c r="AF143" s="518"/>
      <c r="AG143" s="518"/>
      <c r="AH143" s="518"/>
      <c r="AI143" s="518"/>
      <c r="AJ143" s="518"/>
      <c r="AK143" s="518"/>
      <c r="AL143" s="518"/>
      <c r="AM143" s="518"/>
      <c r="AN143" s="518"/>
      <c r="AO143" s="518"/>
      <c r="AP143" s="518"/>
      <c r="AQ143" s="518"/>
      <c r="AR143" s="518"/>
      <c r="AS143" s="518"/>
      <c r="AT143" s="518"/>
      <c r="AU143" s="518"/>
      <c r="AV143" s="518"/>
      <c r="AW143" s="518"/>
      <c r="AX143" s="518"/>
      <c r="AY143" s="518"/>
      <c r="AZ143" s="518"/>
      <c r="BA143" s="518"/>
      <c r="BB143" s="518"/>
      <c r="BC143" s="518"/>
      <c r="BD143" s="518"/>
      <c r="BE143" s="518"/>
    </row>
    <row r="144" spans="1:57" ht="12.75" customHeight="1">
      <c r="A144" s="518"/>
      <c r="B144" s="518"/>
      <c r="C144" s="518"/>
      <c r="D144" s="518"/>
      <c r="E144" s="518"/>
      <c r="F144" s="518"/>
      <c r="G144" s="518"/>
      <c r="H144" s="518"/>
      <c r="I144" s="518"/>
      <c r="J144" s="518"/>
      <c r="K144" s="518"/>
      <c r="L144" s="518"/>
      <c r="M144" s="518"/>
      <c r="N144" s="518"/>
      <c r="O144" s="518"/>
      <c r="P144" s="518"/>
      <c r="Q144" s="518"/>
      <c r="R144" s="518"/>
      <c r="S144" s="518"/>
      <c r="T144" s="518"/>
      <c r="U144" s="518"/>
      <c r="V144" s="518"/>
      <c r="W144" s="518"/>
      <c r="X144" s="518"/>
      <c r="Y144" s="518"/>
      <c r="Z144" s="518"/>
      <c r="AA144" s="518"/>
      <c r="AB144" s="518"/>
      <c r="AC144" s="518"/>
      <c r="AD144" s="518"/>
      <c r="AE144" s="518"/>
      <c r="AF144" s="518"/>
      <c r="AG144" s="518"/>
      <c r="AH144" s="518"/>
      <c r="AI144" s="518"/>
      <c r="AJ144" s="518"/>
      <c r="AK144" s="518"/>
      <c r="AL144" s="518"/>
      <c r="AM144" s="518"/>
      <c r="AN144" s="518"/>
      <c r="AO144" s="518"/>
      <c r="AP144" s="518"/>
      <c r="AQ144" s="518"/>
      <c r="AR144" s="518"/>
      <c r="AS144" s="518"/>
      <c r="AT144" s="518"/>
      <c r="AU144" s="518"/>
      <c r="AV144" s="518"/>
      <c r="AW144" s="518"/>
      <c r="AX144" s="518"/>
      <c r="AY144" s="518"/>
      <c r="AZ144" s="518"/>
      <c r="BA144" s="518"/>
      <c r="BB144" s="518"/>
      <c r="BC144" s="518"/>
      <c r="BD144" s="518"/>
      <c r="BE144" s="518"/>
    </row>
    <row r="145" spans="1:57" ht="12.75" customHeight="1">
      <c r="A145" s="518"/>
      <c r="B145" s="518"/>
      <c r="C145" s="518"/>
      <c r="D145" s="518"/>
      <c r="E145" s="518"/>
      <c r="F145" s="518"/>
      <c r="G145" s="518"/>
      <c r="H145" s="518"/>
      <c r="I145" s="518"/>
      <c r="J145" s="518"/>
      <c r="K145" s="518"/>
      <c r="L145" s="518"/>
      <c r="M145" s="518"/>
      <c r="N145" s="518"/>
      <c r="O145" s="518"/>
      <c r="P145" s="518"/>
      <c r="Q145" s="518"/>
      <c r="R145" s="518"/>
      <c r="S145" s="518"/>
      <c r="T145" s="518"/>
      <c r="U145" s="518"/>
      <c r="V145" s="518"/>
      <c r="W145" s="518"/>
      <c r="X145" s="518"/>
      <c r="Y145" s="518"/>
      <c r="Z145" s="518"/>
      <c r="AA145" s="518"/>
      <c r="AB145" s="518"/>
      <c r="AC145" s="518"/>
      <c r="AD145" s="518"/>
      <c r="AE145" s="518"/>
      <c r="AF145" s="518"/>
      <c r="AG145" s="518"/>
      <c r="AH145" s="518"/>
      <c r="AI145" s="518"/>
      <c r="AJ145" s="518"/>
      <c r="AK145" s="518"/>
      <c r="AL145" s="518"/>
      <c r="AM145" s="518"/>
      <c r="AN145" s="518"/>
      <c r="AO145" s="518"/>
      <c r="AP145" s="518"/>
      <c r="AQ145" s="518"/>
      <c r="AR145" s="518"/>
      <c r="AS145" s="518"/>
      <c r="AT145" s="518"/>
      <c r="AU145" s="518"/>
      <c r="AV145" s="518"/>
      <c r="AW145" s="518"/>
      <c r="AX145" s="518"/>
      <c r="AY145" s="518"/>
      <c r="AZ145" s="518"/>
      <c r="BA145" s="518"/>
      <c r="BB145" s="518"/>
      <c r="BC145" s="518"/>
      <c r="BD145" s="518"/>
      <c r="BE145" s="518"/>
    </row>
    <row r="146" spans="1:57" ht="12.75" customHeight="1">
      <c r="A146" s="518"/>
      <c r="B146" s="518"/>
      <c r="C146" s="518"/>
      <c r="D146" s="518"/>
      <c r="E146" s="518"/>
      <c r="F146" s="518"/>
      <c r="G146" s="518"/>
      <c r="H146" s="518"/>
      <c r="I146" s="518"/>
      <c r="J146" s="518"/>
      <c r="K146" s="518"/>
      <c r="L146" s="518"/>
      <c r="M146" s="518"/>
      <c r="N146" s="518"/>
      <c r="O146" s="518"/>
      <c r="P146" s="518"/>
      <c r="Q146" s="518"/>
      <c r="R146" s="518"/>
      <c r="S146" s="518"/>
      <c r="T146" s="518"/>
      <c r="U146" s="518"/>
      <c r="V146" s="518"/>
      <c r="W146" s="518"/>
      <c r="X146" s="518"/>
      <c r="Y146" s="518"/>
      <c r="Z146" s="518"/>
      <c r="AA146" s="518"/>
      <c r="AB146" s="518"/>
      <c r="AC146" s="518"/>
      <c r="AD146" s="518"/>
      <c r="AE146" s="518"/>
      <c r="AF146" s="518"/>
      <c r="AG146" s="518"/>
      <c r="AH146" s="518"/>
      <c r="AI146" s="518"/>
      <c r="AJ146" s="518"/>
      <c r="AK146" s="518"/>
      <c r="AL146" s="518"/>
      <c r="AM146" s="518"/>
      <c r="AN146" s="518"/>
      <c r="AO146" s="518"/>
      <c r="AP146" s="518"/>
      <c r="AQ146" s="518"/>
      <c r="AR146" s="518"/>
      <c r="AS146" s="518"/>
      <c r="AT146" s="518"/>
      <c r="AU146" s="518"/>
      <c r="AV146" s="518"/>
      <c r="AW146" s="518"/>
      <c r="AX146" s="518"/>
      <c r="AY146" s="518"/>
      <c r="AZ146" s="518"/>
      <c r="BA146" s="518"/>
      <c r="BB146" s="518"/>
      <c r="BC146" s="518"/>
      <c r="BD146" s="518"/>
      <c r="BE146" s="518"/>
    </row>
    <row r="147" spans="1:57" ht="12.75" customHeight="1">
      <c r="A147" s="518"/>
      <c r="B147" s="518"/>
      <c r="C147" s="518"/>
      <c r="D147" s="518"/>
      <c r="E147" s="518"/>
      <c r="F147" s="518"/>
      <c r="G147" s="518"/>
      <c r="H147" s="518"/>
      <c r="I147" s="518"/>
      <c r="J147" s="518"/>
      <c r="K147" s="518"/>
      <c r="L147" s="518"/>
      <c r="M147" s="518"/>
      <c r="N147" s="518"/>
      <c r="O147" s="518"/>
      <c r="P147" s="518"/>
      <c r="Q147" s="518"/>
      <c r="R147" s="518"/>
      <c r="S147" s="518"/>
      <c r="T147" s="518"/>
      <c r="U147" s="518"/>
      <c r="V147" s="518"/>
      <c r="W147" s="518"/>
      <c r="X147" s="518"/>
      <c r="Y147" s="518"/>
      <c r="Z147" s="518"/>
      <c r="AA147" s="518"/>
      <c r="AB147" s="518"/>
      <c r="AC147" s="518"/>
      <c r="AD147" s="518"/>
      <c r="AE147" s="518"/>
      <c r="AF147" s="518"/>
      <c r="AG147" s="518"/>
      <c r="AH147" s="518"/>
      <c r="AI147" s="518"/>
      <c r="AJ147" s="518"/>
      <c r="AK147" s="518"/>
      <c r="AL147" s="518"/>
      <c r="AM147" s="518"/>
      <c r="AN147" s="518"/>
      <c r="AO147" s="518"/>
      <c r="AP147" s="518"/>
      <c r="AQ147" s="518"/>
      <c r="AR147" s="518"/>
      <c r="AS147" s="518"/>
      <c r="AT147" s="518"/>
      <c r="AU147" s="518"/>
      <c r="AV147" s="518"/>
      <c r="AW147" s="518"/>
      <c r="AX147" s="518"/>
      <c r="AY147" s="518"/>
      <c r="AZ147" s="518"/>
      <c r="BA147" s="518"/>
      <c r="BB147" s="518"/>
      <c r="BC147" s="518"/>
      <c r="BD147" s="518"/>
      <c r="BE147" s="518"/>
    </row>
    <row r="148" spans="1:57" ht="12.75" customHeight="1">
      <c r="A148" s="518"/>
      <c r="B148" s="518"/>
      <c r="C148" s="518"/>
      <c r="D148" s="518"/>
      <c r="E148" s="518"/>
      <c r="F148" s="518"/>
      <c r="G148" s="518"/>
      <c r="H148" s="518"/>
      <c r="I148" s="518"/>
      <c r="J148" s="518"/>
      <c r="K148" s="518"/>
      <c r="L148" s="518"/>
      <c r="M148" s="518"/>
      <c r="N148" s="518"/>
      <c r="O148" s="518"/>
      <c r="P148" s="518"/>
      <c r="Q148" s="518"/>
      <c r="R148" s="518"/>
      <c r="S148" s="518"/>
      <c r="T148" s="518"/>
      <c r="U148" s="518"/>
      <c r="V148" s="518"/>
      <c r="W148" s="518"/>
      <c r="X148" s="518"/>
      <c r="Y148" s="518"/>
      <c r="Z148" s="518"/>
      <c r="AA148" s="518"/>
      <c r="AB148" s="518"/>
      <c r="AC148" s="518"/>
      <c r="AD148" s="518"/>
      <c r="AE148" s="518"/>
      <c r="AF148" s="518"/>
      <c r="AG148" s="518"/>
      <c r="AH148" s="518"/>
      <c r="AI148" s="518"/>
      <c r="AJ148" s="518"/>
      <c r="AK148" s="518"/>
      <c r="AL148" s="518"/>
      <c r="AM148" s="518"/>
      <c r="AN148" s="518"/>
      <c r="AO148" s="518"/>
      <c r="AP148" s="518"/>
      <c r="AQ148" s="518"/>
      <c r="AR148" s="518"/>
      <c r="AS148" s="518"/>
      <c r="AT148" s="518"/>
      <c r="AU148" s="518"/>
      <c r="AV148" s="518"/>
      <c r="AW148" s="518"/>
      <c r="AX148" s="518"/>
      <c r="AY148" s="518"/>
      <c r="AZ148" s="518"/>
      <c r="BA148" s="518"/>
      <c r="BB148" s="518"/>
      <c r="BC148" s="518"/>
      <c r="BD148" s="518"/>
      <c r="BE148" s="518"/>
    </row>
    <row r="149" spans="1:57" ht="12.75" customHeight="1">
      <c r="A149" s="518"/>
      <c r="B149" s="518"/>
      <c r="C149" s="518"/>
      <c r="D149" s="518"/>
      <c r="E149" s="518"/>
      <c r="F149" s="518"/>
      <c r="G149" s="518"/>
      <c r="H149" s="518"/>
      <c r="I149" s="518"/>
      <c r="J149" s="518"/>
      <c r="K149" s="518"/>
      <c r="L149" s="518"/>
      <c r="M149" s="518"/>
      <c r="N149" s="518"/>
      <c r="O149" s="518"/>
      <c r="P149" s="518"/>
      <c r="Q149" s="518"/>
      <c r="R149" s="518"/>
      <c r="S149" s="518"/>
      <c r="T149" s="518"/>
      <c r="U149" s="518"/>
      <c r="V149" s="518"/>
      <c r="W149" s="518"/>
      <c r="X149" s="518"/>
      <c r="Y149" s="518"/>
      <c r="Z149" s="518"/>
      <c r="AA149" s="518"/>
      <c r="AB149" s="518"/>
      <c r="AC149" s="518"/>
      <c r="AD149" s="518"/>
      <c r="AE149" s="518"/>
      <c r="AF149" s="518"/>
      <c r="AG149" s="518"/>
      <c r="AH149" s="518"/>
      <c r="AI149" s="518"/>
      <c r="AJ149" s="518"/>
      <c r="AK149" s="518"/>
      <c r="AL149" s="518"/>
      <c r="AM149" s="518"/>
      <c r="AN149" s="518"/>
      <c r="AO149" s="518"/>
      <c r="AP149" s="518"/>
      <c r="AQ149" s="518"/>
      <c r="AR149" s="518"/>
      <c r="AS149" s="518"/>
      <c r="AT149" s="518"/>
      <c r="AU149" s="518"/>
      <c r="AV149" s="518"/>
      <c r="AW149" s="518"/>
      <c r="AX149" s="518"/>
      <c r="AY149" s="518"/>
      <c r="AZ149" s="518"/>
      <c r="BA149" s="518"/>
      <c r="BB149" s="518"/>
      <c r="BC149" s="518"/>
      <c r="BD149" s="518"/>
      <c r="BE149" s="518"/>
    </row>
    <row r="150" spans="1:57" ht="12.75" customHeight="1">
      <c r="A150" s="518"/>
      <c r="B150" s="518"/>
      <c r="C150" s="518"/>
      <c r="D150" s="518"/>
      <c r="E150" s="518"/>
      <c r="F150" s="518"/>
      <c r="G150" s="518"/>
      <c r="H150" s="518"/>
      <c r="I150" s="518"/>
      <c r="J150" s="518"/>
      <c r="K150" s="518"/>
      <c r="L150" s="518"/>
      <c r="M150" s="518"/>
      <c r="N150" s="518"/>
      <c r="O150" s="518"/>
      <c r="P150" s="518"/>
      <c r="Q150" s="518"/>
      <c r="R150" s="518"/>
      <c r="S150" s="518"/>
      <c r="T150" s="518"/>
      <c r="U150" s="518"/>
      <c r="V150" s="518"/>
      <c r="W150" s="518"/>
      <c r="X150" s="518"/>
      <c r="Y150" s="518"/>
      <c r="Z150" s="518"/>
      <c r="AA150" s="518"/>
      <c r="AB150" s="518"/>
      <c r="AC150" s="518"/>
      <c r="AD150" s="518"/>
      <c r="AE150" s="518"/>
      <c r="AF150" s="518"/>
      <c r="AG150" s="518"/>
      <c r="AH150" s="518"/>
      <c r="AI150" s="518"/>
      <c r="AJ150" s="518"/>
      <c r="AK150" s="518"/>
      <c r="AL150" s="518"/>
      <c r="AM150" s="518"/>
      <c r="AN150" s="518"/>
      <c r="AO150" s="518"/>
      <c r="AP150" s="518"/>
      <c r="AQ150" s="518"/>
      <c r="AR150" s="518"/>
      <c r="AS150" s="518"/>
      <c r="AT150" s="518"/>
      <c r="AU150" s="518"/>
      <c r="AV150" s="518"/>
      <c r="AW150" s="518"/>
      <c r="AX150" s="518"/>
      <c r="AY150" s="518"/>
      <c r="AZ150" s="518"/>
      <c r="BA150" s="518"/>
      <c r="BB150" s="518"/>
      <c r="BC150" s="518"/>
      <c r="BD150" s="518"/>
      <c r="BE150" s="518"/>
    </row>
    <row r="151" spans="1:57" ht="12.75" customHeight="1">
      <c r="A151" s="518"/>
      <c r="B151" s="518"/>
      <c r="C151" s="518"/>
      <c r="D151" s="518"/>
      <c r="E151" s="518"/>
      <c r="F151" s="518"/>
      <c r="G151" s="518"/>
      <c r="H151" s="518"/>
      <c r="I151" s="518"/>
      <c r="J151" s="518"/>
      <c r="K151" s="518"/>
      <c r="L151" s="518"/>
      <c r="M151" s="518"/>
      <c r="N151" s="518"/>
      <c r="O151" s="518"/>
      <c r="P151" s="518"/>
      <c r="Q151" s="518"/>
      <c r="R151" s="518"/>
      <c r="S151" s="518"/>
      <c r="T151" s="518"/>
      <c r="U151" s="518"/>
      <c r="V151" s="518"/>
      <c r="W151" s="518"/>
      <c r="X151" s="518"/>
      <c r="Y151" s="518"/>
      <c r="Z151" s="518"/>
      <c r="AA151" s="518"/>
      <c r="AB151" s="518"/>
      <c r="AC151" s="518"/>
      <c r="AD151" s="518"/>
      <c r="AE151" s="518"/>
      <c r="AF151" s="518"/>
      <c r="AG151" s="518"/>
      <c r="AH151" s="518"/>
      <c r="AI151" s="518"/>
      <c r="AJ151" s="518"/>
      <c r="AK151" s="518"/>
      <c r="AL151" s="518"/>
      <c r="AM151" s="518"/>
      <c r="AN151" s="518"/>
      <c r="AO151" s="518"/>
      <c r="AP151" s="518"/>
      <c r="AQ151" s="518"/>
      <c r="AR151" s="518"/>
      <c r="AS151" s="518"/>
      <c r="AT151" s="518"/>
      <c r="AU151" s="518"/>
      <c r="AV151" s="518"/>
      <c r="AW151" s="518"/>
      <c r="AX151" s="518"/>
      <c r="AY151" s="518"/>
      <c r="AZ151" s="518"/>
      <c r="BA151" s="518"/>
      <c r="BB151" s="518"/>
      <c r="BC151" s="518"/>
      <c r="BD151" s="518"/>
      <c r="BE151" s="518"/>
    </row>
    <row r="152" spans="1:57" ht="12.75" customHeight="1">
      <c r="A152" s="518"/>
      <c r="B152" s="518"/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8"/>
      <c r="O152" s="518"/>
      <c r="P152" s="518"/>
      <c r="Q152" s="518"/>
      <c r="R152" s="518"/>
      <c r="S152" s="518"/>
      <c r="T152" s="518"/>
      <c r="U152" s="518"/>
      <c r="V152" s="518"/>
      <c r="W152" s="518"/>
      <c r="X152" s="518"/>
      <c r="Y152" s="518"/>
      <c r="Z152" s="518"/>
      <c r="AA152" s="518"/>
      <c r="AB152" s="518"/>
      <c r="AC152" s="518"/>
      <c r="AD152" s="518"/>
      <c r="AE152" s="518"/>
      <c r="AF152" s="518"/>
      <c r="AG152" s="518"/>
      <c r="AH152" s="518"/>
      <c r="AI152" s="518"/>
      <c r="AJ152" s="518"/>
      <c r="AK152" s="518"/>
      <c r="AL152" s="518"/>
      <c r="AM152" s="518"/>
      <c r="AN152" s="518"/>
      <c r="AO152" s="518"/>
      <c r="AP152" s="518"/>
      <c r="AQ152" s="518"/>
      <c r="AR152" s="518"/>
      <c r="AS152" s="518"/>
      <c r="AT152" s="518"/>
      <c r="AU152" s="518"/>
      <c r="AV152" s="518"/>
      <c r="AW152" s="518"/>
      <c r="AX152" s="518"/>
      <c r="AY152" s="518"/>
      <c r="AZ152" s="518"/>
      <c r="BA152" s="518"/>
      <c r="BB152" s="518"/>
      <c r="BC152" s="518"/>
      <c r="BD152" s="518"/>
      <c r="BE152" s="518"/>
    </row>
    <row r="153" spans="1:57" ht="12.75" customHeight="1">
      <c r="A153" s="518"/>
      <c r="B153" s="518"/>
      <c r="C153" s="518"/>
      <c r="D153" s="518"/>
      <c r="E153" s="518"/>
      <c r="F153" s="518"/>
      <c r="G153" s="518"/>
      <c r="H153" s="518"/>
      <c r="I153" s="518"/>
      <c r="J153" s="518"/>
      <c r="K153" s="518"/>
      <c r="L153" s="518"/>
      <c r="M153" s="518"/>
      <c r="N153" s="518"/>
      <c r="O153" s="518"/>
      <c r="P153" s="518"/>
      <c r="Q153" s="518"/>
      <c r="R153" s="518"/>
      <c r="S153" s="518"/>
      <c r="T153" s="518"/>
      <c r="U153" s="518"/>
      <c r="V153" s="518"/>
      <c r="W153" s="518"/>
      <c r="X153" s="518"/>
      <c r="Y153" s="518"/>
      <c r="Z153" s="518"/>
      <c r="AA153" s="518"/>
      <c r="AB153" s="518"/>
      <c r="AC153" s="518"/>
      <c r="AD153" s="518"/>
      <c r="AE153" s="518"/>
      <c r="AF153" s="518"/>
      <c r="AG153" s="518"/>
      <c r="AH153" s="518"/>
      <c r="AI153" s="518"/>
      <c r="AJ153" s="518"/>
      <c r="AK153" s="518"/>
      <c r="AL153" s="518"/>
      <c r="AM153" s="518"/>
      <c r="AN153" s="518"/>
      <c r="AO153" s="518"/>
      <c r="AP153" s="518"/>
      <c r="AQ153" s="518"/>
      <c r="AR153" s="518"/>
      <c r="AS153" s="518"/>
      <c r="AT153" s="518"/>
      <c r="AU153" s="518"/>
      <c r="AV153" s="518"/>
      <c r="AW153" s="518"/>
      <c r="AX153" s="518"/>
      <c r="AY153" s="518"/>
      <c r="AZ153" s="518"/>
      <c r="BA153" s="518"/>
      <c r="BB153" s="518"/>
      <c r="BC153" s="518"/>
      <c r="BD153" s="518"/>
      <c r="BE153" s="518"/>
    </row>
    <row r="154" spans="1:57" ht="12.75" customHeight="1">
      <c r="A154" s="518"/>
      <c r="B154" s="518"/>
      <c r="C154" s="518"/>
      <c r="D154" s="518"/>
      <c r="E154" s="518"/>
      <c r="F154" s="518"/>
      <c r="G154" s="518"/>
      <c r="H154" s="518"/>
      <c r="I154" s="518"/>
      <c r="J154" s="518"/>
      <c r="K154" s="518"/>
      <c r="L154" s="518"/>
      <c r="M154" s="518"/>
      <c r="N154" s="518"/>
      <c r="O154" s="518"/>
      <c r="P154" s="518"/>
      <c r="Q154" s="518"/>
      <c r="R154" s="518"/>
      <c r="S154" s="518"/>
      <c r="T154" s="518"/>
      <c r="U154" s="518"/>
      <c r="V154" s="518"/>
      <c r="W154" s="518"/>
      <c r="X154" s="518"/>
      <c r="Y154" s="518"/>
      <c r="Z154" s="518"/>
      <c r="AA154" s="518"/>
      <c r="AB154" s="518"/>
      <c r="AC154" s="518"/>
      <c r="AD154" s="518"/>
      <c r="AE154" s="518"/>
      <c r="AF154" s="518"/>
      <c r="AG154" s="518"/>
      <c r="AH154" s="518"/>
      <c r="AI154" s="518"/>
      <c r="AJ154" s="518"/>
      <c r="AK154" s="518"/>
      <c r="AL154" s="518"/>
      <c r="AM154" s="518"/>
      <c r="AN154" s="518"/>
      <c r="AO154" s="518"/>
      <c r="AP154" s="518"/>
      <c r="AQ154" s="518"/>
      <c r="AR154" s="518"/>
      <c r="AS154" s="518"/>
      <c r="AT154" s="518"/>
      <c r="AU154" s="518"/>
      <c r="AV154" s="518"/>
      <c r="AW154" s="518"/>
      <c r="AX154" s="518"/>
      <c r="AY154" s="518"/>
      <c r="AZ154" s="518"/>
      <c r="BA154" s="518"/>
      <c r="BB154" s="518"/>
      <c r="BC154" s="518"/>
      <c r="BD154" s="518"/>
      <c r="BE154" s="518"/>
    </row>
    <row r="155" spans="1:57" ht="12.75" customHeight="1">
      <c r="A155" s="518"/>
      <c r="B155" s="518"/>
      <c r="C155" s="518"/>
      <c r="D155" s="518"/>
      <c r="E155" s="518"/>
      <c r="F155" s="518"/>
      <c r="G155" s="518"/>
      <c r="H155" s="518"/>
      <c r="I155" s="518"/>
      <c r="J155" s="518"/>
      <c r="K155" s="518"/>
      <c r="L155" s="518"/>
      <c r="M155" s="518"/>
      <c r="N155" s="518"/>
      <c r="O155" s="518"/>
      <c r="P155" s="518"/>
      <c r="Q155" s="518"/>
      <c r="R155" s="518"/>
      <c r="S155" s="518"/>
      <c r="T155" s="518"/>
      <c r="U155" s="518"/>
      <c r="V155" s="518"/>
      <c r="W155" s="518"/>
      <c r="X155" s="518"/>
      <c r="Y155" s="518"/>
      <c r="Z155" s="518"/>
      <c r="AA155" s="518"/>
      <c r="AB155" s="518"/>
      <c r="AC155" s="518"/>
      <c r="AD155" s="518"/>
      <c r="AE155" s="518"/>
      <c r="AF155" s="518"/>
      <c r="AG155" s="518"/>
      <c r="AH155" s="518"/>
      <c r="AI155" s="518"/>
      <c r="AJ155" s="518"/>
      <c r="AK155" s="518"/>
      <c r="AL155" s="518"/>
      <c r="AM155" s="518"/>
      <c r="AN155" s="518"/>
      <c r="AO155" s="518"/>
      <c r="AP155" s="518"/>
      <c r="AQ155" s="518"/>
      <c r="AR155" s="518"/>
      <c r="AS155" s="518"/>
      <c r="AT155" s="518"/>
      <c r="AU155" s="518"/>
      <c r="AV155" s="518"/>
      <c r="AW155" s="518"/>
      <c r="AX155" s="518"/>
      <c r="AY155" s="518"/>
      <c r="AZ155" s="518"/>
      <c r="BA155" s="518"/>
      <c r="BB155" s="518"/>
      <c r="BC155" s="518"/>
      <c r="BD155" s="518"/>
      <c r="BE155" s="518"/>
    </row>
    <row r="156" spans="1:57" ht="12.75" customHeight="1">
      <c r="A156" s="518"/>
      <c r="B156" s="518"/>
      <c r="C156" s="518"/>
      <c r="D156" s="518"/>
      <c r="E156" s="518"/>
      <c r="F156" s="518"/>
      <c r="G156" s="518"/>
      <c r="H156" s="518"/>
      <c r="I156" s="518"/>
      <c r="J156" s="518"/>
      <c r="K156" s="518"/>
      <c r="L156" s="518"/>
      <c r="M156" s="518"/>
      <c r="N156" s="518"/>
      <c r="O156" s="518"/>
      <c r="P156" s="518"/>
      <c r="Q156" s="518"/>
      <c r="R156" s="518"/>
      <c r="S156" s="518"/>
      <c r="T156" s="518"/>
      <c r="U156" s="518"/>
      <c r="V156" s="518"/>
      <c r="W156" s="518"/>
      <c r="X156" s="518"/>
      <c r="Y156" s="518"/>
      <c r="Z156" s="518"/>
      <c r="AA156" s="518"/>
      <c r="AB156" s="518"/>
      <c r="AC156" s="518"/>
      <c r="AD156" s="518"/>
      <c r="AE156" s="518"/>
      <c r="AF156" s="518"/>
      <c r="AG156" s="518"/>
      <c r="AH156" s="518"/>
      <c r="AI156" s="518"/>
      <c r="AJ156" s="518"/>
      <c r="AK156" s="518"/>
      <c r="AL156" s="518"/>
      <c r="AM156" s="518"/>
      <c r="AN156" s="518"/>
      <c r="AO156" s="518"/>
      <c r="AP156" s="518"/>
      <c r="AQ156" s="518"/>
      <c r="AR156" s="518"/>
      <c r="AS156" s="518"/>
      <c r="AT156" s="518"/>
      <c r="AU156" s="518"/>
      <c r="AV156" s="518"/>
      <c r="AW156" s="518"/>
      <c r="AX156" s="518"/>
      <c r="AY156" s="518"/>
      <c r="AZ156" s="518"/>
      <c r="BA156" s="518"/>
      <c r="BB156" s="518"/>
      <c r="BC156" s="518"/>
      <c r="BD156" s="518"/>
      <c r="BE156" s="518"/>
    </row>
    <row r="157" spans="1:57" ht="12.75" customHeight="1">
      <c r="A157" s="518"/>
      <c r="B157" s="518"/>
      <c r="C157" s="518"/>
      <c r="D157" s="518"/>
      <c r="E157" s="518"/>
      <c r="F157" s="518"/>
      <c r="G157" s="518"/>
      <c r="H157" s="518"/>
      <c r="I157" s="518"/>
      <c r="J157" s="518"/>
      <c r="K157" s="518"/>
      <c r="L157" s="518"/>
      <c r="M157" s="518"/>
      <c r="N157" s="518"/>
      <c r="O157" s="518"/>
      <c r="P157" s="518"/>
      <c r="Q157" s="518"/>
      <c r="R157" s="518"/>
      <c r="S157" s="518"/>
      <c r="T157" s="518"/>
      <c r="U157" s="518"/>
      <c r="V157" s="518"/>
      <c r="W157" s="518"/>
      <c r="X157" s="518"/>
      <c r="Y157" s="518"/>
      <c r="Z157" s="518"/>
      <c r="AA157" s="518"/>
      <c r="AB157" s="518"/>
      <c r="AC157" s="518"/>
      <c r="AD157" s="518"/>
      <c r="AE157" s="518"/>
      <c r="AF157" s="518"/>
      <c r="AG157" s="518"/>
      <c r="AH157" s="518"/>
      <c r="AI157" s="518"/>
      <c r="AJ157" s="518"/>
      <c r="AK157" s="518"/>
      <c r="AL157" s="518"/>
      <c r="AM157" s="518"/>
      <c r="AN157" s="518"/>
      <c r="AO157" s="518"/>
      <c r="AP157" s="518"/>
      <c r="AQ157" s="518"/>
      <c r="AR157" s="518"/>
      <c r="AS157" s="518"/>
      <c r="AT157" s="518"/>
      <c r="AU157" s="518"/>
      <c r="AV157" s="518"/>
      <c r="AW157" s="518"/>
      <c r="AX157" s="518"/>
      <c r="AY157" s="518"/>
      <c r="AZ157" s="518"/>
      <c r="BA157" s="518"/>
      <c r="BB157" s="518"/>
      <c r="BC157" s="518"/>
      <c r="BD157" s="518"/>
      <c r="BE157" s="518"/>
    </row>
    <row r="158" spans="1:57" ht="12.75" customHeight="1">
      <c r="A158" s="518"/>
      <c r="B158" s="518"/>
      <c r="C158" s="518"/>
      <c r="D158" s="518"/>
      <c r="E158" s="518"/>
      <c r="F158" s="518"/>
      <c r="G158" s="518"/>
      <c r="H158" s="518"/>
      <c r="I158" s="518"/>
      <c r="J158" s="518"/>
      <c r="K158" s="518"/>
      <c r="L158" s="518"/>
      <c r="M158" s="518"/>
      <c r="N158" s="518"/>
      <c r="O158" s="518"/>
      <c r="P158" s="518"/>
      <c r="Q158" s="518"/>
      <c r="R158" s="518"/>
      <c r="S158" s="518"/>
      <c r="T158" s="518"/>
      <c r="U158" s="518"/>
      <c r="V158" s="518"/>
      <c r="W158" s="518"/>
      <c r="X158" s="518"/>
      <c r="Y158" s="518"/>
      <c r="Z158" s="518"/>
      <c r="AA158" s="518"/>
      <c r="AB158" s="518"/>
      <c r="AC158" s="518"/>
      <c r="AD158" s="518"/>
      <c r="AE158" s="518"/>
      <c r="AF158" s="518"/>
      <c r="AG158" s="518"/>
      <c r="AH158" s="518"/>
      <c r="AI158" s="518"/>
      <c r="AJ158" s="518"/>
      <c r="AK158" s="518"/>
      <c r="AL158" s="518"/>
      <c r="AM158" s="518"/>
      <c r="AN158" s="518"/>
      <c r="AO158" s="518"/>
      <c r="AP158" s="518"/>
      <c r="AQ158" s="518"/>
      <c r="AR158" s="518"/>
      <c r="AS158" s="518"/>
      <c r="AT158" s="518"/>
      <c r="AU158" s="518"/>
      <c r="AV158" s="518"/>
      <c r="AW158" s="518"/>
      <c r="AX158" s="518"/>
      <c r="AY158" s="518"/>
      <c r="AZ158" s="518"/>
      <c r="BA158" s="518"/>
      <c r="BB158" s="518"/>
      <c r="BC158" s="518"/>
      <c r="BD158" s="518"/>
      <c r="BE158" s="518"/>
    </row>
    <row r="159" spans="1:57" ht="12.75" customHeight="1">
      <c r="A159" s="518"/>
      <c r="B159" s="518"/>
      <c r="C159" s="518"/>
      <c r="D159" s="518"/>
      <c r="E159" s="518"/>
      <c r="F159" s="518"/>
      <c r="G159" s="518"/>
      <c r="H159" s="518"/>
      <c r="I159" s="518"/>
      <c r="J159" s="518"/>
      <c r="K159" s="518"/>
      <c r="L159" s="518"/>
      <c r="M159" s="518"/>
      <c r="N159" s="518"/>
      <c r="O159" s="518"/>
      <c r="P159" s="518"/>
      <c r="Q159" s="518"/>
      <c r="R159" s="518"/>
      <c r="S159" s="518"/>
      <c r="T159" s="518"/>
      <c r="U159" s="518"/>
      <c r="V159" s="518"/>
      <c r="W159" s="518"/>
      <c r="X159" s="518"/>
      <c r="Y159" s="518"/>
      <c r="Z159" s="518"/>
      <c r="AA159" s="518"/>
      <c r="AB159" s="518"/>
      <c r="AC159" s="518"/>
      <c r="AD159" s="518"/>
      <c r="AE159" s="518"/>
      <c r="AF159" s="518"/>
      <c r="AG159" s="518"/>
      <c r="AH159" s="518"/>
      <c r="AI159" s="518"/>
      <c r="AJ159" s="518"/>
      <c r="AK159" s="518"/>
      <c r="AL159" s="518"/>
      <c r="AM159" s="518"/>
      <c r="AN159" s="518"/>
      <c r="AO159" s="518"/>
      <c r="AP159" s="518"/>
      <c r="AQ159" s="518"/>
      <c r="AR159" s="518"/>
      <c r="AS159" s="518"/>
      <c r="AT159" s="518"/>
      <c r="AU159" s="518"/>
      <c r="AV159" s="518"/>
      <c r="AW159" s="518"/>
      <c r="AX159" s="518"/>
      <c r="AY159" s="518"/>
      <c r="AZ159" s="518"/>
      <c r="BA159" s="518"/>
      <c r="BB159" s="518"/>
      <c r="BC159" s="518"/>
      <c r="BD159" s="518"/>
      <c r="BE159" s="518"/>
    </row>
    <row r="160" spans="1:57" ht="12.75" customHeight="1">
      <c r="A160" s="518"/>
      <c r="B160" s="518"/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8"/>
      <c r="O160" s="518"/>
      <c r="P160" s="518"/>
      <c r="Q160" s="518"/>
      <c r="R160" s="518"/>
      <c r="S160" s="518"/>
      <c r="T160" s="518"/>
      <c r="U160" s="518"/>
      <c r="V160" s="518"/>
      <c r="W160" s="518"/>
      <c r="X160" s="518"/>
      <c r="Y160" s="518"/>
      <c r="Z160" s="518"/>
      <c r="AA160" s="518"/>
      <c r="AB160" s="518"/>
      <c r="AC160" s="518"/>
      <c r="AD160" s="518"/>
      <c r="AE160" s="518"/>
      <c r="AF160" s="518"/>
      <c r="AG160" s="518"/>
      <c r="AH160" s="518"/>
      <c r="AI160" s="518"/>
      <c r="AJ160" s="518"/>
      <c r="AK160" s="518"/>
      <c r="AL160" s="518"/>
      <c r="AM160" s="518"/>
      <c r="AN160" s="518"/>
      <c r="AO160" s="518"/>
      <c r="AP160" s="518"/>
      <c r="AQ160" s="518"/>
      <c r="AR160" s="518"/>
      <c r="AS160" s="518"/>
      <c r="AT160" s="518"/>
      <c r="AU160" s="518"/>
      <c r="AV160" s="518"/>
      <c r="AW160" s="518"/>
      <c r="AX160" s="518"/>
      <c r="AY160" s="518"/>
      <c r="AZ160" s="518"/>
      <c r="BA160" s="518"/>
      <c r="BB160" s="518"/>
      <c r="BC160" s="518"/>
      <c r="BD160" s="518"/>
      <c r="BE160" s="518"/>
    </row>
    <row r="161" spans="1:57" ht="12.75" customHeight="1">
      <c r="A161" s="518"/>
      <c r="B161" s="518"/>
      <c r="C161" s="518"/>
      <c r="D161" s="518"/>
      <c r="E161" s="518"/>
      <c r="F161" s="518"/>
      <c r="G161" s="518"/>
      <c r="H161" s="518"/>
      <c r="I161" s="518"/>
      <c r="J161" s="518"/>
      <c r="K161" s="518"/>
      <c r="L161" s="518"/>
      <c r="M161" s="518"/>
      <c r="N161" s="518"/>
      <c r="O161" s="518"/>
      <c r="P161" s="518"/>
      <c r="Q161" s="518"/>
      <c r="R161" s="518"/>
      <c r="S161" s="518"/>
      <c r="T161" s="518"/>
      <c r="U161" s="518"/>
      <c r="V161" s="518"/>
      <c r="W161" s="518"/>
      <c r="X161" s="518"/>
      <c r="Y161" s="518"/>
      <c r="Z161" s="518"/>
      <c r="AA161" s="518"/>
      <c r="AB161" s="518"/>
      <c r="AC161" s="518"/>
      <c r="AD161" s="518"/>
      <c r="AE161" s="518"/>
      <c r="AF161" s="518"/>
      <c r="AG161" s="518"/>
      <c r="AH161" s="518"/>
      <c r="AI161" s="518"/>
      <c r="AJ161" s="518"/>
      <c r="AK161" s="518"/>
      <c r="AL161" s="518"/>
      <c r="AM161" s="518"/>
      <c r="AN161" s="518"/>
      <c r="AO161" s="518"/>
      <c r="AP161" s="518"/>
      <c r="AQ161" s="518"/>
      <c r="AR161" s="518"/>
      <c r="AS161" s="518"/>
      <c r="AT161" s="518"/>
      <c r="AU161" s="518"/>
      <c r="AV161" s="518"/>
      <c r="AW161" s="518"/>
      <c r="AX161" s="518"/>
      <c r="AY161" s="518"/>
      <c r="AZ161" s="518"/>
      <c r="BA161" s="518"/>
      <c r="BB161" s="518"/>
      <c r="BC161" s="518"/>
      <c r="BD161" s="518"/>
      <c r="BE161" s="518"/>
    </row>
    <row r="162" spans="1:57" ht="12.75" customHeight="1">
      <c r="A162" s="518"/>
      <c r="B162" s="518"/>
      <c r="C162" s="518"/>
      <c r="D162" s="518"/>
      <c r="E162" s="518"/>
      <c r="F162" s="518"/>
      <c r="G162" s="518"/>
      <c r="H162" s="518"/>
      <c r="I162" s="518"/>
      <c r="J162" s="518"/>
      <c r="K162" s="518"/>
      <c r="L162" s="518"/>
      <c r="M162" s="518"/>
      <c r="N162" s="518"/>
      <c r="O162" s="518"/>
      <c r="P162" s="518"/>
      <c r="Q162" s="518"/>
      <c r="R162" s="518"/>
      <c r="S162" s="518"/>
      <c r="T162" s="518"/>
      <c r="U162" s="518"/>
      <c r="V162" s="518"/>
      <c r="W162" s="518"/>
      <c r="X162" s="518"/>
      <c r="Y162" s="518"/>
      <c r="Z162" s="518"/>
      <c r="AA162" s="518"/>
      <c r="AB162" s="518"/>
      <c r="AC162" s="518"/>
      <c r="AD162" s="518"/>
      <c r="AE162" s="518"/>
      <c r="AF162" s="518"/>
      <c r="AG162" s="518"/>
      <c r="AH162" s="518"/>
      <c r="AI162" s="518"/>
      <c r="AJ162" s="518"/>
      <c r="AK162" s="518"/>
      <c r="AL162" s="518"/>
      <c r="AM162" s="518"/>
      <c r="AN162" s="518"/>
      <c r="AO162" s="518"/>
      <c r="AP162" s="518"/>
      <c r="AQ162" s="518"/>
      <c r="AR162" s="518"/>
      <c r="AS162" s="518"/>
      <c r="AT162" s="518"/>
      <c r="AU162" s="518"/>
      <c r="AV162" s="518"/>
      <c r="AW162" s="518"/>
      <c r="AX162" s="518"/>
      <c r="AY162" s="518"/>
      <c r="AZ162" s="518"/>
      <c r="BA162" s="518"/>
      <c r="BB162" s="518"/>
      <c r="BC162" s="518"/>
      <c r="BD162" s="518"/>
      <c r="BE162" s="518"/>
    </row>
    <row r="163" spans="1:57" ht="12.75" customHeight="1">
      <c r="A163" s="518"/>
      <c r="B163" s="518"/>
      <c r="C163" s="518"/>
      <c r="D163" s="518"/>
      <c r="E163" s="518"/>
      <c r="F163" s="518"/>
      <c r="G163" s="518"/>
      <c r="H163" s="518"/>
      <c r="I163" s="518"/>
      <c r="J163" s="518"/>
      <c r="K163" s="518"/>
      <c r="L163" s="518"/>
      <c r="M163" s="518"/>
      <c r="N163" s="518"/>
      <c r="O163" s="518"/>
      <c r="P163" s="518"/>
      <c r="Q163" s="518"/>
      <c r="R163" s="518"/>
      <c r="S163" s="518"/>
      <c r="T163" s="518"/>
      <c r="U163" s="518"/>
      <c r="V163" s="518"/>
      <c r="W163" s="518"/>
      <c r="X163" s="518"/>
      <c r="Y163" s="518"/>
      <c r="Z163" s="518"/>
      <c r="AA163" s="518"/>
      <c r="AB163" s="518"/>
      <c r="AC163" s="518"/>
      <c r="AD163" s="518"/>
      <c r="AE163" s="518"/>
      <c r="AF163" s="518"/>
      <c r="AG163" s="518"/>
      <c r="AH163" s="518"/>
      <c r="AI163" s="518"/>
      <c r="AJ163" s="518"/>
      <c r="AK163" s="518"/>
      <c r="AL163" s="518"/>
      <c r="AM163" s="518"/>
      <c r="AN163" s="518"/>
      <c r="AO163" s="518"/>
      <c r="AP163" s="518"/>
      <c r="AQ163" s="518"/>
      <c r="AR163" s="518"/>
      <c r="AS163" s="518"/>
      <c r="AT163" s="518"/>
      <c r="AU163" s="518"/>
      <c r="AV163" s="518"/>
      <c r="AW163" s="518"/>
      <c r="AX163" s="518"/>
      <c r="AY163" s="518"/>
      <c r="AZ163" s="518"/>
      <c r="BA163" s="518"/>
      <c r="BB163" s="518"/>
      <c r="BC163" s="518"/>
      <c r="BD163" s="518"/>
      <c r="BE163" s="518"/>
    </row>
    <row r="164" spans="1:57" ht="12.75" customHeight="1">
      <c r="A164" s="518"/>
      <c r="B164" s="518"/>
      <c r="C164" s="518"/>
      <c r="D164" s="518"/>
      <c r="E164" s="518"/>
      <c r="F164" s="518"/>
      <c r="G164" s="518"/>
      <c r="H164" s="518"/>
      <c r="I164" s="518"/>
      <c r="J164" s="518"/>
      <c r="K164" s="518"/>
      <c r="L164" s="518"/>
      <c r="M164" s="518"/>
      <c r="N164" s="518"/>
      <c r="O164" s="518"/>
      <c r="P164" s="518"/>
      <c r="Q164" s="518"/>
      <c r="R164" s="518"/>
      <c r="S164" s="518"/>
      <c r="T164" s="518"/>
      <c r="U164" s="518"/>
      <c r="V164" s="518"/>
      <c r="W164" s="518"/>
      <c r="X164" s="518"/>
      <c r="Y164" s="518"/>
      <c r="Z164" s="518"/>
      <c r="AA164" s="518"/>
      <c r="AB164" s="518"/>
      <c r="AC164" s="518"/>
      <c r="AD164" s="518"/>
      <c r="AE164" s="518"/>
      <c r="AF164" s="518"/>
      <c r="AG164" s="518"/>
      <c r="AH164" s="518"/>
      <c r="AI164" s="518"/>
      <c r="AJ164" s="518"/>
      <c r="AK164" s="518"/>
      <c r="AL164" s="518"/>
      <c r="AM164" s="518"/>
      <c r="AN164" s="518"/>
      <c r="AO164" s="518"/>
      <c r="AP164" s="518"/>
      <c r="AQ164" s="518"/>
      <c r="AR164" s="518"/>
      <c r="AS164" s="518"/>
      <c r="AT164" s="518"/>
      <c r="AU164" s="518"/>
      <c r="AV164" s="518"/>
      <c r="AW164" s="518"/>
      <c r="AX164" s="518"/>
      <c r="AY164" s="518"/>
      <c r="AZ164" s="518"/>
      <c r="BA164" s="518"/>
      <c r="BB164" s="518"/>
      <c r="BC164" s="518"/>
      <c r="BD164" s="518"/>
      <c r="BE164" s="518"/>
    </row>
    <row r="165" spans="1:57" ht="12.75" customHeight="1">
      <c r="A165" s="518"/>
      <c r="B165" s="518"/>
      <c r="C165" s="518"/>
      <c r="D165" s="518"/>
      <c r="E165" s="518"/>
      <c r="F165" s="518"/>
      <c r="G165" s="518"/>
      <c r="H165" s="518"/>
      <c r="I165" s="518"/>
      <c r="J165" s="518"/>
      <c r="K165" s="518"/>
      <c r="L165" s="518"/>
      <c r="M165" s="518"/>
      <c r="N165" s="518"/>
      <c r="O165" s="518"/>
      <c r="P165" s="518"/>
      <c r="Q165" s="518"/>
      <c r="R165" s="518"/>
      <c r="S165" s="518"/>
      <c r="T165" s="518"/>
      <c r="U165" s="518"/>
      <c r="V165" s="518"/>
      <c r="W165" s="518"/>
      <c r="X165" s="518"/>
      <c r="Y165" s="518"/>
      <c r="Z165" s="518"/>
      <c r="AA165" s="518"/>
      <c r="AB165" s="518"/>
      <c r="AC165" s="518"/>
      <c r="AD165" s="518"/>
      <c r="AE165" s="518"/>
      <c r="AF165" s="518"/>
      <c r="AG165" s="518"/>
      <c r="AH165" s="518"/>
      <c r="AI165" s="518"/>
      <c r="AJ165" s="518"/>
      <c r="AK165" s="518"/>
      <c r="AL165" s="518"/>
      <c r="AM165" s="518"/>
      <c r="AN165" s="518"/>
      <c r="AO165" s="518"/>
      <c r="AP165" s="518"/>
      <c r="AQ165" s="518"/>
      <c r="AR165" s="518"/>
      <c r="AS165" s="518"/>
      <c r="AT165" s="518"/>
      <c r="AU165" s="518"/>
      <c r="AV165" s="518"/>
      <c r="AW165" s="518"/>
      <c r="AX165" s="518"/>
      <c r="AY165" s="518"/>
      <c r="AZ165" s="518"/>
      <c r="BA165" s="518"/>
      <c r="BB165" s="518"/>
      <c r="BC165" s="518"/>
      <c r="BD165" s="518"/>
      <c r="BE165" s="518"/>
    </row>
    <row r="166" spans="1:57" ht="12.75" customHeight="1">
      <c r="A166" s="518"/>
      <c r="B166" s="518"/>
      <c r="C166" s="518"/>
      <c r="D166" s="518"/>
      <c r="E166" s="518"/>
      <c r="F166" s="518"/>
      <c r="G166" s="518"/>
      <c r="H166" s="518"/>
      <c r="I166" s="518"/>
      <c r="J166" s="518"/>
      <c r="K166" s="518"/>
      <c r="L166" s="518"/>
      <c r="M166" s="518"/>
      <c r="N166" s="518"/>
      <c r="O166" s="518"/>
      <c r="P166" s="518"/>
      <c r="Q166" s="518"/>
      <c r="R166" s="518"/>
      <c r="S166" s="518"/>
      <c r="T166" s="518"/>
      <c r="U166" s="518"/>
      <c r="V166" s="518"/>
      <c r="W166" s="518"/>
      <c r="X166" s="518"/>
      <c r="Y166" s="518"/>
      <c r="Z166" s="518"/>
      <c r="AA166" s="518"/>
      <c r="AB166" s="518"/>
      <c r="AC166" s="518"/>
      <c r="AD166" s="518"/>
      <c r="AE166" s="518"/>
      <c r="AF166" s="518"/>
      <c r="AG166" s="518"/>
      <c r="AH166" s="518"/>
      <c r="AI166" s="518"/>
      <c r="AJ166" s="518"/>
      <c r="AK166" s="518"/>
      <c r="AL166" s="518"/>
      <c r="AM166" s="518"/>
      <c r="AN166" s="518"/>
      <c r="AO166" s="518"/>
      <c r="AP166" s="518"/>
      <c r="AQ166" s="518"/>
      <c r="AR166" s="518"/>
      <c r="AS166" s="518"/>
      <c r="AT166" s="518"/>
      <c r="AU166" s="518"/>
      <c r="AV166" s="518"/>
      <c r="AW166" s="518"/>
      <c r="AX166" s="518"/>
      <c r="AY166" s="518"/>
      <c r="AZ166" s="518"/>
      <c r="BA166" s="518"/>
      <c r="BB166" s="518"/>
      <c r="BC166" s="518"/>
      <c r="BD166" s="518"/>
      <c r="BE166" s="518"/>
    </row>
    <row r="167" spans="1:57" ht="12.75" customHeight="1">
      <c r="A167" s="518"/>
      <c r="B167" s="518"/>
      <c r="C167" s="518"/>
      <c r="D167" s="518"/>
      <c r="E167" s="518"/>
      <c r="F167" s="518"/>
      <c r="G167" s="518"/>
      <c r="H167" s="518"/>
      <c r="I167" s="518"/>
      <c r="J167" s="518"/>
      <c r="K167" s="518"/>
      <c r="L167" s="518"/>
      <c r="M167" s="518"/>
      <c r="N167" s="518"/>
      <c r="O167" s="518"/>
      <c r="P167" s="518"/>
      <c r="Q167" s="518"/>
      <c r="R167" s="518"/>
      <c r="S167" s="518"/>
      <c r="T167" s="518"/>
      <c r="U167" s="518"/>
      <c r="V167" s="518"/>
      <c r="W167" s="518"/>
      <c r="X167" s="518"/>
      <c r="Y167" s="518"/>
      <c r="Z167" s="518"/>
      <c r="AA167" s="518"/>
      <c r="AB167" s="518"/>
      <c r="AC167" s="518"/>
      <c r="AD167" s="518"/>
      <c r="AE167" s="518"/>
      <c r="AF167" s="518"/>
      <c r="AG167" s="518"/>
      <c r="AH167" s="518"/>
      <c r="AI167" s="518"/>
      <c r="AJ167" s="518"/>
      <c r="AK167" s="518"/>
      <c r="AL167" s="518"/>
      <c r="AM167" s="518"/>
      <c r="AN167" s="518"/>
      <c r="AO167" s="518"/>
      <c r="AP167" s="518"/>
      <c r="AQ167" s="518"/>
      <c r="AR167" s="518"/>
      <c r="AS167" s="518"/>
      <c r="AT167" s="518"/>
      <c r="AU167" s="518"/>
      <c r="AV167" s="518"/>
      <c r="AW167" s="518"/>
      <c r="AX167" s="518"/>
      <c r="AY167" s="518"/>
      <c r="AZ167" s="518"/>
      <c r="BA167" s="518"/>
      <c r="BB167" s="518"/>
      <c r="BC167" s="518"/>
      <c r="BD167" s="518"/>
      <c r="BE167" s="518"/>
    </row>
    <row r="168" spans="1:57" ht="12.75" customHeight="1">
      <c r="A168" s="518"/>
      <c r="B168" s="518"/>
      <c r="C168" s="518"/>
      <c r="D168" s="518"/>
      <c r="E168" s="518"/>
      <c r="F168" s="518"/>
      <c r="G168" s="518"/>
      <c r="H168" s="518"/>
      <c r="I168" s="518"/>
      <c r="J168" s="518"/>
      <c r="K168" s="518"/>
      <c r="L168" s="518"/>
      <c r="M168" s="518"/>
      <c r="N168" s="518"/>
      <c r="O168" s="518"/>
      <c r="P168" s="518"/>
      <c r="Q168" s="518"/>
      <c r="R168" s="518"/>
      <c r="S168" s="518"/>
      <c r="T168" s="518"/>
      <c r="U168" s="518"/>
      <c r="V168" s="518"/>
      <c r="W168" s="518"/>
      <c r="X168" s="518"/>
      <c r="Y168" s="518"/>
      <c r="Z168" s="518"/>
      <c r="AA168" s="518"/>
      <c r="AB168" s="518"/>
      <c r="AC168" s="518"/>
      <c r="AD168" s="518"/>
      <c r="AE168" s="518"/>
      <c r="AF168" s="518"/>
      <c r="AG168" s="518"/>
      <c r="AH168" s="518"/>
      <c r="AI168" s="518"/>
      <c r="AJ168" s="518"/>
      <c r="AK168" s="518"/>
      <c r="AL168" s="518"/>
      <c r="AM168" s="518"/>
      <c r="AN168" s="518"/>
      <c r="AO168" s="518"/>
      <c r="AP168" s="518"/>
      <c r="AQ168" s="518"/>
      <c r="AR168" s="518"/>
      <c r="AS168" s="518"/>
      <c r="AT168" s="518"/>
      <c r="AU168" s="518"/>
      <c r="AV168" s="518"/>
      <c r="AW168" s="518"/>
      <c r="AX168" s="518"/>
      <c r="AY168" s="518"/>
      <c r="AZ168" s="518"/>
      <c r="BA168" s="518"/>
      <c r="BB168" s="518"/>
      <c r="BC168" s="518"/>
      <c r="BD168" s="518"/>
      <c r="BE168" s="518"/>
    </row>
    <row r="169" spans="1:57" ht="12.75" customHeight="1">
      <c r="A169" s="518"/>
      <c r="B169" s="518"/>
      <c r="C169" s="518"/>
      <c r="D169" s="518"/>
      <c r="E169" s="518"/>
      <c r="F169" s="518"/>
      <c r="G169" s="518"/>
      <c r="H169" s="518"/>
      <c r="I169" s="518"/>
      <c r="J169" s="518"/>
      <c r="K169" s="518"/>
      <c r="L169" s="518"/>
      <c r="M169" s="518"/>
      <c r="N169" s="518"/>
      <c r="O169" s="518"/>
      <c r="P169" s="518"/>
      <c r="Q169" s="518"/>
      <c r="R169" s="518"/>
      <c r="S169" s="518"/>
      <c r="T169" s="518"/>
      <c r="U169" s="518"/>
      <c r="V169" s="518"/>
      <c r="W169" s="518"/>
      <c r="X169" s="518"/>
      <c r="Y169" s="518"/>
      <c r="Z169" s="518"/>
      <c r="AA169" s="518"/>
      <c r="AB169" s="518"/>
      <c r="AC169" s="518"/>
      <c r="AD169" s="518"/>
      <c r="AE169" s="518"/>
      <c r="AF169" s="518"/>
      <c r="AG169" s="518"/>
      <c r="AH169" s="518"/>
      <c r="AI169" s="518"/>
      <c r="AJ169" s="518"/>
      <c r="AK169" s="518"/>
      <c r="AL169" s="518"/>
      <c r="AM169" s="518"/>
      <c r="AN169" s="518"/>
      <c r="AO169" s="518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</row>
    <row r="170" spans="1:57" ht="12.75" customHeight="1">
      <c r="A170" s="518"/>
      <c r="B170" s="518"/>
      <c r="C170" s="518"/>
      <c r="D170" s="518"/>
      <c r="E170" s="518"/>
      <c r="F170" s="518"/>
      <c r="G170" s="518"/>
      <c r="H170" s="518"/>
      <c r="I170" s="518"/>
      <c r="J170" s="518"/>
      <c r="K170" s="518"/>
      <c r="L170" s="518"/>
      <c r="M170" s="518"/>
      <c r="N170" s="518"/>
      <c r="O170" s="518"/>
      <c r="P170" s="518"/>
      <c r="Q170" s="518"/>
      <c r="R170" s="518"/>
      <c r="S170" s="518"/>
      <c r="T170" s="518"/>
      <c r="U170" s="518"/>
      <c r="V170" s="518"/>
      <c r="W170" s="518"/>
      <c r="X170" s="518"/>
      <c r="Y170" s="518"/>
      <c r="Z170" s="518"/>
      <c r="AA170" s="518"/>
      <c r="AB170" s="518"/>
      <c r="AC170" s="518"/>
      <c r="AD170" s="518"/>
      <c r="AE170" s="518"/>
      <c r="AF170" s="518"/>
      <c r="AG170" s="518"/>
      <c r="AH170" s="518"/>
      <c r="AI170" s="518"/>
      <c r="AJ170" s="518"/>
      <c r="AK170" s="518"/>
      <c r="AL170" s="518"/>
      <c r="AM170" s="518"/>
      <c r="AN170" s="518"/>
      <c r="AO170" s="518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</row>
    <row r="171" spans="1:57" ht="12.75" customHeight="1">
      <c r="A171" s="518"/>
      <c r="B171" s="518"/>
      <c r="C171" s="518"/>
      <c r="D171" s="518"/>
      <c r="E171" s="518"/>
      <c r="F171" s="518"/>
      <c r="G171" s="518"/>
      <c r="H171" s="518"/>
      <c r="I171" s="518"/>
      <c r="J171" s="518"/>
      <c r="K171" s="518"/>
      <c r="L171" s="518"/>
      <c r="M171" s="518"/>
      <c r="N171" s="518"/>
      <c r="O171" s="518"/>
      <c r="P171" s="518"/>
      <c r="Q171" s="518"/>
      <c r="R171" s="518"/>
      <c r="S171" s="518"/>
      <c r="T171" s="518"/>
      <c r="U171" s="518"/>
      <c r="V171" s="518"/>
      <c r="W171" s="518"/>
      <c r="X171" s="518"/>
      <c r="Y171" s="518"/>
      <c r="Z171" s="518"/>
      <c r="AA171" s="518"/>
      <c r="AB171" s="518"/>
      <c r="AC171" s="518"/>
      <c r="AD171" s="518"/>
      <c r="AE171" s="518"/>
      <c r="AF171" s="518"/>
      <c r="AG171" s="518"/>
      <c r="AH171" s="518"/>
      <c r="AI171" s="518"/>
      <c r="AJ171" s="518"/>
      <c r="AK171" s="518"/>
      <c r="AL171" s="518"/>
      <c r="AM171" s="518"/>
      <c r="AN171" s="518"/>
      <c r="AO171" s="518"/>
      <c r="AP171" s="518"/>
      <c r="AQ171" s="518"/>
      <c r="AR171" s="518"/>
      <c r="AS171" s="518"/>
      <c r="AT171" s="518"/>
      <c r="AU171" s="518"/>
      <c r="AV171" s="518"/>
      <c r="AW171" s="518"/>
      <c r="AX171" s="518"/>
      <c r="AY171" s="518"/>
      <c r="AZ171" s="518"/>
      <c r="BA171" s="518"/>
      <c r="BB171" s="518"/>
      <c r="BC171" s="518"/>
      <c r="BD171" s="518"/>
      <c r="BE171" s="518"/>
    </row>
    <row r="172" spans="1:57" ht="12.75" customHeight="1">
      <c r="A172" s="518"/>
      <c r="B172" s="518"/>
      <c r="C172" s="518"/>
      <c r="D172" s="518"/>
      <c r="E172" s="518"/>
      <c r="F172" s="518"/>
      <c r="G172" s="518"/>
      <c r="H172" s="518"/>
      <c r="I172" s="518"/>
      <c r="J172" s="518"/>
      <c r="K172" s="518"/>
      <c r="L172" s="518"/>
      <c r="M172" s="518"/>
      <c r="N172" s="518"/>
      <c r="O172" s="518"/>
      <c r="P172" s="518"/>
      <c r="Q172" s="518"/>
      <c r="R172" s="518"/>
      <c r="S172" s="518"/>
      <c r="T172" s="518"/>
      <c r="U172" s="518"/>
      <c r="V172" s="518"/>
      <c r="W172" s="518"/>
      <c r="X172" s="518"/>
      <c r="Y172" s="518"/>
      <c r="Z172" s="518"/>
      <c r="AA172" s="518"/>
      <c r="AB172" s="518"/>
      <c r="AC172" s="518"/>
      <c r="AD172" s="518"/>
      <c r="AE172" s="518"/>
      <c r="AF172" s="518"/>
      <c r="AG172" s="518"/>
      <c r="AH172" s="518"/>
      <c r="AI172" s="518"/>
      <c r="AJ172" s="518"/>
      <c r="AK172" s="518"/>
      <c r="AL172" s="518"/>
      <c r="AM172" s="518"/>
      <c r="AN172" s="518"/>
      <c r="AO172" s="518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</row>
    <row r="173" spans="1:57" ht="12.75" customHeight="1">
      <c r="A173" s="518"/>
      <c r="B173" s="518"/>
      <c r="C173" s="518"/>
      <c r="D173" s="518"/>
      <c r="E173" s="518"/>
      <c r="F173" s="518"/>
      <c r="G173" s="518"/>
      <c r="H173" s="518"/>
      <c r="I173" s="518"/>
      <c r="J173" s="518"/>
      <c r="K173" s="518"/>
      <c r="L173" s="518"/>
      <c r="M173" s="518"/>
      <c r="N173" s="518"/>
      <c r="O173" s="518"/>
      <c r="P173" s="518"/>
      <c r="Q173" s="518"/>
      <c r="R173" s="518"/>
      <c r="S173" s="518"/>
      <c r="T173" s="518"/>
      <c r="U173" s="518"/>
      <c r="V173" s="518"/>
      <c r="W173" s="518"/>
      <c r="X173" s="518"/>
      <c r="Y173" s="518"/>
      <c r="Z173" s="518"/>
      <c r="AA173" s="518"/>
      <c r="AB173" s="518"/>
      <c r="AC173" s="518"/>
      <c r="AD173" s="518"/>
      <c r="AE173" s="518"/>
      <c r="AF173" s="518"/>
      <c r="AG173" s="518"/>
      <c r="AH173" s="518"/>
      <c r="AI173" s="518"/>
      <c r="AJ173" s="518"/>
      <c r="AK173" s="518"/>
      <c r="AL173" s="518"/>
      <c r="AM173" s="518"/>
      <c r="AN173" s="518"/>
      <c r="AO173" s="518"/>
      <c r="AP173" s="518"/>
      <c r="AQ173" s="518"/>
      <c r="AR173" s="518"/>
      <c r="AS173" s="518"/>
      <c r="AT173" s="518"/>
      <c r="AU173" s="518"/>
      <c r="AV173" s="518"/>
      <c r="AW173" s="518"/>
      <c r="AX173" s="518"/>
      <c r="AY173" s="518"/>
      <c r="AZ173" s="518"/>
      <c r="BA173" s="518"/>
      <c r="BB173" s="518"/>
      <c r="BC173" s="518"/>
      <c r="BD173" s="518"/>
      <c r="BE173" s="518"/>
    </row>
    <row r="174" spans="1:57" ht="12.75" customHeight="1">
      <c r="A174" s="518"/>
      <c r="B174" s="518"/>
      <c r="C174" s="518"/>
      <c r="D174" s="518"/>
      <c r="E174" s="518"/>
      <c r="F174" s="518"/>
      <c r="G174" s="518"/>
      <c r="H174" s="518"/>
      <c r="I174" s="518"/>
      <c r="J174" s="518"/>
      <c r="K174" s="518"/>
      <c r="L174" s="518"/>
      <c r="M174" s="518"/>
      <c r="N174" s="518"/>
      <c r="O174" s="518"/>
      <c r="P174" s="518"/>
      <c r="Q174" s="518"/>
      <c r="R174" s="518"/>
      <c r="S174" s="518"/>
      <c r="T174" s="518"/>
      <c r="U174" s="518"/>
      <c r="V174" s="518"/>
      <c r="W174" s="518"/>
      <c r="X174" s="518"/>
      <c r="Y174" s="518"/>
      <c r="Z174" s="518"/>
      <c r="AA174" s="518"/>
      <c r="AB174" s="518"/>
      <c r="AC174" s="518"/>
      <c r="AD174" s="518"/>
      <c r="AE174" s="518"/>
      <c r="AF174" s="518"/>
      <c r="AG174" s="518"/>
      <c r="AH174" s="518"/>
      <c r="AI174" s="518"/>
      <c r="AJ174" s="518"/>
      <c r="AK174" s="518"/>
      <c r="AL174" s="518"/>
      <c r="AM174" s="518"/>
      <c r="AN174" s="518"/>
      <c r="AO174" s="518"/>
      <c r="AP174" s="518"/>
      <c r="AQ174" s="518"/>
      <c r="AR174" s="518"/>
      <c r="AS174" s="518"/>
      <c r="AT174" s="518"/>
      <c r="AU174" s="518"/>
      <c r="AV174" s="518"/>
      <c r="AW174" s="518"/>
      <c r="AX174" s="518"/>
      <c r="AY174" s="518"/>
      <c r="AZ174" s="518"/>
      <c r="BA174" s="518"/>
      <c r="BB174" s="518"/>
      <c r="BC174" s="518"/>
      <c r="BD174" s="518"/>
      <c r="BE174" s="518"/>
    </row>
    <row r="175" spans="1:57" ht="12.75" customHeight="1">
      <c r="A175" s="518"/>
      <c r="B175" s="518"/>
      <c r="C175" s="518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  <c r="AB175" s="518"/>
      <c r="AC175" s="518"/>
      <c r="AD175" s="518"/>
      <c r="AE175" s="518"/>
      <c r="AF175" s="518"/>
      <c r="AG175" s="518"/>
      <c r="AH175" s="518"/>
      <c r="AI175" s="518"/>
      <c r="AJ175" s="518"/>
      <c r="AK175" s="518"/>
      <c r="AL175" s="518"/>
      <c r="AM175" s="518"/>
      <c r="AN175" s="518"/>
      <c r="AO175" s="518"/>
      <c r="AP175" s="518"/>
      <c r="AQ175" s="518"/>
      <c r="AR175" s="518"/>
      <c r="AS175" s="518"/>
      <c r="AT175" s="518"/>
      <c r="AU175" s="518"/>
      <c r="AV175" s="518"/>
      <c r="AW175" s="518"/>
      <c r="AX175" s="518"/>
      <c r="AY175" s="518"/>
      <c r="AZ175" s="518"/>
      <c r="BA175" s="518"/>
      <c r="BB175" s="518"/>
      <c r="BC175" s="518"/>
      <c r="BD175" s="518"/>
      <c r="BE175" s="518"/>
    </row>
    <row r="176" spans="1:57" ht="12.75" customHeight="1">
      <c r="A176" s="518"/>
      <c r="B176" s="518"/>
      <c r="C176" s="518"/>
      <c r="D176" s="518"/>
      <c r="E176" s="518"/>
      <c r="F176" s="518"/>
      <c r="G176" s="518"/>
      <c r="H176" s="518"/>
      <c r="I176" s="518"/>
      <c r="J176" s="518"/>
      <c r="K176" s="518"/>
      <c r="L176" s="518"/>
      <c r="M176" s="518"/>
      <c r="N176" s="518"/>
      <c r="O176" s="518"/>
      <c r="P176" s="518"/>
      <c r="Q176" s="518"/>
      <c r="R176" s="518"/>
      <c r="S176" s="518"/>
      <c r="T176" s="518"/>
      <c r="U176" s="518"/>
      <c r="V176" s="518"/>
      <c r="W176" s="518"/>
      <c r="X176" s="518"/>
      <c r="Y176" s="518"/>
      <c r="Z176" s="518"/>
      <c r="AA176" s="518"/>
      <c r="AB176" s="518"/>
      <c r="AC176" s="518"/>
      <c r="AD176" s="518"/>
      <c r="AE176" s="518"/>
      <c r="AF176" s="518"/>
      <c r="AG176" s="518"/>
      <c r="AH176" s="518"/>
      <c r="AI176" s="518"/>
      <c r="AJ176" s="518"/>
      <c r="AK176" s="518"/>
      <c r="AL176" s="518"/>
      <c r="AM176" s="518"/>
      <c r="AN176" s="518"/>
      <c r="AO176" s="518"/>
      <c r="AP176" s="518"/>
      <c r="AQ176" s="518"/>
      <c r="AR176" s="518"/>
      <c r="AS176" s="518"/>
      <c r="AT176" s="518"/>
      <c r="AU176" s="518"/>
      <c r="AV176" s="518"/>
      <c r="AW176" s="518"/>
      <c r="AX176" s="518"/>
      <c r="AY176" s="518"/>
      <c r="AZ176" s="518"/>
      <c r="BA176" s="518"/>
      <c r="BB176" s="518"/>
      <c r="BC176" s="518"/>
      <c r="BD176" s="518"/>
      <c r="BE176" s="518"/>
    </row>
    <row r="177" spans="1:57" ht="12.75" customHeight="1">
      <c r="A177" s="518"/>
      <c r="B177" s="518"/>
      <c r="C177" s="518"/>
      <c r="D177" s="518"/>
      <c r="E177" s="518"/>
      <c r="F177" s="518"/>
      <c r="G177" s="518"/>
      <c r="H177" s="518"/>
      <c r="I177" s="518"/>
      <c r="J177" s="518"/>
      <c r="K177" s="518"/>
      <c r="L177" s="518"/>
      <c r="M177" s="518"/>
      <c r="N177" s="518"/>
      <c r="O177" s="518"/>
      <c r="P177" s="518"/>
      <c r="Q177" s="518"/>
      <c r="R177" s="518"/>
      <c r="S177" s="518"/>
      <c r="T177" s="518"/>
      <c r="U177" s="518"/>
      <c r="V177" s="518"/>
      <c r="W177" s="518"/>
      <c r="X177" s="518"/>
      <c r="Y177" s="518"/>
      <c r="Z177" s="518"/>
      <c r="AA177" s="518"/>
      <c r="AB177" s="518"/>
      <c r="AC177" s="518"/>
      <c r="AD177" s="518"/>
      <c r="AE177" s="518"/>
      <c r="AF177" s="518"/>
      <c r="AG177" s="518"/>
      <c r="AH177" s="518"/>
      <c r="AI177" s="518"/>
      <c r="AJ177" s="518"/>
      <c r="AK177" s="518"/>
      <c r="AL177" s="518"/>
      <c r="AM177" s="518"/>
      <c r="AN177" s="518"/>
      <c r="AO177" s="518"/>
      <c r="AP177" s="518"/>
      <c r="AQ177" s="518"/>
      <c r="AR177" s="518"/>
      <c r="AS177" s="518"/>
      <c r="AT177" s="518"/>
      <c r="AU177" s="518"/>
      <c r="AV177" s="518"/>
      <c r="AW177" s="518"/>
      <c r="AX177" s="518"/>
      <c r="AY177" s="518"/>
      <c r="AZ177" s="518"/>
      <c r="BA177" s="518"/>
      <c r="BB177" s="518"/>
      <c r="BC177" s="518"/>
      <c r="BD177" s="518"/>
      <c r="BE177" s="518"/>
    </row>
    <row r="178" spans="1:57" ht="12.75" customHeight="1">
      <c r="A178" s="518"/>
      <c r="B178" s="518"/>
      <c r="C178" s="518"/>
      <c r="D178" s="518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  <c r="AB178" s="518"/>
      <c r="AC178" s="518"/>
      <c r="AD178" s="518"/>
      <c r="AE178" s="518"/>
      <c r="AF178" s="518"/>
      <c r="AG178" s="518"/>
      <c r="AH178" s="518"/>
      <c r="AI178" s="518"/>
      <c r="AJ178" s="518"/>
      <c r="AK178" s="518"/>
      <c r="AL178" s="518"/>
      <c r="AM178" s="518"/>
      <c r="AN178" s="518"/>
      <c r="AO178" s="518"/>
      <c r="AP178" s="518"/>
      <c r="AQ178" s="518"/>
      <c r="AR178" s="518"/>
      <c r="AS178" s="518"/>
      <c r="AT178" s="518"/>
      <c r="AU178" s="518"/>
      <c r="AV178" s="518"/>
      <c r="AW178" s="518"/>
      <c r="AX178" s="518"/>
      <c r="AY178" s="518"/>
      <c r="AZ178" s="518"/>
      <c r="BA178" s="518"/>
      <c r="BB178" s="518"/>
      <c r="BC178" s="518"/>
      <c r="BD178" s="518"/>
      <c r="BE178" s="518"/>
    </row>
    <row r="179" spans="1:57" ht="12.75" customHeight="1">
      <c r="A179" s="518"/>
      <c r="B179" s="518"/>
      <c r="C179" s="518"/>
      <c r="D179" s="518"/>
      <c r="E179" s="518"/>
      <c r="F179" s="518"/>
      <c r="G179" s="518"/>
      <c r="H179" s="518"/>
      <c r="I179" s="518"/>
      <c r="J179" s="518"/>
      <c r="K179" s="518"/>
      <c r="L179" s="518"/>
      <c r="M179" s="518"/>
      <c r="N179" s="518"/>
      <c r="O179" s="518"/>
      <c r="P179" s="518"/>
      <c r="Q179" s="518"/>
      <c r="R179" s="518"/>
      <c r="S179" s="518"/>
      <c r="T179" s="518"/>
      <c r="U179" s="518"/>
      <c r="V179" s="518"/>
      <c r="W179" s="518"/>
      <c r="X179" s="518"/>
      <c r="Y179" s="518"/>
      <c r="Z179" s="518"/>
      <c r="AA179" s="518"/>
      <c r="AB179" s="518"/>
      <c r="AC179" s="518"/>
      <c r="AD179" s="518"/>
      <c r="AE179" s="518"/>
      <c r="AF179" s="518"/>
      <c r="AG179" s="518"/>
      <c r="AH179" s="518"/>
      <c r="AI179" s="518"/>
      <c r="AJ179" s="518"/>
      <c r="AK179" s="518"/>
      <c r="AL179" s="518"/>
      <c r="AM179" s="518"/>
      <c r="AN179" s="518"/>
      <c r="AO179" s="518"/>
      <c r="AP179" s="518"/>
      <c r="AQ179" s="518"/>
      <c r="AR179" s="518"/>
      <c r="AS179" s="518"/>
      <c r="AT179" s="518"/>
      <c r="AU179" s="518"/>
      <c r="AV179" s="518"/>
      <c r="AW179" s="518"/>
      <c r="AX179" s="518"/>
      <c r="AY179" s="518"/>
      <c r="AZ179" s="518"/>
      <c r="BA179" s="518"/>
      <c r="BB179" s="518"/>
      <c r="BC179" s="518"/>
      <c r="BD179" s="518"/>
      <c r="BE179" s="518"/>
    </row>
    <row r="180" spans="1:57" ht="12.75" customHeight="1">
      <c r="A180" s="518"/>
      <c r="B180" s="518"/>
      <c r="C180" s="518"/>
      <c r="D180" s="518"/>
      <c r="E180" s="518"/>
      <c r="F180" s="518"/>
      <c r="G180" s="518"/>
      <c r="H180" s="518"/>
      <c r="I180" s="518"/>
      <c r="J180" s="518"/>
      <c r="K180" s="518"/>
      <c r="L180" s="518"/>
      <c r="M180" s="518"/>
      <c r="N180" s="518"/>
      <c r="O180" s="518"/>
      <c r="P180" s="518"/>
      <c r="Q180" s="518"/>
      <c r="R180" s="518"/>
      <c r="S180" s="518"/>
      <c r="T180" s="518"/>
      <c r="U180" s="518"/>
      <c r="V180" s="518"/>
      <c r="W180" s="518"/>
      <c r="X180" s="518"/>
      <c r="Y180" s="518"/>
      <c r="Z180" s="518"/>
      <c r="AA180" s="518"/>
      <c r="AB180" s="518"/>
      <c r="AC180" s="518"/>
      <c r="AD180" s="518"/>
      <c r="AE180" s="518"/>
      <c r="AF180" s="518"/>
      <c r="AG180" s="518"/>
      <c r="AH180" s="518"/>
      <c r="AI180" s="518"/>
      <c r="AJ180" s="518"/>
      <c r="AK180" s="518"/>
      <c r="AL180" s="518"/>
      <c r="AM180" s="518"/>
      <c r="AN180" s="518"/>
      <c r="AO180" s="518"/>
      <c r="AP180" s="518"/>
      <c r="AQ180" s="518"/>
      <c r="AR180" s="518"/>
      <c r="AS180" s="518"/>
      <c r="AT180" s="518"/>
      <c r="AU180" s="518"/>
      <c r="AV180" s="518"/>
      <c r="AW180" s="518"/>
      <c r="AX180" s="518"/>
      <c r="AY180" s="518"/>
      <c r="AZ180" s="518"/>
      <c r="BA180" s="518"/>
      <c r="BB180" s="518"/>
      <c r="BC180" s="518"/>
      <c r="BD180" s="518"/>
      <c r="BE180" s="518"/>
    </row>
    <row r="181" spans="1:57" ht="12.75" customHeight="1">
      <c r="A181" s="518"/>
      <c r="B181" s="518"/>
      <c r="C181" s="518"/>
      <c r="D181" s="518"/>
      <c r="E181" s="518"/>
      <c r="F181" s="518"/>
      <c r="G181" s="518"/>
      <c r="H181" s="518"/>
      <c r="I181" s="518"/>
      <c r="J181" s="518"/>
      <c r="K181" s="518"/>
      <c r="L181" s="518"/>
      <c r="M181" s="518"/>
      <c r="N181" s="518"/>
      <c r="O181" s="518"/>
      <c r="P181" s="518"/>
      <c r="Q181" s="518"/>
      <c r="R181" s="518"/>
      <c r="S181" s="518"/>
      <c r="T181" s="518"/>
      <c r="U181" s="518"/>
      <c r="V181" s="518"/>
      <c r="W181" s="518"/>
      <c r="X181" s="518"/>
      <c r="Y181" s="518"/>
      <c r="Z181" s="518"/>
      <c r="AA181" s="518"/>
      <c r="AB181" s="518"/>
      <c r="AC181" s="518"/>
      <c r="AD181" s="518"/>
      <c r="AE181" s="518"/>
      <c r="AF181" s="518"/>
      <c r="AG181" s="518"/>
      <c r="AH181" s="518"/>
      <c r="AI181" s="518"/>
      <c r="AJ181" s="518"/>
      <c r="AK181" s="518"/>
      <c r="AL181" s="518"/>
      <c r="AM181" s="518"/>
      <c r="AN181" s="518"/>
      <c r="AO181" s="518"/>
      <c r="AP181" s="518"/>
      <c r="AQ181" s="518"/>
      <c r="AR181" s="518"/>
      <c r="AS181" s="518"/>
      <c r="AT181" s="518"/>
      <c r="AU181" s="518"/>
      <c r="AV181" s="518"/>
      <c r="AW181" s="518"/>
      <c r="AX181" s="518"/>
      <c r="AY181" s="518"/>
      <c r="AZ181" s="518"/>
      <c r="BA181" s="518"/>
      <c r="BB181" s="518"/>
      <c r="BC181" s="518"/>
      <c r="BD181" s="518"/>
      <c r="BE181" s="518"/>
    </row>
    <row r="182" spans="1:57" ht="12.75" customHeight="1">
      <c r="A182" s="518"/>
      <c r="B182" s="518"/>
      <c r="C182" s="518"/>
      <c r="D182" s="518"/>
      <c r="E182" s="518"/>
      <c r="F182" s="518"/>
      <c r="G182" s="518"/>
      <c r="H182" s="518"/>
      <c r="I182" s="518"/>
      <c r="J182" s="518"/>
      <c r="K182" s="518"/>
      <c r="L182" s="518"/>
      <c r="M182" s="518"/>
      <c r="N182" s="518"/>
      <c r="O182" s="518"/>
      <c r="P182" s="518"/>
      <c r="Q182" s="518"/>
      <c r="R182" s="518"/>
      <c r="S182" s="518"/>
      <c r="T182" s="518"/>
      <c r="U182" s="518"/>
      <c r="V182" s="518"/>
      <c r="W182" s="518"/>
      <c r="X182" s="518"/>
      <c r="Y182" s="518"/>
      <c r="Z182" s="518"/>
      <c r="AA182" s="518"/>
      <c r="AB182" s="518"/>
      <c r="AC182" s="518"/>
      <c r="AD182" s="518"/>
      <c r="AE182" s="518"/>
      <c r="AF182" s="518"/>
      <c r="AG182" s="518"/>
      <c r="AH182" s="518"/>
      <c r="AI182" s="518"/>
      <c r="AJ182" s="518"/>
      <c r="AK182" s="518"/>
      <c r="AL182" s="518"/>
      <c r="AM182" s="518"/>
      <c r="AN182" s="518"/>
      <c r="AO182" s="518"/>
      <c r="AP182" s="518"/>
      <c r="AQ182" s="518"/>
      <c r="AR182" s="518"/>
      <c r="AS182" s="518"/>
      <c r="AT182" s="518"/>
      <c r="AU182" s="518"/>
      <c r="AV182" s="518"/>
      <c r="AW182" s="518"/>
      <c r="AX182" s="518"/>
      <c r="AY182" s="518"/>
      <c r="AZ182" s="518"/>
      <c r="BA182" s="518"/>
      <c r="BB182" s="518"/>
      <c r="BC182" s="518"/>
      <c r="BD182" s="518"/>
      <c r="BE182" s="518"/>
    </row>
    <row r="183" spans="1:57" ht="12.75" customHeight="1">
      <c r="A183" s="518"/>
      <c r="B183" s="518"/>
      <c r="C183" s="518"/>
      <c r="D183" s="518"/>
      <c r="E183" s="518"/>
      <c r="F183" s="518"/>
      <c r="G183" s="518"/>
      <c r="H183" s="518"/>
      <c r="I183" s="518"/>
      <c r="J183" s="518"/>
      <c r="K183" s="518"/>
      <c r="L183" s="518"/>
      <c r="M183" s="518"/>
      <c r="N183" s="518"/>
      <c r="O183" s="518"/>
      <c r="P183" s="518"/>
      <c r="Q183" s="518"/>
      <c r="R183" s="518"/>
      <c r="S183" s="518"/>
      <c r="T183" s="518"/>
      <c r="U183" s="518"/>
      <c r="V183" s="518"/>
      <c r="W183" s="518"/>
      <c r="X183" s="518"/>
      <c r="Y183" s="518"/>
      <c r="Z183" s="518"/>
      <c r="AA183" s="518"/>
      <c r="AB183" s="518"/>
      <c r="AC183" s="518"/>
      <c r="AD183" s="518"/>
      <c r="AE183" s="518"/>
      <c r="AF183" s="518"/>
      <c r="AG183" s="518"/>
      <c r="AH183" s="518"/>
      <c r="AI183" s="518"/>
      <c r="AJ183" s="518"/>
      <c r="AK183" s="518"/>
      <c r="AL183" s="518"/>
      <c r="AM183" s="518"/>
      <c r="AN183" s="518"/>
      <c r="AO183" s="518"/>
      <c r="AP183" s="518"/>
      <c r="AQ183" s="518"/>
      <c r="AR183" s="518"/>
      <c r="AS183" s="518"/>
      <c r="AT183" s="518"/>
      <c r="AU183" s="518"/>
      <c r="AV183" s="518"/>
      <c r="AW183" s="518"/>
      <c r="AX183" s="518"/>
      <c r="AY183" s="518"/>
      <c r="AZ183" s="518"/>
      <c r="BA183" s="518"/>
      <c r="BB183" s="518"/>
      <c r="BC183" s="518"/>
      <c r="BD183" s="518"/>
      <c r="BE183" s="518"/>
    </row>
    <row r="184" spans="1:57" ht="12.75" customHeight="1">
      <c r="A184" s="518"/>
      <c r="B184" s="518"/>
      <c r="C184" s="518"/>
      <c r="D184" s="518"/>
      <c r="E184" s="518"/>
      <c r="F184" s="518"/>
      <c r="G184" s="518"/>
      <c r="H184" s="518"/>
      <c r="I184" s="518"/>
      <c r="J184" s="518"/>
      <c r="K184" s="518"/>
      <c r="L184" s="518"/>
      <c r="M184" s="518"/>
      <c r="N184" s="518"/>
      <c r="O184" s="518"/>
      <c r="P184" s="518"/>
      <c r="Q184" s="518"/>
      <c r="R184" s="518"/>
      <c r="S184" s="518"/>
      <c r="T184" s="518"/>
      <c r="U184" s="518"/>
      <c r="V184" s="518"/>
      <c r="W184" s="518"/>
      <c r="X184" s="518"/>
      <c r="Y184" s="518"/>
      <c r="Z184" s="518"/>
      <c r="AA184" s="518"/>
      <c r="AB184" s="518"/>
      <c r="AC184" s="518"/>
      <c r="AD184" s="518"/>
      <c r="AE184" s="518"/>
      <c r="AF184" s="518"/>
      <c r="AG184" s="518"/>
      <c r="AH184" s="518"/>
      <c r="AI184" s="518"/>
      <c r="AJ184" s="518"/>
      <c r="AK184" s="518"/>
      <c r="AL184" s="518"/>
      <c r="AM184" s="518"/>
      <c r="AN184" s="518"/>
      <c r="AO184" s="518"/>
      <c r="AP184" s="518"/>
      <c r="AQ184" s="518"/>
      <c r="AR184" s="518"/>
      <c r="AS184" s="518"/>
      <c r="AT184" s="518"/>
      <c r="AU184" s="518"/>
      <c r="AV184" s="518"/>
      <c r="AW184" s="518"/>
      <c r="AX184" s="518"/>
      <c r="AY184" s="518"/>
      <c r="AZ184" s="518"/>
      <c r="BA184" s="518"/>
      <c r="BB184" s="518"/>
      <c r="BC184" s="518"/>
      <c r="BD184" s="518"/>
      <c r="BE184" s="518"/>
    </row>
    <row r="185" spans="1:57" ht="12.75" customHeight="1">
      <c r="A185" s="518"/>
      <c r="B185" s="518"/>
      <c r="C185" s="518"/>
      <c r="D185" s="518"/>
      <c r="E185" s="518"/>
      <c r="F185" s="518"/>
      <c r="G185" s="518"/>
      <c r="H185" s="518"/>
      <c r="I185" s="518"/>
      <c r="J185" s="518"/>
      <c r="K185" s="518"/>
      <c r="L185" s="518"/>
      <c r="M185" s="518"/>
      <c r="N185" s="518"/>
      <c r="O185" s="518"/>
      <c r="P185" s="518"/>
      <c r="Q185" s="518"/>
      <c r="R185" s="518"/>
      <c r="S185" s="518"/>
      <c r="T185" s="518"/>
      <c r="U185" s="518"/>
      <c r="V185" s="518"/>
      <c r="W185" s="518"/>
      <c r="X185" s="518"/>
      <c r="Y185" s="518"/>
      <c r="Z185" s="518"/>
      <c r="AA185" s="518"/>
      <c r="AB185" s="518"/>
      <c r="AC185" s="518"/>
      <c r="AD185" s="518"/>
      <c r="AE185" s="518"/>
      <c r="AF185" s="518"/>
      <c r="AG185" s="518"/>
      <c r="AH185" s="518"/>
      <c r="AI185" s="518"/>
      <c r="AJ185" s="518"/>
      <c r="AK185" s="518"/>
      <c r="AL185" s="518"/>
      <c r="AM185" s="518"/>
      <c r="AN185" s="518"/>
      <c r="AO185" s="518"/>
      <c r="AP185" s="518"/>
      <c r="AQ185" s="518"/>
      <c r="AR185" s="518"/>
      <c r="AS185" s="518"/>
      <c r="AT185" s="518"/>
      <c r="AU185" s="518"/>
      <c r="AV185" s="518"/>
      <c r="AW185" s="518"/>
      <c r="AX185" s="518"/>
      <c r="AY185" s="518"/>
      <c r="AZ185" s="518"/>
      <c r="BA185" s="518"/>
      <c r="BB185" s="518"/>
      <c r="BC185" s="518"/>
      <c r="BD185" s="518"/>
      <c r="BE185" s="518"/>
    </row>
    <row r="186" spans="1:57" ht="12.75" customHeight="1">
      <c r="A186" s="518"/>
      <c r="B186" s="518"/>
      <c r="C186" s="518"/>
      <c r="D186" s="518"/>
      <c r="E186" s="518"/>
      <c r="F186" s="518"/>
      <c r="G186" s="518"/>
      <c r="H186" s="518"/>
      <c r="I186" s="518"/>
      <c r="J186" s="518"/>
      <c r="K186" s="518"/>
      <c r="L186" s="518"/>
      <c r="M186" s="518"/>
      <c r="N186" s="518"/>
      <c r="O186" s="518"/>
      <c r="P186" s="518"/>
      <c r="Q186" s="518"/>
      <c r="R186" s="518"/>
      <c r="S186" s="518"/>
      <c r="T186" s="518"/>
      <c r="U186" s="518"/>
      <c r="V186" s="518"/>
      <c r="W186" s="518"/>
      <c r="X186" s="518"/>
      <c r="Y186" s="518"/>
      <c r="Z186" s="518"/>
      <c r="AA186" s="518"/>
      <c r="AB186" s="518"/>
      <c r="AC186" s="518"/>
      <c r="AD186" s="518"/>
      <c r="AE186" s="518"/>
      <c r="AF186" s="518"/>
      <c r="AG186" s="518"/>
      <c r="AH186" s="518"/>
      <c r="AI186" s="518"/>
      <c r="AJ186" s="518"/>
      <c r="AK186" s="518"/>
      <c r="AL186" s="518"/>
      <c r="AM186" s="518"/>
      <c r="AN186" s="518"/>
      <c r="AO186" s="518"/>
      <c r="AP186" s="518"/>
      <c r="AQ186" s="518"/>
      <c r="AR186" s="518"/>
      <c r="AS186" s="518"/>
      <c r="AT186" s="518"/>
      <c r="AU186" s="518"/>
      <c r="AV186" s="518"/>
      <c r="AW186" s="518"/>
      <c r="AX186" s="518"/>
      <c r="AY186" s="518"/>
      <c r="AZ186" s="518"/>
      <c r="BA186" s="518"/>
      <c r="BB186" s="518"/>
      <c r="BC186" s="518"/>
      <c r="BD186" s="518"/>
      <c r="BE186" s="518"/>
    </row>
    <row r="187" spans="1:57" ht="12.75" customHeight="1">
      <c r="A187" s="518"/>
      <c r="B187" s="518"/>
      <c r="C187" s="518"/>
      <c r="D187" s="518"/>
      <c r="E187" s="518"/>
      <c r="F187" s="518"/>
      <c r="G187" s="518"/>
      <c r="H187" s="518"/>
      <c r="I187" s="518"/>
      <c r="J187" s="518"/>
      <c r="K187" s="518"/>
      <c r="L187" s="518"/>
      <c r="M187" s="518"/>
      <c r="N187" s="518"/>
      <c r="O187" s="518"/>
      <c r="P187" s="518"/>
      <c r="Q187" s="518"/>
      <c r="R187" s="518"/>
      <c r="S187" s="518"/>
      <c r="T187" s="518"/>
      <c r="U187" s="518"/>
      <c r="V187" s="518"/>
      <c r="W187" s="518"/>
      <c r="X187" s="518"/>
      <c r="Y187" s="518"/>
      <c r="Z187" s="518"/>
      <c r="AA187" s="518"/>
      <c r="AB187" s="518"/>
      <c r="AC187" s="518"/>
      <c r="AD187" s="518"/>
      <c r="AE187" s="518"/>
      <c r="AF187" s="518"/>
      <c r="AG187" s="518"/>
      <c r="AH187" s="518"/>
      <c r="AI187" s="518"/>
      <c r="AJ187" s="518"/>
      <c r="AK187" s="518"/>
      <c r="AL187" s="518"/>
      <c r="AM187" s="518"/>
      <c r="AN187" s="518"/>
      <c r="AO187" s="518"/>
      <c r="AP187" s="518"/>
      <c r="AQ187" s="518"/>
      <c r="AR187" s="518"/>
      <c r="AS187" s="518"/>
      <c r="AT187" s="518"/>
      <c r="AU187" s="518"/>
      <c r="AV187" s="518"/>
      <c r="AW187" s="518"/>
      <c r="AX187" s="518"/>
      <c r="AY187" s="518"/>
      <c r="AZ187" s="518"/>
      <c r="BA187" s="518"/>
      <c r="BB187" s="518"/>
      <c r="BC187" s="518"/>
      <c r="BD187" s="518"/>
      <c r="BE187" s="518"/>
    </row>
    <row r="188" spans="1:57" ht="12.75" customHeight="1">
      <c r="A188" s="518"/>
      <c r="B188" s="518"/>
      <c r="C188" s="518"/>
      <c r="D188" s="518"/>
      <c r="E188" s="518"/>
      <c r="F188" s="518"/>
      <c r="G188" s="518"/>
      <c r="H188" s="518"/>
      <c r="I188" s="518"/>
      <c r="J188" s="518"/>
      <c r="K188" s="518"/>
      <c r="L188" s="518"/>
      <c r="M188" s="518"/>
      <c r="N188" s="518"/>
      <c r="O188" s="518"/>
      <c r="P188" s="518"/>
      <c r="Q188" s="518"/>
      <c r="R188" s="518"/>
      <c r="S188" s="518"/>
      <c r="T188" s="518"/>
      <c r="U188" s="518"/>
      <c r="V188" s="518"/>
      <c r="W188" s="518"/>
      <c r="X188" s="518"/>
      <c r="Y188" s="518"/>
      <c r="Z188" s="518"/>
      <c r="AA188" s="518"/>
      <c r="AB188" s="518"/>
      <c r="AC188" s="518"/>
      <c r="AD188" s="518"/>
      <c r="AE188" s="518"/>
      <c r="AF188" s="518"/>
      <c r="AG188" s="518"/>
      <c r="AH188" s="518"/>
      <c r="AI188" s="518"/>
      <c r="AJ188" s="518"/>
      <c r="AK188" s="518"/>
      <c r="AL188" s="518"/>
      <c r="AM188" s="518"/>
      <c r="AN188" s="518"/>
      <c r="AO188" s="518"/>
      <c r="AP188" s="518"/>
      <c r="AQ188" s="518"/>
      <c r="AR188" s="518"/>
      <c r="AS188" s="518"/>
      <c r="AT188" s="518"/>
      <c r="AU188" s="518"/>
      <c r="AV188" s="518"/>
      <c r="AW188" s="518"/>
      <c r="AX188" s="518"/>
      <c r="AY188" s="518"/>
      <c r="AZ188" s="518"/>
      <c r="BA188" s="518"/>
      <c r="BB188" s="518"/>
      <c r="BC188" s="518"/>
      <c r="BD188" s="518"/>
      <c r="BE188" s="518"/>
    </row>
    <row r="189" spans="1:57" ht="12.75" customHeight="1">
      <c r="A189" s="518"/>
      <c r="B189" s="518"/>
      <c r="C189" s="518"/>
      <c r="D189" s="518"/>
      <c r="E189" s="518"/>
      <c r="F189" s="518"/>
      <c r="G189" s="518"/>
      <c r="H189" s="518"/>
      <c r="I189" s="518"/>
      <c r="J189" s="518"/>
      <c r="K189" s="518"/>
      <c r="L189" s="518"/>
      <c r="M189" s="518"/>
      <c r="N189" s="518"/>
      <c r="O189" s="518"/>
      <c r="P189" s="518"/>
      <c r="Q189" s="518"/>
      <c r="R189" s="518"/>
      <c r="S189" s="518"/>
      <c r="T189" s="518"/>
      <c r="U189" s="518"/>
      <c r="V189" s="518"/>
      <c r="W189" s="518"/>
      <c r="X189" s="518"/>
      <c r="Y189" s="518"/>
      <c r="Z189" s="518"/>
      <c r="AA189" s="518"/>
      <c r="AB189" s="518"/>
      <c r="AC189" s="518"/>
      <c r="AD189" s="518"/>
      <c r="AE189" s="518"/>
      <c r="AF189" s="518"/>
      <c r="AG189" s="518"/>
      <c r="AH189" s="518"/>
      <c r="AI189" s="518"/>
      <c r="AJ189" s="518"/>
      <c r="AK189" s="518"/>
      <c r="AL189" s="518"/>
      <c r="AM189" s="518"/>
      <c r="AN189" s="518"/>
      <c r="AO189" s="518"/>
      <c r="AP189" s="518"/>
      <c r="AQ189" s="518"/>
      <c r="AR189" s="518"/>
      <c r="AS189" s="518"/>
      <c r="AT189" s="518"/>
      <c r="AU189" s="518"/>
      <c r="AV189" s="518"/>
      <c r="AW189" s="518"/>
      <c r="AX189" s="518"/>
      <c r="AY189" s="518"/>
      <c r="AZ189" s="518"/>
      <c r="BA189" s="518"/>
      <c r="BB189" s="518"/>
      <c r="BC189" s="518"/>
      <c r="BD189" s="518"/>
      <c r="BE189" s="518"/>
    </row>
    <row r="190" spans="1:57" ht="12.75" customHeight="1">
      <c r="A190" s="518"/>
      <c r="B190" s="518"/>
      <c r="C190" s="518"/>
      <c r="D190" s="518"/>
      <c r="E190" s="518"/>
      <c r="F190" s="518"/>
      <c r="G190" s="518"/>
      <c r="H190" s="518"/>
      <c r="I190" s="518"/>
      <c r="J190" s="518"/>
      <c r="K190" s="518"/>
      <c r="L190" s="518"/>
      <c r="M190" s="518"/>
      <c r="N190" s="518"/>
      <c r="O190" s="518"/>
      <c r="P190" s="518"/>
      <c r="Q190" s="518"/>
      <c r="R190" s="518"/>
      <c r="S190" s="518"/>
      <c r="T190" s="518"/>
      <c r="U190" s="518"/>
      <c r="V190" s="518"/>
      <c r="W190" s="518"/>
      <c r="X190" s="518"/>
      <c r="Y190" s="518"/>
      <c r="Z190" s="518"/>
      <c r="AA190" s="518"/>
      <c r="AB190" s="518"/>
      <c r="AC190" s="518"/>
      <c r="AD190" s="518"/>
      <c r="AE190" s="518"/>
      <c r="AF190" s="518"/>
      <c r="AG190" s="518"/>
      <c r="AH190" s="518"/>
      <c r="AI190" s="518"/>
      <c r="AJ190" s="518"/>
      <c r="AK190" s="518"/>
      <c r="AL190" s="518"/>
      <c r="AM190" s="518"/>
      <c r="AN190" s="518"/>
      <c r="AO190" s="518"/>
      <c r="AP190" s="518"/>
      <c r="AQ190" s="518"/>
      <c r="AR190" s="518"/>
      <c r="AS190" s="518"/>
      <c r="AT190" s="518"/>
      <c r="AU190" s="518"/>
      <c r="AV190" s="518"/>
      <c r="AW190" s="518"/>
      <c r="AX190" s="518"/>
      <c r="AY190" s="518"/>
      <c r="AZ190" s="518"/>
      <c r="BA190" s="518"/>
      <c r="BB190" s="518"/>
      <c r="BC190" s="518"/>
      <c r="BD190" s="518"/>
      <c r="BE190" s="518"/>
    </row>
    <row r="191" spans="1:57" ht="12.75" customHeight="1">
      <c r="A191" s="518"/>
      <c r="B191" s="518"/>
      <c r="C191" s="518"/>
      <c r="D191" s="518"/>
      <c r="E191" s="518"/>
      <c r="F191" s="518"/>
      <c r="G191" s="518"/>
      <c r="H191" s="518"/>
      <c r="I191" s="518"/>
      <c r="J191" s="518"/>
      <c r="K191" s="518"/>
      <c r="L191" s="518"/>
      <c r="M191" s="518"/>
      <c r="N191" s="518"/>
      <c r="O191" s="518"/>
      <c r="P191" s="518"/>
      <c r="Q191" s="518"/>
      <c r="R191" s="518"/>
      <c r="S191" s="518"/>
      <c r="T191" s="518"/>
      <c r="U191" s="518"/>
      <c r="V191" s="518"/>
      <c r="W191" s="518"/>
      <c r="X191" s="518"/>
      <c r="Y191" s="518"/>
      <c r="Z191" s="518"/>
      <c r="AA191" s="518"/>
      <c r="AB191" s="518"/>
      <c r="AC191" s="518"/>
      <c r="AD191" s="518"/>
      <c r="AE191" s="518"/>
      <c r="AF191" s="518"/>
      <c r="AG191" s="518"/>
      <c r="AH191" s="518"/>
      <c r="AI191" s="518"/>
      <c r="AJ191" s="518"/>
      <c r="AK191" s="518"/>
      <c r="AL191" s="518"/>
      <c r="AM191" s="518"/>
      <c r="AN191" s="518"/>
      <c r="AO191" s="518"/>
      <c r="AP191" s="518"/>
      <c r="AQ191" s="518"/>
      <c r="AR191" s="518"/>
      <c r="AS191" s="518"/>
      <c r="AT191" s="518"/>
      <c r="AU191" s="518"/>
      <c r="AV191" s="518"/>
      <c r="AW191" s="518"/>
      <c r="AX191" s="518"/>
      <c r="AY191" s="518"/>
      <c r="AZ191" s="518"/>
      <c r="BA191" s="518"/>
      <c r="BB191" s="518"/>
      <c r="BC191" s="518"/>
      <c r="BD191" s="518"/>
      <c r="BE191" s="518"/>
    </row>
    <row r="192" spans="1:57" ht="12.75" customHeight="1">
      <c r="A192" s="518"/>
      <c r="B192" s="518"/>
      <c r="C192" s="518"/>
      <c r="D192" s="518"/>
      <c r="E192" s="518"/>
      <c r="F192" s="518"/>
      <c r="G192" s="518"/>
      <c r="H192" s="518"/>
      <c r="I192" s="518"/>
      <c r="J192" s="518"/>
      <c r="K192" s="518"/>
      <c r="L192" s="518"/>
      <c r="M192" s="518"/>
      <c r="N192" s="518"/>
      <c r="O192" s="518"/>
      <c r="P192" s="518"/>
      <c r="Q192" s="518"/>
      <c r="R192" s="518"/>
      <c r="S192" s="518"/>
      <c r="T192" s="518"/>
      <c r="U192" s="518"/>
      <c r="V192" s="518"/>
      <c r="W192" s="518"/>
      <c r="X192" s="518"/>
      <c r="Y192" s="518"/>
      <c r="Z192" s="518"/>
      <c r="AA192" s="518"/>
      <c r="AB192" s="518"/>
      <c r="AC192" s="518"/>
      <c r="AD192" s="518"/>
      <c r="AE192" s="518"/>
      <c r="AF192" s="518"/>
      <c r="AG192" s="518"/>
      <c r="AH192" s="518"/>
      <c r="AI192" s="518"/>
      <c r="AJ192" s="518"/>
      <c r="AK192" s="518"/>
      <c r="AL192" s="518"/>
      <c r="AM192" s="518"/>
      <c r="AN192" s="518"/>
      <c r="AO192" s="518"/>
      <c r="AP192" s="518"/>
      <c r="AQ192" s="518"/>
      <c r="AR192" s="518"/>
      <c r="AS192" s="518"/>
      <c r="AT192" s="518"/>
      <c r="AU192" s="518"/>
      <c r="AV192" s="518"/>
      <c r="AW192" s="518"/>
      <c r="AX192" s="518"/>
      <c r="AY192" s="518"/>
      <c r="AZ192" s="518"/>
      <c r="BA192" s="518"/>
      <c r="BB192" s="518"/>
      <c r="BC192" s="518"/>
      <c r="BD192" s="518"/>
      <c r="BE192" s="518"/>
    </row>
    <row r="193" spans="1:57" ht="12.75" customHeight="1">
      <c r="A193" s="518"/>
      <c r="B193" s="518"/>
      <c r="C193" s="518"/>
      <c r="D193" s="518"/>
      <c r="E193" s="518"/>
      <c r="F193" s="518"/>
      <c r="G193" s="518"/>
      <c r="H193" s="518"/>
      <c r="I193" s="518"/>
      <c r="J193" s="518"/>
      <c r="K193" s="518"/>
      <c r="L193" s="518"/>
      <c r="M193" s="518"/>
      <c r="N193" s="518"/>
      <c r="O193" s="518"/>
      <c r="P193" s="518"/>
      <c r="Q193" s="518"/>
      <c r="R193" s="518"/>
      <c r="S193" s="518"/>
      <c r="T193" s="518"/>
      <c r="U193" s="518"/>
      <c r="V193" s="518"/>
      <c r="W193" s="518"/>
      <c r="X193" s="518"/>
      <c r="Y193" s="518"/>
      <c r="Z193" s="518"/>
      <c r="AA193" s="518"/>
      <c r="AB193" s="518"/>
      <c r="AC193" s="518"/>
      <c r="AD193" s="518"/>
      <c r="AE193" s="518"/>
      <c r="AF193" s="518"/>
      <c r="AG193" s="518"/>
      <c r="AH193" s="518"/>
      <c r="AI193" s="518"/>
      <c r="AJ193" s="518"/>
      <c r="AK193" s="518"/>
      <c r="AL193" s="518"/>
      <c r="AM193" s="518"/>
      <c r="AN193" s="518"/>
      <c r="AO193" s="518"/>
      <c r="AP193" s="518"/>
      <c r="AQ193" s="518"/>
      <c r="AR193" s="518"/>
      <c r="AS193" s="518"/>
      <c r="AT193" s="518"/>
      <c r="AU193" s="518"/>
      <c r="AV193" s="518"/>
      <c r="AW193" s="518"/>
      <c r="AX193" s="518"/>
      <c r="AY193" s="518"/>
      <c r="AZ193" s="518"/>
      <c r="BA193" s="518"/>
      <c r="BB193" s="518"/>
      <c r="BC193" s="518"/>
      <c r="BD193" s="518"/>
      <c r="BE193" s="518"/>
    </row>
    <row r="194" spans="1:57" ht="12.75" customHeight="1">
      <c r="A194" s="518"/>
      <c r="B194" s="518"/>
      <c r="C194" s="518"/>
      <c r="D194" s="518"/>
      <c r="E194" s="518"/>
      <c r="F194" s="518"/>
      <c r="G194" s="518"/>
      <c r="H194" s="518"/>
      <c r="I194" s="518"/>
      <c r="J194" s="518"/>
      <c r="K194" s="518"/>
      <c r="L194" s="518"/>
      <c r="M194" s="518"/>
      <c r="N194" s="518"/>
      <c r="O194" s="518"/>
      <c r="P194" s="518"/>
      <c r="Q194" s="518"/>
      <c r="R194" s="518"/>
      <c r="S194" s="518"/>
      <c r="T194" s="518"/>
      <c r="U194" s="518"/>
      <c r="V194" s="518"/>
      <c r="W194" s="518"/>
      <c r="X194" s="518"/>
      <c r="Y194" s="518"/>
      <c r="Z194" s="518"/>
      <c r="AA194" s="518"/>
      <c r="AB194" s="518"/>
      <c r="AC194" s="518"/>
      <c r="AD194" s="518"/>
      <c r="AE194" s="518"/>
      <c r="AF194" s="518"/>
      <c r="AG194" s="518"/>
      <c r="AH194" s="518"/>
      <c r="AI194" s="518"/>
      <c r="AJ194" s="518"/>
      <c r="AK194" s="518"/>
      <c r="AL194" s="518"/>
      <c r="AM194" s="518"/>
      <c r="AN194" s="518"/>
      <c r="AO194" s="518"/>
      <c r="AP194" s="518"/>
      <c r="AQ194" s="518"/>
      <c r="AR194" s="518"/>
      <c r="AS194" s="518"/>
      <c r="AT194" s="518"/>
      <c r="AU194" s="518"/>
      <c r="AV194" s="518"/>
      <c r="AW194" s="518"/>
      <c r="AX194" s="518"/>
      <c r="AY194" s="518"/>
      <c r="AZ194" s="518"/>
      <c r="BA194" s="518"/>
      <c r="BB194" s="518"/>
      <c r="BC194" s="518"/>
      <c r="BD194" s="518"/>
      <c r="BE194" s="518"/>
    </row>
    <row r="195" spans="1:57" ht="12.75" customHeight="1">
      <c r="A195" s="518"/>
      <c r="B195" s="518"/>
      <c r="C195" s="518"/>
      <c r="D195" s="518"/>
      <c r="E195" s="518"/>
      <c r="F195" s="518"/>
      <c r="G195" s="518"/>
      <c r="H195" s="518"/>
      <c r="I195" s="518"/>
      <c r="J195" s="518"/>
      <c r="K195" s="518"/>
      <c r="L195" s="518"/>
      <c r="M195" s="518"/>
      <c r="N195" s="518"/>
      <c r="O195" s="518"/>
      <c r="P195" s="518"/>
      <c r="Q195" s="518"/>
      <c r="R195" s="518"/>
      <c r="S195" s="518"/>
      <c r="T195" s="518"/>
      <c r="U195" s="518"/>
      <c r="V195" s="518"/>
      <c r="W195" s="518"/>
      <c r="X195" s="518"/>
      <c r="Y195" s="518"/>
      <c r="Z195" s="518"/>
      <c r="AA195" s="518"/>
      <c r="AB195" s="518"/>
      <c r="AC195" s="518"/>
      <c r="AD195" s="518"/>
      <c r="AE195" s="518"/>
      <c r="AF195" s="518"/>
      <c r="AG195" s="518"/>
      <c r="AH195" s="518"/>
      <c r="AI195" s="518"/>
      <c r="AJ195" s="518"/>
      <c r="AK195" s="518"/>
      <c r="AL195" s="518"/>
      <c r="AM195" s="518"/>
      <c r="AN195" s="518"/>
      <c r="AO195" s="518"/>
      <c r="AP195" s="518"/>
      <c r="AQ195" s="518"/>
      <c r="AR195" s="518"/>
      <c r="AS195" s="518"/>
      <c r="AT195" s="518"/>
      <c r="AU195" s="518"/>
      <c r="AV195" s="518"/>
      <c r="AW195" s="518"/>
      <c r="AX195" s="518"/>
      <c r="AY195" s="518"/>
      <c r="AZ195" s="518"/>
      <c r="BA195" s="518"/>
      <c r="BB195" s="518"/>
      <c r="BC195" s="518"/>
      <c r="BD195" s="518"/>
      <c r="BE195" s="518"/>
    </row>
    <row r="196" spans="1:57" ht="12.75" customHeight="1">
      <c r="A196" s="518"/>
      <c r="B196" s="518"/>
      <c r="C196" s="518"/>
      <c r="D196" s="518"/>
      <c r="E196" s="518"/>
      <c r="F196" s="518"/>
      <c r="G196" s="518"/>
      <c r="H196" s="518"/>
      <c r="I196" s="518"/>
      <c r="J196" s="518"/>
      <c r="K196" s="518"/>
      <c r="L196" s="518"/>
      <c r="M196" s="518"/>
      <c r="N196" s="518"/>
      <c r="O196" s="518"/>
      <c r="P196" s="518"/>
      <c r="Q196" s="518"/>
      <c r="R196" s="518"/>
      <c r="S196" s="518"/>
      <c r="T196" s="518"/>
      <c r="U196" s="518"/>
      <c r="V196" s="518"/>
      <c r="W196" s="518"/>
      <c r="X196" s="518"/>
      <c r="Y196" s="518"/>
      <c r="Z196" s="518"/>
      <c r="AA196" s="518"/>
      <c r="AB196" s="518"/>
      <c r="AC196" s="518"/>
      <c r="AD196" s="518"/>
      <c r="AE196" s="518"/>
      <c r="AF196" s="518"/>
      <c r="AG196" s="518"/>
      <c r="AH196" s="518"/>
      <c r="AI196" s="518"/>
      <c r="AJ196" s="518"/>
      <c r="AK196" s="518"/>
      <c r="AL196" s="518"/>
      <c r="AM196" s="518"/>
      <c r="AN196" s="518"/>
      <c r="AO196" s="518"/>
      <c r="AP196" s="518"/>
      <c r="AQ196" s="518"/>
      <c r="AR196" s="518"/>
      <c r="AS196" s="518"/>
      <c r="AT196" s="518"/>
      <c r="AU196" s="518"/>
      <c r="AV196" s="518"/>
      <c r="AW196" s="518"/>
      <c r="AX196" s="518"/>
      <c r="AY196" s="518"/>
      <c r="AZ196" s="518"/>
      <c r="BA196" s="518"/>
      <c r="BB196" s="518"/>
      <c r="BC196" s="518"/>
      <c r="BD196" s="518"/>
      <c r="BE196" s="518"/>
    </row>
    <row r="197" spans="1:57" ht="12.75" customHeight="1">
      <c r="A197" s="518"/>
      <c r="B197" s="518"/>
      <c r="C197" s="518"/>
      <c r="D197" s="518"/>
      <c r="E197" s="518"/>
      <c r="F197" s="518"/>
      <c r="G197" s="518"/>
      <c r="H197" s="518"/>
      <c r="I197" s="518"/>
      <c r="J197" s="518"/>
      <c r="K197" s="518"/>
      <c r="L197" s="518"/>
      <c r="M197" s="518"/>
      <c r="N197" s="518"/>
      <c r="O197" s="518"/>
      <c r="P197" s="518"/>
      <c r="Q197" s="518"/>
      <c r="R197" s="518"/>
      <c r="S197" s="518"/>
      <c r="T197" s="518"/>
      <c r="U197" s="518"/>
      <c r="V197" s="518"/>
      <c r="W197" s="518"/>
      <c r="X197" s="518"/>
      <c r="Y197" s="518"/>
      <c r="Z197" s="518"/>
      <c r="AA197" s="518"/>
      <c r="AB197" s="518"/>
      <c r="AC197" s="518"/>
      <c r="AD197" s="518"/>
      <c r="AE197" s="518"/>
      <c r="AF197" s="518"/>
      <c r="AG197" s="518"/>
      <c r="AH197" s="518"/>
      <c r="AI197" s="518"/>
      <c r="AJ197" s="518"/>
      <c r="AK197" s="518"/>
      <c r="AL197" s="518"/>
      <c r="AM197" s="518"/>
      <c r="AN197" s="518"/>
      <c r="AO197" s="518"/>
      <c r="AP197" s="518"/>
      <c r="AQ197" s="518"/>
      <c r="AR197" s="518"/>
      <c r="AS197" s="518"/>
      <c r="AT197" s="518"/>
      <c r="AU197" s="518"/>
      <c r="AV197" s="518"/>
      <c r="AW197" s="518"/>
      <c r="AX197" s="518"/>
      <c r="AY197" s="518"/>
      <c r="AZ197" s="518"/>
      <c r="BA197" s="518"/>
      <c r="BB197" s="518"/>
      <c r="BC197" s="518"/>
      <c r="BD197" s="518"/>
      <c r="BE197" s="518"/>
    </row>
    <row r="198" spans="1:57" ht="12.75" customHeight="1">
      <c r="A198" s="518"/>
      <c r="B198" s="518"/>
      <c r="C198" s="518"/>
      <c r="D198" s="518"/>
      <c r="E198" s="518"/>
      <c r="F198" s="518"/>
      <c r="G198" s="518"/>
      <c r="H198" s="518"/>
      <c r="I198" s="518"/>
      <c r="J198" s="518"/>
      <c r="K198" s="518"/>
      <c r="L198" s="518"/>
      <c r="M198" s="518"/>
      <c r="N198" s="518"/>
      <c r="O198" s="518"/>
      <c r="P198" s="518"/>
      <c r="Q198" s="518"/>
      <c r="R198" s="518"/>
      <c r="S198" s="518"/>
      <c r="T198" s="518"/>
      <c r="U198" s="518"/>
      <c r="V198" s="518"/>
      <c r="W198" s="518"/>
      <c r="X198" s="518"/>
      <c r="Y198" s="518"/>
      <c r="Z198" s="518"/>
      <c r="AA198" s="518"/>
      <c r="AB198" s="518"/>
      <c r="AC198" s="518"/>
      <c r="AD198" s="518"/>
      <c r="AE198" s="518"/>
      <c r="AF198" s="518"/>
      <c r="AG198" s="518"/>
      <c r="AH198" s="518"/>
      <c r="AI198" s="518"/>
      <c r="AJ198" s="518"/>
      <c r="AK198" s="518"/>
      <c r="AL198" s="518"/>
      <c r="AM198" s="518"/>
      <c r="AN198" s="518"/>
      <c r="AO198" s="518"/>
      <c r="AP198" s="518"/>
      <c r="AQ198" s="518"/>
      <c r="AR198" s="518"/>
      <c r="AS198" s="518"/>
      <c r="AT198" s="518"/>
      <c r="AU198" s="518"/>
      <c r="AV198" s="518"/>
      <c r="AW198" s="518"/>
      <c r="AX198" s="518"/>
      <c r="AY198" s="518"/>
      <c r="AZ198" s="518"/>
      <c r="BA198" s="518"/>
      <c r="BB198" s="518"/>
      <c r="BC198" s="518"/>
      <c r="BD198" s="518"/>
      <c r="BE198" s="518"/>
    </row>
    <row r="199" spans="1:57" ht="12.75" customHeight="1">
      <c r="A199" s="518"/>
      <c r="B199" s="518"/>
      <c r="C199" s="518"/>
      <c r="D199" s="518"/>
      <c r="E199" s="518"/>
      <c r="F199" s="518"/>
      <c r="G199" s="518"/>
      <c r="H199" s="518"/>
      <c r="I199" s="518"/>
      <c r="J199" s="518"/>
      <c r="K199" s="518"/>
      <c r="L199" s="518"/>
      <c r="M199" s="518"/>
      <c r="N199" s="518"/>
      <c r="O199" s="518"/>
      <c r="P199" s="518"/>
      <c r="Q199" s="518"/>
      <c r="R199" s="518"/>
      <c r="S199" s="518"/>
      <c r="T199" s="518"/>
      <c r="U199" s="518"/>
      <c r="V199" s="518"/>
      <c r="W199" s="518"/>
      <c r="X199" s="518"/>
      <c r="Y199" s="518"/>
      <c r="Z199" s="518"/>
      <c r="AA199" s="518"/>
      <c r="AB199" s="518"/>
      <c r="AC199" s="518"/>
      <c r="AD199" s="518"/>
      <c r="AE199" s="518"/>
      <c r="AF199" s="518"/>
      <c r="AG199" s="518"/>
      <c r="AH199" s="518"/>
      <c r="AI199" s="518"/>
      <c r="AJ199" s="518"/>
      <c r="AK199" s="518"/>
      <c r="AL199" s="518"/>
      <c r="AM199" s="518"/>
      <c r="AN199" s="518"/>
      <c r="AO199" s="518"/>
      <c r="AP199" s="518"/>
      <c r="AQ199" s="518"/>
      <c r="AR199" s="518"/>
      <c r="AS199" s="518"/>
      <c r="AT199" s="518"/>
      <c r="AU199" s="518"/>
      <c r="AV199" s="518"/>
      <c r="AW199" s="518"/>
      <c r="AX199" s="518"/>
      <c r="AY199" s="518"/>
      <c r="AZ199" s="518"/>
      <c r="BA199" s="518"/>
      <c r="BB199" s="518"/>
      <c r="BC199" s="518"/>
      <c r="BD199" s="518"/>
      <c r="BE199" s="518"/>
    </row>
    <row r="200" spans="1:57" ht="12.75" customHeight="1">
      <c r="A200" s="518"/>
      <c r="B200" s="518"/>
      <c r="C200" s="518"/>
      <c r="D200" s="518"/>
      <c r="E200" s="518"/>
      <c r="F200" s="518"/>
      <c r="G200" s="518"/>
      <c r="H200" s="518"/>
      <c r="I200" s="518"/>
      <c r="J200" s="518"/>
      <c r="K200" s="518"/>
      <c r="L200" s="518"/>
      <c r="M200" s="518"/>
      <c r="N200" s="518"/>
      <c r="O200" s="518"/>
      <c r="P200" s="518"/>
      <c r="Q200" s="518"/>
      <c r="R200" s="518"/>
      <c r="S200" s="518"/>
      <c r="T200" s="518"/>
      <c r="U200" s="518"/>
      <c r="V200" s="518"/>
      <c r="W200" s="518"/>
      <c r="X200" s="518"/>
      <c r="Y200" s="518"/>
      <c r="Z200" s="518"/>
      <c r="AA200" s="518"/>
      <c r="AB200" s="518"/>
      <c r="AC200" s="518"/>
      <c r="AD200" s="518"/>
      <c r="AE200" s="518"/>
      <c r="AF200" s="518"/>
      <c r="AG200" s="518"/>
      <c r="AH200" s="518"/>
      <c r="AI200" s="518"/>
      <c r="AJ200" s="518"/>
      <c r="AK200" s="518"/>
      <c r="AL200" s="518"/>
      <c r="AM200" s="518"/>
      <c r="AN200" s="518"/>
      <c r="AO200" s="518"/>
      <c r="AP200" s="518"/>
      <c r="AQ200" s="518"/>
      <c r="AR200" s="518"/>
      <c r="AS200" s="518"/>
      <c r="AT200" s="518"/>
      <c r="AU200" s="518"/>
      <c r="AV200" s="518"/>
      <c r="AW200" s="518"/>
      <c r="AX200" s="518"/>
      <c r="AY200" s="518"/>
      <c r="AZ200" s="518"/>
      <c r="BA200" s="518"/>
      <c r="BB200" s="518"/>
      <c r="BC200" s="518"/>
      <c r="BD200" s="518"/>
      <c r="BE200" s="518"/>
    </row>
    <row r="201" spans="1:57" ht="12.75" customHeight="1">
      <c r="A201" s="518"/>
      <c r="B201" s="518"/>
      <c r="C201" s="518"/>
      <c r="D201" s="518"/>
      <c r="E201" s="518"/>
      <c r="F201" s="518"/>
      <c r="G201" s="518"/>
      <c r="H201" s="518"/>
      <c r="I201" s="518"/>
      <c r="J201" s="518"/>
      <c r="K201" s="518"/>
      <c r="L201" s="518"/>
      <c r="M201" s="518"/>
      <c r="N201" s="518"/>
      <c r="O201" s="518"/>
      <c r="P201" s="518"/>
      <c r="Q201" s="518"/>
      <c r="R201" s="518"/>
      <c r="S201" s="518"/>
      <c r="T201" s="518"/>
      <c r="U201" s="518"/>
      <c r="V201" s="518"/>
      <c r="W201" s="518"/>
      <c r="X201" s="518"/>
      <c r="Y201" s="518"/>
      <c r="Z201" s="518"/>
      <c r="AA201" s="518"/>
      <c r="AB201" s="518"/>
      <c r="AC201" s="518"/>
      <c r="AD201" s="518"/>
      <c r="AE201" s="518"/>
      <c r="AF201" s="518"/>
      <c r="AG201" s="518"/>
      <c r="AH201" s="518"/>
      <c r="AI201" s="518"/>
      <c r="AJ201" s="518"/>
      <c r="AK201" s="518"/>
      <c r="AL201" s="518"/>
      <c r="AM201" s="518"/>
      <c r="AN201" s="518"/>
      <c r="AO201" s="518"/>
      <c r="AP201" s="518"/>
      <c r="AQ201" s="518"/>
      <c r="AR201" s="518"/>
      <c r="AS201" s="518"/>
      <c r="AT201" s="518"/>
      <c r="AU201" s="518"/>
      <c r="AV201" s="518"/>
      <c r="AW201" s="518"/>
      <c r="AX201" s="518"/>
      <c r="AY201" s="518"/>
      <c r="AZ201" s="518"/>
      <c r="BA201" s="518"/>
      <c r="BB201" s="518"/>
      <c r="BC201" s="518"/>
      <c r="BD201" s="518"/>
      <c r="BE201" s="518"/>
    </row>
    <row r="202" spans="1:57" ht="12.75" customHeight="1">
      <c r="A202" s="518"/>
      <c r="B202" s="518"/>
      <c r="C202" s="518"/>
      <c r="D202" s="518"/>
      <c r="E202" s="518"/>
      <c r="F202" s="518"/>
      <c r="G202" s="518"/>
      <c r="H202" s="518"/>
      <c r="I202" s="518"/>
      <c r="J202" s="518"/>
      <c r="K202" s="518"/>
      <c r="L202" s="518"/>
      <c r="M202" s="518"/>
      <c r="N202" s="518"/>
      <c r="O202" s="518"/>
      <c r="P202" s="518"/>
      <c r="Q202" s="518"/>
      <c r="R202" s="518"/>
      <c r="S202" s="518"/>
      <c r="T202" s="518"/>
      <c r="U202" s="518"/>
      <c r="V202" s="518"/>
      <c r="W202" s="518"/>
      <c r="X202" s="518"/>
      <c r="Y202" s="518"/>
      <c r="Z202" s="518"/>
      <c r="AA202" s="518"/>
      <c r="AB202" s="518"/>
      <c r="AC202" s="518"/>
      <c r="AD202" s="518"/>
      <c r="AE202" s="518"/>
      <c r="AF202" s="518"/>
      <c r="AG202" s="518"/>
      <c r="AH202" s="518"/>
      <c r="AI202" s="518"/>
      <c r="AJ202" s="518"/>
      <c r="AK202" s="518"/>
      <c r="AL202" s="518"/>
      <c r="AM202" s="518"/>
      <c r="AN202" s="518"/>
      <c r="AO202" s="518"/>
      <c r="AP202" s="518"/>
      <c r="AQ202" s="518"/>
      <c r="AR202" s="518"/>
      <c r="AS202" s="518"/>
      <c r="AT202" s="518"/>
      <c r="AU202" s="518"/>
      <c r="AV202" s="518"/>
      <c r="AW202" s="518"/>
      <c r="AX202" s="518"/>
      <c r="AY202" s="518"/>
      <c r="AZ202" s="518"/>
      <c r="BA202" s="518"/>
      <c r="BB202" s="518"/>
      <c r="BC202" s="518"/>
      <c r="BD202" s="518"/>
      <c r="BE202" s="518"/>
    </row>
    <row r="203" spans="1:57" ht="12.75" customHeight="1">
      <c r="A203" s="518"/>
      <c r="B203" s="518"/>
      <c r="C203" s="518"/>
      <c r="D203" s="518"/>
      <c r="E203" s="518"/>
      <c r="F203" s="518"/>
      <c r="G203" s="518"/>
      <c r="H203" s="518"/>
      <c r="I203" s="518"/>
      <c r="J203" s="518"/>
      <c r="K203" s="518"/>
      <c r="L203" s="518"/>
      <c r="M203" s="518"/>
      <c r="N203" s="518"/>
      <c r="O203" s="518"/>
      <c r="P203" s="518"/>
      <c r="Q203" s="518"/>
      <c r="R203" s="518"/>
      <c r="S203" s="518"/>
      <c r="T203" s="518"/>
      <c r="U203" s="518"/>
      <c r="V203" s="518"/>
      <c r="W203" s="518"/>
      <c r="X203" s="518"/>
      <c r="Y203" s="518"/>
      <c r="Z203" s="518"/>
      <c r="AA203" s="518"/>
      <c r="AB203" s="518"/>
      <c r="AC203" s="518"/>
      <c r="AD203" s="518"/>
      <c r="AE203" s="518"/>
      <c r="AF203" s="518"/>
      <c r="AG203" s="518"/>
      <c r="AH203" s="518"/>
      <c r="AI203" s="518"/>
      <c r="AJ203" s="518"/>
      <c r="AK203" s="518"/>
      <c r="AL203" s="518"/>
      <c r="AM203" s="518"/>
      <c r="AN203" s="518"/>
      <c r="AO203" s="518"/>
      <c r="AP203" s="518"/>
      <c r="AQ203" s="518"/>
      <c r="AR203" s="518"/>
      <c r="AS203" s="518"/>
      <c r="AT203" s="518"/>
      <c r="AU203" s="518"/>
      <c r="AV203" s="518"/>
      <c r="AW203" s="518"/>
      <c r="AX203" s="518"/>
      <c r="AY203" s="518"/>
      <c r="AZ203" s="518"/>
      <c r="BA203" s="518"/>
      <c r="BB203" s="518"/>
      <c r="BC203" s="518"/>
      <c r="BD203" s="518"/>
      <c r="BE203" s="518"/>
    </row>
    <row r="204" spans="1:57" ht="12.75" customHeight="1">
      <c r="A204" s="518"/>
      <c r="B204" s="518"/>
      <c r="C204" s="518"/>
      <c r="D204" s="518"/>
      <c r="E204" s="518"/>
      <c r="F204" s="518"/>
      <c r="G204" s="518"/>
      <c r="H204" s="518"/>
      <c r="I204" s="518"/>
      <c r="J204" s="518"/>
      <c r="K204" s="518"/>
      <c r="L204" s="518"/>
      <c r="M204" s="518"/>
      <c r="N204" s="518"/>
      <c r="O204" s="518"/>
      <c r="P204" s="518"/>
      <c r="Q204" s="518"/>
      <c r="R204" s="518"/>
      <c r="S204" s="518"/>
      <c r="T204" s="518"/>
      <c r="U204" s="518"/>
      <c r="V204" s="518"/>
      <c r="W204" s="518"/>
      <c r="X204" s="518"/>
      <c r="Y204" s="518"/>
      <c r="Z204" s="518"/>
      <c r="AA204" s="518"/>
      <c r="AB204" s="518"/>
      <c r="AC204" s="518"/>
      <c r="AD204" s="518"/>
      <c r="AE204" s="518"/>
      <c r="AF204" s="518"/>
      <c r="AG204" s="518"/>
      <c r="AH204" s="518"/>
      <c r="AI204" s="518"/>
      <c r="AJ204" s="518"/>
      <c r="AK204" s="518"/>
      <c r="AL204" s="518"/>
      <c r="AM204" s="518"/>
      <c r="AN204" s="518"/>
      <c r="AO204" s="518"/>
      <c r="AP204" s="518"/>
      <c r="AQ204" s="518"/>
      <c r="AR204" s="518"/>
      <c r="AS204" s="518"/>
      <c r="AT204" s="518"/>
      <c r="AU204" s="518"/>
      <c r="AV204" s="518"/>
      <c r="AW204" s="518"/>
      <c r="AX204" s="518"/>
      <c r="AY204" s="518"/>
      <c r="AZ204" s="518"/>
      <c r="BA204" s="518"/>
      <c r="BB204" s="518"/>
      <c r="BC204" s="518"/>
      <c r="BD204" s="518"/>
      <c r="BE204" s="518"/>
    </row>
    <row r="205" spans="1:57" ht="12.75" customHeight="1">
      <c r="A205" s="518"/>
      <c r="B205" s="518"/>
      <c r="C205" s="518"/>
      <c r="D205" s="518"/>
      <c r="E205" s="518"/>
      <c r="F205" s="518"/>
      <c r="G205" s="518"/>
      <c r="H205" s="518"/>
      <c r="I205" s="518"/>
      <c r="J205" s="518"/>
      <c r="K205" s="518"/>
      <c r="L205" s="518"/>
      <c r="M205" s="518"/>
      <c r="N205" s="518"/>
      <c r="O205" s="518"/>
      <c r="P205" s="518"/>
      <c r="Q205" s="518"/>
      <c r="R205" s="518"/>
      <c r="S205" s="518"/>
      <c r="T205" s="518"/>
      <c r="U205" s="518"/>
      <c r="V205" s="518"/>
      <c r="W205" s="518"/>
      <c r="X205" s="518"/>
      <c r="Y205" s="518"/>
      <c r="Z205" s="518"/>
      <c r="AA205" s="518"/>
      <c r="AB205" s="518"/>
      <c r="AC205" s="518"/>
      <c r="AD205" s="518"/>
      <c r="AE205" s="518"/>
      <c r="AF205" s="518"/>
      <c r="AG205" s="518"/>
      <c r="AH205" s="518"/>
      <c r="AI205" s="518"/>
      <c r="AJ205" s="518"/>
      <c r="AK205" s="518"/>
      <c r="AL205" s="518"/>
      <c r="AM205" s="518"/>
      <c r="AN205" s="518"/>
      <c r="AO205" s="518"/>
      <c r="AP205" s="518"/>
      <c r="AQ205" s="518"/>
      <c r="AR205" s="518"/>
      <c r="AS205" s="518"/>
      <c r="AT205" s="518"/>
      <c r="AU205" s="518"/>
      <c r="AV205" s="518"/>
      <c r="AW205" s="518"/>
      <c r="AX205" s="518"/>
      <c r="AY205" s="518"/>
      <c r="AZ205" s="518"/>
      <c r="BA205" s="518"/>
      <c r="BB205" s="518"/>
      <c r="BC205" s="518"/>
      <c r="BD205" s="518"/>
      <c r="BE205" s="518"/>
    </row>
    <row r="206" spans="1:57" ht="12.75" customHeight="1">
      <c r="A206" s="518"/>
      <c r="B206" s="518"/>
      <c r="C206" s="518"/>
      <c r="D206" s="518"/>
      <c r="E206" s="518"/>
      <c r="F206" s="518"/>
      <c r="G206" s="518"/>
      <c r="H206" s="518"/>
      <c r="I206" s="518"/>
      <c r="J206" s="518"/>
      <c r="K206" s="518"/>
      <c r="L206" s="518"/>
      <c r="M206" s="518"/>
      <c r="N206" s="518"/>
      <c r="O206" s="518"/>
      <c r="P206" s="518"/>
      <c r="Q206" s="518"/>
      <c r="R206" s="518"/>
      <c r="S206" s="518"/>
      <c r="T206" s="518"/>
      <c r="U206" s="518"/>
      <c r="V206" s="518"/>
      <c r="W206" s="518"/>
      <c r="X206" s="518"/>
      <c r="Y206" s="518"/>
      <c r="Z206" s="518"/>
      <c r="AA206" s="518"/>
      <c r="AB206" s="518"/>
      <c r="AC206" s="518"/>
      <c r="AD206" s="518"/>
      <c r="AE206" s="518"/>
      <c r="AF206" s="518"/>
      <c r="AG206" s="518"/>
      <c r="AH206" s="518"/>
      <c r="AI206" s="518"/>
      <c r="AJ206" s="518"/>
      <c r="AK206" s="518"/>
      <c r="AL206" s="518"/>
      <c r="AM206" s="518"/>
      <c r="AN206" s="518"/>
      <c r="AO206" s="518"/>
      <c r="AP206" s="518"/>
      <c r="AQ206" s="518"/>
      <c r="AR206" s="518"/>
      <c r="AS206" s="518"/>
      <c r="AT206" s="518"/>
      <c r="AU206" s="518"/>
      <c r="AV206" s="518"/>
      <c r="AW206" s="518"/>
      <c r="AX206" s="518"/>
      <c r="AY206" s="518"/>
      <c r="AZ206" s="518"/>
      <c r="BA206" s="518"/>
      <c r="BB206" s="518"/>
      <c r="BC206" s="518"/>
      <c r="BD206" s="518"/>
      <c r="BE206" s="518"/>
    </row>
    <row r="207" spans="1:57" ht="12.75" customHeight="1">
      <c r="A207" s="518"/>
      <c r="B207" s="518"/>
      <c r="C207" s="518"/>
      <c r="D207" s="518"/>
      <c r="E207" s="518"/>
      <c r="F207" s="518"/>
      <c r="G207" s="518"/>
      <c r="H207" s="518"/>
      <c r="I207" s="518"/>
      <c r="J207" s="518"/>
      <c r="K207" s="518"/>
      <c r="L207" s="518"/>
      <c r="M207" s="518"/>
      <c r="N207" s="518"/>
      <c r="O207" s="518"/>
      <c r="P207" s="518"/>
      <c r="Q207" s="518"/>
      <c r="R207" s="518"/>
      <c r="S207" s="518"/>
      <c r="T207" s="518"/>
      <c r="U207" s="518"/>
      <c r="V207" s="518"/>
      <c r="W207" s="518"/>
      <c r="X207" s="518"/>
      <c r="Y207" s="518"/>
      <c r="Z207" s="518"/>
      <c r="AA207" s="518"/>
      <c r="AB207" s="518"/>
      <c r="AC207" s="518"/>
      <c r="AD207" s="518"/>
      <c r="AE207" s="518"/>
      <c r="AF207" s="518"/>
      <c r="AG207" s="518"/>
      <c r="AH207" s="518"/>
      <c r="AI207" s="518"/>
      <c r="AJ207" s="518"/>
      <c r="AK207" s="518"/>
      <c r="AL207" s="518"/>
      <c r="AM207" s="518"/>
      <c r="AN207" s="518"/>
      <c r="AO207" s="518"/>
      <c r="AP207" s="518"/>
      <c r="AQ207" s="518"/>
      <c r="AR207" s="518"/>
      <c r="AS207" s="518"/>
      <c r="AT207" s="518"/>
      <c r="AU207" s="518"/>
      <c r="AV207" s="518"/>
      <c r="AW207" s="518"/>
      <c r="AX207" s="518"/>
      <c r="AY207" s="518"/>
      <c r="AZ207" s="518"/>
      <c r="BA207" s="518"/>
      <c r="BB207" s="518"/>
      <c r="BC207" s="518"/>
      <c r="BD207" s="518"/>
      <c r="BE207" s="518"/>
    </row>
    <row r="208" spans="1:57" ht="12.75" customHeight="1">
      <c r="A208" s="518"/>
      <c r="B208" s="518"/>
      <c r="C208" s="518"/>
      <c r="D208" s="518"/>
      <c r="E208" s="518"/>
      <c r="F208" s="518"/>
      <c r="G208" s="518"/>
      <c r="H208" s="518"/>
      <c r="I208" s="518"/>
      <c r="J208" s="518"/>
      <c r="K208" s="518"/>
      <c r="L208" s="518"/>
      <c r="M208" s="518"/>
      <c r="N208" s="518"/>
      <c r="O208" s="518"/>
      <c r="P208" s="518"/>
      <c r="Q208" s="518"/>
      <c r="R208" s="518"/>
      <c r="S208" s="518"/>
      <c r="T208" s="518"/>
      <c r="U208" s="518"/>
      <c r="V208" s="518"/>
      <c r="W208" s="518"/>
      <c r="X208" s="518"/>
      <c r="Y208" s="518"/>
      <c r="Z208" s="518"/>
      <c r="AA208" s="518"/>
      <c r="AB208" s="518"/>
      <c r="AC208" s="518"/>
      <c r="AD208" s="518"/>
      <c r="AE208" s="518"/>
      <c r="AF208" s="518"/>
      <c r="AG208" s="518"/>
      <c r="AH208" s="518"/>
      <c r="AI208" s="518"/>
      <c r="AJ208" s="518"/>
      <c r="AK208" s="518"/>
      <c r="AL208" s="518"/>
      <c r="AM208" s="518"/>
      <c r="AN208" s="518"/>
      <c r="AO208" s="518"/>
      <c r="AP208" s="518"/>
      <c r="AQ208" s="518"/>
      <c r="AR208" s="518"/>
      <c r="AS208" s="518"/>
      <c r="AT208" s="518"/>
      <c r="AU208" s="518"/>
      <c r="AV208" s="518"/>
      <c r="AW208" s="518"/>
      <c r="AX208" s="518"/>
      <c r="AY208" s="518"/>
      <c r="AZ208" s="518"/>
      <c r="BA208" s="518"/>
      <c r="BB208" s="518"/>
      <c r="BC208" s="518"/>
      <c r="BD208" s="518"/>
      <c r="BE208" s="518"/>
    </row>
    <row r="209" spans="1:57" ht="12.75" customHeight="1">
      <c r="A209" s="518"/>
      <c r="B209" s="518"/>
      <c r="C209" s="518"/>
      <c r="D209" s="518"/>
      <c r="E209" s="518"/>
      <c r="F209" s="518"/>
      <c r="G209" s="518"/>
      <c r="H209" s="518"/>
      <c r="I209" s="518"/>
      <c r="J209" s="518"/>
      <c r="K209" s="518"/>
      <c r="L209" s="518"/>
      <c r="M209" s="518"/>
      <c r="N209" s="518"/>
      <c r="O209" s="518"/>
      <c r="P209" s="518"/>
      <c r="Q209" s="518"/>
      <c r="R209" s="518"/>
      <c r="S209" s="518"/>
      <c r="T209" s="518"/>
      <c r="U209" s="518"/>
      <c r="V209" s="518"/>
      <c r="W209" s="518"/>
      <c r="X209" s="518"/>
      <c r="Y209" s="518"/>
      <c r="Z209" s="518"/>
      <c r="AA209" s="518"/>
      <c r="AB209" s="518"/>
      <c r="AC209" s="518"/>
      <c r="AD209" s="518"/>
      <c r="AE209" s="518"/>
      <c r="AF209" s="518"/>
      <c r="AG209" s="518"/>
      <c r="AH209" s="518"/>
      <c r="AI209" s="518"/>
      <c r="AJ209" s="518"/>
      <c r="AK209" s="518"/>
      <c r="AL209" s="518"/>
      <c r="AM209" s="518"/>
      <c r="AN209" s="518"/>
      <c r="AO209" s="518"/>
      <c r="AP209" s="518"/>
      <c r="AQ209" s="518"/>
      <c r="AR209" s="518"/>
      <c r="AS209" s="518"/>
      <c r="AT209" s="518"/>
      <c r="AU209" s="518"/>
      <c r="AV209" s="518"/>
      <c r="AW209" s="518"/>
      <c r="AX209" s="518"/>
      <c r="AY209" s="518"/>
      <c r="AZ209" s="518"/>
      <c r="BA209" s="518"/>
      <c r="BB209" s="518"/>
      <c r="BC209" s="518"/>
      <c r="BD209" s="518"/>
      <c r="BE209" s="518"/>
    </row>
    <row r="210" spans="1:57" ht="12.75" customHeight="1">
      <c r="A210" s="518"/>
      <c r="B210" s="518"/>
      <c r="C210" s="518"/>
      <c r="D210" s="518"/>
      <c r="E210" s="518"/>
      <c r="F210" s="518"/>
      <c r="G210" s="518"/>
      <c r="H210" s="518"/>
      <c r="I210" s="518"/>
      <c r="J210" s="518"/>
      <c r="K210" s="518"/>
      <c r="L210" s="518"/>
      <c r="M210" s="518"/>
      <c r="N210" s="518"/>
      <c r="O210" s="518"/>
      <c r="P210" s="518"/>
      <c r="Q210" s="518"/>
      <c r="R210" s="518"/>
      <c r="S210" s="518"/>
      <c r="T210" s="518"/>
      <c r="U210" s="518"/>
      <c r="V210" s="518"/>
      <c r="W210" s="518"/>
      <c r="X210" s="518"/>
      <c r="Y210" s="518"/>
      <c r="Z210" s="518"/>
      <c r="AA210" s="518"/>
      <c r="AB210" s="518"/>
      <c r="AC210" s="518"/>
      <c r="AD210" s="518"/>
      <c r="AE210" s="518"/>
      <c r="AF210" s="518"/>
      <c r="AG210" s="518"/>
      <c r="AH210" s="518"/>
      <c r="AI210" s="518"/>
      <c r="AJ210" s="518"/>
      <c r="AK210" s="518"/>
      <c r="AL210" s="518"/>
      <c r="AM210" s="518"/>
      <c r="AN210" s="518"/>
      <c r="AO210" s="518"/>
      <c r="AP210" s="518"/>
      <c r="AQ210" s="518"/>
      <c r="AR210" s="518"/>
      <c r="AS210" s="518"/>
      <c r="AT210" s="518"/>
      <c r="AU210" s="518"/>
      <c r="AV210" s="518"/>
      <c r="AW210" s="518"/>
      <c r="AX210" s="518"/>
      <c r="AY210" s="518"/>
      <c r="AZ210" s="518"/>
      <c r="BA210" s="518"/>
      <c r="BB210" s="518"/>
      <c r="BC210" s="518"/>
      <c r="BD210" s="518"/>
      <c r="BE210" s="518"/>
    </row>
    <row r="211" spans="1:57" ht="12.75" customHeight="1">
      <c r="A211" s="518"/>
      <c r="B211" s="518"/>
      <c r="C211" s="518"/>
      <c r="D211" s="518"/>
      <c r="E211" s="518"/>
      <c r="F211" s="518"/>
      <c r="G211" s="518"/>
      <c r="H211" s="518"/>
      <c r="I211" s="518"/>
      <c r="J211" s="518"/>
      <c r="K211" s="518"/>
      <c r="L211" s="518"/>
      <c r="M211" s="518"/>
      <c r="N211" s="518"/>
      <c r="O211" s="518"/>
      <c r="P211" s="518"/>
      <c r="Q211" s="518"/>
      <c r="R211" s="518"/>
      <c r="S211" s="518"/>
      <c r="T211" s="518"/>
      <c r="U211" s="518"/>
      <c r="V211" s="518"/>
      <c r="W211" s="518"/>
      <c r="X211" s="518"/>
      <c r="Y211" s="518"/>
      <c r="Z211" s="518"/>
      <c r="AA211" s="518"/>
      <c r="AB211" s="518"/>
      <c r="AC211" s="518"/>
      <c r="AD211" s="518"/>
      <c r="AE211" s="518"/>
      <c r="AF211" s="518"/>
      <c r="AG211" s="518"/>
      <c r="AH211" s="518"/>
      <c r="AI211" s="518"/>
      <c r="AJ211" s="518"/>
      <c r="AK211" s="518"/>
      <c r="AL211" s="518"/>
      <c r="AM211" s="518"/>
      <c r="AN211" s="518"/>
      <c r="AO211" s="518"/>
      <c r="AP211" s="518"/>
      <c r="AQ211" s="518"/>
      <c r="AR211" s="518"/>
      <c r="AS211" s="518"/>
      <c r="AT211" s="518"/>
      <c r="AU211" s="518"/>
      <c r="AV211" s="518"/>
      <c r="AW211" s="518"/>
      <c r="AX211" s="518"/>
      <c r="AY211" s="518"/>
      <c r="AZ211" s="518"/>
      <c r="BA211" s="518"/>
      <c r="BB211" s="518"/>
      <c r="BC211" s="518"/>
      <c r="BD211" s="518"/>
      <c r="BE211" s="518"/>
    </row>
    <row r="212" spans="1:57" ht="12.75" customHeight="1">
      <c r="A212" s="518"/>
      <c r="B212" s="518"/>
      <c r="C212" s="518"/>
      <c r="D212" s="518"/>
      <c r="E212" s="518"/>
      <c r="F212" s="518"/>
      <c r="G212" s="518"/>
      <c r="H212" s="518"/>
      <c r="I212" s="518"/>
      <c r="J212" s="518"/>
      <c r="K212" s="518"/>
      <c r="L212" s="518"/>
      <c r="M212" s="518"/>
      <c r="N212" s="518"/>
      <c r="O212" s="518"/>
      <c r="P212" s="518"/>
      <c r="Q212" s="518"/>
      <c r="R212" s="518"/>
      <c r="S212" s="518"/>
      <c r="T212" s="518"/>
      <c r="U212" s="518"/>
      <c r="V212" s="518"/>
      <c r="W212" s="518"/>
      <c r="X212" s="518"/>
      <c r="Y212" s="518"/>
      <c r="Z212" s="518"/>
      <c r="AA212" s="518"/>
      <c r="AB212" s="518"/>
      <c r="AC212" s="518"/>
      <c r="AD212" s="518"/>
      <c r="AE212" s="518"/>
      <c r="AF212" s="518"/>
      <c r="AG212" s="518"/>
      <c r="AH212" s="518"/>
      <c r="AI212" s="518"/>
      <c r="AJ212" s="518"/>
      <c r="AK212" s="518"/>
      <c r="AL212" s="518"/>
      <c r="AM212" s="518"/>
      <c r="AN212" s="518"/>
      <c r="AO212" s="518"/>
      <c r="AP212" s="518"/>
      <c r="AQ212" s="518"/>
      <c r="AR212" s="518"/>
      <c r="AS212" s="518"/>
      <c r="AT212" s="518"/>
      <c r="AU212" s="518"/>
      <c r="AV212" s="518"/>
      <c r="AW212" s="518"/>
      <c r="AX212" s="518"/>
      <c r="AY212" s="518"/>
      <c r="AZ212" s="518"/>
      <c r="BA212" s="518"/>
      <c r="BB212" s="518"/>
      <c r="BC212" s="518"/>
      <c r="BD212" s="518"/>
      <c r="BE212" s="518"/>
    </row>
    <row r="213" spans="1:57" ht="12.75" customHeight="1">
      <c r="A213" s="518"/>
      <c r="B213" s="518"/>
      <c r="C213" s="518"/>
      <c r="D213" s="518"/>
      <c r="E213" s="518"/>
      <c r="F213" s="518"/>
      <c r="G213" s="518"/>
      <c r="H213" s="518"/>
      <c r="I213" s="518"/>
      <c r="J213" s="518"/>
      <c r="K213" s="518"/>
      <c r="L213" s="518"/>
      <c r="M213" s="518"/>
      <c r="N213" s="518"/>
      <c r="O213" s="518"/>
      <c r="P213" s="518"/>
      <c r="Q213" s="518"/>
      <c r="R213" s="518"/>
      <c r="S213" s="518"/>
      <c r="T213" s="518"/>
      <c r="U213" s="518"/>
      <c r="V213" s="518"/>
      <c r="W213" s="518"/>
      <c r="X213" s="518"/>
      <c r="Y213" s="518"/>
      <c r="Z213" s="518"/>
      <c r="AA213" s="518"/>
      <c r="AB213" s="518"/>
      <c r="AC213" s="518"/>
      <c r="AD213" s="518"/>
      <c r="AE213" s="518"/>
      <c r="AF213" s="518"/>
      <c r="AG213" s="518"/>
      <c r="AH213" s="518"/>
      <c r="AI213" s="518"/>
      <c r="AJ213" s="518"/>
      <c r="AK213" s="518"/>
      <c r="AL213" s="518"/>
      <c r="AM213" s="518"/>
      <c r="AN213" s="518"/>
      <c r="AO213" s="518"/>
      <c r="AP213" s="518"/>
      <c r="AQ213" s="518"/>
      <c r="AR213" s="518"/>
      <c r="AS213" s="518"/>
      <c r="AT213" s="518"/>
      <c r="AU213" s="518"/>
      <c r="AV213" s="518"/>
      <c r="AW213" s="518"/>
      <c r="AX213" s="518"/>
      <c r="AY213" s="518"/>
      <c r="AZ213" s="518"/>
      <c r="BA213" s="518"/>
      <c r="BB213" s="518"/>
      <c r="BC213" s="518"/>
      <c r="BD213" s="518"/>
      <c r="BE213" s="518"/>
    </row>
    <row r="214" spans="1:57" ht="12.75" customHeight="1">
      <c r="A214" s="518"/>
      <c r="B214" s="518"/>
      <c r="C214" s="518"/>
      <c r="D214" s="518"/>
      <c r="E214" s="518"/>
      <c r="F214" s="518"/>
      <c r="G214" s="518"/>
      <c r="H214" s="518"/>
      <c r="I214" s="518"/>
      <c r="J214" s="518"/>
      <c r="K214" s="518"/>
      <c r="L214" s="518"/>
      <c r="M214" s="518"/>
      <c r="N214" s="518"/>
      <c r="O214" s="518"/>
      <c r="P214" s="518"/>
      <c r="Q214" s="518"/>
      <c r="R214" s="518"/>
      <c r="S214" s="518"/>
      <c r="T214" s="518"/>
      <c r="U214" s="518"/>
      <c r="V214" s="518"/>
      <c r="W214" s="518"/>
      <c r="X214" s="518"/>
      <c r="Y214" s="518"/>
      <c r="Z214" s="518"/>
      <c r="AA214" s="518"/>
      <c r="AB214" s="518"/>
      <c r="AC214" s="518"/>
      <c r="AD214" s="518"/>
      <c r="AE214" s="518"/>
      <c r="AF214" s="518"/>
      <c r="AG214" s="518"/>
      <c r="AH214" s="518"/>
      <c r="AI214" s="518"/>
      <c r="AJ214" s="518"/>
      <c r="AK214" s="518"/>
      <c r="AL214" s="518"/>
      <c r="AM214" s="518"/>
      <c r="AN214" s="518"/>
      <c r="AO214" s="518"/>
      <c r="AP214" s="518"/>
      <c r="AQ214" s="518"/>
      <c r="AR214" s="518"/>
      <c r="AS214" s="518"/>
      <c r="AT214" s="518"/>
      <c r="AU214" s="518"/>
      <c r="AV214" s="518"/>
      <c r="AW214" s="518"/>
      <c r="AX214" s="518"/>
      <c r="AY214" s="518"/>
      <c r="AZ214" s="518"/>
      <c r="BA214" s="518"/>
      <c r="BB214" s="518"/>
      <c r="BC214" s="518"/>
      <c r="BD214" s="518"/>
      <c r="BE214" s="518"/>
    </row>
    <row r="215" spans="1:57" ht="12.75" customHeight="1">
      <c r="A215" s="518"/>
      <c r="B215" s="518"/>
      <c r="C215" s="518"/>
      <c r="D215" s="518"/>
      <c r="E215" s="518"/>
      <c r="F215" s="518"/>
      <c r="G215" s="518"/>
      <c r="H215" s="518"/>
      <c r="I215" s="518"/>
      <c r="J215" s="518"/>
      <c r="K215" s="518"/>
      <c r="L215" s="518"/>
      <c r="M215" s="518"/>
      <c r="N215" s="518"/>
      <c r="O215" s="518"/>
      <c r="P215" s="518"/>
      <c r="Q215" s="518"/>
      <c r="R215" s="518"/>
      <c r="S215" s="518"/>
      <c r="T215" s="518"/>
      <c r="U215" s="518"/>
      <c r="V215" s="518"/>
      <c r="W215" s="518"/>
      <c r="X215" s="518"/>
      <c r="Y215" s="518"/>
      <c r="Z215" s="518"/>
      <c r="AA215" s="518"/>
      <c r="AB215" s="518"/>
      <c r="AC215" s="518"/>
      <c r="AD215" s="518"/>
      <c r="AE215" s="518"/>
      <c r="AF215" s="518"/>
      <c r="AG215" s="518"/>
      <c r="AH215" s="518"/>
      <c r="AI215" s="518"/>
      <c r="AJ215" s="518"/>
      <c r="AK215" s="518"/>
      <c r="AL215" s="518"/>
      <c r="AM215" s="518"/>
      <c r="AN215" s="518"/>
      <c r="AO215" s="518"/>
      <c r="AP215" s="518"/>
      <c r="AQ215" s="518"/>
      <c r="AR215" s="518"/>
      <c r="AS215" s="518"/>
      <c r="AT215" s="518"/>
      <c r="AU215" s="518"/>
      <c r="AV215" s="518"/>
      <c r="AW215" s="518"/>
      <c r="AX215" s="518"/>
      <c r="AY215" s="518"/>
      <c r="AZ215" s="518"/>
      <c r="BA215" s="518"/>
      <c r="BB215" s="518"/>
      <c r="BC215" s="518"/>
      <c r="BD215" s="518"/>
      <c r="BE215" s="518"/>
    </row>
    <row r="216" spans="1:57" ht="12.75" customHeight="1">
      <c r="A216" s="518"/>
      <c r="B216" s="518"/>
      <c r="C216" s="518"/>
      <c r="D216" s="518"/>
      <c r="E216" s="518"/>
      <c r="F216" s="518"/>
      <c r="G216" s="518"/>
      <c r="H216" s="518"/>
      <c r="I216" s="518"/>
      <c r="J216" s="518"/>
      <c r="K216" s="518"/>
      <c r="L216" s="518"/>
      <c r="M216" s="518"/>
      <c r="N216" s="518"/>
      <c r="O216" s="518"/>
      <c r="P216" s="518"/>
      <c r="Q216" s="518"/>
      <c r="R216" s="518"/>
      <c r="S216" s="518"/>
      <c r="T216" s="518"/>
      <c r="U216" s="518"/>
      <c r="V216" s="518"/>
      <c r="W216" s="518"/>
      <c r="X216" s="518"/>
      <c r="Y216" s="518"/>
      <c r="Z216" s="518"/>
      <c r="AA216" s="518"/>
      <c r="AB216" s="518"/>
      <c r="AC216" s="518"/>
      <c r="AD216" s="518"/>
      <c r="AE216" s="518"/>
      <c r="AF216" s="518"/>
      <c r="AG216" s="518"/>
      <c r="AH216" s="518"/>
      <c r="AI216" s="518"/>
      <c r="AJ216" s="518"/>
      <c r="AK216" s="518"/>
      <c r="AL216" s="518"/>
      <c r="AM216" s="518"/>
      <c r="AN216" s="518"/>
      <c r="AO216" s="518"/>
      <c r="AP216" s="518"/>
      <c r="AQ216" s="518"/>
      <c r="AR216" s="518"/>
      <c r="AS216" s="518"/>
      <c r="AT216" s="518"/>
      <c r="AU216" s="518"/>
      <c r="AV216" s="518"/>
      <c r="AW216" s="518"/>
      <c r="AX216" s="518"/>
      <c r="AY216" s="518"/>
      <c r="AZ216" s="518"/>
      <c r="BA216" s="518"/>
      <c r="BB216" s="518"/>
      <c r="BC216" s="518"/>
      <c r="BD216" s="518"/>
      <c r="BE216" s="518"/>
    </row>
    <row r="217" spans="1:57" ht="12.75" customHeight="1">
      <c r="A217" s="518"/>
      <c r="B217" s="518"/>
      <c r="C217" s="518"/>
      <c r="D217" s="518"/>
      <c r="E217" s="518"/>
      <c r="F217" s="518"/>
      <c r="G217" s="518"/>
      <c r="H217" s="518"/>
      <c r="I217" s="518"/>
      <c r="J217" s="518"/>
      <c r="K217" s="518"/>
      <c r="L217" s="518"/>
      <c r="M217" s="518"/>
      <c r="N217" s="518"/>
      <c r="O217" s="518"/>
      <c r="P217" s="518"/>
      <c r="Q217" s="518"/>
      <c r="R217" s="518"/>
      <c r="S217" s="518"/>
      <c r="T217" s="518"/>
      <c r="U217" s="518"/>
      <c r="V217" s="518"/>
      <c r="W217" s="518"/>
      <c r="X217" s="518"/>
      <c r="Y217" s="518"/>
      <c r="Z217" s="518"/>
      <c r="AA217" s="518"/>
      <c r="AB217" s="518"/>
      <c r="AC217" s="518"/>
      <c r="AD217" s="518"/>
      <c r="AE217" s="518"/>
      <c r="AF217" s="518"/>
      <c r="AG217" s="518"/>
      <c r="AH217" s="518"/>
      <c r="AI217" s="518"/>
      <c r="AJ217" s="518"/>
      <c r="AK217" s="518"/>
      <c r="AL217" s="518"/>
      <c r="AM217" s="518"/>
      <c r="AN217" s="518"/>
      <c r="AO217" s="518"/>
      <c r="AP217" s="518"/>
      <c r="AQ217" s="518"/>
      <c r="AR217" s="518"/>
      <c r="AS217" s="518"/>
      <c r="AT217" s="518"/>
      <c r="AU217" s="518"/>
      <c r="AV217" s="518"/>
      <c r="AW217" s="518"/>
      <c r="AX217" s="518"/>
      <c r="AY217" s="518"/>
      <c r="AZ217" s="518"/>
      <c r="BA217" s="518"/>
      <c r="BB217" s="518"/>
      <c r="BC217" s="518"/>
      <c r="BD217" s="518"/>
      <c r="BE217" s="518"/>
    </row>
    <row r="218" spans="1:57" ht="12.75" customHeight="1">
      <c r="A218" s="518"/>
      <c r="B218" s="518"/>
      <c r="C218" s="518"/>
      <c r="D218" s="518"/>
      <c r="E218" s="518"/>
      <c r="F218" s="518"/>
      <c r="G218" s="518"/>
      <c r="H218" s="518"/>
      <c r="I218" s="518"/>
      <c r="J218" s="518"/>
      <c r="K218" s="518"/>
      <c r="L218" s="518"/>
      <c r="M218" s="518"/>
      <c r="N218" s="518"/>
      <c r="O218" s="518"/>
      <c r="P218" s="518"/>
      <c r="Q218" s="518"/>
      <c r="R218" s="518"/>
      <c r="S218" s="518"/>
      <c r="T218" s="518"/>
      <c r="U218" s="518"/>
      <c r="V218" s="518"/>
      <c r="W218" s="518"/>
      <c r="X218" s="518"/>
      <c r="Y218" s="518"/>
      <c r="Z218" s="518"/>
      <c r="AA218" s="518"/>
      <c r="AB218" s="518"/>
      <c r="AC218" s="518"/>
      <c r="AD218" s="518"/>
      <c r="AE218" s="518"/>
      <c r="AF218" s="518"/>
      <c r="AG218" s="518"/>
      <c r="AH218" s="518"/>
      <c r="AI218" s="518"/>
      <c r="AJ218" s="518"/>
      <c r="AK218" s="518"/>
      <c r="AL218" s="518"/>
      <c r="AM218" s="518"/>
      <c r="AN218" s="518"/>
      <c r="AO218" s="518"/>
      <c r="AP218" s="518"/>
      <c r="AQ218" s="518"/>
      <c r="AR218" s="518"/>
      <c r="AS218" s="518"/>
      <c r="AT218" s="518"/>
      <c r="AU218" s="518"/>
      <c r="AV218" s="518"/>
      <c r="AW218" s="518"/>
      <c r="AX218" s="518"/>
      <c r="AY218" s="518"/>
      <c r="AZ218" s="518"/>
      <c r="BA218" s="518"/>
      <c r="BB218" s="518"/>
      <c r="BC218" s="518"/>
      <c r="BD218" s="518"/>
      <c r="BE218" s="518"/>
    </row>
    <row r="219" spans="1:57" ht="12.75" customHeight="1">
      <c r="A219" s="518"/>
      <c r="B219" s="518"/>
      <c r="C219" s="518"/>
      <c r="D219" s="518"/>
      <c r="E219" s="518"/>
      <c r="F219" s="518"/>
      <c r="G219" s="518"/>
      <c r="H219" s="518"/>
      <c r="I219" s="518"/>
      <c r="J219" s="518"/>
      <c r="K219" s="518"/>
      <c r="L219" s="518"/>
      <c r="M219" s="518"/>
      <c r="N219" s="518"/>
      <c r="O219" s="518"/>
      <c r="P219" s="518"/>
      <c r="Q219" s="518"/>
      <c r="R219" s="518"/>
      <c r="S219" s="518"/>
      <c r="T219" s="518"/>
      <c r="U219" s="518"/>
      <c r="V219" s="518"/>
      <c r="W219" s="518"/>
      <c r="X219" s="518"/>
      <c r="Y219" s="518"/>
      <c r="Z219" s="518"/>
      <c r="AA219" s="518"/>
      <c r="AB219" s="518"/>
      <c r="AC219" s="518"/>
      <c r="AD219" s="518"/>
      <c r="AE219" s="518"/>
      <c r="AF219" s="518"/>
      <c r="AG219" s="518"/>
      <c r="AH219" s="518"/>
      <c r="AI219" s="518"/>
      <c r="AJ219" s="518"/>
      <c r="AK219" s="518"/>
      <c r="AL219" s="518"/>
      <c r="AM219" s="518"/>
      <c r="AN219" s="518"/>
      <c r="AO219" s="518"/>
      <c r="AP219" s="518"/>
      <c r="AQ219" s="518"/>
      <c r="AR219" s="518"/>
      <c r="AS219" s="518"/>
      <c r="AT219" s="518"/>
      <c r="AU219" s="518"/>
      <c r="AV219" s="518"/>
      <c r="AW219" s="518"/>
      <c r="AX219" s="518"/>
      <c r="AY219" s="518"/>
      <c r="AZ219" s="518"/>
      <c r="BA219" s="518"/>
      <c r="BB219" s="518"/>
      <c r="BC219" s="518"/>
      <c r="BD219" s="518"/>
      <c r="BE219" s="518"/>
    </row>
    <row r="220" spans="1:57" ht="12.75" customHeight="1">
      <c r="A220" s="518"/>
      <c r="B220" s="518"/>
      <c r="C220" s="518"/>
      <c r="D220" s="518"/>
      <c r="E220" s="518"/>
      <c r="F220" s="518"/>
      <c r="G220" s="518"/>
      <c r="H220" s="518"/>
      <c r="I220" s="518"/>
      <c r="J220" s="518"/>
      <c r="K220" s="518"/>
      <c r="L220" s="518"/>
      <c r="M220" s="518"/>
      <c r="N220" s="518"/>
      <c r="O220" s="518"/>
      <c r="P220" s="518"/>
      <c r="Q220" s="518"/>
      <c r="R220" s="518"/>
      <c r="S220" s="518"/>
      <c r="T220" s="518"/>
      <c r="U220" s="518"/>
      <c r="V220" s="518"/>
      <c r="W220" s="518"/>
      <c r="X220" s="518"/>
      <c r="Y220" s="518"/>
      <c r="Z220" s="518"/>
      <c r="AA220" s="518"/>
      <c r="AB220" s="518"/>
      <c r="AC220" s="518"/>
      <c r="AD220" s="518"/>
      <c r="AE220" s="518"/>
      <c r="AF220" s="518"/>
      <c r="AG220" s="518"/>
      <c r="AH220" s="518"/>
      <c r="AI220" s="518"/>
      <c r="AJ220" s="518"/>
      <c r="AK220" s="518"/>
      <c r="AL220" s="518"/>
      <c r="AM220" s="518"/>
      <c r="AN220" s="518"/>
      <c r="AO220" s="518"/>
      <c r="AP220" s="518"/>
      <c r="AQ220" s="518"/>
      <c r="AR220" s="518"/>
      <c r="AS220" s="518"/>
      <c r="AT220" s="518"/>
      <c r="AU220" s="518"/>
      <c r="AV220" s="518"/>
      <c r="AW220" s="518"/>
      <c r="AX220" s="518"/>
      <c r="AY220" s="518"/>
      <c r="AZ220" s="518"/>
      <c r="BA220" s="518"/>
      <c r="BB220" s="518"/>
      <c r="BC220" s="518"/>
      <c r="BD220" s="518"/>
      <c r="BE220" s="518"/>
    </row>
    <row r="221" spans="1:57" ht="12.75" customHeight="1">
      <c r="A221" s="518"/>
      <c r="B221" s="518"/>
      <c r="C221" s="518"/>
      <c r="D221" s="518"/>
      <c r="E221" s="518"/>
      <c r="F221" s="518"/>
      <c r="G221" s="518"/>
      <c r="H221" s="518"/>
      <c r="I221" s="518"/>
      <c r="J221" s="518"/>
      <c r="K221" s="518"/>
      <c r="L221" s="518"/>
      <c r="M221" s="518"/>
      <c r="N221" s="518"/>
      <c r="O221" s="518"/>
      <c r="P221" s="518"/>
      <c r="Q221" s="518"/>
      <c r="R221" s="518"/>
      <c r="S221" s="518"/>
      <c r="T221" s="518"/>
      <c r="U221" s="518"/>
      <c r="V221" s="518"/>
      <c r="W221" s="518"/>
      <c r="X221" s="518"/>
      <c r="Y221" s="518"/>
      <c r="Z221" s="518"/>
      <c r="AA221" s="518"/>
      <c r="AB221" s="518"/>
      <c r="AC221" s="518"/>
      <c r="AD221" s="518"/>
      <c r="AE221" s="518"/>
      <c r="AF221" s="518"/>
      <c r="AG221" s="518"/>
      <c r="AH221" s="518"/>
      <c r="AI221" s="518"/>
      <c r="AJ221" s="518"/>
      <c r="AK221" s="518"/>
      <c r="AL221" s="518"/>
      <c r="AM221" s="518"/>
      <c r="AN221" s="518"/>
      <c r="AO221" s="518"/>
      <c r="AP221" s="518"/>
      <c r="AQ221" s="518"/>
      <c r="AR221" s="518"/>
      <c r="AS221" s="518"/>
      <c r="AT221" s="518"/>
      <c r="AU221" s="518"/>
      <c r="AV221" s="518"/>
      <c r="AW221" s="518"/>
      <c r="AX221" s="518"/>
      <c r="AY221" s="518"/>
      <c r="AZ221" s="518"/>
      <c r="BA221" s="518"/>
      <c r="BB221" s="518"/>
      <c r="BC221" s="518"/>
      <c r="BD221" s="518"/>
      <c r="BE221" s="518"/>
    </row>
    <row r="222" spans="1:57" ht="12.75" customHeight="1">
      <c r="A222" s="518"/>
      <c r="B222" s="518"/>
      <c r="C222" s="518"/>
      <c r="D222" s="518"/>
      <c r="E222" s="518"/>
      <c r="F222" s="518"/>
      <c r="G222" s="518"/>
      <c r="H222" s="518"/>
      <c r="I222" s="518"/>
      <c r="J222" s="518"/>
      <c r="K222" s="518"/>
      <c r="L222" s="518"/>
      <c r="M222" s="518"/>
      <c r="N222" s="518"/>
      <c r="O222" s="518"/>
      <c r="P222" s="518"/>
      <c r="Q222" s="518"/>
      <c r="R222" s="518"/>
      <c r="S222" s="518"/>
      <c r="T222" s="518"/>
      <c r="U222" s="518"/>
      <c r="V222" s="518"/>
      <c r="W222" s="518"/>
      <c r="X222" s="518"/>
      <c r="Y222" s="518"/>
      <c r="Z222" s="518"/>
      <c r="AA222" s="518"/>
      <c r="AB222" s="518"/>
      <c r="AC222" s="518"/>
      <c r="AD222" s="518"/>
      <c r="AE222" s="518"/>
      <c r="AF222" s="518"/>
      <c r="AG222" s="518"/>
      <c r="AH222" s="518"/>
      <c r="AI222" s="518"/>
      <c r="AJ222" s="518"/>
      <c r="AK222" s="518"/>
      <c r="AL222" s="518"/>
      <c r="AM222" s="518"/>
      <c r="AN222" s="518"/>
      <c r="AO222" s="518"/>
      <c r="AP222" s="518"/>
      <c r="AQ222" s="518"/>
      <c r="AR222" s="518"/>
      <c r="AS222" s="518"/>
      <c r="AT222" s="518"/>
      <c r="AU222" s="518"/>
      <c r="AV222" s="518"/>
      <c r="AW222" s="518"/>
      <c r="AX222" s="518"/>
      <c r="AY222" s="518"/>
      <c r="AZ222" s="518"/>
      <c r="BA222" s="518"/>
      <c r="BB222" s="518"/>
      <c r="BC222" s="518"/>
      <c r="BD222" s="518"/>
      <c r="BE222" s="518"/>
    </row>
    <row r="223" spans="1:57" ht="12.75" customHeight="1">
      <c r="A223" s="518"/>
      <c r="B223" s="518"/>
      <c r="C223" s="518"/>
      <c r="D223" s="518"/>
      <c r="E223" s="518"/>
      <c r="F223" s="518"/>
      <c r="G223" s="518"/>
      <c r="H223" s="518"/>
      <c r="I223" s="518"/>
      <c r="J223" s="518"/>
      <c r="K223" s="518"/>
      <c r="L223" s="518"/>
      <c r="M223" s="518"/>
      <c r="N223" s="518"/>
      <c r="O223" s="518"/>
      <c r="P223" s="518"/>
      <c r="Q223" s="518"/>
      <c r="R223" s="518"/>
      <c r="S223" s="518"/>
      <c r="T223" s="518"/>
      <c r="U223" s="518"/>
      <c r="V223" s="518"/>
      <c r="W223" s="518"/>
      <c r="X223" s="518"/>
      <c r="Y223" s="518"/>
      <c r="Z223" s="518"/>
      <c r="AA223" s="518"/>
      <c r="AB223" s="518"/>
      <c r="AC223" s="518"/>
      <c r="AD223" s="518"/>
      <c r="AE223" s="518"/>
      <c r="AF223" s="518"/>
      <c r="AG223" s="518"/>
      <c r="AH223" s="518"/>
      <c r="AI223" s="518"/>
      <c r="AJ223" s="518"/>
      <c r="AK223" s="518"/>
      <c r="AL223" s="518"/>
      <c r="AM223" s="518"/>
      <c r="AN223" s="518"/>
      <c r="AO223" s="518"/>
      <c r="AP223" s="518"/>
      <c r="AQ223" s="518"/>
      <c r="AR223" s="518"/>
      <c r="AS223" s="518"/>
      <c r="AT223" s="518"/>
      <c r="AU223" s="518"/>
      <c r="AV223" s="518"/>
      <c r="AW223" s="518"/>
      <c r="AX223" s="518"/>
      <c r="AY223" s="518"/>
      <c r="AZ223" s="518"/>
      <c r="BA223" s="518"/>
      <c r="BB223" s="518"/>
      <c r="BC223" s="518"/>
      <c r="BD223" s="518"/>
      <c r="BE223" s="518"/>
    </row>
    <row r="224" spans="1:57" ht="12.75" customHeight="1">
      <c r="A224" s="518"/>
      <c r="B224" s="518"/>
      <c r="C224" s="518"/>
      <c r="D224" s="518"/>
      <c r="E224" s="518"/>
      <c r="F224" s="518"/>
      <c r="G224" s="518"/>
      <c r="H224" s="518"/>
      <c r="I224" s="518"/>
      <c r="J224" s="518"/>
      <c r="K224" s="518"/>
      <c r="L224" s="518"/>
      <c r="M224" s="518"/>
      <c r="N224" s="518"/>
      <c r="O224" s="518"/>
      <c r="P224" s="518"/>
      <c r="Q224" s="518"/>
      <c r="R224" s="518"/>
      <c r="S224" s="518"/>
      <c r="T224" s="518"/>
      <c r="U224" s="518"/>
      <c r="V224" s="518"/>
      <c r="W224" s="518"/>
      <c r="X224" s="518"/>
      <c r="Y224" s="518"/>
      <c r="Z224" s="518"/>
      <c r="AA224" s="518"/>
      <c r="AB224" s="518"/>
      <c r="AC224" s="518"/>
      <c r="AD224" s="518"/>
      <c r="AE224" s="518"/>
      <c r="AF224" s="518"/>
      <c r="AG224" s="518"/>
      <c r="AH224" s="518"/>
      <c r="AI224" s="518"/>
      <c r="AJ224" s="518"/>
      <c r="AK224" s="518"/>
      <c r="AL224" s="518"/>
      <c r="AM224" s="518"/>
      <c r="AN224" s="518"/>
      <c r="AO224" s="518"/>
      <c r="AP224" s="518"/>
      <c r="AQ224" s="518"/>
      <c r="AR224" s="518"/>
      <c r="AS224" s="518"/>
      <c r="AT224" s="518"/>
      <c r="AU224" s="518"/>
      <c r="AV224" s="518"/>
      <c r="AW224" s="518"/>
      <c r="AX224" s="518"/>
      <c r="AY224" s="518"/>
      <c r="AZ224" s="518"/>
      <c r="BA224" s="518"/>
      <c r="BB224" s="518"/>
      <c r="BC224" s="518"/>
      <c r="BD224" s="518"/>
      <c r="BE224" s="518"/>
    </row>
    <row r="225" spans="1:57" ht="12.75" customHeight="1">
      <c r="A225" s="518"/>
      <c r="B225" s="518"/>
      <c r="C225" s="518"/>
      <c r="D225" s="518"/>
      <c r="E225" s="518"/>
      <c r="F225" s="518"/>
      <c r="G225" s="518"/>
      <c r="H225" s="518"/>
      <c r="I225" s="518"/>
      <c r="J225" s="518"/>
      <c r="K225" s="518"/>
      <c r="L225" s="518"/>
      <c r="M225" s="518"/>
      <c r="N225" s="518"/>
      <c r="O225" s="518"/>
      <c r="P225" s="518"/>
      <c r="Q225" s="518"/>
      <c r="R225" s="518"/>
      <c r="S225" s="518"/>
      <c r="T225" s="518"/>
      <c r="U225" s="518"/>
      <c r="V225" s="518"/>
      <c r="W225" s="518"/>
      <c r="X225" s="518"/>
      <c r="Y225" s="518"/>
      <c r="Z225" s="518"/>
      <c r="AA225" s="518"/>
      <c r="AB225" s="518"/>
      <c r="AC225" s="518"/>
      <c r="AD225" s="518"/>
      <c r="AE225" s="518"/>
      <c r="AF225" s="518"/>
      <c r="AG225" s="518"/>
      <c r="AH225" s="518"/>
      <c r="AI225" s="518"/>
      <c r="AJ225" s="518"/>
      <c r="AK225" s="518"/>
      <c r="AL225" s="518"/>
      <c r="AM225" s="518"/>
      <c r="AN225" s="518"/>
      <c r="AO225" s="518"/>
      <c r="AP225" s="518"/>
      <c r="AQ225" s="518"/>
      <c r="AR225" s="518"/>
      <c r="AS225" s="518"/>
      <c r="AT225" s="518"/>
      <c r="AU225" s="518"/>
      <c r="AV225" s="518"/>
      <c r="AW225" s="518"/>
      <c r="AX225" s="518"/>
      <c r="AY225" s="518"/>
      <c r="AZ225" s="518"/>
      <c r="BA225" s="518"/>
      <c r="BB225" s="518"/>
      <c r="BC225" s="518"/>
      <c r="BD225" s="518"/>
      <c r="BE225" s="518"/>
    </row>
    <row r="226" spans="1:57" ht="12.75" customHeight="1">
      <c r="A226" s="518"/>
      <c r="B226" s="518"/>
      <c r="C226" s="518"/>
      <c r="D226" s="518"/>
      <c r="E226" s="518"/>
      <c r="F226" s="518"/>
      <c r="G226" s="518"/>
      <c r="H226" s="518"/>
      <c r="I226" s="518"/>
      <c r="J226" s="518"/>
      <c r="K226" s="518"/>
      <c r="L226" s="518"/>
      <c r="M226" s="518"/>
      <c r="N226" s="518"/>
      <c r="O226" s="518"/>
      <c r="P226" s="518"/>
      <c r="Q226" s="518"/>
      <c r="R226" s="518"/>
      <c r="S226" s="518"/>
      <c r="T226" s="518"/>
      <c r="U226" s="518"/>
      <c r="V226" s="518"/>
      <c r="W226" s="518"/>
      <c r="X226" s="518"/>
      <c r="Y226" s="518"/>
      <c r="Z226" s="518"/>
      <c r="AA226" s="518"/>
      <c r="AB226" s="518"/>
      <c r="AC226" s="518"/>
      <c r="AD226" s="518"/>
      <c r="AE226" s="518"/>
      <c r="AF226" s="518"/>
      <c r="AG226" s="518"/>
      <c r="AH226" s="518"/>
      <c r="AI226" s="518"/>
      <c r="AJ226" s="518"/>
      <c r="AK226" s="518"/>
      <c r="AL226" s="518"/>
      <c r="AM226" s="518"/>
      <c r="AN226" s="518"/>
      <c r="AO226" s="518"/>
      <c r="AP226" s="518"/>
      <c r="AQ226" s="518"/>
      <c r="AR226" s="518"/>
      <c r="AS226" s="518"/>
      <c r="AT226" s="518"/>
      <c r="AU226" s="518"/>
      <c r="AV226" s="518"/>
      <c r="AW226" s="518"/>
      <c r="AX226" s="518"/>
      <c r="AY226" s="518"/>
      <c r="AZ226" s="518"/>
      <c r="BA226" s="518"/>
      <c r="BB226" s="518"/>
      <c r="BC226" s="518"/>
      <c r="BD226" s="518"/>
      <c r="BE226" s="518"/>
    </row>
    <row r="227" spans="1:57" ht="12.75" customHeight="1">
      <c r="A227" s="518"/>
      <c r="B227" s="518"/>
      <c r="C227" s="518"/>
      <c r="D227" s="518"/>
      <c r="E227" s="518"/>
      <c r="F227" s="518"/>
      <c r="G227" s="518"/>
      <c r="H227" s="518"/>
      <c r="I227" s="518"/>
      <c r="J227" s="518"/>
      <c r="K227" s="518"/>
      <c r="L227" s="518"/>
      <c r="M227" s="518"/>
      <c r="N227" s="518"/>
      <c r="O227" s="518"/>
      <c r="P227" s="518"/>
      <c r="Q227" s="518"/>
      <c r="R227" s="518"/>
      <c r="S227" s="518"/>
      <c r="T227" s="518"/>
      <c r="U227" s="518"/>
      <c r="V227" s="518"/>
      <c r="W227" s="518"/>
      <c r="X227" s="518"/>
      <c r="Y227" s="518"/>
      <c r="Z227" s="518"/>
      <c r="AA227" s="518"/>
      <c r="AB227" s="518"/>
      <c r="AC227" s="518"/>
      <c r="AD227" s="518"/>
      <c r="AE227" s="518"/>
      <c r="AF227" s="518"/>
      <c r="AG227" s="518"/>
      <c r="AH227" s="518"/>
      <c r="AI227" s="518"/>
      <c r="AJ227" s="518"/>
      <c r="AK227" s="518"/>
      <c r="AL227" s="518"/>
      <c r="AM227" s="518"/>
      <c r="AN227" s="518"/>
      <c r="AO227" s="518"/>
      <c r="AP227" s="518"/>
      <c r="AQ227" s="518"/>
      <c r="AR227" s="518"/>
      <c r="AS227" s="518"/>
      <c r="AT227" s="518"/>
      <c r="AU227" s="518"/>
      <c r="AV227" s="518"/>
      <c r="AW227" s="518"/>
      <c r="AX227" s="518"/>
      <c r="AY227" s="518"/>
      <c r="AZ227" s="518"/>
      <c r="BA227" s="518"/>
      <c r="BB227" s="518"/>
      <c r="BC227" s="518"/>
      <c r="BD227" s="518"/>
      <c r="BE227" s="518"/>
    </row>
    <row r="228" spans="1:57" ht="12.75" customHeight="1">
      <c r="A228" s="518"/>
      <c r="B228" s="518"/>
      <c r="C228" s="518"/>
      <c r="D228" s="518"/>
      <c r="E228" s="518"/>
      <c r="F228" s="518"/>
      <c r="G228" s="518"/>
      <c r="H228" s="518"/>
      <c r="I228" s="518"/>
      <c r="J228" s="518"/>
      <c r="K228" s="518"/>
      <c r="L228" s="518"/>
      <c r="M228" s="518"/>
      <c r="N228" s="518"/>
      <c r="O228" s="518"/>
      <c r="P228" s="518"/>
      <c r="Q228" s="518"/>
      <c r="R228" s="518"/>
      <c r="S228" s="518"/>
      <c r="T228" s="518"/>
      <c r="U228" s="518"/>
      <c r="V228" s="518"/>
      <c r="W228" s="518"/>
      <c r="X228" s="518"/>
      <c r="Y228" s="518"/>
      <c r="Z228" s="518"/>
      <c r="AA228" s="518"/>
      <c r="AB228" s="518"/>
      <c r="AC228" s="518"/>
      <c r="AD228" s="518"/>
      <c r="AE228" s="518"/>
      <c r="AF228" s="518"/>
      <c r="AG228" s="518"/>
      <c r="AH228" s="518"/>
      <c r="AI228" s="518"/>
      <c r="AJ228" s="518"/>
      <c r="AK228" s="518"/>
      <c r="AL228" s="518"/>
      <c r="AM228" s="518"/>
      <c r="AN228" s="518"/>
      <c r="AO228" s="518"/>
      <c r="AP228" s="518"/>
      <c r="AQ228" s="518"/>
      <c r="AR228" s="518"/>
      <c r="AS228" s="518"/>
      <c r="AT228" s="518"/>
      <c r="AU228" s="518"/>
      <c r="AV228" s="518"/>
      <c r="AW228" s="518"/>
      <c r="AX228" s="518"/>
      <c r="AY228" s="518"/>
      <c r="AZ228" s="518"/>
      <c r="BA228" s="518"/>
      <c r="BB228" s="518"/>
      <c r="BC228" s="518"/>
      <c r="BD228" s="518"/>
      <c r="BE228" s="518"/>
    </row>
    <row r="229" spans="1:57" ht="12.75" customHeight="1">
      <c r="A229" s="518"/>
      <c r="B229" s="518"/>
      <c r="C229" s="518"/>
      <c r="D229" s="518"/>
      <c r="E229" s="518"/>
      <c r="F229" s="518"/>
      <c r="G229" s="518"/>
      <c r="H229" s="518"/>
      <c r="I229" s="518"/>
      <c r="J229" s="518"/>
      <c r="K229" s="518"/>
      <c r="L229" s="518"/>
      <c r="M229" s="518"/>
      <c r="N229" s="518"/>
      <c r="O229" s="518"/>
      <c r="P229" s="518"/>
      <c r="Q229" s="518"/>
      <c r="R229" s="518"/>
      <c r="S229" s="518"/>
      <c r="T229" s="518"/>
      <c r="U229" s="518"/>
      <c r="V229" s="518"/>
      <c r="W229" s="518"/>
      <c r="X229" s="518"/>
      <c r="Y229" s="518"/>
      <c r="Z229" s="518"/>
      <c r="AA229" s="518"/>
      <c r="AB229" s="518"/>
      <c r="AC229" s="518"/>
      <c r="AD229" s="518"/>
      <c r="AE229" s="518"/>
      <c r="AF229" s="518"/>
      <c r="AG229" s="518"/>
      <c r="AH229" s="518"/>
      <c r="AI229" s="518"/>
      <c r="AJ229" s="518"/>
      <c r="AK229" s="518"/>
      <c r="AL229" s="518"/>
      <c r="AM229" s="518"/>
      <c r="AN229" s="518"/>
      <c r="AO229" s="518"/>
      <c r="AP229" s="518"/>
      <c r="AQ229" s="518"/>
      <c r="AR229" s="518"/>
      <c r="AS229" s="518"/>
      <c r="AT229" s="518"/>
      <c r="AU229" s="518"/>
      <c r="AV229" s="518"/>
      <c r="AW229" s="518"/>
      <c r="AX229" s="518"/>
      <c r="AY229" s="518"/>
      <c r="AZ229" s="518"/>
      <c r="BA229" s="518"/>
      <c r="BB229" s="518"/>
      <c r="BC229" s="518"/>
      <c r="BD229" s="518"/>
      <c r="BE229" s="518"/>
    </row>
    <row r="230" spans="1:57" ht="12.75" customHeight="1">
      <c r="A230" s="518"/>
      <c r="B230" s="518"/>
      <c r="C230" s="518"/>
      <c r="D230" s="518"/>
      <c r="E230" s="518"/>
      <c r="F230" s="518"/>
      <c r="G230" s="518"/>
      <c r="H230" s="518"/>
      <c r="I230" s="518"/>
      <c r="J230" s="518"/>
      <c r="K230" s="518"/>
      <c r="L230" s="518"/>
      <c r="M230" s="518"/>
      <c r="N230" s="518"/>
      <c r="O230" s="518"/>
      <c r="P230" s="518"/>
      <c r="Q230" s="518"/>
      <c r="R230" s="518"/>
      <c r="S230" s="518"/>
      <c r="T230" s="518"/>
      <c r="U230" s="518"/>
      <c r="V230" s="518"/>
      <c r="W230" s="518"/>
      <c r="X230" s="518"/>
      <c r="Y230" s="518"/>
      <c r="Z230" s="518"/>
      <c r="AA230" s="518"/>
      <c r="AB230" s="518"/>
      <c r="AC230" s="518"/>
      <c r="AD230" s="518"/>
      <c r="AE230" s="518"/>
      <c r="AF230" s="518"/>
      <c r="AG230" s="518"/>
      <c r="AH230" s="518"/>
      <c r="AI230" s="518"/>
      <c r="AJ230" s="518"/>
      <c r="AK230" s="518"/>
      <c r="AL230" s="518"/>
      <c r="AM230" s="518"/>
      <c r="AN230" s="518"/>
      <c r="AO230" s="518"/>
      <c r="AP230" s="518"/>
      <c r="AQ230" s="518"/>
      <c r="AR230" s="518"/>
      <c r="AS230" s="518"/>
      <c r="AT230" s="518"/>
      <c r="AU230" s="518"/>
      <c r="AV230" s="518"/>
      <c r="AW230" s="518"/>
      <c r="AX230" s="518"/>
      <c r="AY230" s="518"/>
      <c r="AZ230" s="518"/>
      <c r="BA230" s="518"/>
      <c r="BB230" s="518"/>
      <c r="BC230" s="518"/>
      <c r="BD230" s="518"/>
      <c r="BE230" s="518"/>
    </row>
    <row r="231" spans="1:57" ht="12.75" customHeight="1">
      <c r="A231" s="518"/>
      <c r="B231" s="518"/>
      <c r="C231" s="518"/>
      <c r="D231" s="518"/>
      <c r="E231" s="518"/>
      <c r="F231" s="518"/>
      <c r="G231" s="518"/>
      <c r="H231" s="518"/>
      <c r="I231" s="518"/>
      <c r="J231" s="518"/>
      <c r="K231" s="518"/>
      <c r="L231" s="518"/>
      <c r="M231" s="518"/>
      <c r="N231" s="518"/>
      <c r="O231" s="518"/>
      <c r="P231" s="518"/>
      <c r="Q231" s="518"/>
      <c r="R231" s="518"/>
      <c r="S231" s="518"/>
      <c r="T231" s="518"/>
      <c r="U231" s="518"/>
      <c r="V231" s="518"/>
      <c r="W231" s="518"/>
      <c r="X231" s="518"/>
      <c r="Y231" s="518"/>
      <c r="Z231" s="518"/>
      <c r="AA231" s="518"/>
      <c r="AB231" s="518"/>
      <c r="AC231" s="518"/>
      <c r="AD231" s="518"/>
      <c r="AE231" s="518"/>
      <c r="AF231" s="518"/>
      <c r="AG231" s="518"/>
      <c r="AH231" s="518"/>
      <c r="AI231" s="518"/>
      <c r="AJ231" s="518"/>
      <c r="AK231" s="518"/>
      <c r="AL231" s="518"/>
      <c r="AM231" s="518"/>
      <c r="AN231" s="518"/>
      <c r="AO231" s="518"/>
      <c r="AP231" s="518"/>
      <c r="AQ231" s="518"/>
      <c r="AR231" s="518"/>
      <c r="AS231" s="518"/>
      <c r="AT231" s="518"/>
      <c r="AU231" s="518"/>
      <c r="AV231" s="518"/>
      <c r="AW231" s="518"/>
      <c r="AX231" s="518"/>
      <c r="AY231" s="518"/>
      <c r="AZ231" s="518"/>
      <c r="BA231" s="518"/>
      <c r="BB231" s="518"/>
      <c r="BC231" s="518"/>
      <c r="BD231" s="518"/>
      <c r="BE231" s="518"/>
    </row>
    <row r="232" spans="1:57" ht="12.75" customHeight="1">
      <c r="A232" s="518"/>
      <c r="B232" s="518"/>
      <c r="C232" s="518"/>
      <c r="D232" s="518"/>
      <c r="E232" s="518"/>
      <c r="F232" s="518"/>
      <c r="G232" s="518"/>
      <c r="H232" s="518"/>
      <c r="I232" s="518"/>
      <c r="J232" s="518"/>
      <c r="K232" s="518"/>
      <c r="L232" s="518"/>
      <c r="M232" s="518"/>
      <c r="N232" s="518"/>
      <c r="O232" s="518"/>
      <c r="P232" s="518"/>
      <c r="Q232" s="518"/>
      <c r="R232" s="518"/>
      <c r="S232" s="518"/>
      <c r="T232" s="518"/>
      <c r="U232" s="518"/>
      <c r="V232" s="518"/>
      <c r="W232" s="518"/>
      <c r="X232" s="518"/>
      <c r="Y232" s="518"/>
      <c r="Z232" s="518"/>
      <c r="AA232" s="518"/>
      <c r="AB232" s="518"/>
      <c r="AC232" s="518"/>
      <c r="AD232" s="518"/>
      <c r="AE232" s="518"/>
      <c r="AF232" s="518"/>
      <c r="AG232" s="518"/>
      <c r="AH232" s="518"/>
      <c r="AI232" s="518"/>
      <c r="AJ232" s="518"/>
      <c r="AK232" s="518"/>
      <c r="AL232" s="518"/>
      <c r="AM232" s="518"/>
      <c r="AN232" s="518"/>
      <c r="AO232" s="518"/>
      <c r="AP232" s="518"/>
      <c r="AQ232" s="518"/>
      <c r="AR232" s="518"/>
      <c r="AS232" s="518"/>
      <c r="AT232" s="518"/>
      <c r="AU232" s="518"/>
      <c r="AV232" s="518"/>
      <c r="AW232" s="518"/>
      <c r="AX232" s="518"/>
      <c r="AY232" s="518"/>
      <c r="AZ232" s="518"/>
      <c r="BA232" s="518"/>
      <c r="BB232" s="518"/>
      <c r="BC232" s="518"/>
      <c r="BD232" s="518"/>
      <c r="BE232" s="518"/>
    </row>
    <row r="233" spans="1:57" ht="12.75" customHeight="1">
      <c r="A233" s="518"/>
      <c r="B233" s="518"/>
      <c r="C233" s="518"/>
      <c r="D233" s="518"/>
      <c r="E233" s="518"/>
      <c r="F233" s="518"/>
      <c r="G233" s="518"/>
      <c r="H233" s="518"/>
      <c r="I233" s="518"/>
      <c r="J233" s="518"/>
      <c r="K233" s="518"/>
      <c r="L233" s="518"/>
      <c r="M233" s="518"/>
      <c r="N233" s="518"/>
      <c r="O233" s="518"/>
      <c r="P233" s="518"/>
      <c r="Q233" s="518"/>
      <c r="R233" s="518"/>
      <c r="S233" s="518"/>
      <c r="T233" s="518"/>
      <c r="U233" s="518"/>
      <c r="V233" s="518"/>
      <c r="W233" s="518"/>
      <c r="X233" s="518"/>
      <c r="Y233" s="518"/>
      <c r="Z233" s="518"/>
      <c r="AA233" s="518"/>
      <c r="AB233" s="518"/>
      <c r="AC233" s="518"/>
      <c r="AD233" s="518"/>
      <c r="AE233" s="518"/>
      <c r="AF233" s="518"/>
      <c r="AG233" s="518"/>
      <c r="AH233" s="518"/>
      <c r="AI233" s="518"/>
      <c r="AJ233" s="518"/>
      <c r="AK233" s="518"/>
      <c r="AL233" s="518"/>
      <c r="AM233" s="518"/>
      <c r="AN233" s="518"/>
      <c r="AO233" s="518"/>
      <c r="AP233" s="518"/>
      <c r="AQ233" s="518"/>
      <c r="AR233" s="518"/>
      <c r="AS233" s="518"/>
      <c r="AT233" s="518"/>
      <c r="AU233" s="518"/>
      <c r="AV233" s="518"/>
      <c r="AW233" s="518"/>
      <c r="AX233" s="518"/>
      <c r="AY233" s="518"/>
      <c r="AZ233" s="518"/>
      <c r="BA233" s="518"/>
      <c r="BB233" s="518"/>
      <c r="BC233" s="518"/>
      <c r="BD233" s="518"/>
      <c r="BE233" s="518"/>
    </row>
    <row r="234" spans="1:57" ht="12.75" customHeight="1">
      <c r="A234" s="518"/>
      <c r="B234" s="518"/>
      <c r="C234" s="518"/>
      <c r="D234" s="518"/>
      <c r="E234" s="518"/>
      <c r="F234" s="518"/>
      <c r="G234" s="518"/>
      <c r="H234" s="518"/>
      <c r="I234" s="518"/>
      <c r="J234" s="518"/>
      <c r="K234" s="518"/>
      <c r="L234" s="518"/>
      <c r="M234" s="518"/>
      <c r="N234" s="518"/>
      <c r="O234" s="518"/>
      <c r="P234" s="518"/>
      <c r="Q234" s="518"/>
      <c r="R234" s="518"/>
      <c r="S234" s="518"/>
      <c r="T234" s="518"/>
      <c r="U234" s="518"/>
      <c r="V234" s="518"/>
      <c r="W234" s="518"/>
      <c r="X234" s="518"/>
      <c r="Y234" s="518"/>
      <c r="Z234" s="518"/>
      <c r="AA234" s="518"/>
      <c r="AB234" s="518"/>
      <c r="AC234" s="518"/>
      <c r="AD234" s="518"/>
      <c r="AE234" s="518"/>
      <c r="AF234" s="518"/>
      <c r="AG234" s="518"/>
      <c r="AH234" s="518"/>
      <c r="AI234" s="518"/>
      <c r="AJ234" s="518"/>
      <c r="AK234" s="518"/>
      <c r="AL234" s="518"/>
      <c r="AM234" s="518"/>
      <c r="AN234" s="518"/>
      <c r="AO234" s="518"/>
      <c r="AP234" s="518"/>
      <c r="AQ234" s="518"/>
      <c r="AR234" s="518"/>
      <c r="AS234" s="518"/>
      <c r="AT234" s="518"/>
      <c r="AU234" s="518"/>
      <c r="AV234" s="518"/>
      <c r="AW234" s="518"/>
      <c r="AX234" s="518"/>
      <c r="AY234" s="518"/>
      <c r="AZ234" s="518"/>
      <c r="BA234" s="518"/>
      <c r="BB234" s="518"/>
      <c r="BC234" s="518"/>
      <c r="BD234" s="518"/>
      <c r="BE234" s="518"/>
    </row>
    <row r="235" spans="1:57" ht="12.75" customHeight="1">
      <c r="A235" s="518"/>
      <c r="B235" s="518"/>
      <c r="C235" s="518"/>
      <c r="D235" s="518"/>
      <c r="E235" s="518"/>
      <c r="F235" s="518"/>
      <c r="G235" s="518"/>
      <c r="H235" s="518"/>
      <c r="I235" s="518"/>
      <c r="J235" s="518"/>
      <c r="K235" s="518"/>
      <c r="L235" s="518"/>
      <c r="M235" s="518"/>
      <c r="N235" s="518"/>
      <c r="O235" s="518"/>
      <c r="P235" s="518"/>
      <c r="Q235" s="518"/>
      <c r="R235" s="518"/>
      <c r="S235" s="518"/>
      <c r="T235" s="518"/>
      <c r="U235" s="518"/>
      <c r="V235" s="518"/>
      <c r="W235" s="518"/>
      <c r="X235" s="518"/>
      <c r="Y235" s="518"/>
      <c r="Z235" s="518"/>
      <c r="AA235" s="518"/>
      <c r="AB235" s="518"/>
      <c r="AC235" s="518"/>
      <c r="AD235" s="518"/>
      <c r="AE235" s="518"/>
      <c r="AF235" s="518"/>
      <c r="AG235" s="518"/>
      <c r="AH235" s="518"/>
      <c r="AI235" s="518"/>
      <c r="AJ235" s="518"/>
      <c r="AK235" s="518"/>
      <c r="AL235" s="518"/>
      <c r="AM235" s="518"/>
      <c r="AN235" s="518"/>
      <c r="AO235" s="518"/>
      <c r="AP235" s="518"/>
      <c r="AQ235" s="518"/>
      <c r="AR235" s="518"/>
      <c r="AS235" s="518"/>
      <c r="AT235" s="518"/>
      <c r="AU235" s="518"/>
      <c r="AV235" s="518"/>
      <c r="AW235" s="518"/>
      <c r="AX235" s="518"/>
      <c r="AY235" s="518"/>
      <c r="AZ235" s="518"/>
      <c r="BA235" s="518"/>
      <c r="BB235" s="518"/>
      <c r="BC235" s="518"/>
      <c r="BD235" s="518"/>
      <c r="BE235" s="518"/>
    </row>
    <row r="236" spans="1:57" ht="12.75" customHeight="1">
      <c r="A236" s="518"/>
      <c r="B236" s="518"/>
      <c r="C236" s="518"/>
      <c r="D236" s="518"/>
      <c r="E236" s="518"/>
      <c r="F236" s="518"/>
      <c r="G236" s="518"/>
      <c r="H236" s="518"/>
      <c r="I236" s="518"/>
      <c r="J236" s="518"/>
      <c r="K236" s="518"/>
      <c r="L236" s="518"/>
      <c r="M236" s="518"/>
      <c r="N236" s="518"/>
      <c r="O236" s="518"/>
      <c r="P236" s="518"/>
      <c r="Q236" s="518"/>
      <c r="R236" s="518"/>
      <c r="S236" s="518"/>
      <c r="T236" s="518"/>
      <c r="U236" s="518"/>
      <c r="V236" s="518"/>
      <c r="W236" s="518"/>
      <c r="X236" s="518"/>
      <c r="Y236" s="518"/>
      <c r="Z236" s="518"/>
      <c r="AA236" s="518"/>
      <c r="AB236" s="518"/>
      <c r="AC236" s="518"/>
      <c r="AD236" s="518"/>
      <c r="AE236" s="518"/>
      <c r="AF236" s="518"/>
      <c r="AG236" s="518"/>
      <c r="AH236" s="518"/>
      <c r="AI236" s="518"/>
      <c r="AJ236" s="518"/>
      <c r="AK236" s="518"/>
      <c r="AL236" s="518"/>
      <c r="AM236" s="518"/>
      <c r="AN236" s="518"/>
      <c r="AO236" s="518"/>
      <c r="AP236" s="518"/>
      <c r="AQ236" s="518"/>
      <c r="AR236" s="518"/>
      <c r="AS236" s="518"/>
      <c r="AT236" s="518"/>
      <c r="AU236" s="518"/>
      <c r="AV236" s="518"/>
      <c r="AW236" s="518"/>
      <c r="AX236" s="518"/>
      <c r="AY236" s="518"/>
      <c r="AZ236" s="518"/>
      <c r="BA236" s="518"/>
      <c r="BB236" s="518"/>
      <c r="BC236" s="518"/>
      <c r="BD236" s="518"/>
      <c r="BE236" s="518"/>
    </row>
    <row r="237" spans="1:57" ht="12.75" customHeight="1">
      <c r="A237" s="518"/>
      <c r="B237" s="518"/>
      <c r="C237" s="518"/>
      <c r="D237" s="518"/>
      <c r="E237" s="518"/>
      <c r="F237" s="518"/>
      <c r="G237" s="518"/>
      <c r="H237" s="518"/>
      <c r="I237" s="518"/>
      <c r="J237" s="518"/>
      <c r="K237" s="518"/>
      <c r="L237" s="518"/>
      <c r="M237" s="518"/>
      <c r="N237" s="518"/>
      <c r="O237" s="518"/>
      <c r="P237" s="518"/>
      <c r="Q237" s="518"/>
      <c r="R237" s="518"/>
      <c r="S237" s="518"/>
      <c r="T237" s="518"/>
      <c r="U237" s="518"/>
      <c r="V237" s="518"/>
      <c r="W237" s="518"/>
      <c r="X237" s="518"/>
      <c r="Y237" s="518"/>
      <c r="Z237" s="518"/>
      <c r="AA237" s="518"/>
      <c r="AB237" s="518"/>
      <c r="AC237" s="518"/>
      <c r="AD237" s="518"/>
      <c r="AE237" s="518"/>
      <c r="AF237" s="518"/>
      <c r="AG237" s="518"/>
      <c r="AH237" s="518"/>
      <c r="AI237" s="518"/>
      <c r="AJ237" s="518"/>
      <c r="AK237" s="518"/>
      <c r="AL237" s="518"/>
      <c r="AM237" s="518"/>
      <c r="AN237" s="518"/>
      <c r="AO237" s="518"/>
      <c r="AP237" s="518"/>
      <c r="AQ237" s="518"/>
      <c r="AR237" s="518"/>
      <c r="AS237" s="518"/>
      <c r="AT237" s="518"/>
      <c r="AU237" s="518"/>
      <c r="AV237" s="518"/>
      <c r="AW237" s="518"/>
      <c r="AX237" s="518"/>
      <c r="AY237" s="518"/>
      <c r="AZ237" s="518"/>
      <c r="BA237" s="518"/>
      <c r="BB237" s="518"/>
      <c r="BC237" s="518"/>
      <c r="BD237" s="518"/>
      <c r="BE237" s="518"/>
    </row>
    <row r="238" spans="1:57" ht="12.75" customHeight="1">
      <c r="A238" s="518"/>
      <c r="B238" s="518"/>
      <c r="C238" s="518"/>
      <c r="D238" s="518"/>
      <c r="E238" s="518"/>
      <c r="F238" s="518"/>
      <c r="G238" s="518"/>
      <c r="H238" s="518"/>
      <c r="I238" s="518"/>
      <c r="J238" s="518"/>
      <c r="K238" s="518"/>
      <c r="L238" s="518"/>
      <c r="M238" s="518"/>
      <c r="N238" s="518"/>
      <c r="O238" s="518"/>
      <c r="P238" s="518"/>
      <c r="Q238" s="518"/>
      <c r="R238" s="518"/>
      <c r="S238" s="518"/>
      <c r="T238" s="518"/>
      <c r="U238" s="518"/>
      <c r="V238" s="518"/>
      <c r="W238" s="518"/>
      <c r="X238" s="518"/>
      <c r="Y238" s="518"/>
      <c r="Z238" s="518"/>
      <c r="AA238" s="518"/>
      <c r="AB238" s="518"/>
      <c r="AC238" s="518"/>
      <c r="AD238" s="518"/>
      <c r="AE238" s="518"/>
      <c r="AF238" s="518"/>
      <c r="AG238" s="518"/>
      <c r="AH238" s="518"/>
      <c r="AI238" s="518"/>
      <c r="AJ238" s="518"/>
      <c r="AK238" s="518"/>
      <c r="AL238" s="518"/>
      <c r="AM238" s="518"/>
      <c r="AN238" s="518"/>
      <c r="AO238" s="518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</row>
    <row r="239" spans="1:57" ht="12.75" customHeight="1">
      <c r="A239" s="518"/>
      <c r="B239" s="518"/>
      <c r="C239" s="518"/>
      <c r="D239" s="518"/>
      <c r="E239" s="518"/>
      <c r="F239" s="518"/>
      <c r="G239" s="518"/>
      <c r="H239" s="518"/>
      <c r="I239" s="518"/>
      <c r="J239" s="518"/>
      <c r="K239" s="518"/>
      <c r="L239" s="518"/>
      <c r="M239" s="518"/>
      <c r="N239" s="518"/>
      <c r="O239" s="518"/>
      <c r="P239" s="518"/>
      <c r="Q239" s="518"/>
      <c r="R239" s="518"/>
      <c r="S239" s="518"/>
      <c r="T239" s="518"/>
      <c r="U239" s="518"/>
      <c r="V239" s="518"/>
      <c r="W239" s="518"/>
      <c r="X239" s="518"/>
      <c r="Y239" s="518"/>
      <c r="Z239" s="518"/>
      <c r="AA239" s="518"/>
      <c r="AB239" s="518"/>
      <c r="AC239" s="518"/>
      <c r="AD239" s="518"/>
      <c r="AE239" s="518"/>
      <c r="AF239" s="518"/>
      <c r="AG239" s="518"/>
      <c r="AH239" s="518"/>
      <c r="AI239" s="518"/>
      <c r="AJ239" s="518"/>
      <c r="AK239" s="518"/>
      <c r="AL239" s="518"/>
      <c r="AM239" s="518"/>
      <c r="AN239" s="518"/>
      <c r="AO239" s="518"/>
      <c r="AP239" s="518"/>
      <c r="AQ239" s="518"/>
      <c r="AR239" s="518"/>
      <c r="AS239" s="518"/>
      <c r="AT239" s="518"/>
      <c r="AU239" s="518"/>
      <c r="AV239" s="518"/>
      <c r="AW239" s="518"/>
      <c r="AX239" s="518"/>
      <c r="AY239" s="518"/>
      <c r="AZ239" s="518"/>
      <c r="BA239" s="518"/>
      <c r="BB239" s="518"/>
      <c r="BC239" s="518"/>
      <c r="BD239" s="518"/>
      <c r="BE239" s="518"/>
    </row>
    <row r="240" spans="1:57" ht="12.75" customHeight="1">
      <c r="A240" s="518"/>
      <c r="B240" s="518"/>
      <c r="C240" s="518"/>
      <c r="D240" s="518"/>
      <c r="E240" s="518"/>
      <c r="F240" s="518"/>
      <c r="G240" s="518"/>
      <c r="H240" s="518"/>
      <c r="I240" s="518"/>
      <c r="J240" s="518"/>
      <c r="K240" s="518"/>
      <c r="L240" s="518"/>
      <c r="M240" s="518"/>
      <c r="N240" s="518"/>
      <c r="O240" s="518"/>
      <c r="P240" s="518"/>
      <c r="Q240" s="518"/>
      <c r="R240" s="518"/>
      <c r="S240" s="518"/>
      <c r="T240" s="518"/>
      <c r="U240" s="518"/>
      <c r="V240" s="518"/>
      <c r="W240" s="518"/>
      <c r="X240" s="518"/>
      <c r="Y240" s="518"/>
      <c r="Z240" s="518"/>
      <c r="AA240" s="518"/>
      <c r="AB240" s="518"/>
      <c r="AC240" s="518"/>
      <c r="AD240" s="518"/>
      <c r="AE240" s="518"/>
      <c r="AF240" s="518"/>
      <c r="AG240" s="518"/>
      <c r="AH240" s="518"/>
      <c r="AI240" s="518"/>
      <c r="AJ240" s="518"/>
      <c r="AK240" s="518"/>
      <c r="AL240" s="518"/>
      <c r="AM240" s="518"/>
      <c r="AN240" s="518"/>
      <c r="AO240" s="518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</row>
    <row r="241" spans="1:57" ht="12.75" customHeight="1">
      <c r="A241" s="518"/>
      <c r="B241" s="518"/>
      <c r="C241" s="518"/>
      <c r="D241" s="518"/>
      <c r="E241" s="518"/>
      <c r="F241" s="518"/>
      <c r="G241" s="518"/>
      <c r="H241" s="518"/>
      <c r="I241" s="518"/>
      <c r="J241" s="518"/>
      <c r="K241" s="518"/>
      <c r="L241" s="518"/>
      <c r="M241" s="518"/>
      <c r="N241" s="518"/>
      <c r="O241" s="518"/>
      <c r="P241" s="518"/>
      <c r="Q241" s="518"/>
      <c r="R241" s="518"/>
      <c r="S241" s="518"/>
      <c r="T241" s="518"/>
      <c r="U241" s="518"/>
      <c r="V241" s="518"/>
      <c r="W241" s="518"/>
      <c r="X241" s="518"/>
      <c r="Y241" s="518"/>
      <c r="Z241" s="518"/>
      <c r="AA241" s="518"/>
      <c r="AB241" s="518"/>
      <c r="AC241" s="518"/>
      <c r="AD241" s="518"/>
      <c r="AE241" s="518"/>
      <c r="AF241" s="518"/>
      <c r="AG241" s="518"/>
      <c r="AH241" s="518"/>
      <c r="AI241" s="518"/>
      <c r="AJ241" s="518"/>
      <c r="AK241" s="518"/>
      <c r="AL241" s="518"/>
      <c r="AM241" s="518"/>
      <c r="AN241" s="518"/>
      <c r="AO241" s="518"/>
      <c r="AP241" s="518"/>
      <c r="AQ241" s="518"/>
      <c r="AR241" s="518"/>
      <c r="AS241" s="518"/>
      <c r="AT241" s="518"/>
      <c r="AU241" s="518"/>
      <c r="AV241" s="518"/>
      <c r="AW241" s="518"/>
      <c r="AX241" s="518"/>
      <c r="AY241" s="518"/>
      <c r="AZ241" s="518"/>
      <c r="BA241" s="518"/>
      <c r="BB241" s="518"/>
      <c r="BC241" s="518"/>
      <c r="BD241" s="518"/>
      <c r="BE241" s="518"/>
    </row>
    <row r="242" spans="1:57" ht="12.75" customHeight="1">
      <c r="A242" s="518"/>
      <c r="B242" s="518"/>
      <c r="C242" s="518"/>
      <c r="D242" s="518"/>
      <c r="E242" s="518"/>
      <c r="F242" s="518"/>
      <c r="G242" s="518"/>
      <c r="H242" s="518"/>
      <c r="I242" s="518"/>
      <c r="J242" s="518"/>
      <c r="K242" s="518"/>
      <c r="L242" s="518"/>
      <c r="M242" s="518"/>
      <c r="N242" s="518"/>
      <c r="O242" s="518"/>
      <c r="P242" s="518"/>
      <c r="Q242" s="518"/>
      <c r="R242" s="518"/>
      <c r="S242" s="518"/>
      <c r="T242" s="518"/>
      <c r="U242" s="518"/>
      <c r="V242" s="518"/>
      <c r="W242" s="518"/>
      <c r="X242" s="518"/>
      <c r="Y242" s="518"/>
      <c r="Z242" s="518"/>
      <c r="AA242" s="518"/>
      <c r="AB242" s="518"/>
      <c r="AC242" s="518"/>
      <c r="AD242" s="518"/>
      <c r="AE242" s="518"/>
      <c r="AF242" s="518"/>
      <c r="AG242" s="518"/>
      <c r="AH242" s="518"/>
      <c r="AI242" s="518"/>
      <c r="AJ242" s="518"/>
      <c r="AK242" s="518"/>
      <c r="AL242" s="518"/>
      <c r="AM242" s="518"/>
      <c r="AN242" s="518"/>
      <c r="AO242" s="518"/>
      <c r="AP242" s="518"/>
      <c r="AQ242" s="518"/>
      <c r="AR242" s="518"/>
      <c r="AS242" s="518"/>
      <c r="AT242" s="518"/>
      <c r="AU242" s="518"/>
      <c r="AV242" s="518"/>
      <c r="AW242" s="518"/>
      <c r="AX242" s="518"/>
      <c r="AY242" s="518"/>
      <c r="AZ242" s="518"/>
      <c r="BA242" s="518"/>
      <c r="BB242" s="518"/>
      <c r="BC242" s="518"/>
      <c r="BD242" s="518"/>
      <c r="BE242" s="518"/>
    </row>
    <row r="243" spans="1:57" ht="12.75" customHeight="1">
      <c r="A243" s="518"/>
      <c r="B243" s="518"/>
      <c r="C243" s="518"/>
      <c r="D243" s="518"/>
      <c r="E243" s="518"/>
      <c r="F243" s="518"/>
      <c r="G243" s="518"/>
      <c r="H243" s="518"/>
      <c r="I243" s="518"/>
      <c r="J243" s="518"/>
      <c r="K243" s="518"/>
      <c r="L243" s="518"/>
      <c r="M243" s="518"/>
      <c r="N243" s="518"/>
      <c r="O243" s="518"/>
      <c r="P243" s="518"/>
      <c r="Q243" s="518"/>
      <c r="R243" s="518"/>
      <c r="S243" s="518"/>
      <c r="T243" s="518"/>
      <c r="U243" s="518"/>
      <c r="V243" s="518"/>
      <c r="W243" s="518"/>
      <c r="X243" s="518"/>
      <c r="Y243" s="518"/>
      <c r="Z243" s="518"/>
      <c r="AA243" s="518"/>
      <c r="AB243" s="518"/>
      <c r="AC243" s="518"/>
      <c r="AD243" s="518"/>
      <c r="AE243" s="518"/>
      <c r="AF243" s="518"/>
      <c r="AG243" s="518"/>
      <c r="AH243" s="518"/>
      <c r="AI243" s="518"/>
      <c r="AJ243" s="518"/>
      <c r="AK243" s="518"/>
      <c r="AL243" s="518"/>
      <c r="AM243" s="518"/>
      <c r="AN243" s="518"/>
      <c r="AO243" s="518"/>
      <c r="AP243" s="518"/>
      <c r="AQ243" s="518"/>
      <c r="AR243" s="518"/>
      <c r="AS243" s="518"/>
      <c r="AT243" s="518"/>
      <c r="AU243" s="518"/>
      <c r="AV243" s="518"/>
      <c r="AW243" s="518"/>
      <c r="AX243" s="518"/>
      <c r="AY243" s="518"/>
      <c r="AZ243" s="518"/>
      <c r="BA243" s="518"/>
      <c r="BB243" s="518"/>
      <c r="BC243" s="518"/>
      <c r="BD243" s="518"/>
      <c r="BE243" s="518"/>
    </row>
    <row r="244" spans="1:57" ht="12.75" customHeight="1">
      <c r="A244" s="518"/>
      <c r="B244" s="518"/>
      <c r="C244" s="518"/>
      <c r="D244" s="518"/>
      <c r="E244" s="518"/>
      <c r="F244" s="518"/>
      <c r="G244" s="518"/>
      <c r="H244" s="518"/>
      <c r="I244" s="518"/>
      <c r="J244" s="518"/>
      <c r="K244" s="518"/>
      <c r="L244" s="518"/>
      <c r="M244" s="518"/>
      <c r="N244" s="518"/>
      <c r="O244" s="518"/>
      <c r="P244" s="518"/>
      <c r="Q244" s="518"/>
      <c r="R244" s="518"/>
      <c r="S244" s="518"/>
      <c r="T244" s="518"/>
      <c r="U244" s="518"/>
      <c r="V244" s="518"/>
      <c r="W244" s="518"/>
      <c r="X244" s="518"/>
      <c r="Y244" s="518"/>
      <c r="Z244" s="518"/>
      <c r="AA244" s="518"/>
      <c r="AB244" s="518"/>
      <c r="AC244" s="518"/>
      <c r="AD244" s="518"/>
      <c r="AE244" s="518"/>
      <c r="AF244" s="518"/>
      <c r="AG244" s="518"/>
      <c r="AH244" s="518"/>
      <c r="AI244" s="518"/>
      <c r="AJ244" s="518"/>
      <c r="AK244" s="518"/>
      <c r="AL244" s="518"/>
      <c r="AM244" s="518"/>
      <c r="AN244" s="518"/>
      <c r="AO244" s="518"/>
      <c r="AP244" s="518"/>
      <c r="AQ244" s="518"/>
      <c r="AR244" s="518"/>
      <c r="AS244" s="518"/>
      <c r="AT244" s="518"/>
      <c r="AU244" s="518"/>
      <c r="AV244" s="518"/>
      <c r="AW244" s="518"/>
      <c r="AX244" s="518"/>
      <c r="AY244" s="518"/>
      <c r="AZ244" s="518"/>
      <c r="BA244" s="518"/>
      <c r="BB244" s="518"/>
      <c r="BC244" s="518"/>
      <c r="BD244" s="518"/>
      <c r="BE244" s="518"/>
    </row>
    <row r="245" spans="1:57" ht="12.75" customHeight="1">
      <c r="A245" s="518"/>
      <c r="B245" s="518"/>
      <c r="C245" s="518"/>
      <c r="D245" s="518"/>
      <c r="E245" s="518"/>
      <c r="F245" s="518"/>
      <c r="G245" s="518"/>
      <c r="H245" s="518"/>
      <c r="I245" s="518"/>
      <c r="J245" s="518"/>
      <c r="K245" s="518"/>
      <c r="L245" s="518"/>
      <c r="M245" s="518"/>
      <c r="N245" s="518"/>
      <c r="O245" s="518"/>
      <c r="P245" s="518"/>
      <c r="Q245" s="518"/>
      <c r="R245" s="518"/>
      <c r="S245" s="518"/>
      <c r="T245" s="518"/>
      <c r="U245" s="518"/>
      <c r="V245" s="518"/>
      <c r="W245" s="518"/>
      <c r="X245" s="518"/>
      <c r="Y245" s="518"/>
      <c r="Z245" s="518"/>
      <c r="AA245" s="518"/>
      <c r="AB245" s="518"/>
      <c r="AC245" s="518"/>
      <c r="AD245" s="518"/>
      <c r="AE245" s="518"/>
      <c r="AF245" s="518"/>
      <c r="AG245" s="518"/>
      <c r="AH245" s="518"/>
      <c r="AI245" s="518"/>
      <c r="AJ245" s="518"/>
      <c r="AK245" s="518"/>
      <c r="AL245" s="518"/>
      <c r="AM245" s="518"/>
      <c r="AN245" s="518"/>
      <c r="AO245" s="518"/>
      <c r="AP245" s="518"/>
      <c r="AQ245" s="518"/>
      <c r="AR245" s="518"/>
      <c r="AS245" s="518"/>
      <c r="AT245" s="518"/>
      <c r="AU245" s="518"/>
      <c r="AV245" s="518"/>
      <c r="AW245" s="518"/>
      <c r="AX245" s="518"/>
      <c r="AY245" s="518"/>
      <c r="AZ245" s="518"/>
      <c r="BA245" s="518"/>
      <c r="BB245" s="518"/>
      <c r="BC245" s="518"/>
      <c r="BD245" s="518"/>
      <c r="BE245" s="518"/>
    </row>
    <row r="246" spans="1:57" ht="12.75" customHeight="1">
      <c r="A246" s="518"/>
      <c r="B246" s="518"/>
      <c r="C246" s="518"/>
      <c r="D246" s="518"/>
      <c r="E246" s="518"/>
      <c r="F246" s="518"/>
      <c r="G246" s="518"/>
      <c r="H246" s="518"/>
      <c r="I246" s="518"/>
      <c r="J246" s="518"/>
      <c r="K246" s="518"/>
      <c r="L246" s="518"/>
      <c r="M246" s="518"/>
      <c r="N246" s="518"/>
      <c r="O246" s="518"/>
      <c r="P246" s="518"/>
      <c r="Q246" s="518"/>
      <c r="R246" s="518"/>
      <c r="S246" s="518"/>
      <c r="T246" s="518"/>
      <c r="U246" s="518"/>
      <c r="V246" s="518"/>
      <c r="W246" s="518"/>
      <c r="X246" s="518"/>
      <c r="Y246" s="518"/>
      <c r="Z246" s="518"/>
      <c r="AA246" s="518"/>
      <c r="AB246" s="518"/>
      <c r="AC246" s="518"/>
      <c r="AD246" s="518"/>
      <c r="AE246" s="518"/>
      <c r="AF246" s="518"/>
      <c r="AG246" s="518"/>
      <c r="AH246" s="518"/>
      <c r="AI246" s="518"/>
      <c r="AJ246" s="518"/>
      <c r="AK246" s="518"/>
      <c r="AL246" s="518"/>
      <c r="AM246" s="518"/>
      <c r="AN246" s="518"/>
      <c r="AO246" s="518"/>
      <c r="AP246" s="518"/>
      <c r="AQ246" s="518"/>
      <c r="AR246" s="518"/>
      <c r="AS246" s="518"/>
      <c r="AT246" s="518"/>
      <c r="AU246" s="518"/>
      <c r="AV246" s="518"/>
      <c r="AW246" s="518"/>
      <c r="AX246" s="518"/>
      <c r="AY246" s="518"/>
      <c r="AZ246" s="518"/>
      <c r="BA246" s="518"/>
      <c r="BB246" s="518"/>
      <c r="BC246" s="518"/>
      <c r="BD246" s="518"/>
      <c r="BE246" s="518"/>
    </row>
    <row r="247" spans="1:57" ht="12.75" customHeight="1">
      <c r="A247" s="518"/>
      <c r="B247" s="518"/>
      <c r="C247" s="518"/>
      <c r="D247" s="518"/>
      <c r="E247" s="518"/>
      <c r="F247" s="518"/>
      <c r="G247" s="518"/>
      <c r="H247" s="518"/>
      <c r="I247" s="518"/>
      <c r="J247" s="518"/>
      <c r="K247" s="518"/>
      <c r="L247" s="518"/>
      <c r="M247" s="518"/>
      <c r="N247" s="518"/>
      <c r="O247" s="518"/>
      <c r="P247" s="518"/>
      <c r="Q247" s="518"/>
      <c r="R247" s="518"/>
      <c r="S247" s="518"/>
      <c r="T247" s="518"/>
      <c r="U247" s="518"/>
      <c r="V247" s="518"/>
      <c r="W247" s="518"/>
      <c r="X247" s="518"/>
      <c r="Y247" s="518"/>
      <c r="Z247" s="518"/>
      <c r="AA247" s="518"/>
      <c r="AB247" s="518"/>
      <c r="AC247" s="518"/>
      <c r="AD247" s="518"/>
      <c r="AE247" s="518"/>
      <c r="AF247" s="518"/>
      <c r="AG247" s="518"/>
      <c r="AH247" s="518"/>
      <c r="AI247" s="518"/>
      <c r="AJ247" s="518"/>
      <c r="AK247" s="518"/>
      <c r="AL247" s="518"/>
      <c r="AM247" s="518"/>
      <c r="AN247" s="518"/>
      <c r="AO247" s="518"/>
      <c r="AP247" s="518"/>
      <c r="AQ247" s="518"/>
      <c r="AR247" s="518"/>
      <c r="AS247" s="518"/>
      <c r="AT247" s="518"/>
      <c r="AU247" s="518"/>
      <c r="AV247" s="518"/>
      <c r="AW247" s="518"/>
      <c r="AX247" s="518"/>
      <c r="AY247" s="518"/>
      <c r="AZ247" s="518"/>
      <c r="BA247" s="518"/>
      <c r="BB247" s="518"/>
      <c r="BC247" s="518"/>
      <c r="BD247" s="518"/>
      <c r="BE247" s="518"/>
    </row>
    <row r="248" spans="1:57" ht="12.75" customHeight="1">
      <c r="A248" s="518"/>
      <c r="B248" s="518"/>
      <c r="C248" s="518"/>
      <c r="D248" s="518"/>
      <c r="E248" s="518"/>
      <c r="F248" s="518"/>
      <c r="G248" s="518"/>
      <c r="H248" s="518"/>
      <c r="I248" s="518"/>
      <c r="J248" s="518"/>
      <c r="K248" s="518"/>
      <c r="L248" s="518"/>
      <c r="M248" s="518"/>
      <c r="N248" s="518"/>
      <c r="O248" s="518"/>
      <c r="P248" s="518"/>
      <c r="Q248" s="518"/>
      <c r="R248" s="518"/>
      <c r="S248" s="518"/>
      <c r="T248" s="518"/>
      <c r="U248" s="518"/>
      <c r="V248" s="518"/>
      <c r="W248" s="518"/>
      <c r="X248" s="518"/>
      <c r="Y248" s="518"/>
      <c r="Z248" s="518"/>
      <c r="AA248" s="518"/>
      <c r="AB248" s="518"/>
      <c r="AC248" s="518"/>
      <c r="AD248" s="518"/>
      <c r="AE248" s="518"/>
      <c r="AF248" s="518"/>
      <c r="AG248" s="518"/>
      <c r="AH248" s="518"/>
      <c r="AI248" s="518"/>
      <c r="AJ248" s="518"/>
      <c r="AK248" s="518"/>
      <c r="AL248" s="518"/>
      <c r="AM248" s="518"/>
      <c r="AN248" s="518"/>
      <c r="AO248" s="518"/>
      <c r="AP248" s="518"/>
      <c r="AQ248" s="518"/>
      <c r="AR248" s="518"/>
      <c r="AS248" s="518"/>
      <c r="AT248" s="518"/>
      <c r="AU248" s="518"/>
      <c r="AV248" s="518"/>
      <c r="AW248" s="518"/>
      <c r="AX248" s="518"/>
      <c r="AY248" s="518"/>
      <c r="AZ248" s="518"/>
      <c r="BA248" s="518"/>
      <c r="BB248" s="518"/>
      <c r="BC248" s="518"/>
      <c r="BD248" s="518"/>
      <c r="BE248" s="518"/>
    </row>
    <row r="249" spans="1:57" ht="12.75" customHeight="1">
      <c r="A249" s="518"/>
      <c r="B249" s="518"/>
      <c r="C249" s="518"/>
      <c r="D249" s="518"/>
      <c r="E249" s="518"/>
      <c r="F249" s="518"/>
      <c r="G249" s="518"/>
      <c r="H249" s="518"/>
      <c r="I249" s="518"/>
      <c r="J249" s="518"/>
      <c r="K249" s="518"/>
      <c r="L249" s="518"/>
      <c r="M249" s="518"/>
      <c r="N249" s="518"/>
      <c r="O249" s="518"/>
      <c r="P249" s="518"/>
      <c r="Q249" s="518"/>
      <c r="R249" s="518"/>
      <c r="S249" s="518"/>
      <c r="T249" s="518"/>
      <c r="U249" s="518"/>
      <c r="V249" s="518"/>
      <c r="W249" s="518"/>
      <c r="X249" s="518"/>
      <c r="Y249" s="518"/>
      <c r="Z249" s="518"/>
      <c r="AA249" s="518"/>
      <c r="AB249" s="518"/>
      <c r="AC249" s="518"/>
      <c r="AD249" s="518"/>
      <c r="AE249" s="518"/>
      <c r="AF249" s="518"/>
      <c r="AG249" s="518"/>
      <c r="AH249" s="518"/>
      <c r="AI249" s="518"/>
      <c r="AJ249" s="518"/>
      <c r="AK249" s="518"/>
      <c r="AL249" s="518"/>
      <c r="AM249" s="518"/>
      <c r="AN249" s="518"/>
      <c r="AO249" s="518"/>
      <c r="AP249" s="518"/>
      <c r="AQ249" s="518"/>
      <c r="AR249" s="518"/>
      <c r="AS249" s="518"/>
      <c r="AT249" s="518"/>
      <c r="AU249" s="518"/>
      <c r="AV249" s="518"/>
      <c r="AW249" s="518"/>
      <c r="AX249" s="518"/>
      <c r="AY249" s="518"/>
      <c r="AZ249" s="518"/>
      <c r="BA249" s="518"/>
      <c r="BB249" s="518"/>
      <c r="BC249" s="518"/>
      <c r="BD249" s="518"/>
      <c r="BE249" s="518"/>
    </row>
    <row r="250" spans="1:57" ht="12.75" customHeight="1">
      <c r="A250" s="518"/>
      <c r="B250" s="518"/>
      <c r="C250" s="518"/>
      <c r="D250" s="518"/>
      <c r="E250" s="518"/>
      <c r="F250" s="518"/>
      <c r="G250" s="518"/>
      <c r="H250" s="518"/>
      <c r="I250" s="518"/>
      <c r="J250" s="518"/>
      <c r="K250" s="518"/>
      <c r="L250" s="518"/>
      <c r="M250" s="518"/>
      <c r="N250" s="518"/>
      <c r="O250" s="518"/>
      <c r="P250" s="518"/>
      <c r="Q250" s="518"/>
      <c r="R250" s="518"/>
      <c r="S250" s="518"/>
      <c r="T250" s="518"/>
      <c r="U250" s="518"/>
      <c r="V250" s="518"/>
      <c r="W250" s="518"/>
      <c r="X250" s="518"/>
      <c r="Y250" s="518"/>
      <c r="Z250" s="518"/>
      <c r="AA250" s="518"/>
      <c r="AB250" s="518"/>
      <c r="AC250" s="518"/>
      <c r="AD250" s="518"/>
      <c r="AE250" s="518"/>
      <c r="AF250" s="518"/>
      <c r="AG250" s="518"/>
      <c r="AH250" s="518"/>
      <c r="AI250" s="518"/>
      <c r="AJ250" s="518"/>
      <c r="AK250" s="518"/>
      <c r="AL250" s="518"/>
      <c r="AM250" s="518"/>
      <c r="AN250" s="518"/>
      <c r="AO250" s="518"/>
      <c r="AP250" s="518"/>
      <c r="AQ250" s="518"/>
      <c r="AR250" s="518"/>
      <c r="AS250" s="518"/>
      <c r="AT250" s="518"/>
      <c r="AU250" s="518"/>
      <c r="AV250" s="518"/>
      <c r="AW250" s="518"/>
      <c r="AX250" s="518"/>
      <c r="AY250" s="518"/>
      <c r="AZ250" s="518"/>
      <c r="BA250" s="518"/>
      <c r="BB250" s="518"/>
      <c r="BC250" s="518"/>
      <c r="BD250" s="518"/>
      <c r="BE250" s="518"/>
    </row>
    <row r="251" spans="1:57" ht="12.75" customHeight="1">
      <c r="A251" s="518"/>
      <c r="B251" s="518"/>
      <c r="C251" s="518"/>
      <c r="D251" s="518"/>
      <c r="E251" s="518"/>
      <c r="F251" s="518"/>
      <c r="G251" s="518"/>
      <c r="H251" s="518"/>
      <c r="I251" s="518"/>
      <c r="J251" s="518"/>
      <c r="K251" s="518"/>
      <c r="L251" s="518"/>
      <c r="M251" s="518"/>
      <c r="N251" s="518"/>
      <c r="O251" s="518"/>
      <c r="P251" s="518"/>
      <c r="Q251" s="518"/>
      <c r="R251" s="518"/>
      <c r="S251" s="518"/>
      <c r="T251" s="518"/>
      <c r="U251" s="518"/>
      <c r="V251" s="518"/>
      <c r="W251" s="518"/>
      <c r="X251" s="518"/>
      <c r="Y251" s="518"/>
      <c r="Z251" s="518"/>
      <c r="AA251" s="518"/>
      <c r="AB251" s="518"/>
      <c r="AC251" s="518"/>
      <c r="AD251" s="518"/>
      <c r="AE251" s="518"/>
      <c r="AF251" s="518"/>
      <c r="AG251" s="518"/>
      <c r="AH251" s="518"/>
      <c r="AI251" s="518"/>
      <c r="AJ251" s="518"/>
      <c r="AK251" s="518"/>
      <c r="AL251" s="518"/>
      <c r="AM251" s="518"/>
      <c r="AN251" s="518"/>
      <c r="AO251" s="518"/>
      <c r="AP251" s="518"/>
      <c r="AQ251" s="518"/>
      <c r="AR251" s="518"/>
      <c r="AS251" s="518"/>
      <c r="AT251" s="518"/>
      <c r="AU251" s="518"/>
      <c r="AV251" s="518"/>
      <c r="AW251" s="518"/>
      <c r="AX251" s="518"/>
      <c r="AY251" s="518"/>
      <c r="AZ251" s="518"/>
      <c r="BA251" s="518"/>
      <c r="BB251" s="518"/>
      <c r="BC251" s="518"/>
      <c r="BD251" s="518"/>
      <c r="BE251" s="518"/>
    </row>
    <row r="252" spans="1:57" ht="12.75" customHeight="1">
      <c r="A252" s="518"/>
      <c r="B252" s="518"/>
      <c r="C252" s="518"/>
      <c r="D252" s="518"/>
      <c r="E252" s="518"/>
      <c r="F252" s="518"/>
      <c r="G252" s="518"/>
      <c r="H252" s="518"/>
      <c r="I252" s="518"/>
      <c r="J252" s="518"/>
      <c r="K252" s="518"/>
      <c r="L252" s="518"/>
      <c r="M252" s="518"/>
      <c r="N252" s="518"/>
      <c r="O252" s="518"/>
      <c r="P252" s="518"/>
      <c r="Q252" s="518"/>
      <c r="R252" s="518"/>
      <c r="S252" s="518"/>
      <c r="T252" s="518"/>
      <c r="U252" s="518"/>
      <c r="V252" s="518"/>
      <c r="W252" s="518"/>
      <c r="X252" s="518"/>
      <c r="Y252" s="518"/>
      <c r="Z252" s="518"/>
      <c r="AA252" s="518"/>
      <c r="AB252" s="518"/>
      <c r="AC252" s="518"/>
      <c r="AD252" s="518"/>
      <c r="AE252" s="518"/>
      <c r="AF252" s="518"/>
      <c r="AG252" s="518"/>
      <c r="AH252" s="518"/>
      <c r="AI252" s="518"/>
      <c r="AJ252" s="518"/>
      <c r="AK252" s="518"/>
      <c r="AL252" s="518"/>
      <c r="AM252" s="518"/>
      <c r="AN252" s="518"/>
      <c r="AO252" s="518"/>
      <c r="AP252" s="518"/>
      <c r="AQ252" s="518"/>
      <c r="AR252" s="518"/>
      <c r="AS252" s="518"/>
      <c r="AT252" s="518"/>
      <c r="AU252" s="518"/>
      <c r="AV252" s="518"/>
      <c r="AW252" s="518"/>
      <c r="AX252" s="518"/>
      <c r="AY252" s="518"/>
      <c r="AZ252" s="518"/>
      <c r="BA252" s="518"/>
      <c r="BB252" s="518"/>
      <c r="BC252" s="518"/>
      <c r="BD252" s="518"/>
      <c r="BE252" s="518"/>
    </row>
    <row r="253" spans="1:57" ht="12.75" customHeight="1">
      <c r="A253" s="518"/>
      <c r="B253" s="518"/>
      <c r="C253" s="518"/>
      <c r="D253" s="518"/>
      <c r="E253" s="518"/>
      <c r="F253" s="518"/>
      <c r="G253" s="518"/>
      <c r="H253" s="518"/>
      <c r="I253" s="518"/>
      <c r="J253" s="518"/>
      <c r="K253" s="518"/>
      <c r="L253" s="518"/>
      <c r="M253" s="518"/>
      <c r="N253" s="518"/>
      <c r="O253" s="518"/>
      <c r="P253" s="518"/>
      <c r="Q253" s="518"/>
      <c r="R253" s="518"/>
      <c r="S253" s="518"/>
      <c r="T253" s="518"/>
      <c r="U253" s="518"/>
      <c r="V253" s="518"/>
      <c r="W253" s="518"/>
      <c r="X253" s="518"/>
      <c r="Y253" s="518"/>
      <c r="Z253" s="518"/>
      <c r="AA253" s="518"/>
      <c r="AB253" s="518"/>
      <c r="AC253" s="518"/>
      <c r="AD253" s="518"/>
      <c r="AE253" s="518"/>
      <c r="AF253" s="518"/>
      <c r="AG253" s="518"/>
      <c r="AH253" s="518"/>
      <c r="AI253" s="518"/>
      <c r="AJ253" s="518"/>
      <c r="AK253" s="518"/>
      <c r="AL253" s="518"/>
      <c r="AM253" s="518"/>
      <c r="AN253" s="518"/>
      <c r="AO253" s="518"/>
      <c r="AP253" s="518"/>
      <c r="AQ253" s="518"/>
      <c r="AR253" s="518"/>
      <c r="AS253" s="518"/>
      <c r="AT253" s="518"/>
      <c r="AU253" s="518"/>
      <c r="AV253" s="518"/>
      <c r="AW253" s="518"/>
      <c r="AX253" s="518"/>
      <c r="AY253" s="518"/>
      <c r="AZ253" s="518"/>
      <c r="BA253" s="518"/>
      <c r="BB253" s="518"/>
      <c r="BC253" s="518"/>
      <c r="BD253" s="518"/>
      <c r="BE253" s="518"/>
    </row>
    <row r="254" spans="1:57" ht="12.75" customHeight="1">
      <c r="A254" s="518"/>
      <c r="B254" s="518"/>
      <c r="C254" s="518"/>
      <c r="D254" s="518"/>
      <c r="E254" s="518"/>
      <c r="F254" s="518"/>
      <c r="G254" s="518"/>
      <c r="H254" s="518"/>
      <c r="I254" s="518"/>
      <c r="J254" s="518"/>
      <c r="K254" s="518"/>
      <c r="L254" s="518"/>
      <c r="M254" s="518"/>
      <c r="N254" s="518"/>
      <c r="O254" s="518"/>
      <c r="P254" s="518"/>
      <c r="Q254" s="518"/>
      <c r="R254" s="518"/>
      <c r="S254" s="518"/>
      <c r="T254" s="518"/>
      <c r="U254" s="518"/>
      <c r="V254" s="518"/>
      <c r="W254" s="518"/>
      <c r="X254" s="518"/>
      <c r="Y254" s="518"/>
      <c r="Z254" s="518"/>
      <c r="AA254" s="518"/>
      <c r="AB254" s="518"/>
      <c r="AC254" s="518"/>
      <c r="AD254" s="518"/>
      <c r="AE254" s="518"/>
      <c r="AF254" s="518"/>
      <c r="AG254" s="518"/>
      <c r="AH254" s="518"/>
      <c r="AI254" s="518"/>
      <c r="AJ254" s="518"/>
      <c r="AK254" s="518"/>
      <c r="AL254" s="518"/>
      <c r="AM254" s="518"/>
      <c r="AN254" s="518"/>
      <c r="AO254" s="518"/>
      <c r="AP254" s="518"/>
      <c r="AQ254" s="518"/>
      <c r="AR254" s="518"/>
      <c r="AS254" s="518"/>
      <c r="AT254" s="518"/>
      <c r="AU254" s="518"/>
      <c r="AV254" s="518"/>
      <c r="AW254" s="518"/>
      <c r="AX254" s="518"/>
      <c r="AY254" s="518"/>
      <c r="AZ254" s="518"/>
      <c r="BA254" s="518"/>
      <c r="BB254" s="518"/>
      <c r="BC254" s="518"/>
      <c r="BD254" s="518"/>
      <c r="BE254" s="518"/>
    </row>
    <row r="255" spans="1:57" ht="12.75" customHeight="1">
      <c r="A255" s="518"/>
      <c r="B255" s="518"/>
      <c r="C255" s="518"/>
      <c r="D255" s="518"/>
      <c r="E255" s="518"/>
      <c r="F255" s="518"/>
      <c r="G255" s="518"/>
      <c r="H255" s="518"/>
      <c r="I255" s="518"/>
      <c r="J255" s="518"/>
      <c r="K255" s="518"/>
      <c r="L255" s="518"/>
      <c r="M255" s="518"/>
      <c r="N255" s="518"/>
      <c r="O255" s="518"/>
      <c r="P255" s="518"/>
      <c r="Q255" s="518"/>
      <c r="R255" s="518"/>
      <c r="S255" s="518"/>
      <c r="T255" s="518"/>
      <c r="U255" s="518"/>
      <c r="V255" s="518"/>
      <c r="W255" s="518"/>
      <c r="X255" s="518"/>
      <c r="Y255" s="518"/>
      <c r="Z255" s="518"/>
      <c r="AA255" s="518"/>
      <c r="AB255" s="518"/>
      <c r="AC255" s="518"/>
      <c r="AD255" s="518"/>
      <c r="AE255" s="518"/>
      <c r="AF255" s="518"/>
      <c r="AG255" s="518"/>
      <c r="AH255" s="518"/>
      <c r="AI255" s="518"/>
      <c r="AJ255" s="518"/>
      <c r="AK255" s="518"/>
      <c r="AL255" s="518"/>
      <c r="AM255" s="518"/>
      <c r="AN255" s="518"/>
      <c r="AO255" s="518"/>
      <c r="AP255" s="518"/>
      <c r="AQ255" s="518"/>
      <c r="AR255" s="518"/>
      <c r="AS255" s="518"/>
      <c r="AT255" s="518"/>
      <c r="AU255" s="518"/>
      <c r="AV255" s="518"/>
      <c r="AW255" s="518"/>
      <c r="AX255" s="518"/>
      <c r="AY255" s="518"/>
      <c r="AZ255" s="518"/>
      <c r="BA255" s="518"/>
      <c r="BB255" s="518"/>
      <c r="BC255" s="518"/>
      <c r="BD255" s="518"/>
      <c r="BE255" s="518"/>
    </row>
    <row r="256" spans="1:57" ht="12.75" customHeight="1">
      <c r="A256" s="518"/>
      <c r="B256" s="518"/>
      <c r="C256" s="518"/>
      <c r="D256" s="518"/>
      <c r="E256" s="518"/>
      <c r="F256" s="518"/>
      <c r="G256" s="518"/>
      <c r="H256" s="518"/>
      <c r="I256" s="518"/>
      <c r="J256" s="518"/>
      <c r="K256" s="518"/>
      <c r="L256" s="518"/>
      <c r="M256" s="518"/>
      <c r="N256" s="518"/>
      <c r="O256" s="518"/>
      <c r="P256" s="518"/>
      <c r="Q256" s="518"/>
      <c r="R256" s="518"/>
      <c r="S256" s="518"/>
      <c r="T256" s="518"/>
      <c r="U256" s="518"/>
      <c r="V256" s="518"/>
      <c r="W256" s="518"/>
      <c r="X256" s="518"/>
      <c r="Y256" s="518"/>
      <c r="Z256" s="518"/>
      <c r="AA256" s="518"/>
      <c r="AB256" s="518"/>
      <c r="AC256" s="518"/>
      <c r="AD256" s="518"/>
      <c r="AE256" s="518"/>
      <c r="AF256" s="518"/>
      <c r="AG256" s="518"/>
      <c r="AH256" s="518"/>
      <c r="AI256" s="518"/>
      <c r="AJ256" s="518"/>
      <c r="AK256" s="518"/>
      <c r="AL256" s="518"/>
      <c r="AM256" s="518"/>
      <c r="AN256" s="518"/>
      <c r="AO256" s="518"/>
      <c r="AP256" s="518"/>
      <c r="AQ256" s="518"/>
      <c r="AR256" s="518"/>
      <c r="AS256" s="518"/>
      <c r="AT256" s="518"/>
      <c r="AU256" s="518"/>
      <c r="AV256" s="518"/>
      <c r="AW256" s="518"/>
      <c r="AX256" s="518"/>
      <c r="AY256" s="518"/>
      <c r="AZ256" s="518"/>
      <c r="BA256" s="518"/>
      <c r="BB256" s="518"/>
      <c r="BC256" s="518"/>
      <c r="BD256" s="518"/>
      <c r="BE256" s="518"/>
    </row>
    <row r="257" spans="1:57" ht="12.75" customHeight="1">
      <c r="A257" s="518"/>
      <c r="B257" s="518"/>
      <c r="C257" s="518"/>
      <c r="D257" s="518"/>
      <c r="E257" s="518"/>
      <c r="F257" s="518"/>
      <c r="G257" s="518"/>
      <c r="H257" s="518"/>
      <c r="I257" s="518"/>
      <c r="J257" s="518"/>
      <c r="K257" s="518"/>
      <c r="L257" s="518"/>
      <c r="M257" s="518"/>
      <c r="N257" s="518"/>
      <c r="O257" s="518"/>
      <c r="P257" s="518"/>
      <c r="Q257" s="518"/>
      <c r="R257" s="518"/>
      <c r="S257" s="518"/>
      <c r="T257" s="518"/>
      <c r="U257" s="518"/>
      <c r="V257" s="518"/>
      <c r="W257" s="518"/>
      <c r="X257" s="518"/>
      <c r="Y257" s="518"/>
      <c r="Z257" s="518"/>
      <c r="AA257" s="518"/>
      <c r="AB257" s="518"/>
      <c r="AC257" s="518"/>
      <c r="AD257" s="518"/>
      <c r="AE257" s="518"/>
      <c r="AF257" s="518"/>
      <c r="AG257" s="518"/>
      <c r="AH257" s="518"/>
      <c r="AI257" s="518"/>
      <c r="AJ257" s="518"/>
      <c r="AK257" s="518"/>
      <c r="AL257" s="518"/>
      <c r="AM257" s="518"/>
      <c r="AN257" s="518"/>
      <c r="AO257" s="518"/>
      <c r="AP257" s="518"/>
      <c r="AQ257" s="518"/>
      <c r="AR257" s="518"/>
      <c r="AS257" s="518"/>
      <c r="AT257" s="518"/>
      <c r="AU257" s="518"/>
      <c r="AV257" s="518"/>
      <c r="AW257" s="518"/>
      <c r="AX257" s="518"/>
      <c r="AY257" s="518"/>
      <c r="AZ257" s="518"/>
      <c r="BA257" s="518"/>
      <c r="BB257" s="518"/>
      <c r="BC257" s="518"/>
      <c r="BD257" s="518"/>
      <c r="BE257" s="518"/>
    </row>
    <row r="258" spans="1:57" ht="12.75" customHeight="1">
      <c r="A258" s="518"/>
      <c r="B258" s="518"/>
      <c r="C258" s="518"/>
      <c r="D258" s="518"/>
      <c r="E258" s="518"/>
      <c r="F258" s="518"/>
      <c r="G258" s="518"/>
      <c r="H258" s="518"/>
      <c r="I258" s="518"/>
      <c r="J258" s="518"/>
      <c r="K258" s="518"/>
      <c r="L258" s="518"/>
      <c r="M258" s="518"/>
      <c r="N258" s="518"/>
      <c r="O258" s="518"/>
      <c r="P258" s="518"/>
      <c r="Q258" s="518"/>
      <c r="R258" s="518"/>
      <c r="S258" s="518"/>
      <c r="T258" s="518"/>
      <c r="U258" s="518"/>
      <c r="V258" s="518"/>
      <c r="W258" s="518"/>
      <c r="X258" s="518"/>
      <c r="Y258" s="518"/>
      <c r="Z258" s="518"/>
      <c r="AA258" s="518"/>
      <c r="AB258" s="518"/>
      <c r="AC258" s="518"/>
      <c r="AD258" s="518"/>
      <c r="AE258" s="518"/>
      <c r="AF258" s="518"/>
      <c r="AG258" s="518"/>
      <c r="AH258" s="518"/>
      <c r="AI258" s="518"/>
      <c r="AJ258" s="518"/>
      <c r="AK258" s="518"/>
      <c r="AL258" s="518"/>
      <c r="AM258" s="518"/>
      <c r="AN258" s="518"/>
      <c r="AO258" s="518"/>
      <c r="AP258" s="518"/>
      <c r="AQ258" s="518"/>
      <c r="AR258" s="518"/>
      <c r="AS258" s="518"/>
      <c r="AT258" s="518"/>
      <c r="AU258" s="518"/>
      <c r="AV258" s="518"/>
      <c r="AW258" s="518"/>
      <c r="AX258" s="518"/>
      <c r="AY258" s="518"/>
      <c r="AZ258" s="518"/>
      <c r="BA258" s="518"/>
      <c r="BB258" s="518"/>
      <c r="BC258" s="518"/>
      <c r="BD258" s="518"/>
      <c r="BE258" s="518"/>
    </row>
    <row r="259" spans="1:57" ht="12.75" customHeight="1">
      <c r="A259" s="518"/>
      <c r="B259" s="518"/>
      <c r="C259" s="518"/>
      <c r="D259" s="518"/>
      <c r="E259" s="518"/>
      <c r="F259" s="518"/>
      <c r="G259" s="518"/>
      <c r="H259" s="518"/>
      <c r="I259" s="518"/>
      <c r="J259" s="518"/>
      <c r="K259" s="518"/>
      <c r="L259" s="518"/>
      <c r="M259" s="518"/>
      <c r="N259" s="518"/>
      <c r="O259" s="518"/>
      <c r="P259" s="518"/>
      <c r="Q259" s="518"/>
      <c r="R259" s="518"/>
      <c r="S259" s="518"/>
      <c r="T259" s="518"/>
      <c r="U259" s="518"/>
      <c r="V259" s="518"/>
      <c r="W259" s="518"/>
      <c r="X259" s="518"/>
      <c r="Y259" s="518"/>
      <c r="Z259" s="518"/>
      <c r="AA259" s="518"/>
      <c r="AB259" s="518"/>
      <c r="AC259" s="518"/>
      <c r="AD259" s="518"/>
      <c r="AE259" s="518"/>
      <c r="AF259" s="518"/>
      <c r="AG259" s="518"/>
      <c r="AH259" s="518"/>
      <c r="AI259" s="518"/>
      <c r="AJ259" s="518"/>
      <c r="AK259" s="518"/>
      <c r="AL259" s="518"/>
      <c r="AM259" s="518"/>
      <c r="AN259" s="518"/>
      <c r="AO259" s="518"/>
      <c r="AP259" s="518"/>
      <c r="AQ259" s="518"/>
      <c r="AR259" s="518"/>
      <c r="AS259" s="518"/>
      <c r="AT259" s="518"/>
      <c r="AU259" s="518"/>
      <c r="AV259" s="518"/>
      <c r="AW259" s="518"/>
      <c r="AX259" s="518"/>
      <c r="AY259" s="518"/>
      <c r="AZ259" s="518"/>
      <c r="BA259" s="518"/>
      <c r="BB259" s="518"/>
      <c r="BC259" s="518"/>
      <c r="BD259" s="518"/>
      <c r="BE259" s="518"/>
    </row>
    <row r="260" spans="1:57" ht="12.75" customHeight="1">
      <c r="A260" s="518"/>
      <c r="B260" s="518"/>
      <c r="C260" s="518"/>
      <c r="D260" s="518"/>
      <c r="E260" s="518"/>
      <c r="F260" s="518"/>
      <c r="G260" s="518"/>
      <c r="H260" s="518"/>
      <c r="I260" s="518"/>
      <c r="J260" s="518"/>
      <c r="K260" s="518"/>
      <c r="L260" s="518"/>
      <c r="M260" s="518"/>
      <c r="N260" s="518"/>
      <c r="O260" s="518"/>
      <c r="P260" s="518"/>
      <c r="Q260" s="518"/>
      <c r="R260" s="518"/>
      <c r="S260" s="518"/>
      <c r="T260" s="518"/>
      <c r="U260" s="518"/>
      <c r="V260" s="518"/>
      <c r="W260" s="518"/>
      <c r="X260" s="518"/>
      <c r="Y260" s="518"/>
      <c r="Z260" s="518"/>
      <c r="AA260" s="518"/>
      <c r="AB260" s="518"/>
      <c r="AC260" s="518"/>
      <c r="AD260" s="518"/>
      <c r="AE260" s="518"/>
      <c r="AF260" s="518"/>
      <c r="AG260" s="518"/>
      <c r="AH260" s="518"/>
      <c r="AI260" s="518"/>
      <c r="AJ260" s="518"/>
      <c r="AK260" s="518"/>
      <c r="AL260" s="518"/>
      <c r="AM260" s="518"/>
      <c r="AN260" s="518"/>
      <c r="AO260" s="518"/>
      <c r="AP260" s="518"/>
      <c r="AQ260" s="518"/>
      <c r="AR260" s="518"/>
      <c r="AS260" s="518"/>
      <c r="AT260" s="518"/>
      <c r="AU260" s="518"/>
      <c r="AV260" s="518"/>
      <c r="AW260" s="518"/>
      <c r="AX260" s="518"/>
      <c r="AY260" s="518"/>
      <c r="AZ260" s="518"/>
      <c r="BA260" s="518"/>
      <c r="BB260" s="518"/>
      <c r="BC260" s="518"/>
      <c r="BD260" s="518"/>
      <c r="BE260" s="518"/>
    </row>
    <row r="261" spans="1:57" ht="12.75" customHeight="1">
      <c r="A261" s="518"/>
      <c r="B261" s="518"/>
      <c r="C261" s="518"/>
      <c r="D261" s="518"/>
      <c r="E261" s="518"/>
      <c r="F261" s="518"/>
      <c r="G261" s="518"/>
      <c r="H261" s="518"/>
      <c r="I261" s="518"/>
      <c r="J261" s="518"/>
      <c r="K261" s="518"/>
      <c r="L261" s="518"/>
      <c r="M261" s="518"/>
      <c r="N261" s="518"/>
      <c r="O261" s="518"/>
      <c r="P261" s="518"/>
      <c r="Q261" s="518"/>
      <c r="R261" s="518"/>
      <c r="S261" s="518"/>
      <c r="T261" s="518"/>
      <c r="U261" s="518"/>
      <c r="V261" s="518"/>
      <c r="W261" s="518"/>
      <c r="X261" s="518"/>
      <c r="Y261" s="518"/>
      <c r="Z261" s="518"/>
      <c r="AA261" s="518"/>
      <c r="AB261" s="518"/>
      <c r="AC261" s="518"/>
      <c r="AD261" s="518"/>
      <c r="AE261" s="518"/>
      <c r="AF261" s="518"/>
      <c r="AG261" s="518"/>
      <c r="AH261" s="518"/>
      <c r="AI261" s="518"/>
      <c r="AJ261" s="518"/>
      <c r="AK261" s="518"/>
      <c r="AL261" s="518"/>
      <c r="AM261" s="518"/>
      <c r="AN261" s="518"/>
      <c r="AO261" s="518"/>
      <c r="AP261" s="518"/>
      <c r="AQ261" s="518"/>
      <c r="AR261" s="518"/>
      <c r="AS261" s="518"/>
      <c r="AT261" s="518"/>
      <c r="AU261" s="518"/>
      <c r="AV261" s="518"/>
      <c r="AW261" s="518"/>
      <c r="AX261" s="518"/>
      <c r="AY261" s="518"/>
      <c r="AZ261" s="518"/>
      <c r="BA261" s="518"/>
      <c r="BB261" s="518"/>
      <c r="BC261" s="518"/>
      <c r="BD261" s="518"/>
      <c r="BE261" s="518"/>
    </row>
    <row r="262" spans="1:57" ht="12.75" customHeight="1">
      <c r="A262" s="518"/>
      <c r="B262" s="518"/>
      <c r="C262" s="518"/>
      <c r="D262" s="518"/>
      <c r="E262" s="518"/>
      <c r="F262" s="518"/>
      <c r="G262" s="518"/>
      <c r="H262" s="518"/>
      <c r="I262" s="518"/>
      <c r="J262" s="518"/>
      <c r="K262" s="518"/>
      <c r="L262" s="518"/>
      <c r="M262" s="518"/>
      <c r="N262" s="518"/>
      <c r="O262" s="518"/>
      <c r="P262" s="518"/>
      <c r="Q262" s="518"/>
      <c r="R262" s="518"/>
      <c r="S262" s="518"/>
      <c r="T262" s="518"/>
      <c r="U262" s="518"/>
      <c r="V262" s="518"/>
      <c r="W262" s="518"/>
      <c r="X262" s="518"/>
      <c r="Y262" s="518"/>
      <c r="Z262" s="518"/>
      <c r="AA262" s="518"/>
      <c r="AB262" s="518"/>
      <c r="AC262" s="518"/>
      <c r="AD262" s="518"/>
      <c r="AE262" s="518"/>
      <c r="AF262" s="518"/>
      <c r="AG262" s="518"/>
      <c r="AH262" s="518"/>
      <c r="AI262" s="518"/>
      <c r="AJ262" s="518"/>
      <c r="AK262" s="518"/>
      <c r="AL262" s="518"/>
      <c r="AM262" s="518"/>
      <c r="AN262" s="518"/>
      <c r="AO262" s="518"/>
      <c r="AP262" s="518"/>
      <c r="AQ262" s="518"/>
      <c r="AR262" s="518"/>
      <c r="AS262" s="518"/>
      <c r="AT262" s="518"/>
      <c r="AU262" s="518"/>
      <c r="AV262" s="518"/>
      <c r="AW262" s="518"/>
      <c r="AX262" s="518"/>
      <c r="AY262" s="518"/>
      <c r="AZ262" s="518"/>
      <c r="BA262" s="518"/>
      <c r="BB262" s="518"/>
      <c r="BC262" s="518"/>
      <c r="BD262" s="518"/>
      <c r="BE262" s="518"/>
    </row>
    <row r="263" spans="1:57" ht="12.75" customHeight="1">
      <c r="A263" s="518"/>
      <c r="B263" s="518"/>
      <c r="C263" s="518"/>
      <c r="D263" s="518"/>
      <c r="E263" s="518"/>
      <c r="F263" s="518"/>
      <c r="G263" s="518"/>
      <c r="H263" s="518"/>
      <c r="I263" s="518"/>
      <c r="J263" s="518"/>
      <c r="K263" s="518"/>
      <c r="L263" s="518"/>
      <c r="M263" s="518"/>
      <c r="N263" s="518"/>
      <c r="O263" s="518"/>
      <c r="P263" s="518"/>
      <c r="Q263" s="518"/>
      <c r="R263" s="518"/>
      <c r="S263" s="518"/>
      <c r="T263" s="518"/>
      <c r="U263" s="518"/>
      <c r="V263" s="518"/>
      <c r="W263" s="518"/>
      <c r="X263" s="518"/>
      <c r="Y263" s="518"/>
      <c r="Z263" s="518"/>
      <c r="AA263" s="518"/>
      <c r="AB263" s="518"/>
      <c r="AC263" s="518"/>
      <c r="AD263" s="518"/>
      <c r="AE263" s="518"/>
      <c r="AF263" s="518"/>
      <c r="AG263" s="518"/>
      <c r="AH263" s="518"/>
      <c r="AI263" s="518"/>
      <c r="AJ263" s="518"/>
      <c r="AK263" s="518"/>
      <c r="AL263" s="518"/>
      <c r="AM263" s="518"/>
      <c r="AN263" s="518"/>
      <c r="AO263" s="518"/>
      <c r="AP263" s="518"/>
      <c r="AQ263" s="518"/>
      <c r="AR263" s="518"/>
      <c r="AS263" s="518"/>
      <c r="AT263" s="518"/>
      <c r="AU263" s="518"/>
      <c r="AV263" s="518"/>
      <c r="AW263" s="518"/>
      <c r="AX263" s="518"/>
      <c r="AY263" s="518"/>
      <c r="AZ263" s="518"/>
      <c r="BA263" s="518"/>
      <c r="BB263" s="518"/>
      <c r="BC263" s="518"/>
      <c r="BD263" s="518"/>
      <c r="BE263" s="518"/>
    </row>
    <row r="264" spans="1:57" ht="12.75" customHeight="1">
      <c r="A264" s="518"/>
      <c r="B264" s="518"/>
      <c r="C264" s="518"/>
      <c r="D264" s="518"/>
      <c r="E264" s="518"/>
      <c r="F264" s="518"/>
      <c r="G264" s="518"/>
      <c r="H264" s="518"/>
      <c r="I264" s="518"/>
      <c r="J264" s="518"/>
      <c r="K264" s="518"/>
      <c r="L264" s="518"/>
      <c r="M264" s="518"/>
      <c r="N264" s="518"/>
      <c r="O264" s="518"/>
      <c r="P264" s="518"/>
      <c r="Q264" s="518"/>
      <c r="R264" s="518"/>
      <c r="S264" s="518"/>
      <c r="T264" s="518"/>
      <c r="U264" s="518"/>
      <c r="V264" s="518"/>
      <c r="W264" s="518"/>
      <c r="X264" s="518"/>
      <c r="Y264" s="518"/>
      <c r="Z264" s="518"/>
      <c r="AA264" s="518"/>
      <c r="AB264" s="518"/>
      <c r="AC264" s="518"/>
      <c r="AD264" s="518"/>
      <c r="AE264" s="518"/>
      <c r="AF264" s="518"/>
      <c r="AG264" s="518"/>
      <c r="AH264" s="518"/>
      <c r="AI264" s="518"/>
      <c r="AJ264" s="518"/>
      <c r="AK264" s="518"/>
      <c r="AL264" s="518"/>
      <c r="AM264" s="518"/>
      <c r="AN264" s="518"/>
      <c r="AO264" s="518"/>
      <c r="AP264" s="518"/>
      <c r="AQ264" s="518"/>
      <c r="AR264" s="518"/>
      <c r="AS264" s="518"/>
      <c r="AT264" s="518"/>
      <c r="AU264" s="518"/>
      <c r="AV264" s="518"/>
      <c r="AW264" s="518"/>
      <c r="AX264" s="518"/>
      <c r="AY264" s="518"/>
      <c r="AZ264" s="518"/>
      <c r="BA264" s="518"/>
      <c r="BB264" s="518"/>
      <c r="BC264" s="518"/>
      <c r="BD264" s="518"/>
      <c r="BE264" s="518"/>
    </row>
    <row r="265" spans="1:57" ht="12.75" customHeight="1">
      <c r="A265" s="518"/>
      <c r="B265" s="518"/>
      <c r="C265" s="518"/>
      <c r="D265" s="518"/>
      <c r="E265" s="518"/>
      <c r="F265" s="518"/>
      <c r="G265" s="518"/>
      <c r="H265" s="518"/>
      <c r="I265" s="518"/>
      <c r="J265" s="518"/>
      <c r="K265" s="518"/>
      <c r="L265" s="518"/>
      <c r="M265" s="518"/>
      <c r="N265" s="518"/>
      <c r="O265" s="518"/>
      <c r="P265" s="518"/>
      <c r="Q265" s="518"/>
      <c r="R265" s="518"/>
      <c r="S265" s="518"/>
      <c r="T265" s="518"/>
      <c r="U265" s="518"/>
      <c r="V265" s="518"/>
      <c r="W265" s="518"/>
      <c r="X265" s="518"/>
      <c r="Y265" s="518"/>
      <c r="Z265" s="518"/>
      <c r="AA265" s="518"/>
      <c r="AB265" s="518"/>
      <c r="AC265" s="518"/>
      <c r="AD265" s="518"/>
      <c r="AE265" s="518"/>
      <c r="AF265" s="518"/>
      <c r="AG265" s="518"/>
      <c r="AH265" s="518"/>
      <c r="AI265" s="518"/>
      <c r="AJ265" s="518"/>
      <c r="AK265" s="518"/>
      <c r="AL265" s="518"/>
      <c r="AM265" s="518"/>
      <c r="AN265" s="518"/>
      <c r="AO265" s="518"/>
      <c r="AP265" s="518"/>
      <c r="AQ265" s="518"/>
      <c r="AR265" s="518"/>
      <c r="AS265" s="518"/>
      <c r="AT265" s="518"/>
      <c r="AU265" s="518"/>
      <c r="AV265" s="518"/>
      <c r="AW265" s="518"/>
      <c r="AX265" s="518"/>
      <c r="AY265" s="518"/>
      <c r="AZ265" s="518"/>
      <c r="BA265" s="518"/>
      <c r="BB265" s="518"/>
      <c r="BC265" s="518"/>
      <c r="BD265" s="518"/>
      <c r="BE265" s="518"/>
    </row>
    <row r="266" spans="1:57" ht="12.75" customHeight="1">
      <c r="A266" s="518"/>
      <c r="B266" s="518"/>
      <c r="C266" s="518"/>
      <c r="D266" s="518"/>
      <c r="E266" s="518"/>
      <c r="F266" s="518"/>
      <c r="G266" s="518"/>
      <c r="H266" s="518"/>
      <c r="I266" s="518"/>
      <c r="J266" s="518"/>
      <c r="K266" s="518"/>
      <c r="L266" s="518"/>
      <c r="M266" s="518"/>
      <c r="N266" s="518"/>
      <c r="O266" s="518"/>
      <c r="P266" s="518"/>
      <c r="Q266" s="518"/>
      <c r="R266" s="518"/>
      <c r="S266" s="518"/>
      <c r="T266" s="518"/>
      <c r="U266" s="518"/>
      <c r="V266" s="518"/>
      <c r="W266" s="518"/>
      <c r="X266" s="518"/>
      <c r="Y266" s="518"/>
      <c r="Z266" s="518"/>
      <c r="AA266" s="518"/>
      <c r="AB266" s="518"/>
      <c r="AC266" s="518"/>
      <c r="AD266" s="518"/>
      <c r="AE266" s="518"/>
      <c r="AF266" s="518"/>
      <c r="AG266" s="518"/>
      <c r="AH266" s="518"/>
      <c r="AI266" s="518"/>
      <c r="AJ266" s="518"/>
      <c r="AK266" s="518"/>
      <c r="AL266" s="518"/>
      <c r="AM266" s="518"/>
      <c r="AN266" s="518"/>
      <c r="AO266" s="518"/>
      <c r="AP266" s="518"/>
      <c r="AQ266" s="518"/>
      <c r="AR266" s="518"/>
      <c r="AS266" s="518"/>
      <c r="AT266" s="518"/>
      <c r="AU266" s="518"/>
      <c r="AV266" s="518"/>
      <c r="AW266" s="518"/>
      <c r="AX266" s="518"/>
      <c r="AY266" s="518"/>
      <c r="AZ266" s="518"/>
      <c r="BA266" s="518"/>
      <c r="BB266" s="518"/>
      <c r="BC266" s="518"/>
      <c r="BD266" s="518"/>
      <c r="BE266" s="518"/>
    </row>
    <row r="267" spans="1:57" ht="12.75" customHeight="1">
      <c r="A267" s="518"/>
      <c r="B267" s="518"/>
      <c r="C267" s="518"/>
      <c r="D267" s="518"/>
      <c r="E267" s="518"/>
      <c r="F267" s="518"/>
      <c r="G267" s="518"/>
      <c r="H267" s="518"/>
      <c r="I267" s="518"/>
      <c r="J267" s="518"/>
      <c r="K267" s="518"/>
      <c r="L267" s="518"/>
      <c r="M267" s="518"/>
      <c r="N267" s="518"/>
      <c r="O267" s="518"/>
      <c r="P267" s="518"/>
      <c r="Q267" s="518"/>
      <c r="R267" s="518"/>
      <c r="S267" s="518"/>
      <c r="T267" s="518"/>
      <c r="U267" s="518"/>
      <c r="V267" s="518"/>
      <c r="W267" s="518"/>
      <c r="X267" s="518"/>
      <c r="Y267" s="518"/>
      <c r="Z267" s="518"/>
      <c r="AA267" s="518"/>
      <c r="AB267" s="518"/>
      <c r="AC267" s="518"/>
      <c r="AD267" s="518"/>
      <c r="AE267" s="518"/>
      <c r="AF267" s="518"/>
      <c r="AG267" s="518"/>
      <c r="AH267" s="518"/>
      <c r="AI267" s="518"/>
      <c r="AJ267" s="518"/>
      <c r="AK267" s="518"/>
      <c r="AL267" s="518"/>
      <c r="AM267" s="518"/>
      <c r="AN267" s="518"/>
      <c r="AO267" s="518"/>
      <c r="AP267" s="518"/>
      <c r="AQ267" s="518"/>
      <c r="AR267" s="518"/>
      <c r="AS267" s="518"/>
      <c r="AT267" s="518"/>
      <c r="AU267" s="518"/>
      <c r="AV267" s="518"/>
      <c r="AW267" s="518"/>
      <c r="AX267" s="518"/>
      <c r="AY267" s="518"/>
      <c r="AZ267" s="518"/>
      <c r="BA267" s="518"/>
      <c r="BB267" s="518"/>
      <c r="BC267" s="518"/>
      <c r="BD267" s="518"/>
      <c r="BE267" s="518"/>
    </row>
    <row r="268" spans="1:57" ht="12.75" customHeight="1">
      <c r="A268" s="518"/>
      <c r="B268" s="518"/>
      <c r="C268" s="518"/>
      <c r="D268" s="518"/>
      <c r="E268" s="518"/>
      <c r="F268" s="518"/>
      <c r="G268" s="518"/>
      <c r="H268" s="518"/>
      <c r="I268" s="518"/>
      <c r="J268" s="518"/>
      <c r="K268" s="518"/>
      <c r="L268" s="518"/>
      <c r="M268" s="518"/>
      <c r="N268" s="518"/>
      <c r="O268" s="518"/>
      <c r="P268" s="518"/>
      <c r="Q268" s="518"/>
      <c r="R268" s="518"/>
      <c r="S268" s="518"/>
      <c r="T268" s="518"/>
      <c r="U268" s="518"/>
      <c r="V268" s="518"/>
      <c r="W268" s="518"/>
      <c r="X268" s="518"/>
      <c r="Y268" s="518"/>
      <c r="Z268" s="518"/>
      <c r="AA268" s="518"/>
      <c r="AB268" s="518"/>
      <c r="AC268" s="518"/>
      <c r="AD268" s="518"/>
      <c r="AE268" s="518"/>
      <c r="AF268" s="518"/>
      <c r="AG268" s="518"/>
      <c r="AH268" s="518"/>
      <c r="AI268" s="518"/>
      <c r="AJ268" s="518"/>
      <c r="AK268" s="518"/>
      <c r="AL268" s="518"/>
      <c r="AM268" s="518"/>
      <c r="AN268" s="518"/>
      <c r="AO268" s="518"/>
      <c r="AP268" s="518"/>
      <c r="AQ268" s="518"/>
      <c r="AR268" s="518"/>
      <c r="AS268" s="518"/>
      <c r="AT268" s="518"/>
      <c r="AU268" s="518"/>
      <c r="AV268" s="518"/>
      <c r="AW268" s="518"/>
      <c r="AX268" s="518"/>
      <c r="AY268" s="518"/>
      <c r="AZ268" s="518"/>
      <c r="BA268" s="518"/>
      <c r="BB268" s="518"/>
      <c r="BC268" s="518"/>
      <c r="BD268" s="518"/>
      <c r="BE268" s="518"/>
    </row>
    <row r="269" spans="1:57" ht="12.75" customHeight="1">
      <c r="A269" s="518"/>
      <c r="B269" s="518"/>
      <c r="C269" s="518"/>
      <c r="D269" s="518"/>
      <c r="E269" s="518"/>
      <c r="F269" s="518"/>
      <c r="G269" s="518"/>
      <c r="H269" s="518"/>
      <c r="I269" s="518"/>
      <c r="J269" s="518"/>
      <c r="K269" s="518"/>
      <c r="L269" s="518"/>
      <c r="M269" s="518"/>
      <c r="N269" s="518"/>
      <c r="O269" s="518"/>
      <c r="P269" s="518"/>
      <c r="Q269" s="518"/>
      <c r="R269" s="518"/>
      <c r="S269" s="518"/>
      <c r="T269" s="518"/>
      <c r="U269" s="518"/>
      <c r="V269" s="518"/>
      <c r="W269" s="518"/>
      <c r="X269" s="518"/>
      <c r="Y269" s="518"/>
      <c r="Z269" s="518"/>
      <c r="AA269" s="518"/>
      <c r="AB269" s="518"/>
      <c r="AC269" s="518"/>
      <c r="AD269" s="518"/>
      <c r="AE269" s="518"/>
      <c r="AF269" s="518"/>
      <c r="AG269" s="518"/>
      <c r="AH269" s="518"/>
      <c r="AI269" s="518"/>
      <c r="AJ269" s="518"/>
      <c r="AK269" s="518"/>
      <c r="AL269" s="518"/>
      <c r="AM269" s="518"/>
      <c r="AN269" s="518"/>
      <c r="AO269" s="518"/>
      <c r="AP269" s="518"/>
      <c r="AQ269" s="518"/>
      <c r="AR269" s="518"/>
      <c r="AS269" s="518"/>
      <c r="AT269" s="518"/>
      <c r="AU269" s="518"/>
      <c r="AV269" s="518"/>
      <c r="AW269" s="518"/>
      <c r="AX269" s="518"/>
      <c r="AY269" s="518"/>
      <c r="AZ269" s="518"/>
      <c r="BA269" s="518"/>
      <c r="BB269" s="518"/>
      <c r="BC269" s="518"/>
      <c r="BD269" s="518"/>
      <c r="BE269" s="518"/>
    </row>
    <row r="270" spans="1:57" ht="12.75" customHeight="1">
      <c r="A270" s="518"/>
      <c r="B270" s="518"/>
      <c r="C270" s="518"/>
      <c r="D270" s="518"/>
      <c r="E270" s="518"/>
      <c r="F270" s="518"/>
      <c r="G270" s="518"/>
      <c r="H270" s="518"/>
      <c r="I270" s="518"/>
      <c r="J270" s="518"/>
      <c r="K270" s="518"/>
      <c r="L270" s="518"/>
      <c r="M270" s="518"/>
      <c r="N270" s="518"/>
      <c r="O270" s="518"/>
      <c r="P270" s="518"/>
      <c r="Q270" s="518"/>
      <c r="R270" s="518"/>
      <c r="S270" s="518"/>
      <c r="T270" s="518"/>
      <c r="U270" s="518"/>
      <c r="V270" s="518"/>
      <c r="W270" s="518"/>
      <c r="X270" s="518"/>
      <c r="Y270" s="518"/>
      <c r="Z270" s="518"/>
      <c r="AA270" s="518"/>
      <c r="AB270" s="518"/>
      <c r="AC270" s="518"/>
      <c r="AD270" s="518"/>
      <c r="AE270" s="518"/>
      <c r="AF270" s="518"/>
      <c r="AG270" s="518"/>
      <c r="AH270" s="518"/>
      <c r="AI270" s="518"/>
      <c r="AJ270" s="518"/>
      <c r="AK270" s="518"/>
      <c r="AL270" s="518"/>
      <c r="AM270" s="518"/>
      <c r="AN270" s="518"/>
      <c r="AO270" s="518"/>
      <c r="AP270" s="518"/>
      <c r="AQ270" s="518"/>
      <c r="AR270" s="518"/>
      <c r="AS270" s="518"/>
      <c r="AT270" s="518"/>
      <c r="AU270" s="518"/>
      <c r="AV270" s="518"/>
      <c r="AW270" s="518"/>
      <c r="AX270" s="518"/>
      <c r="AY270" s="518"/>
      <c r="AZ270" s="518"/>
      <c r="BA270" s="518"/>
      <c r="BB270" s="518"/>
      <c r="BC270" s="518"/>
      <c r="BD270" s="518"/>
      <c r="BE270" s="518"/>
    </row>
    <row r="271" spans="1:57" ht="12.75" customHeight="1">
      <c r="A271" s="518"/>
      <c r="B271" s="518"/>
      <c r="C271" s="518"/>
      <c r="D271" s="518"/>
      <c r="E271" s="518"/>
      <c r="F271" s="518"/>
      <c r="G271" s="518"/>
      <c r="H271" s="518"/>
      <c r="I271" s="518"/>
      <c r="J271" s="518"/>
      <c r="K271" s="518"/>
      <c r="L271" s="518"/>
      <c r="M271" s="518"/>
      <c r="N271" s="518"/>
      <c r="O271" s="518"/>
      <c r="P271" s="518"/>
      <c r="Q271" s="518"/>
      <c r="R271" s="518"/>
      <c r="S271" s="518"/>
      <c r="T271" s="518"/>
      <c r="U271" s="518"/>
      <c r="V271" s="518"/>
      <c r="W271" s="518"/>
      <c r="X271" s="518"/>
      <c r="Y271" s="518"/>
      <c r="Z271" s="518"/>
      <c r="AA271" s="518"/>
      <c r="AB271" s="518"/>
      <c r="AC271" s="518"/>
      <c r="AD271" s="518"/>
      <c r="AE271" s="518"/>
      <c r="AF271" s="518"/>
      <c r="AG271" s="518"/>
      <c r="AH271" s="518"/>
      <c r="AI271" s="518"/>
      <c r="AJ271" s="518"/>
      <c r="AK271" s="518"/>
      <c r="AL271" s="518"/>
      <c r="AM271" s="518"/>
      <c r="AN271" s="518"/>
      <c r="AO271" s="518"/>
      <c r="AP271" s="518"/>
      <c r="AQ271" s="518"/>
      <c r="AR271" s="518"/>
      <c r="AS271" s="518"/>
      <c r="AT271" s="518"/>
      <c r="AU271" s="518"/>
      <c r="AV271" s="518"/>
      <c r="AW271" s="518"/>
      <c r="AX271" s="518"/>
      <c r="AY271" s="518"/>
      <c r="AZ271" s="518"/>
      <c r="BA271" s="518"/>
      <c r="BB271" s="518"/>
      <c r="BC271" s="518"/>
      <c r="BD271" s="518"/>
      <c r="BE271" s="518"/>
    </row>
    <row r="272" spans="1:57" ht="12.75" customHeight="1">
      <c r="A272" s="518"/>
      <c r="B272" s="518"/>
      <c r="C272" s="518"/>
      <c r="D272" s="518"/>
      <c r="E272" s="518"/>
      <c r="F272" s="518"/>
      <c r="G272" s="518"/>
      <c r="H272" s="518"/>
      <c r="I272" s="518"/>
      <c r="J272" s="518"/>
      <c r="K272" s="518"/>
      <c r="L272" s="518"/>
      <c r="M272" s="518"/>
      <c r="N272" s="518"/>
      <c r="O272" s="518"/>
      <c r="P272" s="518"/>
      <c r="Q272" s="518"/>
      <c r="R272" s="518"/>
      <c r="S272" s="518"/>
      <c r="T272" s="518"/>
      <c r="U272" s="518"/>
      <c r="V272" s="518"/>
      <c r="W272" s="518"/>
      <c r="X272" s="518"/>
      <c r="Y272" s="518"/>
      <c r="Z272" s="518"/>
      <c r="AA272" s="518"/>
      <c r="AB272" s="518"/>
      <c r="AC272" s="518"/>
      <c r="AD272" s="518"/>
      <c r="AE272" s="518"/>
      <c r="AF272" s="518"/>
      <c r="AG272" s="518"/>
      <c r="AH272" s="518"/>
      <c r="AI272" s="518"/>
      <c r="AJ272" s="518"/>
      <c r="AK272" s="518"/>
      <c r="AL272" s="518"/>
      <c r="AM272" s="518"/>
      <c r="AN272" s="518"/>
      <c r="AO272" s="518"/>
      <c r="AP272" s="518"/>
      <c r="AQ272" s="518"/>
      <c r="AR272" s="518"/>
      <c r="AS272" s="518"/>
      <c r="AT272" s="518"/>
      <c r="AU272" s="518"/>
      <c r="AV272" s="518"/>
      <c r="AW272" s="518"/>
      <c r="AX272" s="518"/>
      <c r="AY272" s="518"/>
      <c r="AZ272" s="518"/>
      <c r="BA272" s="518"/>
      <c r="BB272" s="518"/>
      <c r="BC272" s="518"/>
      <c r="BD272" s="518"/>
      <c r="BE272" s="518"/>
    </row>
    <row r="273" spans="1:57" ht="12.75" customHeight="1">
      <c r="A273" s="518"/>
      <c r="B273" s="518"/>
      <c r="C273" s="518"/>
      <c r="D273" s="518"/>
      <c r="E273" s="518"/>
      <c r="F273" s="518"/>
      <c r="G273" s="518"/>
      <c r="H273" s="518"/>
      <c r="I273" s="518"/>
      <c r="J273" s="518"/>
      <c r="K273" s="518"/>
      <c r="L273" s="518"/>
      <c r="M273" s="518"/>
      <c r="N273" s="518"/>
      <c r="O273" s="518"/>
      <c r="P273" s="518"/>
      <c r="Q273" s="518"/>
      <c r="R273" s="518"/>
      <c r="S273" s="518"/>
      <c r="T273" s="518"/>
      <c r="U273" s="518"/>
      <c r="V273" s="518"/>
      <c r="W273" s="518"/>
      <c r="X273" s="518"/>
      <c r="Y273" s="518"/>
      <c r="Z273" s="518"/>
      <c r="AA273" s="518"/>
      <c r="AB273" s="518"/>
      <c r="AC273" s="518"/>
      <c r="AD273" s="518"/>
      <c r="AE273" s="518"/>
      <c r="AF273" s="518"/>
      <c r="AG273" s="518"/>
      <c r="AH273" s="518"/>
      <c r="AI273" s="518"/>
      <c r="AJ273" s="518"/>
      <c r="AK273" s="518"/>
      <c r="AL273" s="518"/>
      <c r="AM273" s="518"/>
      <c r="AN273" s="518"/>
      <c r="AO273" s="518"/>
      <c r="AP273" s="518"/>
      <c r="AQ273" s="518"/>
      <c r="AR273" s="518"/>
      <c r="AS273" s="518"/>
      <c r="AT273" s="518"/>
      <c r="AU273" s="518"/>
      <c r="AV273" s="518"/>
      <c r="AW273" s="518"/>
      <c r="AX273" s="518"/>
      <c r="AY273" s="518"/>
      <c r="AZ273" s="518"/>
      <c r="BA273" s="518"/>
      <c r="BB273" s="518"/>
      <c r="BC273" s="518"/>
      <c r="BD273" s="518"/>
      <c r="BE273" s="518"/>
    </row>
    <row r="274" spans="1:57" ht="12.75" customHeight="1">
      <c r="A274" s="518"/>
      <c r="B274" s="518"/>
      <c r="C274" s="518"/>
      <c r="D274" s="518"/>
      <c r="E274" s="518"/>
      <c r="F274" s="518"/>
      <c r="G274" s="518"/>
      <c r="H274" s="518"/>
      <c r="I274" s="518"/>
      <c r="J274" s="518"/>
      <c r="K274" s="518"/>
      <c r="L274" s="518"/>
      <c r="M274" s="518"/>
      <c r="N274" s="518"/>
      <c r="O274" s="518"/>
      <c r="P274" s="518"/>
      <c r="Q274" s="518"/>
      <c r="R274" s="518"/>
      <c r="S274" s="518"/>
      <c r="T274" s="518"/>
      <c r="U274" s="518"/>
      <c r="V274" s="518"/>
      <c r="W274" s="518"/>
      <c r="X274" s="518"/>
      <c r="Y274" s="518"/>
      <c r="Z274" s="518"/>
      <c r="AA274" s="518"/>
      <c r="AB274" s="518"/>
      <c r="AC274" s="518"/>
      <c r="AD274" s="518"/>
      <c r="AE274" s="518"/>
      <c r="AF274" s="518"/>
      <c r="AG274" s="518"/>
      <c r="AH274" s="518"/>
      <c r="AI274" s="518"/>
      <c r="AJ274" s="518"/>
      <c r="AK274" s="518"/>
      <c r="AL274" s="518"/>
      <c r="AM274" s="518"/>
      <c r="AN274" s="518"/>
      <c r="AO274" s="518"/>
      <c r="AP274" s="518"/>
      <c r="AQ274" s="518"/>
      <c r="AR274" s="518"/>
      <c r="AS274" s="518"/>
      <c r="AT274" s="518"/>
      <c r="AU274" s="518"/>
      <c r="AV274" s="518"/>
      <c r="AW274" s="518"/>
      <c r="AX274" s="518"/>
      <c r="AY274" s="518"/>
      <c r="AZ274" s="518"/>
      <c r="BA274" s="518"/>
      <c r="BB274" s="518"/>
      <c r="BC274" s="518"/>
      <c r="BD274" s="518"/>
      <c r="BE274" s="518"/>
    </row>
    <row r="275" spans="1:57" ht="12.75" customHeight="1">
      <c r="A275" s="518"/>
      <c r="B275" s="518"/>
      <c r="C275" s="518"/>
      <c r="D275" s="518"/>
      <c r="E275" s="518"/>
      <c r="F275" s="518"/>
      <c r="G275" s="518"/>
      <c r="H275" s="518"/>
      <c r="I275" s="518"/>
      <c r="J275" s="518"/>
      <c r="K275" s="518"/>
      <c r="L275" s="518"/>
      <c r="M275" s="518"/>
      <c r="N275" s="518"/>
      <c r="O275" s="518"/>
      <c r="P275" s="518"/>
      <c r="Q275" s="518"/>
      <c r="R275" s="518"/>
      <c r="S275" s="518"/>
      <c r="T275" s="518"/>
      <c r="U275" s="518"/>
      <c r="V275" s="518"/>
      <c r="W275" s="518"/>
      <c r="X275" s="518"/>
      <c r="Y275" s="518"/>
      <c r="Z275" s="518"/>
      <c r="AA275" s="518"/>
      <c r="AB275" s="518"/>
      <c r="AC275" s="518"/>
      <c r="AD275" s="518"/>
      <c r="AE275" s="518"/>
      <c r="AF275" s="518"/>
      <c r="AG275" s="518"/>
      <c r="AH275" s="518"/>
      <c r="AI275" s="518"/>
      <c r="AJ275" s="518"/>
      <c r="AK275" s="518"/>
      <c r="AL275" s="518"/>
      <c r="AM275" s="518"/>
      <c r="AN275" s="518"/>
      <c r="AO275" s="518"/>
      <c r="AP275" s="518"/>
      <c r="AQ275" s="518"/>
      <c r="AR275" s="518"/>
      <c r="AS275" s="518"/>
      <c r="AT275" s="518"/>
      <c r="AU275" s="518"/>
      <c r="AV275" s="518"/>
      <c r="AW275" s="518"/>
      <c r="AX275" s="518"/>
      <c r="AY275" s="518"/>
      <c r="AZ275" s="518"/>
      <c r="BA275" s="518"/>
      <c r="BB275" s="518"/>
      <c r="BC275" s="518"/>
      <c r="BD275" s="518"/>
      <c r="BE275" s="518"/>
    </row>
    <row r="276" spans="1:57" ht="12.75" customHeight="1">
      <c r="A276" s="518"/>
      <c r="B276" s="518"/>
      <c r="C276" s="518"/>
      <c r="D276" s="518"/>
      <c r="E276" s="518"/>
      <c r="F276" s="518"/>
      <c r="G276" s="518"/>
      <c r="H276" s="518"/>
      <c r="I276" s="518"/>
      <c r="J276" s="518"/>
      <c r="K276" s="518"/>
      <c r="L276" s="518"/>
      <c r="M276" s="518"/>
      <c r="N276" s="518"/>
      <c r="O276" s="518"/>
      <c r="P276" s="518"/>
      <c r="Q276" s="518"/>
      <c r="R276" s="518"/>
      <c r="S276" s="518"/>
      <c r="T276" s="518"/>
      <c r="U276" s="518"/>
      <c r="V276" s="518"/>
      <c r="W276" s="518"/>
      <c r="X276" s="518"/>
      <c r="Y276" s="518"/>
      <c r="Z276" s="518"/>
      <c r="AA276" s="518"/>
      <c r="AB276" s="518"/>
      <c r="AC276" s="518"/>
      <c r="AD276" s="518"/>
      <c r="AE276" s="518"/>
      <c r="AF276" s="518"/>
      <c r="AG276" s="518"/>
      <c r="AH276" s="518"/>
      <c r="AI276" s="518"/>
      <c r="AJ276" s="518"/>
      <c r="AK276" s="518"/>
      <c r="AL276" s="518"/>
      <c r="AM276" s="518"/>
      <c r="AN276" s="518"/>
      <c r="AO276" s="518"/>
      <c r="AP276" s="518"/>
      <c r="AQ276" s="518"/>
      <c r="AR276" s="518"/>
      <c r="AS276" s="518"/>
      <c r="AT276" s="518"/>
      <c r="AU276" s="518"/>
      <c r="AV276" s="518"/>
      <c r="AW276" s="518"/>
      <c r="AX276" s="518"/>
      <c r="AY276" s="518"/>
      <c r="AZ276" s="518"/>
      <c r="BA276" s="518"/>
      <c r="BB276" s="518"/>
      <c r="BC276" s="518"/>
      <c r="BD276" s="518"/>
      <c r="BE276" s="518"/>
    </row>
    <row r="277" spans="1:57" ht="12.75" customHeight="1">
      <c r="A277" s="518"/>
      <c r="B277" s="518"/>
      <c r="C277" s="518"/>
      <c r="D277" s="518"/>
      <c r="E277" s="518"/>
      <c r="F277" s="518"/>
      <c r="G277" s="518"/>
      <c r="H277" s="518"/>
      <c r="I277" s="518"/>
      <c r="J277" s="518"/>
      <c r="K277" s="518"/>
      <c r="L277" s="518"/>
      <c r="M277" s="518"/>
      <c r="N277" s="518"/>
      <c r="O277" s="518"/>
      <c r="P277" s="518"/>
      <c r="Q277" s="518"/>
      <c r="R277" s="518"/>
      <c r="S277" s="518"/>
      <c r="T277" s="518"/>
      <c r="U277" s="518"/>
      <c r="V277" s="518"/>
      <c r="W277" s="518"/>
      <c r="X277" s="518"/>
      <c r="Y277" s="518"/>
      <c r="Z277" s="518"/>
      <c r="AA277" s="518"/>
      <c r="AB277" s="518"/>
      <c r="AC277" s="518"/>
      <c r="AD277" s="518"/>
      <c r="AE277" s="518"/>
      <c r="AF277" s="518"/>
      <c r="AG277" s="518"/>
      <c r="AH277" s="518"/>
      <c r="AI277" s="518"/>
      <c r="AJ277" s="518"/>
      <c r="AK277" s="518"/>
      <c r="AL277" s="518"/>
      <c r="AM277" s="518"/>
      <c r="AN277" s="518"/>
      <c r="AO277" s="518"/>
      <c r="AP277" s="518"/>
      <c r="AQ277" s="518"/>
      <c r="AR277" s="518"/>
      <c r="AS277" s="518"/>
      <c r="AT277" s="518"/>
      <c r="AU277" s="518"/>
      <c r="AV277" s="518"/>
      <c r="AW277" s="518"/>
      <c r="AX277" s="518"/>
      <c r="AY277" s="518"/>
      <c r="AZ277" s="518"/>
      <c r="BA277" s="518"/>
      <c r="BB277" s="518"/>
      <c r="BC277" s="518"/>
      <c r="BD277" s="518"/>
      <c r="BE277" s="518"/>
    </row>
    <row r="278" spans="1:57" ht="12.75" customHeight="1">
      <c r="A278" s="518"/>
      <c r="B278" s="518"/>
      <c r="C278" s="518"/>
      <c r="D278" s="518"/>
      <c r="E278" s="518"/>
      <c r="F278" s="518"/>
      <c r="G278" s="518"/>
      <c r="H278" s="518"/>
      <c r="I278" s="518"/>
      <c r="J278" s="518"/>
      <c r="K278" s="518"/>
      <c r="L278" s="518"/>
      <c r="M278" s="518"/>
      <c r="N278" s="518"/>
      <c r="O278" s="518"/>
      <c r="P278" s="518"/>
      <c r="Q278" s="518"/>
      <c r="R278" s="518"/>
      <c r="S278" s="518"/>
      <c r="T278" s="518"/>
      <c r="U278" s="518"/>
      <c r="V278" s="518"/>
      <c r="W278" s="518"/>
      <c r="X278" s="518"/>
      <c r="Y278" s="518"/>
      <c r="Z278" s="518"/>
      <c r="AA278" s="518"/>
      <c r="AB278" s="518"/>
      <c r="AC278" s="518"/>
      <c r="AD278" s="518"/>
      <c r="AE278" s="518"/>
      <c r="AF278" s="518"/>
      <c r="AG278" s="518"/>
      <c r="AH278" s="518"/>
      <c r="AI278" s="518"/>
      <c r="AJ278" s="518"/>
      <c r="AK278" s="518"/>
      <c r="AL278" s="518"/>
      <c r="AM278" s="518"/>
      <c r="AN278" s="518"/>
      <c r="AO278" s="518"/>
      <c r="AP278" s="518"/>
      <c r="AQ278" s="518"/>
      <c r="AR278" s="518"/>
      <c r="AS278" s="518"/>
      <c r="AT278" s="518"/>
      <c r="AU278" s="518"/>
      <c r="AV278" s="518"/>
      <c r="AW278" s="518"/>
      <c r="AX278" s="518"/>
      <c r="AY278" s="518"/>
      <c r="AZ278" s="518"/>
      <c r="BA278" s="518"/>
      <c r="BB278" s="518"/>
      <c r="BC278" s="518"/>
      <c r="BD278" s="518"/>
      <c r="BE278" s="518"/>
    </row>
    <row r="279" spans="1:57" ht="12.75" customHeight="1">
      <c r="A279" s="518"/>
      <c r="B279" s="518"/>
      <c r="C279" s="518"/>
      <c r="D279" s="518"/>
      <c r="E279" s="518"/>
      <c r="F279" s="518"/>
      <c r="G279" s="518"/>
      <c r="H279" s="518"/>
      <c r="I279" s="518"/>
      <c r="J279" s="518"/>
      <c r="K279" s="518"/>
      <c r="L279" s="518"/>
      <c r="M279" s="518"/>
      <c r="N279" s="518"/>
      <c r="O279" s="518"/>
      <c r="P279" s="518"/>
      <c r="Q279" s="518"/>
      <c r="R279" s="518"/>
      <c r="S279" s="518"/>
      <c r="T279" s="518"/>
      <c r="U279" s="518"/>
      <c r="V279" s="518"/>
      <c r="W279" s="518"/>
      <c r="X279" s="518"/>
      <c r="Y279" s="518"/>
      <c r="Z279" s="518"/>
      <c r="AA279" s="518"/>
      <c r="AB279" s="518"/>
      <c r="AC279" s="518"/>
      <c r="AD279" s="518"/>
      <c r="AE279" s="518"/>
      <c r="AF279" s="518"/>
      <c r="AG279" s="518"/>
      <c r="AH279" s="518"/>
      <c r="AI279" s="518"/>
      <c r="AJ279" s="518"/>
      <c r="AK279" s="518"/>
      <c r="AL279" s="518"/>
      <c r="AM279" s="518"/>
      <c r="AN279" s="518"/>
      <c r="AO279" s="518"/>
      <c r="AP279" s="518"/>
      <c r="AQ279" s="518"/>
      <c r="AR279" s="518"/>
      <c r="AS279" s="518"/>
      <c r="AT279" s="518"/>
      <c r="AU279" s="518"/>
      <c r="AV279" s="518"/>
      <c r="AW279" s="518"/>
      <c r="AX279" s="518"/>
      <c r="AY279" s="518"/>
      <c r="AZ279" s="518"/>
      <c r="BA279" s="518"/>
      <c r="BB279" s="518"/>
      <c r="BC279" s="518"/>
      <c r="BD279" s="518"/>
      <c r="BE279" s="518"/>
    </row>
    <row r="280" spans="1:57" ht="12.75" customHeight="1">
      <c r="A280" s="518"/>
      <c r="B280" s="518"/>
      <c r="C280" s="518"/>
      <c r="D280" s="518"/>
      <c r="E280" s="518"/>
      <c r="F280" s="518"/>
      <c r="G280" s="518"/>
      <c r="H280" s="518"/>
      <c r="I280" s="518"/>
      <c r="J280" s="518"/>
      <c r="K280" s="518"/>
      <c r="L280" s="518"/>
      <c r="M280" s="518"/>
      <c r="N280" s="518"/>
      <c r="O280" s="518"/>
      <c r="P280" s="518"/>
      <c r="Q280" s="518"/>
      <c r="R280" s="518"/>
      <c r="S280" s="518"/>
      <c r="T280" s="518"/>
      <c r="U280" s="518"/>
      <c r="V280" s="518"/>
      <c r="W280" s="518"/>
      <c r="X280" s="518"/>
      <c r="Y280" s="518"/>
      <c r="Z280" s="518"/>
      <c r="AA280" s="518"/>
      <c r="AB280" s="518"/>
      <c r="AC280" s="518"/>
      <c r="AD280" s="518"/>
      <c r="AE280" s="518"/>
      <c r="AF280" s="518"/>
      <c r="AG280" s="518"/>
      <c r="AH280" s="518"/>
      <c r="AI280" s="518"/>
      <c r="AJ280" s="518"/>
      <c r="AK280" s="518"/>
      <c r="AL280" s="518"/>
      <c r="AM280" s="518"/>
      <c r="AN280" s="518"/>
      <c r="AO280" s="518"/>
      <c r="AP280" s="518"/>
      <c r="AQ280" s="518"/>
      <c r="AR280" s="518"/>
      <c r="AS280" s="518"/>
      <c r="AT280" s="518"/>
      <c r="AU280" s="518"/>
      <c r="AV280" s="518"/>
      <c r="AW280" s="518"/>
      <c r="AX280" s="518"/>
      <c r="AY280" s="518"/>
      <c r="AZ280" s="518"/>
      <c r="BA280" s="518"/>
      <c r="BB280" s="518"/>
      <c r="BC280" s="518"/>
      <c r="BD280" s="518"/>
      <c r="BE280" s="518"/>
    </row>
    <row r="281" spans="1:57" ht="12.75" customHeight="1">
      <c r="A281" s="518"/>
      <c r="B281" s="518"/>
      <c r="C281" s="518"/>
      <c r="D281" s="518"/>
      <c r="E281" s="518"/>
      <c r="F281" s="518"/>
      <c r="G281" s="518"/>
      <c r="H281" s="518"/>
      <c r="I281" s="518"/>
      <c r="J281" s="518"/>
      <c r="K281" s="518"/>
      <c r="L281" s="518"/>
      <c r="M281" s="518"/>
      <c r="N281" s="518"/>
      <c r="O281" s="518"/>
      <c r="P281" s="518"/>
      <c r="Q281" s="518"/>
      <c r="R281" s="518"/>
      <c r="S281" s="518"/>
      <c r="T281" s="518"/>
      <c r="U281" s="518"/>
      <c r="V281" s="518"/>
      <c r="W281" s="518"/>
      <c r="X281" s="518"/>
      <c r="Y281" s="518"/>
      <c r="Z281" s="518"/>
      <c r="AA281" s="518"/>
      <c r="AB281" s="518"/>
      <c r="AC281" s="518"/>
      <c r="AD281" s="518"/>
      <c r="AE281" s="518"/>
      <c r="AF281" s="518"/>
      <c r="AG281" s="518"/>
      <c r="AH281" s="518"/>
      <c r="AI281" s="518"/>
      <c r="AJ281" s="518"/>
      <c r="AK281" s="518"/>
      <c r="AL281" s="518"/>
      <c r="AM281" s="518"/>
      <c r="AN281" s="518"/>
      <c r="AO281" s="518"/>
      <c r="AP281" s="518"/>
      <c r="AQ281" s="518"/>
      <c r="AR281" s="518"/>
      <c r="AS281" s="518"/>
      <c r="AT281" s="518"/>
      <c r="AU281" s="518"/>
      <c r="AV281" s="518"/>
      <c r="AW281" s="518"/>
      <c r="AX281" s="518"/>
      <c r="AY281" s="518"/>
      <c r="AZ281" s="518"/>
      <c r="BA281" s="518"/>
      <c r="BB281" s="518"/>
      <c r="BC281" s="518"/>
      <c r="BD281" s="518"/>
      <c r="BE281" s="518"/>
    </row>
    <row r="282" spans="1:57" ht="12.75" customHeight="1">
      <c r="A282" s="518"/>
      <c r="B282" s="518"/>
      <c r="C282" s="518"/>
      <c r="D282" s="518"/>
      <c r="E282" s="518"/>
      <c r="F282" s="518"/>
      <c r="G282" s="518"/>
      <c r="H282" s="518"/>
      <c r="I282" s="518"/>
      <c r="J282" s="518"/>
      <c r="K282" s="518"/>
      <c r="L282" s="518"/>
      <c r="M282" s="518"/>
      <c r="N282" s="518"/>
      <c r="O282" s="518"/>
      <c r="P282" s="518"/>
      <c r="Q282" s="518"/>
      <c r="R282" s="518"/>
      <c r="S282" s="518"/>
      <c r="T282" s="518"/>
      <c r="U282" s="518"/>
      <c r="V282" s="518"/>
      <c r="W282" s="518"/>
      <c r="X282" s="518"/>
      <c r="Y282" s="518"/>
      <c r="Z282" s="518"/>
      <c r="AA282" s="518"/>
      <c r="AB282" s="518"/>
      <c r="AC282" s="518"/>
      <c r="AD282" s="518"/>
      <c r="AE282" s="518"/>
      <c r="AF282" s="518"/>
      <c r="AG282" s="518"/>
      <c r="AH282" s="518"/>
      <c r="AI282" s="518"/>
      <c r="AJ282" s="518"/>
      <c r="AK282" s="518"/>
      <c r="AL282" s="518"/>
      <c r="AM282" s="518"/>
      <c r="AN282" s="518"/>
      <c r="AO282" s="518"/>
      <c r="AP282" s="518"/>
      <c r="AQ282" s="518"/>
      <c r="AR282" s="518"/>
      <c r="AS282" s="518"/>
      <c r="AT282" s="518"/>
      <c r="AU282" s="518"/>
      <c r="AV282" s="518"/>
      <c r="AW282" s="518"/>
      <c r="AX282" s="518"/>
      <c r="AY282" s="518"/>
      <c r="AZ282" s="518"/>
      <c r="BA282" s="518"/>
      <c r="BB282" s="518"/>
      <c r="BC282" s="518"/>
      <c r="BD282" s="518"/>
      <c r="BE282" s="518"/>
    </row>
    <row r="283" spans="1:57" ht="12.75" customHeight="1">
      <c r="A283" s="518"/>
      <c r="B283" s="518"/>
      <c r="C283" s="518"/>
      <c r="D283" s="518"/>
      <c r="E283" s="518"/>
      <c r="F283" s="518"/>
      <c r="G283" s="518"/>
      <c r="H283" s="518"/>
      <c r="I283" s="518"/>
      <c r="J283" s="518"/>
      <c r="K283" s="518"/>
      <c r="L283" s="518"/>
      <c r="M283" s="518"/>
      <c r="N283" s="518"/>
      <c r="O283" s="518"/>
      <c r="P283" s="518"/>
      <c r="Q283" s="518"/>
      <c r="R283" s="518"/>
      <c r="S283" s="518"/>
      <c r="T283" s="518"/>
      <c r="U283" s="518"/>
      <c r="V283" s="518"/>
      <c r="W283" s="518"/>
      <c r="X283" s="518"/>
      <c r="Y283" s="518"/>
      <c r="Z283" s="518"/>
      <c r="AA283" s="518"/>
      <c r="AB283" s="518"/>
      <c r="AC283" s="518"/>
      <c r="AD283" s="518"/>
      <c r="AE283" s="518"/>
      <c r="AF283" s="518"/>
      <c r="AG283" s="518"/>
      <c r="AH283" s="518"/>
      <c r="AI283" s="518"/>
      <c r="AJ283" s="518"/>
      <c r="AK283" s="518"/>
      <c r="AL283" s="518"/>
      <c r="AM283" s="518"/>
      <c r="AN283" s="518"/>
      <c r="AO283" s="518"/>
      <c r="AP283" s="518"/>
      <c r="AQ283" s="518"/>
      <c r="AR283" s="518"/>
      <c r="AS283" s="518"/>
      <c r="AT283" s="518"/>
      <c r="AU283" s="518"/>
      <c r="AV283" s="518"/>
      <c r="AW283" s="518"/>
      <c r="AX283" s="518"/>
      <c r="AY283" s="518"/>
      <c r="AZ283" s="518"/>
      <c r="BA283" s="518"/>
      <c r="BB283" s="518"/>
      <c r="BC283" s="518"/>
      <c r="BD283" s="518"/>
      <c r="BE283" s="518"/>
    </row>
    <row r="284" spans="1:57" ht="12.75" customHeight="1">
      <c r="A284" s="518"/>
      <c r="B284" s="518"/>
      <c r="C284" s="518"/>
      <c r="D284" s="518"/>
      <c r="E284" s="518"/>
      <c r="F284" s="518"/>
      <c r="G284" s="518"/>
      <c r="H284" s="518"/>
      <c r="I284" s="518"/>
      <c r="J284" s="518"/>
      <c r="K284" s="518"/>
      <c r="L284" s="518"/>
      <c r="M284" s="518"/>
      <c r="N284" s="518"/>
      <c r="O284" s="518"/>
      <c r="P284" s="518"/>
      <c r="Q284" s="518"/>
      <c r="R284" s="518"/>
      <c r="S284" s="518"/>
      <c r="T284" s="518"/>
      <c r="U284" s="518"/>
      <c r="V284" s="518"/>
      <c r="W284" s="518"/>
      <c r="X284" s="518"/>
      <c r="Y284" s="518"/>
      <c r="Z284" s="518"/>
      <c r="AA284" s="518"/>
      <c r="AB284" s="518"/>
      <c r="AC284" s="518"/>
      <c r="AD284" s="518"/>
      <c r="AE284" s="518"/>
      <c r="AF284" s="518"/>
      <c r="AG284" s="518"/>
      <c r="AH284" s="518"/>
      <c r="AI284" s="518"/>
      <c r="AJ284" s="518"/>
      <c r="AK284" s="518"/>
      <c r="AL284" s="518"/>
      <c r="AM284" s="518"/>
      <c r="AN284" s="518"/>
      <c r="AO284" s="518"/>
      <c r="AP284" s="518"/>
      <c r="AQ284" s="518"/>
      <c r="AR284" s="518"/>
      <c r="AS284" s="518"/>
      <c r="AT284" s="518"/>
      <c r="AU284" s="518"/>
      <c r="AV284" s="518"/>
      <c r="AW284" s="518"/>
      <c r="AX284" s="518"/>
      <c r="AY284" s="518"/>
      <c r="AZ284" s="518"/>
      <c r="BA284" s="518"/>
      <c r="BB284" s="518"/>
      <c r="BC284" s="518"/>
      <c r="BD284" s="518"/>
      <c r="BE284" s="518"/>
    </row>
    <row r="285" spans="1:57" ht="12.75" customHeight="1">
      <c r="A285" s="518"/>
      <c r="B285" s="518"/>
      <c r="C285" s="518"/>
      <c r="D285" s="518"/>
      <c r="E285" s="518"/>
      <c r="F285" s="518"/>
      <c r="G285" s="518"/>
      <c r="H285" s="518"/>
      <c r="I285" s="518"/>
      <c r="J285" s="518"/>
      <c r="K285" s="518"/>
      <c r="L285" s="518"/>
      <c r="M285" s="518"/>
      <c r="N285" s="518"/>
      <c r="O285" s="518"/>
      <c r="P285" s="518"/>
      <c r="Q285" s="518"/>
      <c r="R285" s="518"/>
      <c r="S285" s="518"/>
      <c r="T285" s="518"/>
      <c r="U285" s="518"/>
      <c r="V285" s="518"/>
      <c r="W285" s="518"/>
      <c r="X285" s="518"/>
      <c r="Y285" s="518"/>
      <c r="Z285" s="518"/>
      <c r="AA285" s="518"/>
      <c r="AB285" s="518"/>
      <c r="AC285" s="518"/>
      <c r="AD285" s="518"/>
      <c r="AE285" s="518"/>
      <c r="AF285" s="518"/>
      <c r="AG285" s="518"/>
      <c r="AH285" s="518"/>
      <c r="AI285" s="518"/>
      <c r="AJ285" s="518"/>
      <c r="AK285" s="518"/>
      <c r="AL285" s="518"/>
      <c r="AM285" s="518"/>
      <c r="AN285" s="518"/>
      <c r="AO285" s="518"/>
      <c r="AP285" s="518"/>
      <c r="AQ285" s="518"/>
      <c r="AR285" s="518"/>
      <c r="AS285" s="518"/>
      <c r="AT285" s="518"/>
      <c r="AU285" s="518"/>
      <c r="AV285" s="518"/>
      <c r="AW285" s="518"/>
      <c r="AX285" s="518"/>
      <c r="AY285" s="518"/>
      <c r="AZ285" s="518"/>
      <c r="BA285" s="518"/>
      <c r="BB285" s="518"/>
      <c r="BC285" s="518"/>
      <c r="BD285" s="518"/>
      <c r="BE285" s="518"/>
    </row>
    <row r="286" spans="1:57" ht="12.75" customHeight="1">
      <c r="A286" s="518"/>
      <c r="B286" s="518"/>
      <c r="C286" s="518"/>
      <c r="D286" s="518"/>
      <c r="E286" s="518"/>
      <c r="F286" s="518"/>
      <c r="G286" s="518"/>
      <c r="H286" s="518"/>
      <c r="I286" s="518"/>
      <c r="J286" s="518"/>
      <c r="K286" s="518"/>
      <c r="L286" s="518"/>
      <c r="M286" s="518"/>
      <c r="N286" s="518"/>
      <c r="O286" s="518"/>
      <c r="P286" s="518"/>
      <c r="Q286" s="518"/>
      <c r="R286" s="518"/>
      <c r="S286" s="518"/>
      <c r="T286" s="518"/>
      <c r="U286" s="518"/>
      <c r="V286" s="518"/>
      <c r="W286" s="518"/>
      <c r="X286" s="518"/>
      <c r="Y286" s="518"/>
      <c r="Z286" s="518"/>
      <c r="AA286" s="518"/>
      <c r="AB286" s="518"/>
      <c r="AC286" s="518"/>
      <c r="AD286" s="518"/>
      <c r="AE286" s="518"/>
      <c r="AF286" s="518"/>
      <c r="AG286" s="518"/>
      <c r="AH286" s="518"/>
      <c r="AI286" s="518"/>
      <c r="AJ286" s="518"/>
      <c r="AK286" s="518"/>
      <c r="AL286" s="518"/>
      <c r="AM286" s="518"/>
      <c r="AN286" s="518"/>
      <c r="AO286" s="518"/>
      <c r="AP286" s="518"/>
      <c r="AQ286" s="518"/>
      <c r="AR286" s="518"/>
      <c r="AS286" s="518"/>
      <c r="AT286" s="518"/>
      <c r="AU286" s="518"/>
      <c r="AV286" s="518"/>
      <c r="AW286" s="518"/>
      <c r="AX286" s="518"/>
      <c r="AY286" s="518"/>
      <c r="AZ286" s="518"/>
      <c r="BA286" s="518"/>
      <c r="BB286" s="518"/>
      <c r="BC286" s="518"/>
      <c r="BD286" s="518"/>
      <c r="BE286" s="518"/>
    </row>
    <row r="287" spans="1:57" ht="12.75" customHeight="1">
      <c r="A287" s="518"/>
      <c r="B287" s="518"/>
      <c r="C287" s="518"/>
      <c r="D287" s="518"/>
      <c r="E287" s="518"/>
      <c r="F287" s="518"/>
      <c r="G287" s="518"/>
      <c r="H287" s="518"/>
      <c r="I287" s="518"/>
      <c r="J287" s="518"/>
      <c r="K287" s="518"/>
      <c r="L287" s="518"/>
      <c r="M287" s="518"/>
      <c r="N287" s="518"/>
      <c r="O287" s="518"/>
      <c r="P287" s="518"/>
      <c r="Q287" s="518"/>
      <c r="R287" s="518"/>
      <c r="S287" s="518"/>
      <c r="T287" s="518"/>
      <c r="U287" s="518"/>
      <c r="V287" s="518"/>
      <c r="W287" s="518"/>
      <c r="X287" s="518"/>
      <c r="Y287" s="518"/>
      <c r="Z287" s="518"/>
      <c r="AA287" s="518"/>
      <c r="AB287" s="518"/>
      <c r="AC287" s="518"/>
      <c r="AD287" s="518"/>
      <c r="AE287" s="518"/>
      <c r="AF287" s="518"/>
      <c r="AG287" s="518"/>
      <c r="AH287" s="518"/>
      <c r="AI287" s="518"/>
      <c r="AJ287" s="518"/>
      <c r="AK287" s="518"/>
      <c r="AL287" s="518"/>
      <c r="AM287" s="518"/>
      <c r="AN287" s="518"/>
      <c r="AO287" s="518"/>
      <c r="AP287" s="518"/>
      <c r="AQ287" s="518"/>
      <c r="AR287" s="518"/>
      <c r="AS287" s="518"/>
      <c r="AT287" s="518"/>
      <c r="AU287" s="518"/>
      <c r="AV287" s="518"/>
      <c r="AW287" s="518"/>
      <c r="AX287" s="518"/>
      <c r="AY287" s="518"/>
      <c r="AZ287" s="518"/>
      <c r="BA287" s="518"/>
      <c r="BB287" s="518"/>
      <c r="BC287" s="518"/>
      <c r="BD287" s="518"/>
      <c r="BE287" s="518"/>
    </row>
    <row r="288" spans="1:57" ht="12.75" customHeight="1">
      <c r="A288" s="518"/>
      <c r="B288" s="518"/>
      <c r="C288" s="518"/>
      <c r="D288" s="518"/>
      <c r="E288" s="518"/>
      <c r="F288" s="518"/>
      <c r="G288" s="518"/>
      <c r="H288" s="518"/>
      <c r="I288" s="518"/>
      <c r="J288" s="518"/>
      <c r="K288" s="518"/>
      <c r="L288" s="518"/>
      <c r="M288" s="518"/>
      <c r="N288" s="518"/>
      <c r="O288" s="518"/>
      <c r="P288" s="518"/>
      <c r="Q288" s="518"/>
      <c r="R288" s="518"/>
      <c r="S288" s="518"/>
      <c r="T288" s="518"/>
      <c r="U288" s="518"/>
      <c r="V288" s="518"/>
      <c r="W288" s="518"/>
      <c r="X288" s="518"/>
      <c r="Y288" s="518"/>
      <c r="Z288" s="518"/>
      <c r="AA288" s="518"/>
      <c r="AB288" s="518"/>
      <c r="AC288" s="518"/>
      <c r="AD288" s="518"/>
      <c r="AE288" s="518"/>
      <c r="AF288" s="518"/>
      <c r="AG288" s="518"/>
      <c r="AH288" s="518"/>
      <c r="AI288" s="518"/>
      <c r="AJ288" s="518"/>
      <c r="AK288" s="518"/>
      <c r="AL288" s="518"/>
      <c r="AM288" s="518"/>
      <c r="AN288" s="518"/>
      <c r="AO288" s="518"/>
      <c r="AP288" s="518"/>
      <c r="AQ288" s="518"/>
      <c r="AR288" s="518"/>
      <c r="AS288" s="518"/>
      <c r="AT288" s="518"/>
      <c r="AU288" s="518"/>
      <c r="AV288" s="518"/>
      <c r="AW288" s="518"/>
      <c r="AX288" s="518"/>
      <c r="AY288" s="518"/>
      <c r="AZ288" s="518"/>
      <c r="BA288" s="518"/>
      <c r="BB288" s="518"/>
      <c r="BC288" s="518"/>
      <c r="BD288" s="518"/>
      <c r="BE288" s="518"/>
    </row>
    <row r="289" spans="1:57" ht="12.75" customHeight="1">
      <c r="A289" s="518"/>
      <c r="B289" s="518"/>
      <c r="C289" s="518"/>
      <c r="D289" s="518"/>
      <c r="E289" s="518"/>
      <c r="F289" s="518"/>
      <c r="G289" s="518"/>
      <c r="H289" s="518"/>
      <c r="I289" s="518"/>
      <c r="J289" s="518"/>
      <c r="K289" s="518"/>
      <c r="L289" s="518"/>
      <c r="M289" s="518"/>
      <c r="N289" s="518"/>
      <c r="O289" s="518"/>
      <c r="P289" s="518"/>
      <c r="Q289" s="518"/>
      <c r="R289" s="518"/>
      <c r="S289" s="518"/>
      <c r="T289" s="518"/>
      <c r="U289" s="518"/>
      <c r="V289" s="518"/>
      <c r="W289" s="518"/>
      <c r="X289" s="518"/>
      <c r="Y289" s="518"/>
      <c r="Z289" s="518"/>
      <c r="AA289" s="518"/>
      <c r="AB289" s="518"/>
      <c r="AC289" s="518"/>
      <c r="AD289" s="518"/>
      <c r="AE289" s="518"/>
      <c r="AF289" s="518"/>
      <c r="AG289" s="518"/>
      <c r="AH289" s="518"/>
      <c r="AI289" s="518"/>
      <c r="AJ289" s="518"/>
      <c r="AK289" s="518"/>
      <c r="AL289" s="518"/>
      <c r="AM289" s="518"/>
      <c r="AN289" s="518"/>
      <c r="AO289" s="518"/>
      <c r="AP289" s="518"/>
      <c r="AQ289" s="518"/>
      <c r="AR289" s="518"/>
      <c r="AS289" s="518"/>
      <c r="AT289" s="518"/>
      <c r="AU289" s="518"/>
      <c r="AV289" s="518"/>
      <c r="AW289" s="518"/>
      <c r="AX289" s="518"/>
      <c r="AY289" s="518"/>
      <c r="AZ289" s="518"/>
      <c r="BA289" s="518"/>
      <c r="BB289" s="518"/>
      <c r="BC289" s="518"/>
      <c r="BD289" s="518"/>
      <c r="BE289" s="518"/>
    </row>
    <row r="290" spans="1:57" ht="12.75" customHeight="1">
      <c r="A290" s="518"/>
      <c r="B290" s="518"/>
      <c r="C290" s="518"/>
      <c r="D290" s="518"/>
      <c r="E290" s="518"/>
      <c r="F290" s="518"/>
      <c r="G290" s="518"/>
      <c r="H290" s="518"/>
      <c r="I290" s="518"/>
      <c r="J290" s="518"/>
      <c r="K290" s="518"/>
      <c r="L290" s="518"/>
      <c r="M290" s="518"/>
      <c r="N290" s="518"/>
      <c r="O290" s="518"/>
      <c r="P290" s="518"/>
      <c r="Q290" s="518"/>
      <c r="R290" s="518"/>
      <c r="S290" s="518"/>
      <c r="T290" s="518"/>
      <c r="U290" s="518"/>
      <c r="V290" s="518"/>
      <c r="W290" s="518"/>
      <c r="X290" s="518"/>
      <c r="Y290" s="518"/>
      <c r="Z290" s="518"/>
      <c r="AA290" s="518"/>
      <c r="AB290" s="518"/>
      <c r="AC290" s="518"/>
      <c r="AD290" s="518"/>
      <c r="AE290" s="518"/>
      <c r="AF290" s="518"/>
      <c r="AG290" s="518"/>
      <c r="AH290" s="518"/>
      <c r="AI290" s="518"/>
      <c r="AJ290" s="518"/>
      <c r="AK290" s="518"/>
      <c r="AL290" s="518"/>
      <c r="AM290" s="518"/>
      <c r="AN290" s="518"/>
      <c r="AO290" s="518"/>
      <c r="AP290" s="518"/>
      <c r="AQ290" s="518"/>
      <c r="AR290" s="518"/>
      <c r="AS290" s="518"/>
      <c r="AT290" s="518"/>
      <c r="AU290" s="518"/>
      <c r="AV290" s="518"/>
      <c r="AW290" s="518"/>
      <c r="AX290" s="518"/>
      <c r="AY290" s="518"/>
      <c r="AZ290" s="518"/>
      <c r="BA290" s="518"/>
      <c r="BB290" s="518"/>
      <c r="BC290" s="518"/>
      <c r="BD290" s="518"/>
      <c r="BE290" s="518"/>
    </row>
    <row r="291" spans="1:57" ht="12.75" customHeight="1">
      <c r="A291" s="518"/>
      <c r="B291" s="518"/>
      <c r="C291" s="518"/>
      <c r="D291" s="518"/>
      <c r="E291" s="518"/>
      <c r="F291" s="518"/>
      <c r="G291" s="518"/>
      <c r="H291" s="518"/>
      <c r="I291" s="518"/>
      <c r="J291" s="518"/>
      <c r="K291" s="518"/>
      <c r="L291" s="518"/>
      <c r="M291" s="518"/>
      <c r="N291" s="518"/>
      <c r="O291" s="518"/>
      <c r="P291" s="518"/>
      <c r="Q291" s="518"/>
      <c r="R291" s="518"/>
      <c r="S291" s="518"/>
      <c r="T291" s="518"/>
      <c r="U291" s="518"/>
      <c r="V291" s="518"/>
      <c r="W291" s="518"/>
      <c r="X291" s="518"/>
      <c r="Y291" s="518"/>
      <c r="Z291" s="518"/>
      <c r="AA291" s="518"/>
      <c r="AB291" s="518"/>
      <c r="AC291" s="518"/>
      <c r="AD291" s="518"/>
      <c r="AE291" s="518"/>
      <c r="AF291" s="518"/>
      <c r="AG291" s="518"/>
      <c r="AH291" s="518"/>
      <c r="AI291" s="518"/>
      <c r="AJ291" s="518"/>
      <c r="AK291" s="518"/>
      <c r="AL291" s="518"/>
      <c r="AM291" s="518"/>
      <c r="AN291" s="518"/>
      <c r="AO291" s="518"/>
      <c r="AP291" s="518"/>
      <c r="AQ291" s="518"/>
      <c r="AR291" s="518"/>
      <c r="AS291" s="518"/>
      <c r="AT291" s="518"/>
      <c r="AU291" s="518"/>
      <c r="AV291" s="518"/>
      <c r="AW291" s="518"/>
      <c r="AX291" s="518"/>
      <c r="AY291" s="518"/>
      <c r="AZ291" s="518"/>
      <c r="BA291" s="518"/>
      <c r="BB291" s="518"/>
      <c r="BC291" s="518"/>
      <c r="BD291" s="518"/>
      <c r="BE291" s="518"/>
    </row>
    <row r="292" spans="1:57" ht="12.75" customHeight="1">
      <c r="A292" s="518"/>
      <c r="B292" s="518"/>
      <c r="C292" s="518"/>
      <c r="D292" s="518"/>
      <c r="E292" s="518"/>
      <c r="F292" s="518"/>
      <c r="G292" s="518"/>
      <c r="H292" s="518"/>
      <c r="I292" s="518"/>
      <c r="J292" s="518"/>
      <c r="K292" s="518"/>
      <c r="L292" s="518"/>
      <c r="M292" s="518"/>
      <c r="N292" s="518"/>
      <c r="O292" s="518"/>
      <c r="P292" s="518"/>
      <c r="Q292" s="518"/>
      <c r="R292" s="518"/>
      <c r="S292" s="518"/>
      <c r="T292" s="518"/>
      <c r="U292" s="518"/>
      <c r="V292" s="518"/>
      <c r="W292" s="518"/>
      <c r="X292" s="518"/>
      <c r="Y292" s="518"/>
      <c r="Z292" s="518"/>
      <c r="AA292" s="518"/>
      <c r="AB292" s="518"/>
      <c r="AC292" s="518"/>
      <c r="AD292" s="518"/>
      <c r="AE292" s="518"/>
      <c r="AF292" s="518"/>
      <c r="AG292" s="518"/>
      <c r="AH292" s="518"/>
      <c r="AI292" s="518"/>
      <c r="AJ292" s="518"/>
      <c r="AK292" s="518"/>
      <c r="AL292" s="518"/>
      <c r="AM292" s="518"/>
      <c r="AN292" s="518"/>
      <c r="AO292" s="518"/>
      <c r="AP292" s="518"/>
      <c r="AQ292" s="518"/>
      <c r="AR292" s="518"/>
      <c r="AS292" s="518"/>
      <c r="AT292" s="518"/>
      <c r="AU292" s="518"/>
      <c r="AV292" s="518"/>
      <c r="AW292" s="518"/>
      <c r="AX292" s="518"/>
      <c r="AY292" s="518"/>
      <c r="AZ292" s="518"/>
      <c r="BA292" s="518"/>
      <c r="BB292" s="518"/>
      <c r="BC292" s="518"/>
      <c r="BD292" s="518"/>
      <c r="BE292" s="518"/>
    </row>
    <row r="293" spans="1:57" ht="12.75" customHeight="1">
      <c r="A293" s="518"/>
      <c r="B293" s="518"/>
      <c r="C293" s="518"/>
      <c r="D293" s="518"/>
      <c r="E293" s="518"/>
      <c r="F293" s="518"/>
      <c r="G293" s="518"/>
      <c r="H293" s="518"/>
      <c r="I293" s="518"/>
      <c r="J293" s="518"/>
      <c r="K293" s="518"/>
      <c r="L293" s="518"/>
      <c r="M293" s="518"/>
      <c r="N293" s="518"/>
      <c r="O293" s="518"/>
      <c r="P293" s="518"/>
      <c r="Q293" s="518"/>
      <c r="R293" s="518"/>
      <c r="S293" s="518"/>
      <c r="T293" s="518"/>
      <c r="U293" s="518"/>
      <c r="V293" s="518"/>
      <c r="W293" s="518"/>
      <c r="X293" s="518"/>
      <c r="Y293" s="518"/>
      <c r="Z293" s="518"/>
      <c r="AA293" s="518"/>
      <c r="AB293" s="518"/>
      <c r="AC293" s="518"/>
      <c r="AD293" s="518"/>
      <c r="AE293" s="518"/>
      <c r="AF293" s="518"/>
      <c r="AG293" s="518"/>
      <c r="AH293" s="518"/>
      <c r="AI293" s="518"/>
      <c r="AJ293" s="518"/>
      <c r="AK293" s="518"/>
      <c r="AL293" s="518"/>
      <c r="AM293" s="518"/>
      <c r="AN293" s="518"/>
      <c r="AO293" s="518"/>
      <c r="AP293" s="518"/>
      <c r="AQ293" s="518"/>
      <c r="AR293" s="518"/>
      <c r="AS293" s="518"/>
      <c r="AT293" s="518"/>
      <c r="AU293" s="518"/>
      <c r="AV293" s="518"/>
      <c r="AW293" s="518"/>
      <c r="AX293" s="518"/>
      <c r="AY293" s="518"/>
      <c r="AZ293" s="518"/>
      <c r="BA293" s="518"/>
      <c r="BB293" s="518"/>
      <c r="BC293" s="518"/>
      <c r="BD293" s="518"/>
      <c r="BE293" s="518"/>
    </row>
    <row r="294" spans="1:57" ht="12.75" customHeight="1">
      <c r="A294" s="518"/>
      <c r="B294" s="518"/>
      <c r="C294" s="518"/>
      <c r="D294" s="518"/>
      <c r="E294" s="518"/>
      <c r="F294" s="518"/>
      <c r="G294" s="518"/>
      <c r="H294" s="518"/>
      <c r="I294" s="518"/>
      <c r="J294" s="518"/>
      <c r="K294" s="518"/>
      <c r="L294" s="518"/>
      <c r="M294" s="518"/>
      <c r="N294" s="518"/>
      <c r="O294" s="518"/>
      <c r="P294" s="518"/>
      <c r="Q294" s="518"/>
      <c r="R294" s="518"/>
      <c r="S294" s="518"/>
      <c r="T294" s="518"/>
      <c r="U294" s="518"/>
      <c r="V294" s="518"/>
      <c r="W294" s="518"/>
      <c r="X294" s="518"/>
      <c r="Y294" s="518"/>
      <c r="Z294" s="518"/>
      <c r="AA294" s="518"/>
      <c r="AB294" s="518"/>
      <c r="AC294" s="518"/>
      <c r="AD294" s="518"/>
      <c r="AE294" s="518"/>
      <c r="AF294" s="518"/>
      <c r="AG294" s="518"/>
      <c r="AH294" s="518"/>
      <c r="AI294" s="518"/>
      <c r="AJ294" s="518"/>
      <c r="AK294" s="518"/>
      <c r="AL294" s="518"/>
      <c r="AM294" s="518"/>
      <c r="AN294" s="518"/>
      <c r="AO294" s="518"/>
      <c r="AP294" s="518"/>
      <c r="AQ294" s="518"/>
      <c r="AR294" s="518"/>
      <c r="AS294" s="518"/>
      <c r="AT294" s="518"/>
      <c r="AU294" s="518"/>
      <c r="AV294" s="518"/>
      <c r="AW294" s="518"/>
      <c r="AX294" s="518"/>
      <c r="AY294" s="518"/>
      <c r="AZ294" s="518"/>
      <c r="BA294" s="518"/>
      <c r="BB294" s="518"/>
      <c r="BC294" s="518"/>
      <c r="BD294" s="518"/>
      <c r="BE294" s="518"/>
    </row>
    <row r="295" spans="1:57" ht="12.75" customHeight="1">
      <c r="A295" s="518"/>
      <c r="B295" s="518"/>
      <c r="C295" s="518"/>
      <c r="D295" s="518"/>
      <c r="E295" s="518"/>
      <c r="F295" s="518"/>
      <c r="G295" s="518"/>
      <c r="H295" s="518"/>
      <c r="I295" s="518"/>
      <c r="J295" s="518"/>
      <c r="K295" s="518"/>
      <c r="L295" s="518"/>
      <c r="M295" s="518"/>
      <c r="N295" s="518"/>
      <c r="O295" s="518"/>
      <c r="P295" s="518"/>
      <c r="Q295" s="518"/>
      <c r="R295" s="518"/>
      <c r="S295" s="518"/>
      <c r="T295" s="518"/>
      <c r="U295" s="518"/>
      <c r="V295" s="518"/>
      <c r="W295" s="518"/>
      <c r="X295" s="518"/>
      <c r="Y295" s="518"/>
      <c r="Z295" s="518"/>
      <c r="AA295" s="518"/>
      <c r="AB295" s="518"/>
      <c r="AC295" s="518"/>
      <c r="AD295" s="518"/>
      <c r="AE295" s="518"/>
      <c r="AF295" s="518"/>
      <c r="AG295" s="518"/>
      <c r="AH295" s="518"/>
      <c r="AI295" s="518"/>
      <c r="AJ295" s="518"/>
      <c r="AK295" s="518"/>
      <c r="AL295" s="518"/>
      <c r="AM295" s="518"/>
      <c r="AN295" s="518"/>
      <c r="AO295" s="518"/>
      <c r="AP295" s="518"/>
      <c r="AQ295" s="518"/>
      <c r="AR295" s="518"/>
      <c r="AS295" s="518"/>
      <c r="AT295" s="518"/>
      <c r="AU295" s="518"/>
      <c r="AV295" s="518"/>
      <c r="AW295" s="518"/>
      <c r="AX295" s="518"/>
      <c r="AY295" s="518"/>
      <c r="AZ295" s="518"/>
      <c r="BA295" s="518"/>
      <c r="BB295" s="518"/>
      <c r="BC295" s="518"/>
      <c r="BD295" s="518"/>
      <c r="BE295" s="518"/>
    </row>
    <row r="296" spans="1:57" ht="12.75" customHeight="1">
      <c r="A296" s="518"/>
      <c r="B296" s="518"/>
      <c r="C296" s="518"/>
      <c r="D296" s="518"/>
      <c r="E296" s="518"/>
      <c r="F296" s="518"/>
      <c r="G296" s="518"/>
      <c r="H296" s="518"/>
      <c r="I296" s="518"/>
      <c r="J296" s="518"/>
      <c r="K296" s="518"/>
      <c r="L296" s="518"/>
      <c r="M296" s="518"/>
      <c r="N296" s="518"/>
      <c r="O296" s="518"/>
      <c r="P296" s="518"/>
      <c r="Q296" s="518"/>
      <c r="R296" s="518"/>
      <c r="S296" s="518"/>
      <c r="T296" s="518"/>
      <c r="U296" s="518"/>
      <c r="V296" s="518"/>
      <c r="W296" s="518"/>
      <c r="X296" s="518"/>
      <c r="Y296" s="518"/>
      <c r="Z296" s="518"/>
      <c r="AA296" s="518"/>
      <c r="AB296" s="518"/>
      <c r="AC296" s="518"/>
      <c r="AD296" s="518"/>
      <c r="AE296" s="518"/>
      <c r="AF296" s="518"/>
      <c r="AG296" s="518"/>
      <c r="AH296" s="518"/>
      <c r="AI296" s="518"/>
      <c r="AJ296" s="518"/>
      <c r="AK296" s="518"/>
      <c r="AL296" s="518"/>
      <c r="AM296" s="518"/>
      <c r="AN296" s="518"/>
      <c r="AO296" s="518"/>
      <c r="AP296" s="518"/>
      <c r="AQ296" s="518"/>
      <c r="AR296" s="518"/>
      <c r="AS296" s="518"/>
      <c r="AT296" s="518"/>
      <c r="AU296" s="518"/>
      <c r="AV296" s="518"/>
      <c r="AW296" s="518"/>
      <c r="AX296" s="518"/>
      <c r="AY296" s="518"/>
      <c r="AZ296" s="518"/>
      <c r="BA296" s="518"/>
      <c r="BB296" s="518"/>
      <c r="BC296" s="518"/>
      <c r="BD296" s="518"/>
      <c r="BE296" s="518"/>
    </row>
    <row r="297" spans="1:57" ht="12.75" customHeight="1">
      <c r="A297" s="518"/>
      <c r="B297" s="518"/>
      <c r="C297" s="518"/>
      <c r="D297" s="518"/>
      <c r="E297" s="518"/>
      <c r="F297" s="518"/>
      <c r="G297" s="518"/>
      <c r="H297" s="518"/>
      <c r="I297" s="518"/>
      <c r="J297" s="518"/>
      <c r="K297" s="518"/>
      <c r="L297" s="518"/>
      <c r="M297" s="518"/>
      <c r="N297" s="518"/>
      <c r="O297" s="518"/>
      <c r="P297" s="518"/>
      <c r="Q297" s="518"/>
      <c r="R297" s="518"/>
      <c r="S297" s="518"/>
      <c r="T297" s="518"/>
      <c r="U297" s="518"/>
      <c r="V297" s="518"/>
      <c r="W297" s="518"/>
      <c r="X297" s="518"/>
      <c r="Y297" s="518"/>
      <c r="Z297" s="518"/>
      <c r="AA297" s="518"/>
      <c r="AB297" s="518"/>
      <c r="AC297" s="518"/>
      <c r="AD297" s="518"/>
      <c r="AE297" s="518"/>
      <c r="AF297" s="518"/>
      <c r="AG297" s="518"/>
      <c r="AH297" s="518"/>
      <c r="AI297" s="518"/>
      <c r="AJ297" s="518"/>
      <c r="AK297" s="518"/>
      <c r="AL297" s="518"/>
      <c r="AM297" s="518"/>
      <c r="AN297" s="518"/>
      <c r="AO297" s="518"/>
      <c r="AP297" s="518"/>
      <c r="AQ297" s="518"/>
      <c r="AR297" s="518"/>
      <c r="AS297" s="518"/>
      <c r="AT297" s="518"/>
      <c r="AU297" s="518"/>
      <c r="AV297" s="518"/>
      <c r="AW297" s="518"/>
      <c r="AX297" s="518"/>
      <c r="AY297" s="518"/>
      <c r="AZ297" s="518"/>
      <c r="BA297" s="518"/>
      <c r="BB297" s="518"/>
      <c r="BC297" s="518"/>
      <c r="BD297" s="518"/>
      <c r="BE297" s="518"/>
    </row>
    <row r="298" spans="1:57" ht="12.75" customHeight="1">
      <c r="A298" s="518"/>
      <c r="B298" s="518"/>
      <c r="C298" s="518"/>
      <c r="D298" s="518"/>
      <c r="E298" s="518"/>
      <c r="F298" s="518"/>
      <c r="G298" s="518"/>
      <c r="H298" s="518"/>
      <c r="I298" s="518"/>
      <c r="J298" s="518"/>
      <c r="K298" s="518"/>
      <c r="L298" s="518"/>
      <c r="M298" s="518"/>
      <c r="N298" s="518"/>
      <c r="O298" s="518"/>
      <c r="P298" s="518"/>
      <c r="Q298" s="518"/>
      <c r="R298" s="518"/>
      <c r="S298" s="518"/>
      <c r="T298" s="518"/>
      <c r="U298" s="518"/>
      <c r="V298" s="518"/>
      <c r="W298" s="518"/>
      <c r="X298" s="518"/>
      <c r="Y298" s="518"/>
      <c r="Z298" s="518"/>
      <c r="AA298" s="518"/>
      <c r="AB298" s="518"/>
      <c r="AC298" s="518"/>
      <c r="AD298" s="518"/>
      <c r="AE298" s="518"/>
      <c r="AF298" s="518"/>
      <c r="AG298" s="518"/>
      <c r="AH298" s="518"/>
      <c r="AI298" s="518"/>
      <c r="AJ298" s="518"/>
      <c r="AK298" s="518"/>
      <c r="AL298" s="518"/>
      <c r="AM298" s="518"/>
      <c r="AN298" s="518"/>
      <c r="AO298" s="518"/>
      <c r="AP298" s="518"/>
      <c r="AQ298" s="518"/>
      <c r="AR298" s="518"/>
      <c r="AS298" s="518"/>
      <c r="AT298" s="518"/>
      <c r="AU298" s="518"/>
      <c r="AV298" s="518"/>
      <c r="AW298" s="518"/>
      <c r="AX298" s="518"/>
      <c r="AY298" s="518"/>
      <c r="AZ298" s="518"/>
      <c r="BA298" s="518"/>
      <c r="BB298" s="518"/>
      <c r="BC298" s="518"/>
      <c r="BD298" s="518"/>
      <c r="BE298" s="518"/>
    </row>
    <row r="299" spans="1:57" ht="12.75" customHeight="1">
      <c r="A299" s="518"/>
      <c r="B299" s="518"/>
      <c r="C299" s="518"/>
      <c r="D299" s="518"/>
      <c r="E299" s="518"/>
      <c r="F299" s="518"/>
      <c r="G299" s="518"/>
      <c r="H299" s="518"/>
      <c r="I299" s="518"/>
      <c r="J299" s="518"/>
      <c r="K299" s="518"/>
      <c r="L299" s="518"/>
      <c r="M299" s="518"/>
      <c r="N299" s="518"/>
      <c r="O299" s="518"/>
      <c r="P299" s="518"/>
      <c r="Q299" s="518"/>
      <c r="R299" s="518"/>
      <c r="S299" s="518"/>
      <c r="T299" s="518"/>
      <c r="U299" s="518"/>
      <c r="V299" s="518"/>
      <c r="W299" s="518"/>
      <c r="X299" s="518"/>
      <c r="Y299" s="518"/>
      <c r="Z299" s="518"/>
      <c r="AA299" s="518"/>
      <c r="AB299" s="518"/>
      <c r="AC299" s="518"/>
      <c r="AD299" s="518"/>
      <c r="AE299" s="518"/>
      <c r="AF299" s="518"/>
      <c r="AG299" s="518"/>
      <c r="AH299" s="518"/>
      <c r="AI299" s="518"/>
      <c r="AJ299" s="518"/>
      <c r="AK299" s="518"/>
      <c r="AL299" s="518"/>
      <c r="AM299" s="518"/>
      <c r="AN299" s="518"/>
      <c r="AO299" s="518"/>
      <c r="AP299" s="518"/>
      <c r="AQ299" s="518"/>
      <c r="AR299" s="518"/>
      <c r="AS299" s="518"/>
      <c r="AT299" s="518"/>
      <c r="AU299" s="518"/>
      <c r="AV299" s="518"/>
      <c r="AW299" s="518"/>
      <c r="AX299" s="518"/>
      <c r="AY299" s="518"/>
      <c r="AZ299" s="518"/>
      <c r="BA299" s="518"/>
      <c r="BB299" s="518"/>
      <c r="BC299" s="518"/>
      <c r="BD299" s="518"/>
      <c r="BE299" s="518"/>
    </row>
    <row r="300" spans="1:57" ht="12.75" customHeight="1">
      <c r="A300" s="518"/>
      <c r="B300" s="518"/>
      <c r="C300" s="518"/>
      <c r="D300" s="518"/>
      <c r="E300" s="518"/>
      <c r="F300" s="518"/>
      <c r="G300" s="518"/>
      <c r="H300" s="518"/>
      <c r="I300" s="518"/>
      <c r="J300" s="518"/>
      <c r="K300" s="518"/>
      <c r="L300" s="518"/>
      <c r="M300" s="518"/>
      <c r="N300" s="518"/>
      <c r="O300" s="518"/>
      <c r="P300" s="518"/>
      <c r="Q300" s="518"/>
      <c r="R300" s="518"/>
      <c r="S300" s="518"/>
      <c r="T300" s="518"/>
      <c r="U300" s="518"/>
      <c r="V300" s="518"/>
      <c r="W300" s="518"/>
      <c r="X300" s="518"/>
      <c r="Y300" s="518"/>
      <c r="Z300" s="518"/>
      <c r="AA300" s="518"/>
      <c r="AB300" s="518"/>
      <c r="AC300" s="518"/>
      <c r="AD300" s="518"/>
      <c r="AE300" s="518"/>
      <c r="AF300" s="518"/>
      <c r="AG300" s="518"/>
      <c r="AH300" s="518"/>
      <c r="AI300" s="518"/>
      <c r="AJ300" s="518"/>
      <c r="AK300" s="518"/>
      <c r="AL300" s="518"/>
      <c r="AM300" s="518"/>
      <c r="AN300" s="518"/>
      <c r="AO300" s="518"/>
      <c r="AP300" s="518"/>
      <c r="AQ300" s="518"/>
      <c r="AR300" s="518"/>
      <c r="AS300" s="518"/>
      <c r="AT300" s="518"/>
      <c r="AU300" s="518"/>
      <c r="AV300" s="518"/>
      <c r="AW300" s="518"/>
      <c r="AX300" s="518"/>
      <c r="AY300" s="518"/>
      <c r="AZ300" s="518"/>
      <c r="BA300" s="518"/>
      <c r="BB300" s="518"/>
      <c r="BC300" s="518"/>
      <c r="BD300" s="518"/>
      <c r="BE300" s="518"/>
    </row>
    <row r="301" spans="1:57" ht="12.75" customHeight="1">
      <c r="A301" s="518"/>
      <c r="B301" s="518"/>
      <c r="C301" s="518"/>
      <c r="D301" s="518"/>
      <c r="E301" s="518"/>
      <c r="F301" s="518"/>
      <c r="G301" s="518"/>
      <c r="H301" s="518"/>
      <c r="I301" s="518"/>
      <c r="J301" s="518"/>
      <c r="K301" s="518"/>
      <c r="L301" s="518"/>
      <c r="M301" s="518"/>
      <c r="N301" s="518"/>
      <c r="O301" s="518"/>
      <c r="P301" s="518"/>
      <c r="Q301" s="518"/>
      <c r="R301" s="518"/>
      <c r="S301" s="518"/>
      <c r="T301" s="518"/>
      <c r="U301" s="518"/>
      <c r="V301" s="518"/>
      <c r="W301" s="518"/>
      <c r="X301" s="518"/>
      <c r="Y301" s="518"/>
      <c r="Z301" s="518"/>
      <c r="AA301" s="518"/>
      <c r="AB301" s="518"/>
      <c r="AC301" s="518"/>
      <c r="AD301" s="518"/>
      <c r="AE301" s="518"/>
      <c r="AF301" s="518"/>
      <c r="AG301" s="518"/>
      <c r="AH301" s="518"/>
      <c r="AI301" s="518"/>
      <c r="AJ301" s="518"/>
      <c r="AK301" s="518"/>
      <c r="AL301" s="518"/>
      <c r="AM301" s="518"/>
      <c r="AN301" s="518"/>
      <c r="AO301" s="518"/>
      <c r="AP301" s="518"/>
      <c r="AQ301" s="518"/>
      <c r="AR301" s="518"/>
      <c r="AS301" s="518"/>
      <c r="AT301" s="518"/>
      <c r="AU301" s="518"/>
      <c r="AV301" s="518"/>
      <c r="AW301" s="518"/>
      <c r="AX301" s="518"/>
      <c r="AY301" s="518"/>
      <c r="AZ301" s="518"/>
      <c r="BA301" s="518"/>
      <c r="BB301" s="518"/>
      <c r="BC301" s="518"/>
      <c r="BD301" s="518"/>
      <c r="BE301" s="518"/>
    </row>
    <row r="302" spans="1:57" ht="12.75" customHeight="1">
      <c r="A302" s="518"/>
      <c r="B302" s="518"/>
      <c r="C302" s="518"/>
      <c r="D302" s="518"/>
      <c r="E302" s="518"/>
      <c r="F302" s="518"/>
      <c r="G302" s="518"/>
      <c r="H302" s="518"/>
      <c r="I302" s="518"/>
      <c r="J302" s="518"/>
      <c r="K302" s="518"/>
      <c r="L302" s="518"/>
      <c r="M302" s="518"/>
      <c r="N302" s="518"/>
      <c r="O302" s="518"/>
      <c r="P302" s="518"/>
      <c r="Q302" s="518"/>
      <c r="R302" s="518"/>
      <c r="S302" s="518"/>
      <c r="T302" s="518"/>
      <c r="U302" s="518"/>
      <c r="V302" s="518"/>
      <c r="W302" s="518"/>
      <c r="X302" s="518"/>
      <c r="Y302" s="518"/>
      <c r="Z302" s="518"/>
      <c r="AA302" s="518"/>
      <c r="AB302" s="518"/>
      <c r="AC302" s="518"/>
      <c r="AD302" s="518"/>
      <c r="AE302" s="518"/>
      <c r="AF302" s="518"/>
      <c r="AG302" s="518"/>
      <c r="AH302" s="518"/>
      <c r="AI302" s="518"/>
      <c r="AJ302" s="518"/>
      <c r="AK302" s="518"/>
      <c r="AL302" s="518"/>
      <c r="AM302" s="518"/>
      <c r="AN302" s="518"/>
      <c r="AO302" s="518"/>
      <c r="AP302" s="518"/>
      <c r="AQ302" s="518"/>
      <c r="AR302" s="518"/>
      <c r="AS302" s="518"/>
      <c r="AT302" s="518"/>
      <c r="AU302" s="518"/>
      <c r="AV302" s="518"/>
      <c r="AW302" s="518"/>
      <c r="AX302" s="518"/>
      <c r="AY302" s="518"/>
      <c r="AZ302" s="518"/>
      <c r="BA302" s="518"/>
      <c r="BB302" s="518"/>
      <c r="BC302" s="518"/>
      <c r="BD302" s="518"/>
      <c r="BE302" s="518"/>
    </row>
    <row r="303" spans="1:57" ht="12.75" customHeight="1">
      <c r="A303" s="518"/>
      <c r="B303" s="518"/>
      <c r="C303" s="518"/>
      <c r="D303" s="518"/>
      <c r="E303" s="518"/>
      <c r="F303" s="518"/>
      <c r="G303" s="518"/>
      <c r="H303" s="518"/>
      <c r="I303" s="518"/>
      <c r="J303" s="518"/>
      <c r="K303" s="518"/>
      <c r="L303" s="518"/>
      <c r="M303" s="518"/>
      <c r="N303" s="518"/>
      <c r="O303" s="518"/>
      <c r="P303" s="518"/>
      <c r="Q303" s="518"/>
      <c r="R303" s="518"/>
      <c r="S303" s="518"/>
      <c r="T303" s="518"/>
      <c r="U303" s="518"/>
      <c r="V303" s="518"/>
      <c r="W303" s="518"/>
      <c r="X303" s="518"/>
      <c r="Y303" s="518"/>
      <c r="Z303" s="518"/>
      <c r="AA303" s="518"/>
      <c r="AB303" s="518"/>
      <c r="AC303" s="518"/>
      <c r="AD303" s="518"/>
      <c r="AE303" s="518"/>
      <c r="AF303" s="518"/>
      <c r="AG303" s="518"/>
      <c r="AH303" s="518"/>
      <c r="AI303" s="518"/>
      <c r="AJ303" s="518"/>
      <c r="AK303" s="518"/>
      <c r="AL303" s="518"/>
      <c r="AM303" s="518"/>
      <c r="AN303" s="518"/>
      <c r="AO303" s="518"/>
      <c r="AP303" s="518"/>
      <c r="AQ303" s="518"/>
      <c r="AR303" s="518"/>
      <c r="AS303" s="518"/>
      <c r="AT303" s="518"/>
      <c r="AU303" s="518"/>
      <c r="AV303" s="518"/>
      <c r="AW303" s="518"/>
      <c r="AX303" s="518"/>
      <c r="AY303" s="518"/>
      <c r="AZ303" s="518"/>
      <c r="BA303" s="518"/>
      <c r="BB303" s="518"/>
      <c r="BC303" s="518"/>
      <c r="BD303" s="518"/>
      <c r="BE303" s="518"/>
    </row>
    <row r="304" spans="1:57" ht="12.75" customHeight="1">
      <c r="A304" s="518"/>
      <c r="B304" s="518"/>
      <c r="C304" s="518"/>
      <c r="D304" s="518"/>
      <c r="E304" s="518"/>
      <c r="F304" s="518"/>
      <c r="G304" s="518"/>
      <c r="H304" s="518"/>
      <c r="I304" s="518"/>
      <c r="J304" s="518"/>
      <c r="K304" s="518"/>
      <c r="L304" s="518"/>
      <c r="M304" s="518"/>
      <c r="N304" s="518"/>
      <c r="O304" s="518"/>
      <c r="P304" s="518"/>
      <c r="Q304" s="518"/>
      <c r="R304" s="518"/>
      <c r="S304" s="518"/>
      <c r="T304" s="518"/>
      <c r="U304" s="518"/>
      <c r="V304" s="518"/>
      <c r="W304" s="518"/>
      <c r="X304" s="518"/>
      <c r="Y304" s="518"/>
      <c r="Z304" s="518"/>
      <c r="AA304" s="518"/>
      <c r="AB304" s="518"/>
      <c r="AC304" s="518"/>
      <c r="AD304" s="518"/>
      <c r="AE304" s="518"/>
      <c r="AF304" s="518"/>
      <c r="AG304" s="518"/>
      <c r="AH304" s="518"/>
      <c r="AI304" s="518"/>
      <c r="AJ304" s="518"/>
      <c r="AK304" s="518"/>
      <c r="AL304" s="518"/>
      <c r="AM304" s="518"/>
      <c r="AN304" s="518"/>
      <c r="AO304" s="518"/>
      <c r="AP304" s="518"/>
      <c r="AQ304" s="518"/>
      <c r="AR304" s="518"/>
      <c r="AS304" s="518"/>
      <c r="AT304" s="518"/>
      <c r="AU304" s="518"/>
      <c r="AV304" s="518"/>
      <c r="AW304" s="518"/>
      <c r="AX304" s="518"/>
      <c r="AY304" s="518"/>
      <c r="AZ304" s="518"/>
      <c r="BA304" s="518"/>
      <c r="BB304" s="518"/>
      <c r="BC304" s="518"/>
      <c r="BD304" s="518"/>
      <c r="BE304" s="518"/>
    </row>
    <row r="305" spans="1:57" ht="12.75" customHeight="1">
      <c r="A305" s="518"/>
      <c r="B305" s="518"/>
      <c r="C305" s="518"/>
      <c r="D305" s="518"/>
      <c r="E305" s="518"/>
      <c r="F305" s="518"/>
      <c r="G305" s="518"/>
      <c r="H305" s="518"/>
      <c r="I305" s="518"/>
      <c r="J305" s="518"/>
      <c r="K305" s="518"/>
      <c r="L305" s="518"/>
      <c r="M305" s="518"/>
      <c r="N305" s="518"/>
      <c r="O305" s="518"/>
      <c r="P305" s="518"/>
      <c r="Q305" s="518"/>
      <c r="R305" s="518"/>
      <c r="S305" s="518"/>
      <c r="T305" s="518"/>
      <c r="U305" s="518"/>
      <c r="V305" s="518"/>
      <c r="W305" s="518"/>
      <c r="X305" s="518"/>
      <c r="Y305" s="518"/>
      <c r="Z305" s="518"/>
      <c r="AA305" s="518"/>
      <c r="AB305" s="518"/>
      <c r="AC305" s="518"/>
      <c r="AD305" s="518"/>
      <c r="AE305" s="518"/>
      <c r="AF305" s="518"/>
      <c r="AG305" s="518"/>
      <c r="AH305" s="518"/>
      <c r="AI305" s="518"/>
      <c r="AJ305" s="518"/>
      <c r="AK305" s="518"/>
      <c r="AL305" s="518"/>
      <c r="AM305" s="518"/>
      <c r="AN305" s="518"/>
      <c r="AO305" s="518"/>
      <c r="AP305" s="518"/>
      <c r="AQ305" s="518"/>
      <c r="AR305" s="518"/>
      <c r="AS305" s="518"/>
      <c r="AT305" s="518"/>
      <c r="AU305" s="518"/>
      <c r="AV305" s="518"/>
      <c r="AW305" s="518"/>
      <c r="AX305" s="518"/>
      <c r="AY305" s="518"/>
      <c r="AZ305" s="518"/>
      <c r="BA305" s="518"/>
      <c r="BB305" s="518"/>
      <c r="BC305" s="518"/>
      <c r="BD305" s="518"/>
      <c r="BE305" s="518"/>
    </row>
    <row r="306" spans="1:57" ht="12.75" customHeight="1">
      <c r="A306" s="518"/>
      <c r="B306" s="518"/>
      <c r="C306" s="518"/>
      <c r="D306" s="518"/>
      <c r="E306" s="518"/>
      <c r="F306" s="518"/>
      <c r="G306" s="518"/>
      <c r="H306" s="518"/>
      <c r="I306" s="518"/>
      <c r="J306" s="518"/>
      <c r="K306" s="518"/>
      <c r="L306" s="518"/>
      <c r="M306" s="518"/>
      <c r="N306" s="518"/>
      <c r="O306" s="518"/>
      <c r="P306" s="518"/>
      <c r="Q306" s="518"/>
      <c r="R306" s="518"/>
      <c r="S306" s="518"/>
      <c r="T306" s="518"/>
      <c r="U306" s="518"/>
      <c r="V306" s="518"/>
      <c r="W306" s="518"/>
      <c r="X306" s="518"/>
      <c r="Y306" s="518"/>
      <c r="Z306" s="518"/>
      <c r="AA306" s="518"/>
      <c r="AB306" s="518"/>
      <c r="AC306" s="518"/>
      <c r="AD306" s="518"/>
      <c r="AE306" s="518"/>
      <c r="AF306" s="518"/>
      <c r="AG306" s="518"/>
      <c r="AH306" s="518"/>
      <c r="AI306" s="518"/>
      <c r="AJ306" s="518"/>
      <c r="AK306" s="518"/>
      <c r="AL306" s="518"/>
      <c r="AM306" s="518"/>
      <c r="AN306" s="518"/>
      <c r="AO306" s="518"/>
      <c r="AP306" s="518"/>
      <c r="AQ306" s="518"/>
      <c r="AR306" s="518"/>
      <c r="AS306" s="518"/>
      <c r="AT306" s="518"/>
      <c r="AU306" s="518"/>
      <c r="AV306" s="518"/>
      <c r="AW306" s="518"/>
      <c r="AX306" s="518"/>
      <c r="AY306" s="518"/>
      <c r="AZ306" s="518"/>
      <c r="BA306" s="518"/>
      <c r="BB306" s="518"/>
      <c r="BC306" s="518"/>
      <c r="BD306" s="518"/>
      <c r="BE306" s="518"/>
    </row>
    <row r="307" spans="1:57" ht="12.75" customHeight="1">
      <c r="A307" s="518"/>
      <c r="B307" s="518"/>
      <c r="C307" s="518"/>
      <c r="D307" s="518"/>
      <c r="E307" s="518"/>
      <c r="F307" s="518"/>
      <c r="G307" s="518"/>
      <c r="H307" s="518"/>
      <c r="I307" s="518"/>
      <c r="J307" s="518"/>
      <c r="K307" s="518"/>
      <c r="L307" s="518"/>
      <c r="M307" s="518"/>
      <c r="N307" s="518"/>
      <c r="O307" s="518"/>
      <c r="P307" s="518"/>
      <c r="Q307" s="518"/>
      <c r="R307" s="518"/>
      <c r="S307" s="518"/>
      <c r="T307" s="518"/>
      <c r="U307" s="518"/>
      <c r="V307" s="518"/>
      <c r="W307" s="518"/>
      <c r="X307" s="518"/>
      <c r="Y307" s="518"/>
      <c r="Z307" s="518"/>
      <c r="AA307" s="518"/>
      <c r="AB307" s="518"/>
      <c r="AC307" s="518"/>
      <c r="AD307" s="518"/>
      <c r="AE307" s="518"/>
      <c r="AF307" s="518"/>
      <c r="AG307" s="518"/>
      <c r="AH307" s="518"/>
      <c r="AI307" s="518"/>
      <c r="AJ307" s="518"/>
      <c r="AK307" s="518"/>
      <c r="AL307" s="518"/>
      <c r="AM307" s="518"/>
      <c r="AN307" s="518"/>
      <c r="AO307" s="518"/>
      <c r="AP307" s="518"/>
      <c r="AQ307" s="518"/>
      <c r="AR307" s="518"/>
      <c r="AS307" s="518"/>
      <c r="AT307" s="518"/>
      <c r="AU307" s="518"/>
      <c r="AV307" s="518"/>
      <c r="AW307" s="518"/>
      <c r="AX307" s="518"/>
      <c r="AY307" s="518"/>
      <c r="AZ307" s="518"/>
      <c r="BA307" s="518"/>
      <c r="BB307" s="518"/>
      <c r="BC307" s="518"/>
      <c r="BD307" s="518"/>
      <c r="BE307" s="518"/>
    </row>
    <row r="308" spans="1:57" ht="12.75" customHeight="1">
      <c r="A308" s="518"/>
      <c r="B308" s="518"/>
      <c r="C308" s="518"/>
      <c r="D308" s="518"/>
      <c r="E308" s="518"/>
      <c r="F308" s="518"/>
      <c r="G308" s="518"/>
      <c r="H308" s="518"/>
      <c r="I308" s="518"/>
      <c r="J308" s="518"/>
      <c r="K308" s="518"/>
      <c r="L308" s="518"/>
      <c r="M308" s="518"/>
      <c r="N308" s="518"/>
      <c r="O308" s="518"/>
      <c r="P308" s="518"/>
      <c r="Q308" s="518"/>
      <c r="R308" s="518"/>
      <c r="S308" s="518"/>
      <c r="T308" s="518"/>
      <c r="U308" s="518"/>
      <c r="V308" s="518"/>
      <c r="W308" s="518"/>
      <c r="X308" s="518"/>
      <c r="Y308" s="518"/>
      <c r="Z308" s="518"/>
      <c r="AA308" s="518"/>
      <c r="AB308" s="518"/>
      <c r="AC308" s="518"/>
      <c r="AD308" s="518"/>
      <c r="AE308" s="518"/>
      <c r="AF308" s="518"/>
      <c r="AG308" s="518"/>
      <c r="AH308" s="518"/>
      <c r="AI308" s="518"/>
      <c r="AJ308" s="518"/>
      <c r="AK308" s="518"/>
      <c r="AL308" s="518"/>
      <c r="AM308" s="518"/>
      <c r="AN308" s="518"/>
      <c r="AO308" s="518"/>
      <c r="AP308" s="518"/>
      <c r="AQ308" s="518"/>
      <c r="AR308" s="518"/>
      <c r="AS308" s="518"/>
      <c r="AT308" s="518"/>
      <c r="AU308" s="518"/>
      <c r="AV308" s="518"/>
      <c r="AW308" s="518"/>
      <c r="AX308" s="518"/>
      <c r="AY308" s="518"/>
      <c r="AZ308" s="518"/>
      <c r="BA308" s="518"/>
      <c r="BB308" s="518"/>
      <c r="BC308" s="518"/>
      <c r="BD308" s="518"/>
      <c r="BE308" s="518"/>
    </row>
    <row r="309" spans="1:57" ht="12.75" customHeight="1">
      <c r="A309" s="518"/>
      <c r="B309" s="518"/>
      <c r="C309" s="518"/>
      <c r="D309" s="518"/>
      <c r="E309" s="518"/>
      <c r="F309" s="518"/>
      <c r="G309" s="518"/>
      <c r="H309" s="518"/>
      <c r="I309" s="518"/>
      <c r="J309" s="518"/>
      <c r="K309" s="518"/>
      <c r="L309" s="518"/>
      <c r="M309" s="518"/>
      <c r="N309" s="518"/>
      <c r="O309" s="518"/>
      <c r="P309" s="518"/>
      <c r="Q309" s="518"/>
      <c r="R309" s="518"/>
      <c r="S309" s="518"/>
      <c r="T309" s="518"/>
      <c r="U309" s="518"/>
      <c r="V309" s="518"/>
      <c r="W309" s="518"/>
      <c r="X309" s="518"/>
      <c r="Y309" s="518"/>
      <c r="Z309" s="518"/>
      <c r="AA309" s="518"/>
      <c r="AB309" s="518"/>
      <c r="AC309" s="518"/>
      <c r="AD309" s="518"/>
      <c r="AE309" s="518"/>
      <c r="AF309" s="518"/>
      <c r="AG309" s="518"/>
      <c r="AH309" s="518"/>
      <c r="AI309" s="518"/>
      <c r="AJ309" s="518"/>
      <c r="AK309" s="518"/>
      <c r="AL309" s="518"/>
      <c r="AM309" s="518"/>
      <c r="AN309" s="518"/>
      <c r="AO309" s="518"/>
      <c r="AP309" s="518"/>
      <c r="AQ309" s="518"/>
      <c r="AR309" s="518"/>
      <c r="AS309" s="518"/>
      <c r="AT309" s="518"/>
      <c r="AU309" s="518"/>
      <c r="AV309" s="518"/>
      <c r="AW309" s="518"/>
      <c r="AX309" s="518"/>
      <c r="AY309" s="518"/>
      <c r="AZ309" s="518"/>
      <c r="BA309" s="518"/>
      <c r="BB309" s="518"/>
      <c r="BC309" s="518"/>
      <c r="BD309" s="518"/>
      <c r="BE309" s="518"/>
    </row>
    <row r="310" spans="1:57" ht="12.75" customHeight="1">
      <c r="A310" s="518"/>
      <c r="B310" s="518"/>
      <c r="C310" s="518"/>
      <c r="D310" s="518"/>
      <c r="E310" s="518"/>
      <c r="F310" s="518"/>
      <c r="G310" s="518"/>
      <c r="H310" s="518"/>
      <c r="I310" s="518"/>
      <c r="J310" s="518"/>
      <c r="K310" s="518"/>
      <c r="L310" s="518"/>
      <c r="M310" s="518"/>
      <c r="N310" s="518"/>
      <c r="O310" s="518"/>
      <c r="P310" s="518"/>
      <c r="Q310" s="518"/>
      <c r="R310" s="518"/>
      <c r="S310" s="518"/>
      <c r="T310" s="518"/>
      <c r="U310" s="518"/>
      <c r="V310" s="518"/>
      <c r="W310" s="518"/>
      <c r="X310" s="518"/>
      <c r="Y310" s="518"/>
      <c r="Z310" s="518"/>
      <c r="AA310" s="518"/>
      <c r="AB310" s="518"/>
      <c r="AC310" s="518"/>
      <c r="AD310" s="518"/>
      <c r="AE310" s="518"/>
      <c r="AF310" s="518"/>
      <c r="AG310" s="518"/>
      <c r="AH310" s="518"/>
      <c r="AI310" s="518"/>
      <c r="AJ310" s="518"/>
      <c r="AK310" s="518"/>
      <c r="AL310" s="518"/>
      <c r="AM310" s="518"/>
      <c r="AN310" s="518"/>
      <c r="AO310" s="518"/>
      <c r="AP310" s="518"/>
      <c r="AQ310" s="518"/>
      <c r="AR310" s="518"/>
      <c r="AS310" s="518"/>
      <c r="AT310" s="518"/>
      <c r="AU310" s="518"/>
      <c r="AV310" s="518"/>
      <c r="AW310" s="518"/>
      <c r="AX310" s="518"/>
      <c r="AY310" s="518"/>
      <c r="AZ310" s="518"/>
      <c r="BA310" s="518"/>
      <c r="BB310" s="518"/>
      <c r="BC310" s="518"/>
      <c r="BD310" s="518"/>
      <c r="BE310" s="518"/>
    </row>
    <row r="311" spans="1:57" ht="12.75" customHeight="1">
      <c r="A311" s="518"/>
      <c r="B311" s="518"/>
      <c r="C311" s="518"/>
      <c r="D311" s="518"/>
      <c r="E311" s="518"/>
      <c r="F311" s="518"/>
      <c r="G311" s="518"/>
      <c r="H311" s="518"/>
      <c r="I311" s="518"/>
      <c r="J311" s="518"/>
      <c r="K311" s="518"/>
      <c r="L311" s="518"/>
      <c r="M311" s="518"/>
      <c r="N311" s="518"/>
      <c r="O311" s="518"/>
      <c r="P311" s="518"/>
      <c r="Q311" s="518"/>
      <c r="R311" s="518"/>
      <c r="S311" s="518"/>
      <c r="T311" s="518"/>
      <c r="U311" s="518"/>
      <c r="V311" s="518"/>
      <c r="W311" s="518"/>
      <c r="X311" s="518"/>
      <c r="Y311" s="518"/>
      <c r="Z311" s="518"/>
      <c r="AA311" s="518"/>
      <c r="AB311" s="518"/>
      <c r="AC311" s="518"/>
      <c r="AD311" s="518"/>
      <c r="AE311" s="518"/>
      <c r="AF311" s="518"/>
      <c r="AG311" s="518"/>
      <c r="AH311" s="518"/>
      <c r="AI311" s="518"/>
      <c r="AJ311" s="518"/>
      <c r="AK311" s="518"/>
      <c r="AL311" s="518"/>
      <c r="AM311" s="518"/>
      <c r="AN311" s="518"/>
      <c r="AO311" s="518"/>
      <c r="AP311" s="518"/>
      <c r="AQ311" s="518"/>
      <c r="AR311" s="518"/>
      <c r="AS311" s="518"/>
      <c r="AT311" s="518"/>
      <c r="AU311" s="518"/>
      <c r="AV311" s="518"/>
      <c r="AW311" s="518"/>
      <c r="AX311" s="518"/>
      <c r="AY311" s="518"/>
      <c r="AZ311" s="518"/>
      <c r="BA311" s="518"/>
      <c r="BB311" s="518"/>
      <c r="BC311" s="518"/>
      <c r="BD311" s="518"/>
      <c r="BE311" s="518"/>
    </row>
    <row r="312" spans="1:57" ht="12.75" customHeight="1">
      <c r="A312" s="518"/>
      <c r="B312" s="518"/>
      <c r="C312" s="518"/>
      <c r="D312" s="518"/>
      <c r="E312" s="518"/>
      <c r="F312" s="518"/>
      <c r="G312" s="518"/>
      <c r="H312" s="518"/>
      <c r="I312" s="518"/>
      <c r="J312" s="518"/>
      <c r="K312" s="518"/>
      <c r="L312" s="518"/>
      <c r="M312" s="518"/>
      <c r="N312" s="518"/>
      <c r="O312" s="518"/>
      <c r="P312" s="518"/>
      <c r="Q312" s="518"/>
      <c r="R312" s="518"/>
      <c r="S312" s="518"/>
      <c r="T312" s="518"/>
      <c r="U312" s="518"/>
      <c r="V312" s="518"/>
      <c r="W312" s="518"/>
      <c r="X312" s="518"/>
      <c r="Y312" s="518"/>
      <c r="Z312" s="518"/>
      <c r="AA312" s="518"/>
      <c r="AB312" s="518"/>
      <c r="AC312" s="518"/>
      <c r="AD312" s="518"/>
      <c r="AE312" s="518"/>
      <c r="AF312" s="518"/>
      <c r="AG312" s="518"/>
      <c r="AH312" s="518"/>
      <c r="AI312" s="518"/>
      <c r="AJ312" s="518"/>
      <c r="AK312" s="518"/>
      <c r="AL312" s="518"/>
      <c r="AM312" s="518"/>
      <c r="AN312" s="518"/>
      <c r="AO312" s="518"/>
      <c r="AP312" s="518"/>
      <c r="AQ312" s="518"/>
      <c r="AR312" s="518"/>
      <c r="AS312" s="518"/>
      <c r="AT312" s="518"/>
      <c r="AU312" s="518"/>
      <c r="AV312" s="518"/>
      <c r="AW312" s="518"/>
      <c r="AX312" s="518"/>
      <c r="AY312" s="518"/>
      <c r="AZ312" s="518"/>
      <c r="BA312" s="518"/>
      <c r="BB312" s="518"/>
      <c r="BC312" s="518"/>
      <c r="BD312" s="518"/>
      <c r="BE312" s="518"/>
    </row>
    <row r="313" spans="1:57" ht="12.75" customHeight="1">
      <c r="A313" s="518"/>
      <c r="B313" s="518"/>
      <c r="C313" s="518"/>
      <c r="D313" s="518"/>
      <c r="E313" s="518"/>
      <c r="F313" s="518"/>
      <c r="G313" s="518"/>
      <c r="H313" s="518"/>
      <c r="I313" s="518"/>
      <c r="J313" s="518"/>
      <c r="K313" s="518"/>
      <c r="L313" s="518"/>
      <c r="M313" s="518"/>
      <c r="N313" s="518"/>
      <c r="O313" s="518"/>
      <c r="P313" s="518"/>
      <c r="Q313" s="518"/>
      <c r="R313" s="518"/>
      <c r="S313" s="518"/>
      <c r="T313" s="518"/>
      <c r="U313" s="518"/>
      <c r="V313" s="518"/>
      <c r="W313" s="518"/>
      <c r="X313" s="518"/>
      <c r="Y313" s="518"/>
      <c r="Z313" s="518"/>
      <c r="AA313" s="518"/>
      <c r="AB313" s="518"/>
      <c r="AC313" s="518"/>
      <c r="AD313" s="518"/>
      <c r="AE313" s="518"/>
      <c r="AF313" s="518"/>
      <c r="AG313" s="518"/>
      <c r="AH313" s="518"/>
      <c r="AI313" s="518"/>
      <c r="AJ313" s="518"/>
      <c r="AK313" s="518"/>
      <c r="AL313" s="518"/>
      <c r="AM313" s="518"/>
      <c r="AN313" s="518"/>
      <c r="AO313" s="518"/>
      <c r="AP313" s="518"/>
      <c r="AQ313" s="518"/>
      <c r="AR313" s="518"/>
      <c r="AS313" s="518"/>
      <c r="AT313" s="518"/>
      <c r="AU313" s="518"/>
      <c r="AV313" s="518"/>
      <c r="AW313" s="518"/>
      <c r="AX313" s="518"/>
      <c r="AY313" s="518"/>
      <c r="AZ313" s="518"/>
      <c r="BA313" s="518"/>
      <c r="BB313" s="518"/>
      <c r="BC313" s="518"/>
      <c r="BD313" s="518"/>
      <c r="BE313" s="518"/>
    </row>
    <row r="314" spans="1:57" ht="12.75" customHeight="1">
      <c r="A314" s="518"/>
      <c r="B314" s="518"/>
      <c r="C314" s="518"/>
      <c r="D314" s="518"/>
      <c r="E314" s="518"/>
      <c r="F314" s="518"/>
      <c r="G314" s="518"/>
      <c r="H314" s="518"/>
      <c r="I314" s="518"/>
      <c r="J314" s="518"/>
      <c r="K314" s="518"/>
      <c r="L314" s="518"/>
      <c r="M314" s="518"/>
      <c r="N314" s="518"/>
      <c r="O314" s="518"/>
      <c r="P314" s="518"/>
      <c r="Q314" s="518"/>
      <c r="R314" s="518"/>
      <c r="S314" s="518"/>
      <c r="T314" s="518"/>
      <c r="U314" s="518"/>
      <c r="V314" s="518"/>
      <c r="W314" s="518"/>
      <c r="X314" s="518"/>
      <c r="Y314" s="518"/>
      <c r="Z314" s="518"/>
      <c r="AA314" s="518"/>
      <c r="AB314" s="518"/>
      <c r="AC314" s="518"/>
      <c r="AD314" s="518"/>
      <c r="AE314" s="518"/>
      <c r="AF314" s="518"/>
      <c r="AG314" s="518"/>
      <c r="AH314" s="518"/>
      <c r="AI314" s="518"/>
      <c r="AJ314" s="518"/>
      <c r="AK314" s="518"/>
      <c r="AL314" s="518"/>
      <c r="AM314" s="518"/>
      <c r="AN314" s="518"/>
      <c r="AO314" s="518"/>
      <c r="AP314" s="518"/>
      <c r="AQ314" s="518"/>
      <c r="AR314" s="518"/>
      <c r="AS314" s="518"/>
      <c r="AT314" s="518"/>
      <c r="AU314" s="518"/>
      <c r="AV314" s="518"/>
      <c r="AW314" s="518"/>
      <c r="AX314" s="518"/>
      <c r="AY314" s="518"/>
      <c r="AZ314" s="518"/>
      <c r="BA314" s="518"/>
      <c r="BB314" s="518"/>
      <c r="BC314" s="518"/>
      <c r="BD314" s="518"/>
      <c r="BE314" s="518"/>
    </row>
    <row r="315" spans="1:57" ht="12.75" customHeight="1">
      <c r="A315" s="518"/>
      <c r="B315" s="518"/>
      <c r="C315" s="518"/>
      <c r="D315" s="518"/>
      <c r="E315" s="518"/>
      <c r="F315" s="518"/>
      <c r="G315" s="518"/>
      <c r="H315" s="518"/>
      <c r="I315" s="518"/>
      <c r="J315" s="518"/>
      <c r="K315" s="518"/>
      <c r="L315" s="518"/>
      <c r="M315" s="518"/>
      <c r="N315" s="518"/>
      <c r="O315" s="518"/>
      <c r="P315" s="518"/>
      <c r="Q315" s="518"/>
      <c r="R315" s="518"/>
      <c r="S315" s="518"/>
      <c r="T315" s="518"/>
      <c r="U315" s="518"/>
      <c r="V315" s="518"/>
      <c r="W315" s="518"/>
      <c r="X315" s="518"/>
      <c r="Y315" s="518"/>
      <c r="Z315" s="518"/>
      <c r="AA315" s="518"/>
      <c r="AB315" s="518"/>
      <c r="AC315" s="518"/>
      <c r="AD315" s="518"/>
      <c r="AE315" s="518"/>
      <c r="AF315" s="518"/>
      <c r="AG315" s="518"/>
      <c r="AH315" s="518"/>
      <c r="AI315" s="518"/>
      <c r="AJ315" s="518"/>
      <c r="AK315" s="518"/>
      <c r="AL315" s="518"/>
      <c r="AM315" s="518"/>
      <c r="AN315" s="518"/>
      <c r="AO315" s="518"/>
      <c r="AP315" s="518"/>
      <c r="AQ315" s="518"/>
      <c r="AR315" s="518"/>
      <c r="AS315" s="518"/>
      <c r="AT315" s="518"/>
      <c r="AU315" s="518"/>
      <c r="AV315" s="518"/>
      <c r="AW315" s="518"/>
      <c r="AX315" s="518"/>
      <c r="AY315" s="518"/>
      <c r="AZ315" s="518"/>
      <c r="BA315" s="518"/>
      <c r="BB315" s="518"/>
      <c r="BC315" s="518"/>
      <c r="BD315" s="518"/>
      <c r="BE315" s="518"/>
    </row>
    <row r="316" spans="1:57" ht="12.75" customHeight="1">
      <c r="A316" s="518"/>
      <c r="B316" s="518"/>
      <c r="C316" s="518"/>
      <c r="D316" s="518"/>
      <c r="E316" s="518"/>
      <c r="F316" s="518"/>
      <c r="G316" s="518"/>
      <c r="H316" s="518"/>
      <c r="I316" s="518"/>
      <c r="J316" s="518"/>
      <c r="K316" s="518"/>
      <c r="L316" s="518"/>
      <c r="M316" s="518"/>
      <c r="N316" s="518"/>
      <c r="O316" s="518"/>
      <c r="P316" s="518"/>
      <c r="Q316" s="518"/>
      <c r="R316" s="518"/>
      <c r="S316" s="518"/>
      <c r="T316" s="518"/>
      <c r="U316" s="518"/>
      <c r="V316" s="518"/>
      <c r="W316" s="518"/>
      <c r="X316" s="518"/>
      <c r="Y316" s="518"/>
      <c r="Z316" s="518"/>
      <c r="AA316" s="518"/>
      <c r="AB316" s="518"/>
      <c r="AC316" s="518"/>
      <c r="AD316" s="518"/>
      <c r="AE316" s="518"/>
      <c r="AF316" s="518"/>
      <c r="AG316" s="518"/>
      <c r="AH316" s="518"/>
      <c r="AI316" s="518"/>
      <c r="AJ316" s="518"/>
      <c r="AK316" s="518"/>
      <c r="AL316" s="518"/>
      <c r="AM316" s="518"/>
      <c r="AN316" s="518"/>
      <c r="AO316" s="518"/>
      <c r="AP316" s="518"/>
      <c r="AQ316" s="518"/>
      <c r="AR316" s="518"/>
      <c r="AS316" s="518"/>
      <c r="AT316" s="518"/>
      <c r="AU316" s="518"/>
      <c r="AV316" s="518"/>
      <c r="AW316" s="518"/>
      <c r="AX316" s="518"/>
      <c r="AY316" s="518"/>
      <c r="AZ316" s="518"/>
      <c r="BA316" s="518"/>
      <c r="BB316" s="518"/>
      <c r="BC316" s="518"/>
      <c r="BD316" s="518"/>
      <c r="BE316" s="518"/>
    </row>
    <row r="317" spans="1:57" ht="12.75" customHeight="1">
      <c r="A317" s="518"/>
      <c r="B317" s="518"/>
      <c r="C317" s="518"/>
      <c r="D317" s="518"/>
      <c r="E317" s="518"/>
      <c r="F317" s="518"/>
      <c r="G317" s="518"/>
      <c r="H317" s="518"/>
      <c r="I317" s="518"/>
      <c r="J317" s="518"/>
      <c r="K317" s="518"/>
      <c r="L317" s="518"/>
      <c r="M317" s="518"/>
      <c r="N317" s="518"/>
      <c r="O317" s="518"/>
      <c r="P317" s="518"/>
      <c r="Q317" s="518"/>
      <c r="R317" s="518"/>
      <c r="S317" s="518"/>
      <c r="T317" s="518"/>
      <c r="U317" s="518"/>
      <c r="V317" s="518"/>
      <c r="W317" s="518"/>
      <c r="X317" s="518"/>
      <c r="Y317" s="518"/>
      <c r="Z317" s="518"/>
      <c r="AA317" s="518"/>
      <c r="AB317" s="518"/>
      <c r="AC317" s="518"/>
      <c r="AD317" s="518"/>
      <c r="AE317" s="518"/>
      <c r="AF317" s="518"/>
      <c r="AG317" s="518"/>
      <c r="AH317" s="518"/>
      <c r="AI317" s="518"/>
      <c r="AJ317" s="518"/>
      <c r="AK317" s="518"/>
      <c r="AL317" s="518"/>
      <c r="AM317" s="518"/>
      <c r="AN317" s="518"/>
      <c r="AO317" s="518"/>
      <c r="AP317" s="518"/>
      <c r="AQ317" s="518"/>
      <c r="AR317" s="518"/>
      <c r="AS317" s="518"/>
      <c r="AT317" s="518"/>
      <c r="AU317" s="518"/>
      <c r="AV317" s="518"/>
      <c r="AW317" s="518"/>
      <c r="AX317" s="518"/>
      <c r="AY317" s="518"/>
      <c r="AZ317" s="518"/>
      <c r="BA317" s="518"/>
      <c r="BB317" s="518"/>
      <c r="BC317" s="518"/>
      <c r="BD317" s="518"/>
      <c r="BE317" s="518"/>
    </row>
    <row r="318" spans="1:57" ht="12.75" customHeight="1">
      <c r="A318" s="518"/>
      <c r="B318" s="518"/>
      <c r="C318" s="518"/>
      <c r="D318" s="518"/>
      <c r="E318" s="518"/>
      <c r="F318" s="518"/>
      <c r="G318" s="518"/>
      <c r="H318" s="518"/>
      <c r="I318" s="518"/>
      <c r="J318" s="518"/>
      <c r="K318" s="518"/>
      <c r="L318" s="518"/>
      <c r="M318" s="518"/>
      <c r="N318" s="518"/>
      <c r="O318" s="518"/>
      <c r="P318" s="518"/>
      <c r="Q318" s="518"/>
      <c r="R318" s="518"/>
      <c r="S318" s="518"/>
      <c r="T318" s="518"/>
      <c r="U318" s="518"/>
      <c r="V318" s="518"/>
      <c r="W318" s="518"/>
      <c r="X318" s="518"/>
      <c r="Y318" s="518"/>
      <c r="Z318" s="518"/>
      <c r="AA318" s="518"/>
      <c r="AB318" s="518"/>
      <c r="AC318" s="518"/>
      <c r="AD318" s="518"/>
      <c r="AE318" s="518"/>
      <c r="AF318" s="518"/>
      <c r="AG318" s="518"/>
      <c r="AH318" s="518"/>
      <c r="AI318" s="518"/>
      <c r="AJ318" s="518"/>
      <c r="AK318" s="518"/>
      <c r="AL318" s="518"/>
      <c r="AM318" s="518"/>
      <c r="AN318" s="518"/>
      <c r="AO318" s="518"/>
      <c r="AP318" s="518"/>
      <c r="AQ318" s="518"/>
      <c r="AR318" s="518"/>
      <c r="AS318" s="518"/>
      <c r="AT318" s="518"/>
      <c r="AU318" s="518"/>
      <c r="AV318" s="518"/>
      <c r="AW318" s="518"/>
      <c r="AX318" s="518"/>
      <c r="AY318" s="518"/>
      <c r="AZ318" s="518"/>
      <c r="BA318" s="518"/>
      <c r="BB318" s="518"/>
      <c r="BC318" s="518"/>
      <c r="BD318" s="518"/>
      <c r="BE318" s="518"/>
    </row>
    <row r="319" spans="1:57" ht="12.75" customHeight="1">
      <c r="A319" s="518"/>
      <c r="B319" s="518"/>
      <c r="C319" s="518"/>
      <c r="D319" s="518"/>
      <c r="E319" s="518"/>
      <c r="F319" s="518"/>
      <c r="G319" s="518"/>
      <c r="H319" s="518"/>
      <c r="I319" s="518"/>
      <c r="J319" s="518"/>
      <c r="K319" s="518"/>
      <c r="L319" s="518"/>
      <c r="M319" s="518"/>
      <c r="N319" s="518"/>
      <c r="O319" s="518"/>
      <c r="P319" s="518"/>
      <c r="Q319" s="518"/>
      <c r="R319" s="518"/>
      <c r="S319" s="518"/>
      <c r="T319" s="518"/>
      <c r="U319" s="518"/>
      <c r="V319" s="518"/>
      <c r="W319" s="518"/>
      <c r="X319" s="518"/>
      <c r="Y319" s="518"/>
      <c r="Z319" s="518"/>
      <c r="AA319" s="518"/>
      <c r="AB319" s="518"/>
      <c r="AC319" s="518"/>
      <c r="AD319" s="518"/>
      <c r="AE319" s="518"/>
      <c r="AF319" s="518"/>
      <c r="AG319" s="518"/>
      <c r="AH319" s="518"/>
      <c r="AI319" s="518"/>
      <c r="AJ319" s="518"/>
      <c r="AK319" s="518"/>
      <c r="AL319" s="518"/>
      <c r="AM319" s="518"/>
      <c r="AN319" s="518"/>
      <c r="AO319" s="518"/>
      <c r="AP319" s="518"/>
      <c r="AQ319" s="518"/>
      <c r="AR319" s="518"/>
      <c r="AS319" s="518"/>
      <c r="AT319" s="518"/>
      <c r="AU319" s="518"/>
      <c r="AV319" s="518"/>
      <c r="AW319" s="518"/>
      <c r="AX319" s="518"/>
      <c r="AY319" s="518"/>
      <c r="AZ319" s="518"/>
      <c r="BA319" s="518"/>
      <c r="BB319" s="518"/>
      <c r="BC319" s="518"/>
      <c r="BD319" s="518"/>
      <c r="BE319" s="518"/>
    </row>
    <row r="320" spans="1:57" ht="12.75" customHeight="1">
      <c r="A320" s="518"/>
      <c r="B320" s="518"/>
      <c r="C320" s="518"/>
      <c r="D320" s="518"/>
      <c r="E320" s="518"/>
      <c r="F320" s="518"/>
      <c r="G320" s="518"/>
      <c r="H320" s="518"/>
      <c r="I320" s="518"/>
      <c r="J320" s="518"/>
      <c r="K320" s="518"/>
      <c r="L320" s="518"/>
      <c r="M320" s="518"/>
      <c r="N320" s="518"/>
      <c r="O320" s="518"/>
      <c r="P320" s="518"/>
      <c r="Q320" s="518"/>
      <c r="R320" s="518"/>
      <c r="S320" s="518"/>
      <c r="T320" s="518"/>
      <c r="U320" s="518"/>
      <c r="V320" s="518"/>
      <c r="W320" s="518"/>
      <c r="X320" s="518"/>
      <c r="Y320" s="518"/>
      <c r="Z320" s="518"/>
      <c r="AA320" s="518"/>
      <c r="AB320" s="518"/>
      <c r="AC320" s="518"/>
      <c r="AD320" s="518"/>
      <c r="AE320" s="518"/>
      <c r="AF320" s="518"/>
      <c r="AG320" s="518"/>
      <c r="AH320" s="518"/>
      <c r="AI320" s="518"/>
      <c r="AJ320" s="518"/>
      <c r="AK320" s="518"/>
      <c r="AL320" s="518"/>
      <c r="AM320" s="518"/>
      <c r="AN320" s="518"/>
      <c r="AO320" s="518"/>
      <c r="AP320" s="518"/>
      <c r="AQ320" s="518"/>
      <c r="AR320" s="518"/>
      <c r="AS320" s="518"/>
      <c r="AT320" s="518"/>
      <c r="AU320" s="518"/>
      <c r="AV320" s="518"/>
      <c r="AW320" s="518"/>
      <c r="AX320" s="518"/>
      <c r="AY320" s="518"/>
      <c r="AZ320" s="518"/>
      <c r="BA320" s="518"/>
      <c r="BB320" s="518"/>
      <c r="BC320" s="518"/>
      <c r="BD320" s="518"/>
      <c r="BE320" s="518"/>
    </row>
    <row r="321" spans="1:57" ht="12.75" customHeight="1">
      <c r="A321" s="518"/>
      <c r="B321" s="518"/>
      <c r="C321" s="518"/>
      <c r="D321" s="518"/>
      <c r="E321" s="518"/>
      <c r="F321" s="518"/>
      <c r="G321" s="518"/>
      <c r="H321" s="518"/>
      <c r="I321" s="518"/>
      <c r="J321" s="518"/>
      <c r="K321" s="518"/>
      <c r="L321" s="518"/>
      <c r="M321" s="518"/>
      <c r="N321" s="518"/>
      <c r="O321" s="518"/>
      <c r="P321" s="518"/>
      <c r="Q321" s="518"/>
      <c r="R321" s="518"/>
      <c r="S321" s="518"/>
      <c r="T321" s="518"/>
      <c r="U321" s="518"/>
      <c r="V321" s="518"/>
      <c r="W321" s="518"/>
      <c r="X321" s="518"/>
      <c r="Y321" s="518"/>
      <c r="Z321" s="518"/>
      <c r="AA321" s="518"/>
      <c r="AB321" s="518"/>
      <c r="AC321" s="518"/>
      <c r="AD321" s="518"/>
      <c r="AE321" s="518"/>
      <c r="AF321" s="518"/>
      <c r="AG321" s="518"/>
      <c r="AH321" s="518"/>
      <c r="AI321" s="518"/>
      <c r="AJ321" s="518"/>
      <c r="AK321" s="518"/>
      <c r="AL321" s="518"/>
      <c r="AM321" s="518"/>
      <c r="AN321" s="518"/>
      <c r="AO321" s="518"/>
      <c r="AP321" s="518"/>
      <c r="AQ321" s="518"/>
      <c r="AR321" s="518"/>
      <c r="AS321" s="518"/>
      <c r="AT321" s="518"/>
      <c r="AU321" s="518"/>
      <c r="AV321" s="518"/>
      <c r="AW321" s="518"/>
      <c r="AX321" s="518"/>
      <c r="AY321" s="518"/>
      <c r="AZ321" s="518"/>
      <c r="BA321" s="518"/>
      <c r="BB321" s="518"/>
      <c r="BC321" s="518"/>
      <c r="BD321" s="518"/>
      <c r="BE321" s="518"/>
    </row>
    <row r="322" spans="1:57" ht="12.75" customHeight="1">
      <c r="A322" s="518"/>
      <c r="B322" s="518"/>
      <c r="C322" s="518"/>
      <c r="D322" s="518"/>
      <c r="E322" s="518"/>
      <c r="F322" s="518"/>
      <c r="G322" s="518"/>
      <c r="H322" s="518"/>
      <c r="I322" s="518"/>
      <c r="J322" s="518"/>
      <c r="K322" s="518"/>
      <c r="L322" s="518"/>
      <c r="M322" s="518"/>
      <c r="N322" s="518"/>
      <c r="O322" s="518"/>
      <c r="P322" s="518"/>
      <c r="Q322" s="518"/>
      <c r="R322" s="518"/>
      <c r="S322" s="518"/>
      <c r="T322" s="518"/>
      <c r="U322" s="518"/>
      <c r="V322" s="518"/>
      <c r="W322" s="518"/>
      <c r="X322" s="518"/>
      <c r="Y322" s="518"/>
      <c r="Z322" s="518"/>
      <c r="AA322" s="518"/>
      <c r="AB322" s="518"/>
      <c r="AC322" s="518"/>
      <c r="AD322" s="518"/>
      <c r="AE322" s="518"/>
      <c r="AF322" s="518"/>
      <c r="AG322" s="518"/>
      <c r="AH322" s="518"/>
      <c r="AI322" s="518"/>
      <c r="AJ322" s="518"/>
      <c r="AK322" s="518"/>
      <c r="AL322" s="518"/>
      <c r="AM322" s="518"/>
      <c r="AN322" s="518"/>
      <c r="AO322" s="518"/>
      <c r="AP322" s="518"/>
      <c r="AQ322" s="518"/>
      <c r="AR322" s="518"/>
      <c r="AS322" s="518"/>
      <c r="AT322" s="518"/>
      <c r="AU322" s="518"/>
      <c r="AV322" s="518"/>
      <c r="AW322" s="518"/>
      <c r="AX322" s="518"/>
      <c r="AY322" s="518"/>
      <c r="AZ322" s="518"/>
      <c r="BA322" s="518"/>
      <c r="BB322" s="518"/>
      <c r="BC322" s="518"/>
      <c r="BD322" s="518"/>
      <c r="BE322" s="518"/>
    </row>
    <row r="323" spans="1:57" ht="12.75" customHeight="1">
      <c r="A323" s="518"/>
      <c r="B323" s="518"/>
      <c r="C323" s="518"/>
      <c r="D323" s="518"/>
      <c r="E323" s="518"/>
      <c r="F323" s="518"/>
      <c r="G323" s="518"/>
      <c r="H323" s="518"/>
      <c r="I323" s="518"/>
      <c r="J323" s="518"/>
      <c r="K323" s="518"/>
      <c r="L323" s="518"/>
      <c r="M323" s="518"/>
      <c r="N323" s="518"/>
      <c r="O323" s="518"/>
      <c r="P323" s="518"/>
      <c r="Q323" s="518"/>
      <c r="R323" s="518"/>
      <c r="S323" s="518"/>
      <c r="T323" s="518"/>
      <c r="U323" s="518"/>
      <c r="V323" s="518"/>
      <c r="W323" s="518"/>
      <c r="X323" s="518"/>
      <c r="Y323" s="518"/>
      <c r="Z323" s="518"/>
      <c r="AA323" s="518"/>
      <c r="AB323" s="518"/>
      <c r="AC323" s="518"/>
      <c r="AD323" s="518"/>
      <c r="AE323" s="518"/>
      <c r="AF323" s="518"/>
      <c r="AG323" s="518"/>
      <c r="AH323" s="518"/>
      <c r="AI323" s="518"/>
      <c r="AJ323" s="518"/>
      <c r="AK323" s="518"/>
      <c r="AL323" s="518"/>
      <c r="AM323" s="518"/>
      <c r="AN323" s="518"/>
      <c r="AO323" s="518"/>
      <c r="AP323" s="518"/>
      <c r="AQ323" s="518"/>
      <c r="AR323" s="518"/>
      <c r="AS323" s="518"/>
      <c r="AT323" s="518"/>
      <c r="AU323" s="518"/>
      <c r="AV323" s="518"/>
      <c r="AW323" s="518"/>
      <c r="AX323" s="518"/>
      <c r="AY323" s="518"/>
      <c r="AZ323" s="518"/>
      <c r="BA323" s="518"/>
      <c r="BB323" s="518"/>
      <c r="BC323" s="518"/>
      <c r="BD323" s="518"/>
      <c r="BE323" s="518"/>
    </row>
    <row r="324" spans="1:57" ht="12.75" customHeight="1">
      <c r="A324" s="518"/>
      <c r="B324" s="518"/>
      <c r="C324" s="518"/>
      <c r="D324" s="518"/>
      <c r="E324" s="518"/>
      <c r="F324" s="518"/>
      <c r="G324" s="518"/>
      <c r="H324" s="518"/>
      <c r="I324" s="518"/>
      <c r="J324" s="518"/>
      <c r="K324" s="518"/>
      <c r="L324" s="518"/>
      <c r="M324" s="518"/>
      <c r="N324" s="518"/>
      <c r="O324" s="518"/>
      <c r="P324" s="518"/>
      <c r="Q324" s="518"/>
      <c r="R324" s="518"/>
      <c r="S324" s="518"/>
      <c r="T324" s="518"/>
      <c r="U324" s="518"/>
      <c r="V324" s="518"/>
      <c r="W324" s="518"/>
      <c r="X324" s="518"/>
      <c r="Y324" s="518"/>
      <c r="Z324" s="518"/>
      <c r="AA324" s="518"/>
      <c r="AB324" s="518"/>
      <c r="AC324" s="518"/>
      <c r="AD324" s="518"/>
      <c r="AE324" s="518"/>
      <c r="AF324" s="518"/>
      <c r="AG324" s="518"/>
      <c r="AH324" s="518"/>
      <c r="AI324" s="518"/>
      <c r="AJ324" s="518"/>
      <c r="AK324" s="518"/>
      <c r="AL324" s="518"/>
      <c r="AM324" s="518"/>
      <c r="AN324" s="518"/>
      <c r="AO324" s="518"/>
      <c r="AP324" s="518"/>
      <c r="AQ324" s="518"/>
      <c r="AR324" s="518"/>
      <c r="AS324" s="518"/>
      <c r="AT324" s="518"/>
      <c r="AU324" s="518"/>
      <c r="AV324" s="518"/>
      <c r="AW324" s="518"/>
      <c r="AX324" s="518"/>
      <c r="AY324" s="518"/>
      <c r="AZ324" s="518"/>
      <c r="BA324" s="518"/>
      <c r="BB324" s="518"/>
      <c r="BC324" s="518"/>
      <c r="BD324" s="518"/>
      <c r="BE324" s="518"/>
    </row>
    <row r="325" spans="1:57" ht="12.75" customHeight="1">
      <c r="A325" s="518"/>
      <c r="B325" s="518"/>
      <c r="C325" s="518"/>
      <c r="D325" s="518"/>
      <c r="E325" s="518"/>
      <c r="F325" s="518"/>
      <c r="G325" s="518"/>
      <c r="H325" s="518"/>
      <c r="I325" s="518"/>
      <c r="J325" s="518"/>
      <c r="K325" s="518"/>
      <c r="L325" s="518"/>
      <c r="M325" s="518"/>
      <c r="N325" s="518"/>
      <c r="O325" s="518"/>
      <c r="P325" s="518"/>
      <c r="Q325" s="518"/>
      <c r="R325" s="518"/>
      <c r="S325" s="518"/>
      <c r="T325" s="518"/>
      <c r="U325" s="518"/>
      <c r="V325" s="518"/>
      <c r="W325" s="518"/>
      <c r="X325" s="518"/>
      <c r="Y325" s="518"/>
      <c r="Z325" s="518"/>
      <c r="AA325" s="518"/>
      <c r="AB325" s="518"/>
      <c r="AC325" s="518"/>
      <c r="AD325" s="518"/>
      <c r="AE325" s="518"/>
      <c r="AF325" s="518"/>
      <c r="AG325" s="518"/>
      <c r="AH325" s="518"/>
      <c r="AI325" s="518"/>
      <c r="AJ325" s="518"/>
      <c r="AK325" s="518"/>
      <c r="AL325" s="518"/>
      <c r="AM325" s="518"/>
      <c r="AN325" s="518"/>
      <c r="AO325" s="518"/>
      <c r="AP325" s="518"/>
      <c r="AQ325" s="518"/>
      <c r="AR325" s="518"/>
      <c r="AS325" s="518"/>
      <c r="AT325" s="518"/>
      <c r="AU325" s="518"/>
      <c r="AV325" s="518"/>
      <c r="AW325" s="518"/>
      <c r="AX325" s="518"/>
      <c r="AY325" s="518"/>
      <c r="AZ325" s="518"/>
      <c r="BA325" s="518"/>
      <c r="BB325" s="518"/>
      <c r="BC325" s="518"/>
      <c r="BD325" s="518"/>
      <c r="BE325" s="518"/>
    </row>
    <row r="326" spans="1:57" ht="12.75" customHeight="1">
      <c r="A326" s="518"/>
      <c r="B326" s="518"/>
      <c r="C326" s="518"/>
      <c r="D326" s="518"/>
      <c r="E326" s="518"/>
      <c r="F326" s="518"/>
      <c r="G326" s="518"/>
      <c r="H326" s="518"/>
      <c r="I326" s="518"/>
      <c r="J326" s="518"/>
      <c r="K326" s="518"/>
      <c r="L326" s="518"/>
      <c r="M326" s="518"/>
      <c r="N326" s="518"/>
      <c r="O326" s="518"/>
      <c r="P326" s="518"/>
      <c r="Q326" s="518"/>
      <c r="R326" s="518"/>
      <c r="S326" s="518"/>
      <c r="T326" s="518"/>
      <c r="U326" s="518"/>
      <c r="V326" s="518"/>
      <c r="W326" s="518"/>
      <c r="X326" s="518"/>
      <c r="Y326" s="518"/>
      <c r="Z326" s="518"/>
      <c r="AA326" s="518"/>
      <c r="AB326" s="518"/>
      <c r="AC326" s="518"/>
      <c r="AD326" s="518"/>
      <c r="AE326" s="518"/>
      <c r="AF326" s="518"/>
      <c r="AG326" s="518"/>
      <c r="AH326" s="518"/>
      <c r="AI326" s="518"/>
      <c r="AJ326" s="518"/>
      <c r="AK326" s="518"/>
      <c r="AL326" s="518"/>
      <c r="AM326" s="518"/>
      <c r="AN326" s="518"/>
      <c r="AO326" s="518"/>
      <c r="AP326" s="518"/>
      <c r="AQ326" s="518"/>
      <c r="AR326" s="518"/>
      <c r="AS326" s="518"/>
      <c r="AT326" s="518"/>
      <c r="AU326" s="518"/>
      <c r="AV326" s="518"/>
      <c r="AW326" s="518"/>
      <c r="AX326" s="518"/>
      <c r="AY326" s="518"/>
      <c r="AZ326" s="518"/>
      <c r="BA326" s="518"/>
      <c r="BB326" s="518"/>
      <c r="BC326" s="518"/>
      <c r="BD326" s="518"/>
      <c r="BE326" s="518"/>
    </row>
    <row r="327" spans="1:57" ht="12.75" customHeight="1">
      <c r="A327" s="518"/>
      <c r="B327" s="518"/>
      <c r="C327" s="518"/>
      <c r="D327" s="518"/>
      <c r="E327" s="518"/>
      <c r="F327" s="518"/>
      <c r="G327" s="518"/>
      <c r="H327" s="518"/>
      <c r="I327" s="518"/>
      <c r="J327" s="518"/>
      <c r="K327" s="518"/>
      <c r="L327" s="518"/>
      <c r="M327" s="518"/>
      <c r="N327" s="518"/>
      <c r="O327" s="518"/>
      <c r="P327" s="518"/>
      <c r="Q327" s="518"/>
      <c r="R327" s="518"/>
      <c r="S327" s="518"/>
      <c r="T327" s="518"/>
      <c r="U327" s="518"/>
      <c r="V327" s="518"/>
      <c r="W327" s="518"/>
      <c r="X327" s="518"/>
      <c r="Y327" s="518"/>
      <c r="Z327" s="518"/>
      <c r="AA327" s="518"/>
      <c r="AB327" s="518"/>
      <c r="AC327" s="518"/>
      <c r="AD327" s="518"/>
      <c r="AE327" s="518"/>
      <c r="AF327" s="518"/>
      <c r="AG327" s="518"/>
      <c r="AH327" s="518"/>
      <c r="AI327" s="518"/>
      <c r="AJ327" s="518"/>
      <c r="AK327" s="518"/>
      <c r="AL327" s="518"/>
      <c r="AM327" s="518"/>
      <c r="AN327" s="518"/>
      <c r="AO327" s="518"/>
      <c r="AP327" s="518"/>
      <c r="AQ327" s="518"/>
      <c r="AR327" s="518"/>
      <c r="AS327" s="518"/>
      <c r="AT327" s="518"/>
      <c r="AU327" s="518"/>
      <c r="AV327" s="518"/>
      <c r="AW327" s="518"/>
      <c r="AX327" s="518"/>
      <c r="AY327" s="518"/>
      <c r="AZ327" s="518"/>
      <c r="BA327" s="518"/>
      <c r="BB327" s="518"/>
      <c r="BC327" s="518"/>
      <c r="BD327" s="518"/>
      <c r="BE327" s="518"/>
    </row>
    <row r="328" spans="1:57" ht="12.75" customHeight="1">
      <c r="A328" s="518"/>
      <c r="B328" s="518"/>
      <c r="C328" s="518"/>
      <c r="D328" s="518"/>
      <c r="E328" s="518"/>
      <c r="F328" s="518"/>
      <c r="G328" s="518"/>
      <c r="H328" s="518"/>
      <c r="I328" s="518"/>
      <c r="J328" s="518"/>
      <c r="K328" s="518"/>
      <c r="L328" s="518"/>
      <c r="M328" s="518"/>
      <c r="N328" s="518"/>
      <c r="O328" s="518"/>
      <c r="P328" s="518"/>
      <c r="Q328" s="518"/>
      <c r="R328" s="518"/>
      <c r="S328" s="518"/>
      <c r="T328" s="518"/>
      <c r="U328" s="518"/>
      <c r="V328" s="518"/>
      <c r="W328" s="518"/>
      <c r="X328" s="518"/>
      <c r="Y328" s="518"/>
      <c r="Z328" s="518"/>
      <c r="AA328" s="518"/>
      <c r="AB328" s="518"/>
      <c r="AC328" s="518"/>
      <c r="AD328" s="518"/>
      <c r="AE328" s="518"/>
      <c r="AF328" s="518"/>
      <c r="AG328" s="518"/>
      <c r="AH328" s="518"/>
      <c r="AI328" s="518"/>
      <c r="AJ328" s="518"/>
      <c r="AK328" s="518"/>
      <c r="AL328" s="518"/>
      <c r="AM328" s="518"/>
      <c r="AN328" s="518"/>
      <c r="AO328" s="518"/>
      <c r="AP328" s="518"/>
      <c r="AQ328" s="518"/>
      <c r="AR328" s="518"/>
      <c r="AS328" s="518"/>
      <c r="AT328" s="518"/>
      <c r="AU328" s="518"/>
      <c r="AV328" s="518"/>
      <c r="AW328" s="518"/>
      <c r="AX328" s="518"/>
      <c r="AY328" s="518"/>
      <c r="AZ328" s="518"/>
      <c r="BA328" s="518"/>
      <c r="BB328" s="518"/>
      <c r="BC328" s="518"/>
      <c r="BD328" s="518"/>
      <c r="BE328" s="518"/>
    </row>
    <row r="329" spans="1:57" ht="12.75" customHeight="1">
      <c r="A329" s="518"/>
      <c r="B329" s="518"/>
      <c r="C329" s="518"/>
      <c r="D329" s="518"/>
      <c r="E329" s="518"/>
      <c r="F329" s="518"/>
      <c r="G329" s="518"/>
      <c r="H329" s="518"/>
      <c r="I329" s="518"/>
      <c r="J329" s="518"/>
      <c r="K329" s="518"/>
      <c r="L329" s="518"/>
      <c r="M329" s="518"/>
      <c r="N329" s="518"/>
      <c r="O329" s="518"/>
      <c r="P329" s="518"/>
      <c r="Q329" s="518"/>
      <c r="R329" s="518"/>
      <c r="S329" s="518"/>
      <c r="T329" s="518"/>
      <c r="U329" s="518"/>
      <c r="V329" s="518"/>
      <c r="W329" s="518"/>
      <c r="X329" s="518"/>
      <c r="Y329" s="518"/>
      <c r="Z329" s="518"/>
      <c r="AA329" s="518"/>
      <c r="AB329" s="518"/>
      <c r="AC329" s="518"/>
      <c r="AD329" s="518"/>
      <c r="AE329" s="518"/>
      <c r="AF329" s="518"/>
      <c r="AG329" s="518"/>
      <c r="AH329" s="518"/>
      <c r="AI329" s="518"/>
      <c r="AJ329" s="518"/>
      <c r="AK329" s="518"/>
      <c r="AL329" s="518"/>
      <c r="AM329" s="518"/>
      <c r="AN329" s="518"/>
      <c r="AO329" s="518"/>
      <c r="AP329" s="518"/>
      <c r="AQ329" s="518"/>
      <c r="AR329" s="518"/>
      <c r="AS329" s="518"/>
      <c r="AT329" s="518"/>
      <c r="AU329" s="518"/>
      <c r="AV329" s="518"/>
      <c r="AW329" s="518"/>
      <c r="AX329" s="518"/>
      <c r="AY329" s="518"/>
      <c r="AZ329" s="518"/>
      <c r="BA329" s="518"/>
      <c r="BB329" s="518"/>
      <c r="BC329" s="518"/>
      <c r="BD329" s="518"/>
      <c r="BE329" s="518"/>
    </row>
    <row r="330" spans="1:57" ht="12.75" customHeight="1">
      <c r="A330" s="518"/>
      <c r="B330" s="518"/>
      <c r="C330" s="518"/>
      <c r="D330" s="518"/>
      <c r="E330" s="518"/>
      <c r="F330" s="518"/>
      <c r="G330" s="518"/>
      <c r="H330" s="518"/>
      <c r="I330" s="518"/>
      <c r="J330" s="518"/>
      <c r="K330" s="518"/>
      <c r="L330" s="518"/>
      <c r="M330" s="518"/>
      <c r="N330" s="518"/>
      <c r="O330" s="518"/>
      <c r="P330" s="518"/>
      <c r="Q330" s="518"/>
      <c r="R330" s="518"/>
      <c r="S330" s="518"/>
      <c r="T330" s="518"/>
      <c r="U330" s="518"/>
      <c r="V330" s="518"/>
      <c r="W330" s="518"/>
      <c r="X330" s="518"/>
      <c r="Y330" s="518"/>
      <c r="Z330" s="518"/>
      <c r="AA330" s="518"/>
      <c r="AB330" s="518"/>
      <c r="AC330" s="518"/>
      <c r="AD330" s="518"/>
      <c r="AE330" s="518"/>
      <c r="AF330" s="518"/>
      <c r="AG330" s="518"/>
      <c r="AH330" s="518"/>
      <c r="AI330" s="518"/>
      <c r="AJ330" s="518"/>
      <c r="AK330" s="518"/>
      <c r="AL330" s="518"/>
      <c r="AM330" s="518"/>
      <c r="AN330" s="518"/>
      <c r="AO330" s="518"/>
      <c r="AP330" s="518"/>
      <c r="AQ330" s="518"/>
      <c r="AR330" s="518"/>
      <c r="AS330" s="518"/>
      <c r="AT330" s="518"/>
      <c r="AU330" s="518"/>
      <c r="AV330" s="518"/>
      <c r="AW330" s="518"/>
      <c r="AX330" s="518"/>
      <c r="AY330" s="518"/>
      <c r="AZ330" s="518"/>
      <c r="BA330" s="518"/>
      <c r="BB330" s="518"/>
      <c r="BC330" s="518"/>
      <c r="BD330" s="518"/>
      <c r="BE330" s="518"/>
    </row>
    <row r="331" spans="1:57" ht="12.75" customHeight="1">
      <c r="A331" s="518"/>
      <c r="B331" s="518"/>
      <c r="C331" s="518"/>
      <c r="D331" s="518"/>
      <c r="E331" s="518"/>
      <c r="F331" s="518"/>
      <c r="G331" s="518"/>
      <c r="H331" s="518"/>
      <c r="I331" s="518"/>
      <c r="J331" s="518"/>
      <c r="K331" s="518"/>
      <c r="L331" s="518"/>
      <c r="M331" s="518"/>
      <c r="N331" s="518"/>
      <c r="O331" s="518"/>
      <c r="P331" s="518"/>
      <c r="Q331" s="518"/>
      <c r="R331" s="518"/>
      <c r="S331" s="518"/>
      <c r="T331" s="518"/>
      <c r="U331" s="518"/>
      <c r="V331" s="518"/>
      <c r="W331" s="518"/>
      <c r="X331" s="518"/>
      <c r="Y331" s="518"/>
      <c r="Z331" s="518"/>
      <c r="AA331" s="518"/>
      <c r="AB331" s="518"/>
      <c r="AC331" s="518"/>
      <c r="AD331" s="518"/>
      <c r="AE331" s="518"/>
      <c r="AF331" s="518"/>
      <c r="AG331" s="518"/>
      <c r="AH331" s="518"/>
      <c r="AI331" s="518"/>
      <c r="AJ331" s="518"/>
      <c r="AK331" s="518"/>
      <c r="AL331" s="518"/>
      <c r="AM331" s="518"/>
      <c r="AN331" s="518"/>
      <c r="AO331" s="518"/>
      <c r="AP331" s="518"/>
      <c r="AQ331" s="518"/>
      <c r="AR331" s="518"/>
      <c r="AS331" s="518"/>
      <c r="AT331" s="518"/>
      <c r="AU331" s="518"/>
      <c r="AV331" s="518"/>
      <c r="AW331" s="518"/>
      <c r="AX331" s="518"/>
      <c r="AY331" s="518"/>
      <c r="AZ331" s="518"/>
      <c r="BA331" s="518"/>
      <c r="BB331" s="518"/>
      <c r="BC331" s="518"/>
      <c r="BD331" s="518"/>
      <c r="BE331" s="518"/>
    </row>
    <row r="332" spans="1:57" ht="12.75" customHeight="1">
      <c r="A332" s="518"/>
      <c r="B332" s="518"/>
      <c r="C332" s="518"/>
      <c r="D332" s="518"/>
      <c r="E332" s="518"/>
      <c r="F332" s="518"/>
      <c r="G332" s="518"/>
      <c r="H332" s="518"/>
      <c r="I332" s="518"/>
      <c r="J332" s="518"/>
      <c r="K332" s="518"/>
      <c r="L332" s="518"/>
      <c r="M332" s="518"/>
      <c r="N332" s="518"/>
      <c r="O332" s="518"/>
      <c r="P332" s="518"/>
      <c r="Q332" s="518"/>
      <c r="R332" s="518"/>
      <c r="S332" s="518"/>
      <c r="T332" s="518"/>
      <c r="U332" s="518"/>
      <c r="V332" s="518"/>
      <c r="W332" s="518"/>
      <c r="X332" s="518"/>
      <c r="Y332" s="518"/>
      <c r="Z332" s="518"/>
      <c r="AA332" s="518"/>
      <c r="AB332" s="518"/>
      <c r="AC332" s="518"/>
      <c r="AD332" s="518"/>
      <c r="AE332" s="518"/>
      <c r="AF332" s="518"/>
      <c r="AG332" s="518"/>
      <c r="AH332" s="518"/>
      <c r="AI332" s="518"/>
      <c r="AJ332" s="518"/>
      <c r="AK332" s="518"/>
      <c r="AL332" s="518"/>
      <c r="AM332" s="518"/>
      <c r="AN332" s="518"/>
      <c r="AO332" s="518"/>
      <c r="AP332" s="518"/>
      <c r="AQ332" s="518"/>
      <c r="AR332" s="518"/>
      <c r="AS332" s="518"/>
      <c r="AT332" s="518"/>
      <c r="AU332" s="518"/>
      <c r="AV332" s="518"/>
      <c r="AW332" s="518"/>
      <c r="AX332" s="518"/>
      <c r="AY332" s="518"/>
      <c r="AZ332" s="518"/>
      <c r="BA332" s="518"/>
      <c r="BB332" s="518"/>
      <c r="BC332" s="518"/>
      <c r="BD332" s="518"/>
      <c r="BE332" s="518"/>
    </row>
    <row r="333" spans="1:57" ht="12.75" customHeight="1">
      <c r="A333" s="518"/>
      <c r="B333" s="518"/>
      <c r="C333" s="518"/>
      <c r="D333" s="518"/>
      <c r="E333" s="518"/>
      <c r="F333" s="518"/>
      <c r="G333" s="518"/>
      <c r="H333" s="518"/>
      <c r="I333" s="518"/>
      <c r="J333" s="518"/>
      <c r="K333" s="518"/>
      <c r="L333" s="518"/>
      <c r="M333" s="518"/>
      <c r="N333" s="518"/>
      <c r="O333" s="518"/>
      <c r="P333" s="518"/>
      <c r="Q333" s="518"/>
      <c r="R333" s="518"/>
      <c r="S333" s="518"/>
      <c r="T333" s="518"/>
      <c r="U333" s="518"/>
      <c r="V333" s="518"/>
      <c r="W333" s="518"/>
      <c r="X333" s="518"/>
      <c r="Y333" s="518"/>
      <c r="Z333" s="518"/>
      <c r="AA333" s="518"/>
      <c r="AB333" s="518"/>
      <c r="AC333" s="518"/>
      <c r="AD333" s="518"/>
      <c r="AE333" s="518"/>
      <c r="AF333" s="518"/>
      <c r="AG333" s="518"/>
      <c r="AH333" s="518"/>
      <c r="AI333" s="518"/>
      <c r="AJ333" s="518"/>
      <c r="AK333" s="518"/>
      <c r="AL333" s="518"/>
      <c r="AM333" s="518"/>
      <c r="AN333" s="518"/>
      <c r="AO333" s="518"/>
      <c r="AP333" s="518"/>
      <c r="AQ333" s="518"/>
      <c r="AR333" s="518"/>
      <c r="AS333" s="518"/>
      <c r="AT333" s="518"/>
      <c r="AU333" s="518"/>
      <c r="AV333" s="518"/>
      <c r="AW333" s="518"/>
      <c r="AX333" s="518"/>
      <c r="AY333" s="518"/>
      <c r="AZ333" s="518"/>
      <c r="BA333" s="518"/>
      <c r="BB333" s="518"/>
      <c r="BC333" s="518"/>
      <c r="BD333" s="518"/>
      <c r="BE333" s="518"/>
    </row>
    <row r="334" spans="1:57" ht="12.75" customHeight="1">
      <c r="A334" s="518"/>
      <c r="B334" s="518"/>
      <c r="C334" s="518"/>
      <c r="D334" s="518"/>
      <c r="E334" s="518"/>
      <c r="F334" s="518"/>
      <c r="G334" s="518"/>
      <c r="H334" s="518"/>
      <c r="I334" s="518"/>
      <c r="J334" s="518"/>
      <c r="K334" s="518"/>
      <c r="L334" s="518"/>
      <c r="M334" s="518"/>
      <c r="N334" s="518"/>
      <c r="O334" s="518"/>
      <c r="P334" s="518"/>
      <c r="Q334" s="518"/>
      <c r="R334" s="518"/>
      <c r="S334" s="518"/>
      <c r="T334" s="518"/>
      <c r="U334" s="518"/>
      <c r="V334" s="518"/>
      <c r="W334" s="518"/>
      <c r="X334" s="518"/>
      <c r="Y334" s="518"/>
      <c r="Z334" s="518"/>
      <c r="AA334" s="518"/>
      <c r="AB334" s="518"/>
      <c r="AC334" s="518"/>
      <c r="AD334" s="518"/>
      <c r="AE334" s="518"/>
      <c r="AF334" s="518"/>
      <c r="AG334" s="518"/>
      <c r="AH334" s="518"/>
      <c r="AI334" s="518"/>
      <c r="AJ334" s="518"/>
      <c r="AK334" s="518"/>
      <c r="AL334" s="518"/>
      <c r="AM334" s="518"/>
      <c r="AN334" s="518"/>
      <c r="AO334" s="518"/>
      <c r="AP334" s="518"/>
      <c r="AQ334" s="518"/>
      <c r="AR334" s="518"/>
      <c r="AS334" s="518"/>
      <c r="AT334" s="518"/>
      <c r="AU334" s="518"/>
      <c r="AV334" s="518"/>
      <c r="AW334" s="518"/>
      <c r="AX334" s="518"/>
      <c r="AY334" s="518"/>
      <c r="AZ334" s="518"/>
      <c r="BA334" s="518"/>
      <c r="BB334" s="518"/>
      <c r="BC334" s="518"/>
      <c r="BD334" s="518"/>
      <c r="BE334" s="518"/>
    </row>
    <row r="335" spans="1:57" ht="12.75" customHeight="1">
      <c r="A335" s="518"/>
      <c r="B335" s="518"/>
      <c r="C335" s="518"/>
      <c r="D335" s="518"/>
      <c r="E335" s="518"/>
      <c r="F335" s="518"/>
      <c r="G335" s="518"/>
      <c r="H335" s="518"/>
      <c r="I335" s="518"/>
      <c r="J335" s="518"/>
      <c r="K335" s="518"/>
      <c r="L335" s="518"/>
      <c r="M335" s="518"/>
      <c r="N335" s="518"/>
      <c r="O335" s="518"/>
      <c r="P335" s="518"/>
      <c r="Q335" s="518"/>
      <c r="R335" s="518"/>
      <c r="S335" s="518"/>
      <c r="T335" s="518"/>
      <c r="U335" s="518"/>
      <c r="V335" s="518"/>
      <c r="W335" s="518"/>
      <c r="X335" s="518"/>
      <c r="Y335" s="518"/>
      <c r="Z335" s="518"/>
      <c r="AA335" s="518"/>
      <c r="AB335" s="518"/>
      <c r="AC335" s="518"/>
      <c r="AD335" s="518"/>
      <c r="AE335" s="518"/>
      <c r="AF335" s="518"/>
      <c r="AG335" s="518"/>
      <c r="AH335" s="518"/>
      <c r="AI335" s="518"/>
      <c r="AJ335" s="518"/>
      <c r="AK335" s="518"/>
      <c r="AL335" s="518"/>
      <c r="AM335" s="518"/>
      <c r="AN335" s="518"/>
      <c r="AO335" s="518"/>
      <c r="AP335" s="518"/>
      <c r="AQ335" s="518"/>
      <c r="AR335" s="518"/>
      <c r="AS335" s="518"/>
      <c r="AT335" s="518"/>
      <c r="AU335" s="518"/>
      <c r="AV335" s="518"/>
      <c r="AW335" s="518"/>
      <c r="AX335" s="518"/>
      <c r="AY335" s="518"/>
      <c r="AZ335" s="518"/>
      <c r="BA335" s="518"/>
      <c r="BB335" s="518"/>
      <c r="BC335" s="518"/>
      <c r="BD335" s="518"/>
      <c r="BE335" s="518"/>
    </row>
    <row r="336" spans="1:57" ht="12.75" customHeight="1">
      <c r="A336" s="518"/>
      <c r="B336" s="518"/>
      <c r="C336" s="518"/>
      <c r="D336" s="518"/>
      <c r="E336" s="518"/>
      <c r="F336" s="518"/>
      <c r="G336" s="518"/>
      <c r="H336" s="518"/>
      <c r="I336" s="518"/>
      <c r="J336" s="518"/>
      <c r="K336" s="518"/>
      <c r="L336" s="518"/>
      <c r="M336" s="518"/>
      <c r="N336" s="518"/>
      <c r="O336" s="518"/>
      <c r="P336" s="518"/>
      <c r="Q336" s="518"/>
      <c r="R336" s="518"/>
      <c r="S336" s="518"/>
      <c r="T336" s="518"/>
      <c r="U336" s="518"/>
      <c r="V336" s="518"/>
      <c r="W336" s="518"/>
      <c r="X336" s="518"/>
      <c r="Y336" s="518"/>
      <c r="Z336" s="518"/>
      <c r="AA336" s="518"/>
      <c r="AB336" s="518"/>
      <c r="AC336" s="518"/>
      <c r="AD336" s="518"/>
      <c r="AE336" s="518"/>
      <c r="AF336" s="518"/>
      <c r="AG336" s="518"/>
      <c r="AH336" s="518"/>
      <c r="AI336" s="518"/>
      <c r="AJ336" s="518"/>
      <c r="AK336" s="518"/>
      <c r="AL336" s="518"/>
      <c r="AM336" s="518"/>
      <c r="AN336" s="518"/>
      <c r="AO336" s="518"/>
      <c r="AP336" s="518"/>
      <c r="AQ336" s="518"/>
      <c r="AR336" s="518"/>
      <c r="AS336" s="518"/>
      <c r="AT336" s="518"/>
      <c r="AU336" s="518"/>
      <c r="AV336" s="518"/>
      <c r="AW336" s="518"/>
      <c r="AX336" s="518"/>
      <c r="AY336" s="518"/>
      <c r="AZ336" s="518"/>
      <c r="BA336" s="518"/>
      <c r="BB336" s="518"/>
      <c r="BC336" s="518"/>
      <c r="BD336" s="518"/>
      <c r="BE336" s="518"/>
    </row>
    <row r="337" spans="1:57" ht="12.75" customHeight="1">
      <c r="A337" s="518"/>
      <c r="B337" s="518"/>
      <c r="C337" s="518"/>
      <c r="D337" s="518"/>
      <c r="E337" s="518"/>
      <c r="F337" s="518"/>
      <c r="G337" s="518"/>
      <c r="H337" s="518"/>
      <c r="I337" s="518"/>
      <c r="J337" s="518"/>
      <c r="K337" s="518"/>
      <c r="L337" s="518"/>
      <c r="M337" s="518"/>
      <c r="N337" s="518"/>
      <c r="O337" s="518"/>
      <c r="P337" s="518"/>
      <c r="Q337" s="518"/>
      <c r="R337" s="518"/>
      <c r="S337" s="518"/>
      <c r="T337" s="518"/>
      <c r="U337" s="518"/>
      <c r="V337" s="518"/>
      <c r="W337" s="518"/>
      <c r="X337" s="518"/>
      <c r="Y337" s="518"/>
      <c r="Z337" s="518"/>
      <c r="AA337" s="518"/>
      <c r="AB337" s="518"/>
      <c r="AC337" s="518"/>
      <c r="AD337" s="518"/>
      <c r="AE337" s="518"/>
      <c r="AF337" s="518"/>
      <c r="AG337" s="518"/>
      <c r="AH337" s="518"/>
      <c r="AI337" s="518"/>
      <c r="AJ337" s="518"/>
      <c r="AK337" s="518"/>
      <c r="AL337" s="518"/>
      <c r="AM337" s="518"/>
      <c r="AN337" s="518"/>
      <c r="AO337" s="518"/>
      <c r="AP337" s="518"/>
      <c r="AQ337" s="518"/>
      <c r="AR337" s="518"/>
      <c r="AS337" s="518"/>
      <c r="AT337" s="518"/>
      <c r="AU337" s="518"/>
      <c r="AV337" s="518"/>
      <c r="AW337" s="518"/>
      <c r="AX337" s="518"/>
      <c r="AY337" s="518"/>
      <c r="AZ337" s="518"/>
      <c r="BA337" s="518"/>
      <c r="BB337" s="518"/>
      <c r="BC337" s="518"/>
      <c r="BD337" s="518"/>
      <c r="BE337" s="518"/>
    </row>
    <row r="338" spans="1:57" ht="12.75" customHeight="1">
      <c r="A338" s="518"/>
      <c r="B338" s="518"/>
      <c r="C338" s="518"/>
      <c r="D338" s="518"/>
      <c r="E338" s="518"/>
      <c r="F338" s="518"/>
      <c r="G338" s="518"/>
      <c r="H338" s="518"/>
      <c r="I338" s="518"/>
      <c r="J338" s="518"/>
      <c r="K338" s="518"/>
      <c r="L338" s="518"/>
      <c r="M338" s="518"/>
      <c r="N338" s="518"/>
      <c r="O338" s="518"/>
      <c r="P338" s="518"/>
      <c r="Q338" s="518"/>
      <c r="R338" s="518"/>
      <c r="S338" s="518"/>
      <c r="T338" s="518"/>
      <c r="U338" s="518"/>
      <c r="V338" s="518"/>
      <c r="W338" s="518"/>
      <c r="X338" s="518"/>
      <c r="Y338" s="518"/>
      <c r="Z338" s="518"/>
      <c r="AA338" s="518"/>
      <c r="AB338" s="518"/>
      <c r="AC338" s="518"/>
      <c r="AD338" s="518"/>
      <c r="AE338" s="518"/>
      <c r="AF338" s="518"/>
      <c r="AG338" s="518"/>
      <c r="AH338" s="518"/>
      <c r="AI338" s="518"/>
      <c r="AJ338" s="518"/>
      <c r="AK338" s="518"/>
      <c r="AL338" s="518"/>
      <c r="AM338" s="518"/>
      <c r="AN338" s="518"/>
      <c r="AO338" s="518"/>
      <c r="AP338" s="518"/>
      <c r="AQ338" s="518"/>
      <c r="AR338" s="518"/>
      <c r="AS338" s="518"/>
      <c r="AT338" s="518"/>
      <c r="AU338" s="518"/>
      <c r="AV338" s="518"/>
      <c r="AW338" s="518"/>
      <c r="AX338" s="518"/>
      <c r="AY338" s="518"/>
      <c r="AZ338" s="518"/>
      <c r="BA338" s="518"/>
      <c r="BB338" s="518"/>
      <c r="BC338" s="518"/>
      <c r="BD338" s="518"/>
      <c r="BE338" s="518"/>
    </row>
    <row r="339" spans="1:57" ht="12.75" customHeight="1">
      <c r="A339" s="518"/>
      <c r="B339" s="518"/>
      <c r="C339" s="518"/>
      <c r="D339" s="518"/>
      <c r="E339" s="518"/>
      <c r="F339" s="518"/>
      <c r="G339" s="518"/>
      <c r="H339" s="518"/>
      <c r="I339" s="518"/>
      <c r="J339" s="518"/>
      <c r="K339" s="518"/>
      <c r="L339" s="518"/>
      <c r="M339" s="518"/>
      <c r="N339" s="518"/>
      <c r="O339" s="518"/>
      <c r="P339" s="518"/>
      <c r="Q339" s="518"/>
      <c r="R339" s="518"/>
      <c r="S339" s="518"/>
      <c r="T339" s="518"/>
      <c r="U339" s="518"/>
      <c r="V339" s="518"/>
      <c r="W339" s="518"/>
      <c r="X339" s="518"/>
      <c r="Y339" s="518"/>
      <c r="Z339" s="518"/>
      <c r="AA339" s="518"/>
      <c r="AB339" s="518"/>
      <c r="AC339" s="518"/>
      <c r="AD339" s="518"/>
      <c r="AE339" s="518"/>
      <c r="AF339" s="518"/>
      <c r="AG339" s="518"/>
      <c r="AH339" s="518"/>
      <c r="AI339" s="518"/>
      <c r="AJ339" s="518"/>
      <c r="AK339" s="518"/>
      <c r="AL339" s="518"/>
      <c r="AM339" s="518"/>
      <c r="AN339" s="518"/>
      <c r="AO339" s="518"/>
      <c r="AP339" s="518"/>
      <c r="AQ339" s="518"/>
      <c r="AR339" s="518"/>
      <c r="AS339" s="518"/>
      <c r="AT339" s="518"/>
      <c r="AU339" s="518"/>
      <c r="AV339" s="518"/>
      <c r="AW339" s="518"/>
      <c r="AX339" s="518"/>
      <c r="AY339" s="518"/>
      <c r="AZ339" s="518"/>
      <c r="BA339" s="518"/>
      <c r="BB339" s="518"/>
      <c r="BC339" s="518"/>
      <c r="BD339" s="518"/>
      <c r="BE339" s="518"/>
    </row>
    <row r="340" spans="1:57" ht="12.75" customHeight="1">
      <c r="A340" s="518"/>
      <c r="B340" s="518"/>
      <c r="C340" s="518"/>
      <c r="D340" s="518"/>
      <c r="E340" s="518"/>
      <c r="F340" s="518"/>
      <c r="G340" s="518"/>
      <c r="H340" s="518"/>
      <c r="I340" s="518"/>
      <c r="J340" s="518"/>
      <c r="K340" s="518"/>
      <c r="L340" s="518"/>
      <c r="M340" s="518"/>
      <c r="N340" s="518"/>
      <c r="O340" s="518"/>
      <c r="P340" s="518"/>
      <c r="Q340" s="518"/>
      <c r="R340" s="518"/>
      <c r="S340" s="518"/>
      <c r="T340" s="518"/>
      <c r="U340" s="518"/>
      <c r="V340" s="518"/>
      <c r="W340" s="518"/>
      <c r="X340" s="518"/>
      <c r="Y340" s="518"/>
      <c r="Z340" s="518"/>
      <c r="AA340" s="518"/>
      <c r="AB340" s="518"/>
      <c r="AC340" s="518"/>
      <c r="AD340" s="518"/>
      <c r="AE340" s="518"/>
      <c r="AF340" s="518"/>
      <c r="AG340" s="518"/>
      <c r="AH340" s="518"/>
      <c r="AI340" s="518"/>
      <c r="AJ340" s="518"/>
      <c r="AK340" s="518"/>
      <c r="AL340" s="518"/>
      <c r="AM340" s="518"/>
      <c r="AN340" s="518"/>
      <c r="AO340" s="518"/>
      <c r="AP340" s="518"/>
      <c r="AQ340" s="518"/>
      <c r="AR340" s="518"/>
      <c r="AS340" s="518"/>
      <c r="AT340" s="518"/>
      <c r="AU340" s="518"/>
      <c r="AV340" s="518"/>
      <c r="AW340" s="518"/>
      <c r="AX340" s="518"/>
      <c r="AY340" s="518"/>
      <c r="AZ340" s="518"/>
      <c r="BA340" s="518"/>
      <c r="BB340" s="518"/>
      <c r="BC340" s="518"/>
      <c r="BD340" s="518"/>
      <c r="BE340" s="518"/>
    </row>
    <row r="341" spans="1:57" ht="12.75" customHeight="1">
      <c r="A341" s="518"/>
      <c r="B341" s="518"/>
      <c r="C341" s="518"/>
      <c r="D341" s="518"/>
      <c r="E341" s="518"/>
      <c r="F341" s="518"/>
      <c r="G341" s="518"/>
      <c r="H341" s="518"/>
      <c r="I341" s="518"/>
      <c r="J341" s="518"/>
      <c r="K341" s="518"/>
      <c r="L341" s="518"/>
      <c r="M341" s="518"/>
      <c r="N341" s="518"/>
      <c r="O341" s="518"/>
      <c r="P341" s="518"/>
      <c r="Q341" s="518"/>
      <c r="R341" s="518"/>
      <c r="S341" s="518"/>
      <c r="T341" s="518"/>
      <c r="U341" s="518"/>
      <c r="V341" s="518"/>
      <c r="W341" s="518"/>
      <c r="X341" s="518"/>
      <c r="Y341" s="518"/>
      <c r="Z341" s="518"/>
      <c r="AA341" s="518"/>
      <c r="AB341" s="518"/>
      <c r="AC341" s="518"/>
      <c r="AD341" s="518"/>
      <c r="AE341" s="518"/>
      <c r="AF341" s="518"/>
      <c r="AG341" s="518"/>
      <c r="AH341" s="518"/>
      <c r="AI341" s="518"/>
      <c r="AJ341" s="518"/>
      <c r="AK341" s="518"/>
      <c r="AL341" s="518"/>
      <c r="AM341" s="518"/>
      <c r="AN341" s="518"/>
      <c r="AO341" s="518"/>
      <c r="AP341" s="518"/>
      <c r="AQ341" s="518"/>
      <c r="AR341" s="518"/>
      <c r="AS341" s="518"/>
      <c r="AT341" s="518"/>
      <c r="AU341" s="518"/>
      <c r="AV341" s="518"/>
      <c r="AW341" s="518"/>
      <c r="AX341" s="518"/>
      <c r="AY341" s="518"/>
      <c r="AZ341" s="518"/>
      <c r="BA341" s="518"/>
      <c r="BB341" s="518"/>
      <c r="BC341" s="518"/>
      <c r="BD341" s="518"/>
      <c r="BE341" s="518"/>
    </row>
    <row r="342" spans="1:57" ht="12.75" customHeight="1">
      <c r="A342" s="518"/>
      <c r="B342" s="518"/>
      <c r="C342" s="518"/>
      <c r="D342" s="518"/>
      <c r="E342" s="518"/>
      <c r="F342" s="518"/>
      <c r="G342" s="518"/>
      <c r="H342" s="518"/>
      <c r="I342" s="518"/>
      <c r="J342" s="518"/>
      <c r="K342" s="518"/>
      <c r="L342" s="518"/>
      <c r="M342" s="518"/>
      <c r="N342" s="518"/>
      <c r="O342" s="518"/>
      <c r="P342" s="518"/>
      <c r="Q342" s="518"/>
      <c r="R342" s="518"/>
      <c r="S342" s="518"/>
      <c r="T342" s="518"/>
      <c r="U342" s="518"/>
      <c r="V342" s="518"/>
      <c r="W342" s="518"/>
      <c r="X342" s="518"/>
      <c r="Y342" s="518"/>
      <c r="Z342" s="518"/>
      <c r="AA342" s="518"/>
      <c r="AB342" s="518"/>
      <c r="AC342" s="518"/>
      <c r="AD342" s="518"/>
      <c r="AE342" s="518"/>
      <c r="AF342" s="518"/>
      <c r="AG342" s="518"/>
      <c r="AH342" s="518"/>
      <c r="AI342" s="518"/>
      <c r="AJ342" s="518"/>
      <c r="AK342" s="518"/>
      <c r="AL342" s="518"/>
      <c r="AM342" s="518"/>
      <c r="AN342" s="518"/>
      <c r="AO342" s="518"/>
      <c r="AP342" s="518"/>
      <c r="AQ342" s="518"/>
      <c r="AR342" s="518"/>
      <c r="AS342" s="518"/>
      <c r="AT342" s="518"/>
      <c r="AU342" s="518"/>
      <c r="AV342" s="518"/>
      <c r="AW342" s="518"/>
      <c r="AX342" s="518"/>
      <c r="AY342" s="518"/>
      <c r="AZ342" s="518"/>
      <c r="BA342" s="518"/>
      <c r="BB342" s="518"/>
      <c r="BC342" s="518"/>
      <c r="BD342" s="518"/>
      <c r="BE342" s="518"/>
    </row>
    <row r="343" spans="1:57" ht="12.75" customHeight="1">
      <c r="A343" s="518"/>
      <c r="B343" s="518"/>
      <c r="C343" s="518"/>
      <c r="D343" s="518"/>
      <c r="E343" s="518"/>
      <c r="F343" s="518"/>
      <c r="G343" s="518"/>
      <c r="H343" s="518"/>
      <c r="I343" s="518"/>
      <c r="J343" s="518"/>
      <c r="K343" s="518"/>
      <c r="L343" s="518"/>
      <c r="M343" s="518"/>
      <c r="N343" s="518"/>
      <c r="O343" s="518"/>
      <c r="P343" s="518"/>
      <c r="Q343" s="518"/>
      <c r="R343" s="518"/>
      <c r="S343" s="518"/>
      <c r="T343" s="518"/>
      <c r="U343" s="518"/>
      <c r="V343" s="518"/>
      <c r="W343" s="518"/>
      <c r="X343" s="518"/>
      <c r="Y343" s="518"/>
      <c r="Z343" s="518"/>
      <c r="AA343" s="518"/>
      <c r="AB343" s="518"/>
      <c r="AC343" s="518"/>
      <c r="AD343" s="518"/>
      <c r="AE343" s="518"/>
      <c r="AF343" s="518"/>
      <c r="AG343" s="518"/>
      <c r="AH343" s="518"/>
      <c r="AI343" s="518"/>
      <c r="AJ343" s="518"/>
      <c r="AK343" s="518"/>
      <c r="AL343" s="518"/>
      <c r="AM343" s="518"/>
      <c r="AN343" s="518"/>
      <c r="AO343" s="518"/>
      <c r="AP343" s="518"/>
      <c r="AQ343" s="518"/>
      <c r="AR343" s="518"/>
      <c r="AS343" s="518"/>
      <c r="AT343" s="518"/>
      <c r="AU343" s="518"/>
      <c r="AV343" s="518"/>
      <c r="AW343" s="518"/>
      <c r="AX343" s="518"/>
      <c r="AY343" s="518"/>
      <c r="AZ343" s="518"/>
      <c r="BA343" s="518"/>
      <c r="BB343" s="518"/>
      <c r="BC343" s="518"/>
      <c r="BD343" s="518"/>
      <c r="BE343" s="518"/>
    </row>
    <row r="344" spans="1:57" ht="12.75" customHeight="1">
      <c r="A344" s="518"/>
      <c r="B344" s="518"/>
      <c r="C344" s="518"/>
      <c r="D344" s="518"/>
      <c r="E344" s="518"/>
      <c r="F344" s="518"/>
      <c r="G344" s="518"/>
      <c r="H344" s="518"/>
      <c r="I344" s="518"/>
      <c r="J344" s="518"/>
      <c r="K344" s="518"/>
      <c r="L344" s="518"/>
      <c r="M344" s="518"/>
      <c r="N344" s="518"/>
      <c r="O344" s="518"/>
      <c r="P344" s="518"/>
      <c r="Q344" s="518"/>
      <c r="R344" s="518"/>
      <c r="S344" s="518"/>
      <c r="T344" s="518"/>
      <c r="U344" s="518"/>
      <c r="V344" s="518"/>
      <c r="W344" s="518"/>
      <c r="X344" s="518"/>
      <c r="Y344" s="518"/>
      <c r="Z344" s="518"/>
      <c r="AA344" s="518"/>
      <c r="AB344" s="518"/>
      <c r="AC344" s="518"/>
      <c r="AD344" s="518"/>
      <c r="AE344" s="518"/>
      <c r="AF344" s="518"/>
      <c r="AG344" s="518"/>
      <c r="AH344" s="518"/>
      <c r="AI344" s="518"/>
      <c r="AJ344" s="518"/>
      <c r="AK344" s="518"/>
      <c r="AL344" s="518"/>
      <c r="AM344" s="518"/>
      <c r="AN344" s="518"/>
      <c r="AO344" s="518"/>
      <c r="AP344" s="518"/>
      <c r="AQ344" s="518"/>
      <c r="AR344" s="518"/>
      <c r="AS344" s="518"/>
      <c r="AT344" s="518"/>
      <c r="AU344" s="518"/>
      <c r="AV344" s="518"/>
      <c r="AW344" s="518"/>
      <c r="AX344" s="518"/>
      <c r="AY344" s="518"/>
      <c r="AZ344" s="518"/>
      <c r="BA344" s="518"/>
      <c r="BB344" s="518"/>
      <c r="BC344" s="518"/>
      <c r="BD344" s="518"/>
      <c r="BE344" s="518"/>
    </row>
    <row r="345" spans="1:57" ht="12.75" customHeight="1">
      <c r="A345" s="518"/>
      <c r="B345" s="518"/>
      <c r="C345" s="518"/>
      <c r="D345" s="518"/>
      <c r="E345" s="518"/>
      <c r="F345" s="518"/>
      <c r="G345" s="518"/>
      <c r="H345" s="518"/>
      <c r="I345" s="518"/>
      <c r="J345" s="518"/>
      <c r="K345" s="518"/>
      <c r="L345" s="518"/>
      <c r="M345" s="518"/>
      <c r="N345" s="518"/>
      <c r="O345" s="518"/>
      <c r="P345" s="518"/>
      <c r="Q345" s="518"/>
      <c r="R345" s="518"/>
      <c r="S345" s="518"/>
      <c r="T345" s="518"/>
      <c r="U345" s="518"/>
      <c r="V345" s="518"/>
      <c r="W345" s="518"/>
      <c r="X345" s="518"/>
      <c r="Y345" s="518"/>
      <c r="Z345" s="518"/>
      <c r="AA345" s="518"/>
      <c r="AB345" s="518"/>
      <c r="AC345" s="518"/>
      <c r="AD345" s="518"/>
      <c r="AE345" s="518"/>
      <c r="AF345" s="518"/>
      <c r="AG345" s="518"/>
      <c r="AH345" s="518"/>
      <c r="AI345" s="518"/>
      <c r="AJ345" s="518"/>
      <c r="AK345" s="518"/>
      <c r="AL345" s="518"/>
      <c r="AM345" s="518"/>
      <c r="AN345" s="518"/>
      <c r="AO345" s="518"/>
      <c r="AP345" s="518"/>
      <c r="AQ345" s="518"/>
      <c r="AR345" s="518"/>
      <c r="AS345" s="518"/>
      <c r="AT345" s="518"/>
      <c r="AU345" s="518"/>
      <c r="AV345" s="518"/>
      <c r="AW345" s="518"/>
      <c r="AX345" s="518"/>
      <c r="AY345" s="518"/>
      <c r="AZ345" s="518"/>
      <c r="BA345" s="518"/>
      <c r="BB345" s="518"/>
      <c r="BC345" s="518"/>
      <c r="BD345" s="518"/>
      <c r="BE345" s="518"/>
    </row>
    <row r="346" spans="1:57" ht="12.75" customHeight="1">
      <c r="A346" s="518"/>
      <c r="B346" s="518"/>
      <c r="C346" s="518"/>
      <c r="D346" s="518"/>
      <c r="E346" s="518"/>
      <c r="F346" s="518"/>
      <c r="G346" s="518"/>
      <c r="H346" s="518"/>
      <c r="I346" s="518"/>
      <c r="J346" s="518"/>
      <c r="K346" s="518"/>
      <c r="L346" s="518"/>
      <c r="M346" s="518"/>
      <c r="N346" s="518"/>
      <c r="O346" s="518"/>
      <c r="P346" s="518"/>
      <c r="Q346" s="518"/>
      <c r="R346" s="518"/>
      <c r="S346" s="518"/>
      <c r="T346" s="518"/>
      <c r="U346" s="518"/>
      <c r="V346" s="518"/>
      <c r="W346" s="518"/>
      <c r="X346" s="518"/>
      <c r="Y346" s="518"/>
      <c r="Z346" s="518"/>
      <c r="AA346" s="518"/>
      <c r="AB346" s="518"/>
      <c r="AC346" s="518"/>
      <c r="AD346" s="518"/>
      <c r="AE346" s="518"/>
      <c r="AF346" s="518"/>
      <c r="AG346" s="518"/>
      <c r="AH346" s="518"/>
      <c r="AI346" s="518"/>
      <c r="AJ346" s="518"/>
      <c r="AK346" s="518"/>
      <c r="AL346" s="518"/>
      <c r="AM346" s="518"/>
      <c r="AN346" s="518"/>
      <c r="AO346" s="518"/>
      <c r="AP346" s="518"/>
      <c r="AQ346" s="518"/>
      <c r="AR346" s="518"/>
      <c r="AS346" s="518"/>
      <c r="AT346" s="518"/>
      <c r="AU346" s="518"/>
      <c r="AV346" s="518"/>
      <c r="AW346" s="518"/>
      <c r="AX346" s="518"/>
      <c r="AY346" s="518"/>
      <c r="AZ346" s="518"/>
      <c r="BA346" s="518"/>
      <c r="BB346" s="518"/>
      <c r="BC346" s="518"/>
      <c r="BD346" s="518"/>
      <c r="BE346" s="518"/>
    </row>
    <row r="347" spans="1:57" ht="12.75" customHeight="1">
      <c r="A347" s="518"/>
      <c r="B347" s="518"/>
      <c r="C347" s="518"/>
      <c r="D347" s="518"/>
      <c r="E347" s="518"/>
      <c r="F347" s="518"/>
      <c r="G347" s="518"/>
      <c r="H347" s="518"/>
      <c r="I347" s="518"/>
      <c r="J347" s="518"/>
      <c r="K347" s="518"/>
      <c r="L347" s="518"/>
      <c r="M347" s="518"/>
      <c r="N347" s="518"/>
      <c r="O347" s="518"/>
      <c r="P347" s="518"/>
      <c r="Q347" s="518"/>
      <c r="R347" s="518"/>
      <c r="S347" s="518"/>
      <c r="T347" s="518"/>
      <c r="U347" s="518"/>
      <c r="V347" s="518"/>
      <c r="W347" s="518"/>
      <c r="X347" s="518"/>
      <c r="Y347" s="518"/>
      <c r="Z347" s="518"/>
      <c r="AA347" s="518"/>
      <c r="AB347" s="518"/>
      <c r="AC347" s="518"/>
      <c r="AD347" s="518"/>
      <c r="AE347" s="518"/>
      <c r="AF347" s="518"/>
      <c r="AG347" s="518"/>
      <c r="AH347" s="518"/>
      <c r="AI347" s="518"/>
      <c r="AJ347" s="518"/>
      <c r="AK347" s="518"/>
      <c r="AL347" s="518"/>
      <c r="AM347" s="518"/>
      <c r="AN347" s="518"/>
      <c r="AO347" s="518"/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</row>
    <row r="348" spans="1:57" ht="12.75" customHeight="1">
      <c r="A348" s="518"/>
      <c r="B348" s="518"/>
      <c r="C348" s="518"/>
      <c r="D348" s="518"/>
      <c r="E348" s="518"/>
      <c r="F348" s="518"/>
      <c r="G348" s="518"/>
      <c r="H348" s="518"/>
      <c r="I348" s="518"/>
      <c r="J348" s="518"/>
      <c r="K348" s="518"/>
      <c r="L348" s="518"/>
      <c r="M348" s="518"/>
      <c r="N348" s="518"/>
      <c r="O348" s="518"/>
      <c r="P348" s="518"/>
      <c r="Q348" s="518"/>
      <c r="R348" s="518"/>
      <c r="S348" s="518"/>
      <c r="T348" s="518"/>
      <c r="U348" s="518"/>
      <c r="V348" s="518"/>
      <c r="W348" s="518"/>
      <c r="X348" s="518"/>
      <c r="Y348" s="518"/>
      <c r="Z348" s="518"/>
      <c r="AA348" s="518"/>
      <c r="AB348" s="518"/>
      <c r="AC348" s="518"/>
      <c r="AD348" s="518"/>
      <c r="AE348" s="518"/>
      <c r="AF348" s="518"/>
      <c r="AG348" s="518"/>
      <c r="AH348" s="518"/>
      <c r="AI348" s="518"/>
      <c r="AJ348" s="518"/>
      <c r="AK348" s="518"/>
      <c r="AL348" s="518"/>
      <c r="AM348" s="518"/>
      <c r="AN348" s="518"/>
      <c r="AO348" s="518"/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</row>
    <row r="349" spans="1:57" ht="12.75" customHeight="1">
      <c r="A349" s="518"/>
      <c r="B349" s="518"/>
      <c r="C349" s="518"/>
      <c r="D349" s="518"/>
      <c r="E349" s="518"/>
      <c r="F349" s="518"/>
      <c r="G349" s="518"/>
      <c r="H349" s="518"/>
      <c r="I349" s="518"/>
      <c r="J349" s="518"/>
      <c r="K349" s="518"/>
      <c r="L349" s="518"/>
      <c r="M349" s="518"/>
      <c r="N349" s="518"/>
      <c r="O349" s="518"/>
      <c r="P349" s="518"/>
      <c r="Q349" s="518"/>
      <c r="R349" s="518"/>
      <c r="S349" s="518"/>
      <c r="T349" s="518"/>
      <c r="U349" s="518"/>
      <c r="V349" s="518"/>
      <c r="W349" s="518"/>
      <c r="X349" s="518"/>
      <c r="Y349" s="518"/>
      <c r="Z349" s="518"/>
      <c r="AA349" s="518"/>
      <c r="AB349" s="518"/>
      <c r="AC349" s="518"/>
      <c r="AD349" s="518"/>
      <c r="AE349" s="518"/>
      <c r="AF349" s="518"/>
      <c r="AG349" s="518"/>
      <c r="AH349" s="518"/>
      <c r="AI349" s="518"/>
      <c r="AJ349" s="518"/>
      <c r="AK349" s="518"/>
      <c r="AL349" s="518"/>
      <c r="AM349" s="518"/>
      <c r="AN349" s="518"/>
      <c r="AO349" s="518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</row>
    <row r="350" spans="1:57" ht="12.75" customHeight="1">
      <c r="A350" s="518"/>
      <c r="B350" s="518"/>
      <c r="C350" s="518"/>
      <c r="D350" s="518"/>
      <c r="E350" s="518"/>
      <c r="F350" s="518"/>
      <c r="G350" s="518"/>
      <c r="H350" s="518"/>
      <c r="I350" s="518"/>
      <c r="J350" s="518"/>
      <c r="K350" s="518"/>
      <c r="L350" s="518"/>
      <c r="M350" s="518"/>
      <c r="N350" s="518"/>
      <c r="O350" s="518"/>
      <c r="P350" s="518"/>
      <c r="Q350" s="518"/>
      <c r="R350" s="518"/>
      <c r="S350" s="518"/>
      <c r="T350" s="518"/>
      <c r="U350" s="518"/>
      <c r="V350" s="518"/>
      <c r="W350" s="518"/>
      <c r="X350" s="518"/>
      <c r="Y350" s="518"/>
      <c r="Z350" s="518"/>
      <c r="AA350" s="518"/>
      <c r="AB350" s="518"/>
      <c r="AC350" s="518"/>
      <c r="AD350" s="518"/>
      <c r="AE350" s="518"/>
      <c r="AF350" s="518"/>
      <c r="AG350" s="518"/>
      <c r="AH350" s="518"/>
      <c r="AI350" s="518"/>
      <c r="AJ350" s="518"/>
      <c r="AK350" s="518"/>
      <c r="AL350" s="518"/>
      <c r="AM350" s="518"/>
      <c r="AN350" s="518"/>
      <c r="AO350" s="518"/>
      <c r="AP350" s="518"/>
      <c r="AQ350" s="518"/>
      <c r="AR350" s="518"/>
      <c r="AS350" s="518"/>
      <c r="AT350" s="518"/>
      <c r="AU350" s="518"/>
      <c r="AV350" s="518"/>
      <c r="AW350" s="518"/>
      <c r="AX350" s="518"/>
      <c r="AY350" s="518"/>
      <c r="AZ350" s="518"/>
      <c r="BA350" s="518"/>
      <c r="BB350" s="518"/>
      <c r="BC350" s="518"/>
      <c r="BD350" s="518"/>
      <c r="BE350" s="518"/>
    </row>
    <row r="351" spans="1:57" ht="12.75" customHeight="1">
      <c r="A351" s="518"/>
      <c r="B351" s="518"/>
      <c r="C351" s="518"/>
      <c r="D351" s="518"/>
      <c r="E351" s="518"/>
      <c r="F351" s="518"/>
      <c r="G351" s="518"/>
      <c r="H351" s="518"/>
      <c r="I351" s="518"/>
      <c r="J351" s="518"/>
      <c r="K351" s="518"/>
      <c r="L351" s="518"/>
      <c r="M351" s="518"/>
      <c r="N351" s="518"/>
      <c r="O351" s="518"/>
      <c r="P351" s="518"/>
      <c r="Q351" s="518"/>
      <c r="R351" s="518"/>
      <c r="S351" s="518"/>
      <c r="T351" s="518"/>
      <c r="U351" s="518"/>
      <c r="V351" s="518"/>
      <c r="W351" s="518"/>
      <c r="X351" s="518"/>
      <c r="Y351" s="518"/>
      <c r="Z351" s="518"/>
      <c r="AA351" s="518"/>
      <c r="AB351" s="518"/>
      <c r="AC351" s="518"/>
      <c r="AD351" s="518"/>
      <c r="AE351" s="518"/>
      <c r="AF351" s="518"/>
      <c r="AG351" s="518"/>
      <c r="AH351" s="518"/>
      <c r="AI351" s="518"/>
      <c r="AJ351" s="518"/>
      <c r="AK351" s="518"/>
      <c r="AL351" s="518"/>
      <c r="AM351" s="518"/>
      <c r="AN351" s="518"/>
      <c r="AO351" s="518"/>
      <c r="AP351" s="518"/>
      <c r="AQ351" s="518"/>
      <c r="AR351" s="518"/>
      <c r="AS351" s="518"/>
      <c r="AT351" s="518"/>
      <c r="AU351" s="518"/>
      <c r="AV351" s="518"/>
      <c r="AW351" s="518"/>
      <c r="AX351" s="518"/>
      <c r="AY351" s="518"/>
      <c r="AZ351" s="518"/>
      <c r="BA351" s="518"/>
      <c r="BB351" s="518"/>
      <c r="BC351" s="518"/>
      <c r="BD351" s="518"/>
      <c r="BE351" s="518"/>
    </row>
    <row r="352" spans="1:57" ht="12.75" customHeight="1">
      <c r="A352" s="518"/>
      <c r="B352" s="518"/>
      <c r="C352" s="518"/>
      <c r="D352" s="518"/>
      <c r="E352" s="518"/>
      <c r="F352" s="518"/>
      <c r="G352" s="518"/>
      <c r="H352" s="518"/>
      <c r="I352" s="518"/>
      <c r="J352" s="518"/>
      <c r="K352" s="518"/>
      <c r="L352" s="518"/>
      <c r="M352" s="518"/>
      <c r="N352" s="518"/>
      <c r="O352" s="518"/>
      <c r="P352" s="518"/>
      <c r="Q352" s="518"/>
      <c r="R352" s="518"/>
      <c r="S352" s="518"/>
      <c r="T352" s="518"/>
      <c r="U352" s="518"/>
      <c r="V352" s="518"/>
      <c r="W352" s="518"/>
      <c r="X352" s="518"/>
      <c r="Y352" s="518"/>
      <c r="Z352" s="518"/>
      <c r="AA352" s="518"/>
      <c r="AB352" s="518"/>
      <c r="AC352" s="518"/>
      <c r="AD352" s="518"/>
      <c r="AE352" s="518"/>
      <c r="AF352" s="518"/>
      <c r="AG352" s="518"/>
      <c r="AH352" s="518"/>
      <c r="AI352" s="518"/>
      <c r="AJ352" s="518"/>
      <c r="AK352" s="518"/>
      <c r="AL352" s="518"/>
      <c r="AM352" s="518"/>
      <c r="AN352" s="518"/>
      <c r="AO352" s="518"/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</row>
    <row r="353" spans="1:57" ht="12.75" customHeight="1">
      <c r="A353" s="518"/>
      <c r="B353" s="518"/>
      <c r="C353" s="518"/>
      <c r="D353" s="518"/>
      <c r="E353" s="518"/>
      <c r="F353" s="518"/>
      <c r="G353" s="518"/>
      <c r="H353" s="518"/>
      <c r="I353" s="518"/>
      <c r="J353" s="518"/>
      <c r="K353" s="518"/>
      <c r="L353" s="518"/>
      <c r="M353" s="518"/>
      <c r="N353" s="518"/>
      <c r="O353" s="518"/>
      <c r="P353" s="518"/>
      <c r="Q353" s="518"/>
      <c r="R353" s="518"/>
      <c r="S353" s="518"/>
      <c r="T353" s="518"/>
      <c r="U353" s="518"/>
      <c r="V353" s="518"/>
      <c r="W353" s="518"/>
      <c r="X353" s="518"/>
      <c r="Y353" s="518"/>
      <c r="Z353" s="518"/>
      <c r="AA353" s="518"/>
      <c r="AB353" s="518"/>
      <c r="AC353" s="518"/>
      <c r="AD353" s="518"/>
      <c r="AE353" s="518"/>
      <c r="AF353" s="518"/>
      <c r="AG353" s="518"/>
      <c r="AH353" s="518"/>
      <c r="AI353" s="518"/>
      <c r="AJ353" s="518"/>
      <c r="AK353" s="518"/>
      <c r="AL353" s="518"/>
      <c r="AM353" s="518"/>
      <c r="AN353" s="518"/>
      <c r="AO353" s="518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</row>
    <row r="354" spans="1:57" ht="12.75" customHeight="1">
      <c r="A354" s="518"/>
      <c r="B354" s="518"/>
      <c r="C354" s="518"/>
      <c r="D354" s="518"/>
      <c r="E354" s="518"/>
      <c r="F354" s="518"/>
      <c r="G354" s="518"/>
      <c r="H354" s="518"/>
      <c r="I354" s="518"/>
      <c r="J354" s="518"/>
      <c r="K354" s="518"/>
      <c r="L354" s="518"/>
      <c r="M354" s="518"/>
      <c r="N354" s="518"/>
      <c r="O354" s="518"/>
      <c r="P354" s="518"/>
      <c r="Q354" s="518"/>
      <c r="R354" s="518"/>
      <c r="S354" s="518"/>
      <c r="T354" s="518"/>
      <c r="U354" s="518"/>
      <c r="V354" s="518"/>
      <c r="W354" s="518"/>
      <c r="X354" s="518"/>
      <c r="Y354" s="518"/>
      <c r="Z354" s="518"/>
      <c r="AA354" s="518"/>
      <c r="AB354" s="518"/>
      <c r="AC354" s="518"/>
      <c r="AD354" s="518"/>
      <c r="AE354" s="518"/>
      <c r="AF354" s="518"/>
      <c r="AG354" s="518"/>
      <c r="AH354" s="518"/>
      <c r="AI354" s="518"/>
      <c r="AJ354" s="518"/>
      <c r="AK354" s="518"/>
      <c r="AL354" s="518"/>
      <c r="AM354" s="518"/>
      <c r="AN354" s="518"/>
      <c r="AO354" s="518"/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</row>
    <row r="355" spans="1:57" ht="12.75" customHeight="1">
      <c r="A355" s="518"/>
      <c r="B355" s="518"/>
      <c r="C355" s="518"/>
      <c r="D355" s="518"/>
      <c r="E355" s="518"/>
      <c r="F355" s="518"/>
      <c r="G355" s="518"/>
      <c r="H355" s="518"/>
      <c r="I355" s="518"/>
      <c r="J355" s="518"/>
      <c r="K355" s="518"/>
      <c r="L355" s="518"/>
      <c r="M355" s="518"/>
      <c r="N355" s="518"/>
      <c r="O355" s="518"/>
      <c r="P355" s="518"/>
      <c r="Q355" s="518"/>
      <c r="R355" s="518"/>
      <c r="S355" s="518"/>
      <c r="T355" s="518"/>
      <c r="U355" s="518"/>
      <c r="V355" s="518"/>
      <c r="W355" s="518"/>
      <c r="X355" s="518"/>
      <c r="Y355" s="518"/>
      <c r="Z355" s="518"/>
      <c r="AA355" s="518"/>
      <c r="AB355" s="518"/>
      <c r="AC355" s="518"/>
      <c r="AD355" s="518"/>
      <c r="AE355" s="518"/>
      <c r="AF355" s="518"/>
      <c r="AG355" s="518"/>
      <c r="AH355" s="518"/>
      <c r="AI355" s="518"/>
      <c r="AJ355" s="518"/>
      <c r="AK355" s="518"/>
      <c r="AL355" s="518"/>
      <c r="AM355" s="518"/>
      <c r="AN355" s="518"/>
      <c r="AO355" s="518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</row>
    <row r="356" spans="1:57" ht="12.75" customHeight="1">
      <c r="A356" s="518"/>
      <c r="B356" s="518"/>
      <c r="C356" s="518"/>
      <c r="D356" s="518"/>
      <c r="E356" s="518"/>
      <c r="F356" s="518"/>
      <c r="G356" s="518"/>
      <c r="H356" s="518"/>
      <c r="I356" s="518"/>
      <c r="J356" s="518"/>
      <c r="K356" s="518"/>
      <c r="L356" s="518"/>
      <c r="M356" s="518"/>
      <c r="N356" s="518"/>
      <c r="O356" s="518"/>
      <c r="P356" s="518"/>
      <c r="Q356" s="518"/>
      <c r="R356" s="518"/>
      <c r="S356" s="518"/>
      <c r="T356" s="518"/>
      <c r="U356" s="518"/>
      <c r="V356" s="518"/>
      <c r="W356" s="518"/>
      <c r="X356" s="518"/>
      <c r="Y356" s="518"/>
      <c r="Z356" s="518"/>
      <c r="AA356" s="518"/>
      <c r="AB356" s="518"/>
      <c r="AC356" s="518"/>
      <c r="AD356" s="518"/>
      <c r="AE356" s="518"/>
      <c r="AF356" s="518"/>
      <c r="AG356" s="518"/>
      <c r="AH356" s="518"/>
      <c r="AI356" s="518"/>
      <c r="AJ356" s="518"/>
      <c r="AK356" s="518"/>
      <c r="AL356" s="518"/>
      <c r="AM356" s="518"/>
      <c r="AN356" s="518"/>
      <c r="AO356" s="518"/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</row>
    <row r="357" spans="1:57" ht="12.75" customHeight="1">
      <c r="A357" s="518"/>
      <c r="B357" s="518"/>
      <c r="C357" s="518"/>
      <c r="D357" s="518"/>
      <c r="E357" s="518"/>
      <c r="F357" s="518"/>
      <c r="G357" s="518"/>
      <c r="H357" s="518"/>
      <c r="I357" s="518"/>
      <c r="J357" s="518"/>
      <c r="K357" s="518"/>
      <c r="L357" s="518"/>
      <c r="M357" s="518"/>
      <c r="N357" s="518"/>
      <c r="O357" s="518"/>
      <c r="P357" s="518"/>
      <c r="Q357" s="518"/>
      <c r="R357" s="518"/>
      <c r="S357" s="518"/>
      <c r="T357" s="518"/>
      <c r="U357" s="518"/>
      <c r="V357" s="518"/>
      <c r="W357" s="518"/>
      <c r="X357" s="518"/>
      <c r="Y357" s="518"/>
      <c r="Z357" s="518"/>
      <c r="AA357" s="518"/>
      <c r="AB357" s="518"/>
      <c r="AC357" s="518"/>
      <c r="AD357" s="518"/>
      <c r="AE357" s="518"/>
      <c r="AF357" s="518"/>
      <c r="AG357" s="518"/>
      <c r="AH357" s="518"/>
      <c r="AI357" s="518"/>
      <c r="AJ357" s="518"/>
      <c r="AK357" s="518"/>
      <c r="AL357" s="518"/>
      <c r="AM357" s="518"/>
      <c r="AN357" s="518"/>
      <c r="AO357" s="518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</row>
    <row r="358" spans="1:57" ht="12.75" customHeight="1">
      <c r="A358" s="518"/>
      <c r="B358" s="518"/>
      <c r="C358" s="518"/>
      <c r="D358" s="518"/>
      <c r="E358" s="518"/>
      <c r="F358" s="518"/>
      <c r="G358" s="518"/>
      <c r="H358" s="518"/>
      <c r="I358" s="518"/>
      <c r="J358" s="518"/>
      <c r="K358" s="518"/>
      <c r="L358" s="518"/>
      <c r="M358" s="518"/>
      <c r="N358" s="518"/>
      <c r="O358" s="518"/>
      <c r="P358" s="518"/>
      <c r="Q358" s="518"/>
      <c r="R358" s="518"/>
      <c r="S358" s="518"/>
      <c r="T358" s="518"/>
      <c r="U358" s="518"/>
      <c r="V358" s="518"/>
      <c r="W358" s="518"/>
      <c r="X358" s="518"/>
      <c r="Y358" s="518"/>
      <c r="Z358" s="518"/>
      <c r="AA358" s="518"/>
      <c r="AB358" s="518"/>
      <c r="AC358" s="518"/>
      <c r="AD358" s="518"/>
      <c r="AE358" s="518"/>
      <c r="AF358" s="518"/>
      <c r="AG358" s="518"/>
      <c r="AH358" s="518"/>
      <c r="AI358" s="518"/>
      <c r="AJ358" s="518"/>
      <c r="AK358" s="518"/>
      <c r="AL358" s="518"/>
      <c r="AM358" s="518"/>
      <c r="AN358" s="518"/>
      <c r="AO358" s="518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</row>
    <row r="359" spans="1:57" ht="12.75" customHeight="1">
      <c r="A359" s="518"/>
      <c r="B359" s="518"/>
      <c r="C359" s="518"/>
      <c r="D359" s="518"/>
      <c r="E359" s="518"/>
      <c r="F359" s="518"/>
      <c r="G359" s="518"/>
      <c r="H359" s="518"/>
      <c r="I359" s="518"/>
      <c r="J359" s="518"/>
      <c r="K359" s="518"/>
      <c r="L359" s="518"/>
      <c r="M359" s="518"/>
      <c r="N359" s="518"/>
      <c r="O359" s="518"/>
      <c r="P359" s="518"/>
      <c r="Q359" s="518"/>
      <c r="R359" s="518"/>
      <c r="S359" s="518"/>
      <c r="T359" s="518"/>
      <c r="U359" s="518"/>
      <c r="V359" s="518"/>
      <c r="W359" s="518"/>
      <c r="X359" s="518"/>
      <c r="Y359" s="518"/>
      <c r="Z359" s="518"/>
      <c r="AA359" s="518"/>
      <c r="AB359" s="518"/>
      <c r="AC359" s="518"/>
      <c r="AD359" s="518"/>
      <c r="AE359" s="518"/>
      <c r="AF359" s="518"/>
      <c r="AG359" s="518"/>
      <c r="AH359" s="518"/>
      <c r="AI359" s="518"/>
      <c r="AJ359" s="518"/>
      <c r="AK359" s="518"/>
      <c r="AL359" s="518"/>
      <c r="AM359" s="518"/>
      <c r="AN359" s="518"/>
      <c r="AO359" s="518"/>
      <c r="AP359" s="518"/>
      <c r="AQ359" s="518"/>
      <c r="AR359" s="518"/>
      <c r="AS359" s="518"/>
      <c r="AT359" s="518"/>
      <c r="AU359" s="518"/>
      <c r="AV359" s="518"/>
      <c r="AW359" s="518"/>
      <c r="AX359" s="518"/>
      <c r="AY359" s="518"/>
      <c r="AZ359" s="518"/>
      <c r="BA359" s="518"/>
      <c r="BB359" s="518"/>
      <c r="BC359" s="518"/>
      <c r="BD359" s="518"/>
      <c r="BE359" s="518"/>
    </row>
    <row r="360" spans="1:57" ht="12.75" customHeight="1">
      <c r="A360" s="518"/>
      <c r="B360" s="518"/>
      <c r="C360" s="518"/>
      <c r="D360" s="518"/>
      <c r="E360" s="518"/>
      <c r="F360" s="518"/>
      <c r="G360" s="518"/>
      <c r="H360" s="518"/>
      <c r="I360" s="518"/>
      <c r="J360" s="518"/>
      <c r="K360" s="518"/>
      <c r="L360" s="518"/>
      <c r="M360" s="518"/>
      <c r="N360" s="518"/>
      <c r="O360" s="518"/>
      <c r="P360" s="518"/>
      <c r="Q360" s="518"/>
      <c r="R360" s="518"/>
      <c r="S360" s="518"/>
      <c r="T360" s="518"/>
      <c r="U360" s="518"/>
      <c r="V360" s="518"/>
      <c r="W360" s="518"/>
      <c r="X360" s="518"/>
      <c r="Y360" s="518"/>
      <c r="Z360" s="518"/>
      <c r="AA360" s="518"/>
      <c r="AB360" s="518"/>
      <c r="AC360" s="518"/>
      <c r="AD360" s="518"/>
      <c r="AE360" s="518"/>
      <c r="AF360" s="518"/>
      <c r="AG360" s="518"/>
      <c r="AH360" s="518"/>
      <c r="AI360" s="518"/>
      <c r="AJ360" s="518"/>
      <c r="AK360" s="518"/>
      <c r="AL360" s="518"/>
      <c r="AM360" s="518"/>
      <c r="AN360" s="518"/>
      <c r="AO360" s="518"/>
      <c r="AP360" s="518"/>
      <c r="AQ360" s="518"/>
      <c r="AR360" s="518"/>
      <c r="AS360" s="518"/>
      <c r="AT360" s="518"/>
      <c r="AU360" s="518"/>
      <c r="AV360" s="518"/>
      <c r="AW360" s="518"/>
      <c r="AX360" s="518"/>
      <c r="AY360" s="518"/>
      <c r="AZ360" s="518"/>
      <c r="BA360" s="518"/>
      <c r="BB360" s="518"/>
      <c r="BC360" s="518"/>
      <c r="BD360" s="518"/>
      <c r="BE360" s="518"/>
    </row>
    <row r="361" spans="1:57" ht="12.75" customHeight="1">
      <c r="A361" s="518"/>
      <c r="B361" s="518"/>
      <c r="C361" s="518"/>
      <c r="D361" s="518"/>
      <c r="E361" s="518"/>
      <c r="F361" s="518"/>
      <c r="G361" s="518"/>
      <c r="H361" s="518"/>
      <c r="I361" s="518"/>
      <c r="J361" s="518"/>
      <c r="K361" s="518"/>
      <c r="L361" s="518"/>
      <c r="M361" s="518"/>
      <c r="N361" s="518"/>
      <c r="O361" s="518"/>
      <c r="P361" s="518"/>
      <c r="Q361" s="518"/>
      <c r="R361" s="518"/>
      <c r="S361" s="518"/>
      <c r="T361" s="518"/>
      <c r="U361" s="518"/>
      <c r="V361" s="518"/>
      <c r="W361" s="518"/>
      <c r="X361" s="518"/>
      <c r="Y361" s="518"/>
      <c r="Z361" s="518"/>
      <c r="AA361" s="518"/>
      <c r="AB361" s="518"/>
      <c r="AC361" s="518"/>
      <c r="AD361" s="518"/>
      <c r="AE361" s="518"/>
      <c r="AF361" s="518"/>
      <c r="AG361" s="518"/>
      <c r="AH361" s="518"/>
      <c r="AI361" s="518"/>
      <c r="AJ361" s="518"/>
      <c r="AK361" s="518"/>
      <c r="AL361" s="518"/>
      <c r="AM361" s="518"/>
      <c r="AN361" s="518"/>
      <c r="AO361" s="518"/>
      <c r="AP361" s="518"/>
      <c r="AQ361" s="518"/>
      <c r="AR361" s="518"/>
      <c r="AS361" s="518"/>
      <c r="AT361" s="518"/>
      <c r="AU361" s="518"/>
      <c r="AV361" s="518"/>
      <c r="AW361" s="518"/>
      <c r="AX361" s="518"/>
      <c r="AY361" s="518"/>
      <c r="AZ361" s="518"/>
      <c r="BA361" s="518"/>
      <c r="BB361" s="518"/>
      <c r="BC361" s="518"/>
      <c r="BD361" s="518"/>
      <c r="BE361" s="518"/>
    </row>
    <row r="362" spans="1:57" ht="12.75" customHeight="1">
      <c r="A362" s="518"/>
      <c r="B362" s="518"/>
      <c r="C362" s="518"/>
      <c r="D362" s="518"/>
      <c r="E362" s="518"/>
      <c r="F362" s="518"/>
      <c r="G362" s="518"/>
      <c r="H362" s="518"/>
      <c r="I362" s="518"/>
      <c r="J362" s="518"/>
      <c r="K362" s="518"/>
      <c r="L362" s="518"/>
      <c r="M362" s="518"/>
      <c r="N362" s="518"/>
      <c r="O362" s="518"/>
      <c r="P362" s="518"/>
      <c r="Q362" s="518"/>
      <c r="R362" s="518"/>
      <c r="S362" s="518"/>
      <c r="T362" s="518"/>
      <c r="U362" s="518"/>
      <c r="V362" s="518"/>
      <c r="W362" s="518"/>
      <c r="X362" s="518"/>
      <c r="Y362" s="518"/>
      <c r="Z362" s="518"/>
      <c r="AA362" s="518"/>
      <c r="AB362" s="518"/>
      <c r="AC362" s="518"/>
      <c r="AD362" s="518"/>
      <c r="AE362" s="518"/>
      <c r="AF362" s="518"/>
      <c r="AG362" s="518"/>
      <c r="AH362" s="518"/>
      <c r="AI362" s="518"/>
      <c r="AJ362" s="518"/>
      <c r="AK362" s="518"/>
      <c r="AL362" s="518"/>
      <c r="AM362" s="518"/>
      <c r="AN362" s="518"/>
      <c r="AO362" s="518"/>
      <c r="AP362" s="518"/>
      <c r="AQ362" s="518"/>
      <c r="AR362" s="518"/>
      <c r="AS362" s="518"/>
      <c r="AT362" s="518"/>
      <c r="AU362" s="518"/>
      <c r="AV362" s="518"/>
      <c r="AW362" s="518"/>
      <c r="AX362" s="518"/>
      <c r="AY362" s="518"/>
      <c r="AZ362" s="518"/>
      <c r="BA362" s="518"/>
      <c r="BB362" s="518"/>
      <c r="BC362" s="518"/>
      <c r="BD362" s="518"/>
      <c r="BE362" s="518"/>
    </row>
    <row r="363" spans="1:57" ht="12.75" customHeight="1">
      <c r="A363" s="518"/>
      <c r="B363" s="518"/>
      <c r="C363" s="518"/>
      <c r="D363" s="518"/>
      <c r="E363" s="518"/>
      <c r="F363" s="518"/>
      <c r="G363" s="518"/>
      <c r="H363" s="518"/>
      <c r="I363" s="518"/>
      <c r="J363" s="518"/>
      <c r="K363" s="518"/>
      <c r="L363" s="518"/>
      <c r="M363" s="518"/>
      <c r="N363" s="518"/>
      <c r="O363" s="518"/>
      <c r="P363" s="518"/>
      <c r="Q363" s="518"/>
      <c r="R363" s="518"/>
      <c r="S363" s="518"/>
      <c r="T363" s="518"/>
      <c r="U363" s="518"/>
      <c r="V363" s="518"/>
      <c r="W363" s="518"/>
      <c r="X363" s="518"/>
      <c r="Y363" s="518"/>
      <c r="Z363" s="518"/>
      <c r="AA363" s="518"/>
      <c r="AB363" s="518"/>
      <c r="AC363" s="518"/>
      <c r="AD363" s="518"/>
      <c r="AE363" s="518"/>
      <c r="AF363" s="518"/>
      <c r="AG363" s="518"/>
      <c r="AH363" s="518"/>
      <c r="AI363" s="518"/>
      <c r="AJ363" s="518"/>
      <c r="AK363" s="518"/>
      <c r="AL363" s="518"/>
      <c r="AM363" s="518"/>
      <c r="AN363" s="518"/>
      <c r="AO363" s="518"/>
      <c r="AP363" s="518"/>
      <c r="AQ363" s="518"/>
      <c r="AR363" s="518"/>
      <c r="AS363" s="518"/>
      <c r="AT363" s="518"/>
      <c r="AU363" s="518"/>
      <c r="AV363" s="518"/>
      <c r="AW363" s="518"/>
      <c r="AX363" s="518"/>
      <c r="AY363" s="518"/>
      <c r="AZ363" s="518"/>
      <c r="BA363" s="518"/>
      <c r="BB363" s="518"/>
      <c r="BC363" s="518"/>
      <c r="BD363" s="518"/>
      <c r="BE363" s="518"/>
    </row>
    <row r="364" spans="1:57" ht="12.75" customHeight="1">
      <c r="A364" s="518"/>
      <c r="B364" s="518"/>
      <c r="C364" s="518"/>
      <c r="D364" s="518"/>
      <c r="E364" s="518"/>
      <c r="F364" s="518"/>
      <c r="G364" s="518"/>
      <c r="H364" s="518"/>
      <c r="I364" s="518"/>
      <c r="J364" s="518"/>
      <c r="K364" s="518"/>
      <c r="L364" s="518"/>
      <c r="M364" s="518"/>
      <c r="N364" s="518"/>
      <c r="O364" s="518"/>
      <c r="P364" s="518"/>
      <c r="Q364" s="518"/>
      <c r="R364" s="518"/>
      <c r="S364" s="518"/>
      <c r="T364" s="518"/>
      <c r="U364" s="518"/>
      <c r="V364" s="518"/>
      <c r="W364" s="518"/>
      <c r="X364" s="518"/>
      <c r="Y364" s="518"/>
      <c r="Z364" s="518"/>
      <c r="AA364" s="518"/>
      <c r="AB364" s="518"/>
      <c r="AC364" s="518"/>
      <c r="AD364" s="518"/>
      <c r="AE364" s="518"/>
      <c r="AF364" s="518"/>
      <c r="AG364" s="518"/>
      <c r="AH364" s="518"/>
      <c r="AI364" s="518"/>
      <c r="AJ364" s="518"/>
      <c r="AK364" s="518"/>
      <c r="AL364" s="518"/>
      <c r="AM364" s="518"/>
      <c r="AN364" s="518"/>
      <c r="AO364" s="518"/>
      <c r="AP364" s="518"/>
      <c r="AQ364" s="518"/>
      <c r="AR364" s="518"/>
      <c r="AS364" s="518"/>
      <c r="AT364" s="518"/>
      <c r="AU364" s="518"/>
      <c r="AV364" s="518"/>
      <c r="AW364" s="518"/>
      <c r="AX364" s="518"/>
      <c r="AY364" s="518"/>
      <c r="AZ364" s="518"/>
      <c r="BA364" s="518"/>
      <c r="BB364" s="518"/>
      <c r="BC364" s="518"/>
      <c r="BD364" s="518"/>
      <c r="BE364" s="518"/>
    </row>
    <row r="365" spans="1:57" ht="12.75" customHeight="1">
      <c r="A365" s="518"/>
      <c r="B365" s="518"/>
      <c r="C365" s="518"/>
      <c r="D365" s="518"/>
      <c r="E365" s="518"/>
      <c r="F365" s="518"/>
      <c r="G365" s="518"/>
      <c r="H365" s="518"/>
      <c r="I365" s="518"/>
      <c r="J365" s="518"/>
      <c r="K365" s="518"/>
      <c r="L365" s="518"/>
      <c r="M365" s="518"/>
      <c r="N365" s="518"/>
      <c r="O365" s="518"/>
      <c r="P365" s="518"/>
      <c r="Q365" s="518"/>
      <c r="R365" s="518"/>
      <c r="S365" s="518"/>
      <c r="T365" s="518"/>
      <c r="U365" s="518"/>
      <c r="V365" s="518"/>
      <c r="W365" s="518"/>
      <c r="X365" s="518"/>
      <c r="Y365" s="518"/>
      <c r="Z365" s="518"/>
      <c r="AA365" s="518"/>
      <c r="AB365" s="518"/>
      <c r="AC365" s="518"/>
      <c r="AD365" s="518"/>
      <c r="AE365" s="518"/>
      <c r="AF365" s="518"/>
      <c r="AG365" s="518"/>
      <c r="AH365" s="518"/>
      <c r="AI365" s="518"/>
      <c r="AJ365" s="518"/>
      <c r="AK365" s="518"/>
      <c r="AL365" s="518"/>
      <c r="AM365" s="518"/>
      <c r="AN365" s="518"/>
      <c r="AO365" s="518"/>
      <c r="AP365" s="518"/>
      <c r="AQ365" s="518"/>
      <c r="AR365" s="518"/>
      <c r="AS365" s="518"/>
      <c r="AT365" s="518"/>
      <c r="AU365" s="518"/>
      <c r="AV365" s="518"/>
      <c r="AW365" s="518"/>
      <c r="AX365" s="518"/>
      <c r="AY365" s="518"/>
      <c r="AZ365" s="518"/>
      <c r="BA365" s="518"/>
      <c r="BB365" s="518"/>
      <c r="BC365" s="518"/>
      <c r="BD365" s="518"/>
      <c r="BE365" s="518"/>
    </row>
    <row r="366" spans="1:57" ht="12.75" customHeight="1">
      <c r="A366" s="518"/>
      <c r="B366" s="518"/>
      <c r="C366" s="518"/>
      <c r="D366" s="518"/>
      <c r="E366" s="518"/>
      <c r="F366" s="518"/>
      <c r="G366" s="518"/>
      <c r="H366" s="518"/>
      <c r="I366" s="518"/>
      <c r="J366" s="518"/>
      <c r="K366" s="518"/>
      <c r="L366" s="518"/>
      <c r="M366" s="518"/>
      <c r="N366" s="518"/>
      <c r="O366" s="518"/>
      <c r="P366" s="518"/>
      <c r="Q366" s="518"/>
      <c r="R366" s="518"/>
      <c r="S366" s="518"/>
      <c r="T366" s="518"/>
      <c r="U366" s="518"/>
      <c r="V366" s="518"/>
      <c r="W366" s="518"/>
      <c r="X366" s="518"/>
      <c r="Y366" s="518"/>
      <c r="Z366" s="518"/>
      <c r="AA366" s="518"/>
      <c r="AB366" s="518"/>
      <c r="AC366" s="518"/>
      <c r="AD366" s="518"/>
      <c r="AE366" s="518"/>
      <c r="AF366" s="518"/>
      <c r="AG366" s="518"/>
      <c r="AH366" s="518"/>
      <c r="AI366" s="518"/>
      <c r="AJ366" s="518"/>
      <c r="AK366" s="518"/>
      <c r="AL366" s="518"/>
      <c r="AM366" s="518"/>
      <c r="AN366" s="518"/>
      <c r="AO366" s="518"/>
      <c r="AP366" s="518"/>
      <c r="AQ366" s="518"/>
      <c r="AR366" s="518"/>
      <c r="AS366" s="518"/>
      <c r="AT366" s="518"/>
      <c r="AU366" s="518"/>
      <c r="AV366" s="518"/>
      <c r="AW366" s="518"/>
      <c r="AX366" s="518"/>
      <c r="AY366" s="518"/>
      <c r="AZ366" s="518"/>
      <c r="BA366" s="518"/>
      <c r="BB366" s="518"/>
      <c r="BC366" s="518"/>
      <c r="BD366" s="518"/>
      <c r="BE366" s="518"/>
    </row>
    <row r="367" spans="1:57" ht="12.75" customHeight="1">
      <c r="A367" s="518"/>
      <c r="B367" s="518"/>
      <c r="C367" s="518"/>
      <c r="D367" s="518"/>
      <c r="E367" s="518"/>
      <c r="F367" s="518"/>
      <c r="G367" s="518"/>
      <c r="H367" s="518"/>
      <c r="I367" s="518"/>
      <c r="J367" s="518"/>
      <c r="K367" s="518"/>
      <c r="L367" s="518"/>
      <c r="M367" s="518"/>
      <c r="N367" s="518"/>
      <c r="O367" s="518"/>
      <c r="P367" s="518"/>
      <c r="Q367" s="518"/>
      <c r="R367" s="518"/>
      <c r="S367" s="518"/>
      <c r="T367" s="518"/>
      <c r="U367" s="518"/>
      <c r="V367" s="518"/>
      <c r="W367" s="518"/>
      <c r="X367" s="518"/>
      <c r="Y367" s="518"/>
      <c r="Z367" s="518"/>
      <c r="AA367" s="518"/>
      <c r="AB367" s="518"/>
      <c r="AC367" s="518"/>
      <c r="AD367" s="518"/>
      <c r="AE367" s="518"/>
      <c r="AF367" s="518"/>
      <c r="AG367" s="518"/>
      <c r="AH367" s="518"/>
      <c r="AI367" s="518"/>
      <c r="AJ367" s="518"/>
      <c r="AK367" s="518"/>
      <c r="AL367" s="518"/>
      <c r="AM367" s="518"/>
      <c r="AN367" s="518"/>
      <c r="AO367" s="518"/>
      <c r="AP367" s="518"/>
      <c r="AQ367" s="518"/>
      <c r="AR367" s="518"/>
      <c r="AS367" s="518"/>
      <c r="AT367" s="518"/>
      <c r="AU367" s="518"/>
      <c r="AV367" s="518"/>
      <c r="AW367" s="518"/>
      <c r="AX367" s="518"/>
      <c r="AY367" s="518"/>
      <c r="AZ367" s="518"/>
      <c r="BA367" s="518"/>
      <c r="BB367" s="518"/>
      <c r="BC367" s="518"/>
      <c r="BD367" s="518"/>
      <c r="BE367" s="518"/>
    </row>
    <row r="368" spans="1:57" ht="12.75" customHeight="1">
      <c r="A368" s="518"/>
      <c r="B368" s="518"/>
      <c r="C368" s="518"/>
      <c r="D368" s="518"/>
      <c r="E368" s="518"/>
      <c r="F368" s="518"/>
      <c r="G368" s="518"/>
      <c r="H368" s="518"/>
      <c r="I368" s="518"/>
      <c r="J368" s="518"/>
      <c r="K368" s="518"/>
      <c r="L368" s="518"/>
      <c r="M368" s="518"/>
      <c r="N368" s="518"/>
      <c r="O368" s="518"/>
      <c r="P368" s="518"/>
      <c r="Q368" s="518"/>
      <c r="R368" s="518"/>
      <c r="S368" s="518"/>
      <c r="T368" s="518"/>
      <c r="U368" s="518"/>
      <c r="V368" s="518"/>
      <c r="W368" s="518"/>
      <c r="X368" s="518"/>
      <c r="Y368" s="518"/>
      <c r="Z368" s="518"/>
      <c r="AA368" s="518"/>
      <c r="AB368" s="518"/>
      <c r="AC368" s="518"/>
      <c r="AD368" s="518"/>
      <c r="AE368" s="518"/>
      <c r="AF368" s="518"/>
      <c r="AG368" s="518"/>
      <c r="AH368" s="518"/>
      <c r="AI368" s="518"/>
      <c r="AJ368" s="518"/>
      <c r="AK368" s="518"/>
      <c r="AL368" s="518"/>
      <c r="AM368" s="518"/>
      <c r="AN368" s="518"/>
      <c r="AO368" s="518"/>
      <c r="AP368" s="518"/>
      <c r="AQ368" s="518"/>
      <c r="AR368" s="518"/>
      <c r="AS368" s="518"/>
      <c r="AT368" s="518"/>
      <c r="AU368" s="518"/>
      <c r="AV368" s="518"/>
      <c r="AW368" s="518"/>
      <c r="AX368" s="518"/>
      <c r="AY368" s="518"/>
      <c r="AZ368" s="518"/>
      <c r="BA368" s="518"/>
      <c r="BB368" s="518"/>
      <c r="BC368" s="518"/>
      <c r="BD368" s="518"/>
      <c r="BE368" s="518"/>
    </row>
    <row r="369" spans="1:57" ht="12.75" customHeight="1">
      <c r="A369" s="518"/>
      <c r="B369" s="518"/>
      <c r="C369" s="518"/>
      <c r="D369" s="518"/>
      <c r="E369" s="518"/>
      <c r="F369" s="518"/>
      <c r="G369" s="518"/>
      <c r="H369" s="518"/>
      <c r="I369" s="518"/>
      <c r="J369" s="518"/>
      <c r="K369" s="518"/>
      <c r="L369" s="518"/>
      <c r="M369" s="518"/>
      <c r="N369" s="518"/>
      <c r="O369" s="518"/>
      <c r="P369" s="518"/>
      <c r="Q369" s="518"/>
      <c r="R369" s="518"/>
      <c r="S369" s="518"/>
      <c r="T369" s="518"/>
      <c r="U369" s="518"/>
      <c r="V369" s="518"/>
      <c r="W369" s="518"/>
      <c r="X369" s="518"/>
      <c r="Y369" s="518"/>
      <c r="Z369" s="518"/>
      <c r="AA369" s="518"/>
      <c r="AB369" s="518"/>
      <c r="AC369" s="518"/>
      <c r="AD369" s="518"/>
      <c r="AE369" s="518"/>
      <c r="AF369" s="518"/>
      <c r="AG369" s="518"/>
      <c r="AH369" s="518"/>
      <c r="AI369" s="518"/>
      <c r="AJ369" s="518"/>
      <c r="AK369" s="518"/>
      <c r="AL369" s="518"/>
      <c r="AM369" s="518"/>
      <c r="AN369" s="518"/>
      <c r="AO369" s="518"/>
      <c r="AP369" s="518"/>
      <c r="AQ369" s="518"/>
      <c r="AR369" s="518"/>
      <c r="AS369" s="518"/>
      <c r="AT369" s="518"/>
      <c r="AU369" s="518"/>
      <c r="AV369" s="518"/>
      <c r="AW369" s="518"/>
      <c r="AX369" s="518"/>
      <c r="AY369" s="518"/>
      <c r="AZ369" s="518"/>
      <c r="BA369" s="518"/>
      <c r="BB369" s="518"/>
      <c r="BC369" s="518"/>
      <c r="BD369" s="518"/>
      <c r="BE369" s="518"/>
    </row>
    <row r="370" spans="1:57" ht="12.75" customHeight="1">
      <c r="A370" s="518"/>
      <c r="B370" s="518"/>
      <c r="C370" s="518"/>
      <c r="D370" s="518"/>
      <c r="E370" s="518"/>
      <c r="F370" s="518"/>
      <c r="G370" s="518"/>
      <c r="H370" s="518"/>
      <c r="I370" s="518"/>
      <c r="J370" s="518"/>
      <c r="K370" s="518"/>
      <c r="L370" s="518"/>
      <c r="M370" s="518"/>
      <c r="N370" s="518"/>
      <c r="O370" s="518"/>
      <c r="P370" s="518"/>
      <c r="Q370" s="518"/>
      <c r="R370" s="518"/>
      <c r="S370" s="518"/>
      <c r="T370" s="518"/>
      <c r="U370" s="518"/>
      <c r="V370" s="518"/>
      <c r="W370" s="518"/>
      <c r="X370" s="518"/>
      <c r="Y370" s="518"/>
      <c r="Z370" s="518"/>
      <c r="AA370" s="518"/>
      <c r="AB370" s="518"/>
      <c r="AC370" s="518"/>
      <c r="AD370" s="518"/>
      <c r="AE370" s="518"/>
      <c r="AF370" s="518"/>
      <c r="AG370" s="518"/>
      <c r="AH370" s="518"/>
      <c r="AI370" s="518"/>
      <c r="AJ370" s="518"/>
      <c r="AK370" s="518"/>
      <c r="AL370" s="518"/>
      <c r="AM370" s="518"/>
      <c r="AN370" s="518"/>
      <c r="AO370" s="518"/>
      <c r="AP370" s="518"/>
      <c r="AQ370" s="518"/>
      <c r="AR370" s="518"/>
      <c r="AS370" s="518"/>
      <c r="AT370" s="518"/>
      <c r="AU370" s="518"/>
      <c r="AV370" s="518"/>
      <c r="AW370" s="518"/>
      <c r="AX370" s="518"/>
      <c r="AY370" s="518"/>
      <c r="AZ370" s="518"/>
      <c r="BA370" s="518"/>
      <c r="BB370" s="518"/>
      <c r="BC370" s="518"/>
      <c r="BD370" s="518"/>
      <c r="BE370" s="518"/>
    </row>
    <row r="371" spans="1:57" ht="12.75" customHeight="1">
      <c r="A371" s="518"/>
      <c r="B371" s="518"/>
      <c r="C371" s="518"/>
      <c r="D371" s="518"/>
      <c r="E371" s="518"/>
      <c r="F371" s="518"/>
      <c r="G371" s="518"/>
      <c r="H371" s="518"/>
      <c r="I371" s="518"/>
      <c r="J371" s="518"/>
      <c r="K371" s="518"/>
      <c r="L371" s="518"/>
      <c r="M371" s="518"/>
      <c r="N371" s="518"/>
      <c r="O371" s="518"/>
      <c r="P371" s="518"/>
      <c r="Q371" s="518"/>
      <c r="R371" s="518"/>
      <c r="S371" s="518"/>
      <c r="T371" s="518"/>
      <c r="U371" s="518"/>
      <c r="V371" s="518"/>
      <c r="W371" s="518"/>
      <c r="X371" s="518"/>
      <c r="Y371" s="518"/>
      <c r="Z371" s="518"/>
      <c r="AA371" s="518"/>
      <c r="AB371" s="518"/>
      <c r="AC371" s="518"/>
      <c r="AD371" s="518"/>
      <c r="AE371" s="518"/>
      <c r="AF371" s="518"/>
      <c r="AG371" s="518"/>
      <c r="AH371" s="518"/>
      <c r="AI371" s="518"/>
      <c r="AJ371" s="518"/>
      <c r="AK371" s="518"/>
      <c r="AL371" s="518"/>
      <c r="AM371" s="518"/>
      <c r="AN371" s="518"/>
      <c r="AO371" s="518"/>
      <c r="AP371" s="518"/>
      <c r="AQ371" s="518"/>
      <c r="AR371" s="518"/>
      <c r="AS371" s="518"/>
      <c r="AT371" s="518"/>
      <c r="AU371" s="518"/>
      <c r="AV371" s="518"/>
      <c r="AW371" s="518"/>
      <c r="AX371" s="518"/>
      <c r="AY371" s="518"/>
      <c r="AZ371" s="518"/>
      <c r="BA371" s="518"/>
      <c r="BB371" s="518"/>
      <c r="BC371" s="518"/>
      <c r="BD371" s="518"/>
      <c r="BE371" s="518"/>
    </row>
    <row r="372" spans="1:57" ht="12.75" customHeight="1">
      <c r="A372" s="518"/>
      <c r="B372" s="518"/>
      <c r="C372" s="518"/>
      <c r="D372" s="518"/>
      <c r="E372" s="518"/>
      <c r="F372" s="518"/>
      <c r="G372" s="518"/>
      <c r="H372" s="518"/>
      <c r="I372" s="518"/>
      <c r="J372" s="518"/>
      <c r="K372" s="518"/>
      <c r="L372" s="518"/>
      <c r="M372" s="518"/>
      <c r="N372" s="518"/>
      <c r="O372" s="518"/>
      <c r="P372" s="518"/>
      <c r="Q372" s="518"/>
      <c r="R372" s="518"/>
      <c r="S372" s="518"/>
      <c r="T372" s="518"/>
      <c r="U372" s="518"/>
      <c r="V372" s="518"/>
      <c r="W372" s="518"/>
      <c r="X372" s="518"/>
      <c r="Y372" s="518"/>
      <c r="Z372" s="518"/>
      <c r="AA372" s="518"/>
      <c r="AB372" s="518"/>
      <c r="AC372" s="518"/>
      <c r="AD372" s="518"/>
      <c r="AE372" s="518"/>
      <c r="AF372" s="518"/>
      <c r="AG372" s="518"/>
      <c r="AH372" s="518"/>
      <c r="AI372" s="518"/>
      <c r="AJ372" s="518"/>
      <c r="AK372" s="518"/>
      <c r="AL372" s="518"/>
      <c r="AM372" s="518"/>
      <c r="AN372" s="518"/>
      <c r="AO372" s="518"/>
      <c r="AP372" s="518"/>
      <c r="AQ372" s="518"/>
      <c r="AR372" s="518"/>
      <c r="AS372" s="518"/>
      <c r="AT372" s="518"/>
      <c r="AU372" s="518"/>
      <c r="AV372" s="518"/>
      <c r="AW372" s="518"/>
      <c r="AX372" s="518"/>
      <c r="AY372" s="518"/>
      <c r="AZ372" s="518"/>
      <c r="BA372" s="518"/>
      <c r="BB372" s="518"/>
      <c r="BC372" s="518"/>
      <c r="BD372" s="518"/>
      <c r="BE372" s="518"/>
    </row>
    <row r="373" spans="1:57" ht="12.75" customHeight="1">
      <c r="A373" s="518"/>
      <c r="B373" s="518"/>
      <c r="C373" s="518"/>
      <c r="D373" s="518"/>
      <c r="E373" s="518"/>
      <c r="F373" s="518"/>
      <c r="G373" s="518"/>
      <c r="H373" s="518"/>
      <c r="I373" s="518"/>
      <c r="J373" s="518"/>
      <c r="K373" s="518"/>
      <c r="L373" s="518"/>
      <c r="M373" s="518"/>
      <c r="N373" s="518"/>
      <c r="O373" s="518"/>
      <c r="P373" s="518"/>
      <c r="Q373" s="518"/>
      <c r="R373" s="518"/>
      <c r="S373" s="518"/>
      <c r="T373" s="518"/>
      <c r="U373" s="518"/>
      <c r="V373" s="518"/>
      <c r="W373" s="518"/>
      <c r="X373" s="518"/>
      <c r="Y373" s="518"/>
      <c r="Z373" s="518"/>
      <c r="AA373" s="518"/>
      <c r="AB373" s="518"/>
      <c r="AC373" s="518"/>
      <c r="AD373" s="518"/>
      <c r="AE373" s="518"/>
      <c r="AF373" s="518"/>
      <c r="AG373" s="518"/>
      <c r="AH373" s="518"/>
      <c r="AI373" s="518"/>
      <c r="AJ373" s="518"/>
      <c r="AK373" s="518"/>
      <c r="AL373" s="518"/>
      <c r="AM373" s="518"/>
      <c r="AN373" s="518"/>
      <c r="AO373" s="518"/>
      <c r="AP373" s="518"/>
      <c r="AQ373" s="518"/>
      <c r="AR373" s="518"/>
      <c r="AS373" s="518"/>
      <c r="AT373" s="518"/>
      <c r="AU373" s="518"/>
      <c r="AV373" s="518"/>
      <c r="AW373" s="518"/>
      <c r="AX373" s="518"/>
      <c r="AY373" s="518"/>
      <c r="AZ373" s="518"/>
      <c r="BA373" s="518"/>
      <c r="BB373" s="518"/>
      <c r="BC373" s="518"/>
      <c r="BD373" s="518"/>
      <c r="BE373" s="518"/>
    </row>
    <row r="374" spans="1:57" ht="12.75" customHeight="1">
      <c r="A374" s="518"/>
      <c r="B374" s="518"/>
      <c r="C374" s="518"/>
      <c r="D374" s="518"/>
      <c r="E374" s="518"/>
      <c r="F374" s="518"/>
      <c r="G374" s="518"/>
      <c r="H374" s="518"/>
      <c r="I374" s="518"/>
      <c r="J374" s="518"/>
      <c r="K374" s="518"/>
      <c r="L374" s="518"/>
      <c r="M374" s="518"/>
      <c r="N374" s="518"/>
      <c r="O374" s="518"/>
      <c r="P374" s="518"/>
      <c r="Q374" s="518"/>
      <c r="R374" s="518"/>
      <c r="S374" s="518"/>
      <c r="T374" s="518"/>
      <c r="U374" s="518"/>
      <c r="V374" s="518"/>
      <c r="W374" s="518"/>
      <c r="X374" s="518"/>
      <c r="Y374" s="518"/>
      <c r="Z374" s="518"/>
      <c r="AA374" s="518"/>
      <c r="AB374" s="518"/>
      <c r="AC374" s="518"/>
      <c r="AD374" s="518"/>
      <c r="AE374" s="518"/>
      <c r="AF374" s="518"/>
      <c r="AG374" s="518"/>
      <c r="AH374" s="518"/>
      <c r="AI374" s="518"/>
      <c r="AJ374" s="518"/>
      <c r="AK374" s="518"/>
      <c r="AL374" s="518"/>
      <c r="AM374" s="518"/>
      <c r="AN374" s="518"/>
      <c r="AO374" s="518"/>
      <c r="AP374" s="518"/>
      <c r="AQ374" s="518"/>
      <c r="AR374" s="518"/>
      <c r="AS374" s="518"/>
      <c r="AT374" s="518"/>
      <c r="AU374" s="518"/>
      <c r="AV374" s="518"/>
      <c r="AW374" s="518"/>
      <c r="AX374" s="518"/>
      <c r="AY374" s="518"/>
      <c r="AZ374" s="518"/>
      <c r="BA374" s="518"/>
      <c r="BB374" s="518"/>
      <c r="BC374" s="518"/>
      <c r="BD374" s="518"/>
      <c r="BE374" s="518"/>
    </row>
    <row r="375" spans="1:57" ht="12.75" customHeight="1">
      <c r="A375" s="518"/>
      <c r="B375" s="518"/>
      <c r="C375" s="518"/>
      <c r="D375" s="518"/>
      <c r="E375" s="518"/>
      <c r="F375" s="518"/>
      <c r="G375" s="518"/>
      <c r="H375" s="518"/>
      <c r="I375" s="518"/>
      <c r="J375" s="518"/>
      <c r="K375" s="518"/>
      <c r="L375" s="518"/>
      <c r="M375" s="518"/>
      <c r="N375" s="518"/>
      <c r="O375" s="518"/>
      <c r="P375" s="518"/>
      <c r="Q375" s="518"/>
      <c r="R375" s="518"/>
      <c r="S375" s="518"/>
      <c r="T375" s="518"/>
      <c r="U375" s="518"/>
      <c r="V375" s="518"/>
      <c r="W375" s="518"/>
      <c r="X375" s="518"/>
      <c r="Y375" s="518"/>
      <c r="Z375" s="518"/>
      <c r="AA375" s="518"/>
      <c r="AB375" s="518"/>
      <c r="AC375" s="518"/>
      <c r="AD375" s="518"/>
      <c r="AE375" s="518"/>
      <c r="AF375" s="518"/>
      <c r="AG375" s="518"/>
      <c r="AH375" s="518"/>
      <c r="AI375" s="518"/>
      <c r="AJ375" s="518"/>
      <c r="AK375" s="518"/>
      <c r="AL375" s="518"/>
      <c r="AM375" s="518"/>
      <c r="AN375" s="518"/>
      <c r="AO375" s="518"/>
      <c r="AP375" s="518"/>
      <c r="AQ375" s="518"/>
      <c r="AR375" s="518"/>
      <c r="AS375" s="518"/>
      <c r="AT375" s="518"/>
      <c r="AU375" s="518"/>
      <c r="AV375" s="518"/>
      <c r="AW375" s="518"/>
      <c r="AX375" s="518"/>
      <c r="AY375" s="518"/>
      <c r="AZ375" s="518"/>
      <c r="BA375" s="518"/>
      <c r="BB375" s="518"/>
      <c r="BC375" s="518"/>
      <c r="BD375" s="518"/>
      <c r="BE375" s="518"/>
    </row>
    <row r="376" spans="1:57" ht="12.75" customHeight="1">
      <c r="A376" s="518"/>
      <c r="B376" s="518"/>
      <c r="C376" s="518"/>
      <c r="D376" s="518"/>
      <c r="E376" s="518"/>
      <c r="F376" s="518"/>
      <c r="G376" s="518"/>
      <c r="H376" s="518"/>
      <c r="I376" s="518"/>
      <c r="J376" s="518"/>
      <c r="K376" s="518"/>
      <c r="L376" s="518"/>
      <c r="M376" s="518"/>
      <c r="N376" s="518"/>
      <c r="O376" s="518"/>
      <c r="P376" s="518"/>
      <c r="Q376" s="518"/>
      <c r="R376" s="518"/>
      <c r="S376" s="518"/>
      <c r="T376" s="518"/>
      <c r="U376" s="518"/>
      <c r="V376" s="518"/>
      <c r="W376" s="518"/>
      <c r="X376" s="518"/>
      <c r="Y376" s="518"/>
      <c r="Z376" s="518"/>
      <c r="AA376" s="518"/>
      <c r="AB376" s="518"/>
      <c r="AC376" s="518"/>
      <c r="AD376" s="518"/>
      <c r="AE376" s="518"/>
      <c r="AF376" s="518"/>
      <c r="AG376" s="518"/>
      <c r="AH376" s="518"/>
      <c r="AI376" s="518"/>
      <c r="AJ376" s="518"/>
      <c r="AK376" s="518"/>
      <c r="AL376" s="518"/>
      <c r="AM376" s="518"/>
      <c r="AN376" s="518"/>
      <c r="AO376" s="518"/>
      <c r="AP376" s="518"/>
      <c r="AQ376" s="518"/>
      <c r="AR376" s="518"/>
      <c r="AS376" s="518"/>
      <c r="AT376" s="518"/>
      <c r="AU376" s="518"/>
      <c r="AV376" s="518"/>
      <c r="AW376" s="518"/>
      <c r="AX376" s="518"/>
      <c r="AY376" s="518"/>
      <c r="AZ376" s="518"/>
      <c r="BA376" s="518"/>
      <c r="BB376" s="518"/>
      <c r="BC376" s="518"/>
      <c r="BD376" s="518"/>
      <c r="BE376" s="518"/>
    </row>
    <row r="377" spans="1:57" ht="12.75" customHeight="1">
      <c r="A377" s="518"/>
      <c r="B377" s="518"/>
      <c r="C377" s="518"/>
      <c r="D377" s="518"/>
      <c r="E377" s="518"/>
      <c r="F377" s="518"/>
      <c r="G377" s="518"/>
      <c r="H377" s="518"/>
      <c r="I377" s="518"/>
      <c r="J377" s="518"/>
      <c r="K377" s="518"/>
      <c r="L377" s="518"/>
      <c r="M377" s="518"/>
      <c r="N377" s="518"/>
      <c r="O377" s="518"/>
      <c r="P377" s="518"/>
      <c r="Q377" s="518"/>
      <c r="R377" s="518"/>
      <c r="S377" s="518"/>
      <c r="T377" s="518"/>
      <c r="U377" s="518"/>
      <c r="V377" s="518"/>
      <c r="W377" s="518"/>
      <c r="X377" s="518"/>
      <c r="Y377" s="518"/>
      <c r="Z377" s="518"/>
      <c r="AA377" s="518"/>
      <c r="AB377" s="518"/>
      <c r="AC377" s="518"/>
      <c r="AD377" s="518"/>
      <c r="AE377" s="518"/>
      <c r="AF377" s="518"/>
      <c r="AG377" s="518"/>
      <c r="AH377" s="518"/>
      <c r="AI377" s="518"/>
      <c r="AJ377" s="518"/>
      <c r="AK377" s="518"/>
      <c r="AL377" s="518"/>
      <c r="AM377" s="518"/>
      <c r="AN377" s="518"/>
      <c r="AO377" s="518"/>
      <c r="AP377" s="518"/>
      <c r="AQ377" s="518"/>
      <c r="AR377" s="518"/>
      <c r="AS377" s="518"/>
      <c r="AT377" s="518"/>
      <c r="AU377" s="518"/>
      <c r="AV377" s="518"/>
      <c r="AW377" s="518"/>
      <c r="AX377" s="518"/>
      <c r="AY377" s="518"/>
      <c r="AZ377" s="518"/>
      <c r="BA377" s="518"/>
      <c r="BB377" s="518"/>
      <c r="BC377" s="518"/>
      <c r="BD377" s="518"/>
      <c r="BE377" s="518"/>
    </row>
    <row r="378" spans="1:57" ht="12.75" customHeight="1">
      <c r="A378" s="518"/>
      <c r="B378" s="518"/>
      <c r="C378" s="518"/>
      <c r="D378" s="518"/>
      <c r="E378" s="518"/>
      <c r="F378" s="518"/>
      <c r="G378" s="518"/>
      <c r="H378" s="518"/>
      <c r="I378" s="518"/>
      <c r="J378" s="518"/>
      <c r="K378" s="518"/>
      <c r="L378" s="518"/>
      <c r="M378" s="518"/>
      <c r="N378" s="518"/>
      <c r="O378" s="518"/>
      <c r="P378" s="518"/>
      <c r="Q378" s="518"/>
      <c r="R378" s="518"/>
      <c r="S378" s="518"/>
      <c r="T378" s="518"/>
      <c r="U378" s="518"/>
      <c r="V378" s="518"/>
      <c r="W378" s="518"/>
      <c r="X378" s="518"/>
      <c r="Y378" s="518"/>
      <c r="Z378" s="518"/>
      <c r="AA378" s="518"/>
      <c r="AB378" s="518"/>
      <c r="AC378" s="518"/>
      <c r="AD378" s="518"/>
      <c r="AE378" s="518"/>
      <c r="AF378" s="518"/>
      <c r="AG378" s="518"/>
      <c r="AH378" s="518"/>
      <c r="AI378" s="518"/>
      <c r="AJ378" s="518"/>
      <c r="AK378" s="518"/>
      <c r="AL378" s="518"/>
      <c r="AM378" s="518"/>
      <c r="AN378" s="518"/>
      <c r="AO378" s="518"/>
      <c r="AP378" s="518"/>
      <c r="AQ378" s="518"/>
      <c r="AR378" s="518"/>
      <c r="AS378" s="518"/>
      <c r="AT378" s="518"/>
      <c r="AU378" s="518"/>
      <c r="AV378" s="518"/>
      <c r="AW378" s="518"/>
      <c r="AX378" s="518"/>
      <c r="AY378" s="518"/>
      <c r="AZ378" s="518"/>
      <c r="BA378" s="518"/>
      <c r="BB378" s="518"/>
      <c r="BC378" s="518"/>
      <c r="BD378" s="518"/>
      <c r="BE378" s="518"/>
    </row>
    <row r="379" spans="1:57" ht="12.75" customHeight="1">
      <c r="A379" s="518"/>
      <c r="B379" s="518"/>
      <c r="C379" s="518"/>
      <c r="D379" s="518"/>
      <c r="E379" s="518"/>
      <c r="F379" s="518"/>
      <c r="G379" s="518"/>
      <c r="H379" s="518"/>
      <c r="I379" s="518"/>
      <c r="J379" s="518"/>
      <c r="K379" s="518"/>
      <c r="L379" s="518"/>
      <c r="M379" s="518"/>
      <c r="N379" s="518"/>
      <c r="O379" s="518"/>
      <c r="P379" s="518"/>
      <c r="Q379" s="518"/>
      <c r="R379" s="518"/>
      <c r="S379" s="518"/>
      <c r="T379" s="518"/>
      <c r="U379" s="518"/>
      <c r="V379" s="518"/>
      <c r="W379" s="518"/>
      <c r="X379" s="518"/>
      <c r="Y379" s="518"/>
      <c r="Z379" s="518"/>
      <c r="AA379" s="518"/>
      <c r="AB379" s="518"/>
      <c r="AC379" s="518"/>
      <c r="AD379" s="518"/>
      <c r="AE379" s="518"/>
      <c r="AF379" s="518"/>
      <c r="AG379" s="518"/>
      <c r="AH379" s="518"/>
      <c r="AI379" s="518"/>
      <c r="AJ379" s="518"/>
      <c r="AK379" s="518"/>
      <c r="AL379" s="518"/>
      <c r="AM379" s="518"/>
      <c r="AN379" s="518"/>
      <c r="AO379" s="518"/>
      <c r="AP379" s="518"/>
      <c r="AQ379" s="518"/>
      <c r="AR379" s="518"/>
      <c r="AS379" s="518"/>
      <c r="AT379" s="518"/>
      <c r="AU379" s="518"/>
      <c r="AV379" s="518"/>
      <c r="AW379" s="518"/>
      <c r="AX379" s="518"/>
      <c r="AY379" s="518"/>
      <c r="AZ379" s="518"/>
      <c r="BA379" s="518"/>
      <c r="BB379" s="518"/>
      <c r="BC379" s="518"/>
      <c r="BD379" s="518"/>
      <c r="BE379" s="518"/>
    </row>
    <row r="380" spans="1:57" ht="12.75" customHeight="1">
      <c r="A380" s="518"/>
      <c r="B380" s="518"/>
      <c r="C380" s="518"/>
      <c r="D380" s="518"/>
      <c r="E380" s="518"/>
      <c r="F380" s="518"/>
      <c r="G380" s="518"/>
      <c r="H380" s="518"/>
      <c r="I380" s="518"/>
      <c r="J380" s="518"/>
      <c r="K380" s="518"/>
      <c r="L380" s="518"/>
      <c r="M380" s="518"/>
      <c r="N380" s="518"/>
      <c r="O380" s="518"/>
      <c r="P380" s="518"/>
      <c r="Q380" s="518"/>
      <c r="R380" s="518"/>
      <c r="S380" s="518"/>
      <c r="T380" s="518"/>
      <c r="U380" s="518"/>
      <c r="V380" s="518"/>
      <c r="W380" s="518"/>
      <c r="X380" s="518"/>
      <c r="Y380" s="518"/>
      <c r="Z380" s="518"/>
      <c r="AA380" s="518"/>
      <c r="AB380" s="518"/>
      <c r="AC380" s="518"/>
      <c r="AD380" s="518"/>
      <c r="AE380" s="518"/>
      <c r="AF380" s="518"/>
      <c r="AG380" s="518"/>
      <c r="AH380" s="518"/>
      <c r="AI380" s="518"/>
      <c r="AJ380" s="518"/>
      <c r="AK380" s="518"/>
      <c r="AL380" s="518"/>
      <c r="AM380" s="518"/>
      <c r="AN380" s="518"/>
      <c r="AO380" s="518"/>
      <c r="AP380" s="518"/>
      <c r="AQ380" s="518"/>
      <c r="AR380" s="518"/>
      <c r="AS380" s="518"/>
      <c r="AT380" s="518"/>
      <c r="AU380" s="518"/>
      <c r="AV380" s="518"/>
      <c r="AW380" s="518"/>
      <c r="AX380" s="518"/>
      <c r="AY380" s="518"/>
      <c r="AZ380" s="518"/>
      <c r="BA380" s="518"/>
      <c r="BB380" s="518"/>
      <c r="BC380" s="518"/>
      <c r="BD380" s="518"/>
      <c r="BE380" s="518"/>
    </row>
    <row r="381" spans="1:57" ht="12.75" customHeight="1">
      <c r="A381" s="518"/>
      <c r="B381" s="518"/>
      <c r="C381" s="518"/>
      <c r="D381" s="518"/>
      <c r="E381" s="518"/>
      <c r="F381" s="518"/>
      <c r="G381" s="518"/>
      <c r="H381" s="518"/>
      <c r="I381" s="518"/>
      <c r="J381" s="518"/>
      <c r="K381" s="518"/>
      <c r="L381" s="518"/>
      <c r="M381" s="518"/>
      <c r="N381" s="518"/>
      <c r="O381" s="518"/>
      <c r="P381" s="518"/>
      <c r="Q381" s="518"/>
      <c r="R381" s="518"/>
      <c r="S381" s="518"/>
      <c r="T381" s="518"/>
      <c r="U381" s="518"/>
      <c r="V381" s="518"/>
      <c r="W381" s="518"/>
      <c r="X381" s="518"/>
      <c r="Y381" s="518"/>
      <c r="Z381" s="518"/>
      <c r="AA381" s="518"/>
      <c r="AB381" s="518"/>
      <c r="AC381" s="518"/>
      <c r="AD381" s="518"/>
      <c r="AE381" s="518"/>
      <c r="AF381" s="518"/>
      <c r="AG381" s="518"/>
      <c r="AH381" s="518"/>
      <c r="AI381" s="518"/>
      <c r="AJ381" s="518"/>
      <c r="AK381" s="518"/>
      <c r="AL381" s="518"/>
      <c r="AM381" s="518"/>
      <c r="AN381" s="518"/>
      <c r="AO381" s="518"/>
      <c r="AP381" s="518"/>
      <c r="AQ381" s="518"/>
      <c r="AR381" s="518"/>
      <c r="AS381" s="518"/>
      <c r="AT381" s="518"/>
      <c r="AU381" s="518"/>
      <c r="AV381" s="518"/>
      <c r="AW381" s="518"/>
      <c r="AX381" s="518"/>
      <c r="AY381" s="518"/>
      <c r="AZ381" s="518"/>
      <c r="BA381" s="518"/>
      <c r="BB381" s="518"/>
      <c r="BC381" s="518"/>
      <c r="BD381" s="518"/>
      <c r="BE381" s="518"/>
    </row>
    <row r="382" spans="1:57" ht="12.75" customHeight="1">
      <c r="A382" s="518"/>
      <c r="B382" s="518"/>
      <c r="C382" s="518"/>
      <c r="D382" s="518"/>
      <c r="E382" s="518"/>
      <c r="F382" s="518"/>
      <c r="G382" s="518"/>
      <c r="H382" s="518"/>
      <c r="I382" s="518"/>
      <c r="J382" s="518"/>
      <c r="K382" s="518"/>
      <c r="L382" s="518"/>
      <c r="M382" s="518"/>
      <c r="N382" s="518"/>
      <c r="O382" s="518"/>
      <c r="P382" s="518"/>
      <c r="Q382" s="518"/>
      <c r="R382" s="518"/>
      <c r="S382" s="518"/>
      <c r="T382" s="518"/>
      <c r="U382" s="518"/>
      <c r="V382" s="518"/>
      <c r="W382" s="518"/>
      <c r="X382" s="518"/>
      <c r="Y382" s="518"/>
      <c r="Z382" s="518"/>
      <c r="AA382" s="518"/>
      <c r="AB382" s="518"/>
      <c r="AC382" s="518"/>
      <c r="AD382" s="518"/>
      <c r="AE382" s="518"/>
      <c r="AF382" s="518"/>
      <c r="AG382" s="518"/>
      <c r="AH382" s="518"/>
      <c r="AI382" s="518"/>
      <c r="AJ382" s="518"/>
      <c r="AK382" s="518"/>
      <c r="AL382" s="518"/>
      <c r="AM382" s="518"/>
      <c r="AN382" s="518"/>
      <c r="AO382" s="518"/>
      <c r="AP382" s="518"/>
      <c r="AQ382" s="518"/>
      <c r="AR382" s="518"/>
      <c r="AS382" s="518"/>
      <c r="AT382" s="518"/>
      <c r="AU382" s="518"/>
      <c r="AV382" s="518"/>
      <c r="AW382" s="518"/>
      <c r="AX382" s="518"/>
      <c r="AY382" s="518"/>
      <c r="AZ382" s="518"/>
      <c r="BA382" s="518"/>
      <c r="BB382" s="518"/>
      <c r="BC382" s="518"/>
      <c r="BD382" s="518"/>
      <c r="BE382" s="518"/>
    </row>
    <row r="383" spans="1:57" ht="12.75" customHeight="1">
      <c r="A383" s="518"/>
      <c r="B383" s="518"/>
      <c r="C383" s="518"/>
      <c r="D383" s="518"/>
      <c r="E383" s="518"/>
      <c r="F383" s="518"/>
      <c r="G383" s="518"/>
      <c r="H383" s="518"/>
      <c r="I383" s="518"/>
      <c r="J383" s="518"/>
      <c r="K383" s="518"/>
      <c r="L383" s="518"/>
      <c r="M383" s="518"/>
      <c r="N383" s="518"/>
      <c r="O383" s="518"/>
      <c r="P383" s="518"/>
      <c r="Q383" s="518"/>
      <c r="R383" s="518"/>
      <c r="S383" s="518"/>
      <c r="T383" s="518"/>
      <c r="U383" s="518"/>
      <c r="V383" s="518"/>
      <c r="W383" s="518"/>
      <c r="X383" s="518"/>
      <c r="Y383" s="518"/>
      <c r="Z383" s="518"/>
      <c r="AA383" s="518"/>
      <c r="AB383" s="518"/>
      <c r="AC383" s="518"/>
      <c r="AD383" s="518"/>
      <c r="AE383" s="518"/>
      <c r="AF383" s="518"/>
      <c r="AG383" s="518"/>
      <c r="AH383" s="518"/>
      <c r="AI383" s="518"/>
      <c r="AJ383" s="518"/>
      <c r="AK383" s="518"/>
      <c r="AL383" s="518"/>
      <c r="AM383" s="518"/>
      <c r="AN383" s="518"/>
      <c r="AO383" s="518"/>
      <c r="AP383" s="518"/>
      <c r="AQ383" s="518"/>
      <c r="AR383" s="518"/>
      <c r="AS383" s="518"/>
      <c r="AT383" s="518"/>
      <c r="AU383" s="518"/>
      <c r="AV383" s="518"/>
      <c r="AW383" s="518"/>
      <c r="AX383" s="518"/>
      <c r="AY383" s="518"/>
      <c r="AZ383" s="518"/>
      <c r="BA383" s="518"/>
      <c r="BB383" s="518"/>
      <c r="BC383" s="518"/>
      <c r="BD383" s="518"/>
      <c r="BE383" s="518"/>
    </row>
    <row r="384" spans="1:57" ht="12.75" customHeight="1">
      <c r="A384" s="518"/>
      <c r="B384" s="518"/>
      <c r="C384" s="518"/>
      <c r="D384" s="518"/>
      <c r="E384" s="518"/>
      <c r="F384" s="518"/>
      <c r="G384" s="518"/>
      <c r="H384" s="518"/>
      <c r="I384" s="518"/>
      <c r="J384" s="518"/>
      <c r="K384" s="518"/>
      <c r="L384" s="518"/>
      <c r="M384" s="518"/>
      <c r="N384" s="518"/>
      <c r="O384" s="518"/>
      <c r="P384" s="518"/>
      <c r="Q384" s="518"/>
      <c r="R384" s="518"/>
      <c r="S384" s="518"/>
      <c r="T384" s="518"/>
      <c r="U384" s="518"/>
      <c r="V384" s="518"/>
      <c r="W384" s="518"/>
      <c r="X384" s="518"/>
      <c r="Y384" s="518"/>
      <c r="Z384" s="518"/>
      <c r="AA384" s="518"/>
      <c r="AB384" s="518"/>
      <c r="AC384" s="518"/>
      <c r="AD384" s="518"/>
      <c r="AE384" s="518"/>
      <c r="AF384" s="518"/>
      <c r="AG384" s="518"/>
      <c r="AH384" s="518"/>
      <c r="AI384" s="518"/>
      <c r="AJ384" s="518"/>
      <c r="AK384" s="518"/>
      <c r="AL384" s="518"/>
      <c r="AM384" s="518"/>
      <c r="AN384" s="518"/>
      <c r="AO384" s="518"/>
      <c r="AP384" s="518"/>
      <c r="AQ384" s="518"/>
      <c r="AR384" s="518"/>
      <c r="AS384" s="518"/>
      <c r="AT384" s="518"/>
      <c r="AU384" s="518"/>
      <c r="AV384" s="518"/>
      <c r="AW384" s="518"/>
      <c r="AX384" s="518"/>
      <c r="AY384" s="518"/>
      <c r="AZ384" s="518"/>
      <c r="BA384" s="518"/>
      <c r="BB384" s="518"/>
      <c r="BC384" s="518"/>
      <c r="BD384" s="518"/>
      <c r="BE384" s="518"/>
    </row>
    <row r="385" spans="1:57" ht="12.75" customHeight="1">
      <c r="A385" s="518"/>
      <c r="B385" s="518"/>
      <c r="C385" s="518"/>
      <c r="D385" s="518"/>
      <c r="E385" s="518"/>
      <c r="F385" s="518"/>
      <c r="G385" s="518"/>
      <c r="H385" s="518"/>
      <c r="I385" s="518"/>
      <c r="J385" s="518"/>
      <c r="K385" s="518"/>
      <c r="L385" s="518"/>
      <c r="M385" s="518"/>
      <c r="N385" s="518"/>
      <c r="O385" s="518"/>
      <c r="P385" s="518"/>
      <c r="Q385" s="518"/>
      <c r="R385" s="518"/>
      <c r="S385" s="518"/>
      <c r="T385" s="518"/>
      <c r="U385" s="518"/>
      <c r="V385" s="518"/>
      <c r="W385" s="518"/>
      <c r="X385" s="518"/>
      <c r="Y385" s="518"/>
      <c r="Z385" s="518"/>
      <c r="AA385" s="518"/>
      <c r="AB385" s="518"/>
      <c r="AC385" s="518"/>
      <c r="AD385" s="518"/>
      <c r="AE385" s="518"/>
      <c r="AF385" s="518"/>
      <c r="AG385" s="518"/>
      <c r="AH385" s="518"/>
      <c r="AI385" s="518"/>
      <c r="AJ385" s="518"/>
      <c r="AK385" s="518"/>
      <c r="AL385" s="518"/>
      <c r="AM385" s="518"/>
      <c r="AN385" s="518"/>
      <c r="AO385" s="518"/>
      <c r="AP385" s="518"/>
      <c r="AQ385" s="518"/>
      <c r="AR385" s="518"/>
      <c r="AS385" s="518"/>
      <c r="AT385" s="518"/>
      <c r="AU385" s="518"/>
      <c r="AV385" s="518"/>
      <c r="AW385" s="518"/>
      <c r="AX385" s="518"/>
      <c r="AY385" s="518"/>
      <c r="AZ385" s="518"/>
      <c r="BA385" s="518"/>
      <c r="BB385" s="518"/>
      <c r="BC385" s="518"/>
      <c r="BD385" s="518"/>
      <c r="BE385" s="518"/>
    </row>
    <row r="386" spans="1:57" ht="12.75" customHeight="1">
      <c r="A386" s="518"/>
      <c r="B386" s="518"/>
      <c r="C386" s="518"/>
      <c r="D386" s="518"/>
      <c r="E386" s="518"/>
      <c r="F386" s="518"/>
      <c r="G386" s="518"/>
      <c r="H386" s="518"/>
      <c r="I386" s="518"/>
      <c r="J386" s="518"/>
      <c r="K386" s="518"/>
      <c r="L386" s="518"/>
      <c r="M386" s="518"/>
      <c r="N386" s="518"/>
      <c r="O386" s="518"/>
      <c r="P386" s="518"/>
      <c r="Q386" s="518"/>
      <c r="R386" s="518"/>
      <c r="S386" s="518"/>
      <c r="T386" s="518"/>
      <c r="U386" s="518"/>
      <c r="V386" s="518"/>
      <c r="W386" s="518"/>
      <c r="X386" s="518"/>
      <c r="Y386" s="518"/>
      <c r="Z386" s="518"/>
      <c r="AA386" s="518"/>
      <c r="AB386" s="518"/>
      <c r="AC386" s="518"/>
      <c r="AD386" s="518"/>
      <c r="AE386" s="518"/>
      <c r="AF386" s="518"/>
      <c r="AG386" s="518"/>
      <c r="AH386" s="518"/>
      <c r="AI386" s="518"/>
      <c r="AJ386" s="518"/>
      <c r="AK386" s="518"/>
      <c r="AL386" s="518"/>
      <c r="AM386" s="518"/>
      <c r="AN386" s="518"/>
      <c r="AO386" s="518"/>
      <c r="AP386" s="518"/>
      <c r="AQ386" s="518"/>
      <c r="AR386" s="518"/>
      <c r="AS386" s="518"/>
      <c r="AT386" s="518"/>
      <c r="AU386" s="518"/>
      <c r="AV386" s="518"/>
      <c r="AW386" s="518"/>
      <c r="AX386" s="518"/>
      <c r="AY386" s="518"/>
      <c r="AZ386" s="518"/>
      <c r="BA386" s="518"/>
      <c r="BB386" s="518"/>
      <c r="BC386" s="518"/>
      <c r="BD386" s="518"/>
      <c r="BE386" s="518"/>
    </row>
    <row r="387" spans="1:57" ht="12.75" customHeight="1">
      <c r="A387" s="518"/>
      <c r="B387" s="518"/>
      <c r="C387" s="518"/>
      <c r="D387" s="518"/>
      <c r="E387" s="518"/>
      <c r="F387" s="518"/>
      <c r="G387" s="518"/>
      <c r="H387" s="518"/>
      <c r="I387" s="518"/>
      <c r="J387" s="518"/>
      <c r="K387" s="518"/>
      <c r="L387" s="518"/>
      <c r="M387" s="518"/>
      <c r="N387" s="518"/>
      <c r="O387" s="518"/>
      <c r="P387" s="518"/>
      <c r="Q387" s="518"/>
      <c r="R387" s="518"/>
      <c r="S387" s="518"/>
      <c r="T387" s="518"/>
      <c r="U387" s="518"/>
      <c r="V387" s="518"/>
      <c r="W387" s="518"/>
      <c r="X387" s="518"/>
      <c r="Y387" s="518"/>
      <c r="Z387" s="518"/>
      <c r="AA387" s="518"/>
      <c r="AB387" s="518"/>
      <c r="AC387" s="518"/>
      <c r="AD387" s="518"/>
      <c r="AE387" s="518"/>
      <c r="AF387" s="518"/>
      <c r="AG387" s="518"/>
      <c r="AH387" s="518"/>
      <c r="AI387" s="518"/>
      <c r="AJ387" s="518"/>
      <c r="AK387" s="518"/>
      <c r="AL387" s="518"/>
      <c r="AM387" s="518"/>
      <c r="AN387" s="518"/>
      <c r="AO387" s="518"/>
      <c r="AP387" s="518"/>
      <c r="AQ387" s="518"/>
      <c r="AR387" s="518"/>
      <c r="AS387" s="518"/>
      <c r="AT387" s="518"/>
      <c r="AU387" s="518"/>
      <c r="AV387" s="518"/>
      <c r="AW387" s="518"/>
      <c r="AX387" s="518"/>
      <c r="AY387" s="518"/>
      <c r="AZ387" s="518"/>
      <c r="BA387" s="518"/>
      <c r="BB387" s="518"/>
      <c r="BC387" s="518"/>
      <c r="BD387" s="518"/>
      <c r="BE387" s="518"/>
    </row>
    <row r="388" spans="1:57" ht="12.75" customHeight="1">
      <c r="A388" s="518"/>
      <c r="B388" s="518"/>
      <c r="C388" s="518"/>
      <c r="D388" s="518"/>
      <c r="E388" s="518"/>
      <c r="F388" s="518"/>
      <c r="G388" s="518"/>
      <c r="H388" s="518"/>
      <c r="I388" s="518"/>
      <c r="J388" s="518"/>
      <c r="K388" s="518"/>
      <c r="L388" s="518"/>
      <c r="M388" s="518"/>
      <c r="N388" s="518"/>
      <c r="O388" s="518"/>
      <c r="P388" s="518"/>
      <c r="Q388" s="518"/>
      <c r="R388" s="518"/>
      <c r="S388" s="518"/>
      <c r="T388" s="518"/>
      <c r="U388" s="518"/>
      <c r="V388" s="518"/>
      <c r="W388" s="518"/>
      <c r="X388" s="518"/>
      <c r="Y388" s="518"/>
      <c r="Z388" s="518"/>
      <c r="AA388" s="518"/>
      <c r="AB388" s="518"/>
      <c r="AC388" s="518"/>
      <c r="AD388" s="518"/>
      <c r="AE388" s="518"/>
      <c r="AF388" s="518"/>
      <c r="AG388" s="518"/>
      <c r="AH388" s="518"/>
      <c r="AI388" s="518"/>
      <c r="AJ388" s="518"/>
      <c r="AK388" s="518"/>
      <c r="AL388" s="518"/>
      <c r="AM388" s="518"/>
      <c r="AN388" s="518"/>
      <c r="AO388" s="518"/>
      <c r="AP388" s="518"/>
      <c r="AQ388" s="518"/>
      <c r="AR388" s="518"/>
      <c r="AS388" s="518"/>
      <c r="AT388" s="518"/>
      <c r="AU388" s="518"/>
      <c r="AV388" s="518"/>
      <c r="AW388" s="518"/>
      <c r="AX388" s="518"/>
      <c r="AY388" s="518"/>
      <c r="AZ388" s="518"/>
      <c r="BA388" s="518"/>
      <c r="BB388" s="518"/>
      <c r="BC388" s="518"/>
      <c r="BD388" s="518"/>
      <c r="BE388" s="518"/>
    </row>
    <row r="389" spans="1:57" ht="12.75" customHeight="1">
      <c r="A389" s="518"/>
      <c r="B389" s="518"/>
      <c r="C389" s="518"/>
      <c r="D389" s="518"/>
      <c r="E389" s="518"/>
      <c r="F389" s="518"/>
      <c r="G389" s="518"/>
      <c r="H389" s="518"/>
      <c r="I389" s="518"/>
      <c r="J389" s="518"/>
      <c r="K389" s="518"/>
      <c r="L389" s="518"/>
      <c r="M389" s="518"/>
      <c r="N389" s="518"/>
      <c r="O389" s="518"/>
      <c r="P389" s="518"/>
      <c r="Q389" s="518"/>
      <c r="R389" s="518"/>
      <c r="S389" s="518"/>
      <c r="T389" s="518"/>
      <c r="U389" s="518"/>
      <c r="V389" s="518"/>
      <c r="W389" s="518"/>
      <c r="X389" s="518"/>
      <c r="Y389" s="518"/>
      <c r="Z389" s="518"/>
      <c r="AA389" s="518"/>
      <c r="AB389" s="518"/>
      <c r="AC389" s="518"/>
      <c r="AD389" s="518"/>
      <c r="AE389" s="518"/>
      <c r="AF389" s="518"/>
      <c r="AG389" s="518"/>
      <c r="AH389" s="518"/>
      <c r="AI389" s="518"/>
      <c r="AJ389" s="518"/>
      <c r="AK389" s="518"/>
      <c r="AL389" s="518"/>
      <c r="AM389" s="518"/>
      <c r="AN389" s="518"/>
      <c r="AO389" s="518"/>
      <c r="AP389" s="518"/>
      <c r="AQ389" s="518"/>
      <c r="AR389" s="518"/>
      <c r="AS389" s="518"/>
      <c r="AT389" s="518"/>
      <c r="AU389" s="518"/>
      <c r="AV389" s="518"/>
      <c r="AW389" s="518"/>
      <c r="AX389" s="518"/>
      <c r="AY389" s="518"/>
      <c r="AZ389" s="518"/>
      <c r="BA389" s="518"/>
      <c r="BB389" s="518"/>
      <c r="BC389" s="518"/>
      <c r="BD389" s="518"/>
      <c r="BE389" s="518"/>
    </row>
    <row r="390" spans="1:57" ht="12.75" customHeight="1">
      <c r="A390" s="518"/>
      <c r="B390" s="518"/>
      <c r="C390" s="518"/>
      <c r="D390" s="518"/>
      <c r="E390" s="518"/>
      <c r="F390" s="518"/>
      <c r="G390" s="518"/>
      <c r="H390" s="518"/>
      <c r="I390" s="518"/>
      <c r="J390" s="518"/>
      <c r="K390" s="518"/>
      <c r="L390" s="518"/>
      <c r="M390" s="518"/>
      <c r="N390" s="518"/>
      <c r="O390" s="518"/>
      <c r="P390" s="518"/>
      <c r="Q390" s="518"/>
      <c r="R390" s="518"/>
      <c r="S390" s="518"/>
      <c r="T390" s="518"/>
      <c r="U390" s="518"/>
      <c r="V390" s="518"/>
      <c r="W390" s="518"/>
      <c r="X390" s="518"/>
      <c r="Y390" s="518"/>
      <c r="Z390" s="518"/>
      <c r="AA390" s="518"/>
      <c r="AB390" s="518"/>
      <c r="AC390" s="518"/>
      <c r="AD390" s="518"/>
      <c r="AE390" s="518"/>
      <c r="AF390" s="518"/>
      <c r="AG390" s="518"/>
      <c r="AH390" s="518"/>
      <c r="AI390" s="518"/>
      <c r="AJ390" s="518"/>
      <c r="AK390" s="518"/>
      <c r="AL390" s="518"/>
      <c r="AM390" s="518"/>
      <c r="AN390" s="518"/>
      <c r="AO390" s="518"/>
      <c r="AP390" s="518"/>
      <c r="AQ390" s="518"/>
      <c r="AR390" s="518"/>
      <c r="AS390" s="518"/>
      <c r="AT390" s="518"/>
      <c r="AU390" s="518"/>
      <c r="AV390" s="518"/>
      <c r="AW390" s="518"/>
      <c r="AX390" s="518"/>
      <c r="AY390" s="518"/>
      <c r="AZ390" s="518"/>
      <c r="BA390" s="518"/>
      <c r="BB390" s="518"/>
      <c r="BC390" s="518"/>
      <c r="BD390" s="518"/>
      <c r="BE390" s="518"/>
    </row>
    <row r="391" spans="1:57" ht="12.75" customHeight="1">
      <c r="A391" s="518"/>
      <c r="B391" s="518"/>
      <c r="C391" s="518"/>
      <c r="D391" s="518"/>
      <c r="E391" s="518"/>
      <c r="F391" s="518"/>
      <c r="G391" s="518"/>
      <c r="H391" s="518"/>
      <c r="I391" s="518"/>
      <c r="J391" s="518"/>
      <c r="K391" s="518"/>
      <c r="L391" s="518"/>
      <c r="M391" s="518"/>
      <c r="N391" s="518"/>
      <c r="O391" s="518"/>
      <c r="P391" s="518"/>
      <c r="Q391" s="518"/>
      <c r="R391" s="518"/>
      <c r="S391" s="518"/>
      <c r="T391" s="518"/>
      <c r="U391" s="518"/>
      <c r="V391" s="518"/>
      <c r="W391" s="518"/>
      <c r="X391" s="518"/>
      <c r="Y391" s="518"/>
      <c r="Z391" s="518"/>
      <c r="AA391" s="518"/>
      <c r="AB391" s="518"/>
      <c r="AC391" s="518"/>
      <c r="AD391" s="518"/>
      <c r="AE391" s="518"/>
      <c r="AF391" s="518"/>
      <c r="AG391" s="518"/>
      <c r="AH391" s="518"/>
      <c r="AI391" s="518"/>
      <c r="AJ391" s="518"/>
      <c r="AK391" s="518"/>
      <c r="AL391" s="518"/>
      <c r="AM391" s="518"/>
      <c r="AN391" s="518"/>
      <c r="AO391" s="518"/>
      <c r="AP391" s="518"/>
      <c r="AQ391" s="518"/>
      <c r="AR391" s="518"/>
      <c r="AS391" s="518"/>
      <c r="AT391" s="518"/>
      <c r="AU391" s="518"/>
      <c r="AV391" s="518"/>
      <c r="AW391" s="518"/>
      <c r="AX391" s="518"/>
      <c r="AY391" s="518"/>
      <c r="AZ391" s="518"/>
      <c r="BA391" s="518"/>
      <c r="BB391" s="518"/>
      <c r="BC391" s="518"/>
      <c r="BD391" s="518"/>
      <c r="BE391" s="518"/>
    </row>
    <row r="392" spans="1:57" ht="12.75" customHeight="1">
      <c r="A392" s="518"/>
      <c r="B392" s="518"/>
      <c r="C392" s="518"/>
      <c r="D392" s="518"/>
      <c r="E392" s="518"/>
      <c r="F392" s="518"/>
      <c r="G392" s="518"/>
      <c r="H392" s="518"/>
      <c r="I392" s="518"/>
      <c r="J392" s="518"/>
      <c r="K392" s="518"/>
      <c r="L392" s="518"/>
      <c r="M392" s="518"/>
      <c r="N392" s="518"/>
      <c r="O392" s="518"/>
      <c r="P392" s="518"/>
      <c r="Q392" s="518"/>
      <c r="R392" s="518"/>
      <c r="S392" s="518"/>
      <c r="T392" s="518"/>
      <c r="U392" s="518"/>
      <c r="V392" s="518"/>
      <c r="W392" s="518"/>
      <c r="X392" s="518"/>
      <c r="Y392" s="518"/>
      <c r="Z392" s="518"/>
      <c r="AA392" s="518"/>
      <c r="AB392" s="518"/>
      <c r="AC392" s="518"/>
      <c r="AD392" s="518"/>
      <c r="AE392" s="518"/>
      <c r="AF392" s="518"/>
      <c r="AG392" s="518"/>
      <c r="AH392" s="518"/>
      <c r="AI392" s="518"/>
      <c r="AJ392" s="518"/>
      <c r="AK392" s="518"/>
      <c r="AL392" s="518"/>
      <c r="AM392" s="518"/>
      <c r="AN392" s="518"/>
      <c r="AO392" s="518"/>
      <c r="AP392" s="518"/>
      <c r="AQ392" s="518"/>
      <c r="AR392" s="518"/>
      <c r="AS392" s="518"/>
      <c r="AT392" s="518"/>
      <c r="AU392" s="518"/>
      <c r="AV392" s="518"/>
      <c r="AW392" s="518"/>
      <c r="AX392" s="518"/>
      <c r="AY392" s="518"/>
      <c r="AZ392" s="518"/>
      <c r="BA392" s="518"/>
      <c r="BB392" s="518"/>
      <c r="BC392" s="518"/>
      <c r="BD392" s="518"/>
      <c r="BE392" s="518"/>
    </row>
    <row r="393" spans="1:57" ht="12.75" customHeight="1">
      <c r="A393" s="518"/>
      <c r="B393" s="518"/>
      <c r="C393" s="518"/>
      <c r="D393" s="518"/>
      <c r="E393" s="518"/>
      <c r="F393" s="518"/>
      <c r="G393" s="518"/>
      <c r="H393" s="518"/>
      <c r="I393" s="518"/>
      <c r="J393" s="518"/>
      <c r="K393" s="518"/>
      <c r="L393" s="518"/>
      <c r="M393" s="518"/>
      <c r="N393" s="518"/>
      <c r="O393" s="518"/>
      <c r="P393" s="518"/>
      <c r="Q393" s="518"/>
      <c r="R393" s="518"/>
      <c r="S393" s="518"/>
      <c r="T393" s="518"/>
      <c r="U393" s="518"/>
      <c r="V393" s="518"/>
      <c r="W393" s="518"/>
      <c r="X393" s="518"/>
      <c r="Y393" s="518"/>
      <c r="Z393" s="518"/>
      <c r="AA393" s="518"/>
      <c r="AB393" s="518"/>
      <c r="AC393" s="518"/>
      <c r="AD393" s="518"/>
      <c r="AE393" s="518"/>
      <c r="AF393" s="518"/>
      <c r="AG393" s="518"/>
      <c r="AH393" s="518"/>
      <c r="AI393" s="518"/>
      <c r="AJ393" s="518"/>
      <c r="AK393" s="518"/>
      <c r="AL393" s="518"/>
      <c r="AM393" s="518"/>
      <c r="AN393" s="518"/>
      <c r="AO393" s="518"/>
      <c r="AP393" s="518"/>
      <c r="AQ393" s="518"/>
      <c r="AR393" s="518"/>
      <c r="AS393" s="518"/>
      <c r="AT393" s="518"/>
      <c r="AU393" s="518"/>
      <c r="AV393" s="518"/>
      <c r="AW393" s="518"/>
      <c r="AX393" s="518"/>
      <c r="AY393" s="518"/>
      <c r="AZ393" s="518"/>
      <c r="BA393" s="518"/>
      <c r="BB393" s="518"/>
      <c r="BC393" s="518"/>
      <c r="BD393" s="518"/>
      <c r="BE393" s="518"/>
    </row>
    <row r="394" spans="1:57" ht="12.75" customHeight="1">
      <c r="A394" s="518"/>
      <c r="B394" s="518"/>
      <c r="C394" s="518"/>
      <c r="D394" s="518"/>
      <c r="E394" s="518"/>
      <c r="F394" s="518"/>
      <c r="G394" s="518"/>
      <c r="H394" s="518"/>
      <c r="I394" s="518"/>
      <c r="J394" s="518"/>
      <c r="K394" s="518"/>
      <c r="L394" s="518"/>
      <c r="M394" s="518"/>
      <c r="N394" s="518"/>
      <c r="O394" s="518"/>
      <c r="P394" s="518"/>
      <c r="Q394" s="518"/>
      <c r="R394" s="518"/>
      <c r="S394" s="518"/>
      <c r="T394" s="518"/>
      <c r="U394" s="518"/>
      <c r="V394" s="518"/>
      <c r="W394" s="518"/>
      <c r="X394" s="518"/>
      <c r="Y394" s="518"/>
      <c r="Z394" s="518"/>
      <c r="AA394" s="518"/>
      <c r="AB394" s="518"/>
      <c r="AC394" s="518"/>
      <c r="AD394" s="518"/>
      <c r="AE394" s="518"/>
      <c r="AF394" s="518"/>
      <c r="AG394" s="518"/>
      <c r="AH394" s="518"/>
      <c r="AI394" s="518"/>
      <c r="AJ394" s="518"/>
      <c r="AK394" s="518"/>
      <c r="AL394" s="518"/>
      <c r="AM394" s="518"/>
      <c r="AN394" s="518"/>
      <c r="AO394" s="518"/>
      <c r="AP394" s="518"/>
      <c r="AQ394" s="518"/>
      <c r="AR394" s="518"/>
      <c r="AS394" s="518"/>
      <c r="AT394" s="518"/>
      <c r="AU394" s="518"/>
      <c r="AV394" s="518"/>
      <c r="AW394" s="518"/>
      <c r="AX394" s="518"/>
      <c r="AY394" s="518"/>
      <c r="AZ394" s="518"/>
      <c r="BA394" s="518"/>
      <c r="BB394" s="518"/>
      <c r="BC394" s="518"/>
      <c r="BD394" s="518"/>
      <c r="BE394" s="518"/>
    </row>
    <row r="395" spans="1:57" ht="12.75" customHeight="1">
      <c r="A395" s="518"/>
      <c r="B395" s="518"/>
      <c r="C395" s="518"/>
      <c r="D395" s="518"/>
      <c r="E395" s="518"/>
      <c r="F395" s="518"/>
      <c r="G395" s="518"/>
      <c r="H395" s="518"/>
      <c r="I395" s="518"/>
      <c r="J395" s="518"/>
      <c r="K395" s="518"/>
      <c r="L395" s="518"/>
      <c r="M395" s="518"/>
      <c r="N395" s="518"/>
      <c r="O395" s="518"/>
      <c r="P395" s="518"/>
      <c r="Q395" s="518"/>
      <c r="R395" s="518"/>
      <c r="S395" s="518"/>
      <c r="T395" s="518"/>
      <c r="U395" s="518"/>
      <c r="V395" s="518"/>
      <c r="W395" s="518"/>
      <c r="X395" s="518"/>
      <c r="Y395" s="518"/>
      <c r="Z395" s="518"/>
      <c r="AA395" s="518"/>
      <c r="AB395" s="518"/>
      <c r="AC395" s="518"/>
      <c r="AD395" s="518"/>
      <c r="AE395" s="518"/>
      <c r="AF395" s="518"/>
      <c r="AG395" s="518"/>
      <c r="AH395" s="518"/>
      <c r="AI395" s="518"/>
      <c r="AJ395" s="518"/>
      <c r="AK395" s="518"/>
      <c r="AL395" s="518"/>
      <c r="AM395" s="518"/>
      <c r="AN395" s="518"/>
      <c r="AO395" s="518"/>
      <c r="AP395" s="518"/>
      <c r="AQ395" s="518"/>
      <c r="AR395" s="518"/>
      <c r="AS395" s="518"/>
      <c r="AT395" s="518"/>
      <c r="AU395" s="518"/>
      <c r="AV395" s="518"/>
      <c r="AW395" s="518"/>
      <c r="AX395" s="518"/>
      <c r="AY395" s="518"/>
      <c r="AZ395" s="518"/>
      <c r="BA395" s="518"/>
      <c r="BB395" s="518"/>
      <c r="BC395" s="518"/>
      <c r="BD395" s="518"/>
      <c r="BE395" s="518"/>
    </row>
    <row r="396" spans="1:57" ht="12.75" customHeight="1">
      <c r="A396" s="518"/>
      <c r="B396" s="518"/>
      <c r="C396" s="518"/>
      <c r="D396" s="518"/>
      <c r="E396" s="518"/>
      <c r="F396" s="518"/>
      <c r="G396" s="518"/>
      <c r="H396" s="518"/>
      <c r="I396" s="518"/>
      <c r="J396" s="518"/>
      <c r="K396" s="518"/>
      <c r="L396" s="518"/>
      <c r="M396" s="518"/>
      <c r="N396" s="518"/>
      <c r="O396" s="518"/>
      <c r="P396" s="518"/>
      <c r="Q396" s="518"/>
      <c r="R396" s="518"/>
      <c r="S396" s="518"/>
      <c r="T396" s="518"/>
      <c r="U396" s="518"/>
      <c r="V396" s="518"/>
      <c r="W396" s="518"/>
      <c r="X396" s="518"/>
      <c r="Y396" s="518"/>
      <c r="Z396" s="518"/>
      <c r="AA396" s="518"/>
      <c r="AB396" s="518"/>
      <c r="AC396" s="518"/>
      <c r="AD396" s="518"/>
      <c r="AE396" s="518"/>
      <c r="AF396" s="518"/>
      <c r="AG396" s="518"/>
      <c r="AH396" s="518"/>
      <c r="AI396" s="518"/>
      <c r="AJ396" s="518"/>
      <c r="AK396" s="518"/>
      <c r="AL396" s="518"/>
      <c r="AM396" s="518"/>
      <c r="AN396" s="518"/>
      <c r="AO396" s="518"/>
      <c r="AP396" s="518"/>
      <c r="AQ396" s="518"/>
      <c r="AR396" s="518"/>
      <c r="AS396" s="518"/>
      <c r="AT396" s="518"/>
      <c r="AU396" s="518"/>
      <c r="AV396" s="518"/>
      <c r="AW396" s="518"/>
      <c r="AX396" s="518"/>
      <c r="AY396" s="518"/>
      <c r="AZ396" s="518"/>
      <c r="BA396" s="518"/>
      <c r="BB396" s="518"/>
      <c r="BC396" s="518"/>
      <c r="BD396" s="518"/>
      <c r="BE396" s="518"/>
    </row>
    <row r="397" spans="1:57" ht="12.75" customHeight="1">
      <c r="A397" s="518"/>
      <c r="B397" s="518"/>
      <c r="C397" s="518"/>
      <c r="D397" s="518"/>
      <c r="E397" s="518"/>
      <c r="F397" s="518"/>
      <c r="G397" s="518"/>
      <c r="H397" s="518"/>
      <c r="I397" s="518"/>
      <c r="J397" s="518"/>
      <c r="K397" s="518"/>
      <c r="L397" s="518"/>
      <c r="M397" s="518"/>
      <c r="N397" s="518"/>
      <c r="O397" s="518"/>
      <c r="P397" s="518"/>
      <c r="Q397" s="518"/>
      <c r="R397" s="518"/>
      <c r="S397" s="518"/>
      <c r="T397" s="518"/>
      <c r="U397" s="518"/>
      <c r="V397" s="518"/>
      <c r="W397" s="518"/>
      <c r="X397" s="518"/>
      <c r="Y397" s="518"/>
      <c r="Z397" s="518"/>
      <c r="AA397" s="518"/>
      <c r="AB397" s="518"/>
      <c r="AC397" s="518"/>
      <c r="AD397" s="518"/>
      <c r="AE397" s="518"/>
      <c r="AF397" s="518"/>
      <c r="AG397" s="518"/>
      <c r="AH397" s="518"/>
      <c r="AI397" s="518"/>
      <c r="AJ397" s="518"/>
      <c r="AK397" s="518"/>
      <c r="AL397" s="518"/>
      <c r="AM397" s="518"/>
      <c r="AN397" s="518"/>
      <c r="AO397" s="518"/>
      <c r="AP397" s="518"/>
      <c r="AQ397" s="518"/>
      <c r="AR397" s="518"/>
      <c r="AS397" s="518"/>
      <c r="AT397" s="518"/>
      <c r="AU397" s="518"/>
      <c r="AV397" s="518"/>
      <c r="AW397" s="518"/>
      <c r="AX397" s="518"/>
      <c r="AY397" s="518"/>
      <c r="AZ397" s="518"/>
      <c r="BA397" s="518"/>
      <c r="BB397" s="518"/>
      <c r="BC397" s="518"/>
      <c r="BD397" s="518"/>
      <c r="BE397" s="518"/>
    </row>
    <row r="398" spans="1:57" ht="12.75" customHeight="1">
      <c r="A398" s="518"/>
      <c r="B398" s="518"/>
      <c r="C398" s="518"/>
      <c r="D398" s="518"/>
      <c r="E398" s="518"/>
      <c r="F398" s="518"/>
      <c r="G398" s="518"/>
      <c r="H398" s="518"/>
      <c r="I398" s="518"/>
      <c r="J398" s="518"/>
      <c r="K398" s="518"/>
      <c r="L398" s="518"/>
      <c r="M398" s="518"/>
      <c r="N398" s="518"/>
      <c r="O398" s="518"/>
      <c r="P398" s="518"/>
      <c r="Q398" s="518"/>
      <c r="R398" s="518"/>
      <c r="S398" s="518"/>
      <c r="T398" s="518"/>
      <c r="U398" s="518"/>
      <c r="V398" s="518"/>
      <c r="W398" s="518"/>
      <c r="X398" s="518"/>
      <c r="Y398" s="518"/>
      <c r="Z398" s="518"/>
      <c r="AA398" s="518"/>
      <c r="AB398" s="518"/>
      <c r="AC398" s="518"/>
      <c r="AD398" s="518"/>
      <c r="AE398" s="518"/>
      <c r="AF398" s="518"/>
      <c r="AG398" s="518"/>
      <c r="AH398" s="518"/>
      <c r="AI398" s="518"/>
      <c r="AJ398" s="518"/>
      <c r="AK398" s="518"/>
      <c r="AL398" s="518"/>
      <c r="AM398" s="518"/>
      <c r="AN398" s="518"/>
      <c r="AO398" s="518"/>
      <c r="AP398" s="518"/>
      <c r="AQ398" s="518"/>
      <c r="AR398" s="518"/>
      <c r="AS398" s="518"/>
      <c r="AT398" s="518"/>
      <c r="AU398" s="518"/>
      <c r="AV398" s="518"/>
      <c r="AW398" s="518"/>
      <c r="AX398" s="518"/>
      <c r="AY398" s="518"/>
      <c r="AZ398" s="518"/>
      <c r="BA398" s="518"/>
      <c r="BB398" s="518"/>
      <c r="BC398" s="518"/>
      <c r="BD398" s="518"/>
      <c r="BE398" s="518"/>
    </row>
    <row r="399" spans="1:57" ht="12.75" customHeight="1">
      <c r="A399" s="518"/>
      <c r="B399" s="518"/>
      <c r="C399" s="518"/>
      <c r="D399" s="518"/>
      <c r="E399" s="518"/>
      <c r="F399" s="518"/>
      <c r="G399" s="518"/>
      <c r="H399" s="518"/>
      <c r="I399" s="518"/>
      <c r="J399" s="518"/>
      <c r="K399" s="518"/>
      <c r="L399" s="518"/>
      <c r="M399" s="518"/>
      <c r="N399" s="518"/>
      <c r="O399" s="518"/>
      <c r="P399" s="518"/>
      <c r="Q399" s="518"/>
      <c r="R399" s="518"/>
      <c r="S399" s="518"/>
      <c r="T399" s="518"/>
      <c r="U399" s="518"/>
      <c r="V399" s="518"/>
      <c r="W399" s="518"/>
      <c r="X399" s="518"/>
      <c r="Y399" s="518"/>
      <c r="Z399" s="518"/>
      <c r="AA399" s="518"/>
      <c r="AB399" s="518"/>
      <c r="AC399" s="518"/>
      <c r="AD399" s="518"/>
      <c r="AE399" s="518"/>
      <c r="AF399" s="518"/>
      <c r="AG399" s="518"/>
      <c r="AH399" s="518"/>
      <c r="AI399" s="518"/>
      <c r="AJ399" s="518"/>
      <c r="AK399" s="518"/>
      <c r="AL399" s="518"/>
      <c r="AM399" s="518"/>
      <c r="AN399" s="518"/>
      <c r="AO399" s="518"/>
      <c r="AP399" s="518"/>
      <c r="AQ399" s="518"/>
      <c r="AR399" s="518"/>
      <c r="AS399" s="518"/>
      <c r="AT399" s="518"/>
      <c r="AU399" s="518"/>
      <c r="AV399" s="518"/>
      <c r="AW399" s="518"/>
      <c r="AX399" s="518"/>
      <c r="AY399" s="518"/>
      <c r="AZ399" s="518"/>
      <c r="BA399" s="518"/>
      <c r="BB399" s="518"/>
      <c r="BC399" s="518"/>
      <c r="BD399" s="518"/>
      <c r="BE399" s="518"/>
    </row>
    <row r="400" spans="1:57" ht="12.75" customHeight="1">
      <c r="A400" s="518"/>
      <c r="B400" s="518"/>
      <c r="C400" s="518"/>
      <c r="D400" s="518"/>
      <c r="E400" s="518"/>
      <c r="F400" s="518"/>
      <c r="G400" s="518"/>
      <c r="H400" s="518"/>
      <c r="I400" s="518"/>
      <c r="J400" s="518"/>
      <c r="K400" s="518"/>
      <c r="L400" s="518"/>
      <c r="M400" s="518"/>
      <c r="N400" s="518"/>
      <c r="O400" s="518"/>
      <c r="P400" s="518"/>
      <c r="Q400" s="518"/>
      <c r="R400" s="518"/>
      <c r="S400" s="518"/>
      <c r="T400" s="518"/>
      <c r="U400" s="518"/>
      <c r="V400" s="518"/>
      <c r="W400" s="518"/>
      <c r="X400" s="518"/>
      <c r="Y400" s="518"/>
      <c r="Z400" s="518"/>
      <c r="AA400" s="518"/>
      <c r="AB400" s="518"/>
      <c r="AC400" s="518"/>
      <c r="AD400" s="518"/>
      <c r="AE400" s="518"/>
      <c r="AF400" s="518"/>
      <c r="AG400" s="518"/>
      <c r="AH400" s="518"/>
      <c r="AI400" s="518"/>
      <c r="AJ400" s="518"/>
      <c r="AK400" s="518"/>
      <c r="AL400" s="518"/>
      <c r="AM400" s="518"/>
      <c r="AN400" s="518"/>
      <c r="AO400" s="518"/>
      <c r="AP400" s="518"/>
      <c r="AQ400" s="518"/>
      <c r="AR400" s="518"/>
      <c r="AS400" s="518"/>
      <c r="AT400" s="518"/>
      <c r="AU400" s="518"/>
      <c r="AV400" s="518"/>
      <c r="AW400" s="518"/>
      <c r="AX400" s="518"/>
      <c r="AY400" s="518"/>
      <c r="AZ400" s="518"/>
      <c r="BA400" s="518"/>
      <c r="BB400" s="518"/>
      <c r="BC400" s="518"/>
      <c r="BD400" s="518"/>
      <c r="BE400" s="518"/>
    </row>
    <row r="401" spans="1:57" ht="12.75" customHeight="1">
      <c r="A401" s="518"/>
      <c r="B401" s="518"/>
      <c r="C401" s="518"/>
      <c r="D401" s="518"/>
      <c r="E401" s="518"/>
      <c r="F401" s="518"/>
      <c r="G401" s="518"/>
      <c r="H401" s="518"/>
      <c r="I401" s="518"/>
      <c r="J401" s="518"/>
      <c r="K401" s="518"/>
      <c r="L401" s="518"/>
      <c r="M401" s="518"/>
      <c r="N401" s="518"/>
      <c r="O401" s="518"/>
      <c r="P401" s="518"/>
      <c r="Q401" s="518"/>
      <c r="R401" s="518"/>
      <c r="S401" s="518"/>
      <c r="T401" s="518"/>
      <c r="U401" s="518"/>
      <c r="V401" s="518"/>
      <c r="W401" s="518"/>
      <c r="X401" s="518"/>
      <c r="Y401" s="518"/>
      <c r="Z401" s="518"/>
      <c r="AA401" s="518"/>
      <c r="AB401" s="518"/>
      <c r="AC401" s="518"/>
      <c r="AD401" s="518"/>
      <c r="AE401" s="518"/>
      <c r="AF401" s="518"/>
      <c r="AG401" s="518"/>
      <c r="AH401" s="518"/>
      <c r="AI401" s="518"/>
      <c r="AJ401" s="518"/>
      <c r="AK401" s="518"/>
      <c r="AL401" s="518"/>
      <c r="AM401" s="518"/>
      <c r="AN401" s="518"/>
      <c r="AO401" s="518"/>
      <c r="AP401" s="518"/>
      <c r="AQ401" s="518"/>
      <c r="AR401" s="518"/>
      <c r="AS401" s="518"/>
      <c r="AT401" s="518"/>
      <c r="AU401" s="518"/>
      <c r="AV401" s="518"/>
      <c r="AW401" s="518"/>
      <c r="AX401" s="518"/>
      <c r="AY401" s="518"/>
      <c r="AZ401" s="518"/>
      <c r="BA401" s="518"/>
      <c r="BB401" s="518"/>
      <c r="BC401" s="518"/>
      <c r="BD401" s="518"/>
      <c r="BE401" s="518"/>
    </row>
    <row r="402" spans="1:57" ht="12.75" customHeight="1">
      <c r="A402" s="518"/>
      <c r="B402" s="518"/>
      <c r="C402" s="518"/>
      <c r="D402" s="518"/>
      <c r="E402" s="518"/>
      <c r="F402" s="518"/>
      <c r="G402" s="518"/>
      <c r="H402" s="518"/>
      <c r="I402" s="518"/>
      <c r="J402" s="518"/>
      <c r="K402" s="518"/>
      <c r="L402" s="518"/>
      <c r="M402" s="518"/>
      <c r="N402" s="518"/>
      <c r="O402" s="518"/>
      <c r="P402" s="518"/>
      <c r="Q402" s="518"/>
      <c r="R402" s="518"/>
      <c r="S402" s="518"/>
      <c r="T402" s="518"/>
      <c r="U402" s="518"/>
      <c r="V402" s="518"/>
      <c r="W402" s="518"/>
      <c r="X402" s="518"/>
      <c r="Y402" s="518"/>
      <c r="Z402" s="518"/>
      <c r="AA402" s="518"/>
      <c r="AB402" s="518"/>
      <c r="AC402" s="518"/>
      <c r="AD402" s="518"/>
      <c r="AE402" s="518"/>
      <c r="AF402" s="518"/>
      <c r="AG402" s="518"/>
      <c r="AH402" s="518"/>
      <c r="AI402" s="518"/>
      <c r="AJ402" s="518"/>
      <c r="AK402" s="518"/>
      <c r="AL402" s="518"/>
      <c r="AM402" s="518"/>
      <c r="AN402" s="518"/>
      <c r="AO402" s="518"/>
      <c r="AP402" s="518"/>
      <c r="AQ402" s="518"/>
      <c r="AR402" s="518"/>
      <c r="AS402" s="518"/>
      <c r="AT402" s="518"/>
      <c r="AU402" s="518"/>
      <c r="AV402" s="518"/>
      <c r="AW402" s="518"/>
      <c r="AX402" s="518"/>
      <c r="AY402" s="518"/>
      <c r="AZ402" s="518"/>
      <c r="BA402" s="518"/>
      <c r="BB402" s="518"/>
      <c r="BC402" s="518"/>
      <c r="BD402" s="518"/>
      <c r="BE402" s="518"/>
    </row>
    <row r="403" spans="1:57" ht="12.75" customHeight="1">
      <c r="A403" s="518"/>
      <c r="B403" s="518"/>
      <c r="C403" s="518"/>
      <c r="D403" s="518"/>
      <c r="E403" s="518"/>
      <c r="F403" s="518"/>
      <c r="G403" s="518"/>
      <c r="H403" s="518"/>
      <c r="I403" s="518"/>
      <c r="J403" s="518"/>
      <c r="K403" s="518"/>
      <c r="L403" s="518"/>
      <c r="M403" s="518"/>
      <c r="N403" s="518"/>
      <c r="O403" s="518"/>
      <c r="P403" s="518"/>
      <c r="Q403" s="518"/>
      <c r="R403" s="518"/>
      <c r="S403" s="518"/>
      <c r="T403" s="518"/>
      <c r="U403" s="518"/>
      <c r="V403" s="518"/>
      <c r="W403" s="518"/>
      <c r="X403" s="518"/>
      <c r="Y403" s="518"/>
      <c r="Z403" s="518"/>
      <c r="AA403" s="518"/>
      <c r="AB403" s="518"/>
      <c r="AC403" s="518"/>
      <c r="AD403" s="518"/>
      <c r="AE403" s="518"/>
      <c r="AF403" s="518"/>
      <c r="AG403" s="518"/>
      <c r="AH403" s="518"/>
      <c r="AI403" s="518"/>
      <c r="AJ403" s="518"/>
      <c r="AK403" s="518"/>
      <c r="AL403" s="518"/>
      <c r="AM403" s="518"/>
      <c r="AN403" s="518"/>
      <c r="AO403" s="518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</row>
    <row r="404" spans="1:57" ht="12.75" customHeight="1">
      <c r="A404" s="518"/>
      <c r="B404" s="518"/>
      <c r="C404" s="518"/>
      <c r="D404" s="518"/>
      <c r="E404" s="518"/>
      <c r="F404" s="518"/>
      <c r="G404" s="518"/>
      <c r="H404" s="518"/>
      <c r="I404" s="518"/>
      <c r="J404" s="518"/>
      <c r="K404" s="518"/>
      <c r="L404" s="518"/>
      <c r="M404" s="518"/>
      <c r="N404" s="518"/>
      <c r="O404" s="518"/>
      <c r="P404" s="518"/>
      <c r="Q404" s="518"/>
      <c r="R404" s="518"/>
      <c r="S404" s="518"/>
      <c r="T404" s="518"/>
      <c r="U404" s="518"/>
      <c r="V404" s="518"/>
      <c r="W404" s="518"/>
      <c r="X404" s="518"/>
      <c r="Y404" s="518"/>
      <c r="Z404" s="518"/>
      <c r="AA404" s="518"/>
      <c r="AB404" s="518"/>
      <c r="AC404" s="518"/>
      <c r="AD404" s="518"/>
      <c r="AE404" s="518"/>
      <c r="AF404" s="518"/>
      <c r="AG404" s="518"/>
      <c r="AH404" s="518"/>
      <c r="AI404" s="518"/>
      <c r="AJ404" s="518"/>
      <c r="AK404" s="518"/>
      <c r="AL404" s="518"/>
      <c r="AM404" s="518"/>
      <c r="AN404" s="518"/>
      <c r="AO404" s="518"/>
      <c r="AP404" s="518"/>
      <c r="AQ404" s="518"/>
      <c r="AR404" s="518"/>
      <c r="AS404" s="518"/>
      <c r="AT404" s="518"/>
      <c r="AU404" s="518"/>
      <c r="AV404" s="518"/>
      <c r="AW404" s="518"/>
      <c r="AX404" s="518"/>
      <c r="AY404" s="518"/>
      <c r="AZ404" s="518"/>
      <c r="BA404" s="518"/>
      <c r="BB404" s="518"/>
      <c r="BC404" s="518"/>
      <c r="BD404" s="518"/>
      <c r="BE404" s="518"/>
    </row>
    <row r="405" spans="1:57" ht="12.75" customHeight="1">
      <c r="A405" s="518"/>
      <c r="B405" s="518"/>
      <c r="C405" s="518"/>
      <c r="D405" s="518"/>
      <c r="E405" s="518"/>
      <c r="F405" s="518"/>
      <c r="G405" s="518"/>
      <c r="H405" s="518"/>
      <c r="I405" s="518"/>
      <c r="J405" s="518"/>
      <c r="K405" s="518"/>
      <c r="L405" s="518"/>
      <c r="M405" s="518"/>
      <c r="N405" s="518"/>
      <c r="O405" s="518"/>
      <c r="P405" s="518"/>
      <c r="Q405" s="518"/>
      <c r="R405" s="518"/>
      <c r="S405" s="518"/>
      <c r="T405" s="518"/>
      <c r="U405" s="518"/>
      <c r="V405" s="518"/>
      <c r="W405" s="518"/>
      <c r="X405" s="518"/>
      <c r="Y405" s="518"/>
      <c r="Z405" s="518"/>
      <c r="AA405" s="518"/>
      <c r="AB405" s="518"/>
      <c r="AC405" s="518"/>
      <c r="AD405" s="518"/>
      <c r="AE405" s="518"/>
      <c r="AF405" s="518"/>
      <c r="AG405" s="518"/>
      <c r="AH405" s="518"/>
      <c r="AI405" s="518"/>
      <c r="AJ405" s="518"/>
      <c r="AK405" s="518"/>
      <c r="AL405" s="518"/>
      <c r="AM405" s="518"/>
      <c r="AN405" s="518"/>
      <c r="AO405" s="518"/>
      <c r="AP405" s="518"/>
      <c r="AQ405" s="518"/>
      <c r="AR405" s="518"/>
      <c r="AS405" s="518"/>
      <c r="AT405" s="518"/>
      <c r="AU405" s="518"/>
      <c r="AV405" s="518"/>
      <c r="AW405" s="518"/>
      <c r="AX405" s="518"/>
      <c r="AY405" s="518"/>
      <c r="AZ405" s="518"/>
      <c r="BA405" s="518"/>
      <c r="BB405" s="518"/>
      <c r="BC405" s="518"/>
      <c r="BD405" s="518"/>
      <c r="BE405" s="518"/>
    </row>
    <row r="406" spans="1:57" ht="12.75" customHeight="1">
      <c r="A406" s="518"/>
      <c r="B406" s="518"/>
      <c r="C406" s="518"/>
      <c r="D406" s="518"/>
      <c r="E406" s="518"/>
      <c r="F406" s="518"/>
      <c r="G406" s="518"/>
      <c r="H406" s="518"/>
      <c r="I406" s="518"/>
      <c r="J406" s="518"/>
      <c r="K406" s="518"/>
      <c r="L406" s="518"/>
      <c r="M406" s="518"/>
      <c r="N406" s="518"/>
      <c r="O406" s="518"/>
      <c r="P406" s="518"/>
      <c r="Q406" s="518"/>
      <c r="R406" s="518"/>
      <c r="S406" s="518"/>
      <c r="T406" s="518"/>
      <c r="U406" s="518"/>
      <c r="V406" s="518"/>
      <c r="W406" s="518"/>
      <c r="X406" s="518"/>
      <c r="Y406" s="518"/>
      <c r="Z406" s="518"/>
      <c r="AA406" s="518"/>
      <c r="AB406" s="518"/>
      <c r="AC406" s="518"/>
      <c r="AD406" s="518"/>
      <c r="AE406" s="518"/>
      <c r="AF406" s="518"/>
      <c r="AG406" s="518"/>
      <c r="AH406" s="518"/>
      <c r="AI406" s="518"/>
      <c r="AJ406" s="518"/>
      <c r="AK406" s="518"/>
      <c r="AL406" s="518"/>
      <c r="AM406" s="518"/>
      <c r="AN406" s="518"/>
      <c r="AO406" s="518"/>
      <c r="AP406" s="518"/>
      <c r="AQ406" s="518"/>
      <c r="AR406" s="518"/>
      <c r="AS406" s="518"/>
      <c r="AT406" s="518"/>
      <c r="AU406" s="518"/>
      <c r="AV406" s="518"/>
      <c r="AW406" s="518"/>
      <c r="AX406" s="518"/>
      <c r="AY406" s="518"/>
      <c r="AZ406" s="518"/>
      <c r="BA406" s="518"/>
      <c r="BB406" s="518"/>
      <c r="BC406" s="518"/>
      <c r="BD406" s="518"/>
      <c r="BE406" s="518"/>
    </row>
    <row r="407" spans="1:57" ht="12.75" customHeight="1">
      <c r="A407" s="518"/>
      <c r="B407" s="518"/>
      <c r="C407" s="518"/>
      <c r="D407" s="518"/>
      <c r="E407" s="518"/>
      <c r="F407" s="518"/>
      <c r="G407" s="518"/>
      <c r="H407" s="518"/>
      <c r="I407" s="518"/>
      <c r="J407" s="518"/>
      <c r="K407" s="518"/>
      <c r="L407" s="518"/>
      <c r="M407" s="518"/>
      <c r="N407" s="518"/>
      <c r="O407" s="518"/>
      <c r="P407" s="518"/>
      <c r="Q407" s="518"/>
      <c r="R407" s="518"/>
      <c r="S407" s="518"/>
      <c r="T407" s="518"/>
      <c r="U407" s="518"/>
      <c r="V407" s="518"/>
      <c r="W407" s="518"/>
      <c r="X407" s="518"/>
      <c r="Y407" s="518"/>
      <c r="Z407" s="518"/>
      <c r="AA407" s="518"/>
      <c r="AB407" s="518"/>
      <c r="AC407" s="518"/>
      <c r="AD407" s="518"/>
      <c r="AE407" s="518"/>
      <c r="AF407" s="518"/>
      <c r="AG407" s="518"/>
      <c r="AH407" s="518"/>
      <c r="AI407" s="518"/>
      <c r="AJ407" s="518"/>
      <c r="AK407" s="518"/>
      <c r="AL407" s="518"/>
      <c r="AM407" s="518"/>
      <c r="AN407" s="518"/>
      <c r="AO407" s="518"/>
      <c r="AP407" s="518"/>
      <c r="AQ407" s="518"/>
      <c r="AR407" s="518"/>
      <c r="AS407" s="518"/>
      <c r="AT407" s="518"/>
      <c r="AU407" s="518"/>
      <c r="AV407" s="518"/>
      <c r="AW407" s="518"/>
      <c r="AX407" s="518"/>
      <c r="AY407" s="518"/>
      <c r="AZ407" s="518"/>
      <c r="BA407" s="518"/>
      <c r="BB407" s="518"/>
      <c r="BC407" s="518"/>
      <c r="BD407" s="518"/>
      <c r="BE407" s="518"/>
    </row>
    <row r="408" spans="1:57" ht="12.75" customHeight="1">
      <c r="A408" s="518"/>
      <c r="B408" s="518"/>
      <c r="C408" s="518"/>
      <c r="D408" s="518"/>
      <c r="E408" s="518"/>
      <c r="F408" s="518"/>
      <c r="G408" s="518"/>
      <c r="H408" s="518"/>
      <c r="I408" s="518"/>
      <c r="J408" s="518"/>
      <c r="K408" s="518"/>
      <c r="L408" s="518"/>
      <c r="M408" s="518"/>
      <c r="N408" s="518"/>
      <c r="O408" s="518"/>
      <c r="P408" s="518"/>
      <c r="Q408" s="518"/>
      <c r="R408" s="518"/>
      <c r="S408" s="518"/>
      <c r="T408" s="518"/>
      <c r="U408" s="518"/>
      <c r="V408" s="518"/>
      <c r="W408" s="518"/>
      <c r="X408" s="518"/>
      <c r="Y408" s="518"/>
      <c r="Z408" s="518"/>
      <c r="AA408" s="518"/>
      <c r="AB408" s="518"/>
      <c r="AC408" s="518"/>
      <c r="AD408" s="518"/>
      <c r="AE408" s="518"/>
      <c r="AF408" s="518"/>
      <c r="AG408" s="518"/>
      <c r="AH408" s="518"/>
      <c r="AI408" s="518"/>
      <c r="AJ408" s="518"/>
      <c r="AK408" s="518"/>
      <c r="AL408" s="518"/>
      <c r="AM408" s="518"/>
      <c r="AN408" s="518"/>
      <c r="AO408" s="518"/>
      <c r="AP408" s="518"/>
      <c r="AQ408" s="518"/>
      <c r="AR408" s="518"/>
      <c r="AS408" s="518"/>
      <c r="AT408" s="518"/>
      <c r="AU408" s="518"/>
      <c r="AV408" s="518"/>
      <c r="AW408" s="518"/>
      <c r="AX408" s="518"/>
      <c r="AY408" s="518"/>
      <c r="AZ408" s="518"/>
      <c r="BA408" s="518"/>
      <c r="BB408" s="518"/>
      <c r="BC408" s="518"/>
      <c r="BD408" s="518"/>
      <c r="BE408" s="518"/>
    </row>
    <row r="409" spans="1:57" ht="12.75" customHeight="1">
      <c r="A409" s="518"/>
      <c r="B409" s="518"/>
      <c r="C409" s="518"/>
      <c r="D409" s="518"/>
      <c r="E409" s="518"/>
      <c r="F409" s="518"/>
      <c r="G409" s="518"/>
      <c r="H409" s="518"/>
      <c r="I409" s="518"/>
      <c r="J409" s="518"/>
      <c r="K409" s="518"/>
      <c r="L409" s="518"/>
      <c r="M409" s="518"/>
      <c r="N409" s="518"/>
      <c r="O409" s="518"/>
      <c r="P409" s="518"/>
      <c r="Q409" s="518"/>
      <c r="R409" s="518"/>
      <c r="S409" s="518"/>
      <c r="T409" s="518"/>
      <c r="U409" s="518"/>
      <c r="V409" s="518"/>
      <c r="W409" s="518"/>
      <c r="X409" s="518"/>
      <c r="Y409" s="518"/>
      <c r="Z409" s="518"/>
      <c r="AA409" s="518"/>
      <c r="AB409" s="518"/>
      <c r="AC409" s="518"/>
      <c r="AD409" s="518"/>
      <c r="AE409" s="518"/>
      <c r="AF409" s="518"/>
      <c r="AG409" s="518"/>
      <c r="AH409" s="518"/>
      <c r="AI409" s="518"/>
      <c r="AJ409" s="518"/>
      <c r="AK409" s="518"/>
      <c r="AL409" s="518"/>
      <c r="AM409" s="518"/>
      <c r="AN409" s="518"/>
      <c r="AO409" s="518"/>
      <c r="AP409" s="518"/>
      <c r="AQ409" s="518"/>
      <c r="AR409" s="518"/>
      <c r="AS409" s="518"/>
      <c r="AT409" s="518"/>
      <c r="AU409" s="518"/>
      <c r="AV409" s="518"/>
      <c r="AW409" s="518"/>
      <c r="AX409" s="518"/>
      <c r="AY409" s="518"/>
      <c r="AZ409" s="518"/>
      <c r="BA409" s="518"/>
      <c r="BB409" s="518"/>
      <c r="BC409" s="518"/>
      <c r="BD409" s="518"/>
      <c r="BE409" s="518"/>
    </row>
    <row r="410" spans="1:57" ht="12.75" customHeight="1">
      <c r="A410" s="518"/>
      <c r="B410" s="518"/>
      <c r="C410" s="518"/>
      <c r="D410" s="518"/>
      <c r="E410" s="518"/>
      <c r="F410" s="518"/>
      <c r="G410" s="518"/>
      <c r="H410" s="518"/>
      <c r="I410" s="518"/>
      <c r="J410" s="518"/>
      <c r="K410" s="518"/>
      <c r="L410" s="518"/>
      <c r="M410" s="518"/>
      <c r="N410" s="518"/>
      <c r="O410" s="518"/>
      <c r="P410" s="518"/>
      <c r="Q410" s="518"/>
      <c r="R410" s="518"/>
      <c r="S410" s="518"/>
      <c r="T410" s="518"/>
      <c r="U410" s="518"/>
      <c r="V410" s="518"/>
      <c r="W410" s="518"/>
      <c r="X410" s="518"/>
      <c r="Y410" s="518"/>
      <c r="Z410" s="518"/>
      <c r="AA410" s="518"/>
      <c r="AB410" s="518"/>
      <c r="AC410" s="518"/>
      <c r="AD410" s="518"/>
      <c r="AE410" s="518"/>
      <c r="AF410" s="518"/>
      <c r="AG410" s="518"/>
      <c r="AH410" s="518"/>
      <c r="AI410" s="518"/>
      <c r="AJ410" s="518"/>
      <c r="AK410" s="518"/>
      <c r="AL410" s="518"/>
      <c r="AM410" s="518"/>
      <c r="AN410" s="518"/>
      <c r="AO410" s="518"/>
      <c r="AP410" s="518"/>
      <c r="AQ410" s="518"/>
      <c r="AR410" s="518"/>
      <c r="AS410" s="518"/>
      <c r="AT410" s="518"/>
      <c r="AU410" s="518"/>
      <c r="AV410" s="518"/>
      <c r="AW410" s="518"/>
      <c r="AX410" s="518"/>
      <c r="AY410" s="518"/>
      <c r="AZ410" s="518"/>
      <c r="BA410" s="518"/>
      <c r="BB410" s="518"/>
      <c r="BC410" s="518"/>
      <c r="BD410" s="518"/>
      <c r="BE410" s="518"/>
    </row>
    <row r="411" spans="1:57" ht="12.75" customHeight="1">
      <c r="A411" s="518"/>
      <c r="B411" s="518"/>
      <c r="C411" s="518"/>
      <c r="D411" s="518"/>
      <c r="E411" s="518"/>
      <c r="F411" s="518"/>
      <c r="G411" s="518"/>
      <c r="H411" s="518"/>
      <c r="I411" s="518"/>
      <c r="J411" s="518"/>
      <c r="K411" s="518"/>
      <c r="L411" s="518"/>
      <c r="M411" s="518"/>
      <c r="N411" s="518"/>
      <c r="O411" s="518"/>
      <c r="P411" s="518"/>
      <c r="Q411" s="518"/>
      <c r="R411" s="518"/>
      <c r="S411" s="518"/>
      <c r="T411" s="518"/>
      <c r="U411" s="518"/>
      <c r="V411" s="518"/>
      <c r="W411" s="518"/>
      <c r="X411" s="518"/>
      <c r="Y411" s="518"/>
      <c r="Z411" s="518"/>
      <c r="AA411" s="518"/>
      <c r="AB411" s="518"/>
      <c r="AC411" s="518"/>
      <c r="AD411" s="518"/>
      <c r="AE411" s="518"/>
      <c r="AF411" s="518"/>
      <c r="AG411" s="518"/>
      <c r="AH411" s="518"/>
      <c r="AI411" s="518"/>
      <c r="AJ411" s="518"/>
      <c r="AK411" s="518"/>
      <c r="AL411" s="518"/>
      <c r="AM411" s="518"/>
      <c r="AN411" s="518"/>
      <c r="AO411" s="518"/>
      <c r="AP411" s="518"/>
      <c r="AQ411" s="518"/>
      <c r="AR411" s="518"/>
      <c r="AS411" s="518"/>
      <c r="AT411" s="518"/>
      <c r="AU411" s="518"/>
      <c r="AV411" s="518"/>
      <c r="AW411" s="518"/>
      <c r="AX411" s="518"/>
      <c r="AY411" s="518"/>
      <c r="AZ411" s="518"/>
      <c r="BA411" s="518"/>
      <c r="BB411" s="518"/>
      <c r="BC411" s="518"/>
      <c r="BD411" s="518"/>
      <c r="BE411" s="518"/>
    </row>
    <row r="412" spans="1:57" ht="12.75" customHeight="1">
      <c r="A412" s="518"/>
      <c r="B412" s="518"/>
      <c r="C412" s="518"/>
      <c r="D412" s="518"/>
      <c r="E412" s="518"/>
      <c r="F412" s="518"/>
      <c r="G412" s="518"/>
      <c r="H412" s="518"/>
      <c r="I412" s="518"/>
      <c r="J412" s="518"/>
      <c r="K412" s="518"/>
      <c r="L412" s="518"/>
      <c r="M412" s="518"/>
      <c r="N412" s="518"/>
      <c r="O412" s="518"/>
      <c r="P412" s="518"/>
      <c r="Q412" s="518"/>
      <c r="R412" s="518"/>
      <c r="S412" s="518"/>
      <c r="T412" s="518"/>
      <c r="U412" s="518"/>
      <c r="V412" s="518"/>
      <c r="W412" s="518"/>
      <c r="X412" s="518"/>
      <c r="Y412" s="518"/>
      <c r="Z412" s="518"/>
      <c r="AA412" s="518"/>
      <c r="AB412" s="518"/>
      <c r="AC412" s="518"/>
      <c r="AD412" s="518"/>
      <c r="AE412" s="518"/>
      <c r="AF412" s="518"/>
      <c r="AG412" s="518"/>
      <c r="AH412" s="518"/>
      <c r="AI412" s="518"/>
      <c r="AJ412" s="518"/>
      <c r="AK412" s="518"/>
      <c r="AL412" s="518"/>
      <c r="AM412" s="518"/>
      <c r="AN412" s="518"/>
      <c r="AO412" s="518"/>
      <c r="AP412" s="518"/>
      <c r="AQ412" s="518"/>
      <c r="AR412" s="518"/>
      <c r="AS412" s="518"/>
      <c r="AT412" s="518"/>
      <c r="AU412" s="518"/>
      <c r="AV412" s="518"/>
      <c r="AW412" s="518"/>
      <c r="AX412" s="518"/>
      <c r="AY412" s="518"/>
      <c r="AZ412" s="518"/>
      <c r="BA412" s="518"/>
      <c r="BB412" s="518"/>
      <c r="BC412" s="518"/>
      <c r="BD412" s="518"/>
      <c r="BE412" s="518"/>
    </row>
    <row r="413" spans="1:57" ht="12.75" customHeight="1">
      <c r="A413" s="518"/>
      <c r="B413" s="518"/>
      <c r="C413" s="518"/>
      <c r="D413" s="518"/>
      <c r="E413" s="518"/>
      <c r="F413" s="518"/>
      <c r="G413" s="518"/>
      <c r="H413" s="518"/>
      <c r="I413" s="518"/>
      <c r="J413" s="518"/>
      <c r="K413" s="518"/>
      <c r="L413" s="518"/>
      <c r="M413" s="518"/>
      <c r="N413" s="518"/>
      <c r="O413" s="518"/>
      <c r="P413" s="518"/>
      <c r="Q413" s="518"/>
      <c r="R413" s="518"/>
      <c r="S413" s="518"/>
      <c r="T413" s="518"/>
      <c r="U413" s="518"/>
      <c r="V413" s="518"/>
      <c r="W413" s="518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18"/>
      <c r="AV413" s="518"/>
      <c r="AW413" s="518"/>
      <c r="AX413" s="518"/>
      <c r="AY413" s="518"/>
      <c r="AZ413" s="518"/>
      <c r="BA413" s="518"/>
      <c r="BB413" s="518"/>
      <c r="BC413" s="518"/>
      <c r="BD413" s="518"/>
      <c r="BE413" s="518"/>
    </row>
    <row r="414" spans="1:57" ht="12.75" customHeight="1">
      <c r="A414" s="518"/>
      <c r="B414" s="518"/>
      <c r="C414" s="518"/>
      <c r="D414" s="518"/>
      <c r="E414" s="518"/>
      <c r="F414" s="518"/>
      <c r="G414" s="518"/>
      <c r="H414" s="518"/>
      <c r="I414" s="518"/>
      <c r="J414" s="518"/>
      <c r="K414" s="518"/>
      <c r="L414" s="518"/>
      <c r="M414" s="518"/>
      <c r="N414" s="518"/>
      <c r="O414" s="518"/>
      <c r="P414" s="518"/>
      <c r="Q414" s="518"/>
      <c r="R414" s="518"/>
      <c r="S414" s="518"/>
      <c r="T414" s="518"/>
      <c r="U414" s="518"/>
      <c r="V414" s="518"/>
      <c r="W414" s="518"/>
      <c r="X414" s="518"/>
      <c r="Y414" s="518"/>
      <c r="Z414" s="518"/>
      <c r="AA414" s="518"/>
      <c r="AB414" s="518"/>
      <c r="AC414" s="518"/>
      <c r="AD414" s="518"/>
      <c r="AE414" s="518"/>
      <c r="AF414" s="518"/>
      <c r="AG414" s="518"/>
      <c r="AH414" s="518"/>
      <c r="AI414" s="518"/>
      <c r="AJ414" s="518"/>
      <c r="AK414" s="518"/>
      <c r="AL414" s="518"/>
      <c r="AM414" s="518"/>
      <c r="AN414" s="518"/>
      <c r="AO414" s="518"/>
      <c r="AP414" s="518"/>
      <c r="AQ414" s="518"/>
      <c r="AR414" s="518"/>
      <c r="AS414" s="518"/>
      <c r="AT414" s="518"/>
      <c r="AU414" s="518"/>
      <c r="AV414" s="518"/>
      <c r="AW414" s="518"/>
      <c r="AX414" s="518"/>
      <c r="AY414" s="518"/>
      <c r="AZ414" s="518"/>
      <c r="BA414" s="518"/>
      <c r="BB414" s="518"/>
      <c r="BC414" s="518"/>
      <c r="BD414" s="518"/>
      <c r="BE414" s="518"/>
    </row>
    <row r="415" spans="1:57" ht="12.75" customHeight="1">
      <c r="A415" s="518"/>
      <c r="B415" s="518"/>
      <c r="C415" s="518"/>
      <c r="D415" s="518"/>
      <c r="E415" s="518"/>
      <c r="F415" s="518"/>
      <c r="G415" s="518"/>
      <c r="H415" s="518"/>
      <c r="I415" s="518"/>
      <c r="J415" s="518"/>
      <c r="K415" s="518"/>
      <c r="L415" s="518"/>
      <c r="M415" s="518"/>
      <c r="N415" s="518"/>
      <c r="O415" s="518"/>
      <c r="P415" s="518"/>
      <c r="Q415" s="518"/>
      <c r="R415" s="518"/>
      <c r="S415" s="518"/>
      <c r="T415" s="518"/>
      <c r="U415" s="518"/>
      <c r="V415" s="518"/>
      <c r="W415" s="518"/>
      <c r="X415" s="518"/>
      <c r="Y415" s="518"/>
      <c r="Z415" s="518"/>
      <c r="AA415" s="518"/>
      <c r="AB415" s="518"/>
      <c r="AC415" s="518"/>
      <c r="AD415" s="518"/>
      <c r="AE415" s="518"/>
      <c r="AF415" s="518"/>
      <c r="AG415" s="518"/>
      <c r="AH415" s="518"/>
      <c r="AI415" s="518"/>
      <c r="AJ415" s="518"/>
      <c r="AK415" s="518"/>
      <c r="AL415" s="518"/>
      <c r="AM415" s="518"/>
      <c r="AN415" s="518"/>
      <c r="AO415" s="518"/>
      <c r="AP415" s="518"/>
      <c r="AQ415" s="518"/>
      <c r="AR415" s="518"/>
      <c r="AS415" s="518"/>
      <c r="AT415" s="518"/>
      <c r="AU415" s="518"/>
      <c r="AV415" s="518"/>
      <c r="AW415" s="518"/>
      <c r="AX415" s="518"/>
      <c r="AY415" s="518"/>
      <c r="AZ415" s="518"/>
      <c r="BA415" s="518"/>
      <c r="BB415" s="518"/>
      <c r="BC415" s="518"/>
      <c r="BD415" s="518"/>
      <c r="BE415" s="518"/>
    </row>
    <row r="416" spans="1:57" ht="12.75" customHeight="1">
      <c r="A416" s="518"/>
      <c r="B416" s="518"/>
      <c r="C416" s="518"/>
      <c r="D416" s="518"/>
      <c r="E416" s="518"/>
      <c r="F416" s="518"/>
      <c r="G416" s="518"/>
      <c r="H416" s="518"/>
      <c r="I416" s="518"/>
      <c r="J416" s="518"/>
      <c r="K416" s="518"/>
      <c r="L416" s="518"/>
      <c r="M416" s="518"/>
      <c r="N416" s="518"/>
      <c r="O416" s="518"/>
      <c r="P416" s="518"/>
      <c r="Q416" s="518"/>
      <c r="R416" s="518"/>
      <c r="S416" s="518"/>
      <c r="T416" s="518"/>
      <c r="U416" s="518"/>
      <c r="V416" s="518"/>
      <c r="W416" s="518"/>
      <c r="X416" s="518"/>
      <c r="Y416" s="518"/>
      <c r="Z416" s="518"/>
      <c r="AA416" s="518"/>
      <c r="AB416" s="518"/>
      <c r="AC416" s="518"/>
      <c r="AD416" s="518"/>
      <c r="AE416" s="518"/>
      <c r="AF416" s="518"/>
      <c r="AG416" s="518"/>
      <c r="AH416" s="518"/>
      <c r="AI416" s="518"/>
      <c r="AJ416" s="518"/>
      <c r="AK416" s="518"/>
      <c r="AL416" s="518"/>
      <c r="AM416" s="518"/>
      <c r="AN416" s="518"/>
      <c r="AO416" s="518"/>
      <c r="AP416" s="518"/>
      <c r="AQ416" s="518"/>
      <c r="AR416" s="518"/>
      <c r="AS416" s="518"/>
      <c r="AT416" s="518"/>
      <c r="AU416" s="518"/>
      <c r="AV416" s="518"/>
      <c r="AW416" s="518"/>
      <c r="AX416" s="518"/>
      <c r="AY416" s="518"/>
      <c r="AZ416" s="518"/>
      <c r="BA416" s="518"/>
      <c r="BB416" s="518"/>
      <c r="BC416" s="518"/>
      <c r="BD416" s="518"/>
      <c r="BE416" s="518"/>
    </row>
    <row r="417" spans="1:57" ht="12.75" customHeight="1">
      <c r="A417" s="518"/>
      <c r="B417" s="518"/>
      <c r="C417" s="518"/>
      <c r="D417" s="518"/>
      <c r="E417" s="518"/>
      <c r="F417" s="518"/>
      <c r="G417" s="518"/>
      <c r="H417" s="518"/>
      <c r="I417" s="518"/>
      <c r="J417" s="518"/>
      <c r="K417" s="518"/>
      <c r="L417" s="518"/>
      <c r="M417" s="518"/>
      <c r="N417" s="518"/>
      <c r="O417" s="518"/>
      <c r="P417" s="518"/>
      <c r="Q417" s="518"/>
      <c r="R417" s="518"/>
      <c r="S417" s="518"/>
      <c r="T417" s="518"/>
      <c r="U417" s="518"/>
      <c r="V417" s="518"/>
      <c r="W417" s="518"/>
      <c r="X417" s="518"/>
      <c r="Y417" s="518"/>
      <c r="Z417" s="518"/>
      <c r="AA417" s="518"/>
      <c r="AB417" s="518"/>
      <c r="AC417" s="518"/>
      <c r="AD417" s="518"/>
      <c r="AE417" s="518"/>
      <c r="AF417" s="518"/>
      <c r="AG417" s="518"/>
      <c r="AH417" s="518"/>
      <c r="AI417" s="518"/>
      <c r="AJ417" s="518"/>
      <c r="AK417" s="518"/>
      <c r="AL417" s="518"/>
      <c r="AM417" s="518"/>
      <c r="AN417" s="518"/>
      <c r="AO417" s="518"/>
      <c r="AP417" s="518"/>
      <c r="AQ417" s="518"/>
      <c r="AR417" s="518"/>
      <c r="AS417" s="518"/>
      <c r="AT417" s="518"/>
      <c r="AU417" s="518"/>
      <c r="AV417" s="518"/>
      <c r="AW417" s="518"/>
      <c r="AX417" s="518"/>
      <c r="AY417" s="518"/>
      <c r="AZ417" s="518"/>
      <c r="BA417" s="518"/>
      <c r="BB417" s="518"/>
      <c r="BC417" s="518"/>
      <c r="BD417" s="518"/>
      <c r="BE417" s="518"/>
    </row>
    <row r="418" spans="1:57" ht="12.75" customHeight="1">
      <c r="A418" s="518"/>
      <c r="B418" s="518"/>
      <c r="C418" s="518"/>
      <c r="D418" s="518"/>
      <c r="E418" s="518"/>
      <c r="F418" s="518"/>
      <c r="G418" s="518"/>
      <c r="H418" s="518"/>
      <c r="I418" s="518"/>
      <c r="J418" s="518"/>
      <c r="K418" s="518"/>
      <c r="L418" s="518"/>
      <c r="M418" s="518"/>
      <c r="N418" s="518"/>
      <c r="O418" s="518"/>
      <c r="P418" s="518"/>
      <c r="Q418" s="518"/>
      <c r="R418" s="518"/>
      <c r="S418" s="518"/>
      <c r="T418" s="518"/>
      <c r="U418" s="518"/>
      <c r="V418" s="518"/>
      <c r="W418" s="518"/>
      <c r="X418" s="518"/>
      <c r="Y418" s="518"/>
      <c r="Z418" s="518"/>
      <c r="AA418" s="518"/>
      <c r="AB418" s="518"/>
      <c r="AC418" s="518"/>
      <c r="AD418" s="518"/>
      <c r="AE418" s="518"/>
      <c r="AF418" s="518"/>
      <c r="AG418" s="518"/>
      <c r="AH418" s="518"/>
      <c r="AI418" s="518"/>
      <c r="AJ418" s="518"/>
      <c r="AK418" s="518"/>
      <c r="AL418" s="518"/>
      <c r="AM418" s="518"/>
      <c r="AN418" s="518"/>
      <c r="AO418" s="518"/>
      <c r="AP418" s="518"/>
      <c r="AQ418" s="518"/>
      <c r="AR418" s="518"/>
      <c r="AS418" s="518"/>
      <c r="AT418" s="518"/>
      <c r="AU418" s="518"/>
      <c r="AV418" s="518"/>
      <c r="AW418" s="518"/>
      <c r="AX418" s="518"/>
      <c r="AY418" s="518"/>
      <c r="AZ418" s="518"/>
      <c r="BA418" s="518"/>
      <c r="BB418" s="518"/>
      <c r="BC418" s="518"/>
      <c r="BD418" s="518"/>
      <c r="BE418" s="518"/>
    </row>
    <row r="419" spans="1:57" ht="12.75" customHeight="1">
      <c r="A419" s="518"/>
      <c r="B419" s="518"/>
      <c r="C419" s="518"/>
      <c r="D419" s="518"/>
      <c r="E419" s="518"/>
      <c r="F419" s="518"/>
      <c r="G419" s="518"/>
      <c r="H419" s="518"/>
      <c r="I419" s="518"/>
      <c r="J419" s="518"/>
      <c r="K419" s="518"/>
      <c r="L419" s="518"/>
      <c r="M419" s="518"/>
      <c r="N419" s="518"/>
      <c r="O419" s="518"/>
      <c r="P419" s="518"/>
      <c r="Q419" s="518"/>
      <c r="R419" s="518"/>
      <c r="S419" s="518"/>
      <c r="T419" s="518"/>
      <c r="U419" s="518"/>
      <c r="V419" s="518"/>
      <c r="W419" s="518"/>
      <c r="X419" s="518"/>
      <c r="Y419" s="518"/>
      <c r="Z419" s="518"/>
      <c r="AA419" s="518"/>
      <c r="AB419" s="518"/>
      <c r="AC419" s="518"/>
      <c r="AD419" s="518"/>
      <c r="AE419" s="518"/>
      <c r="AF419" s="518"/>
      <c r="AG419" s="518"/>
      <c r="AH419" s="518"/>
      <c r="AI419" s="518"/>
      <c r="AJ419" s="518"/>
      <c r="AK419" s="518"/>
      <c r="AL419" s="518"/>
      <c r="AM419" s="518"/>
      <c r="AN419" s="518"/>
      <c r="AO419" s="518"/>
      <c r="AP419" s="518"/>
      <c r="AQ419" s="518"/>
      <c r="AR419" s="518"/>
      <c r="AS419" s="518"/>
      <c r="AT419" s="518"/>
      <c r="AU419" s="518"/>
      <c r="AV419" s="518"/>
      <c r="AW419" s="518"/>
      <c r="AX419" s="518"/>
      <c r="AY419" s="518"/>
      <c r="AZ419" s="518"/>
      <c r="BA419" s="518"/>
      <c r="BB419" s="518"/>
      <c r="BC419" s="518"/>
      <c r="BD419" s="518"/>
      <c r="BE419" s="518"/>
    </row>
    <row r="420" spans="1:57" ht="12.75" customHeight="1">
      <c r="A420" s="518"/>
      <c r="B420" s="518"/>
      <c r="C420" s="518"/>
      <c r="D420" s="518"/>
      <c r="E420" s="518"/>
      <c r="F420" s="518"/>
      <c r="G420" s="518"/>
      <c r="H420" s="518"/>
      <c r="I420" s="518"/>
      <c r="J420" s="518"/>
      <c r="K420" s="518"/>
      <c r="L420" s="518"/>
      <c r="M420" s="518"/>
      <c r="N420" s="518"/>
      <c r="O420" s="518"/>
      <c r="P420" s="518"/>
      <c r="Q420" s="518"/>
      <c r="R420" s="518"/>
      <c r="S420" s="518"/>
      <c r="T420" s="518"/>
      <c r="U420" s="518"/>
      <c r="V420" s="518"/>
      <c r="W420" s="518"/>
      <c r="X420" s="518"/>
      <c r="Y420" s="518"/>
      <c r="Z420" s="518"/>
      <c r="AA420" s="518"/>
      <c r="AB420" s="518"/>
      <c r="AC420" s="518"/>
      <c r="AD420" s="518"/>
      <c r="AE420" s="518"/>
      <c r="AF420" s="518"/>
      <c r="AG420" s="518"/>
      <c r="AH420" s="518"/>
      <c r="AI420" s="518"/>
      <c r="AJ420" s="518"/>
      <c r="AK420" s="518"/>
      <c r="AL420" s="518"/>
      <c r="AM420" s="518"/>
      <c r="AN420" s="518"/>
      <c r="AO420" s="518"/>
      <c r="AP420" s="518"/>
      <c r="AQ420" s="518"/>
      <c r="AR420" s="518"/>
      <c r="AS420" s="518"/>
      <c r="AT420" s="518"/>
      <c r="AU420" s="518"/>
      <c r="AV420" s="518"/>
      <c r="AW420" s="518"/>
      <c r="AX420" s="518"/>
      <c r="AY420" s="518"/>
      <c r="AZ420" s="518"/>
      <c r="BA420" s="518"/>
      <c r="BB420" s="518"/>
      <c r="BC420" s="518"/>
      <c r="BD420" s="518"/>
      <c r="BE420" s="518"/>
    </row>
    <row r="421" spans="1:57" ht="12.75" customHeight="1">
      <c r="A421" s="518"/>
      <c r="B421" s="518"/>
      <c r="C421" s="518"/>
      <c r="D421" s="518"/>
      <c r="E421" s="518"/>
      <c r="F421" s="518"/>
      <c r="G421" s="518"/>
      <c r="H421" s="518"/>
      <c r="I421" s="518"/>
      <c r="J421" s="518"/>
      <c r="K421" s="518"/>
      <c r="L421" s="518"/>
      <c r="M421" s="518"/>
      <c r="N421" s="518"/>
      <c r="O421" s="518"/>
      <c r="P421" s="518"/>
      <c r="Q421" s="518"/>
      <c r="R421" s="518"/>
      <c r="S421" s="518"/>
      <c r="T421" s="518"/>
      <c r="U421" s="518"/>
      <c r="V421" s="518"/>
      <c r="W421" s="518"/>
      <c r="X421" s="518"/>
      <c r="Y421" s="518"/>
      <c r="Z421" s="518"/>
      <c r="AA421" s="518"/>
      <c r="AB421" s="518"/>
      <c r="AC421" s="518"/>
      <c r="AD421" s="518"/>
      <c r="AE421" s="518"/>
      <c r="AF421" s="518"/>
      <c r="AG421" s="518"/>
      <c r="AH421" s="518"/>
      <c r="AI421" s="518"/>
      <c r="AJ421" s="518"/>
      <c r="AK421" s="518"/>
      <c r="AL421" s="518"/>
      <c r="AM421" s="518"/>
      <c r="AN421" s="518"/>
      <c r="AO421" s="518"/>
      <c r="AP421" s="518"/>
      <c r="AQ421" s="518"/>
      <c r="AR421" s="518"/>
      <c r="AS421" s="518"/>
      <c r="AT421" s="518"/>
      <c r="AU421" s="518"/>
      <c r="AV421" s="518"/>
      <c r="AW421" s="518"/>
      <c r="AX421" s="518"/>
      <c r="AY421" s="518"/>
      <c r="AZ421" s="518"/>
      <c r="BA421" s="518"/>
      <c r="BB421" s="518"/>
      <c r="BC421" s="518"/>
      <c r="BD421" s="518"/>
      <c r="BE421" s="518"/>
    </row>
    <row r="422" spans="1:57" ht="12.75" customHeight="1">
      <c r="A422" s="518"/>
      <c r="B422" s="518"/>
      <c r="C422" s="518"/>
      <c r="D422" s="518"/>
      <c r="E422" s="518"/>
      <c r="F422" s="518"/>
      <c r="G422" s="518"/>
      <c r="H422" s="518"/>
      <c r="I422" s="518"/>
      <c r="J422" s="518"/>
      <c r="K422" s="518"/>
      <c r="L422" s="518"/>
      <c r="M422" s="518"/>
      <c r="N422" s="518"/>
      <c r="O422" s="518"/>
      <c r="P422" s="518"/>
      <c r="Q422" s="518"/>
      <c r="R422" s="518"/>
      <c r="S422" s="518"/>
      <c r="T422" s="518"/>
      <c r="U422" s="518"/>
      <c r="V422" s="518"/>
      <c r="W422" s="518"/>
      <c r="X422" s="518"/>
      <c r="Y422" s="518"/>
      <c r="Z422" s="518"/>
      <c r="AA422" s="518"/>
      <c r="AB422" s="518"/>
      <c r="AC422" s="518"/>
      <c r="AD422" s="518"/>
      <c r="AE422" s="518"/>
      <c r="AF422" s="518"/>
      <c r="AG422" s="518"/>
      <c r="AH422" s="518"/>
      <c r="AI422" s="518"/>
      <c r="AJ422" s="518"/>
      <c r="AK422" s="518"/>
      <c r="AL422" s="518"/>
      <c r="AM422" s="518"/>
      <c r="AN422" s="518"/>
      <c r="AO422" s="518"/>
      <c r="AP422" s="518"/>
      <c r="AQ422" s="518"/>
      <c r="AR422" s="518"/>
      <c r="AS422" s="518"/>
      <c r="AT422" s="518"/>
      <c r="AU422" s="518"/>
      <c r="AV422" s="518"/>
      <c r="AW422" s="518"/>
      <c r="AX422" s="518"/>
      <c r="AY422" s="518"/>
      <c r="AZ422" s="518"/>
      <c r="BA422" s="518"/>
      <c r="BB422" s="518"/>
      <c r="BC422" s="518"/>
      <c r="BD422" s="518"/>
      <c r="BE422" s="518"/>
    </row>
    <row r="423" spans="1:57" ht="12.75" customHeight="1">
      <c r="A423" s="518"/>
      <c r="B423" s="518"/>
      <c r="C423" s="518"/>
      <c r="D423" s="518"/>
      <c r="E423" s="518"/>
      <c r="F423" s="518"/>
      <c r="G423" s="518"/>
      <c r="H423" s="518"/>
      <c r="I423" s="518"/>
      <c r="J423" s="518"/>
      <c r="K423" s="518"/>
      <c r="L423" s="518"/>
      <c r="M423" s="518"/>
      <c r="N423" s="518"/>
      <c r="O423" s="518"/>
      <c r="P423" s="518"/>
      <c r="Q423" s="518"/>
      <c r="R423" s="518"/>
      <c r="S423" s="518"/>
      <c r="T423" s="518"/>
      <c r="U423" s="518"/>
      <c r="V423" s="518"/>
      <c r="W423" s="518"/>
      <c r="X423" s="518"/>
      <c r="Y423" s="518"/>
      <c r="Z423" s="518"/>
      <c r="AA423" s="518"/>
      <c r="AB423" s="518"/>
      <c r="AC423" s="518"/>
      <c r="AD423" s="518"/>
      <c r="AE423" s="518"/>
      <c r="AF423" s="518"/>
      <c r="AG423" s="518"/>
      <c r="AH423" s="518"/>
      <c r="AI423" s="518"/>
      <c r="AJ423" s="518"/>
      <c r="AK423" s="518"/>
      <c r="AL423" s="518"/>
      <c r="AM423" s="518"/>
      <c r="AN423" s="518"/>
      <c r="AO423" s="518"/>
      <c r="AP423" s="518"/>
      <c r="AQ423" s="518"/>
      <c r="AR423" s="518"/>
      <c r="AS423" s="518"/>
      <c r="AT423" s="518"/>
      <c r="AU423" s="518"/>
      <c r="AV423" s="518"/>
      <c r="AW423" s="518"/>
      <c r="AX423" s="518"/>
      <c r="AY423" s="518"/>
      <c r="AZ423" s="518"/>
      <c r="BA423" s="518"/>
      <c r="BB423" s="518"/>
      <c r="BC423" s="518"/>
      <c r="BD423" s="518"/>
      <c r="BE423" s="518"/>
    </row>
    <row r="424" spans="1:57" ht="12.75" customHeight="1">
      <c r="A424" s="518"/>
      <c r="B424" s="518"/>
      <c r="C424" s="518"/>
      <c r="D424" s="518"/>
      <c r="E424" s="518"/>
      <c r="F424" s="518"/>
      <c r="G424" s="518"/>
      <c r="H424" s="518"/>
      <c r="I424" s="518"/>
      <c r="J424" s="518"/>
      <c r="K424" s="518"/>
      <c r="L424" s="518"/>
      <c r="M424" s="518"/>
      <c r="N424" s="518"/>
      <c r="O424" s="518"/>
      <c r="P424" s="518"/>
      <c r="Q424" s="518"/>
      <c r="R424" s="518"/>
      <c r="S424" s="518"/>
      <c r="T424" s="518"/>
      <c r="U424" s="518"/>
      <c r="V424" s="518"/>
      <c r="W424" s="518"/>
      <c r="X424" s="518"/>
      <c r="Y424" s="518"/>
      <c r="Z424" s="518"/>
      <c r="AA424" s="518"/>
      <c r="AB424" s="518"/>
      <c r="AC424" s="518"/>
      <c r="AD424" s="518"/>
      <c r="AE424" s="518"/>
      <c r="AF424" s="518"/>
      <c r="AG424" s="518"/>
      <c r="AH424" s="518"/>
      <c r="AI424" s="518"/>
      <c r="AJ424" s="518"/>
      <c r="AK424" s="518"/>
      <c r="AL424" s="518"/>
      <c r="AM424" s="518"/>
      <c r="AN424" s="518"/>
      <c r="AO424" s="518"/>
      <c r="AP424" s="518"/>
      <c r="AQ424" s="518"/>
      <c r="AR424" s="518"/>
      <c r="AS424" s="518"/>
      <c r="AT424" s="518"/>
      <c r="AU424" s="518"/>
      <c r="AV424" s="518"/>
      <c r="AW424" s="518"/>
      <c r="AX424" s="518"/>
      <c r="AY424" s="518"/>
      <c r="AZ424" s="518"/>
      <c r="BA424" s="518"/>
      <c r="BB424" s="518"/>
      <c r="BC424" s="518"/>
      <c r="BD424" s="518"/>
      <c r="BE424" s="518"/>
    </row>
    <row r="425" spans="1:57" ht="12.75" customHeight="1">
      <c r="A425" s="518"/>
      <c r="B425" s="518"/>
      <c r="C425" s="518"/>
      <c r="D425" s="518"/>
      <c r="E425" s="518"/>
      <c r="F425" s="518"/>
      <c r="G425" s="518"/>
      <c r="H425" s="518"/>
      <c r="I425" s="518"/>
      <c r="J425" s="518"/>
      <c r="K425" s="518"/>
      <c r="L425" s="518"/>
      <c r="M425" s="518"/>
      <c r="N425" s="518"/>
      <c r="O425" s="518"/>
      <c r="P425" s="518"/>
      <c r="Q425" s="518"/>
      <c r="R425" s="518"/>
      <c r="S425" s="518"/>
      <c r="T425" s="518"/>
      <c r="U425" s="518"/>
      <c r="V425" s="518"/>
      <c r="W425" s="518"/>
      <c r="X425" s="518"/>
      <c r="Y425" s="518"/>
      <c r="Z425" s="518"/>
      <c r="AA425" s="518"/>
      <c r="AB425" s="518"/>
      <c r="AC425" s="518"/>
      <c r="AD425" s="518"/>
      <c r="AE425" s="518"/>
      <c r="AF425" s="518"/>
      <c r="AG425" s="518"/>
      <c r="AH425" s="518"/>
      <c r="AI425" s="518"/>
      <c r="AJ425" s="518"/>
      <c r="AK425" s="518"/>
      <c r="AL425" s="518"/>
      <c r="AM425" s="518"/>
      <c r="AN425" s="518"/>
      <c r="AO425" s="518"/>
      <c r="AP425" s="518"/>
      <c r="AQ425" s="518"/>
      <c r="AR425" s="518"/>
      <c r="AS425" s="518"/>
      <c r="AT425" s="518"/>
      <c r="AU425" s="518"/>
      <c r="AV425" s="518"/>
      <c r="AW425" s="518"/>
      <c r="AX425" s="518"/>
      <c r="AY425" s="518"/>
      <c r="AZ425" s="518"/>
      <c r="BA425" s="518"/>
      <c r="BB425" s="518"/>
      <c r="BC425" s="518"/>
      <c r="BD425" s="518"/>
      <c r="BE425" s="518"/>
    </row>
    <row r="426" spans="1:57" ht="12.75" customHeight="1">
      <c r="A426" s="518"/>
      <c r="B426" s="518"/>
      <c r="C426" s="518"/>
      <c r="D426" s="518"/>
      <c r="E426" s="518"/>
      <c r="F426" s="518"/>
      <c r="G426" s="518"/>
      <c r="H426" s="518"/>
      <c r="I426" s="518"/>
      <c r="J426" s="518"/>
      <c r="K426" s="518"/>
      <c r="L426" s="518"/>
      <c r="M426" s="518"/>
      <c r="N426" s="518"/>
      <c r="O426" s="518"/>
      <c r="P426" s="518"/>
      <c r="Q426" s="518"/>
      <c r="R426" s="518"/>
      <c r="S426" s="518"/>
      <c r="T426" s="518"/>
      <c r="U426" s="518"/>
      <c r="V426" s="518"/>
      <c r="W426" s="518"/>
      <c r="X426" s="518"/>
      <c r="Y426" s="518"/>
      <c r="Z426" s="518"/>
      <c r="AA426" s="518"/>
      <c r="AB426" s="518"/>
      <c r="AC426" s="518"/>
      <c r="AD426" s="518"/>
      <c r="AE426" s="518"/>
      <c r="AF426" s="518"/>
      <c r="AG426" s="518"/>
      <c r="AH426" s="518"/>
      <c r="AI426" s="518"/>
      <c r="AJ426" s="518"/>
      <c r="AK426" s="518"/>
      <c r="AL426" s="518"/>
      <c r="AM426" s="518"/>
      <c r="AN426" s="518"/>
      <c r="AO426" s="518"/>
      <c r="AP426" s="518"/>
      <c r="AQ426" s="518"/>
      <c r="AR426" s="518"/>
      <c r="AS426" s="518"/>
      <c r="AT426" s="518"/>
      <c r="AU426" s="518"/>
      <c r="AV426" s="518"/>
      <c r="AW426" s="518"/>
      <c r="AX426" s="518"/>
      <c r="AY426" s="518"/>
      <c r="AZ426" s="518"/>
      <c r="BA426" s="518"/>
      <c r="BB426" s="518"/>
      <c r="BC426" s="518"/>
      <c r="BD426" s="518"/>
      <c r="BE426" s="518"/>
    </row>
    <row r="427" spans="1:57" ht="12.75" customHeight="1">
      <c r="A427" s="518"/>
      <c r="B427" s="518"/>
      <c r="C427" s="518"/>
      <c r="D427" s="518"/>
      <c r="E427" s="518"/>
      <c r="F427" s="518"/>
      <c r="G427" s="518"/>
      <c r="H427" s="518"/>
      <c r="I427" s="518"/>
      <c r="J427" s="518"/>
      <c r="K427" s="518"/>
      <c r="L427" s="518"/>
      <c r="M427" s="518"/>
      <c r="N427" s="518"/>
      <c r="O427" s="518"/>
      <c r="P427" s="518"/>
      <c r="Q427" s="518"/>
      <c r="R427" s="518"/>
      <c r="S427" s="518"/>
      <c r="T427" s="518"/>
      <c r="U427" s="518"/>
      <c r="V427" s="518"/>
      <c r="W427" s="518"/>
      <c r="X427" s="518"/>
      <c r="Y427" s="518"/>
      <c r="Z427" s="518"/>
      <c r="AA427" s="518"/>
      <c r="AB427" s="518"/>
      <c r="AC427" s="518"/>
      <c r="AD427" s="518"/>
      <c r="AE427" s="518"/>
      <c r="AF427" s="518"/>
      <c r="AG427" s="518"/>
      <c r="AH427" s="518"/>
      <c r="AI427" s="518"/>
      <c r="AJ427" s="518"/>
      <c r="AK427" s="518"/>
      <c r="AL427" s="518"/>
      <c r="AM427" s="518"/>
      <c r="AN427" s="518"/>
      <c r="AO427" s="518"/>
      <c r="AP427" s="518"/>
      <c r="AQ427" s="518"/>
      <c r="AR427" s="518"/>
      <c r="AS427" s="518"/>
      <c r="AT427" s="518"/>
      <c r="AU427" s="518"/>
      <c r="AV427" s="518"/>
      <c r="AW427" s="518"/>
      <c r="AX427" s="518"/>
      <c r="AY427" s="518"/>
      <c r="AZ427" s="518"/>
      <c r="BA427" s="518"/>
      <c r="BB427" s="518"/>
      <c r="BC427" s="518"/>
      <c r="BD427" s="518"/>
      <c r="BE427" s="518"/>
    </row>
    <row r="428" spans="1:57" ht="12.75" customHeight="1">
      <c r="A428" s="518"/>
      <c r="B428" s="518"/>
      <c r="C428" s="518"/>
      <c r="D428" s="518"/>
      <c r="E428" s="518"/>
      <c r="F428" s="518"/>
      <c r="G428" s="518"/>
      <c r="H428" s="518"/>
      <c r="I428" s="518"/>
      <c r="J428" s="518"/>
      <c r="K428" s="518"/>
      <c r="L428" s="518"/>
      <c r="M428" s="518"/>
      <c r="N428" s="518"/>
      <c r="O428" s="518"/>
      <c r="P428" s="518"/>
      <c r="Q428" s="518"/>
      <c r="R428" s="518"/>
      <c r="S428" s="518"/>
      <c r="T428" s="518"/>
      <c r="U428" s="518"/>
      <c r="V428" s="518"/>
      <c r="W428" s="518"/>
      <c r="X428" s="518"/>
      <c r="Y428" s="518"/>
      <c r="Z428" s="518"/>
      <c r="AA428" s="518"/>
      <c r="AB428" s="518"/>
      <c r="AC428" s="518"/>
      <c r="AD428" s="518"/>
      <c r="AE428" s="518"/>
      <c r="AF428" s="518"/>
      <c r="AG428" s="518"/>
      <c r="AH428" s="518"/>
      <c r="AI428" s="518"/>
      <c r="AJ428" s="518"/>
      <c r="AK428" s="518"/>
      <c r="AL428" s="518"/>
      <c r="AM428" s="518"/>
      <c r="AN428" s="518"/>
      <c r="AO428" s="518"/>
      <c r="AP428" s="518"/>
      <c r="AQ428" s="518"/>
      <c r="AR428" s="518"/>
      <c r="AS428" s="518"/>
      <c r="AT428" s="518"/>
      <c r="AU428" s="518"/>
      <c r="AV428" s="518"/>
      <c r="AW428" s="518"/>
      <c r="AX428" s="518"/>
      <c r="AY428" s="518"/>
      <c r="AZ428" s="518"/>
      <c r="BA428" s="518"/>
      <c r="BB428" s="518"/>
      <c r="BC428" s="518"/>
      <c r="BD428" s="518"/>
      <c r="BE428" s="518"/>
    </row>
    <row r="429" spans="1:57" ht="12.75" customHeight="1">
      <c r="A429" s="518"/>
      <c r="B429" s="518"/>
      <c r="C429" s="518"/>
      <c r="D429" s="518"/>
      <c r="E429" s="518"/>
      <c r="F429" s="518"/>
      <c r="G429" s="518"/>
      <c r="H429" s="518"/>
      <c r="I429" s="518"/>
      <c r="J429" s="518"/>
      <c r="K429" s="518"/>
      <c r="L429" s="518"/>
      <c r="M429" s="518"/>
      <c r="N429" s="518"/>
      <c r="O429" s="518"/>
      <c r="P429" s="518"/>
      <c r="Q429" s="518"/>
      <c r="R429" s="518"/>
      <c r="S429" s="518"/>
      <c r="T429" s="518"/>
      <c r="U429" s="518"/>
      <c r="V429" s="518"/>
      <c r="W429" s="518"/>
      <c r="X429" s="518"/>
      <c r="Y429" s="518"/>
      <c r="Z429" s="518"/>
      <c r="AA429" s="518"/>
      <c r="AB429" s="518"/>
      <c r="AC429" s="518"/>
      <c r="AD429" s="518"/>
      <c r="AE429" s="518"/>
      <c r="AF429" s="518"/>
      <c r="AG429" s="518"/>
      <c r="AH429" s="518"/>
      <c r="AI429" s="518"/>
      <c r="AJ429" s="518"/>
      <c r="AK429" s="518"/>
      <c r="AL429" s="518"/>
      <c r="AM429" s="518"/>
      <c r="AN429" s="518"/>
      <c r="AO429" s="518"/>
      <c r="AP429" s="518"/>
      <c r="AQ429" s="518"/>
      <c r="AR429" s="518"/>
      <c r="AS429" s="518"/>
      <c r="AT429" s="518"/>
      <c r="AU429" s="518"/>
      <c r="AV429" s="518"/>
      <c r="AW429" s="518"/>
      <c r="AX429" s="518"/>
      <c r="AY429" s="518"/>
      <c r="AZ429" s="518"/>
      <c r="BA429" s="518"/>
      <c r="BB429" s="518"/>
      <c r="BC429" s="518"/>
      <c r="BD429" s="518"/>
      <c r="BE429" s="518"/>
    </row>
    <row r="430" spans="1:57" ht="12.75" customHeight="1">
      <c r="A430" s="518"/>
      <c r="B430" s="518"/>
      <c r="C430" s="518"/>
      <c r="D430" s="518"/>
      <c r="E430" s="518"/>
      <c r="F430" s="518"/>
      <c r="G430" s="518"/>
      <c r="H430" s="518"/>
      <c r="I430" s="518"/>
      <c r="J430" s="518"/>
      <c r="K430" s="518"/>
      <c r="L430" s="518"/>
      <c r="M430" s="518"/>
      <c r="N430" s="518"/>
      <c r="O430" s="518"/>
      <c r="P430" s="518"/>
      <c r="Q430" s="518"/>
      <c r="R430" s="518"/>
      <c r="S430" s="518"/>
      <c r="T430" s="518"/>
      <c r="U430" s="518"/>
      <c r="V430" s="518"/>
      <c r="W430" s="518"/>
      <c r="X430" s="518"/>
      <c r="Y430" s="518"/>
      <c r="Z430" s="518"/>
      <c r="AA430" s="518"/>
      <c r="AB430" s="518"/>
      <c r="AC430" s="518"/>
      <c r="AD430" s="518"/>
      <c r="AE430" s="518"/>
      <c r="AF430" s="518"/>
      <c r="AG430" s="518"/>
      <c r="AH430" s="518"/>
      <c r="AI430" s="518"/>
      <c r="AJ430" s="518"/>
      <c r="AK430" s="518"/>
      <c r="AL430" s="518"/>
      <c r="AM430" s="518"/>
      <c r="AN430" s="518"/>
      <c r="AO430" s="518"/>
      <c r="AP430" s="518"/>
      <c r="AQ430" s="518"/>
      <c r="AR430" s="518"/>
      <c r="AS430" s="518"/>
      <c r="AT430" s="518"/>
      <c r="AU430" s="518"/>
      <c r="AV430" s="518"/>
      <c r="AW430" s="518"/>
      <c r="AX430" s="518"/>
      <c r="AY430" s="518"/>
      <c r="AZ430" s="518"/>
      <c r="BA430" s="518"/>
      <c r="BB430" s="518"/>
      <c r="BC430" s="518"/>
      <c r="BD430" s="518"/>
      <c r="BE430" s="518"/>
    </row>
    <row r="431" spans="1:57" ht="12.75" customHeight="1">
      <c r="A431" s="518"/>
      <c r="B431" s="518"/>
      <c r="C431" s="518"/>
      <c r="D431" s="518"/>
      <c r="E431" s="518"/>
      <c r="F431" s="518"/>
      <c r="G431" s="518"/>
      <c r="H431" s="518"/>
      <c r="I431" s="518"/>
      <c r="J431" s="518"/>
      <c r="K431" s="518"/>
      <c r="L431" s="518"/>
      <c r="M431" s="518"/>
      <c r="N431" s="518"/>
      <c r="O431" s="518"/>
      <c r="P431" s="518"/>
      <c r="Q431" s="518"/>
      <c r="R431" s="518"/>
      <c r="S431" s="518"/>
      <c r="T431" s="518"/>
      <c r="U431" s="518"/>
      <c r="V431" s="518"/>
      <c r="W431" s="518"/>
      <c r="X431" s="518"/>
      <c r="Y431" s="518"/>
      <c r="Z431" s="518"/>
      <c r="AA431" s="518"/>
      <c r="AB431" s="518"/>
      <c r="AC431" s="518"/>
      <c r="AD431" s="518"/>
      <c r="AE431" s="518"/>
      <c r="AF431" s="518"/>
      <c r="AG431" s="518"/>
      <c r="AH431" s="518"/>
      <c r="AI431" s="518"/>
      <c r="AJ431" s="518"/>
      <c r="AK431" s="518"/>
      <c r="AL431" s="518"/>
      <c r="AM431" s="518"/>
      <c r="AN431" s="518"/>
      <c r="AO431" s="518"/>
      <c r="AP431" s="518"/>
      <c r="AQ431" s="518"/>
      <c r="AR431" s="518"/>
      <c r="AS431" s="518"/>
      <c r="AT431" s="518"/>
      <c r="AU431" s="518"/>
      <c r="AV431" s="518"/>
      <c r="AW431" s="518"/>
      <c r="AX431" s="518"/>
      <c r="AY431" s="518"/>
      <c r="AZ431" s="518"/>
      <c r="BA431" s="518"/>
      <c r="BB431" s="518"/>
      <c r="BC431" s="518"/>
      <c r="BD431" s="518"/>
      <c r="BE431" s="518"/>
    </row>
    <row r="432" spans="1:57" ht="12.75" customHeight="1">
      <c r="A432" s="518"/>
      <c r="B432" s="518"/>
      <c r="C432" s="518"/>
      <c r="D432" s="518"/>
      <c r="E432" s="518"/>
      <c r="F432" s="518"/>
      <c r="G432" s="518"/>
      <c r="H432" s="518"/>
      <c r="I432" s="518"/>
      <c r="J432" s="518"/>
      <c r="K432" s="518"/>
      <c r="L432" s="518"/>
      <c r="M432" s="518"/>
      <c r="N432" s="518"/>
      <c r="O432" s="518"/>
      <c r="P432" s="518"/>
      <c r="Q432" s="518"/>
      <c r="R432" s="518"/>
      <c r="S432" s="518"/>
      <c r="T432" s="518"/>
      <c r="U432" s="518"/>
      <c r="V432" s="518"/>
      <c r="W432" s="518"/>
      <c r="X432" s="518"/>
      <c r="Y432" s="518"/>
      <c r="Z432" s="518"/>
      <c r="AA432" s="518"/>
      <c r="AB432" s="518"/>
      <c r="AC432" s="518"/>
      <c r="AD432" s="518"/>
      <c r="AE432" s="518"/>
      <c r="AF432" s="518"/>
      <c r="AG432" s="518"/>
      <c r="AH432" s="518"/>
      <c r="AI432" s="518"/>
      <c r="AJ432" s="518"/>
      <c r="AK432" s="518"/>
      <c r="AL432" s="518"/>
      <c r="AM432" s="518"/>
      <c r="AN432" s="518"/>
      <c r="AO432" s="518"/>
      <c r="AP432" s="518"/>
      <c r="AQ432" s="518"/>
      <c r="AR432" s="518"/>
      <c r="AS432" s="518"/>
      <c r="AT432" s="518"/>
      <c r="AU432" s="518"/>
      <c r="AV432" s="518"/>
      <c r="AW432" s="518"/>
      <c r="AX432" s="518"/>
      <c r="AY432" s="518"/>
      <c r="AZ432" s="518"/>
      <c r="BA432" s="518"/>
      <c r="BB432" s="518"/>
      <c r="BC432" s="518"/>
      <c r="BD432" s="518"/>
      <c r="BE432" s="518"/>
    </row>
    <row r="433" spans="1:57" ht="12.75" customHeight="1">
      <c r="A433" s="518"/>
      <c r="B433" s="518"/>
      <c r="C433" s="518"/>
      <c r="D433" s="518"/>
      <c r="E433" s="518"/>
      <c r="F433" s="518"/>
      <c r="G433" s="518"/>
      <c r="H433" s="518"/>
      <c r="I433" s="518"/>
      <c r="J433" s="518"/>
      <c r="K433" s="518"/>
      <c r="L433" s="518"/>
      <c r="M433" s="518"/>
      <c r="N433" s="518"/>
      <c r="O433" s="518"/>
      <c r="P433" s="518"/>
      <c r="Q433" s="518"/>
      <c r="R433" s="518"/>
      <c r="S433" s="518"/>
      <c r="T433" s="518"/>
      <c r="U433" s="518"/>
      <c r="V433" s="518"/>
      <c r="W433" s="518"/>
      <c r="X433" s="518"/>
      <c r="Y433" s="518"/>
      <c r="Z433" s="518"/>
      <c r="AA433" s="518"/>
      <c r="AB433" s="518"/>
      <c r="AC433" s="518"/>
      <c r="AD433" s="518"/>
      <c r="AE433" s="518"/>
      <c r="AF433" s="518"/>
      <c r="AG433" s="518"/>
      <c r="AH433" s="518"/>
      <c r="AI433" s="518"/>
      <c r="AJ433" s="518"/>
      <c r="AK433" s="518"/>
      <c r="AL433" s="518"/>
      <c r="AM433" s="518"/>
      <c r="AN433" s="518"/>
      <c r="AO433" s="518"/>
      <c r="AP433" s="518"/>
      <c r="AQ433" s="518"/>
      <c r="AR433" s="518"/>
      <c r="AS433" s="518"/>
      <c r="AT433" s="518"/>
      <c r="AU433" s="518"/>
      <c r="AV433" s="518"/>
      <c r="AW433" s="518"/>
      <c r="AX433" s="518"/>
      <c r="AY433" s="518"/>
      <c r="AZ433" s="518"/>
      <c r="BA433" s="518"/>
      <c r="BB433" s="518"/>
      <c r="BC433" s="518"/>
      <c r="BD433" s="518"/>
      <c r="BE433" s="518"/>
    </row>
    <row r="434" spans="1:57" ht="12.75" customHeight="1">
      <c r="A434" s="518"/>
      <c r="B434" s="518"/>
      <c r="C434" s="518"/>
      <c r="D434" s="518"/>
      <c r="E434" s="518"/>
      <c r="F434" s="518"/>
      <c r="G434" s="518"/>
      <c r="H434" s="518"/>
      <c r="I434" s="518"/>
      <c r="J434" s="518"/>
      <c r="K434" s="518"/>
      <c r="L434" s="518"/>
      <c r="M434" s="518"/>
      <c r="N434" s="518"/>
      <c r="O434" s="518"/>
      <c r="P434" s="518"/>
      <c r="Q434" s="518"/>
      <c r="R434" s="518"/>
      <c r="S434" s="518"/>
      <c r="T434" s="518"/>
      <c r="U434" s="518"/>
      <c r="V434" s="518"/>
      <c r="W434" s="518"/>
      <c r="X434" s="518"/>
      <c r="Y434" s="518"/>
      <c r="Z434" s="518"/>
      <c r="AA434" s="518"/>
      <c r="AB434" s="518"/>
      <c r="AC434" s="518"/>
      <c r="AD434" s="518"/>
      <c r="AE434" s="518"/>
      <c r="AF434" s="518"/>
      <c r="AG434" s="518"/>
      <c r="AH434" s="518"/>
      <c r="AI434" s="518"/>
      <c r="AJ434" s="518"/>
      <c r="AK434" s="518"/>
      <c r="AL434" s="518"/>
      <c r="AM434" s="518"/>
      <c r="AN434" s="518"/>
      <c r="AO434" s="518"/>
      <c r="AP434" s="518"/>
      <c r="AQ434" s="518"/>
      <c r="AR434" s="518"/>
      <c r="AS434" s="518"/>
      <c r="AT434" s="518"/>
      <c r="AU434" s="518"/>
      <c r="AV434" s="518"/>
      <c r="AW434" s="518"/>
      <c r="AX434" s="518"/>
      <c r="AY434" s="518"/>
      <c r="AZ434" s="518"/>
      <c r="BA434" s="518"/>
      <c r="BB434" s="518"/>
      <c r="BC434" s="518"/>
      <c r="BD434" s="518"/>
      <c r="BE434" s="518"/>
    </row>
    <row r="435" spans="1:57" ht="12.75" customHeight="1">
      <c r="A435" s="518"/>
      <c r="B435" s="518"/>
      <c r="C435" s="518"/>
      <c r="D435" s="518"/>
      <c r="E435" s="518"/>
      <c r="F435" s="518"/>
      <c r="G435" s="518"/>
      <c r="H435" s="518"/>
      <c r="I435" s="518"/>
      <c r="J435" s="518"/>
      <c r="K435" s="518"/>
      <c r="L435" s="518"/>
      <c r="M435" s="518"/>
      <c r="N435" s="518"/>
      <c r="O435" s="518"/>
      <c r="P435" s="518"/>
      <c r="Q435" s="518"/>
      <c r="R435" s="518"/>
      <c r="S435" s="518"/>
      <c r="T435" s="518"/>
      <c r="U435" s="518"/>
      <c r="V435" s="518"/>
      <c r="W435" s="518"/>
      <c r="X435" s="518"/>
      <c r="Y435" s="518"/>
      <c r="Z435" s="518"/>
      <c r="AA435" s="518"/>
      <c r="AB435" s="518"/>
      <c r="AC435" s="518"/>
      <c r="AD435" s="518"/>
      <c r="AE435" s="518"/>
      <c r="AF435" s="518"/>
      <c r="AG435" s="518"/>
      <c r="AH435" s="518"/>
      <c r="AI435" s="518"/>
      <c r="AJ435" s="518"/>
      <c r="AK435" s="518"/>
      <c r="AL435" s="518"/>
      <c r="AM435" s="518"/>
      <c r="AN435" s="518"/>
      <c r="AO435" s="518"/>
      <c r="AP435" s="518"/>
      <c r="AQ435" s="518"/>
      <c r="AR435" s="518"/>
      <c r="AS435" s="518"/>
      <c r="AT435" s="518"/>
      <c r="AU435" s="518"/>
      <c r="AV435" s="518"/>
      <c r="AW435" s="518"/>
      <c r="AX435" s="518"/>
      <c r="AY435" s="518"/>
      <c r="AZ435" s="518"/>
      <c r="BA435" s="518"/>
      <c r="BB435" s="518"/>
      <c r="BC435" s="518"/>
      <c r="BD435" s="518"/>
      <c r="BE435" s="518"/>
    </row>
    <row r="436" spans="1:57" ht="12.75" customHeight="1">
      <c r="A436" s="518"/>
      <c r="B436" s="518"/>
      <c r="C436" s="518"/>
      <c r="D436" s="518"/>
      <c r="E436" s="518"/>
      <c r="F436" s="518"/>
      <c r="G436" s="518"/>
      <c r="H436" s="518"/>
      <c r="I436" s="518"/>
      <c r="J436" s="518"/>
      <c r="K436" s="518"/>
      <c r="L436" s="518"/>
      <c r="M436" s="518"/>
      <c r="N436" s="518"/>
      <c r="O436" s="518"/>
      <c r="P436" s="518"/>
      <c r="Q436" s="518"/>
      <c r="R436" s="518"/>
      <c r="S436" s="518"/>
      <c r="T436" s="518"/>
      <c r="U436" s="518"/>
      <c r="V436" s="518"/>
      <c r="W436" s="518"/>
      <c r="X436" s="518"/>
      <c r="Y436" s="518"/>
      <c r="Z436" s="518"/>
      <c r="AA436" s="518"/>
      <c r="AB436" s="518"/>
      <c r="AC436" s="518"/>
      <c r="AD436" s="518"/>
      <c r="AE436" s="518"/>
      <c r="AF436" s="518"/>
      <c r="AG436" s="518"/>
      <c r="AH436" s="518"/>
      <c r="AI436" s="518"/>
      <c r="AJ436" s="518"/>
      <c r="AK436" s="518"/>
      <c r="AL436" s="518"/>
      <c r="AM436" s="518"/>
      <c r="AN436" s="518"/>
      <c r="AO436" s="518"/>
      <c r="AP436" s="518"/>
      <c r="AQ436" s="518"/>
      <c r="AR436" s="518"/>
      <c r="AS436" s="518"/>
      <c r="AT436" s="518"/>
      <c r="AU436" s="518"/>
      <c r="AV436" s="518"/>
      <c r="AW436" s="518"/>
      <c r="AX436" s="518"/>
      <c r="AY436" s="518"/>
      <c r="AZ436" s="518"/>
      <c r="BA436" s="518"/>
      <c r="BB436" s="518"/>
      <c r="BC436" s="518"/>
      <c r="BD436" s="518"/>
      <c r="BE436" s="518"/>
    </row>
    <row r="437" spans="1:57" ht="12.75" customHeight="1">
      <c r="A437" s="518"/>
      <c r="B437" s="518"/>
      <c r="C437" s="518"/>
      <c r="D437" s="518"/>
      <c r="E437" s="518"/>
      <c r="F437" s="518"/>
      <c r="G437" s="518"/>
      <c r="H437" s="518"/>
      <c r="I437" s="518"/>
      <c r="J437" s="518"/>
      <c r="K437" s="518"/>
      <c r="L437" s="518"/>
      <c r="M437" s="518"/>
      <c r="N437" s="518"/>
      <c r="O437" s="518"/>
      <c r="P437" s="518"/>
      <c r="Q437" s="518"/>
      <c r="R437" s="518"/>
      <c r="S437" s="518"/>
      <c r="T437" s="518"/>
      <c r="U437" s="518"/>
      <c r="V437" s="518"/>
      <c r="W437" s="518"/>
      <c r="X437" s="518"/>
      <c r="Y437" s="518"/>
      <c r="Z437" s="518"/>
      <c r="AA437" s="518"/>
      <c r="AB437" s="518"/>
      <c r="AC437" s="518"/>
      <c r="AD437" s="518"/>
      <c r="AE437" s="518"/>
      <c r="AF437" s="518"/>
      <c r="AG437" s="518"/>
      <c r="AH437" s="518"/>
      <c r="AI437" s="518"/>
      <c r="AJ437" s="518"/>
      <c r="AK437" s="518"/>
      <c r="AL437" s="518"/>
      <c r="AM437" s="518"/>
      <c r="AN437" s="518"/>
      <c r="AO437" s="518"/>
      <c r="AP437" s="518"/>
      <c r="AQ437" s="518"/>
      <c r="AR437" s="518"/>
      <c r="AS437" s="518"/>
      <c r="AT437" s="518"/>
      <c r="AU437" s="518"/>
      <c r="AV437" s="518"/>
      <c r="AW437" s="518"/>
      <c r="AX437" s="518"/>
      <c r="AY437" s="518"/>
      <c r="AZ437" s="518"/>
      <c r="BA437" s="518"/>
      <c r="BB437" s="518"/>
      <c r="BC437" s="518"/>
      <c r="BD437" s="518"/>
      <c r="BE437" s="518"/>
    </row>
    <row r="438" spans="1:57" ht="12.75" customHeight="1">
      <c r="A438" s="518"/>
      <c r="B438" s="518"/>
      <c r="C438" s="518"/>
      <c r="D438" s="518"/>
      <c r="E438" s="518"/>
      <c r="F438" s="518"/>
      <c r="G438" s="518"/>
      <c r="H438" s="518"/>
      <c r="I438" s="518"/>
      <c r="J438" s="518"/>
      <c r="K438" s="518"/>
      <c r="L438" s="518"/>
      <c r="M438" s="518"/>
      <c r="N438" s="518"/>
      <c r="O438" s="518"/>
      <c r="P438" s="518"/>
      <c r="Q438" s="518"/>
      <c r="R438" s="518"/>
      <c r="S438" s="518"/>
      <c r="T438" s="518"/>
      <c r="U438" s="518"/>
      <c r="V438" s="518"/>
      <c r="W438" s="518"/>
      <c r="X438" s="518"/>
      <c r="Y438" s="518"/>
      <c r="Z438" s="518"/>
      <c r="AA438" s="518"/>
      <c r="AB438" s="518"/>
      <c r="AC438" s="518"/>
      <c r="AD438" s="518"/>
      <c r="AE438" s="518"/>
      <c r="AF438" s="518"/>
      <c r="AG438" s="518"/>
      <c r="AH438" s="518"/>
      <c r="AI438" s="518"/>
      <c r="AJ438" s="518"/>
      <c r="AK438" s="518"/>
      <c r="AL438" s="518"/>
      <c r="AM438" s="518"/>
      <c r="AN438" s="518"/>
      <c r="AO438" s="518"/>
      <c r="AP438" s="518"/>
      <c r="AQ438" s="518"/>
      <c r="AR438" s="518"/>
      <c r="AS438" s="518"/>
      <c r="AT438" s="518"/>
      <c r="AU438" s="518"/>
      <c r="AV438" s="518"/>
      <c r="AW438" s="518"/>
      <c r="AX438" s="518"/>
      <c r="AY438" s="518"/>
      <c r="AZ438" s="518"/>
      <c r="BA438" s="518"/>
      <c r="BB438" s="518"/>
      <c r="BC438" s="518"/>
      <c r="BD438" s="518"/>
      <c r="BE438" s="518"/>
    </row>
    <row r="439" spans="1:57" ht="12.75" customHeight="1">
      <c r="A439" s="518"/>
      <c r="B439" s="518"/>
      <c r="C439" s="518"/>
      <c r="D439" s="518"/>
      <c r="E439" s="518"/>
      <c r="F439" s="518"/>
      <c r="G439" s="518"/>
      <c r="H439" s="518"/>
      <c r="I439" s="518"/>
      <c r="J439" s="518"/>
      <c r="K439" s="518"/>
      <c r="L439" s="518"/>
      <c r="M439" s="518"/>
      <c r="N439" s="518"/>
      <c r="O439" s="518"/>
      <c r="P439" s="518"/>
      <c r="Q439" s="518"/>
      <c r="R439" s="518"/>
      <c r="S439" s="518"/>
      <c r="T439" s="518"/>
      <c r="U439" s="518"/>
      <c r="V439" s="518"/>
      <c r="W439" s="518"/>
      <c r="X439" s="518"/>
      <c r="Y439" s="518"/>
      <c r="Z439" s="518"/>
      <c r="AA439" s="518"/>
      <c r="AB439" s="518"/>
      <c r="AC439" s="518"/>
      <c r="AD439" s="518"/>
      <c r="AE439" s="518"/>
      <c r="AF439" s="518"/>
      <c r="AG439" s="518"/>
      <c r="AH439" s="518"/>
      <c r="AI439" s="518"/>
      <c r="AJ439" s="518"/>
      <c r="AK439" s="518"/>
      <c r="AL439" s="518"/>
      <c r="AM439" s="518"/>
      <c r="AN439" s="518"/>
      <c r="AO439" s="518"/>
      <c r="AP439" s="518"/>
      <c r="AQ439" s="518"/>
      <c r="AR439" s="518"/>
      <c r="AS439" s="518"/>
      <c r="AT439" s="518"/>
      <c r="AU439" s="518"/>
      <c r="AV439" s="518"/>
      <c r="AW439" s="518"/>
      <c r="AX439" s="518"/>
      <c r="AY439" s="518"/>
      <c r="AZ439" s="518"/>
      <c r="BA439" s="518"/>
      <c r="BB439" s="518"/>
      <c r="BC439" s="518"/>
      <c r="BD439" s="518"/>
      <c r="BE439" s="518"/>
    </row>
    <row r="440" spans="1:57" ht="12.75" customHeight="1">
      <c r="A440" s="518"/>
      <c r="B440" s="518"/>
      <c r="C440" s="518"/>
      <c r="D440" s="518"/>
      <c r="E440" s="518"/>
      <c r="F440" s="518"/>
      <c r="G440" s="518"/>
      <c r="H440" s="518"/>
      <c r="I440" s="518"/>
      <c r="J440" s="518"/>
      <c r="K440" s="518"/>
      <c r="L440" s="518"/>
      <c r="M440" s="518"/>
      <c r="N440" s="518"/>
      <c r="O440" s="518"/>
      <c r="P440" s="518"/>
      <c r="Q440" s="518"/>
      <c r="R440" s="518"/>
      <c r="S440" s="518"/>
      <c r="T440" s="518"/>
      <c r="U440" s="518"/>
      <c r="V440" s="518"/>
      <c r="W440" s="518"/>
      <c r="X440" s="518"/>
      <c r="Y440" s="518"/>
      <c r="Z440" s="518"/>
      <c r="AA440" s="518"/>
      <c r="AB440" s="518"/>
      <c r="AC440" s="518"/>
      <c r="AD440" s="518"/>
      <c r="AE440" s="518"/>
      <c r="AF440" s="518"/>
      <c r="AG440" s="518"/>
      <c r="AH440" s="518"/>
      <c r="AI440" s="518"/>
      <c r="AJ440" s="518"/>
      <c r="AK440" s="518"/>
      <c r="AL440" s="518"/>
      <c r="AM440" s="518"/>
      <c r="AN440" s="518"/>
      <c r="AO440" s="518"/>
      <c r="AP440" s="518"/>
      <c r="AQ440" s="518"/>
      <c r="AR440" s="518"/>
      <c r="AS440" s="518"/>
      <c r="AT440" s="518"/>
      <c r="AU440" s="518"/>
      <c r="AV440" s="518"/>
      <c r="AW440" s="518"/>
      <c r="AX440" s="518"/>
      <c r="AY440" s="518"/>
      <c r="AZ440" s="518"/>
      <c r="BA440" s="518"/>
      <c r="BB440" s="518"/>
      <c r="BC440" s="518"/>
      <c r="BD440" s="518"/>
      <c r="BE440" s="518"/>
    </row>
    <row r="441" spans="1:57" ht="12.75" customHeight="1">
      <c r="A441" s="518"/>
      <c r="B441" s="518"/>
      <c r="C441" s="518"/>
      <c r="D441" s="518"/>
      <c r="E441" s="518"/>
      <c r="F441" s="518"/>
      <c r="G441" s="518"/>
      <c r="H441" s="518"/>
      <c r="I441" s="518"/>
      <c r="J441" s="518"/>
      <c r="K441" s="518"/>
      <c r="L441" s="518"/>
      <c r="M441" s="518"/>
      <c r="N441" s="518"/>
      <c r="O441" s="518"/>
      <c r="P441" s="518"/>
      <c r="Q441" s="518"/>
      <c r="R441" s="518"/>
      <c r="S441" s="518"/>
      <c r="T441" s="518"/>
      <c r="U441" s="518"/>
      <c r="V441" s="518"/>
      <c r="W441" s="518"/>
      <c r="X441" s="518"/>
      <c r="Y441" s="518"/>
      <c r="Z441" s="518"/>
      <c r="AA441" s="518"/>
      <c r="AB441" s="518"/>
      <c r="AC441" s="518"/>
      <c r="AD441" s="518"/>
      <c r="AE441" s="518"/>
      <c r="AF441" s="518"/>
      <c r="AG441" s="518"/>
      <c r="AH441" s="518"/>
      <c r="AI441" s="518"/>
      <c r="AJ441" s="518"/>
      <c r="AK441" s="518"/>
      <c r="AL441" s="518"/>
      <c r="AM441" s="518"/>
      <c r="AN441" s="518"/>
      <c r="AO441" s="518"/>
      <c r="AP441" s="518"/>
      <c r="AQ441" s="518"/>
      <c r="AR441" s="518"/>
      <c r="AS441" s="518"/>
      <c r="AT441" s="518"/>
      <c r="AU441" s="518"/>
      <c r="AV441" s="518"/>
      <c r="AW441" s="518"/>
      <c r="AX441" s="518"/>
      <c r="AY441" s="518"/>
      <c r="AZ441" s="518"/>
      <c r="BA441" s="518"/>
      <c r="BB441" s="518"/>
      <c r="BC441" s="518"/>
      <c r="BD441" s="518"/>
      <c r="BE441" s="518"/>
    </row>
    <row r="442" spans="1:57" ht="12.75" customHeight="1">
      <c r="A442" s="518"/>
      <c r="B442" s="518"/>
      <c r="C442" s="518"/>
      <c r="D442" s="518"/>
      <c r="E442" s="518"/>
      <c r="F442" s="518"/>
      <c r="G442" s="518"/>
      <c r="H442" s="518"/>
      <c r="I442" s="518"/>
      <c r="J442" s="518"/>
      <c r="K442" s="518"/>
      <c r="L442" s="518"/>
      <c r="M442" s="518"/>
      <c r="N442" s="518"/>
      <c r="O442" s="518"/>
      <c r="P442" s="518"/>
      <c r="Q442" s="518"/>
      <c r="R442" s="518"/>
      <c r="S442" s="518"/>
      <c r="T442" s="518"/>
      <c r="U442" s="518"/>
      <c r="V442" s="518"/>
      <c r="W442" s="518"/>
      <c r="X442" s="518"/>
      <c r="Y442" s="518"/>
      <c r="Z442" s="518"/>
      <c r="AA442" s="518"/>
      <c r="AB442" s="518"/>
      <c r="AC442" s="518"/>
      <c r="AD442" s="518"/>
      <c r="AE442" s="518"/>
      <c r="AF442" s="518"/>
      <c r="AG442" s="518"/>
      <c r="AH442" s="518"/>
      <c r="AI442" s="518"/>
      <c r="AJ442" s="518"/>
      <c r="AK442" s="518"/>
      <c r="AL442" s="518"/>
      <c r="AM442" s="518"/>
      <c r="AN442" s="518"/>
      <c r="AO442" s="518"/>
      <c r="AP442" s="518"/>
      <c r="AQ442" s="518"/>
      <c r="AR442" s="518"/>
      <c r="AS442" s="518"/>
      <c r="AT442" s="518"/>
      <c r="AU442" s="518"/>
      <c r="AV442" s="518"/>
      <c r="AW442" s="518"/>
      <c r="AX442" s="518"/>
      <c r="AY442" s="518"/>
      <c r="AZ442" s="518"/>
      <c r="BA442" s="518"/>
      <c r="BB442" s="518"/>
      <c r="BC442" s="518"/>
      <c r="BD442" s="518"/>
      <c r="BE442" s="518"/>
    </row>
    <row r="443" spans="1:57" ht="12.75" customHeight="1">
      <c r="A443" s="518"/>
      <c r="B443" s="518"/>
      <c r="C443" s="518"/>
      <c r="D443" s="518"/>
      <c r="E443" s="518"/>
      <c r="F443" s="518"/>
      <c r="G443" s="518"/>
      <c r="H443" s="518"/>
      <c r="I443" s="518"/>
      <c r="J443" s="518"/>
      <c r="K443" s="518"/>
      <c r="L443" s="518"/>
      <c r="M443" s="518"/>
      <c r="N443" s="518"/>
      <c r="O443" s="518"/>
      <c r="P443" s="518"/>
      <c r="Q443" s="518"/>
      <c r="R443" s="518"/>
      <c r="S443" s="518"/>
      <c r="T443" s="518"/>
      <c r="U443" s="518"/>
      <c r="V443" s="518"/>
      <c r="W443" s="518"/>
      <c r="X443" s="518"/>
      <c r="Y443" s="518"/>
      <c r="Z443" s="518"/>
      <c r="AA443" s="518"/>
      <c r="AB443" s="518"/>
      <c r="AC443" s="518"/>
      <c r="AD443" s="518"/>
      <c r="AE443" s="518"/>
      <c r="AF443" s="518"/>
      <c r="AG443" s="518"/>
      <c r="AH443" s="518"/>
      <c r="AI443" s="518"/>
      <c r="AJ443" s="518"/>
      <c r="AK443" s="518"/>
      <c r="AL443" s="518"/>
      <c r="AM443" s="518"/>
      <c r="AN443" s="518"/>
      <c r="AO443" s="518"/>
      <c r="AP443" s="518"/>
      <c r="AQ443" s="518"/>
      <c r="AR443" s="518"/>
      <c r="AS443" s="518"/>
      <c r="AT443" s="518"/>
      <c r="AU443" s="518"/>
      <c r="AV443" s="518"/>
      <c r="AW443" s="518"/>
      <c r="AX443" s="518"/>
      <c r="AY443" s="518"/>
      <c r="AZ443" s="518"/>
      <c r="BA443" s="518"/>
      <c r="BB443" s="518"/>
      <c r="BC443" s="518"/>
      <c r="BD443" s="518"/>
      <c r="BE443" s="518"/>
    </row>
    <row r="444" spans="1:57" ht="12.75" customHeight="1">
      <c r="A444" s="518"/>
      <c r="B444" s="518"/>
      <c r="C444" s="518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518"/>
      <c r="Q444" s="518"/>
      <c r="R444" s="518"/>
      <c r="S444" s="518"/>
      <c r="T444" s="518"/>
      <c r="U444" s="518"/>
      <c r="V444" s="518"/>
      <c r="W444" s="518"/>
      <c r="X444" s="518"/>
      <c r="Y444" s="518"/>
      <c r="Z444" s="518"/>
      <c r="AA444" s="518"/>
      <c r="AB444" s="518"/>
      <c r="AC444" s="518"/>
      <c r="AD444" s="518"/>
      <c r="AE444" s="518"/>
      <c r="AF444" s="518"/>
      <c r="AG444" s="518"/>
      <c r="AH444" s="518"/>
      <c r="AI444" s="518"/>
      <c r="AJ444" s="518"/>
      <c r="AK444" s="518"/>
      <c r="AL444" s="518"/>
      <c r="AM444" s="518"/>
      <c r="AN444" s="518"/>
      <c r="AO444" s="518"/>
      <c r="AP444" s="518"/>
      <c r="AQ444" s="518"/>
      <c r="AR444" s="518"/>
      <c r="AS444" s="518"/>
      <c r="AT444" s="518"/>
      <c r="AU444" s="518"/>
      <c r="AV444" s="518"/>
      <c r="AW444" s="518"/>
      <c r="AX444" s="518"/>
      <c r="AY444" s="518"/>
      <c r="AZ444" s="518"/>
      <c r="BA444" s="518"/>
      <c r="BB444" s="518"/>
      <c r="BC444" s="518"/>
      <c r="BD444" s="518"/>
      <c r="BE444" s="518"/>
    </row>
    <row r="445" spans="1:57" ht="12.75" customHeight="1">
      <c r="A445" s="518"/>
      <c r="B445" s="518"/>
      <c r="C445" s="518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518"/>
      <c r="Q445" s="518"/>
      <c r="R445" s="518"/>
      <c r="S445" s="518"/>
      <c r="T445" s="518"/>
      <c r="U445" s="518"/>
      <c r="V445" s="518"/>
      <c r="W445" s="518"/>
      <c r="X445" s="518"/>
      <c r="Y445" s="518"/>
      <c r="Z445" s="518"/>
      <c r="AA445" s="518"/>
      <c r="AB445" s="518"/>
      <c r="AC445" s="518"/>
      <c r="AD445" s="518"/>
      <c r="AE445" s="518"/>
      <c r="AF445" s="518"/>
      <c r="AG445" s="518"/>
      <c r="AH445" s="518"/>
      <c r="AI445" s="518"/>
      <c r="AJ445" s="518"/>
      <c r="AK445" s="518"/>
      <c r="AL445" s="518"/>
      <c r="AM445" s="518"/>
      <c r="AN445" s="518"/>
      <c r="AO445" s="518"/>
      <c r="AP445" s="518"/>
      <c r="AQ445" s="518"/>
      <c r="AR445" s="518"/>
      <c r="AS445" s="518"/>
      <c r="AT445" s="518"/>
      <c r="AU445" s="518"/>
      <c r="AV445" s="518"/>
      <c r="AW445" s="518"/>
      <c r="AX445" s="518"/>
      <c r="AY445" s="518"/>
      <c r="AZ445" s="518"/>
      <c r="BA445" s="518"/>
      <c r="BB445" s="518"/>
      <c r="BC445" s="518"/>
      <c r="BD445" s="518"/>
      <c r="BE445" s="518"/>
    </row>
    <row r="446" spans="1:57" ht="12.75" customHeight="1">
      <c r="A446" s="518"/>
      <c r="B446" s="518"/>
      <c r="C446" s="518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518"/>
      <c r="Q446" s="518"/>
      <c r="R446" s="518"/>
      <c r="S446" s="518"/>
      <c r="T446" s="518"/>
      <c r="U446" s="518"/>
      <c r="V446" s="518"/>
      <c r="W446" s="518"/>
      <c r="X446" s="518"/>
      <c r="Y446" s="518"/>
      <c r="Z446" s="518"/>
      <c r="AA446" s="518"/>
      <c r="AB446" s="518"/>
      <c r="AC446" s="518"/>
      <c r="AD446" s="518"/>
      <c r="AE446" s="518"/>
      <c r="AF446" s="518"/>
      <c r="AG446" s="518"/>
      <c r="AH446" s="518"/>
      <c r="AI446" s="518"/>
      <c r="AJ446" s="518"/>
      <c r="AK446" s="518"/>
      <c r="AL446" s="518"/>
      <c r="AM446" s="518"/>
      <c r="AN446" s="518"/>
      <c r="AO446" s="518"/>
      <c r="AP446" s="518"/>
      <c r="AQ446" s="518"/>
      <c r="AR446" s="518"/>
      <c r="AS446" s="518"/>
      <c r="AT446" s="518"/>
      <c r="AU446" s="518"/>
      <c r="AV446" s="518"/>
      <c r="AW446" s="518"/>
      <c r="AX446" s="518"/>
      <c r="AY446" s="518"/>
      <c r="AZ446" s="518"/>
      <c r="BA446" s="518"/>
      <c r="BB446" s="518"/>
      <c r="BC446" s="518"/>
      <c r="BD446" s="518"/>
      <c r="BE446" s="518"/>
    </row>
    <row r="447" spans="1:57" ht="12.75" customHeight="1">
      <c r="A447" s="518"/>
      <c r="B447" s="518"/>
      <c r="C447" s="518"/>
      <c r="D447" s="518"/>
      <c r="E447" s="518"/>
      <c r="F447" s="518"/>
      <c r="G447" s="518"/>
      <c r="H447" s="518"/>
      <c r="I447" s="518"/>
      <c r="J447" s="518"/>
      <c r="K447" s="518"/>
      <c r="L447" s="518"/>
      <c r="M447" s="518"/>
      <c r="N447" s="518"/>
      <c r="O447" s="518"/>
      <c r="P447" s="518"/>
      <c r="Q447" s="518"/>
      <c r="R447" s="518"/>
      <c r="S447" s="518"/>
      <c r="T447" s="518"/>
      <c r="U447" s="518"/>
      <c r="V447" s="518"/>
      <c r="W447" s="518"/>
      <c r="X447" s="518"/>
      <c r="Y447" s="518"/>
      <c r="Z447" s="518"/>
      <c r="AA447" s="518"/>
      <c r="AB447" s="518"/>
      <c r="AC447" s="518"/>
      <c r="AD447" s="518"/>
      <c r="AE447" s="518"/>
      <c r="AF447" s="518"/>
      <c r="AG447" s="518"/>
      <c r="AH447" s="518"/>
      <c r="AI447" s="518"/>
      <c r="AJ447" s="518"/>
      <c r="AK447" s="518"/>
      <c r="AL447" s="518"/>
      <c r="AM447" s="518"/>
      <c r="AN447" s="518"/>
      <c r="AO447" s="518"/>
      <c r="AP447" s="518"/>
      <c r="AQ447" s="518"/>
      <c r="AR447" s="518"/>
      <c r="AS447" s="518"/>
      <c r="AT447" s="518"/>
      <c r="AU447" s="518"/>
      <c r="AV447" s="518"/>
      <c r="AW447" s="518"/>
      <c r="AX447" s="518"/>
      <c r="AY447" s="518"/>
      <c r="AZ447" s="518"/>
      <c r="BA447" s="518"/>
      <c r="BB447" s="518"/>
      <c r="BC447" s="518"/>
      <c r="BD447" s="518"/>
      <c r="BE447" s="518"/>
    </row>
    <row r="448" spans="1:57" ht="12.75" customHeight="1">
      <c r="A448" s="518"/>
      <c r="B448" s="518"/>
      <c r="C448" s="518"/>
      <c r="D448" s="518"/>
      <c r="E448" s="518"/>
      <c r="F448" s="518"/>
      <c r="G448" s="518"/>
      <c r="H448" s="518"/>
      <c r="I448" s="518"/>
      <c r="J448" s="518"/>
      <c r="K448" s="518"/>
      <c r="L448" s="518"/>
      <c r="M448" s="518"/>
      <c r="N448" s="518"/>
      <c r="O448" s="518"/>
      <c r="P448" s="518"/>
      <c r="Q448" s="518"/>
      <c r="R448" s="518"/>
      <c r="S448" s="518"/>
      <c r="T448" s="518"/>
      <c r="U448" s="518"/>
      <c r="V448" s="518"/>
      <c r="W448" s="518"/>
      <c r="X448" s="518"/>
      <c r="Y448" s="518"/>
      <c r="Z448" s="518"/>
      <c r="AA448" s="518"/>
      <c r="AB448" s="518"/>
      <c r="AC448" s="518"/>
      <c r="AD448" s="518"/>
      <c r="AE448" s="518"/>
      <c r="AF448" s="518"/>
      <c r="AG448" s="518"/>
      <c r="AH448" s="518"/>
      <c r="AI448" s="518"/>
      <c r="AJ448" s="518"/>
      <c r="AK448" s="518"/>
      <c r="AL448" s="518"/>
      <c r="AM448" s="518"/>
      <c r="AN448" s="518"/>
      <c r="AO448" s="518"/>
      <c r="AP448" s="518"/>
      <c r="AQ448" s="518"/>
      <c r="AR448" s="518"/>
      <c r="AS448" s="518"/>
      <c r="AT448" s="518"/>
      <c r="AU448" s="518"/>
      <c r="AV448" s="518"/>
      <c r="AW448" s="518"/>
      <c r="AX448" s="518"/>
      <c r="AY448" s="518"/>
      <c r="AZ448" s="518"/>
      <c r="BA448" s="518"/>
      <c r="BB448" s="518"/>
      <c r="BC448" s="518"/>
      <c r="BD448" s="518"/>
      <c r="BE448" s="518"/>
    </row>
    <row r="449" spans="1:57" ht="12.75" customHeight="1">
      <c r="A449" s="518"/>
      <c r="B449" s="518"/>
      <c r="C449" s="518"/>
      <c r="D449" s="518"/>
      <c r="E449" s="518"/>
      <c r="F449" s="518"/>
      <c r="G449" s="518"/>
      <c r="H449" s="518"/>
      <c r="I449" s="518"/>
      <c r="J449" s="518"/>
      <c r="K449" s="518"/>
      <c r="L449" s="518"/>
      <c r="M449" s="518"/>
      <c r="N449" s="518"/>
      <c r="O449" s="518"/>
      <c r="P449" s="518"/>
      <c r="Q449" s="518"/>
      <c r="R449" s="518"/>
      <c r="S449" s="518"/>
      <c r="T449" s="518"/>
      <c r="U449" s="518"/>
      <c r="V449" s="518"/>
      <c r="W449" s="518"/>
      <c r="X449" s="518"/>
      <c r="Y449" s="518"/>
      <c r="Z449" s="518"/>
      <c r="AA449" s="518"/>
      <c r="AB449" s="518"/>
      <c r="AC449" s="518"/>
      <c r="AD449" s="518"/>
      <c r="AE449" s="518"/>
      <c r="AF449" s="518"/>
      <c r="AG449" s="518"/>
      <c r="AH449" s="518"/>
      <c r="AI449" s="518"/>
      <c r="AJ449" s="518"/>
      <c r="AK449" s="518"/>
      <c r="AL449" s="518"/>
      <c r="AM449" s="518"/>
      <c r="AN449" s="518"/>
      <c r="AO449" s="518"/>
      <c r="AP449" s="518"/>
      <c r="AQ449" s="518"/>
      <c r="AR449" s="518"/>
      <c r="AS449" s="518"/>
      <c r="AT449" s="518"/>
      <c r="AU449" s="518"/>
      <c r="AV449" s="518"/>
      <c r="AW449" s="518"/>
      <c r="AX449" s="518"/>
      <c r="AY449" s="518"/>
      <c r="AZ449" s="518"/>
      <c r="BA449" s="518"/>
      <c r="BB449" s="518"/>
      <c r="BC449" s="518"/>
      <c r="BD449" s="518"/>
      <c r="BE449" s="518"/>
    </row>
    <row r="450" spans="1:57" ht="12.75" customHeight="1">
      <c r="A450" s="518"/>
      <c r="B450" s="518"/>
      <c r="C450" s="518"/>
      <c r="D450" s="518"/>
      <c r="E450" s="518"/>
      <c r="F450" s="518"/>
      <c r="G450" s="518"/>
      <c r="H450" s="518"/>
      <c r="I450" s="518"/>
      <c r="J450" s="518"/>
      <c r="K450" s="518"/>
      <c r="L450" s="518"/>
      <c r="M450" s="518"/>
      <c r="N450" s="518"/>
      <c r="O450" s="518"/>
      <c r="P450" s="518"/>
      <c r="Q450" s="518"/>
      <c r="R450" s="518"/>
      <c r="S450" s="518"/>
      <c r="T450" s="518"/>
      <c r="U450" s="518"/>
      <c r="V450" s="518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18"/>
      <c r="AN450" s="518"/>
      <c r="AO450" s="518"/>
      <c r="AP450" s="518"/>
      <c r="AQ450" s="518"/>
      <c r="AR450" s="518"/>
      <c r="AS450" s="518"/>
      <c r="AT450" s="518"/>
      <c r="AU450" s="518"/>
      <c r="AV450" s="518"/>
      <c r="AW450" s="518"/>
      <c r="AX450" s="518"/>
      <c r="AY450" s="518"/>
      <c r="AZ450" s="518"/>
      <c r="BA450" s="518"/>
      <c r="BB450" s="518"/>
      <c r="BC450" s="518"/>
      <c r="BD450" s="518"/>
      <c r="BE450" s="518"/>
    </row>
    <row r="451" spans="1:57" ht="12.75" customHeight="1">
      <c r="A451" s="518"/>
      <c r="B451" s="518"/>
      <c r="C451" s="518"/>
      <c r="D451" s="518"/>
      <c r="E451" s="518"/>
      <c r="F451" s="518"/>
      <c r="G451" s="518"/>
      <c r="H451" s="518"/>
      <c r="I451" s="518"/>
      <c r="J451" s="518"/>
      <c r="K451" s="518"/>
      <c r="L451" s="518"/>
      <c r="M451" s="518"/>
      <c r="N451" s="518"/>
      <c r="O451" s="518"/>
      <c r="P451" s="518"/>
      <c r="Q451" s="518"/>
      <c r="R451" s="518"/>
      <c r="S451" s="518"/>
      <c r="T451" s="518"/>
      <c r="U451" s="518"/>
      <c r="V451" s="518"/>
      <c r="W451" s="518"/>
      <c r="X451" s="518"/>
      <c r="Y451" s="518"/>
      <c r="Z451" s="518"/>
      <c r="AA451" s="518"/>
      <c r="AB451" s="518"/>
      <c r="AC451" s="518"/>
      <c r="AD451" s="518"/>
      <c r="AE451" s="518"/>
      <c r="AF451" s="518"/>
      <c r="AG451" s="518"/>
      <c r="AH451" s="518"/>
      <c r="AI451" s="518"/>
      <c r="AJ451" s="518"/>
      <c r="AK451" s="518"/>
      <c r="AL451" s="518"/>
      <c r="AM451" s="518"/>
      <c r="AN451" s="518"/>
      <c r="AO451" s="518"/>
      <c r="AP451" s="518"/>
      <c r="AQ451" s="518"/>
      <c r="AR451" s="518"/>
      <c r="AS451" s="518"/>
      <c r="AT451" s="518"/>
      <c r="AU451" s="518"/>
      <c r="AV451" s="518"/>
      <c r="AW451" s="518"/>
      <c r="AX451" s="518"/>
      <c r="AY451" s="518"/>
      <c r="AZ451" s="518"/>
      <c r="BA451" s="518"/>
      <c r="BB451" s="518"/>
      <c r="BC451" s="518"/>
      <c r="BD451" s="518"/>
      <c r="BE451" s="518"/>
    </row>
    <row r="452" spans="1:57" ht="12.75" customHeight="1">
      <c r="A452" s="518"/>
      <c r="B452" s="518"/>
      <c r="C452" s="518"/>
      <c r="D452" s="518"/>
      <c r="E452" s="518"/>
      <c r="F452" s="518"/>
      <c r="G452" s="518"/>
      <c r="H452" s="518"/>
      <c r="I452" s="518"/>
      <c r="J452" s="518"/>
      <c r="K452" s="518"/>
      <c r="L452" s="518"/>
      <c r="M452" s="518"/>
      <c r="N452" s="518"/>
      <c r="O452" s="518"/>
      <c r="P452" s="518"/>
      <c r="Q452" s="518"/>
      <c r="R452" s="518"/>
      <c r="S452" s="518"/>
      <c r="T452" s="518"/>
      <c r="U452" s="518"/>
      <c r="V452" s="518"/>
      <c r="W452" s="518"/>
      <c r="X452" s="518"/>
      <c r="Y452" s="518"/>
      <c r="Z452" s="518"/>
      <c r="AA452" s="518"/>
      <c r="AB452" s="518"/>
      <c r="AC452" s="518"/>
      <c r="AD452" s="518"/>
      <c r="AE452" s="518"/>
      <c r="AF452" s="518"/>
      <c r="AG452" s="518"/>
      <c r="AH452" s="518"/>
      <c r="AI452" s="518"/>
      <c r="AJ452" s="518"/>
      <c r="AK452" s="518"/>
      <c r="AL452" s="518"/>
      <c r="AM452" s="518"/>
      <c r="AN452" s="518"/>
      <c r="AO452" s="518"/>
      <c r="AP452" s="518"/>
      <c r="AQ452" s="518"/>
      <c r="AR452" s="518"/>
      <c r="AS452" s="518"/>
      <c r="AT452" s="518"/>
      <c r="AU452" s="518"/>
      <c r="AV452" s="518"/>
      <c r="AW452" s="518"/>
      <c r="AX452" s="518"/>
      <c r="AY452" s="518"/>
      <c r="AZ452" s="518"/>
      <c r="BA452" s="518"/>
      <c r="BB452" s="518"/>
      <c r="BC452" s="518"/>
      <c r="BD452" s="518"/>
      <c r="BE452" s="518"/>
    </row>
    <row r="453" spans="1:57" ht="12.75" customHeight="1">
      <c r="A453" s="518"/>
      <c r="B453" s="518"/>
      <c r="C453" s="518"/>
      <c r="D453" s="518"/>
      <c r="E453" s="518"/>
      <c r="F453" s="518"/>
      <c r="G453" s="518"/>
      <c r="H453" s="518"/>
      <c r="I453" s="518"/>
      <c r="J453" s="518"/>
      <c r="K453" s="518"/>
      <c r="L453" s="518"/>
      <c r="M453" s="518"/>
      <c r="N453" s="518"/>
      <c r="O453" s="518"/>
      <c r="P453" s="518"/>
      <c r="Q453" s="518"/>
      <c r="R453" s="518"/>
      <c r="S453" s="518"/>
      <c r="T453" s="518"/>
      <c r="U453" s="518"/>
      <c r="V453" s="518"/>
      <c r="W453" s="518"/>
      <c r="X453" s="518"/>
      <c r="Y453" s="518"/>
      <c r="Z453" s="518"/>
      <c r="AA453" s="518"/>
      <c r="AB453" s="518"/>
      <c r="AC453" s="518"/>
      <c r="AD453" s="518"/>
      <c r="AE453" s="518"/>
      <c r="AF453" s="518"/>
      <c r="AG453" s="518"/>
      <c r="AH453" s="518"/>
      <c r="AI453" s="518"/>
      <c r="AJ453" s="518"/>
      <c r="AK453" s="518"/>
      <c r="AL453" s="518"/>
      <c r="AM453" s="518"/>
      <c r="AN453" s="518"/>
      <c r="AO453" s="518"/>
      <c r="AP453" s="518"/>
      <c r="AQ453" s="518"/>
      <c r="AR453" s="518"/>
      <c r="AS453" s="518"/>
      <c r="AT453" s="518"/>
      <c r="AU453" s="518"/>
      <c r="AV453" s="518"/>
      <c r="AW453" s="518"/>
      <c r="AX453" s="518"/>
      <c r="AY453" s="518"/>
      <c r="AZ453" s="518"/>
      <c r="BA453" s="518"/>
      <c r="BB453" s="518"/>
      <c r="BC453" s="518"/>
      <c r="BD453" s="518"/>
      <c r="BE453" s="518"/>
    </row>
    <row r="454" spans="1:57" ht="12.75" customHeight="1">
      <c r="A454" s="518"/>
      <c r="B454" s="518"/>
      <c r="C454" s="518"/>
      <c r="D454" s="518"/>
      <c r="E454" s="518"/>
      <c r="F454" s="518"/>
      <c r="G454" s="518"/>
      <c r="H454" s="518"/>
      <c r="I454" s="518"/>
      <c r="J454" s="518"/>
      <c r="K454" s="518"/>
      <c r="L454" s="518"/>
      <c r="M454" s="518"/>
      <c r="N454" s="518"/>
      <c r="O454" s="518"/>
      <c r="P454" s="518"/>
      <c r="Q454" s="518"/>
      <c r="R454" s="518"/>
      <c r="S454" s="518"/>
      <c r="T454" s="518"/>
      <c r="U454" s="518"/>
      <c r="V454" s="518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18"/>
      <c r="AN454" s="518"/>
      <c r="AO454" s="518"/>
      <c r="AP454" s="518"/>
      <c r="AQ454" s="518"/>
      <c r="AR454" s="518"/>
      <c r="AS454" s="518"/>
      <c r="AT454" s="518"/>
      <c r="AU454" s="518"/>
      <c r="AV454" s="518"/>
      <c r="AW454" s="518"/>
      <c r="AX454" s="518"/>
      <c r="AY454" s="518"/>
      <c r="AZ454" s="518"/>
      <c r="BA454" s="518"/>
      <c r="BB454" s="518"/>
      <c r="BC454" s="518"/>
      <c r="BD454" s="518"/>
      <c r="BE454" s="518"/>
    </row>
    <row r="455" spans="1:57" ht="12.75" customHeight="1">
      <c r="A455" s="518"/>
      <c r="B455" s="518"/>
      <c r="C455" s="518"/>
      <c r="D455" s="518"/>
      <c r="E455" s="518"/>
      <c r="F455" s="518"/>
      <c r="G455" s="518"/>
      <c r="H455" s="518"/>
      <c r="I455" s="518"/>
      <c r="J455" s="518"/>
      <c r="K455" s="518"/>
      <c r="L455" s="518"/>
      <c r="M455" s="518"/>
      <c r="N455" s="518"/>
      <c r="O455" s="518"/>
      <c r="P455" s="518"/>
      <c r="Q455" s="518"/>
      <c r="R455" s="518"/>
      <c r="S455" s="518"/>
      <c r="T455" s="518"/>
      <c r="U455" s="518"/>
      <c r="V455" s="518"/>
      <c r="W455" s="518"/>
      <c r="X455" s="518"/>
      <c r="Y455" s="518"/>
      <c r="Z455" s="518"/>
      <c r="AA455" s="518"/>
      <c r="AB455" s="518"/>
      <c r="AC455" s="518"/>
      <c r="AD455" s="518"/>
      <c r="AE455" s="518"/>
      <c r="AF455" s="518"/>
      <c r="AG455" s="518"/>
      <c r="AH455" s="518"/>
      <c r="AI455" s="518"/>
      <c r="AJ455" s="518"/>
      <c r="AK455" s="518"/>
      <c r="AL455" s="518"/>
      <c r="AM455" s="518"/>
      <c r="AN455" s="518"/>
      <c r="AO455" s="518"/>
      <c r="AP455" s="518"/>
      <c r="AQ455" s="518"/>
      <c r="AR455" s="518"/>
      <c r="AS455" s="518"/>
      <c r="AT455" s="518"/>
      <c r="AU455" s="518"/>
      <c r="AV455" s="518"/>
      <c r="AW455" s="518"/>
      <c r="AX455" s="518"/>
      <c r="AY455" s="518"/>
      <c r="AZ455" s="518"/>
      <c r="BA455" s="518"/>
      <c r="BB455" s="518"/>
      <c r="BC455" s="518"/>
      <c r="BD455" s="518"/>
      <c r="BE455" s="518"/>
    </row>
    <row r="456" spans="1:57" ht="12.75" customHeight="1">
      <c r="A456" s="518"/>
      <c r="B456" s="518"/>
      <c r="C456" s="518"/>
      <c r="D456" s="518"/>
      <c r="E456" s="518"/>
      <c r="F456" s="518"/>
      <c r="G456" s="518"/>
      <c r="H456" s="518"/>
      <c r="I456" s="518"/>
      <c r="J456" s="518"/>
      <c r="K456" s="518"/>
      <c r="L456" s="518"/>
      <c r="M456" s="518"/>
      <c r="N456" s="518"/>
      <c r="O456" s="518"/>
      <c r="P456" s="518"/>
      <c r="Q456" s="518"/>
      <c r="R456" s="518"/>
      <c r="S456" s="518"/>
      <c r="T456" s="518"/>
      <c r="U456" s="518"/>
      <c r="V456" s="518"/>
      <c r="W456" s="518"/>
      <c r="X456" s="518"/>
      <c r="Y456" s="518"/>
      <c r="Z456" s="518"/>
      <c r="AA456" s="518"/>
      <c r="AB456" s="518"/>
      <c r="AC456" s="518"/>
      <c r="AD456" s="518"/>
      <c r="AE456" s="518"/>
      <c r="AF456" s="518"/>
      <c r="AG456" s="518"/>
      <c r="AH456" s="518"/>
      <c r="AI456" s="518"/>
      <c r="AJ456" s="518"/>
      <c r="AK456" s="518"/>
      <c r="AL456" s="518"/>
      <c r="AM456" s="518"/>
      <c r="AN456" s="518"/>
      <c r="AO456" s="518"/>
      <c r="AP456" s="518"/>
      <c r="AQ456" s="518"/>
      <c r="AR456" s="518"/>
      <c r="AS456" s="518"/>
      <c r="AT456" s="518"/>
      <c r="AU456" s="518"/>
      <c r="AV456" s="518"/>
      <c r="AW456" s="518"/>
      <c r="AX456" s="518"/>
      <c r="AY456" s="518"/>
      <c r="AZ456" s="518"/>
      <c r="BA456" s="518"/>
      <c r="BB456" s="518"/>
      <c r="BC456" s="518"/>
      <c r="BD456" s="518"/>
      <c r="BE456" s="518"/>
    </row>
    <row r="457" spans="1:57" ht="12.75" customHeight="1">
      <c r="A457" s="518"/>
      <c r="B457" s="518"/>
      <c r="C457" s="518"/>
      <c r="D457" s="518"/>
      <c r="E457" s="518"/>
      <c r="F457" s="518"/>
      <c r="G457" s="518"/>
      <c r="H457" s="518"/>
      <c r="I457" s="518"/>
      <c r="J457" s="518"/>
      <c r="K457" s="518"/>
      <c r="L457" s="518"/>
      <c r="M457" s="518"/>
      <c r="N457" s="518"/>
      <c r="O457" s="518"/>
      <c r="P457" s="518"/>
      <c r="Q457" s="518"/>
      <c r="R457" s="518"/>
      <c r="S457" s="518"/>
      <c r="T457" s="518"/>
      <c r="U457" s="518"/>
      <c r="V457" s="518"/>
      <c r="W457" s="518"/>
      <c r="X457" s="518"/>
      <c r="Y457" s="518"/>
      <c r="Z457" s="518"/>
      <c r="AA457" s="518"/>
      <c r="AB457" s="518"/>
      <c r="AC457" s="518"/>
      <c r="AD457" s="518"/>
      <c r="AE457" s="518"/>
      <c r="AF457" s="518"/>
      <c r="AG457" s="518"/>
      <c r="AH457" s="518"/>
      <c r="AI457" s="518"/>
      <c r="AJ457" s="518"/>
      <c r="AK457" s="518"/>
      <c r="AL457" s="518"/>
      <c r="AM457" s="518"/>
      <c r="AN457" s="518"/>
      <c r="AO457" s="518"/>
      <c r="AP457" s="518"/>
      <c r="AQ457" s="518"/>
      <c r="AR457" s="518"/>
      <c r="AS457" s="518"/>
      <c r="AT457" s="518"/>
      <c r="AU457" s="518"/>
      <c r="AV457" s="518"/>
      <c r="AW457" s="518"/>
      <c r="AX457" s="518"/>
      <c r="AY457" s="518"/>
      <c r="AZ457" s="518"/>
      <c r="BA457" s="518"/>
      <c r="BB457" s="518"/>
      <c r="BC457" s="518"/>
      <c r="BD457" s="518"/>
      <c r="BE457" s="518"/>
    </row>
    <row r="458" spans="1:57" ht="12.75" customHeight="1">
      <c r="A458" s="518"/>
      <c r="B458" s="518"/>
      <c r="C458" s="518"/>
      <c r="D458" s="518"/>
      <c r="E458" s="518"/>
      <c r="F458" s="518"/>
      <c r="G458" s="518"/>
      <c r="H458" s="518"/>
      <c r="I458" s="518"/>
      <c r="J458" s="518"/>
      <c r="K458" s="518"/>
      <c r="L458" s="518"/>
      <c r="M458" s="518"/>
      <c r="N458" s="518"/>
      <c r="O458" s="518"/>
      <c r="P458" s="518"/>
      <c r="Q458" s="518"/>
      <c r="R458" s="518"/>
      <c r="S458" s="518"/>
      <c r="T458" s="518"/>
      <c r="U458" s="518"/>
      <c r="V458" s="518"/>
      <c r="W458" s="518"/>
      <c r="X458" s="518"/>
      <c r="Y458" s="518"/>
      <c r="Z458" s="518"/>
      <c r="AA458" s="518"/>
      <c r="AB458" s="518"/>
      <c r="AC458" s="518"/>
      <c r="AD458" s="518"/>
      <c r="AE458" s="518"/>
      <c r="AF458" s="518"/>
      <c r="AG458" s="518"/>
      <c r="AH458" s="518"/>
      <c r="AI458" s="518"/>
      <c r="AJ458" s="518"/>
      <c r="AK458" s="518"/>
      <c r="AL458" s="518"/>
      <c r="AM458" s="518"/>
      <c r="AN458" s="518"/>
      <c r="AO458" s="518"/>
      <c r="AP458" s="518"/>
      <c r="AQ458" s="518"/>
      <c r="AR458" s="518"/>
      <c r="AS458" s="518"/>
      <c r="AT458" s="518"/>
      <c r="AU458" s="518"/>
      <c r="AV458" s="518"/>
      <c r="AW458" s="518"/>
      <c r="AX458" s="518"/>
      <c r="AY458" s="518"/>
      <c r="AZ458" s="518"/>
      <c r="BA458" s="518"/>
      <c r="BB458" s="518"/>
      <c r="BC458" s="518"/>
      <c r="BD458" s="518"/>
      <c r="BE458" s="518"/>
    </row>
    <row r="459" spans="1:57" ht="12.75" customHeight="1">
      <c r="A459" s="518"/>
      <c r="B459" s="518"/>
      <c r="C459" s="518"/>
      <c r="D459" s="518"/>
      <c r="E459" s="518"/>
      <c r="F459" s="518"/>
      <c r="G459" s="518"/>
      <c r="H459" s="518"/>
      <c r="I459" s="518"/>
      <c r="J459" s="518"/>
      <c r="K459" s="518"/>
      <c r="L459" s="518"/>
      <c r="M459" s="518"/>
      <c r="N459" s="518"/>
      <c r="O459" s="518"/>
      <c r="P459" s="518"/>
      <c r="Q459" s="518"/>
      <c r="R459" s="518"/>
      <c r="S459" s="518"/>
      <c r="T459" s="518"/>
      <c r="U459" s="518"/>
      <c r="V459" s="518"/>
      <c r="W459" s="518"/>
      <c r="X459" s="518"/>
      <c r="Y459" s="518"/>
      <c r="Z459" s="518"/>
      <c r="AA459" s="518"/>
      <c r="AB459" s="518"/>
      <c r="AC459" s="518"/>
      <c r="AD459" s="518"/>
      <c r="AE459" s="518"/>
      <c r="AF459" s="518"/>
      <c r="AG459" s="518"/>
      <c r="AH459" s="518"/>
      <c r="AI459" s="518"/>
      <c r="AJ459" s="518"/>
      <c r="AK459" s="518"/>
      <c r="AL459" s="518"/>
      <c r="AM459" s="518"/>
      <c r="AN459" s="518"/>
      <c r="AO459" s="518"/>
      <c r="AP459" s="518"/>
      <c r="AQ459" s="518"/>
      <c r="AR459" s="518"/>
      <c r="AS459" s="518"/>
      <c r="AT459" s="518"/>
      <c r="AU459" s="518"/>
      <c r="AV459" s="518"/>
      <c r="AW459" s="518"/>
      <c r="AX459" s="518"/>
      <c r="AY459" s="518"/>
      <c r="AZ459" s="518"/>
      <c r="BA459" s="518"/>
      <c r="BB459" s="518"/>
      <c r="BC459" s="518"/>
      <c r="BD459" s="518"/>
      <c r="BE459" s="518"/>
    </row>
    <row r="460" spans="1:57" ht="12.75" customHeight="1">
      <c r="A460" s="518"/>
      <c r="B460" s="518"/>
      <c r="C460" s="518"/>
      <c r="D460" s="518"/>
      <c r="E460" s="518"/>
      <c r="F460" s="518"/>
      <c r="G460" s="518"/>
      <c r="H460" s="518"/>
      <c r="I460" s="518"/>
      <c r="J460" s="518"/>
      <c r="K460" s="518"/>
      <c r="L460" s="518"/>
      <c r="M460" s="518"/>
      <c r="N460" s="518"/>
      <c r="O460" s="518"/>
      <c r="P460" s="518"/>
      <c r="Q460" s="518"/>
      <c r="R460" s="518"/>
      <c r="S460" s="518"/>
      <c r="T460" s="518"/>
      <c r="U460" s="518"/>
      <c r="V460" s="518"/>
      <c r="W460" s="518"/>
      <c r="X460" s="518"/>
      <c r="Y460" s="518"/>
      <c r="Z460" s="518"/>
      <c r="AA460" s="518"/>
      <c r="AB460" s="518"/>
      <c r="AC460" s="518"/>
      <c r="AD460" s="518"/>
      <c r="AE460" s="518"/>
      <c r="AF460" s="518"/>
      <c r="AG460" s="518"/>
      <c r="AH460" s="518"/>
      <c r="AI460" s="518"/>
      <c r="AJ460" s="518"/>
      <c r="AK460" s="518"/>
      <c r="AL460" s="518"/>
      <c r="AM460" s="518"/>
      <c r="AN460" s="518"/>
      <c r="AO460" s="518"/>
      <c r="AP460" s="518"/>
      <c r="AQ460" s="518"/>
      <c r="AR460" s="518"/>
      <c r="AS460" s="518"/>
      <c r="AT460" s="518"/>
      <c r="AU460" s="518"/>
      <c r="AV460" s="518"/>
      <c r="AW460" s="518"/>
      <c r="AX460" s="518"/>
      <c r="AY460" s="518"/>
      <c r="AZ460" s="518"/>
      <c r="BA460" s="518"/>
      <c r="BB460" s="518"/>
      <c r="BC460" s="518"/>
      <c r="BD460" s="518"/>
      <c r="BE460" s="518"/>
    </row>
    <row r="461" spans="1:57" ht="12.75" customHeight="1">
      <c r="A461" s="518"/>
      <c r="B461" s="518"/>
      <c r="C461" s="518"/>
      <c r="D461" s="518"/>
      <c r="E461" s="518"/>
      <c r="F461" s="518"/>
      <c r="G461" s="518"/>
      <c r="H461" s="518"/>
      <c r="I461" s="518"/>
      <c r="J461" s="518"/>
      <c r="K461" s="518"/>
      <c r="L461" s="518"/>
      <c r="M461" s="518"/>
      <c r="N461" s="518"/>
      <c r="O461" s="518"/>
      <c r="P461" s="518"/>
      <c r="Q461" s="518"/>
      <c r="R461" s="518"/>
      <c r="S461" s="518"/>
      <c r="T461" s="518"/>
      <c r="U461" s="518"/>
      <c r="V461" s="518"/>
      <c r="W461" s="518"/>
      <c r="X461" s="518"/>
      <c r="Y461" s="518"/>
      <c r="Z461" s="518"/>
      <c r="AA461" s="518"/>
      <c r="AB461" s="518"/>
      <c r="AC461" s="518"/>
      <c r="AD461" s="518"/>
      <c r="AE461" s="518"/>
      <c r="AF461" s="518"/>
      <c r="AG461" s="518"/>
      <c r="AH461" s="518"/>
      <c r="AI461" s="518"/>
      <c r="AJ461" s="518"/>
      <c r="AK461" s="518"/>
      <c r="AL461" s="518"/>
      <c r="AM461" s="518"/>
      <c r="AN461" s="518"/>
      <c r="AO461" s="518"/>
      <c r="AP461" s="518"/>
      <c r="AQ461" s="518"/>
      <c r="AR461" s="518"/>
      <c r="AS461" s="518"/>
      <c r="AT461" s="518"/>
      <c r="AU461" s="518"/>
      <c r="AV461" s="518"/>
      <c r="AW461" s="518"/>
      <c r="AX461" s="518"/>
      <c r="AY461" s="518"/>
      <c r="AZ461" s="518"/>
      <c r="BA461" s="518"/>
      <c r="BB461" s="518"/>
      <c r="BC461" s="518"/>
      <c r="BD461" s="518"/>
      <c r="BE461" s="518"/>
    </row>
    <row r="462" spans="1:57" ht="12.75" customHeight="1">
      <c r="A462" s="518"/>
      <c r="B462" s="518"/>
      <c r="C462" s="518"/>
      <c r="D462" s="518"/>
      <c r="E462" s="518"/>
      <c r="F462" s="518"/>
      <c r="G462" s="518"/>
      <c r="H462" s="518"/>
      <c r="I462" s="518"/>
      <c r="J462" s="518"/>
      <c r="K462" s="518"/>
      <c r="L462" s="518"/>
      <c r="M462" s="518"/>
      <c r="N462" s="518"/>
      <c r="O462" s="518"/>
      <c r="P462" s="518"/>
      <c r="Q462" s="518"/>
      <c r="R462" s="518"/>
      <c r="S462" s="518"/>
      <c r="T462" s="518"/>
      <c r="U462" s="518"/>
      <c r="V462" s="518"/>
      <c r="W462" s="518"/>
      <c r="X462" s="518"/>
      <c r="Y462" s="518"/>
      <c r="Z462" s="518"/>
      <c r="AA462" s="518"/>
      <c r="AB462" s="518"/>
      <c r="AC462" s="518"/>
      <c r="AD462" s="518"/>
      <c r="AE462" s="518"/>
      <c r="AF462" s="518"/>
      <c r="AG462" s="518"/>
      <c r="AH462" s="518"/>
      <c r="AI462" s="518"/>
      <c r="AJ462" s="518"/>
      <c r="AK462" s="518"/>
      <c r="AL462" s="518"/>
      <c r="AM462" s="518"/>
      <c r="AN462" s="518"/>
      <c r="AO462" s="518"/>
      <c r="AP462" s="518"/>
      <c r="AQ462" s="518"/>
      <c r="AR462" s="518"/>
      <c r="AS462" s="518"/>
      <c r="AT462" s="518"/>
      <c r="AU462" s="518"/>
      <c r="AV462" s="518"/>
      <c r="AW462" s="518"/>
      <c r="AX462" s="518"/>
      <c r="AY462" s="518"/>
      <c r="AZ462" s="518"/>
      <c r="BA462" s="518"/>
      <c r="BB462" s="518"/>
      <c r="BC462" s="518"/>
      <c r="BD462" s="518"/>
      <c r="BE462" s="518"/>
    </row>
    <row r="463" spans="1:57" ht="12.75" customHeight="1">
      <c r="A463" s="518"/>
      <c r="B463" s="518"/>
      <c r="C463" s="518"/>
      <c r="D463" s="518"/>
      <c r="E463" s="518"/>
      <c r="F463" s="518"/>
      <c r="G463" s="518"/>
      <c r="H463" s="518"/>
      <c r="I463" s="518"/>
      <c r="J463" s="518"/>
      <c r="K463" s="518"/>
      <c r="L463" s="518"/>
      <c r="M463" s="518"/>
      <c r="N463" s="518"/>
      <c r="O463" s="518"/>
      <c r="P463" s="518"/>
      <c r="Q463" s="518"/>
      <c r="R463" s="518"/>
      <c r="S463" s="518"/>
      <c r="T463" s="518"/>
      <c r="U463" s="518"/>
      <c r="V463" s="518"/>
      <c r="W463" s="518"/>
      <c r="X463" s="518"/>
      <c r="Y463" s="518"/>
      <c r="Z463" s="518"/>
      <c r="AA463" s="518"/>
      <c r="AB463" s="518"/>
      <c r="AC463" s="518"/>
      <c r="AD463" s="518"/>
      <c r="AE463" s="518"/>
      <c r="AF463" s="518"/>
      <c r="AG463" s="518"/>
      <c r="AH463" s="518"/>
      <c r="AI463" s="518"/>
      <c r="AJ463" s="518"/>
      <c r="AK463" s="518"/>
      <c r="AL463" s="518"/>
      <c r="AM463" s="518"/>
      <c r="AN463" s="518"/>
      <c r="AO463" s="518"/>
      <c r="AP463" s="518"/>
      <c r="AQ463" s="518"/>
      <c r="AR463" s="518"/>
      <c r="AS463" s="518"/>
      <c r="AT463" s="518"/>
      <c r="AU463" s="518"/>
      <c r="AV463" s="518"/>
      <c r="AW463" s="518"/>
      <c r="AX463" s="518"/>
      <c r="AY463" s="518"/>
      <c r="AZ463" s="518"/>
      <c r="BA463" s="518"/>
      <c r="BB463" s="518"/>
      <c r="BC463" s="518"/>
      <c r="BD463" s="518"/>
      <c r="BE463" s="518"/>
    </row>
    <row r="464" spans="1:57" ht="12.75" customHeight="1">
      <c r="A464" s="518"/>
      <c r="B464" s="518"/>
      <c r="C464" s="518"/>
      <c r="D464" s="518"/>
      <c r="E464" s="518"/>
      <c r="F464" s="518"/>
      <c r="G464" s="518"/>
      <c r="H464" s="518"/>
      <c r="I464" s="518"/>
      <c r="J464" s="518"/>
      <c r="K464" s="518"/>
      <c r="L464" s="518"/>
      <c r="M464" s="518"/>
      <c r="N464" s="518"/>
      <c r="O464" s="518"/>
      <c r="P464" s="518"/>
      <c r="Q464" s="518"/>
      <c r="R464" s="518"/>
      <c r="S464" s="518"/>
      <c r="T464" s="518"/>
      <c r="U464" s="518"/>
      <c r="V464" s="518"/>
      <c r="W464" s="518"/>
      <c r="X464" s="518"/>
      <c r="Y464" s="518"/>
      <c r="Z464" s="518"/>
      <c r="AA464" s="518"/>
      <c r="AB464" s="518"/>
      <c r="AC464" s="518"/>
      <c r="AD464" s="518"/>
      <c r="AE464" s="518"/>
      <c r="AF464" s="518"/>
      <c r="AG464" s="518"/>
      <c r="AH464" s="518"/>
      <c r="AI464" s="518"/>
      <c r="AJ464" s="518"/>
      <c r="AK464" s="518"/>
      <c r="AL464" s="518"/>
      <c r="AM464" s="518"/>
      <c r="AN464" s="518"/>
      <c r="AO464" s="518"/>
      <c r="AP464" s="518"/>
      <c r="AQ464" s="518"/>
      <c r="AR464" s="518"/>
      <c r="AS464" s="518"/>
      <c r="AT464" s="518"/>
      <c r="AU464" s="518"/>
      <c r="AV464" s="518"/>
      <c r="AW464" s="518"/>
      <c r="AX464" s="518"/>
      <c r="AY464" s="518"/>
      <c r="AZ464" s="518"/>
      <c r="BA464" s="518"/>
      <c r="BB464" s="518"/>
      <c r="BC464" s="518"/>
      <c r="BD464" s="518"/>
      <c r="BE464" s="518"/>
    </row>
    <row r="465" spans="1:57" ht="12.75" customHeight="1">
      <c r="A465" s="518"/>
      <c r="B465" s="518"/>
      <c r="C465" s="518"/>
      <c r="D465" s="518"/>
      <c r="E465" s="518"/>
      <c r="F465" s="518"/>
      <c r="G465" s="518"/>
      <c r="H465" s="518"/>
      <c r="I465" s="518"/>
      <c r="J465" s="518"/>
      <c r="K465" s="518"/>
      <c r="L465" s="518"/>
      <c r="M465" s="518"/>
      <c r="N465" s="518"/>
      <c r="O465" s="518"/>
      <c r="P465" s="518"/>
      <c r="Q465" s="518"/>
      <c r="R465" s="518"/>
      <c r="S465" s="518"/>
      <c r="T465" s="518"/>
      <c r="U465" s="518"/>
      <c r="V465" s="518"/>
      <c r="W465" s="518"/>
      <c r="X465" s="518"/>
      <c r="Y465" s="518"/>
      <c r="Z465" s="518"/>
      <c r="AA465" s="518"/>
      <c r="AB465" s="518"/>
      <c r="AC465" s="518"/>
      <c r="AD465" s="518"/>
      <c r="AE465" s="518"/>
      <c r="AF465" s="518"/>
      <c r="AG465" s="518"/>
      <c r="AH465" s="518"/>
      <c r="AI465" s="518"/>
      <c r="AJ465" s="518"/>
      <c r="AK465" s="518"/>
      <c r="AL465" s="518"/>
      <c r="AM465" s="518"/>
      <c r="AN465" s="518"/>
      <c r="AO465" s="518"/>
      <c r="AP465" s="518"/>
      <c r="AQ465" s="518"/>
      <c r="AR465" s="518"/>
      <c r="AS465" s="518"/>
      <c r="AT465" s="518"/>
      <c r="AU465" s="518"/>
      <c r="AV465" s="518"/>
      <c r="AW465" s="518"/>
      <c r="AX465" s="518"/>
      <c r="AY465" s="518"/>
      <c r="AZ465" s="518"/>
      <c r="BA465" s="518"/>
      <c r="BB465" s="518"/>
      <c r="BC465" s="518"/>
      <c r="BD465" s="518"/>
      <c r="BE465" s="518"/>
    </row>
    <row r="466" spans="1:57" ht="12.75" customHeight="1">
      <c r="A466" s="518"/>
      <c r="B466" s="518"/>
      <c r="C466" s="518"/>
      <c r="D466" s="518"/>
      <c r="E466" s="518"/>
      <c r="F466" s="518"/>
      <c r="G466" s="518"/>
      <c r="H466" s="518"/>
      <c r="I466" s="518"/>
      <c r="J466" s="518"/>
      <c r="K466" s="518"/>
      <c r="L466" s="518"/>
      <c r="M466" s="518"/>
      <c r="N466" s="518"/>
      <c r="O466" s="518"/>
      <c r="P466" s="518"/>
      <c r="Q466" s="518"/>
      <c r="R466" s="518"/>
      <c r="S466" s="518"/>
      <c r="T466" s="518"/>
      <c r="U466" s="518"/>
      <c r="V466" s="518"/>
      <c r="W466" s="518"/>
      <c r="X466" s="518"/>
      <c r="Y466" s="518"/>
      <c r="Z466" s="518"/>
      <c r="AA466" s="518"/>
      <c r="AB466" s="518"/>
      <c r="AC466" s="518"/>
      <c r="AD466" s="518"/>
      <c r="AE466" s="518"/>
      <c r="AF466" s="518"/>
      <c r="AG466" s="518"/>
      <c r="AH466" s="518"/>
      <c r="AI466" s="518"/>
      <c r="AJ466" s="518"/>
      <c r="AK466" s="518"/>
      <c r="AL466" s="518"/>
      <c r="AM466" s="518"/>
      <c r="AN466" s="518"/>
      <c r="AO466" s="518"/>
      <c r="AP466" s="518"/>
      <c r="AQ466" s="518"/>
      <c r="AR466" s="518"/>
      <c r="AS466" s="518"/>
      <c r="AT466" s="518"/>
      <c r="AU466" s="518"/>
      <c r="AV466" s="518"/>
      <c r="AW466" s="518"/>
      <c r="AX466" s="518"/>
      <c r="AY466" s="518"/>
      <c r="AZ466" s="518"/>
      <c r="BA466" s="518"/>
      <c r="BB466" s="518"/>
      <c r="BC466" s="518"/>
      <c r="BD466" s="518"/>
      <c r="BE466" s="518"/>
    </row>
    <row r="467" spans="1:57" ht="12.75" customHeight="1">
      <c r="A467" s="518"/>
      <c r="B467" s="518"/>
      <c r="C467" s="518"/>
      <c r="D467" s="518"/>
      <c r="E467" s="518"/>
      <c r="F467" s="518"/>
      <c r="G467" s="518"/>
      <c r="H467" s="518"/>
      <c r="I467" s="518"/>
      <c r="J467" s="518"/>
      <c r="K467" s="518"/>
      <c r="L467" s="518"/>
      <c r="M467" s="518"/>
      <c r="N467" s="518"/>
      <c r="O467" s="518"/>
      <c r="P467" s="518"/>
      <c r="Q467" s="518"/>
      <c r="R467" s="518"/>
      <c r="S467" s="518"/>
      <c r="T467" s="518"/>
      <c r="U467" s="518"/>
      <c r="V467" s="518"/>
      <c r="W467" s="518"/>
      <c r="X467" s="518"/>
      <c r="Y467" s="518"/>
      <c r="Z467" s="518"/>
      <c r="AA467" s="518"/>
      <c r="AB467" s="518"/>
      <c r="AC467" s="518"/>
      <c r="AD467" s="518"/>
      <c r="AE467" s="518"/>
      <c r="AF467" s="518"/>
      <c r="AG467" s="518"/>
      <c r="AH467" s="518"/>
      <c r="AI467" s="518"/>
      <c r="AJ467" s="518"/>
      <c r="AK467" s="518"/>
      <c r="AL467" s="518"/>
      <c r="AM467" s="518"/>
      <c r="AN467" s="518"/>
      <c r="AO467" s="518"/>
      <c r="AP467" s="518"/>
      <c r="AQ467" s="518"/>
      <c r="AR467" s="518"/>
      <c r="AS467" s="518"/>
      <c r="AT467" s="518"/>
      <c r="AU467" s="518"/>
      <c r="AV467" s="518"/>
      <c r="AW467" s="518"/>
      <c r="AX467" s="518"/>
      <c r="AY467" s="518"/>
      <c r="AZ467" s="518"/>
      <c r="BA467" s="518"/>
      <c r="BB467" s="518"/>
      <c r="BC467" s="518"/>
      <c r="BD467" s="518"/>
      <c r="BE467" s="518"/>
    </row>
    <row r="468" spans="1:57" ht="12.75" customHeight="1">
      <c r="A468" s="518"/>
      <c r="B468" s="518"/>
      <c r="C468" s="518"/>
      <c r="D468" s="518"/>
      <c r="E468" s="518"/>
      <c r="F468" s="518"/>
      <c r="G468" s="518"/>
      <c r="H468" s="518"/>
      <c r="I468" s="518"/>
      <c r="J468" s="518"/>
      <c r="K468" s="518"/>
      <c r="L468" s="518"/>
      <c r="M468" s="518"/>
      <c r="N468" s="518"/>
      <c r="O468" s="518"/>
      <c r="P468" s="518"/>
      <c r="Q468" s="518"/>
      <c r="R468" s="518"/>
      <c r="S468" s="518"/>
      <c r="T468" s="518"/>
      <c r="U468" s="518"/>
      <c r="V468" s="518"/>
      <c r="W468" s="518"/>
      <c r="X468" s="518"/>
      <c r="Y468" s="518"/>
      <c r="Z468" s="518"/>
      <c r="AA468" s="518"/>
      <c r="AB468" s="518"/>
      <c r="AC468" s="518"/>
      <c r="AD468" s="518"/>
      <c r="AE468" s="518"/>
      <c r="AF468" s="518"/>
      <c r="AG468" s="518"/>
      <c r="AH468" s="518"/>
      <c r="AI468" s="518"/>
      <c r="AJ468" s="518"/>
      <c r="AK468" s="518"/>
      <c r="AL468" s="518"/>
      <c r="AM468" s="518"/>
      <c r="AN468" s="518"/>
      <c r="AO468" s="518"/>
      <c r="AP468" s="518"/>
      <c r="AQ468" s="518"/>
      <c r="AR468" s="518"/>
      <c r="AS468" s="518"/>
      <c r="AT468" s="518"/>
      <c r="AU468" s="518"/>
      <c r="AV468" s="518"/>
      <c r="AW468" s="518"/>
      <c r="AX468" s="518"/>
      <c r="AY468" s="518"/>
      <c r="AZ468" s="518"/>
      <c r="BA468" s="518"/>
      <c r="BB468" s="518"/>
      <c r="BC468" s="518"/>
      <c r="BD468" s="518"/>
      <c r="BE468" s="518"/>
    </row>
    <row r="469" spans="1:57" ht="12.75" customHeight="1">
      <c r="A469" s="518"/>
      <c r="B469" s="518"/>
      <c r="C469" s="518"/>
      <c r="D469" s="518"/>
      <c r="E469" s="518"/>
      <c r="F469" s="518"/>
      <c r="G469" s="518"/>
      <c r="H469" s="518"/>
      <c r="I469" s="518"/>
      <c r="J469" s="518"/>
      <c r="K469" s="518"/>
      <c r="L469" s="518"/>
      <c r="M469" s="518"/>
      <c r="N469" s="518"/>
      <c r="O469" s="518"/>
      <c r="P469" s="518"/>
      <c r="Q469" s="518"/>
      <c r="R469" s="518"/>
      <c r="S469" s="518"/>
      <c r="T469" s="518"/>
      <c r="U469" s="518"/>
      <c r="V469" s="518"/>
      <c r="W469" s="518"/>
      <c r="X469" s="518"/>
      <c r="Y469" s="518"/>
      <c r="Z469" s="518"/>
      <c r="AA469" s="518"/>
      <c r="AB469" s="518"/>
      <c r="AC469" s="518"/>
      <c r="AD469" s="518"/>
      <c r="AE469" s="518"/>
      <c r="AF469" s="518"/>
      <c r="AG469" s="518"/>
      <c r="AH469" s="518"/>
      <c r="AI469" s="518"/>
      <c r="AJ469" s="518"/>
      <c r="AK469" s="518"/>
      <c r="AL469" s="518"/>
      <c r="AM469" s="518"/>
      <c r="AN469" s="518"/>
      <c r="AO469" s="518"/>
      <c r="AP469" s="518"/>
      <c r="AQ469" s="518"/>
      <c r="AR469" s="518"/>
      <c r="AS469" s="518"/>
      <c r="AT469" s="518"/>
      <c r="AU469" s="518"/>
      <c r="AV469" s="518"/>
      <c r="AW469" s="518"/>
      <c r="AX469" s="518"/>
      <c r="AY469" s="518"/>
      <c r="AZ469" s="518"/>
      <c r="BA469" s="518"/>
      <c r="BB469" s="518"/>
      <c r="BC469" s="518"/>
      <c r="BD469" s="518"/>
      <c r="BE469" s="518"/>
    </row>
    <row r="470" spans="1:57" ht="12.75" customHeight="1">
      <c r="A470" s="518"/>
      <c r="B470" s="518"/>
      <c r="C470" s="518"/>
      <c r="D470" s="518"/>
      <c r="E470" s="518"/>
      <c r="F470" s="518"/>
      <c r="G470" s="518"/>
      <c r="H470" s="518"/>
      <c r="I470" s="518"/>
      <c r="J470" s="518"/>
      <c r="K470" s="518"/>
      <c r="L470" s="518"/>
      <c r="M470" s="518"/>
      <c r="N470" s="518"/>
      <c r="O470" s="518"/>
      <c r="P470" s="518"/>
      <c r="Q470" s="518"/>
      <c r="R470" s="518"/>
      <c r="S470" s="518"/>
      <c r="T470" s="518"/>
      <c r="U470" s="518"/>
      <c r="V470" s="518"/>
      <c r="W470" s="518"/>
      <c r="X470" s="518"/>
      <c r="Y470" s="518"/>
      <c r="Z470" s="518"/>
      <c r="AA470" s="518"/>
      <c r="AB470" s="518"/>
      <c r="AC470" s="518"/>
      <c r="AD470" s="518"/>
      <c r="AE470" s="518"/>
      <c r="AF470" s="518"/>
      <c r="AG470" s="518"/>
      <c r="AH470" s="518"/>
      <c r="AI470" s="518"/>
      <c r="AJ470" s="518"/>
      <c r="AK470" s="518"/>
      <c r="AL470" s="518"/>
      <c r="AM470" s="518"/>
      <c r="AN470" s="518"/>
      <c r="AO470" s="518"/>
      <c r="AP470" s="518"/>
      <c r="AQ470" s="518"/>
      <c r="AR470" s="518"/>
      <c r="AS470" s="518"/>
      <c r="AT470" s="518"/>
      <c r="AU470" s="518"/>
      <c r="AV470" s="518"/>
      <c r="AW470" s="518"/>
      <c r="AX470" s="518"/>
      <c r="AY470" s="518"/>
      <c r="AZ470" s="518"/>
      <c r="BA470" s="518"/>
      <c r="BB470" s="518"/>
      <c r="BC470" s="518"/>
      <c r="BD470" s="518"/>
      <c r="BE470" s="518"/>
    </row>
    <row r="471" spans="1:57" ht="12.75" customHeight="1">
      <c r="A471" s="518"/>
      <c r="B471" s="518"/>
      <c r="C471" s="518"/>
      <c r="D471" s="518"/>
      <c r="E471" s="518"/>
      <c r="F471" s="518"/>
      <c r="G471" s="518"/>
      <c r="H471" s="518"/>
      <c r="I471" s="518"/>
      <c r="J471" s="518"/>
      <c r="K471" s="518"/>
      <c r="L471" s="518"/>
      <c r="M471" s="518"/>
      <c r="N471" s="518"/>
      <c r="O471" s="518"/>
      <c r="P471" s="518"/>
      <c r="Q471" s="518"/>
      <c r="R471" s="518"/>
      <c r="S471" s="518"/>
      <c r="T471" s="518"/>
      <c r="U471" s="518"/>
      <c r="V471" s="518"/>
      <c r="W471" s="518"/>
      <c r="X471" s="518"/>
      <c r="Y471" s="518"/>
      <c r="Z471" s="518"/>
      <c r="AA471" s="518"/>
      <c r="AB471" s="518"/>
      <c r="AC471" s="518"/>
      <c r="AD471" s="518"/>
      <c r="AE471" s="518"/>
      <c r="AF471" s="518"/>
      <c r="AG471" s="518"/>
      <c r="AH471" s="518"/>
      <c r="AI471" s="518"/>
      <c r="AJ471" s="518"/>
      <c r="AK471" s="518"/>
      <c r="AL471" s="518"/>
      <c r="AM471" s="518"/>
      <c r="AN471" s="518"/>
      <c r="AO471" s="518"/>
      <c r="AP471" s="518"/>
      <c r="AQ471" s="518"/>
      <c r="AR471" s="518"/>
      <c r="AS471" s="518"/>
      <c r="AT471" s="518"/>
      <c r="AU471" s="518"/>
      <c r="AV471" s="518"/>
      <c r="AW471" s="518"/>
      <c r="AX471" s="518"/>
      <c r="AY471" s="518"/>
      <c r="AZ471" s="518"/>
      <c r="BA471" s="518"/>
      <c r="BB471" s="518"/>
      <c r="BC471" s="518"/>
      <c r="BD471" s="518"/>
      <c r="BE471" s="518"/>
    </row>
    <row r="472" spans="1:57" ht="12.75" customHeight="1">
      <c r="A472" s="518"/>
      <c r="B472" s="518"/>
      <c r="C472" s="518"/>
      <c r="D472" s="518"/>
      <c r="E472" s="518"/>
      <c r="F472" s="518"/>
      <c r="G472" s="518"/>
      <c r="H472" s="518"/>
      <c r="I472" s="518"/>
      <c r="J472" s="518"/>
      <c r="K472" s="518"/>
      <c r="L472" s="518"/>
      <c r="M472" s="518"/>
      <c r="N472" s="518"/>
      <c r="O472" s="518"/>
      <c r="P472" s="518"/>
      <c r="Q472" s="518"/>
      <c r="R472" s="518"/>
      <c r="S472" s="518"/>
      <c r="T472" s="518"/>
      <c r="U472" s="518"/>
      <c r="V472" s="518"/>
      <c r="W472" s="518"/>
      <c r="X472" s="518"/>
      <c r="Y472" s="518"/>
      <c r="Z472" s="518"/>
      <c r="AA472" s="518"/>
      <c r="AB472" s="518"/>
      <c r="AC472" s="518"/>
      <c r="AD472" s="518"/>
      <c r="AE472" s="518"/>
      <c r="AF472" s="518"/>
      <c r="AG472" s="518"/>
      <c r="AH472" s="518"/>
      <c r="AI472" s="518"/>
      <c r="AJ472" s="518"/>
      <c r="AK472" s="518"/>
      <c r="AL472" s="518"/>
      <c r="AM472" s="518"/>
      <c r="AN472" s="518"/>
      <c r="AO472" s="518"/>
      <c r="AP472" s="518"/>
      <c r="AQ472" s="518"/>
      <c r="AR472" s="518"/>
      <c r="AS472" s="518"/>
      <c r="AT472" s="518"/>
      <c r="AU472" s="518"/>
      <c r="AV472" s="518"/>
      <c r="AW472" s="518"/>
      <c r="AX472" s="518"/>
      <c r="AY472" s="518"/>
      <c r="AZ472" s="518"/>
      <c r="BA472" s="518"/>
      <c r="BB472" s="518"/>
      <c r="BC472" s="518"/>
      <c r="BD472" s="518"/>
      <c r="BE472" s="518"/>
    </row>
    <row r="473" spans="1:57" ht="12.75" customHeight="1">
      <c r="A473" s="518"/>
      <c r="B473" s="518"/>
      <c r="C473" s="518"/>
      <c r="D473" s="518"/>
      <c r="E473" s="518"/>
      <c r="F473" s="518"/>
      <c r="G473" s="518"/>
      <c r="H473" s="518"/>
      <c r="I473" s="518"/>
      <c r="J473" s="518"/>
      <c r="K473" s="518"/>
      <c r="L473" s="518"/>
      <c r="M473" s="518"/>
      <c r="N473" s="518"/>
      <c r="O473" s="518"/>
      <c r="P473" s="518"/>
      <c r="Q473" s="518"/>
      <c r="R473" s="518"/>
      <c r="S473" s="518"/>
      <c r="T473" s="518"/>
      <c r="U473" s="518"/>
      <c r="V473" s="518"/>
      <c r="W473" s="518"/>
      <c r="X473" s="518"/>
      <c r="Y473" s="518"/>
      <c r="Z473" s="518"/>
      <c r="AA473" s="518"/>
      <c r="AB473" s="518"/>
      <c r="AC473" s="518"/>
      <c r="AD473" s="518"/>
      <c r="AE473" s="518"/>
      <c r="AF473" s="518"/>
      <c r="AG473" s="518"/>
      <c r="AH473" s="518"/>
      <c r="AI473" s="518"/>
      <c r="AJ473" s="518"/>
      <c r="AK473" s="518"/>
      <c r="AL473" s="518"/>
      <c r="AM473" s="518"/>
      <c r="AN473" s="518"/>
      <c r="AO473" s="518"/>
      <c r="AP473" s="518"/>
      <c r="AQ473" s="518"/>
      <c r="AR473" s="518"/>
      <c r="AS473" s="518"/>
      <c r="AT473" s="518"/>
      <c r="AU473" s="518"/>
      <c r="AV473" s="518"/>
      <c r="AW473" s="518"/>
      <c r="AX473" s="518"/>
      <c r="AY473" s="518"/>
      <c r="AZ473" s="518"/>
      <c r="BA473" s="518"/>
      <c r="BB473" s="518"/>
      <c r="BC473" s="518"/>
      <c r="BD473" s="518"/>
      <c r="BE473" s="518"/>
    </row>
    <row r="474" spans="1:57" ht="12.75" customHeight="1">
      <c r="A474" s="518"/>
      <c r="B474" s="518"/>
      <c r="C474" s="518"/>
      <c r="D474" s="518"/>
      <c r="E474" s="518"/>
      <c r="F474" s="518"/>
      <c r="G474" s="518"/>
      <c r="H474" s="518"/>
      <c r="I474" s="518"/>
      <c r="J474" s="518"/>
      <c r="K474" s="518"/>
      <c r="L474" s="518"/>
      <c r="M474" s="518"/>
      <c r="N474" s="518"/>
      <c r="O474" s="518"/>
      <c r="P474" s="518"/>
      <c r="Q474" s="518"/>
      <c r="R474" s="518"/>
      <c r="S474" s="518"/>
      <c r="T474" s="518"/>
      <c r="U474" s="518"/>
      <c r="V474" s="518"/>
      <c r="W474" s="518"/>
      <c r="X474" s="518"/>
      <c r="Y474" s="518"/>
      <c r="Z474" s="518"/>
      <c r="AA474" s="518"/>
      <c r="AB474" s="518"/>
      <c r="AC474" s="518"/>
      <c r="AD474" s="518"/>
      <c r="AE474" s="518"/>
      <c r="AF474" s="518"/>
      <c r="AG474" s="518"/>
      <c r="AH474" s="518"/>
      <c r="AI474" s="518"/>
      <c r="AJ474" s="518"/>
      <c r="AK474" s="518"/>
      <c r="AL474" s="518"/>
      <c r="AM474" s="518"/>
      <c r="AN474" s="518"/>
      <c r="AO474" s="518"/>
      <c r="AP474" s="518"/>
      <c r="AQ474" s="518"/>
      <c r="AR474" s="518"/>
      <c r="AS474" s="518"/>
      <c r="AT474" s="518"/>
      <c r="AU474" s="518"/>
      <c r="AV474" s="518"/>
      <c r="AW474" s="518"/>
      <c r="AX474" s="518"/>
      <c r="AY474" s="518"/>
      <c r="AZ474" s="518"/>
      <c r="BA474" s="518"/>
      <c r="BB474" s="518"/>
      <c r="BC474" s="518"/>
      <c r="BD474" s="518"/>
      <c r="BE474" s="518"/>
    </row>
    <row r="475" spans="1:57" ht="12.75" customHeight="1">
      <c r="A475" s="518"/>
      <c r="B475" s="518"/>
      <c r="C475" s="518"/>
      <c r="D475" s="518"/>
      <c r="E475" s="518"/>
      <c r="F475" s="518"/>
      <c r="G475" s="518"/>
      <c r="H475" s="518"/>
      <c r="I475" s="518"/>
      <c r="J475" s="518"/>
      <c r="K475" s="518"/>
      <c r="L475" s="518"/>
      <c r="M475" s="518"/>
      <c r="N475" s="518"/>
      <c r="O475" s="518"/>
      <c r="P475" s="518"/>
      <c r="Q475" s="518"/>
      <c r="R475" s="518"/>
      <c r="S475" s="518"/>
      <c r="T475" s="518"/>
      <c r="U475" s="518"/>
      <c r="V475" s="518"/>
      <c r="W475" s="518"/>
      <c r="X475" s="518"/>
      <c r="Y475" s="518"/>
      <c r="Z475" s="518"/>
      <c r="AA475" s="518"/>
      <c r="AB475" s="518"/>
      <c r="AC475" s="518"/>
      <c r="AD475" s="518"/>
      <c r="AE475" s="518"/>
      <c r="AF475" s="518"/>
      <c r="AG475" s="518"/>
      <c r="AH475" s="518"/>
      <c r="AI475" s="518"/>
      <c r="AJ475" s="518"/>
      <c r="AK475" s="518"/>
      <c r="AL475" s="518"/>
      <c r="AM475" s="518"/>
      <c r="AN475" s="518"/>
      <c r="AO475" s="518"/>
      <c r="AP475" s="518"/>
      <c r="AQ475" s="518"/>
      <c r="AR475" s="518"/>
      <c r="AS475" s="518"/>
      <c r="AT475" s="518"/>
      <c r="AU475" s="518"/>
      <c r="AV475" s="518"/>
      <c r="AW475" s="518"/>
      <c r="AX475" s="518"/>
      <c r="AY475" s="518"/>
      <c r="AZ475" s="518"/>
      <c r="BA475" s="518"/>
      <c r="BB475" s="518"/>
      <c r="BC475" s="518"/>
      <c r="BD475" s="518"/>
      <c r="BE475" s="518"/>
    </row>
    <row r="476" spans="1:57" ht="12.75" customHeight="1">
      <c r="A476" s="518"/>
      <c r="B476" s="518"/>
      <c r="C476" s="518"/>
      <c r="D476" s="518"/>
      <c r="E476" s="518"/>
      <c r="F476" s="518"/>
      <c r="G476" s="518"/>
      <c r="H476" s="518"/>
      <c r="I476" s="518"/>
      <c r="J476" s="518"/>
      <c r="K476" s="518"/>
      <c r="L476" s="518"/>
      <c r="M476" s="518"/>
      <c r="N476" s="518"/>
      <c r="O476" s="518"/>
      <c r="P476" s="518"/>
      <c r="Q476" s="518"/>
      <c r="R476" s="518"/>
      <c r="S476" s="518"/>
      <c r="T476" s="518"/>
      <c r="U476" s="518"/>
      <c r="V476" s="518"/>
      <c r="W476" s="518"/>
      <c r="X476" s="518"/>
      <c r="Y476" s="518"/>
      <c r="Z476" s="518"/>
      <c r="AA476" s="518"/>
      <c r="AB476" s="518"/>
      <c r="AC476" s="518"/>
      <c r="AD476" s="518"/>
      <c r="AE476" s="518"/>
      <c r="AF476" s="518"/>
      <c r="AG476" s="518"/>
      <c r="AH476" s="518"/>
      <c r="AI476" s="518"/>
      <c r="AJ476" s="518"/>
      <c r="AK476" s="518"/>
      <c r="AL476" s="518"/>
      <c r="AM476" s="518"/>
      <c r="AN476" s="518"/>
      <c r="AO476" s="518"/>
      <c r="AP476" s="518"/>
      <c r="AQ476" s="518"/>
      <c r="AR476" s="518"/>
      <c r="AS476" s="518"/>
      <c r="AT476" s="518"/>
      <c r="AU476" s="518"/>
      <c r="AV476" s="518"/>
      <c r="AW476" s="518"/>
      <c r="AX476" s="518"/>
      <c r="AY476" s="518"/>
      <c r="AZ476" s="518"/>
      <c r="BA476" s="518"/>
      <c r="BB476" s="518"/>
      <c r="BC476" s="518"/>
      <c r="BD476" s="518"/>
      <c r="BE476" s="518"/>
    </row>
    <row r="477" spans="1:57" ht="12.75" customHeight="1">
      <c r="A477" s="518"/>
      <c r="B477" s="518"/>
      <c r="C477" s="518"/>
      <c r="D477" s="518"/>
      <c r="E477" s="518"/>
      <c r="F477" s="518"/>
      <c r="G477" s="518"/>
      <c r="H477" s="518"/>
      <c r="I477" s="518"/>
      <c r="J477" s="518"/>
      <c r="K477" s="518"/>
      <c r="L477" s="518"/>
      <c r="M477" s="518"/>
      <c r="N477" s="518"/>
      <c r="O477" s="518"/>
      <c r="P477" s="518"/>
      <c r="Q477" s="518"/>
      <c r="R477" s="518"/>
      <c r="S477" s="518"/>
      <c r="T477" s="518"/>
      <c r="U477" s="518"/>
      <c r="V477" s="518"/>
      <c r="W477" s="518"/>
      <c r="X477" s="518"/>
      <c r="Y477" s="518"/>
      <c r="Z477" s="518"/>
      <c r="AA477" s="518"/>
      <c r="AB477" s="518"/>
      <c r="AC477" s="518"/>
      <c r="AD477" s="518"/>
      <c r="AE477" s="518"/>
      <c r="AF477" s="518"/>
      <c r="AG477" s="518"/>
      <c r="AH477" s="518"/>
      <c r="AI477" s="518"/>
      <c r="AJ477" s="518"/>
      <c r="AK477" s="518"/>
      <c r="AL477" s="518"/>
      <c r="AM477" s="518"/>
      <c r="AN477" s="518"/>
      <c r="AO477" s="518"/>
      <c r="AP477" s="518"/>
      <c r="AQ477" s="518"/>
      <c r="AR477" s="518"/>
      <c r="AS477" s="518"/>
      <c r="AT477" s="518"/>
      <c r="AU477" s="518"/>
      <c r="AV477" s="518"/>
      <c r="AW477" s="518"/>
      <c r="AX477" s="518"/>
      <c r="AY477" s="518"/>
      <c r="AZ477" s="518"/>
      <c r="BA477" s="518"/>
      <c r="BB477" s="518"/>
      <c r="BC477" s="518"/>
      <c r="BD477" s="518"/>
      <c r="BE477" s="518"/>
    </row>
    <row r="478" spans="1:57" ht="12.75" customHeight="1">
      <c r="A478" s="518"/>
      <c r="B478" s="518"/>
      <c r="C478" s="518"/>
      <c r="D478" s="518"/>
      <c r="E478" s="518"/>
      <c r="F478" s="518"/>
      <c r="G478" s="518"/>
      <c r="H478" s="518"/>
      <c r="I478" s="518"/>
      <c r="J478" s="518"/>
      <c r="K478" s="518"/>
      <c r="L478" s="518"/>
      <c r="M478" s="518"/>
      <c r="N478" s="518"/>
      <c r="O478" s="518"/>
      <c r="P478" s="518"/>
      <c r="Q478" s="518"/>
      <c r="R478" s="518"/>
      <c r="S478" s="518"/>
      <c r="T478" s="518"/>
      <c r="U478" s="518"/>
      <c r="V478" s="518"/>
      <c r="W478" s="518"/>
      <c r="X478" s="518"/>
      <c r="Y478" s="518"/>
      <c r="Z478" s="518"/>
      <c r="AA478" s="518"/>
      <c r="AB478" s="518"/>
      <c r="AC478" s="518"/>
      <c r="AD478" s="518"/>
      <c r="AE478" s="518"/>
      <c r="AF478" s="518"/>
      <c r="AG478" s="518"/>
      <c r="AH478" s="518"/>
      <c r="AI478" s="518"/>
      <c r="AJ478" s="518"/>
      <c r="AK478" s="518"/>
      <c r="AL478" s="518"/>
      <c r="AM478" s="518"/>
      <c r="AN478" s="518"/>
      <c r="AO478" s="518"/>
      <c r="AP478" s="518"/>
      <c r="AQ478" s="518"/>
      <c r="AR478" s="518"/>
      <c r="AS478" s="518"/>
      <c r="AT478" s="518"/>
      <c r="AU478" s="518"/>
      <c r="AV478" s="518"/>
      <c r="AW478" s="518"/>
      <c r="AX478" s="518"/>
      <c r="AY478" s="518"/>
      <c r="AZ478" s="518"/>
      <c r="BA478" s="518"/>
      <c r="BB478" s="518"/>
      <c r="BC478" s="518"/>
      <c r="BD478" s="518"/>
      <c r="BE478" s="518"/>
    </row>
    <row r="479" spans="1:57" ht="12.75" customHeight="1">
      <c r="A479" s="518"/>
      <c r="B479" s="518"/>
      <c r="C479" s="518"/>
      <c r="D479" s="518"/>
      <c r="E479" s="518"/>
      <c r="F479" s="518"/>
      <c r="G479" s="518"/>
      <c r="H479" s="518"/>
      <c r="I479" s="518"/>
      <c r="J479" s="518"/>
      <c r="K479" s="518"/>
      <c r="L479" s="518"/>
      <c r="M479" s="518"/>
      <c r="N479" s="518"/>
      <c r="O479" s="518"/>
      <c r="P479" s="518"/>
      <c r="Q479" s="518"/>
      <c r="R479" s="518"/>
      <c r="S479" s="518"/>
      <c r="T479" s="518"/>
      <c r="U479" s="518"/>
      <c r="V479" s="518"/>
      <c r="W479" s="518"/>
      <c r="X479" s="518"/>
      <c r="Y479" s="518"/>
      <c r="Z479" s="518"/>
      <c r="AA479" s="518"/>
      <c r="AB479" s="518"/>
      <c r="AC479" s="518"/>
      <c r="AD479" s="518"/>
      <c r="AE479" s="518"/>
      <c r="AF479" s="518"/>
      <c r="AG479" s="518"/>
      <c r="AH479" s="518"/>
      <c r="AI479" s="518"/>
      <c r="AJ479" s="518"/>
      <c r="AK479" s="518"/>
      <c r="AL479" s="518"/>
      <c r="AM479" s="518"/>
      <c r="AN479" s="518"/>
      <c r="AO479" s="518"/>
      <c r="AP479" s="518"/>
      <c r="AQ479" s="518"/>
      <c r="AR479" s="518"/>
      <c r="AS479" s="518"/>
      <c r="AT479" s="518"/>
      <c r="AU479" s="518"/>
      <c r="AV479" s="518"/>
      <c r="AW479" s="518"/>
      <c r="AX479" s="518"/>
      <c r="AY479" s="518"/>
      <c r="AZ479" s="518"/>
      <c r="BA479" s="518"/>
      <c r="BB479" s="518"/>
      <c r="BC479" s="518"/>
      <c r="BD479" s="518"/>
      <c r="BE479" s="518"/>
    </row>
    <row r="480" spans="1:57" ht="12.75" customHeight="1">
      <c r="A480" s="518"/>
      <c r="B480" s="518"/>
      <c r="C480" s="518"/>
      <c r="D480" s="518"/>
      <c r="E480" s="518"/>
      <c r="F480" s="518"/>
      <c r="G480" s="518"/>
      <c r="H480" s="518"/>
      <c r="I480" s="518"/>
      <c r="J480" s="518"/>
      <c r="K480" s="518"/>
      <c r="L480" s="518"/>
      <c r="M480" s="518"/>
      <c r="N480" s="518"/>
      <c r="O480" s="518"/>
      <c r="P480" s="518"/>
      <c r="Q480" s="518"/>
      <c r="R480" s="518"/>
      <c r="S480" s="518"/>
      <c r="T480" s="518"/>
      <c r="U480" s="518"/>
      <c r="V480" s="518"/>
      <c r="W480" s="518"/>
      <c r="X480" s="518"/>
      <c r="Y480" s="518"/>
      <c r="Z480" s="518"/>
      <c r="AA480" s="518"/>
      <c r="AB480" s="518"/>
      <c r="AC480" s="518"/>
      <c r="AD480" s="518"/>
      <c r="AE480" s="518"/>
      <c r="AF480" s="518"/>
      <c r="AG480" s="518"/>
      <c r="AH480" s="518"/>
      <c r="AI480" s="518"/>
      <c r="AJ480" s="518"/>
      <c r="AK480" s="518"/>
      <c r="AL480" s="518"/>
      <c r="AM480" s="518"/>
      <c r="AN480" s="518"/>
      <c r="AO480" s="518"/>
      <c r="AP480" s="518"/>
      <c r="AQ480" s="518"/>
      <c r="AR480" s="518"/>
      <c r="AS480" s="518"/>
      <c r="AT480" s="518"/>
      <c r="AU480" s="518"/>
      <c r="AV480" s="518"/>
      <c r="AW480" s="518"/>
      <c r="AX480" s="518"/>
      <c r="AY480" s="518"/>
      <c r="AZ480" s="518"/>
      <c r="BA480" s="518"/>
      <c r="BB480" s="518"/>
      <c r="BC480" s="518"/>
      <c r="BD480" s="518"/>
      <c r="BE480" s="518"/>
    </row>
    <row r="481" spans="1:57" ht="12.75" customHeight="1">
      <c r="A481" s="518"/>
      <c r="B481" s="518"/>
      <c r="C481" s="518"/>
      <c r="D481" s="518"/>
      <c r="E481" s="518"/>
      <c r="F481" s="518"/>
      <c r="G481" s="518"/>
      <c r="H481" s="518"/>
      <c r="I481" s="518"/>
      <c r="J481" s="518"/>
      <c r="K481" s="518"/>
      <c r="L481" s="518"/>
      <c r="M481" s="518"/>
      <c r="N481" s="518"/>
      <c r="O481" s="518"/>
      <c r="P481" s="518"/>
      <c r="Q481" s="518"/>
      <c r="R481" s="518"/>
      <c r="S481" s="518"/>
      <c r="T481" s="518"/>
      <c r="U481" s="518"/>
      <c r="V481" s="518"/>
      <c r="W481" s="518"/>
      <c r="X481" s="518"/>
      <c r="Y481" s="518"/>
      <c r="Z481" s="518"/>
      <c r="AA481" s="518"/>
      <c r="AB481" s="518"/>
      <c r="AC481" s="518"/>
      <c r="AD481" s="518"/>
      <c r="AE481" s="518"/>
      <c r="AF481" s="518"/>
      <c r="AG481" s="518"/>
      <c r="AH481" s="518"/>
      <c r="AI481" s="518"/>
      <c r="AJ481" s="518"/>
      <c r="AK481" s="518"/>
      <c r="AL481" s="518"/>
      <c r="AM481" s="518"/>
      <c r="AN481" s="518"/>
      <c r="AO481" s="518"/>
      <c r="AP481" s="518"/>
      <c r="AQ481" s="518"/>
      <c r="AR481" s="518"/>
      <c r="AS481" s="518"/>
      <c r="AT481" s="518"/>
      <c r="AU481" s="518"/>
      <c r="AV481" s="518"/>
      <c r="AW481" s="518"/>
      <c r="AX481" s="518"/>
      <c r="AY481" s="518"/>
      <c r="AZ481" s="518"/>
      <c r="BA481" s="518"/>
      <c r="BB481" s="518"/>
      <c r="BC481" s="518"/>
      <c r="BD481" s="518"/>
      <c r="BE481" s="518"/>
    </row>
    <row r="482" spans="1:57" ht="12.75" customHeight="1">
      <c r="A482" s="518"/>
      <c r="B482" s="518"/>
      <c r="C482" s="518"/>
      <c r="D482" s="518"/>
      <c r="E482" s="518"/>
      <c r="F482" s="518"/>
      <c r="G482" s="518"/>
      <c r="H482" s="518"/>
      <c r="I482" s="518"/>
      <c r="J482" s="518"/>
      <c r="K482" s="518"/>
      <c r="L482" s="518"/>
      <c r="M482" s="518"/>
      <c r="N482" s="518"/>
      <c r="O482" s="518"/>
      <c r="P482" s="518"/>
      <c r="Q482" s="518"/>
      <c r="R482" s="518"/>
      <c r="S482" s="518"/>
      <c r="T482" s="518"/>
      <c r="U482" s="518"/>
      <c r="V482" s="518"/>
      <c r="W482" s="518"/>
      <c r="X482" s="518"/>
      <c r="Y482" s="518"/>
      <c r="Z482" s="518"/>
      <c r="AA482" s="518"/>
      <c r="AB482" s="518"/>
      <c r="AC482" s="518"/>
      <c r="AD482" s="518"/>
      <c r="AE482" s="518"/>
      <c r="AF482" s="518"/>
      <c r="AG482" s="518"/>
      <c r="AH482" s="518"/>
      <c r="AI482" s="518"/>
      <c r="AJ482" s="518"/>
      <c r="AK482" s="518"/>
      <c r="AL482" s="518"/>
      <c r="AM482" s="518"/>
      <c r="AN482" s="518"/>
      <c r="AO482" s="518"/>
      <c r="AP482" s="518"/>
      <c r="AQ482" s="518"/>
      <c r="AR482" s="518"/>
      <c r="AS482" s="518"/>
      <c r="AT482" s="518"/>
      <c r="AU482" s="518"/>
      <c r="AV482" s="518"/>
      <c r="AW482" s="518"/>
      <c r="AX482" s="518"/>
      <c r="AY482" s="518"/>
      <c r="AZ482" s="518"/>
      <c r="BA482" s="518"/>
      <c r="BB482" s="518"/>
      <c r="BC482" s="518"/>
      <c r="BD482" s="518"/>
      <c r="BE482" s="518"/>
    </row>
    <row r="483" spans="1:57" ht="12.75" customHeight="1">
      <c r="A483" s="518"/>
      <c r="B483" s="518"/>
      <c r="C483" s="518"/>
      <c r="D483" s="518"/>
      <c r="E483" s="518"/>
      <c r="F483" s="518"/>
      <c r="G483" s="518"/>
      <c r="H483" s="518"/>
      <c r="I483" s="518"/>
      <c r="J483" s="518"/>
      <c r="K483" s="518"/>
      <c r="L483" s="518"/>
      <c r="M483" s="518"/>
      <c r="N483" s="518"/>
      <c r="O483" s="518"/>
      <c r="P483" s="518"/>
      <c r="Q483" s="518"/>
      <c r="R483" s="518"/>
      <c r="S483" s="518"/>
      <c r="T483" s="518"/>
      <c r="U483" s="518"/>
      <c r="V483" s="518"/>
      <c r="W483" s="518"/>
      <c r="X483" s="518"/>
      <c r="Y483" s="518"/>
      <c r="Z483" s="518"/>
      <c r="AA483" s="518"/>
      <c r="AB483" s="518"/>
      <c r="AC483" s="518"/>
      <c r="AD483" s="518"/>
      <c r="AE483" s="518"/>
      <c r="AF483" s="518"/>
      <c r="AG483" s="518"/>
      <c r="AH483" s="518"/>
      <c r="AI483" s="518"/>
      <c r="AJ483" s="518"/>
      <c r="AK483" s="518"/>
      <c r="AL483" s="518"/>
      <c r="AM483" s="518"/>
      <c r="AN483" s="518"/>
      <c r="AO483" s="518"/>
      <c r="AP483" s="518"/>
      <c r="AQ483" s="518"/>
      <c r="AR483" s="518"/>
      <c r="AS483" s="518"/>
      <c r="AT483" s="518"/>
      <c r="AU483" s="518"/>
      <c r="AV483" s="518"/>
      <c r="AW483" s="518"/>
      <c r="AX483" s="518"/>
      <c r="AY483" s="518"/>
      <c r="AZ483" s="518"/>
      <c r="BA483" s="518"/>
      <c r="BB483" s="518"/>
      <c r="BC483" s="518"/>
      <c r="BD483" s="518"/>
      <c r="BE483" s="518"/>
    </row>
    <row r="484" spans="1:57" ht="12.75" customHeight="1">
      <c r="A484" s="518"/>
      <c r="B484" s="518"/>
      <c r="C484" s="518"/>
      <c r="D484" s="518"/>
      <c r="E484" s="518"/>
      <c r="F484" s="518"/>
      <c r="G484" s="518"/>
      <c r="H484" s="518"/>
      <c r="I484" s="518"/>
      <c r="J484" s="518"/>
      <c r="K484" s="518"/>
      <c r="L484" s="518"/>
      <c r="M484" s="518"/>
      <c r="N484" s="518"/>
      <c r="O484" s="518"/>
      <c r="P484" s="518"/>
      <c r="Q484" s="518"/>
      <c r="R484" s="518"/>
      <c r="S484" s="518"/>
      <c r="T484" s="518"/>
      <c r="U484" s="518"/>
      <c r="V484" s="518"/>
      <c r="W484" s="518"/>
      <c r="X484" s="518"/>
      <c r="Y484" s="518"/>
      <c r="Z484" s="518"/>
      <c r="AA484" s="518"/>
      <c r="AB484" s="518"/>
      <c r="AC484" s="518"/>
      <c r="AD484" s="518"/>
      <c r="AE484" s="518"/>
      <c r="AF484" s="518"/>
      <c r="AG484" s="518"/>
      <c r="AH484" s="518"/>
      <c r="AI484" s="518"/>
      <c r="AJ484" s="518"/>
      <c r="AK484" s="518"/>
      <c r="AL484" s="518"/>
      <c r="AM484" s="518"/>
      <c r="AN484" s="518"/>
      <c r="AO484" s="518"/>
      <c r="AP484" s="518"/>
      <c r="AQ484" s="518"/>
      <c r="AR484" s="518"/>
      <c r="AS484" s="518"/>
      <c r="AT484" s="518"/>
      <c r="AU484" s="518"/>
      <c r="AV484" s="518"/>
      <c r="AW484" s="518"/>
      <c r="AX484" s="518"/>
      <c r="AY484" s="518"/>
      <c r="AZ484" s="518"/>
      <c r="BA484" s="518"/>
      <c r="BB484" s="518"/>
      <c r="BC484" s="518"/>
      <c r="BD484" s="518"/>
      <c r="BE484" s="518"/>
    </row>
    <row r="485" spans="1:57" ht="12.75" customHeight="1">
      <c r="A485" s="518"/>
      <c r="B485" s="518"/>
      <c r="C485" s="518"/>
      <c r="D485" s="518"/>
      <c r="E485" s="518"/>
      <c r="F485" s="518"/>
      <c r="G485" s="518"/>
      <c r="H485" s="518"/>
      <c r="I485" s="518"/>
      <c r="J485" s="518"/>
      <c r="K485" s="518"/>
      <c r="L485" s="518"/>
      <c r="M485" s="518"/>
      <c r="N485" s="518"/>
      <c r="O485" s="518"/>
      <c r="P485" s="518"/>
      <c r="Q485" s="518"/>
      <c r="R485" s="518"/>
      <c r="S485" s="518"/>
      <c r="T485" s="518"/>
      <c r="U485" s="518"/>
      <c r="V485" s="518"/>
      <c r="W485" s="518"/>
      <c r="X485" s="518"/>
      <c r="Y485" s="518"/>
      <c r="Z485" s="518"/>
      <c r="AA485" s="518"/>
      <c r="AB485" s="518"/>
      <c r="AC485" s="518"/>
      <c r="AD485" s="518"/>
      <c r="AE485" s="518"/>
      <c r="AF485" s="518"/>
      <c r="AG485" s="518"/>
      <c r="AH485" s="518"/>
      <c r="AI485" s="518"/>
      <c r="AJ485" s="518"/>
      <c r="AK485" s="518"/>
      <c r="AL485" s="518"/>
      <c r="AM485" s="518"/>
      <c r="AN485" s="518"/>
      <c r="AO485" s="518"/>
      <c r="AP485" s="518"/>
      <c r="AQ485" s="518"/>
      <c r="AR485" s="518"/>
      <c r="AS485" s="518"/>
      <c r="AT485" s="518"/>
      <c r="AU485" s="518"/>
      <c r="AV485" s="518"/>
      <c r="AW485" s="518"/>
      <c r="AX485" s="518"/>
      <c r="AY485" s="518"/>
      <c r="AZ485" s="518"/>
      <c r="BA485" s="518"/>
      <c r="BB485" s="518"/>
      <c r="BC485" s="518"/>
      <c r="BD485" s="518"/>
      <c r="BE485" s="518"/>
    </row>
    <row r="486" spans="1:57" ht="12.75" customHeight="1">
      <c r="A486" s="518"/>
      <c r="B486" s="518"/>
      <c r="C486" s="518"/>
      <c r="D486" s="518"/>
      <c r="E486" s="518"/>
      <c r="F486" s="518"/>
      <c r="G486" s="518"/>
      <c r="H486" s="518"/>
      <c r="I486" s="518"/>
      <c r="J486" s="518"/>
      <c r="K486" s="518"/>
      <c r="L486" s="518"/>
      <c r="M486" s="518"/>
      <c r="N486" s="518"/>
      <c r="O486" s="518"/>
      <c r="P486" s="518"/>
      <c r="Q486" s="518"/>
      <c r="R486" s="518"/>
      <c r="S486" s="518"/>
      <c r="T486" s="518"/>
      <c r="U486" s="518"/>
      <c r="V486" s="518"/>
      <c r="W486" s="518"/>
      <c r="X486" s="518"/>
      <c r="Y486" s="518"/>
      <c r="Z486" s="518"/>
      <c r="AA486" s="518"/>
      <c r="AB486" s="518"/>
      <c r="AC486" s="518"/>
      <c r="AD486" s="518"/>
      <c r="AE486" s="518"/>
      <c r="AF486" s="518"/>
      <c r="AG486" s="518"/>
      <c r="AH486" s="518"/>
      <c r="AI486" s="518"/>
      <c r="AJ486" s="518"/>
      <c r="AK486" s="518"/>
      <c r="AL486" s="518"/>
      <c r="AM486" s="518"/>
      <c r="AN486" s="518"/>
      <c r="AO486" s="518"/>
      <c r="AP486" s="518"/>
      <c r="AQ486" s="518"/>
      <c r="AR486" s="518"/>
      <c r="AS486" s="518"/>
      <c r="AT486" s="518"/>
      <c r="AU486" s="518"/>
      <c r="AV486" s="518"/>
      <c r="AW486" s="518"/>
      <c r="AX486" s="518"/>
      <c r="AY486" s="518"/>
      <c r="AZ486" s="518"/>
      <c r="BA486" s="518"/>
      <c r="BB486" s="518"/>
      <c r="BC486" s="518"/>
      <c r="BD486" s="518"/>
      <c r="BE486" s="518"/>
    </row>
    <row r="487" spans="1:57" ht="12.75" customHeight="1">
      <c r="A487" s="518"/>
      <c r="B487" s="518"/>
      <c r="C487" s="518"/>
      <c r="D487" s="518"/>
      <c r="E487" s="518"/>
      <c r="F487" s="518"/>
      <c r="G487" s="518"/>
      <c r="H487" s="518"/>
      <c r="I487" s="518"/>
      <c r="J487" s="518"/>
      <c r="K487" s="518"/>
      <c r="L487" s="518"/>
      <c r="M487" s="518"/>
      <c r="N487" s="518"/>
      <c r="O487" s="518"/>
      <c r="P487" s="518"/>
      <c r="Q487" s="518"/>
      <c r="R487" s="518"/>
      <c r="S487" s="518"/>
      <c r="T487" s="518"/>
      <c r="U487" s="518"/>
      <c r="V487" s="518"/>
      <c r="W487" s="518"/>
      <c r="X487" s="518"/>
      <c r="Y487" s="518"/>
      <c r="Z487" s="518"/>
      <c r="AA487" s="518"/>
      <c r="AB487" s="518"/>
      <c r="AC487" s="518"/>
      <c r="AD487" s="518"/>
      <c r="AE487" s="518"/>
      <c r="AF487" s="518"/>
      <c r="AG487" s="518"/>
      <c r="AH487" s="518"/>
      <c r="AI487" s="518"/>
      <c r="AJ487" s="518"/>
      <c r="AK487" s="518"/>
      <c r="AL487" s="518"/>
      <c r="AM487" s="518"/>
      <c r="AN487" s="518"/>
      <c r="AO487" s="518"/>
      <c r="AP487" s="518"/>
      <c r="AQ487" s="518"/>
      <c r="AR487" s="518"/>
      <c r="AS487" s="518"/>
      <c r="AT487" s="518"/>
      <c r="AU487" s="518"/>
      <c r="AV487" s="518"/>
      <c r="AW487" s="518"/>
      <c r="AX487" s="518"/>
      <c r="AY487" s="518"/>
      <c r="AZ487" s="518"/>
      <c r="BA487" s="518"/>
      <c r="BB487" s="518"/>
      <c r="BC487" s="518"/>
      <c r="BD487" s="518"/>
      <c r="BE487" s="518"/>
    </row>
    <row r="488" spans="1:57" ht="12.75" customHeight="1">
      <c r="A488" s="518"/>
      <c r="B488" s="518"/>
      <c r="C488" s="518"/>
      <c r="D488" s="518"/>
      <c r="E488" s="518"/>
      <c r="F488" s="518"/>
      <c r="G488" s="518"/>
      <c r="H488" s="518"/>
      <c r="I488" s="518"/>
      <c r="J488" s="518"/>
      <c r="K488" s="518"/>
      <c r="L488" s="518"/>
      <c r="M488" s="518"/>
      <c r="N488" s="518"/>
      <c r="O488" s="518"/>
      <c r="P488" s="518"/>
      <c r="Q488" s="518"/>
      <c r="R488" s="518"/>
      <c r="S488" s="518"/>
      <c r="T488" s="518"/>
      <c r="U488" s="518"/>
      <c r="V488" s="518"/>
      <c r="W488" s="518"/>
      <c r="X488" s="518"/>
      <c r="Y488" s="518"/>
      <c r="Z488" s="518"/>
      <c r="AA488" s="518"/>
      <c r="AB488" s="518"/>
      <c r="AC488" s="518"/>
      <c r="AD488" s="518"/>
      <c r="AE488" s="518"/>
      <c r="AF488" s="518"/>
      <c r="AG488" s="518"/>
      <c r="AH488" s="518"/>
      <c r="AI488" s="518"/>
      <c r="AJ488" s="518"/>
      <c r="AK488" s="518"/>
      <c r="AL488" s="518"/>
      <c r="AM488" s="518"/>
      <c r="AN488" s="518"/>
      <c r="AO488" s="518"/>
      <c r="AP488" s="518"/>
      <c r="AQ488" s="518"/>
      <c r="AR488" s="518"/>
      <c r="AS488" s="518"/>
      <c r="AT488" s="518"/>
      <c r="AU488" s="518"/>
      <c r="AV488" s="518"/>
      <c r="AW488" s="518"/>
      <c r="AX488" s="518"/>
      <c r="AY488" s="518"/>
      <c r="AZ488" s="518"/>
      <c r="BA488" s="518"/>
      <c r="BB488" s="518"/>
      <c r="BC488" s="518"/>
      <c r="BD488" s="518"/>
      <c r="BE488" s="518"/>
    </row>
    <row r="489" spans="1:57" ht="12.75" customHeight="1">
      <c r="A489" s="518"/>
      <c r="B489" s="518"/>
      <c r="C489" s="518"/>
      <c r="D489" s="518"/>
      <c r="E489" s="518"/>
      <c r="F489" s="518"/>
      <c r="G489" s="518"/>
      <c r="H489" s="518"/>
      <c r="I489" s="518"/>
      <c r="J489" s="518"/>
      <c r="K489" s="518"/>
      <c r="L489" s="518"/>
      <c r="M489" s="518"/>
      <c r="N489" s="518"/>
      <c r="O489" s="518"/>
      <c r="P489" s="518"/>
      <c r="Q489" s="518"/>
      <c r="R489" s="518"/>
      <c r="S489" s="518"/>
      <c r="T489" s="518"/>
      <c r="U489" s="518"/>
      <c r="V489" s="518"/>
      <c r="W489" s="518"/>
      <c r="X489" s="518"/>
      <c r="Y489" s="518"/>
      <c r="Z489" s="518"/>
      <c r="AA489" s="518"/>
      <c r="AB489" s="518"/>
      <c r="AC489" s="518"/>
      <c r="AD489" s="518"/>
      <c r="AE489" s="518"/>
      <c r="AF489" s="518"/>
      <c r="AG489" s="518"/>
      <c r="AH489" s="518"/>
      <c r="AI489" s="518"/>
      <c r="AJ489" s="518"/>
      <c r="AK489" s="518"/>
      <c r="AL489" s="518"/>
      <c r="AM489" s="518"/>
      <c r="AN489" s="518"/>
      <c r="AO489" s="518"/>
      <c r="AP489" s="518"/>
      <c r="AQ489" s="518"/>
      <c r="AR489" s="518"/>
      <c r="AS489" s="518"/>
      <c r="AT489" s="518"/>
      <c r="AU489" s="518"/>
      <c r="AV489" s="518"/>
      <c r="AW489" s="518"/>
      <c r="AX489" s="518"/>
      <c r="AY489" s="518"/>
      <c r="AZ489" s="518"/>
      <c r="BA489" s="518"/>
      <c r="BB489" s="518"/>
      <c r="BC489" s="518"/>
      <c r="BD489" s="518"/>
      <c r="BE489" s="518"/>
    </row>
    <row r="490" spans="1:57" ht="12.75" customHeight="1">
      <c r="A490" s="518"/>
      <c r="B490" s="518"/>
      <c r="C490" s="518"/>
      <c r="D490" s="518"/>
      <c r="E490" s="518"/>
      <c r="F490" s="518"/>
      <c r="G490" s="518"/>
      <c r="H490" s="518"/>
      <c r="I490" s="518"/>
      <c r="J490" s="518"/>
      <c r="K490" s="518"/>
      <c r="L490" s="518"/>
      <c r="M490" s="518"/>
      <c r="N490" s="518"/>
      <c r="O490" s="518"/>
      <c r="P490" s="518"/>
      <c r="Q490" s="518"/>
      <c r="R490" s="518"/>
      <c r="S490" s="518"/>
      <c r="T490" s="518"/>
      <c r="U490" s="518"/>
      <c r="V490" s="518"/>
      <c r="W490" s="518"/>
      <c r="X490" s="518"/>
      <c r="Y490" s="518"/>
      <c r="Z490" s="518"/>
      <c r="AA490" s="518"/>
      <c r="AB490" s="518"/>
      <c r="AC490" s="518"/>
      <c r="AD490" s="518"/>
      <c r="AE490" s="518"/>
      <c r="AF490" s="518"/>
      <c r="AG490" s="518"/>
      <c r="AH490" s="518"/>
      <c r="AI490" s="518"/>
      <c r="AJ490" s="518"/>
      <c r="AK490" s="518"/>
      <c r="AL490" s="518"/>
      <c r="AM490" s="518"/>
      <c r="AN490" s="518"/>
      <c r="AO490" s="518"/>
      <c r="AP490" s="518"/>
      <c r="AQ490" s="518"/>
      <c r="AR490" s="518"/>
      <c r="AS490" s="518"/>
      <c r="AT490" s="518"/>
      <c r="AU490" s="518"/>
      <c r="AV490" s="518"/>
      <c r="AW490" s="518"/>
      <c r="AX490" s="518"/>
      <c r="AY490" s="518"/>
      <c r="AZ490" s="518"/>
      <c r="BA490" s="518"/>
      <c r="BB490" s="518"/>
      <c r="BC490" s="518"/>
      <c r="BD490" s="518"/>
      <c r="BE490" s="518"/>
    </row>
    <row r="491" spans="1:57" ht="12.75" customHeight="1">
      <c r="A491" s="518"/>
      <c r="B491" s="518"/>
      <c r="C491" s="518"/>
      <c r="D491" s="518"/>
      <c r="E491" s="518"/>
      <c r="F491" s="518"/>
      <c r="G491" s="518"/>
      <c r="H491" s="518"/>
      <c r="I491" s="518"/>
      <c r="J491" s="518"/>
      <c r="K491" s="518"/>
      <c r="L491" s="518"/>
      <c r="M491" s="518"/>
      <c r="N491" s="518"/>
      <c r="O491" s="518"/>
      <c r="P491" s="518"/>
      <c r="Q491" s="518"/>
      <c r="R491" s="518"/>
      <c r="S491" s="518"/>
      <c r="T491" s="518"/>
      <c r="U491" s="518"/>
      <c r="V491" s="518"/>
      <c r="W491" s="518"/>
      <c r="X491" s="518"/>
      <c r="Y491" s="518"/>
      <c r="Z491" s="518"/>
      <c r="AA491" s="518"/>
      <c r="AB491" s="518"/>
      <c r="AC491" s="518"/>
      <c r="AD491" s="518"/>
      <c r="AE491" s="518"/>
      <c r="AF491" s="518"/>
      <c r="AG491" s="518"/>
      <c r="AH491" s="518"/>
      <c r="AI491" s="518"/>
      <c r="AJ491" s="518"/>
      <c r="AK491" s="518"/>
      <c r="AL491" s="518"/>
      <c r="AM491" s="518"/>
      <c r="AN491" s="518"/>
      <c r="AO491" s="518"/>
      <c r="AP491" s="518"/>
      <c r="AQ491" s="518"/>
      <c r="AR491" s="518"/>
      <c r="AS491" s="518"/>
      <c r="AT491" s="518"/>
      <c r="AU491" s="518"/>
      <c r="AV491" s="518"/>
      <c r="AW491" s="518"/>
      <c r="AX491" s="518"/>
      <c r="AY491" s="518"/>
      <c r="AZ491" s="518"/>
      <c r="BA491" s="518"/>
      <c r="BB491" s="518"/>
      <c r="BC491" s="518"/>
      <c r="BD491" s="518"/>
      <c r="BE491" s="518"/>
    </row>
    <row r="492" spans="1:57" ht="12.75" customHeight="1">
      <c r="A492" s="518"/>
      <c r="B492" s="518"/>
      <c r="C492" s="518"/>
      <c r="D492" s="518"/>
      <c r="E492" s="518"/>
      <c r="F492" s="518"/>
      <c r="G492" s="518"/>
      <c r="H492" s="518"/>
      <c r="I492" s="518"/>
      <c r="J492" s="518"/>
      <c r="K492" s="518"/>
      <c r="L492" s="518"/>
      <c r="M492" s="518"/>
      <c r="N492" s="518"/>
      <c r="O492" s="518"/>
      <c r="P492" s="518"/>
      <c r="Q492" s="518"/>
      <c r="R492" s="518"/>
      <c r="S492" s="518"/>
      <c r="T492" s="518"/>
      <c r="U492" s="518"/>
      <c r="V492" s="518"/>
      <c r="W492" s="518"/>
      <c r="X492" s="518"/>
      <c r="Y492" s="518"/>
      <c r="Z492" s="518"/>
      <c r="AA492" s="518"/>
      <c r="AB492" s="518"/>
      <c r="AC492" s="518"/>
      <c r="AD492" s="518"/>
      <c r="AE492" s="518"/>
      <c r="AF492" s="518"/>
      <c r="AG492" s="518"/>
      <c r="AH492" s="518"/>
      <c r="AI492" s="518"/>
      <c r="AJ492" s="518"/>
      <c r="AK492" s="518"/>
      <c r="AL492" s="518"/>
      <c r="AM492" s="518"/>
      <c r="AN492" s="518"/>
      <c r="AO492" s="518"/>
      <c r="AP492" s="518"/>
      <c r="AQ492" s="518"/>
      <c r="AR492" s="518"/>
      <c r="AS492" s="518"/>
      <c r="AT492" s="518"/>
      <c r="AU492" s="518"/>
      <c r="AV492" s="518"/>
      <c r="AW492" s="518"/>
      <c r="AX492" s="518"/>
      <c r="AY492" s="518"/>
      <c r="AZ492" s="518"/>
      <c r="BA492" s="518"/>
      <c r="BB492" s="518"/>
      <c r="BC492" s="518"/>
      <c r="BD492" s="518"/>
      <c r="BE492" s="518"/>
    </row>
    <row r="493" spans="1:57" ht="12.75" customHeight="1">
      <c r="A493" s="518"/>
      <c r="B493" s="518"/>
      <c r="C493" s="518"/>
      <c r="D493" s="518"/>
      <c r="E493" s="518"/>
      <c r="F493" s="518"/>
      <c r="G493" s="518"/>
      <c r="H493" s="518"/>
      <c r="I493" s="518"/>
      <c r="J493" s="518"/>
      <c r="K493" s="518"/>
      <c r="L493" s="518"/>
      <c r="M493" s="518"/>
      <c r="N493" s="518"/>
      <c r="O493" s="518"/>
      <c r="P493" s="518"/>
      <c r="Q493" s="518"/>
      <c r="R493" s="518"/>
      <c r="S493" s="518"/>
      <c r="T493" s="518"/>
      <c r="U493" s="518"/>
      <c r="V493" s="518"/>
      <c r="W493" s="518"/>
      <c r="X493" s="518"/>
      <c r="Y493" s="518"/>
      <c r="Z493" s="518"/>
      <c r="AA493" s="518"/>
      <c r="AB493" s="518"/>
      <c r="AC493" s="518"/>
      <c r="AD493" s="518"/>
      <c r="AE493" s="518"/>
      <c r="AF493" s="518"/>
      <c r="AG493" s="518"/>
      <c r="AH493" s="518"/>
      <c r="AI493" s="518"/>
      <c r="AJ493" s="518"/>
      <c r="AK493" s="518"/>
      <c r="AL493" s="518"/>
      <c r="AM493" s="518"/>
      <c r="AN493" s="518"/>
      <c r="AO493" s="518"/>
      <c r="AP493" s="518"/>
      <c r="AQ493" s="518"/>
      <c r="AR493" s="518"/>
      <c r="AS493" s="518"/>
      <c r="AT493" s="518"/>
      <c r="AU493" s="518"/>
      <c r="AV493" s="518"/>
      <c r="AW493" s="518"/>
      <c r="AX493" s="518"/>
      <c r="AY493" s="518"/>
      <c r="AZ493" s="518"/>
      <c r="BA493" s="518"/>
      <c r="BB493" s="518"/>
      <c r="BC493" s="518"/>
      <c r="BD493" s="518"/>
      <c r="BE493" s="518"/>
    </row>
    <row r="494" spans="1:57" ht="12.75" customHeight="1">
      <c r="A494" s="518"/>
      <c r="B494" s="518"/>
      <c r="C494" s="518"/>
      <c r="D494" s="518"/>
      <c r="E494" s="518"/>
      <c r="F494" s="518"/>
      <c r="G494" s="518"/>
      <c r="H494" s="518"/>
      <c r="I494" s="518"/>
      <c r="J494" s="518"/>
      <c r="K494" s="518"/>
      <c r="L494" s="518"/>
      <c r="M494" s="518"/>
      <c r="N494" s="518"/>
      <c r="O494" s="518"/>
      <c r="P494" s="518"/>
      <c r="Q494" s="518"/>
      <c r="R494" s="518"/>
      <c r="S494" s="518"/>
      <c r="T494" s="518"/>
      <c r="U494" s="518"/>
      <c r="V494" s="518"/>
      <c r="W494" s="518"/>
      <c r="X494" s="518"/>
      <c r="Y494" s="518"/>
      <c r="Z494" s="518"/>
      <c r="AA494" s="518"/>
      <c r="AB494" s="518"/>
      <c r="AC494" s="518"/>
      <c r="AD494" s="518"/>
      <c r="AE494" s="518"/>
      <c r="AF494" s="518"/>
      <c r="AG494" s="518"/>
      <c r="AH494" s="518"/>
      <c r="AI494" s="518"/>
      <c r="AJ494" s="518"/>
      <c r="AK494" s="518"/>
      <c r="AL494" s="518"/>
      <c r="AM494" s="518"/>
      <c r="AN494" s="518"/>
      <c r="AO494" s="518"/>
      <c r="AP494" s="518"/>
      <c r="AQ494" s="518"/>
      <c r="AR494" s="518"/>
      <c r="AS494" s="518"/>
      <c r="AT494" s="518"/>
      <c r="AU494" s="518"/>
      <c r="AV494" s="518"/>
      <c r="AW494" s="518"/>
      <c r="AX494" s="518"/>
      <c r="AY494" s="518"/>
      <c r="AZ494" s="518"/>
      <c r="BA494" s="518"/>
      <c r="BB494" s="518"/>
      <c r="BC494" s="518"/>
      <c r="BD494" s="518"/>
      <c r="BE494" s="518"/>
    </row>
    <row r="495" spans="1:57" ht="12.75" customHeight="1">
      <c r="A495" s="518"/>
      <c r="B495" s="518"/>
      <c r="C495" s="518"/>
      <c r="D495" s="518"/>
      <c r="E495" s="518"/>
      <c r="F495" s="518"/>
      <c r="G495" s="518"/>
      <c r="H495" s="518"/>
      <c r="I495" s="518"/>
      <c r="J495" s="518"/>
      <c r="K495" s="518"/>
      <c r="L495" s="518"/>
      <c r="M495" s="518"/>
      <c r="N495" s="518"/>
      <c r="O495" s="518"/>
      <c r="P495" s="518"/>
      <c r="Q495" s="518"/>
      <c r="R495" s="518"/>
      <c r="S495" s="518"/>
      <c r="T495" s="518"/>
      <c r="U495" s="518"/>
      <c r="V495" s="518"/>
      <c r="W495" s="518"/>
      <c r="X495" s="518"/>
      <c r="Y495" s="518"/>
      <c r="Z495" s="518"/>
      <c r="AA495" s="518"/>
      <c r="AB495" s="518"/>
      <c r="AC495" s="518"/>
      <c r="AD495" s="518"/>
      <c r="AE495" s="518"/>
      <c r="AF495" s="518"/>
      <c r="AG495" s="518"/>
      <c r="AH495" s="518"/>
      <c r="AI495" s="518"/>
      <c r="AJ495" s="518"/>
      <c r="AK495" s="518"/>
      <c r="AL495" s="518"/>
      <c r="AM495" s="518"/>
      <c r="AN495" s="518"/>
      <c r="AO495" s="518"/>
      <c r="AP495" s="518"/>
      <c r="AQ495" s="518"/>
      <c r="AR495" s="518"/>
      <c r="AS495" s="518"/>
      <c r="AT495" s="518"/>
      <c r="AU495" s="518"/>
      <c r="AV495" s="518"/>
      <c r="AW495" s="518"/>
      <c r="AX495" s="518"/>
      <c r="AY495" s="518"/>
      <c r="AZ495" s="518"/>
      <c r="BA495" s="518"/>
      <c r="BB495" s="518"/>
      <c r="BC495" s="518"/>
      <c r="BD495" s="518"/>
      <c r="BE495" s="518"/>
    </row>
    <row r="496" spans="1:57" ht="12.75" customHeight="1">
      <c r="A496" s="518"/>
      <c r="B496" s="518"/>
      <c r="C496" s="518"/>
      <c r="D496" s="518"/>
      <c r="E496" s="518"/>
      <c r="F496" s="518"/>
      <c r="G496" s="518"/>
      <c r="H496" s="518"/>
      <c r="I496" s="518"/>
      <c r="J496" s="518"/>
      <c r="K496" s="518"/>
      <c r="L496" s="518"/>
      <c r="M496" s="518"/>
      <c r="N496" s="518"/>
      <c r="O496" s="518"/>
      <c r="P496" s="518"/>
      <c r="Q496" s="518"/>
      <c r="R496" s="518"/>
      <c r="S496" s="518"/>
      <c r="T496" s="518"/>
      <c r="U496" s="518"/>
      <c r="V496" s="518"/>
      <c r="W496" s="518"/>
      <c r="X496" s="518"/>
      <c r="Y496" s="518"/>
      <c r="Z496" s="518"/>
      <c r="AA496" s="518"/>
      <c r="AB496" s="518"/>
      <c r="AC496" s="518"/>
      <c r="AD496" s="518"/>
      <c r="AE496" s="518"/>
      <c r="AF496" s="518"/>
      <c r="AG496" s="518"/>
      <c r="AH496" s="518"/>
      <c r="AI496" s="518"/>
      <c r="AJ496" s="518"/>
      <c r="AK496" s="518"/>
      <c r="AL496" s="518"/>
      <c r="AM496" s="518"/>
      <c r="AN496" s="518"/>
      <c r="AO496" s="518"/>
      <c r="AP496" s="518"/>
      <c r="AQ496" s="518"/>
      <c r="AR496" s="518"/>
      <c r="AS496" s="518"/>
      <c r="AT496" s="518"/>
      <c r="AU496" s="518"/>
      <c r="AV496" s="518"/>
      <c r="AW496" s="518"/>
      <c r="AX496" s="518"/>
      <c r="AY496" s="518"/>
      <c r="AZ496" s="518"/>
      <c r="BA496" s="518"/>
      <c r="BB496" s="518"/>
      <c r="BC496" s="518"/>
      <c r="BD496" s="518"/>
      <c r="BE496" s="518"/>
    </row>
    <row r="497" spans="1:57" ht="12.75" customHeight="1">
      <c r="A497" s="518"/>
      <c r="B497" s="518"/>
      <c r="C497" s="518"/>
      <c r="D497" s="518"/>
      <c r="E497" s="518"/>
      <c r="F497" s="518"/>
      <c r="G497" s="518"/>
      <c r="H497" s="518"/>
      <c r="I497" s="518"/>
      <c r="J497" s="518"/>
      <c r="K497" s="518"/>
      <c r="L497" s="518"/>
      <c r="M497" s="518"/>
      <c r="N497" s="518"/>
      <c r="O497" s="518"/>
      <c r="P497" s="518"/>
      <c r="Q497" s="518"/>
      <c r="R497" s="518"/>
      <c r="S497" s="518"/>
      <c r="T497" s="518"/>
      <c r="U497" s="518"/>
      <c r="V497" s="518"/>
      <c r="W497" s="518"/>
      <c r="X497" s="518"/>
      <c r="Y497" s="518"/>
      <c r="Z497" s="518"/>
      <c r="AA497" s="518"/>
      <c r="AB497" s="518"/>
      <c r="AC497" s="518"/>
      <c r="AD497" s="518"/>
      <c r="AE497" s="518"/>
      <c r="AF497" s="518"/>
      <c r="AG497" s="518"/>
      <c r="AH497" s="518"/>
      <c r="AI497" s="518"/>
      <c r="AJ497" s="518"/>
      <c r="AK497" s="518"/>
      <c r="AL497" s="518"/>
      <c r="AM497" s="518"/>
      <c r="AN497" s="518"/>
      <c r="AO497" s="518"/>
      <c r="AP497" s="518"/>
      <c r="AQ497" s="518"/>
      <c r="AR497" s="518"/>
      <c r="AS497" s="518"/>
      <c r="AT497" s="518"/>
      <c r="AU497" s="518"/>
      <c r="AV497" s="518"/>
      <c r="AW497" s="518"/>
      <c r="AX497" s="518"/>
      <c r="AY497" s="518"/>
      <c r="AZ497" s="518"/>
      <c r="BA497" s="518"/>
      <c r="BB497" s="518"/>
      <c r="BC497" s="518"/>
      <c r="BD497" s="518"/>
      <c r="BE497" s="518"/>
    </row>
    <row r="498" spans="1:57" ht="12.75" customHeight="1">
      <c r="A498" s="518"/>
      <c r="B498" s="518"/>
      <c r="C498" s="518"/>
      <c r="D498" s="518"/>
      <c r="E498" s="518"/>
      <c r="F498" s="518"/>
      <c r="G498" s="518"/>
      <c r="H498" s="518"/>
      <c r="I498" s="518"/>
      <c r="J498" s="518"/>
      <c r="K498" s="518"/>
      <c r="L498" s="518"/>
      <c r="M498" s="518"/>
      <c r="N498" s="518"/>
      <c r="O498" s="518"/>
      <c r="P498" s="518"/>
      <c r="Q498" s="518"/>
      <c r="R498" s="518"/>
      <c r="S498" s="518"/>
      <c r="T498" s="518"/>
      <c r="U498" s="518"/>
      <c r="V498" s="518"/>
      <c r="W498" s="518"/>
      <c r="X498" s="518"/>
      <c r="Y498" s="518"/>
      <c r="Z498" s="518"/>
      <c r="AA498" s="518"/>
      <c r="AB498" s="518"/>
      <c r="AC498" s="518"/>
      <c r="AD498" s="518"/>
      <c r="AE498" s="518"/>
      <c r="AF498" s="518"/>
      <c r="AG498" s="518"/>
      <c r="AH498" s="518"/>
      <c r="AI498" s="518"/>
      <c r="AJ498" s="518"/>
      <c r="AK498" s="518"/>
      <c r="AL498" s="518"/>
      <c r="AM498" s="518"/>
      <c r="AN498" s="518"/>
      <c r="AO498" s="518"/>
      <c r="AP498" s="518"/>
      <c r="AQ498" s="518"/>
      <c r="AR498" s="518"/>
      <c r="AS498" s="518"/>
      <c r="AT498" s="518"/>
      <c r="AU498" s="518"/>
      <c r="AV498" s="518"/>
      <c r="AW498" s="518"/>
      <c r="AX498" s="518"/>
      <c r="AY498" s="518"/>
      <c r="AZ498" s="518"/>
      <c r="BA498" s="518"/>
      <c r="BB498" s="518"/>
      <c r="BC498" s="518"/>
      <c r="BD498" s="518"/>
      <c r="BE498" s="518"/>
    </row>
    <row r="499" spans="1:57" ht="12.75" customHeight="1">
      <c r="A499" s="518"/>
      <c r="B499" s="518"/>
      <c r="C499" s="518"/>
      <c r="D499" s="518"/>
      <c r="E499" s="518"/>
      <c r="F499" s="518"/>
      <c r="G499" s="518"/>
      <c r="H499" s="518"/>
      <c r="I499" s="518"/>
      <c r="J499" s="518"/>
      <c r="K499" s="518"/>
      <c r="L499" s="518"/>
      <c r="M499" s="518"/>
      <c r="N499" s="518"/>
      <c r="O499" s="518"/>
      <c r="P499" s="518"/>
      <c r="Q499" s="518"/>
      <c r="R499" s="518"/>
      <c r="S499" s="518"/>
      <c r="T499" s="518"/>
      <c r="U499" s="518"/>
      <c r="V499" s="518"/>
      <c r="W499" s="518"/>
      <c r="X499" s="518"/>
      <c r="Y499" s="518"/>
      <c r="Z499" s="518"/>
      <c r="AA499" s="518"/>
      <c r="AB499" s="518"/>
      <c r="AC499" s="518"/>
      <c r="AD499" s="518"/>
      <c r="AE499" s="518"/>
      <c r="AF499" s="518"/>
      <c r="AG499" s="518"/>
      <c r="AH499" s="518"/>
      <c r="AI499" s="518"/>
      <c r="AJ499" s="518"/>
      <c r="AK499" s="518"/>
      <c r="AL499" s="518"/>
      <c r="AM499" s="518"/>
      <c r="AN499" s="518"/>
      <c r="AO499" s="518"/>
      <c r="AP499" s="518"/>
      <c r="AQ499" s="518"/>
      <c r="AR499" s="518"/>
      <c r="AS499" s="518"/>
      <c r="AT499" s="518"/>
      <c r="AU499" s="518"/>
      <c r="AV499" s="518"/>
      <c r="AW499" s="518"/>
      <c r="AX499" s="518"/>
      <c r="AY499" s="518"/>
      <c r="AZ499" s="518"/>
      <c r="BA499" s="518"/>
      <c r="BB499" s="518"/>
      <c r="BC499" s="518"/>
      <c r="BD499" s="518"/>
      <c r="BE499" s="518"/>
    </row>
    <row r="500" spans="1:57" ht="12.75" customHeight="1">
      <c r="A500" s="518"/>
      <c r="B500" s="518"/>
      <c r="C500" s="518"/>
      <c r="D500" s="518"/>
      <c r="E500" s="518"/>
      <c r="F500" s="518"/>
      <c r="G500" s="518"/>
      <c r="H500" s="518"/>
      <c r="I500" s="518"/>
      <c r="J500" s="518"/>
      <c r="K500" s="518"/>
      <c r="L500" s="518"/>
      <c r="M500" s="518"/>
      <c r="N500" s="518"/>
      <c r="O500" s="518"/>
      <c r="P500" s="518"/>
      <c r="Q500" s="518"/>
      <c r="R500" s="518"/>
      <c r="S500" s="518"/>
      <c r="T500" s="518"/>
      <c r="U500" s="518"/>
      <c r="V500" s="518"/>
      <c r="W500" s="518"/>
      <c r="X500" s="518"/>
      <c r="Y500" s="518"/>
      <c r="Z500" s="518"/>
      <c r="AA500" s="518"/>
      <c r="AB500" s="518"/>
      <c r="AC500" s="518"/>
      <c r="AD500" s="518"/>
      <c r="AE500" s="518"/>
      <c r="AF500" s="518"/>
      <c r="AG500" s="518"/>
      <c r="AH500" s="518"/>
      <c r="AI500" s="518"/>
      <c r="AJ500" s="518"/>
      <c r="AK500" s="518"/>
      <c r="AL500" s="518"/>
      <c r="AM500" s="518"/>
      <c r="AN500" s="518"/>
      <c r="AO500" s="518"/>
      <c r="AP500" s="518"/>
      <c r="AQ500" s="518"/>
      <c r="AR500" s="518"/>
      <c r="AS500" s="518"/>
      <c r="AT500" s="518"/>
      <c r="AU500" s="518"/>
      <c r="AV500" s="518"/>
      <c r="AW500" s="518"/>
      <c r="AX500" s="518"/>
      <c r="AY500" s="518"/>
      <c r="AZ500" s="518"/>
      <c r="BA500" s="518"/>
      <c r="BB500" s="518"/>
      <c r="BC500" s="518"/>
      <c r="BD500" s="518"/>
      <c r="BE500" s="518"/>
    </row>
    <row r="501" spans="1:57" ht="12.75" customHeight="1">
      <c r="A501" s="518"/>
      <c r="B501" s="518"/>
      <c r="C501" s="518"/>
      <c r="D501" s="518"/>
      <c r="E501" s="518"/>
      <c r="F501" s="518"/>
      <c r="G501" s="518"/>
      <c r="H501" s="518"/>
      <c r="I501" s="518"/>
      <c r="J501" s="518"/>
      <c r="K501" s="518"/>
      <c r="L501" s="518"/>
      <c r="M501" s="518"/>
      <c r="N501" s="518"/>
      <c r="O501" s="518"/>
      <c r="P501" s="518"/>
      <c r="Q501" s="518"/>
      <c r="R501" s="518"/>
      <c r="S501" s="518"/>
      <c r="T501" s="518"/>
      <c r="U501" s="518"/>
      <c r="V501" s="518"/>
      <c r="W501" s="518"/>
      <c r="X501" s="518"/>
      <c r="Y501" s="518"/>
      <c r="Z501" s="518"/>
      <c r="AA501" s="518"/>
      <c r="AB501" s="518"/>
      <c r="AC501" s="518"/>
      <c r="AD501" s="518"/>
      <c r="AE501" s="518"/>
      <c r="AF501" s="518"/>
      <c r="AG501" s="518"/>
      <c r="AH501" s="518"/>
      <c r="AI501" s="518"/>
      <c r="AJ501" s="518"/>
      <c r="AK501" s="518"/>
      <c r="AL501" s="518"/>
      <c r="AM501" s="518"/>
      <c r="AN501" s="518"/>
      <c r="AO501" s="518"/>
      <c r="AP501" s="518"/>
      <c r="AQ501" s="518"/>
      <c r="AR501" s="518"/>
      <c r="AS501" s="518"/>
      <c r="AT501" s="518"/>
      <c r="AU501" s="518"/>
      <c r="AV501" s="518"/>
      <c r="AW501" s="518"/>
      <c r="AX501" s="518"/>
      <c r="AY501" s="518"/>
      <c r="AZ501" s="518"/>
      <c r="BA501" s="518"/>
      <c r="BB501" s="518"/>
      <c r="BC501" s="518"/>
      <c r="BD501" s="518"/>
      <c r="BE501" s="518"/>
    </row>
    <row r="502" spans="1:57" ht="12.75" customHeight="1">
      <c r="A502" s="518"/>
      <c r="B502" s="518"/>
      <c r="C502" s="518"/>
      <c r="D502" s="518"/>
      <c r="E502" s="518"/>
      <c r="F502" s="518"/>
      <c r="G502" s="518"/>
      <c r="H502" s="518"/>
      <c r="I502" s="518"/>
      <c r="J502" s="518"/>
      <c r="K502" s="518"/>
      <c r="L502" s="518"/>
      <c r="M502" s="518"/>
      <c r="N502" s="518"/>
      <c r="O502" s="518"/>
      <c r="P502" s="518"/>
      <c r="Q502" s="518"/>
      <c r="R502" s="518"/>
      <c r="S502" s="518"/>
      <c r="T502" s="518"/>
      <c r="U502" s="518"/>
      <c r="V502" s="518"/>
      <c r="W502" s="518"/>
      <c r="X502" s="518"/>
      <c r="Y502" s="518"/>
      <c r="Z502" s="518"/>
      <c r="AA502" s="518"/>
      <c r="AB502" s="518"/>
      <c r="AC502" s="518"/>
      <c r="AD502" s="518"/>
      <c r="AE502" s="518"/>
      <c r="AF502" s="518"/>
      <c r="AG502" s="518"/>
      <c r="AH502" s="518"/>
      <c r="AI502" s="518"/>
      <c r="AJ502" s="518"/>
      <c r="AK502" s="518"/>
      <c r="AL502" s="518"/>
      <c r="AM502" s="518"/>
      <c r="AN502" s="518"/>
      <c r="AO502" s="518"/>
      <c r="AP502" s="518"/>
      <c r="AQ502" s="518"/>
      <c r="AR502" s="518"/>
      <c r="AS502" s="518"/>
      <c r="AT502" s="518"/>
      <c r="AU502" s="518"/>
      <c r="AV502" s="518"/>
      <c r="AW502" s="518"/>
      <c r="AX502" s="518"/>
      <c r="AY502" s="518"/>
      <c r="AZ502" s="518"/>
      <c r="BA502" s="518"/>
      <c r="BB502" s="518"/>
      <c r="BC502" s="518"/>
      <c r="BD502" s="518"/>
      <c r="BE502" s="518"/>
    </row>
    <row r="503" spans="1:57" ht="12.75" customHeight="1">
      <c r="A503" s="518"/>
      <c r="B503" s="518"/>
      <c r="C503" s="518"/>
      <c r="D503" s="518"/>
      <c r="E503" s="518"/>
      <c r="F503" s="518"/>
      <c r="G503" s="518"/>
      <c r="H503" s="518"/>
      <c r="I503" s="518"/>
      <c r="J503" s="518"/>
      <c r="K503" s="518"/>
      <c r="L503" s="518"/>
      <c r="M503" s="518"/>
      <c r="N503" s="518"/>
      <c r="O503" s="518"/>
      <c r="P503" s="518"/>
      <c r="Q503" s="518"/>
      <c r="R503" s="518"/>
      <c r="S503" s="518"/>
      <c r="T503" s="518"/>
      <c r="U503" s="518"/>
      <c r="V503" s="518"/>
      <c r="W503" s="518"/>
      <c r="X503" s="518"/>
      <c r="Y503" s="518"/>
      <c r="Z503" s="518"/>
      <c r="AA503" s="518"/>
      <c r="AB503" s="518"/>
      <c r="AC503" s="518"/>
      <c r="AD503" s="518"/>
      <c r="AE503" s="518"/>
      <c r="AF503" s="518"/>
      <c r="AG503" s="518"/>
      <c r="AH503" s="518"/>
      <c r="AI503" s="518"/>
      <c r="AJ503" s="518"/>
      <c r="AK503" s="518"/>
      <c r="AL503" s="518"/>
      <c r="AM503" s="518"/>
      <c r="AN503" s="518"/>
      <c r="AO503" s="518"/>
      <c r="AP503" s="518"/>
      <c r="AQ503" s="518"/>
      <c r="AR503" s="518"/>
      <c r="AS503" s="518"/>
      <c r="AT503" s="518"/>
      <c r="AU503" s="518"/>
      <c r="AV503" s="518"/>
      <c r="AW503" s="518"/>
      <c r="AX503" s="518"/>
      <c r="AY503" s="518"/>
      <c r="AZ503" s="518"/>
      <c r="BA503" s="518"/>
      <c r="BB503" s="518"/>
      <c r="BC503" s="518"/>
      <c r="BD503" s="518"/>
      <c r="BE503" s="518"/>
    </row>
    <row r="504" spans="1:57" ht="12.75" customHeight="1">
      <c r="A504" s="518"/>
      <c r="B504" s="518"/>
      <c r="C504" s="518"/>
      <c r="D504" s="518"/>
      <c r="E504" s="518"/>
      <c r="F504" s="518"/>
      <c r="G504" s="518"/>
      <c r="H504" s="518"/>
      <c r="I504" s="518"/>
      <c r="J504" s="518"/>
      <c r="K504" s="518"/>
      <c r="L504" s="518"/>
      <c r="M504" s="518"/>
      <c r="N504" s="518"/>
      <c r="O504" s="518"/>
      <c r="P504" s="518"/>
      <c r="Q504" s="518"/>
      <c r="R504" s="518"/>
      <c r="S504" s="518"/>
      <c r="T504" s="518"/>
      <c r="U504" s="518"/>
      <c r="V504" s="518"/>
      <c r="W504" s="518"/>
      <c r="X504" s="518"/>
      <c r="Y504" s="518"/>
      <c r="Z504" s="518"/>
      <c r="AA504" s="518"/>
      <c r="AB504" s="518"/>
      <c r="AC504" s="518"/>
      <c r="AD504" s="518"/>
      <c r="AE504" s="518"/>
      <c r="AF504" s="518"/>
      <c r="AG504" s="518"/>
      <c r="AH504" s="518"/>
      <c r="AI504" s="518"/>
      <c r="AJ504" s="518"/>
      <c r="AK504" s="518"/>
      <c r="AL504" s="518"/>
      <c r="AM504" s="518"/>
      <c r="AN504" s="518"/>
      <c r="AO504" s="518"/>
      <c r="AP504" s="518"/>
      <c r="AQ504" s="518"/>
      <c r="AR504" s="518"/>
      <c r="AS504" s="518"/>
      <c r="AT504" s="518"/>
      <c r="AU504" s="518"/>
      <c r="AV504" s="518"/>
      <c r="AW504" s="518"/>
      <c r="AX504" s="518"/>
      <c r="AY504" s="518"/>
      <c r="AZ504" s="518"/>
      <c r="BA504" s="518"/>
      <c r="BB504" s="518"/>
      <c r="BC504" s="518"/>
      <c r="BD504" s="518"/>
      <c r="BE504" s="518"/>
    </row>
    <row r="505" spans="1:57" ht="12.75" customHeight="1">
      <c r="A505" s="518"/>
      <c r="B505" s="518"/>
      <c r="C505" s="518"/>
      <c r="D505" s="518"/>
      <c r="E505" s="518"/>
      <c r="F505" s="518"/>
      <c r="G505" s="518"/>
      <c r="H505" s="518"/>
      <c r="I505" s="518"/>
      <c r="J505" s="518"/>
      <c r="K505" s="518"/>
      <c r="L505" s="518"/>
      <c r="M505" s="518"/>
      <c r="N505" s="518"/>
      <c r="O505" s="518"/>
      <c r="P505" s="518"/>
      <c r="Q505" s="518"/>
      <c r="R505" s="518"/>
      <c r="S505" s="518"/>
      <c r="T505" s="518"/>
      <c r="U505" s="518"/>
      <c r="V505" s="518"/>
      <c r="W505" s="518"/>
      <c r="X505" s="518"/>
      <c r="Y505" s="518"/>
      <c r="Z505" s="518"/>
      <c r="AA505" s="518"/>
      <c r="AB505" s="518"/>
      <c r="AC505" s="518"/>
      <c r="AD505" s="518"/>
      <c r="AE505" s="518"/>
      <c r="AF505" s="518"/>
      <c r="AG505" s="518"/>
      <c r="AH505" s="518"/>
      <c r="AI505" s="518"/>
      <c r="AJ505" s="518"/>
      <c r="AK505" s="518"/>
      <c r="AL505" s="518"/>
      <c r="AM505" s="518"/>
      <c r="AN505" s="518"/>
      <c r="AO505" s="518"/>
      <c r="AP505" s="518"/>
      <c r="AQ505" s="518"/>
      <c r="AR505" s="518"/>
      <c r="AS505" s="518"/>
      <c r="AT505" s="518"/>
      <c r="AU505" s="518"/>
      <c r="AV505" s="518"/>
      <c r="AW505" s="518"/>
      <c r="AX505" s="518"/>
      <c r="AY505" s="518"/>
      <c r="AZ505" s="518"/>
      <c r="BA505" s="518"/>
      <c r="BB505" s="518"/>
      <c r="BC505" s="518"/>
      <c r="BD505" s="518"/>
      <c r="BE505" s="518"/>
    </row>
    <row r="506" spans="1:57" ht="12.75" customHeight="1">
      <c r="A506" s="518"/>
      <c r="B506" s="518"/>
      <c r="C506" s="518"/>
      <c r="D506" s="518"/>
      <c r="E506" s="518"/>
      <c r="F506" s="518"/>
      <c r="G506" s="518"/>
      <c r="H506" s="518"/>
      <c r="I506" s="518"/>
      <c r="J506" s="518"/>
      <c r="K506" s="518"/>
      <c r="L506" s="518"/>
      <c r="M506" s="518"/>
      <c r="N506" s="518"/>
      <c r="O506" s="518"/>
      <c r="P506" s="518"/>
      <c r="Q506" s="518"/>
      <c r="R506" s="518"/>
      <c r="S506" s="518"/>
      <c r="T506" s="518"/>
      <c r="U506" s="518"/>
      <c r="V506" s="518"/>
      <c r="W506" s="518"/>
      <c r="X506" s="518"/>
      <c r="Y506" s="518"/>
      <c r="Z506" s="518"/>
      <c r="AA506" s="518"/>
      <c r="AB506" s="518"/>
      <c r="AC506" s="518"/>
      <c r="AD506" s="518"/>
      <c r="AE506" s="518"/>
      <c r="AF506" s="518"/>
      <c r="AG506" s="518"/>
      <c r="AH506" s="518"/>
      <c r="AI506" s="518"/>
      <c r="AJ506" s="518"/>
      <c r="AK506" s="518"/>
      <c r="AL506" s="518"/>
      <c r="AM506" s="518"/>
      <c r="AN506" s="518"/>
      <c r="AO506" s="518"/>
      <c r="AP506" s="518"/>
      <c r="AQ506" s="518"/>
      <c r="AR506" s="518"/>
      <c r="AS506" s="518"/>
      <c r="AT506" s="518"/>
      <c r="AU506" s="518"/>
      <c r="AV506" s="518"/>
      <c r="AW506" s="518"/>
      <c r="AX506" s="518"/>
      <c r="AY506" s="518"/>
      <c r="AZ506" s="518"/>
      <c r="BA506" s="518"/>
      <c r="BB506" s="518"/>
      <c r="BC506" s="518"/>
      <c r="BD506" s="518"/>
      <c r="BE506" s="518"/>
    </row>
    <row r="507" spans="1:57" ht="12.75" customHeight="1">
      <c r="A507" s="518"/>
      <c r="B507" s="518"/>
      <c r="C507" s="518"/>
      <c r="D507" s="518"/>
      <c r="E507" s="518"/>
      <c r="F507" s="518"/>
      <c r="G507" s="518"/>
      <c r="H507" s="518"/>
      <c r="I507" s="518"/>
      <c r="J507" s="518"/>
      <c r="K507" s="518"/>
      <c r="L507" s="518"/>
      <c r="M507" s="518"/>
      <c r="N507" s="518"/>
      <c r="O507" s="518"/>
      <c r="P507" s="518"/>
      <c r="Q507" s="518"/>
      <c r="R507" s="518"/>
      <c r="S507" s="518"/>
      <c r="T507" s="518"/>
      <c r="U507" s="518"/>
      <c r="V507" s="518"/>
      <c r="W507" s="518"/>
      <c r="X507" s="518"/>
      <c r="Y507" s="518"/>
      <c r="Z507" s="518"/>
      <c r="AA507" s="518"/>
      <c r="AB507" s="518"/>
      <c r="AC507" s="518"/>
      <c r="AD507" s="518"/>
      <c r="AE507" s="518"/>
      <c r="AF507" s="518"/>
      <c r="AG507" s="518"/>
      <c r="AH507" s="518"/>
      <c r="AI507" s="518"/>
      <c r="AJ507" s="518"/>
      <c r="AK507" s="518"/>
      <c r="AL507" s="518"/>
      <c r="AM507" s="518"/>
      <c r="AN507" s="518"/>
      <c r="AO507" s="518"/>
      <c r="AP507" s="518"/>
      <c r="AQ507" s="518"/>
      <c r="AR507" s="518"/>
      <c r="AS507" s="518"/>
      <c r="AT507" s="518"/>
      <c r="AU507" s="518"/>
      <c r="AV507" s="518"/>
      <c r="AW507" s="518"/>
      <c r="AX507" s="518"/>
      <c r="AY507" s="518"/>
      <c r="AZ507" s="518"/>
      <c r="BA507" s="518"/>
      <c r="BB507" s="518"/>
      <c r="BC507" s="518"/>
      <c r="BD507" s="518"/>
      <c r="BE507" s="518"/>
    </row>
    <row r="508" spans="1:57" ht="12.75" customHeight="1">
      <c r="A508" s="518"/>
      <c r="B508" s="518"/>
      <c r="C508" s="518"/>
      <c r="D508" s="518"/>
      <c r="E508" s="518"/>
      <c r="F508" s="518"/>
      <c r="G508" s="518"/>
      <c r="H508" s="518"/>
      <c r="I508" s="518"/>
      <c r="J508" s="518"/>
      <c r="K508" s="518"/>
      <c r="L508" s="518"/>
      <c r="M508" s="518"/>
      <c r="N508" s="518"/>
      <c r="O508" s="518"/>
      <c r="P508" s="518"/>
      <c r="Q508" s="518"/>
      <c r="R508" s="518"/>
      <c r="S508" s="518"/>
      <c r="T508" s="518"/>
      <c r="U508" s="518"/>
      <c r="V508" s="518"/>
      <c r="W508" s="518"/>
      <c r="X508" s="518"/>
      <c r="Y508" s="518"/>
      <c r="Z508" s="518"/>
      <c r="AA508" s="518"/>
      <c r="AB508" s="518"/>
      <c r="AC508" s="518"/>
      <c r="AD508" s="518"/>
      <c r="AE508" s="518"/>
      <c r="AF508" s="518"/>
      <c r="AG508" s="518"/>
      <c r="AH508" s="518"/>
      <c r="AI508" s="518"/>
      <c r="AJ508" s="518"/>
      <c r="AK508" s="518"/>
      <c r="AL508" s="518"/>
      <c r="AM508" s="518"/>
      <c r="AN508" s="518"/>
      <c r="AO508" s="518"/>
      <c r="AP508" s="518"/>
      <c r="AQ508" s="518"/>
      <c r="AR508" s="518"/>
      <c r="AS508" s="518"/>
      <c r="AT508" s="518"/>
      <c r="AU508" s="518"/>
      <c r="AV508" s="518"/>
      <c r="AW508" s="518"/>
      <c r="AX508" s="518"/>
      <c r="AY508" s="518"/>
      <c r="AZ508" s="518"/>
      <c r="BA508" s="518"/>
      <c r="BB508" s="518"/>
      <c r="BC508" s="518"/>
      <c r="BD508" s="518"/>
      <c r="BE508" s="518"/>
    </row>
    <row r="509" spans="1:57" ht="12.75" customHeight="1">
      <c r="A509" s="518"/>
      <c r="B509" s="518"/>
      <c r="C509" s="518"/>
      <c r="D509" s="518"/>
      <c r="E509" s="518"/>
      <c r="F509" s="518"/>
      <c r="G509" s="518"/>
      <c r="H509" s="518"/>
      <c r="I509" s="518"/>
      <c r="J509" s="518"/>
      <c r="K509" s="518"/>
      <c r="L509" s="518"/>
      <c r="M509" s="518"/>
      <c r="N509" s="518"/>
      <c r="O509" s="518"/>
      <c r="P509" s="518"/>
      <c r="Q509" s="518"/>
      <c r="R509" s="518"/>
      <c r="S509" s="518"/>
      <c r="T509" s="518"/>
      <c r="U509" s="518"/>
      <c r="V509" s="518"/>
      <c r="W509" s="518"/>
      <c r="X509" s="518"/>
      <c r="Y509" s="518"/>
      <c r="Z509" s="518"/>
      <c r="AA509" s="518"/>
      <c r="AB509" s="518"/>
      <c r="AC509" s="518"/>
      <c r="AD509" s="518"/>
      <c r="AE509" s="518"/>
      <c r="AF509" s="518"/>
      <c r="AG509" s="518"/>
      <c r="AH509" s="518"/>
      <c r="AI509" s="518"/>
      <c r="AJ509" s="518"/>
      <c r="AK509" s="518"/>
      <c r="AL509" s="518"/>
      <c r="AM509" s="518"/>
      <c r="AN509" s="518"/>
      <c r="AO509" s="518"/>
      <c r="AP509" s="518"/>
      <c r="AQ509" s="518"/>
      <c r="AR509" s="518"/>
      <c r="AS509" s="518"/>
      <c r="AT509" s="518"/>
      <c r="AU509" s="518"/>
      <c r="AV509" s="518"/>
      <c r="AW509" s="518"/>
      <c r="AX509" s="518"/>
      <c r="AY509" s="518"/>
      <c r="AZ509" s="518"/>
      <c r="BA509" s="518"/>
      <c r="BB509" s="518"/>
      <c r="BC509" s="518"/>
      <c r="BD509" s="518"/>
      <c r="BE509" s="518"/>
    </row>
    <row r="510" spans="1:57" ht="12.75" customHeight="1">
      <c r="A510" s="518"/>
      <c r="B510" s="518"/>
      <c r="C510" s="518"/>
      <c r="D510" s="518"/>
      <c r="E510" s="518"/>
      <c r="F510" s="518"/>
      <c r="G510" s="518"/>
      <c r="H510" s="518"/>
      <c r="I510" s="518"/>
      <c r="J510" s="518"/>
      <c r="K510" s="518"/>
      <c r="L510" s="518"/>
      <c r="M510" s="518"/>
      <c r="N510" s="518"/>
      <c r="O510" s="518"/>
      <c r="P510" s="518"/>
      <c r="Q510" s="518"/>
      <c r="R510" s="518"/>
      <c r="S510" s="518"/>
      <c r="T510" s="518"/>
      <c r="U510" s="518"/>
      <c r="V510" s="518"/>
      <c r="W510" s="518"/>
      <c r="X510" s="518"/>
      <c r="Y510" s="518"/>
      <c r="Z510" s="518"/>
      <c r="AA510" s="518"/>
      <c r="AB510" s="518"/>
      <c r="AC510" s="518"/>
      <c r="AD510" s="518"/>
      <c r="AE510" s="518"/>
      <c r="AF510" s="518"/>
      <c r="AG510" s="518"/>
      <c r="AH510" s="518"/>
      <c r="AI510" s="518"/>
      <c r="AJ510" s="518"/>
      <c r="AK510" s="518"/>
      <c r="AL510" s="518"/>
      <c r="AM510" s="518"/>
      <c r="AN510" s="518"/>
      <c r="AO510" s="518"/>
      <c r="AP510" s="518"/>
      <c r="AQ510" s="518"/>
      <c r="AR510" s="518"/>
      <c r="AS510" s="518"/>
      <c r="AT510" s="518"/>
      <c r="AU510" s="518"/>
      <c r="AV510" s="518"/>
      <c r="AW510" s="518"/>
      <c r="AX510" s="518"/>
      <c r="AY510" s="518"/>
      <c r="AZ510" s="518"/>
      <c r="BA510" s="518"/>
      <c r="BB510" s="518"/>
      <c r="BC510" s="518"/>
      <c r="BD510" s="518"/>
      <c r="BE510" s="518"/>
    </row>
    <row r="511" spans="1:57" ht="12.75" customHeight="1">
      <c r="A511" s="518"/>
      <c r="B511" s="518"/>
      <c r="C511" s="518"/>
      <c r="D511" s="518"/>
      <c r="E511" s="518"/>
      <c r="F511" s="518"/>
      <c r="G511" s="518"/>
      <c r="H511" s="518"/>
      <c r="I511" s="518"/>
      <c r="J511" s="518"/>
      <c r="K511" s="518"/>
      <c r="L511" s="518"/>
      <c r="M511" s="518"/>
      <c r="N511" s="518"/>
      <c r="O511" s="518"/>
      <c r="P511" s="518"/>
      <c r="Q511" s="518"/>
      <c r="R511" s="518"/>
      <c r="S511" s="518"/>
      <c r="T511" s="518"/>
      <c r="U511" s="518"/>
      <c r="V511" s="518"/>
      <c r="W511" s="518"/>
      <c r="X511" s="518"/>
      <c r="Y511" s="518"/>
      <c r="Z511" s="518"/>
      <c r="AA511" s="518"/>
      <c r="AB511" s="518"/>
      <c r="AC511" s="518"/>
      <c r="AD511" s="518"/>
      <c r="AE511" s="518"/>
      <c r="AF511" s="518"/>
      <c r="AG511" s="518"/>
      <c r="AH511" s="518"/>
      <c r="AI511" s="518"/>
      <c r="AJ511" s="518"/>
      <c r="AK511" s="518"/>
      <c r="AL511" s="518"/>
      <c r="AM511" s="518"/>
      <c r="AN511" s="518"/>
      <c r="AO511" s="518"/>
      <c r="AP511" s="518"/>
      <c r="AQ511" s="518"/>
      <c r="AR511" s="518"/>
      <c r="AS511" s="518"/>
      <c r="AT511" s="518"/>
      <c r="AU511" s="518"/>
      <c r="AV511" s="518"/>
      <c r="AW511" s="518"/>
      <c r="AX511" s="518"/>
      <c r="AY511" s="518"/>
      <c r="AZ511" s="518"/>
      <c r="BA511" s="518"/>
      <c r="BB511" s="518"/>
      <c r="BC511" s="518"/>
      <c r="BD511" s="518"/>
      <c r="BE511" s="518"/>
    </row>
    <row r="512" spans="1:57" ht="12.75" customHeight="1">
      <c r="A512" s="518"/>
      <c r="B512" s="518"/>
      <c r="C512" s="518"/>
      <c r="D512" s="518"/>
      <c r="E512" s="518"/>
      <c r="F512" s="518"/>
      <c r="G512" s="518"/>
      <c r="H512" s="518"/>
      <c r="I512" s="518"/>
      <c r="J512" s="518"/>
      <c r="K512" s="518"/>
      <c r="L512" s="518"/>
      <c r="M512" s="518"/>
      <c r="N512" s="518"/>
      <c r="O512" s="518"/>
      <c r="P512" s="518"/>
      <c r="Q512" s="518"/>
      <c r="R512" s="518"/>
      <c r="S512" s="518"/>
      <c r="T512" s="518"/>
      <c r="U512" s="518"/>
      <c r="V512" s="518"/>
      <c r="W512" s="518"/>
      <c r="X512" s="518"/>
      <c r="Y512" s="518"/>
      <c r="Z512" s="518"/>
      <c r="AA512" s="518"/>
      <c r="AB512" s="518"/>
      <c r="AC512" s="518"/>
      <c r="AD512" s="518"/>
      <c r="AE512" s="518"/>
      <c r="AF512" s="518"/>
      <c r="AG512" s="518"/>
      <c r="AH512" s="518"/>
      <c r="AI512" s="518"/>
      <c r="AJ512" s="518"/>
      <c r="AK512" s="518"/>
      <c r="AL512" s="518"/>
      <c r="AM512" s="518"/>
      <c r="AN512" s="518"/>
      <c r="AO512" s="518"/>
      <c r="AP512" s="518"/>
      <c r="AQ512" s="518"/>
      <c r="AR512" s="518"/>
      <c r="AS512" s="518"/>
      <c r="AT512" s="518"/>
      <c r="AU512" s="518"/>
      <c r="AV512" s="518"/>
      <c r="AW512" s="518"/>
      <c r="AX512" s="518"/>
      <c r="AY512" s="518"/>
      <c r="AZ512" s="518"/>
      <c r="BA512" s="518"/>
      <c r="BB512" s="518"/>
      <c r="BC512" s="518"/>
      <c r="BD512" s="518"/>
      <c r="BE512" s="518"/>
    </row>
    <row r="513" spans="1:57" ht="12.75" customHeight="1">
      <c r="A513" s="518"/>
      <c r="B513" s="518"/>
      <c r="C513" s="518"/>
      <c r="D513" s="518"/>
      <c r="E513" s="518"/>
      <c r="F513" s="518"/>
      <c r="G513" s="518"/>
      <c r="H513" s="518"/>
      <c r="I513" s="518"/>
      <c r="J513" s="518"/>
      <c r="K513" s="518"/>
      <c r="L513" s="518"/>
      <c r="M513" s="518"/>
      <c r="N513" s="518"/>
      <c r="O513" s="518"/>
      <c r="P513" s="518"/>
      <c r="Q513" s="518"/>
      <c r="R513" s="518"/>
      <c r="S513" s="518"/>
      <c r="T513" s="518"/>
      <c r="U513" s="518"/>
      <c r="V513" s="518"/>
      <c r="W513" s="518"/>
      <c r="X513" s="518"/>
      <c r="Y513" s="518"/>
      <c r="Z513" s="518"/>
      <c r="AA513" s="518"/>
      <c r="AB513" s="518"/>
      <c r="AC513" s="518"/>
      <c r="AD513" s="518"/>
      <c r="AE513" s="518"/>
      <c r="AF513" s="518"/>
      <c r="AG513" s="518"/>
      <c r="AH513" s="518"/>
      <c r="AI513" s="518"/>
      <c r="AJ513" s="518"/>
      <c r="AK513" s="518"/>
      <c r="AL513" s="518"/>
      <c r="AM513" s="518"/>
      <c r="AN513" s="518"/>
      <c r="AO513" s="518"/>
      <c r="AP513" s="518"/>
      <c r="AQ513" s="518"/>
      <c r="AR513" s="518"/>
      <c r="AS513" s="518"/>
      <c r="AT513" s="518"/>
      <c r="AU513" s="518"/>
      <c r="AV513" s="518"/>
      <c r="AW513" s="518"/>
      <c r="AX513" s="518"/>
      <c r="AY513" s="518"/>
      <c r="AZ513" s="518"/>
      <c r="BA513" s="518"/>
      <c r="BB513" s="518"/>
      <c r="BC513" s="518"/>
      <c r="BD513" s="518"/>
      <c r="BE513" s="518"/>
    </row>
    <row r="514" spans="1:57" ht="12.75" customHeight="1">
      <c r="A514" s="518"/>
      <c r="B514" s="518"/>
      <c r="C514" s="518"/>
      <c r="D514" s="518"/>
      <c r="E514" s="518"/>
      <c r="F514" s="518"/>
      <c r="G514" s="518"/>
      <c r="H514" s="518"/>
      <c r="I514" s="518"/>
      <c r="J514" s="518"/>
      <c r="K514" s="518"/>
      <c r="L514" s="518"/>
      <c r="M514" s="518"/>
      <c r="N514" s="518"/>
      <c r="O514" s="518"/>
      <c r="P514" s="518"/>
      <c r="Q514" s="518"/>
      <c r="R514" s="518"/>
      <c r="S514" s="518"/>
      <c r="T514" s="518"/>
      <c r="U514" s="518"/>
      <c r="V514" s="518"/>
      <c r="W514" s="518"/>
      <c r="X514" s="518"/>
      <c r="Y514" s="518"/>
      <c r="Z514" s="518"/>
      <c r="AA514" s="518"/>
      <c r="AB514" s="518"/>
      <c r="AC514" s="518"/>
      <c r="AD514" s="518"/>
      <c r="AE514" s="518"/>
      <c r="AF514" s="518"/>
      <c r="AG514" s="518"/>
      <c r="AH514" s="518"/>
      <c r="AI514" s="518"/>
      <c r="AJ514" s="518"/>
      <c r="AK514" s="518"/>
      <c r="AL514" s="518"/>
      <c r="AM514" s="518"/>
      <c r="AN514" s="518"/>
      <c r="AO514" s="518"/>
      <c r="AP514" s="518"/>
      <c r="AQ514" s="518"/>
      <c r="AR514" s="518"/>
      <c r="AS514" s="518"/>
      <c r="AT514" s="518"/>
      <c r="AU514" s="518"/>
      <c r="AV514" s="518"/>
      <c r="AW514" s="518"/>
      <c r="AX514" s="518"/>
      <c r="AY514" s="518"/>
      <c r="AZ514" s="518"/>
      <c r="BA514" s="518"/>
      <c r="BB514" s="518"/>
      <c r="BC514" s="518"/>
      <c r="BD514" s="518"/>
      <c r="BE514" s="518"/>
    </row>
    <row r="515" spans="1:57" ht="12.75" customHeight="1">
      <c r="A515" s="518"/>
      <c r="B515" s="518"/>
      <c r="C515" s="518"/>
      <c r="D515" s="518"/>
      <c r="E515" s="518"/>
      <c r="F515" s="518"/>
      <c r="G515" s="518"/>
      <c r="H515" s="518"/>
      <c r="I515" s="518"/>
      <c r="J515" s="518"/>
      <c r="K515" s="518"/>
      <c r="L515" s="518"/>
      <c r="M515" s="518"/>
      <c r="N515" s="518"/>
      <c r="O515" s="518"/>
      <c r="P515" s="518"/>
      <c r="Q515" s="518"/>
      <c r="R515" s="518"/>
      <c r="S515" s="518"/>
      <c r="T515" s="518"/>
      <c r="U515" s="518"/>
      <c r="V515" s="518"/>
      <c r="W515" s="518"/>
      <c r="X515" s="518"/>
      <c r="Y515" s="518"/>
      <c r="Z515" s="518"/>
      <c r="AA515" s="518"/>
      <c r="AB515" s="518"/>
      <c r="AC515" s="518"/>
      <c r="AD515" s="518"/>
      <c r="AE515" s="518"/>
      <c r="AF515" s="518"/>
      <c r="AG515" s="518"/>
      <c r="AH515" s="518"/>
      <c r="AI515" s="518"/>
      <c r="AJ515" s="518"/>
      <c r="AK515" s="518"/>
      <c r="AL515" s="518"/>
      <c r="AM515" s="518"/>
      <c r="AN515" s="518"/>
      <c r="AO515" s="518"/>
      <c r="AP515" s="518"/>
      <c r="AQ515" s="518"/>
      <c r="AR515" s="518"/>
      <c r="AS515" s="518"/>
      <c r="AT515" s="518"/>
      <c r="AU515" s="518"/>
      <c r="AV515" s="518"/>
      <c r="AW515" s="518"/>
      <c r="AX515" s="518"/>
      <c r="AY515" s="518"/>
      <c r="AZ515" s="518"/>
      <c r="BA515" s="518"/>
      <c r="BB515" s="518"/>
      <c r="BC515" s="518"/>
      <c r="BD515" s="518"/>
      <c r="BE515" s="518"/>
    </row>
    <row r="516" spans="1:57" ht="12.75" customHeight="1">
      <c r="A516" s="518"/>
      <c r="B516" s="518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8"/>
      <c r="AQ516" s="518"/>
      <c r="AR516" s="518"/>
      <c r="AS516" s="518"/>
      <c r="AT516" s="518"/>
      <c r="AU516" s="518"/>
      <c r="AV516" s="518"/>
      <c r="AW516" s="518"/>
      <c r="AX516" s="518"/>
      <c r="AY516" s="518"/>
      <c r="AZ516" s="518"/>
      <c r="BA516" s="518"/>
      <c r="BB516" s="518"/>
      <c r="BC516" s="518"/>
      <c r="BD516" s="518"/>
      <c r="BE516" s="518"/>
    </row>
    <row r="517" spans="1:57" ht="12.75" customHeight="1">
      <c r="A517" s="518"/>
      <c r="B517" s="518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8"/>
      <c r="AQ517" s="518"/>
      <c r="AR517" s="518"/>
      <c r="AS517" s="518"/>
      <c r="AT517" s="518"/>
      <c r="AU517" s="518"/>
      <c r="AV517" s="518"/>
      <c r="AW517" s="518"/>
      <c r="AX517" s="518"/>
      <c r="AY517" s="518"/>
      <c r="AZ517" s="518"/>
      <c r="BA517" s="518"/>
      <c r="BB517" s="518"/>
      <c r="BC517" s="518"/>
      <c r="BD517" s="518"/>
      <c r="BE517" s="518"/>
    </row>
    <row r="518" spans="1:57" ht="12.75" customHeight="1">
      <c r="A518" s="518"/>
      <c r="B518" s="518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8"/>
      <c r="AQ518" s="518"/>
      <c r="AR518" s="518"/>
      <c r="AS518" s="518"/>
      <c r="AT518" s="518"/>
      <c r="AU518" s="518"/>
      <c r="AV518" s="518"/>
      <c r="AW518" s="518"/>
      <c r="AX518" s="518"/>
      <c r="AY518" s="518"/>
      <c r="AZ518" s="518"/>
      <c r="BA518" s="518"/>
      <c r="BB518" s="518"/>
      <c r="BC518" s="518"/>
      <c r="BD518" s="518"/>
      <c r="BE518" s="518"/>
    </row>
    <row r="519" spans="1:57" ht="12.75" customHeight="1">
      <c r="A519" s="518"/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8"/>
      <c r="AQ519" s="518"/>
      <c r="AR519" s="518"/>
      <c r="AS519" s="518"/>
      <c r="AT519" s="518"/>
      <c r="AU519" s="518"/>
      <c r="AV519" s="518"/>
      <c r="AW519" s="518"/>
      <c r="AX519" s="518"/>
      <c r="AY519" s="518"/>
      <c r="AZ519" s="518"/>
      <c r="BA519" s="518"/>
      <c r="BB519" s="518"/>
      <c r="BC519" s="518"/>
      <c r="BD519" s="518"/>
      <c r="BE519" s="518"/>
    </row>
    <row r="520" spans="1:57" ht="12.75" customHeight="1">
      <c r="A520" s="518"/>
      <c r="B520" s="518"/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  <c r="AB520" s="518"/>
      <c r="AC520" s="518"/>
      <c r="AD520" s="518"/>
      <c r="AE520" s="518"/>
      <c r="AF520" s="518"/>
      <c r="AG520" s="518"/>
      <c r="AH520" s="518"/>
      <c r="AI520" s="518"/>
      <c r="AJ520" s="518"/>
      <c r="AK520" s="518"/>
      <c r="AL520" s="518"/>
      <c r="AM520" s="518"/>
      <c r="AN520" s="518"/>
      <c r="AO520" s="518"/>
      <c r="AP520" s="518"/>
      <c r="AQ520" s="518"/>
      <c r="AR520" s="518"/>
      <c r="AS520" s="518"/>
      <c r="AT520" s="518"/>
      <c r="AU520" s="518"/>
      <c r="AV520" s="518"/>
      <c r="AW520" s="518"/>
      <c r="AX520" s="518"/>
      <c r="AY520" s="518"/>
      <c r="AZ520" s="518"/>
      <c r="BA520" s="518"/>
      <c r="BB520" s="518"/>
      <c r="BC520" s="518"/>
      <c r="BD520" s="518"/>
      <c r="BE520" s="518"/>
    </row>
    <row r="521" spans="1:57" ht="12.75" customHeight="1">
      <c r="A521" s="518"/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8"/>
      <c r="AQ521" s="518"/>
      <c r="AR521" s="518"/>
      <c r="AS521" s="518"/>
      <c r="AT521" s="518"/>
      <c r="AU521" s="518"/>
      <c r="AV521" s="518"/>
      <c r="AW521" s="518"/>
      <c r="AX521" s="518"/>
      <c r="AY521" s="518"/>
      <c r="AZ521" s="518"/>
      <c r="BA521" s="518"/>
      <c r="BB521" s="518"/>
      <c r="BC521" s="518"/>
      <c r="BD521" s="518"/>
      <c r="BE521" s="518"/>
    </row>
    <row r="522" spans="1:57" ht="12.75" customHeight="1">
      <c r="A522" s="518"/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8"/>
      <c r="AQ522" s="518"/>
      <c r="AR522" s="518"/>
      <c r="AS522" s="518"/>
      <c r="AT522" s="518"/>
      <c r="AU522" s="518"/>
      <c r="AV522" s="518"/>
      <c r="AW522" s="518"/>
      <c r="AX522" s="518"/>
      <c r="AY522" s="518"/>
      <c r="AZ522" s="518"/>
      <c r="BA522" s="518"/>
      <c r="BB522" s="518"/>
      <c r="BC522" s="518"/>
      <c r="BD522" s="518"/>
      <c r="BE522" s="518"/>
    </row>
    <row r="523" spans="1:57" ht="12.75" customHeight="1">
      <c r="A523" s="518"/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8"/>
      <c r="AQ523" s="518"/>
      <c r="AR523" s="518"/>
      <c r="AS523" s="518"/>
      <c r="AT523" s="518"/>
      <c r="AU523" s="518"/>
      <c r="AV523" s="518"/>
      <c r="AW523" s="518"/>
      <c r="AX523" s="518"/>
      <c r="AY523" s="518"/>
      <c r="AZ523" s="518"/>
      <c r="BA523" s="518"/>
      <c r="BB523" s="518"/>
      <c r="BC523" s="518"/>
      <c r="BD523" s="518"/>
      <c r="BE523" s="518"/>
    </row>
    <row r="524" spans="1:57" ht="12.75" customHeight="1">
      <c r="A524" s="518"/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8"/>
      <c r="AQ524" s="518"/>
      <c r="AR524" s="518"/>
      <c r="AS524" s="518"/>
      <c r="AT524" s="518"/>
      <c r="AU524" s="518"/>
      <c r="AV524" s="518"/>
      <c r="AW524" s="518"/>
      <c r="AX524" s="518"/>
      <c r="AY524" s="518"/>
      <c r="AZ524" s="518"/>
      <c r="BA524" s="518"/>
      <c r="BB524" s="518"/>
      <c r="BC524" s="518"/>
      <c r="BD524" s="518"/>
      <c r="BE524" s="518"/>
    </row>
    <row r="525" spans="1:57" ht="12.75" customHeight="1">
      <c r="A525" s="518"/>
      <c r="B525" s="518"/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  <c r="AB525" s="518"/>
      <c r="AC525" s="518"/>
      <c r="AD525" s="518"/>
      <c r="AE525" s="518"/>
      <c r="AF525" s="518"/>
      <c r="AG525" s="518"/>
      <c r="AH525" s="518"/>
      <c r="AI525" s="518"/>
      <c r="AJ525" s="518"/>
      <c r="AK525" s="518"/>
      <c r="AL525" s="518"/>
      <c r="AM525" s="518"/>
      <c r="AN525" s="518"/>
      <c r="AO525" s="518"/>
      <c r="AP525" s="518"/>
      <c r="AQ525" s="518"/>
      <c r="AR525" s="518"/>
      <c r="AS525" s="518"/>
      <c r="AT525" s="518"/>
      <c r="AU525" s="518"/>
      <c r="AV525" s="518"/>
      <c r="AW525" s="518"/>
      <c r="AX525" s="518"/>
      <c r="AY525" s="518"/>
      <c r="AZ525" s="518"/>
      <c r="BA525" s="518"/>
      <c r="BB525" s="518"/>
      <c r="BC525" s="518"/>
      <c r="BD525" s="518"/>
      <c r="BE525" s="518"/>
    </row>
    <row r="526" spans="1:57" ht="12.75" customHeight="1">
      <c r="A526" s="518"/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8"/>
      <c r="AQ526" s="518"/>
      <c r="AR526" s="518"/>
      <c r="AS526" s="518"/>
      <c r="AT526" s="518"/>
      <c r="AU526" s="518"/>
      <c r="AV526" s="518"/>
      <c r="AW526" s="518"/>
      <c r="AX526" s="518"/>
      <c r="AY526" s="518"/>
      <c r="AZ526" s="518"/>
      <c r="BA526" s="518"/>
      <c r="BB526" s="518"/>
      <c r="BC526" s="518"/>
      <c r="BD526" s="518"/>
      <c r="BE526" s="518"/>
    </row>
    <row r="527" spans="1:57" ht="12.75" customHeight="1">
      <c r="A527" s="518"/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8"/>
      <c r="AQ527" s="518"/>
      <c r="AR527" s="518"/>
      <c r="AS527" s="518"/>
      <c r="AT527" s="518"/>
      <c r="AU527" s="518"/>
      <c r="AV527" s="518"/>
      <c r="AW527" s="518"/>
      <c r="AX527" s="518"/>
      <c r="AY527" s="518"/>
      <c r="AZ527" s="518"/>
      <c r="BA527" s="518"/>
      <c r="BB527" s="518"/>
      <c r="BC527" s="518"/>
      <c r="BD527" s="518"/>
      <c r="BE527" s="518"/>
    </row>
    <row r="528" spans="1:57" ht="12.75" customHeight="1">
      <c r="A528" s="518"/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8"/>
      <c r="AQ528" s="518"/>
      <c r="AR528" s="518"/>
      <c r="AS528" s="518"/>
      <c r="AT528" s="518"/>
      <c r="AU528" s="518"/>
      <c r="AV528" s="518"/>
      <c r="AW528" s="518"/>
      <c r="AX528" s="518"/>
      <c r="AY528" s="518"/>
      <c r="AZ528" s="518"/>
      <c r="BA528" s="518"/>
      <c r="BB528" s="518"/>
      <c r="BC528" s="518"/>
      <c r="BD528" s="518"/>
      <c r="BE528" s="518"/>
    </row>
    <row r="529" spans="1:57" ht="12.75" customHeight="1">
      <c r="A529" s="518"/>
      <c r="B529" s="518"/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  <c r="AB529" s="518"/>
      <c r="AC529" s="518"/>
      <c r="AD529" s="518"/>
      <c r="AE529" s="518"/>
      <c r="AF529" s="518"/>
      <c r="AG529" s="518"/>
      <c r="AH529" s="518"/>
      <c r="AI529" s="518"/>
      <c r="AJ529" s="518"/>
      <c r="AK529" s="518"/>
      <c r="AL529" s="518"/>
      <c r="AM529" s="518"/>
      <c r="AN529" s="518"/>
      <c r="AO529" s="518"/>
      <c r="AP529" s="518"/>
      <c r="AQ529" s="518"/>
      <c r="AR529" s="518"/>
      <c r="AS529" s="518"/>
      <c r="AT529" s="518"/>
      <c r="AU529" s="518"/>
      <c r="AV529" s="518"/>
      <c r="AW529" s="518"/>
      <c r="AX529" s="518"/>
      <c r="AY529" s="518"/>
      <c r="AZ529" s="518"/>
      <c r="BA529" s="518"/>
      <c r="BB529" s="518"/>
      <c r="BC529" s="518"/>
      <c r="BD529" s="518"/>
      <c r="BE529" s="518"/>
    </row>
    <row r="530" spans="1:57" ht="12.75" customHeight="1">
      <c r="A530" s="518"/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8"/>
      <c r="AQ530" s="518"/>
      <c r="AR530" s="518"/>
      <c r="AS530" s="518"/>
      <c r="AT530" s="518"/>
      <c r="AU530" s="518"/>
      <c r="AV530" s="518"/>
      <c r="AW530" s="518"/>
      <c r="AX530" s="518"/>
      <c r="AY530" s="518"/>
      <c r="AZ530" s="518"/>
      <c r="BA530" s="518"/>
      <c r="BB530" s="518"/>
      <c r="BC530" s="518"/>
      <c r="BD530" s="518"/>
      <c r="BE530" s="518"/>
    </row>
    <row r="531" spans="1:57" ht="12.75" customHeight="1">
      <c r="A531" s="518"/>
      <c r="B531" s="518"/>
      <c r="C531" s="518"/>
      <c r="D531" s="518"/>
      <c r="E531" s="518"/>
      <c r="F531" s="518"/>
      <c r="G531" s="518"/>
      <c r="H531" s="518"/>
      <c r="I531" s="518"/>
      <c r="J531" s="518"/>
      <c r="K531" s="518"/>
      <c r="L531" s="518"/>
      <c r="M531" s="518"/>
      <c r="N531" s="518"/>
      <c r="O531" s="518"/>
      <c r="P531" s="518"/>
      <c r="Q531" s="518"/>
      <c r="R531" s="518"/>
      <c r="S531" s="518"/>
      <c r="T531" s="518"/>
      <c r="U531" s="518"/>
      <c r="V531" s="518"/>
      <c r="W531" s="518"/>
      <c r="X531" s="518"/>
      <c r="Y531" s="518"/>
      <c r="Z531" s="518"/>
      <c r="AA531" s="518"/>
      <c r="AB531" s="518"/>
      <c r="AC531" s="518"/>
      <c r="AD531" s="518"/>
      <c r="AE531" s="518"/>
      <c r="AF531" s="518"/>
      <c r="AG531" s="518"/>
      <c r="AH531" s="518"/>
      <c r="AI531" s="518"/>
      <c r="AJ531" s="518"/>
      <c r="AK531" s="518"/>
      <c r="AL531" s="518"/>
      <c r="AM531" s="518"/>
      <c r="AN531" s="518"/>
      <c r="AO531" s="518"/>
      <c r="AP531" s="518"/>
      <c r="AQ531" s="518"/>
      <c r="AR531" s="518"/>
      <c r="AS531" s="518"/>
      <c r="AT531" s="518"/>
      <c r="AU531" s="518"/>
      <c r="AV531" s="518"/>
      <c r="AW531" s="518"/>
      <c r="AX531" s="518"/>
      <c r="AY531" s="518"/>
      <c r="AZ531" s="518"/>
      <c r="BA531" s="518"/>
      <c r="BB531" s="518"/>
      <c r="BC531" s="518"/>
      <c r="BD531" s="518"/>
      <c r="BE531" s="518"/>
    </row>
    <row r="532" spans="1:57" ht="12.75" customHeight="1">
      <c r="A532" s="518"/>
      <c r="B532" s="518"/>
      <c r="C532" s="518"/>
      <c r="D532" s="518"/>
      <c r="E532" s="518"/>
      <c r="F532" s="518"/>
      <c r="G532" s="518"/>
      <c r="H532" s="518"/>
      <c r="I532" s="518"/>
      <c r="J532" s="518"/>
      <c r="K532" s="518"/>
      <c r="L532" s="518"/>
      <c r="M532" s="518"/>
      <c r="N532" s="518"/>
      <c r="O532" s="518"/>
      <c r="P532" s="518"/>
      <c r="Q532" s="518"/>
      <c r="R532" s="518"/>
      <c r="S532" s="518"/>
      <c r="T532" s="518"/>
      <c r="U532" s="518"/>
      <c r="V532" s="518"/>
      <c r="W532" s="518"/>
      <c r="X532" s="518"/>
      <c r="Y532" s="518"/>
      <c r="Z532" s="518"/>
      <c r="AA532" s="518"/>
      <c r="AB532" s="518"/>
      <c r="AC532" s="518"/>
      <c r="AD532" s="518"/>
      <c r="AE532" s="518"/>
      <c r="AF532" s="518"/>
      <c r="AG532" s="518"/>
      <c r="AH532" s="518"/>
      <c r="AI532" s="518"/>
      <c r="AJ532" s="518"/>
      <c r="AK532" s="518"/>
      <c r="AL532" s="518"/>
      <c r="AM532" s="518"/>
      <c r="AN532" s="518"/>
      <c r="AO532" s="518"/>
      <c r="AP532" s="518"/>
      <c r="AQ532" s="518"/>
      <c r="AR532" s="518"/>
      <c r="AS532" s="518"/>
      <c r="AT532" s="518"/>
      <c r="AU532" s="518"/>
      <c r="AV532" s="518"/>
      <c r="AW532" s="518"/>
      <c r="AX532" s="518"/>
      <c r="AY532" s="518"/>
      <c r="AZ532" s="518"/>
      <c r="BA532" s="518"/>
      <c r="BB532" s="518"/>
      <c r="BC532" s="518"/>
      <c r="BD532" s="518"/>
      <c r="BE532" s="518"/>
    </row>
    <row r="533" spans="1:57" ht="12.75" customHeight="1">
      <c r="A533" s="518"/>
      <c r="B533" s="518"/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  <c r="AB533" s="518"/>
      <c r="AC533" s="518"/>
      <c r="AD533" s="518"/>
      <c r="AE533" s="518"/>
      <c r="AF533" s="518"/>
      <c r="AG533" s="518"/>
      <c r="AH533" s="518"/>
      <c r="AI533" s="518"/>
      <c r="AJ533" s="518"/>
      <c r="AK533" s="518"/>
      <c r="AL533" s="518"/>
      <c r="AM533" s="518"/>
      <c r="AN533" s="518"/>
      <c r="AO533" s="518"/>
      <c r="AP533" s="518"/>
      <c r="AQ533" s="518"/>
      <c r="AR533" s="518"/>
      <c r="AS533" s="518"/>
      <c r="AT533" s="518"/>
      <c r="AU533" s="518"/>
      <c r="AV533" s="518"/>
      <c r="AW533" s="518"/>
      <c r="AX533" s="518"/>
      <c r="AY533" s="518"/>
      <c r="AZ533" s="518"/>
      <c r="BA533" s="518"/>
      <c r="BB533" s="518"/>
      <c r="BC533" s="518"/>
      <c r="BD533" s="518"/>
      <c r="BE533" s="518"/>
    </row>
    <row r="534" spans="1:57" ht="12.75" customHeight="1">
      <c r="A534" s="518"/>
      <c r="B534" s="518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8"/>
      <c r="AQ534" s="518"/>
      <c r="AR534" s="518"/>
      <c r="AS534" s="518"/>
      <c r="AT534" s="518"/>
      <c r="AU534" s="518"/>
      <c r="AV534" s="518"/>
      <c r="AW534" s="518"/>
      <c r="AX534" s="518"/>
      <c r="AY534" s="518"/>
      <c r="AZ534" s="518"/>
      <c r="BA534" s="518"/>
      <c r="BB534" s="518"/>
      <c r="BC534" s="518"/>
      <c r="BD534" s="518"/>
      <c r="BE534" s="518"/>
    </row>
    <row r="535" spans="1:57" ht="12.75" customHeight="1">
      <c r="A535" s="518"/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8"/>
      <c r="AQ535" s="518"/>
      <c r="AR535" s="518"/>
      <c r="AS535" s="518"/>
      <c r="AT535" s="518"/>
      <c r="AU535" s="518"/>
      <c r="AV535" s="518"/>
      <c r="AW535" s="518"/>
      <c r="AX535" s="518"/>
      <c r="AY535" s="518"/>
      <c r="AZ535" s="518"/>
      <c r="BA535" s="518"/>
      <c r="BB535" s="518"/>
      <c r="BC535" s="518"/>
      <c r="BD535" s="518"/>
      <c r="BE535" s="518"/>
    </row>
    <row r="536" spans="1:57" ht="12.75" customHeight="1">
      <c r="A536" s="518"/>
      <c r="B536" s="518"/>
      <c r="C536" s="518"/>
      <c r="D536" s="518"/>
      <c r="E536" s="518"/>
      <c r="F536" s="518"/>
      <c r="G536" s="518"/>
      <c r="H536" s="518"/>
      <c r="I536" s="518"/>
      <c r="J536" s="518"/>
      <c r="K536" s="518"/>
      <c r="L536" s="518"/>
      <c r="M536" s="518"/>
      <c r="N536" s="518"/>
      <c r="O536" s="518"/>
      <c r="P536" s="518"/>
      <c r="Q536" s="518"/>
      <c r="R536" s="518"/>
      <c r="S536" s="518"/>
      <c r="T536" s="518"/>
      <c r="U536" s="518"/>
      <c r="V536" s="518"/>
      <c r="W536" s="518"/>
      <c r="X536" s="518"/>
      <c r="Y536" s="518"/>
      <c r="Z536" s="518"/>
      <c r="AA536" s="518"/>
      <c r="AB536" s="518"/>
      <c r="AC536" s="518"/>
      <c r="AD536" s="518"/>
      <c r="AE536" s="518"/>
      <c r="AF536" s="518"/>
      <c r="AG536" s="518"/>
      <c r="AH536" s="518"/>
      <c r="AI536" s="518"/>
      <c r="AJ536" s="518"/>
      <c r="AK536" s="518"/>
      <c r="AL536" s="518"/>
      <c r="AM536" s="518"/>
      <c r="AN536" s="518"/>
      <c r="AO536" s="518"/>
      <c r="AP536" s="518"/>
      <c r="AQ536" s="518"/>
      <c r="AR536" s="518"/>
      <c r="AS536" s="518"/>
      <c r="AT536" s="518"/>
      <c r="AU536" s="518"/>
      <c r="AV536" s="518"/>
      <c r="AW536" s="518"/>
      <c r="AX536" s="518"/>
      <c r="AY536" s="518"/>
      <c r="AZ536" s="518"/>
      <c r="BA536" s="518"/>
      <c r="BB536" s="518"/>
      <c r="BC536" s="518"/>
      <c r="BD536" s="518"/>
      <c r="BE536" s="518"/>
    </row>
    <row r="537" spans="1:57" ht="12.75" customHeight="1">
      <c r="A537" s="518"/>
      <c r="B537" s="518"/>
      <c r="C537" s="518"/>
      <c r="D537" s="518"/>
      <c r="E537" s="518"/>
      <c r="F537" s="518"/>
      <c r="G537" s="518"/>
      <c r="H537" s="518"/>
      <c r="I537" s="518"/>
      <c r="J537" s="518"/>
      <c r="K537" s="518"/>
      <c r="L537" s="518"/>
      <c r="M537" s="518"/>
      <c r="N537" s="518"/>
      <c r="O537" s="518"/>
      <c r="P537" s="518"/>
      <c r="Q537" s="518"/>
      <c r="R537" s="518"/>
      <c r="S537" s="518"/>
      <c r="T537" s="518"/>
      <c r="U537" s="518"/>
      <c r="V537" s="518"/>
      <c r="W537" s="518"/>
      <c r="X537" s="518"/>
      <c r="Y537" s="518"/>
      <c r="Z537" s="518"/>
      <c r="AA537" s="518"/>
      <c r="AB537" s="518"/>
      <c r="AC537" s="518"/>
      <c r="AD537" s="518"/>
      <c r="AE537" s="518"/>
      <c r="AF537" s="518"/>
      <c r="AG537" s="518"/>
      <c r="AH537" s="518"/>
      <c r="AI537" s="518"/>
      <c r="AJ537" s="518"/>
      <c r="AK537" s="518"/>
      <c r="AL537" s="518"/>
      <c r="AM537" s="518"/>
      <c r="AN537" s="518"/>
      <c r="AO537" s="518"/>
      <c r="AP537" s="518"/>
      <c r="AQ537" s="518"/>
      <c r="AR537" s="518"/>
      <c r="AS537" s="518"/>
      <c r="AT537" s="518"/>
      <c r="AU537" s="518"/>
      <c r="AV537" s="518"/>
      <c r="AW537" s="518"/>
      <c r="AX537" s="518"/>
      <c r="AY537" s="518"/>
      <c r="AZ537" s="518"/>
      <c r="BA537" s="518"/>
      <c r="BB537" s="518"/>
      <c r="BC537" s="518"/>
      <c r="BD537" s="518"/>
      <c r="BE537" s="518"/>
    </row>
    <row r="538" spans="1:57" ht="12.75" customHeight="1">
      <c r="A538" s="518"/>
      <c r="B538" s="518"/>
      <c r="C538" s="518"/>
      <c r="D538" s="518"/>
      <c r="E538" s="518"/>
      <c r="F538" s="518"/>
      <c r="G538" s="518"/>
      <c r="H538" s="518"/>
      <c r="I538" s="518"/>
      <c r="J538" s="518"/>
      <c r="K538" s="518"/>
      <c r="L538" s="518"/>
      <c r="M538" s="518"/>
      <c r="N538" s="518"/>
      <c r="O538" s="518"/>
      <c r="P538" s="518"/>
      <c r="Q538" s="518"/>
      <c r="R538" s="518"/>
      <c r="S538" s="518"/>
      <c r="T538" s="518"/>
      <c r="U538" s="518"/>
      <c r="V538" s="518"/>
      <c r="W538" s="518"/>
      <c r="X538" s="518"/>
      <c r="Y538" s="518"/>
      <c r="Z538" s="518"/>
      <c r="AA538" s="518"/>
      <c r="AB538" s="518"/>
      <c r="AC538" s="518"/>
      <c r="AD538" s="518"/>
      <c r="AE538" s="518"/>
      <c r="AF538" s="518"/>
      <c r="AG538" s="518"/>
      <c r="AH538" s="518"/>
      <c r="AI538" s="518"/>
      <c r="AJ538" s="518"/>
      <c r="AK538" s="518"/>
      <c r="AL538" s="518"/>
      <c r="AM538" s="518"/>
      <c r="AN538" s="518"/>
      <c r="AO538" s="518"/>
      <c r="AP538" s="518"/>
      <c r="AQ538" s="518"/>
      <c r="AR538" s="518"/>
      <c r="AS538" s="518"/>
      <c r="AT538" s="518"/>
      <c r="AU538" s="518"/>
      <c r="AV538" s="518"/>
      <c r="AW538" s="518"/>
      <c r="AX538" s="518"/>
      <c r="AY538" s="518"/>
      <c r="AZ538" s="518"/>
      <c r="BA538" s="518"/>
      <c r="BB538" s="518"/>
      <c r="BC538" s="518"/>
      <c r="BD538" s="518"/>
      <c r="BE538" s="518"/>
    </row>
    <row r="539" spans="1:57" ht="12.75" customHeight="1">
      <c r="A539" s="518"/>
      <c r="B539" s="518"/>
      <c r="C539" s="518"/>
      <c r="D539" s="518"/>
      <c r="E539" s="518"/>
      <c r="F539" s="518"/>
      <c r="G539" s="518"/>
      <c r="H539" s="518"/>
      <c r="I539" s="518"/>
      <c r="J539" s="518"/>
      <c r="K539" s="518"/>
      <c r="L539" s="518"/>
      <c r="M539" s="518"/>
      <c r="N539" s="518"/>
      <c r="O539" s="518"/>
      <c r="P539" s="518"/>
      <c r="Q539" s="518"/>
      <c r="R539" s="518"/>
      <c r="S539" s="518"/>
      <c r="T539" s="518"/>
      <c r="U539" s="518"/>
      <c r="V539" s="518"/>
      <c r="W539" s="518"/>
      <c r="X539" s="518"/>
      <c r="Y539" s="518"/>
      <c r="Z539" s="518"/>
      <c r="AA539" s="518"/>
      <c r="AB539" s="518"/>
      <c r="AC539" s="518"/>
      <c r="AD539" s="518"/>
      <c r="AE539" s="518"/>
      <c r="AF539" s="518"/>
      <c r="AG539" s="518"/>
      <c r="AH539" s="518"/>
      <c r="AI539" s="518"/>
      <c r="AJ539" s="518"/>
      <c r="AK539" s="518"/>
      <c r="AL539" s="518"/>
      <c r="AM539" s="518"/>
      <c r="AN539" s="518"/>
      <c r="AO539" s="518"/>
      <c r="AP539" s="518"/>
      <c r="AQ539" s="518"/>
      <c r="AR539" s="518"/>
      <c r="AS539" s="518"/>
      <c r="AT539" s="518"/>
      <c r="AU539" s="518"/>
      <c r="AV539" s="518"/>
      <c r="AW539" s="518"/>
      <c r="AX539" s="518"/>
      <c r="AY539" s="518"/>
      <c r="AZ539" s="518"/>
      <c r="BA539" s="518"/>
      <c r="BB539" s="518"/>
      <c r="BC539" s="518"/>
      <c r="BD539" s="518"/>
      <c r="BE539" s="518"/>
    </row>
    <row r="540" spans="1:57" ht="12.75" customHeight="1">
      <c r="A540" s="518"/>
      <c r="B540" s="518"/>
      <c r="C540" s="518"/>
      <c r="D540" s="518"/>
      <c r="E540" s="518"/>
      <c r="F540" s="518"/>
      <c r="G540" s="518"/>
      <c r="H540" s="518"/>
      <c r="I540" s="518"/>
      <c r="J540" s="518"/>
      <c r="K540" s="518"/>
      <c r="L540" s="518"/>
      <c r="M540" s="518"/>
      <c r="N540" s="518"/>
      <c r="O540" s="518"/>
      <c r="P540" s="518"/>
      <c r="Q540" s="518"/>
      <c r="R540" s="518"/>
      <c r="S540" s="518"/>
      <c r="T540" s="518"/>
      <c r="U540" s="518"/>
      <c r="V540" s="518"/>
      <c r="W540" s="518"/>
      <c r="X540" s="518"/>
      <c r="Y540" s="518"/>
      <c r="Z540" s="518"/>
      <c r="AA540" s="518"/>
      <c r="AB540" s="518"/>
      <c r="AC540" s="518"/>
      <c r="AD540" s="518"/>
      <c r="AE540" s="518"/>
      <c r="AF540" s="518"/>
      <c r="AG540" s="518"/>
      <c r="AH540" s="518"/>
      <c r="AI540" s="518"/>
      <c r="AJ540" s="518"/>
      <c r="AK540" s="518"/>
      <c r="AL540" s="518"/>
      <c r="AM540" s="518"/>
      <c r="AN540" s="518"/>
      <c r="AO540" s="518"/>
      <c r="AP540" s="518"/>
      <c r="AQ540" s="518"/>
      <c r="AR540" s="518"/>
      <c r="AS540" s="518"/>
      <c r="AT540" s="518"/>
      <c r="AU540" s="518"/>
      <c r="AV540" s="518"/>
      <c r="AW540" s="518"/>
      <c r="AX540" s="518"/>
      <c r="AY540" s="518"/>
      <c r="AZ540" s="518"/>
      <c r="BA540" s="518"/>
      <c r="BB540" s="518"/>
      <c r="BC540" s="518"/>
      <c r="BD540" s="518"/>
      <c r="BE540" s="518"/>
    </row>
    <row r="541" spans="1:57" ht="12.75" customHeight="1">
      <c r="A541" s="518"/>
      <c r="B541" s="518"/>
      <c r="C541" s="518"/>
      <c r="D541" s="518"/>
      <c r="E541" s="518"/>
      <c r="F541" s="518"/>
      <c r="G541" s="518"/>
      <c r="H541" s="518"/>
      <c r="I541" s="518"/>
      <c r="J541" s="518"/>
      <c r="K541" s="518"/>
      <c r="L541" s="518"/>
      <c r="M541" s="518"/>
      <c r="N541" s="518"/>
      <c r="O541" s="518"/>
      <c r="P541" s="518"/>
      <c r="Q541" s="518"/>
      <c r="R541" s="518"/>
      <c r="S541" s="518"/>
      <c r="T541" s="518"/>
      <c r="U541" s="518"/>
      <c r="V541" s="518"/>
      <c r="W541" s="518"/>
      <c r="X541" s="518"/>
      <c r="Y541" s="518"/>
      <c r="Z541" s="518"/>
      <c r="AA541" s="518"/>
      <c r="AB541" s="518"/>
      <c r="AC541" s="518"/>
      <c r="AD541" s="518"/>
      <c r="AE541" s="518"/>
      <c r="AF541" s="518"/>
      <c r="AG541" s="518"/>
      <c r="AH541" s="518"/>
      <c r="AI541" s="518"/>
      <c r="AJ541" s="518"/>
      <c r="AK541" s="518"/>
      <c r="AL541" s="518"/>
      <c r="AM541" s="518"/>
      <c r="AN541" s="518"/>
      <c r="AO541" s="518"/>
      <c r="AP541" s="518"/>
      <c r="AQ541" s="518"/>
      <c r="AR541" s="518"/>
      <c r="AS541" s="518"/>
      <c r="AT541" s="518"/>
      <c r="AU541" s="518"/>
      <c r="AV541" s="518"/>
      <c r="AW541" s="518"/>
      <c r="AX541" s="518"/>
      <c r="AY541" s="518"/>
      <c r="AZ541" s="518"/>
      <c r="BA541" s="518"/>
      <c r="BB541" s="518"/>
      <c r="BC541" s="518"/>
      <c r="BD541" s="518"/>
      <c r="BE541" s="518"/>
    </row>
    <row r="542" spans="1:57" ht="12.75" customHeight="1">
      <c r="A542" s="518"/>
      <c r="B542" s="518"/>
      <c r="C542" s="518"/>
      <c r="D542" s="518"/>
      <c r="E542" s="518"/>
      <c r="F542" s="518"/>
      <c r="G542" s="518"/>
      <c r="H542" s="518"/>
      <c r="I542" s="518"/>
      <c r="J542" s="518"/>
      <c r="K542" s="518"/>
      <c r="L542" s="518"/>
      <c r="M542" s="518"/>
      <c r="N542" s="518"/>
      <c r="O542" s="518"/>
      <c r="P542" s="518"/>
      <c r="Q542" s="518"/>
      <c r="R542" s="518"/>
      <c r="S542" s="518"/>
      <c r="T542" s="518"/>
      <c r="U542" s="518"/>
      <c r="V542" s="518"/>
      <c r="W542" s="518"/>
      <c r="X542" s="518"/>
      <c r="Y542" s="518"/>
      <c r="Z542" s="518"/>
      <c r="AA542" s="518"/>
      <c r="AB542" s="518"/>
      <c r="AC542" s="518"/>
      <c r="AD542" s="518"/>
      <c r="AE542" s="518"/>
      <c r="AF542" s="518"/>
      <c r="AG542" s="518"/>
      <c r="AH542" s="518"/>
      <c r="AI542" s="518"/>
      <c r="AJ542" s="518"/>
      <c r="AK542" s="518"/>
      <c r="AL542" s="518"/>
      <c r="AM542" s="518"/>
      <c r="AN542" s="518"/>
      <c r="AO542" s="518"/>
      <c r="AP542" s="518"/>
      <c r="AQ542" s="518"/>
      <c r="AR542" s="518"/>
      <c r="AS542" s="518"/>
      <c r="AT542" s="518"/>
      <c r="AU542" s="518"/>
      <c r="AV542" s="518"/>
      <c r="AW542" s="518"/>
      <c r="AX542" s="518"/>
      <c r="AY542" s="518"/>
      <c r="AZ542" s="518"/>
      <c r="BA542" s="518"/>
      <c r="BB542" s="518"/>
      <c r="BC542" s="518"/>
      <c r="BD542" s="518"/>
      <c r="BE542" s="518"/>
    </row>
    <row r="543" spans="1:57" ht="12.75" customHeight="1">
      <c r="A543" s="518"/>
      <c r="B543" s="518"/>
      <c r="C543" s="518"/>
      <c r="D543" s="518"/>
      <c r="E543" s="518"/>
      <c r="F543" s="518"/>
      <c r="G543" s="518"/>
      <c r="H543" s="518"/>
      <c r="I543" s="518"/>
      <c r="J543" s="518"/>
      <c r="K543" s="518"/>
      <c r="L543" s="518"/>
      <c r="M543" s="518"/>
      <c r="N543" s="518"/>
      <c r="O543" s="518"/>
      <c r="P543" s="518"/>
      <c r="Q543" s="518"/>
      <c r="R543" s="518"/>
      <c r="S543" s="518"/>
      <c r="T543" s="518"/>
      <c r="U543" s="518"/>
      <c r="V543" s="518"/>
      <c r="W543" s="518"/>
      <c r="X543" s="518"/>
      <c r="Y543" s="518"/>
      <c r="Z543" s="518"/>
      <c r="AA543" s="518"/>
      <c r="AB543" s="518"/>
      <c r="AC543" s="518"/>
      <c r="AD543" s="518"/>
      <c r="AE543" s="518"/>
      <c r="AF543" s="518"/>
      <c r="AG543" s="518"/>
      <c r="AH543" s="518"/>
      <c r="AI543" s="518"/>
      <c r="AJ543" s="518"/>
      <c r="AK543" s="518"/>
      <c r="AL543" s="518"/>
      <c r="AM543" s="518"/>
      <c r="AN543" s="518"/>
      <c r="AO543" s="518"/>
      <c r="AP543" s="518"/>
      <c r="AQ543" s="518"/>
      <c r="AR543" s="518"/>
      <c r="AS543" s="518"/>
      <c r="AT543" s="518"/>
      <c r="AU543" s="518"/>
      <c r="AV543" s="518"/>
      <c r="AW543" s="518"/>
      <c r="AX543" s="518"/>
      <c r="AY543" s="518"/>
      <c r="AZ543" s="518"/>
      <c r="BA543" s="518"/>
      <c r="BB543" s="518"/>
      <c r="BC543" s="518"/>
      <c r="BD543" s="518"/>
      <c r="BE543" s="518"/>
    </row>
    <row r="544" spans="1:57" ht="12.75" customHeight="1">
      <c r="A544" s="518"/>
      <c r="B544" s="518"/>
      <c r="C544" s="518"/>
      <c r="D544" s="518"/>
      <c r="E544" s="518"/>
      <c r="F544" s="518"/>
      <c r="G544" s="518"/>
      <c r="H544" s="518"/>
      <c r="I544" s="518"/>
      <c r="J544" s="518"/>
      <c r="K544" s="518"/>
      <c r="L544" s="518"/>
      <c r="M544" s="518"/>
      <c r="N544" s="518"/>
      <c r="O544" s="518"/>
      <c r="P544" s="518"/>
      <c r="Q544" s="518"/>
      <c r="R544" s="518"/>
      <c r="S544" s="518"/>
      <c r="T544" s="518"/>
      <c r="U544" s="518"/>
      <c r="V544" s="518"/>
      <c r="W544" s="518"/>
      <c r="X544" s="518"/>
      <c r="Y544" s="518"/>
      <c r="Z544" s="518"/>
      <c r="AA544" s="518"/>
      <c r="AB544" s="518"/>
      <c r="AC544" s="518"/>
      <c r="AD544" s="518"/>
      <c r="AE544" s="518"/>
      <c r="AF544" s="518"/>
      <c r="AG544" s="518"/>
      <c r="AH544" s="518"/>
      <c r="AI544" s="518"/>
      <c r="AJ544" s="518"/>
      <c r="AK544" s="518"/>
      <c r="AL544" s="518"/>
      <c r="AM544" s="518"/>
      <c r="AN544" s="518"/>
      <c r="AO544" s="518"/>
      <c r="AP544" s="518"/>
      <c r="AQ544" s="518"/>
      <c r="AR544" s="518"/>
      <c r="AS544" s="518"/>
      <c r="AT544" s="518"/>
      <c r="AU544" s="518"/>
      <c r="AV544" s="518"/>
      <c r="AW544" s="518"/>
      <c r="AX544" s="518"/>
      <c r="AY544" s="518"/>
      <c r="AZ544" s="518"/>
      <c r="BA544" s="518"/>
      <c r="BB544" s="518"/>
      <c r="BC544" s="518"/>
      <c r="BD544" s="518"/>
      <c r="BE544" s="518"/>
    </row>
    <row r="545" spans="1:57" ht="12.75" customHeight="1">
      <c r="A545" s="518"/>
      <c r="B545" s="518"/>
      <c r="C545" s="518"/>
      <c r="D545" s="518"/>
      <c r="E545" s="518"/>
      <c r="F545" s="518"/>
      <c r="G545" s="518"/>
      <c r="H545" s="518"/>
      <c r="I545" s="518"/>
      <c r="J545" s="518"/>
      <c r="K545" s="518"/>
      <c r="L545" s="518"/>
      <c r="M545" s="518"/>
      <c r="N545" s="518"/>
      <c r="O545" s="518"/>
      <c r="P545" s="518"/>
      <c r="Q545" s="518"/>
      <c r="R545" s="518"/>
      <c r="S545" s="518"/>
      <c r="T545" s="518"/>
      <c r="U545" s="518"/>
      <c r="V545" s="518"/>
      <c r="W545" s="518"/>
      <c r="X545" s="518"/>
      <c r="Y545" s="518"/>
      <c r="Z545" s="518"/>
      <c r="AA545" s="518"/>
      <c r="AB545" s="518"/>
      <c r="AC545" s="518"/>
      <c r="AD545" s="518"/>
      <c r="AE545" s="518"/>
      <c r="AF545" s="518"/>
      <c r="AG545" s="518"/>
      <c r="AH545" s="518"/>
      <c r="AI545" s="518"/>
      <c r="AJ545" s="518"/>
      <c r="AK545" s="518"/>
      <c r="AL545" s="518"/>
      <c r="AM545" s="518"/>
      <c r="AN545" s="518"/>
      <c r="AO545" s="518"/>
      <c r="AP545" s="518"/>
      <c r="AQ545" s="518"/>
      <c r="AR545" s="518"/>
      <c r="AS545" s="518"/>
      <c r="AT545" s="518"/>
      <c r="AU545" s="518"/>
      <c r="AV545" s="518"/>
      <c r="AW545" s="518"/>
      <c r="AX545" s="518"/>
      <c r="AY545" s="518"/>
      <c r="AZ545" s="518"/>
      <c r="BA545" s="518"/>
      <c r="BB545" s="518"/>
      <c r="BC545" s="518"/>
      <c r="BD545" s="518"/>
      <c r="BE545" s="518"/>
    </row>
    <row r="546" spans="1:57" ht="12.75" customHeight="1">
      <c r="A546" s="518"/>
      <c r="B546" s="518"/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  <c r="AB546" s="518"/>
      <c r="AC546" s="518"/>
      <c r="AD546" s="518"/>
      <c r="AE546" s="518"/>
      <c r="AF546" s="518"/>
      <c r="AG546" s="518"/>
      <c r="AH546" s="518"/>
      <c r="AI546" s="518"/>
      <c r="AJ546" s="518"/>
      <c r="AK546" s="518"/>
      <c r="AL546" s="518"/>
      <c r="AM546" s="518"/>
      <c r="AN546" s="518"/>
      <c r="AO546" s="518"/>
      <c r="AP546" s="518"/>
      <c r="AQ546" s="518"/>
      <c r="AR546" s="518"/>
      <c r="AS546" s="518"/>
      <c r="AT546" s="518"/>
      <c r="AU546" s="518"/>
      <c r="AV546" s="518"/>
      <c r="AW546" s="518"/>
      <c r="AX546" s="518"/>
      <c r="AY546" s="518"/>
      <c r="AZ546" s="518"/>
      <c r="BA546" s="518"/>
      <c r="BB546" s="518"/>
      <c r="BC546" s="518"/>
      <c r="BD546" s="518"/>
      <c r="BE546" s="518"/>
    </row>
    <row r="547" spans="1:57" ht="12.75" customHeight="1">
      <c r="A547" s="518"/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8"/>
      <c r="AQ547" s="518"/>
      <c r="AR547" s="518"/>
      <c r="AS547" s="518"/>
      <c r="AT547" s="518"/>
      <c r="AU547" s="518"/>
      <c r="AV547" s="518"/>
      <c r="AW547" s="518"/>
      <c r="AX547" s="518"/>
      <c r="AY547" s="518"/>
      <c r="AZ547" s="518"/>
      <c r="BA547" s="518"/>
      <c r="BB547" s="518"/>
      <c r="BC547" s="518"/>
      <c r="BD547" s="518"/>
      <c r="BE547" s="518"/>
    </row>
    <row r="548" spans="1:57" ht="12.75" customHeight="1">
      <c r="A548" s="518"/>
      <c r="B548" s="518"/>
      <c r="C548" s="518"/>
      <c r="D548" s="518"/>
      <c r="E548" s="518"/>
      <c r="F548" s="518"/>
      <c r="G548" s="518"/>
      <c r="H548" s="518"/>
      <c r="I548" s="518"/>
      <c r="J548" s="518"/>
      <c r="K548" s="518"/>
      <c r="L548" s="518"/>
      <c r="M548" s="518"/>
      <c r="N548" s="518"/>
      <c r="O548" s="518"/>
      <c r="P548" s="518"/>
      <c r="Q548" s="518"/>
      <c r="R548" s="518"/>
      <c r="S548" s="518"/>
      <c r="T548" s="518"/>
      <c r="U548" s="518"/>
      <c r="V548" s="518"/>
      <c r="W548" s="518"/>
      <c r="X548" s="518"/>
      <c r="Y548" s="518"/>
      <c r="Z548" s="518"/>
      <c r="AA548" s="518"/>
      <c r="AB548" s="518"/>
      <c r="AC548" s="518"/>
      <c r="AD548" s="518"/>
      <c r="AE548" s="518"/>
      <c r="AF548" s="518"/>
      <c r="AG548" s="518"/>
      <c r="AH548" s="518"/>
      <c r="AI548" s="518"/>
      <c r="AJ548" s="518"/>
      <c r="AK548" s="518"/>
      <c r="AL548" s="518"/>
      <c r="AM548" s="518"/>
      <c r="AN548" s="518"/>
      <c r="AO548" s="518"/>
      <c r="AP548" s="518"/>
      <c r="AQ548" s="518"/>
      <c r="AR548" s="518"/>
      <c r="AS548" s="518"/>
      <c r="AT548" s="518"/>
      <c r="AU548" s="518"/>
      <c r="AV548" s="518"/>
      <c r="AW548" s="518"/>
      <c r="AX548" s="518"/>
      <c r="AY548" s="518"/>
      <c r="AZ548" s="518"/>
      <c r="BA548" s="518"/>
      <c r="BB548" s="518"/>
      <c r="BC548" s="518"/>
      <c r="BD548" s="518"/>
      <c r="BE548" s="518"/>
    </row>
    <row r="549" spans="1:57" ht="12.75" customHeight="1">
      <c r="A549" s="518"/>
      <c r="B549" s="518"/>
      <c r="C549" s="518"/>
      <c r="D549" s="518"/>
      <c r="E549" s="518"/>
      <c r="F549" s="518"/>
      <c r="G549" s="518"/>
      <c r="H549" s="518"/>
      <c r="I549" s="518"/>
      <c r="J549" s="518"/>
      <c r="K549" s="518"/>
      <c r="L549" s="518"/>
      <c r="M549" s="518"/>
      <c r="N549" s="518"/>
      <c r="O549" s="518"/>
      <c r="P549" s="518"/>
      <c r="Q549" s="518"/>
      <c r="R549" s="518"/>
      <c r="S549" s="518"/>
      <c r="T549" s="518"/>
      <c r="U549" s="518"/>
      <c r="V549" s="518"/>
      <c r="W549" s="518"/>
      <c r="X549" s="518"/>
      <c r="Y549" s="518"/>
      <c r="Z549" s="518"/>
      <c r="AA549" s="518"/>
      <c r="AB549" s="518"/>
      <c r="AC549" s="518"/>
      <c r="AD549" s="518"/>
      <c r="AE549" s="518"/>
      <c r="AF549" s="518"/>
      <c r="AG549" s="518"/>
      <c r="AH549" s="518"/>
      <c r="AI549" s="518"/>
      <c r="AJ549" s="518"/>
      <c r="AK549" s="518"/>
      <c r="AL549" s="518"/>
      <c r="AM549" s="518"/>
      <c r="AN549" s="518"/>
      <c r="AO549" s="518"/>
      <c r="AP549" s="518"/>
      <c r="AQ549" s="518"/>
      <c r="AR549" s="518"/>
      <c r="AS549" s="518"/>
      <c r="AT549" s="518"/>
      <c r="AU549" s="518"/>
      <c r="AV549" s="518"/>
      <c r="AW549" s="518"/>
      <c r="AX549" s="518"/>
      <c r="AY549" s="518"/>
      <c r="AZ549" s="518"/>
      <c r="BA549" s="518"/>
      <c r="BB549" s="518"/>
      <c r="BC549" s="518"/>
      <c r="BD549" s="518"/>
      <c r="BE549" s="518"/>
    </row>
    <row r="550" spans="1:57" ht="12.75" customHeight="1">
      <c r="A550" s="518"/>
      <c r="B550" s="518"/>
      <c r="C550" s="518"/>
      <c r="D550" s="518"/>
      <c r="E550" s="518"/>
      <c r="F550" s="518"/>
      <c r="G550" s="518"/>
      <c r="H550" s="518"/>
      <c r="I550" s="518"/>
      <c r="J550" s="518"/>
      <c r="K550" s="518"/>
      <c r="L550" s="518"/>
      <c r="M550" s="518"/>
      <c r="N550" s="518"/>
      <c r="O550" s="518"/>
      <c r="P550" s="518"/>
      <c r="Q550" s="518"/>
      <c r="R550" s="518"/>
      <c r="S550" s="518"/>
      <c r="T550" s="518"/>
      <c r="U550" s="518"/>
      <c r="V550" s="518"/>
      <c r="W550" s="518"/>
      <c r="X550" s="518"/>
      <c r="Y550" s="518"/>
      <c r="Z550" s="518"/>
      <c r="AA550" s="518"/>
      <c r="AB550" s="518"/>
      <c r="AC550" s="518"/>
      <c r="AD550" s="518"/>
      <c r="AE550" s="518"/>
      <c r="AF550" s="518"/>
      <c r="AG550" s="518"/>
      <c r="AH550" s="518"/>
      <c r="AI550" s="518"/>
      <c r="AJ550" s="518"/>
      <c r="AK550" s="518"/>
      <c r="AL550" s="518"/>
      <c r="AM550" s="518"/>
      <c r="AN550" s="518"/>
      <c r="AO550" s="518"/>
      <c r="AP550" s="518"/>
      <c r="AQ550" s="518"/>
      <c r="AR550" s="518"/>
      <c r="AS550" s="518"/>
      <c r="AT550" s="518"/>
      <c r="AU550" s="518"/>
      <c r="AV550" s="518"/>
      <c r="AW550" s="518"/>
      <c r="AX550" s="518"/>
      <c r="AY550" s="518"/>
      <c r="AZ550" s="518"/>
      <c r="BA550" s="518"/>
      <c r="BB550" s="518"/>
      <c r="BC550" s="518"/>
      <c r="BD550" s="518"/>
      <c r="BE550" s="518"/>
    </row>
    <row r="551" spans="1:57" ht="12.75" customHeight="1">
      <c r="A551" s="518"/>
      <c r="B551" s="518"/>
      <c r="C551" s="518"/>
      <c r="D551" s="518"/>
      <c r="E551" s="518"/>
      <c r="F551" s="518"/>
      <c r="G551" s="518"/>
      <c r="H551" s="518"/>
      <c r="I551" s="518"/>
      <c r="J551" s="518"/>
      <c r="K551" s="518"/>
      <c r="L551" s="518"/>
      <c r="M551" s="518"/>
      <c r="N551" s="518"/>
      <c r="O551" s="518"/>
      <c r="P551" s="518"/>
      <c r="Q551" s="518"/>
      <c r="R551" s="518"/>
      <c r="S551" s="518"/>
      <c r="T551" s="518"/>
      <c r="U551" s="518"/>
      <c r="V551" s="518"/>
      <c r="W551" s="518"/>
      <c r="X551" s="518"/>
      <c r="Y551" s="518"/>
      <c r="Z551" s="518"/>
      <c r="AA551" s="518"/>
      <c r="AB551" s="518"/>
      <c r="AC551" s="518"/>
      <c r="AD551" s="518"/>
      <c r="AE551" s="518"/>
      <c r="AF551" s="518"/>
      <c r="AG551" s="518"/>
      <c r="AH551" s="518"/>
      <c r="AI551" s="518"/>
      <c r="AJ551" s="518"/>
      <c r="AK551" s="518"/>
      <c r="AL551" s="518"/>
      <c r="AM551" s="518"/>
      <c r="AN551" s="518"/>
      <c r="AO551" s="518"/>
      <c r="AP551" s="518"/>
      <c r="AQ551" s="518"/>
      <c r="AR551" s="518"/>
      <c r="AS551" s="518"/>
      <c r="AT551" s="518"/>
      <c r="AU551" s="518"/>
      <c r="AV551" s="518"/>
      <c r="AW551" s="518"/>
      <c r="AX551" s="518"/>
      <c r="AY551" s="518"/>
      <c r="AZ551" s="518"/>
      <c r="BA551" s="518"/>
      <c r="BB551" s="518"/>
      <c r="BC551" s="518"/>
      <c r="BD551" s="518"/>
      <c r="BE551" s="518"/>
    </row>
    <row r="552" spans="1:57" ht="12.75" customHeight="1">
      <c r="A552" s="518"/>
      <c r="B552" s="518"/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  <c r="AB552" s="518"/>
      <c r="AC552" s="518"/>
      <c r="AD552" s="518"/>
      <c r="AE552" s="518"/>
      <c r="AF552" s="518"/>
      <c r="AG552" s="518"/>
      <c r="AH552" s="518"/>
      <c r="AI552" s="518"/>
      <c r="AJ552" s="518"/>
      <c r="AK552" s="518"/>
      <c r="AL552" s="518"/>
      <c r="AM552" s="518"/>
      <c r="AN552" s="518"/>
      <c r="AO552" s="518"/>
      <c r="AP552" s="518"/>
      <c r="AQ552" s="518"/>
      <c r="AR552" s="518"/>
      <c r="AS552" s="518"/>
      <c r="AT552" s="518"/>
      <c r="AU552" s="518"/>
      <c r="AV552" s="518"/>
      <c r="AW552" s="518"/>
      <c r="AX552" s="518"/>
      <c r="AY552" s="518"/>
      <c r="AZ552" s="518"/>
      <c r="BA552" s="518"/>
      <c r="BB552" s="518"/>
      <c r="BC552" s="518"/>
      <c r="BD552" s="518"/>
      <c r="BE552" s="518"/>
    </row>
    <row r="553" spans="1:57" ht="12.75" customHeight="1">
      <c r="A553" s="518"/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8"/>
      <c r="AQ553" s="518"/>
      <c r="AR553" s="518"/>
      <c r="AS553" s="518"/>
      <c r="AT553" s="518"/>
      <c r="AU553" s="518"/>
      <c r="AV553" s="518"/>
      <c r="AW553" s="518"/>
      <c r="AX553" s="518"/>
      <c r="AY553" s="518"/>
      <c r="AZ553" s="518"/>
      <c r="BA553" s="518"/>
      <c r="BB553" s="518"/>
      <c r="BC553" s="518"/>
      <c r="BD553" s="518"/>
      <c r="BE553" s="518"/>
    </row>
    <row r="554" spans="1:57" ht="12.75" customHeight="1">
      <c r="A554" s="518"/>
      <c r="B554" s="518"/>
      <c r="C554" s="518"/>
      <c r="D554" s="518"/>
      <c r="E554" s="518"/>
      <c r="F554" s="518"/>
      <c r="G554" s="518"/>
      <c r="H554" s="518"/>
      <c r="I554" s="518"/>
      <c r="J554" s="518"/>
      <c r="K554" s="518"/>
      <c r="L554" s="518"/>
      <c r="M554" s="518"/>
      <c r="N554" s="518"/>
      <c r="O554" s="518"/>
      <c r="P554" s="518"/>
      <c r="Q554" s="518"/>
      <c r="R554" s="518"/>
      <c r="S554" s="518"/>
      <c r="T554" s="518"/>
      <c r="U554" s="518"/>
      <c r="V554" s="518"/>
      <c r="W554" s="518"/>
      <c r="X554" s="518"/>
      <c r="Y554" s="518"/>
      <c r="Z554" s="518"/>
      <c r="AA554" s="518"/>
      <c r="AB554" s="518"/>
      <c r="AC554" s="518"/>
      <c r="AD554" s="518"/>
      <c r="AE554" s="518"/>
      <c r="AF554" s="518"/>
      <c r="AG554" s="518"/>
      <c r="AH554" s="518"/>
      <c r="AI554" s="518"/>
      <c r="AJ554" s="518"/>
      <c r="AK554" s="518"/>
      <c r="AL554" s="518"/>
      <c r="AM554" s="518"/>
      <c r="AN554" s="518"/>
      <c r="AO554" s="518"/>
      <c r="AP554" s="518"/>
      <c r="AQ554" s="518"/>
      <c r="AR554" s="518"/>
      <c r="AS554" s="518"/>
      <c r="AT554" s="518"/>
      <c r="AU554" s="518"/>
      <c r="AV554" s="518"/>
      <c r="AW554" s="518"/>
      <c r="AX554" s="518"/>
      <c r="AY554" s="518"/>
      <c r="AZ554" s="518"/>
      <c r="BA554" s="518"/>
      <c r="BB554" s="518"/>
      <c r="BC554" s="518"/>
      <c r="BD554" s="518"/>
      <c r="BE554" s="518"/>
    </row>
    <row r="555" spans="1:57" ht="12.75" customHeight="1">
      <c r="A555" s="518"/>
      <c r="B555" s="518"/>
      <c r="C555" s="518"/>
      <c r="D555" s="518"/>
      <c r="E555" s="518"/>
      <c r="F555" s="518"/>
      <c r="G555" s="518"/>
      <c r="H555" s="518"/>
      <c r="I555" s="518"/>
      <c r="J555" s="518"/>
      <c r="K555" s="518"/>
      <c r="L555" s="518"/>
      <c r="M555" s="518"/>
      <c r="N555" s="518"/>
      <c r="O555" s="518"/>
      <c r="P555" s="518"/>
      <c r="Q555" s="518"/>
      <c r="R555" s="518"/>
      <c r="S555" s="518"/>
      <c r="T555" s="518"/>
      <c r="U555" s="518"/>
      <c r="V555" s="518"/>
      <c r="W555" s="518"/>
      <c r="X555" s="518"/>
      <c r="Y555" s="518"/>
      <c r="Z555" s="518"/>
      <c r="AA555" s="518"/>
      <c r="AB555" s="518"/>
      <c r="AC555" s="518"/>
      <c r="AD555" s="518"/>
      <c r="AE555" s="518"/>
      <c r="AF555" s="518"/>
      <c r="AG555" s="518"/>
      <c r="AH555" s="518"/>
      <c r="AI555" s="518"/>
      <c r="AJ555" s="518"/>
      <c r="AK555" s="518"/>
      <c r="AL555" s="518"/>
      <c r="AM555" s="518"/>
      <c r="AN555" s="518"/>
      <c r="AO555" s="518"/>
      <c r="AP555" s="518"/>
      <c r="AQ555" s="518"/>
      <c r="AR555" s="518"/>
      <c r="AS555" s="518"/>
      <c r="AT555" s="518"/>
      <c r="AU555" s="518"/>
      <c r="AV555" s="518"/>
      <c r="AW555" s="518"/>
      <c r="AX555" s="518"/>
      <c r="AY555" s="518"/>
      <c r="AZ555" s="518"/>
      <c r="BA555" s="518"/>
      <c r="BB555" s="518"/>
      <c r="BC555" s="518"/>
      <c r="BD555" s="518"/>
      <c r="BE555" s="518"/>
    </row>
    <row r="556" spans="1:57" ht="12.75" customHeight="1">
      <c r="A556" s="518"/>
      <c r="B556" s="518"/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  <c r="AB556" s="518"/>
      <c r="AC556" s="518"/>
      <c r="AD556" s="518"/>
      <c r="AE556" s="518"/>
      <c r="AF556" s="518"/>
      <c r="AG556" s="518"/>
      <c r="AH556" s="518"/>
      <c r="AI556" s="518"/>
      <c r="AJ556" s="518"/>
      <c r="AK556" s="518"/>
      <c r="AL556" s="518"/>
      <c r="AM556" s="518"/>
      <c r="AN556" s="518"/>
      <c r="AO556" s="518"/>
      <c r="AP556" s="518"/>
      <c r="AQ556" s="518"/>
      <c r="AR556" s="518"/>
      <c r="AS556" s="518"/>
      <c r="AT556" s="518"/>
      <c r="AU556" s="518"/>
      <c r="AV556" s="518"/>
      <c r="AW556" s="518"/>
      <c r="AX556" s="518"/>
      <c r="AY556" s="518"/>
      <c r="AZ556" s="518"/>
      <c r="BA556" s="518"/>
      <c r="BB556" s="518"/>
      <c r="BC556" s="518"/>
      <c r="BD556" s="518"/>
      <c r="BE556" s="518"/>
    </row>
    <row r="557" spans="1:57" ht="12.75" customHeight="1">
      <c r="A557" s="518"/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8"/>
      <c r="AQ557" s="518"/>
      <c r="AR557" s="518"/>
      <c r="AS557" s="518"/>
      <c r="AT557" s="518"/>
      <c r="AU557" s="518"/>
      <c r="AV557" s="518"/>
      <c r="AW557" s="518"/>
      <c r="AX557" s="518"/>
      <c r="AY557" s="518"/>
      <c r="AZ557" s="518"/>
      <c r="BA557" s="518"/>
      <c r="BB557" s="518"/>
      <c r="BC557" s="518"/>
      <c r="BD557" s="518"/>
      <c r="BE557" s="518"/>
    </row>
    <row r="558" spans="1:57" ht="12.75" customHeight="1">
      <c r="A558" s="518"/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8"/>
      <c r="AQ558" s="518"/>
      <c r="AR558" s="518"/>
      <c r="AS558" s="518"/>
      <c r="AT558" s="518"/>
      <c r="AU558" s="518"/>
      <c r="AV558" s="518"/>
      <c r="AW558" s="518"/>
      <c r="AX558" s="518"/>
      <c r="AY558" s="518"/>
      <c r="AZ558" s="518"/>
      <c r="BA558" s="518"/>
      <c r="BB558" s="518"/>
      <c r="BC558" s="518"/>
      <c r="BD558" s="518"/>
      <c r="BE558" s="518"/>
    </row>
    <row r="559" spans="1:57" ht="12.75" customHeight="1">
      <c r="A559" s="518"/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8"/>
      <c r="AQ559" s="518"/>
      <c r="AR559" s="518"/>
      <c r="AS559" s="518"/>
      <c r="AT559" s="518"/>
      <c r="AU559" s="518"/>
      <c r="AV559" s="518"/>
      <c r="AW559" s="518"/>
      <c r="AX559" s="518"/>
      <c r="AY559" s="518"/>
      <c r="AZ559" s="518"/>
      <c r="BA559" s="518"/>
      <c r="BB559" s="518"/>
      <c r="BC559" s="518"/>
      <c r="BD559" s="518"/>
      <c r="BE559" s="518"/>
    </row>
    <row r="560" spans="1:57" ht="12.75" customHeight="1">
      <c r="A560" s="518"/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8"/>
      <c r="AQ560" s="518"/>
      <c r="AR560" s="518"/>
      <c r="AS560" s="518"/>
      <c r="AT560" s="518"/>
      <c r="AU560" s="518"/>
      <c r="AV560" s="518"/>
      <c r="AW560" s="518"/>
      <c r="AX560" s="518"/>
      <c r="AY560" s="518"/>
      <c r="AZ560" s="518"/>
      <c r="BA560" s="518"/>
      <c r="BB560" s="518"/>
      <c r="BC560" s="518"/>
      <c r="BD560" s="518"/>
      <c r="BE560" s="518"/>
    </row>
    <row r="561" spans="1:57" ht="12.75" customHeight="1">
      <c r="A561" s="518"/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8"/>
      <c r="AQ561" s="518"/>
      <c r="AR561" s="518"/>
      <c r="AS561" s="518"/>
      <c r="AT561" s="518"/>
      <c r="AU561" s="518"/>
      <c r="AV561" s="518"/>
      <c r="AW561" s="518"/>
      <c r="AX561" s="518"/>
      <c r="AY561" s="518"/>
      <c r="AZ561" s="518"/>
      <c r="BA561" s="518"/>
      <c r="BB561" s="518"/>
      <c r="BC561" s="518"/>
      <c r="BD561" s="518"/>
      <c r="BE561" s="518"/>
    </row>
    <row r="562" spans="1:57" ht="12.75" customHeight="1">
      <c r="A562" s="518"/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8"/>
      <c r="AQ562" s="518"/>
      <c r="AR562" s="518"/>
      <c r="AS562" s="518"/>
      <c r="AT562" s="518"/>
      <c r="AU562" s="518"/>
      <c r="AV562" s="518"/>
      <c r="AW562" s="518"/>
      <c r="AX562" s="518"/>
      <c r="AY562" s="518"/>
      <c r="AZ562" s="518"/>
      <c r="BA562" s="518"/>
      <c r="BB562" s="518"/>
      <c r="BC562" s="518"/>
      <c r="BD562" s="518"/>
      <c r="BE562" s="518"/>
    </row>
    <row r="563" spans="1:57" ht="12.75" customHeight="1">
      <c r="A563" s="518"/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8"/>
      <c r="AQ563" s="518"/>
      <c r="AR563" s="518"/>
      <c r="AS563" s="518"/>
      <c r="AT563" s="518"/>
      <c r="AU563" s="518"/>
      <c r="AV563" s="518"/>
      <c r="AW563" s="518"/>
      <c r="AX563" s="518"/>
      <c r="AY563" s="518"/>
      <c r="AZ563" s="518"/>
      <c r="BA563" s="518"/>
      <c r="BB563" s="518"/>
      <c r="BC563" s="518"/>
      <c r="BD563" s="518"/>
      <c r="BE563" s="518"/>
    </row>
    <row r="564" spans="1:57" ht="12.75" customHeight="1">
      <c r="A564" s="518"/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8"/>
      <c r="AQ564" s="518"/>
      <c r="AR564" s="518"/>
      <c r="AS564" s="518"/>
      <c r="AT564" s="518"/>
      <c r="AU564" s="518"/>
      <c r="AV564" s="518"/>
      <c r="AW564" s="518"/>
      <c r="AX564" s="518"/>
      <c r="AY564" s="518"/>
      <c r="AZ564" s="518"/>
      <c r="BA564" s="518"/>
      <c r="BB564" s="518"/>
      <c r="BC564" s="518"/>
      <c r="BD564" s="518"/>
      <c r="BE564" s="518"/>
    </row>
    <row r="565" spans="1:57" ht="12.75" customHeight="1">
      <c r="A565" s="518"/>
      <c r="B565" s="518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8"/>
      <c r="AQ565" s="518"/>
      <c r="AR565" s="518"/>
      <c r="AS565" s="518"/>
      <c r="AT565" s="518"/>
      <c r="AU565" s="518"/>
      <c r="AV565" s="518"/>
      <c r="AW565" s="518"/>
      <c r="AX565" s="518"/>
      <c r="AY565" s="518"/>
      <c r="AZ565" s="518"/>
      <c r="BA565" s="518"/>
      <c r="BB565" s="518"/>
      <c r="BC565" s="518"/>
      <c r="BD565" s="518"/>
      <c r="BE565" s="518"/>
    </row>
    <row r="566" spans="1:57" ht="12.75" customHeight="1">
      <c r="A566" s="518"/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8"/>
      <c r="AQ566" s="518"/>
      <c r="AR566" s="518"/>
      <c r="AS566" s="518"/>
      <c r="AT566" s="518"/>
      <c r="AU566" s="518"/>
      <c r="AV566" s="518"/>
      <c r="AW566" s="518"/>
      <c r="AX566" s="518"/>
      <c r="AY566" s="518"/>
      <c r="AZ566" s="518"/>
      <c r="BA566" s="518"/>
      <c r="BB566" s="518"/>
      <c r="BC566" s="518"/>
      <c r="BD566" s="518"/>
      <c r="BE566" s="518"/>
    </row>
    <row r="567" spans="1:57" ht="12.75" customHeight="1">
      <c r="A567" s="518"/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8"/>
      <c r="AQ567" s="518"/>
      <c r="AR567" s="518"/>
      <c r="AS567" s="518"/>
      <c r="AT567" s="518"/>
      <c r="AU567" s="518"/>
      <c r="AV567" s="518"/>
      <c r="AW567" s="518"/>
      <c r="AX567" s="518"/>
      <c r="AY567" s="518"/>
      <c r="AZ567" s="518"/>
      <c r="BA567" s="518"/>
      <c r="BB567" s="518"/>
      <c r="BC567" s="518"/>
      <c r="BD567" s="518"/>
      <c r="BE567" s="518"/>
    </row>
    <row r="568" spans="1:57" ht="12.75" customHeight="1">
      <c r="A568" s="518"/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8"/>
      <c r="AQ568" s="518"/>
      <c r="AR568" s="518"/>
      <c r="AS568" s="518"/>
      <c r="AT568" s="518"/>
      <c r="AU568" s="518"/>
      <c r="AV568" s="518"/>
      <c r="AW568" s="518"/>
      <c r="AX568" s="518"/>
      <c r="AY568" s="518"/>
      <c r="AZ568" s="518"/>
      <c r="BA568" s="518"/>
      <c r="BB568" s="518"/>
      <c r="BC568" s="518"/>
      <c r="BD568" s="518"/>
      <c r="BE568" s="518"/>
    </row>
    <row r="569" spans="1:57" ht="12.75" customHeight="1">
      <c r="A569" s="518"/>
      <c r="B569" s="518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8"/>
      <c r="AQ569" s="518"/>
      <c r="AR569" s="518"/>
      <c r="AS569" s="518"/>
      <c r="AT569" s="518"/>
      <c r="AU569" s="518"/>
      <c r="AV569" s="518"/>
      <c r="AW569" s="518"/>
      <c r="AX569" s="518"/>
      <c r="AY569" s="518"/>
      <c r="AZ569" s="518"/>
      <c r="BA569" s="518"/>
      <c r="BB569" s="518"/>
      <c r="BC569" s="518"/>
      <c r="BD569" s="518"/>
      <c r="BE569" s="518"/>
    </row>
    <row r="570" spans="1:57" ht="12.75" customHeight="1">
      <c r="A570" s="518"/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8"/>
      <c r="AQ570" s="518"/>
      <c r="AR570" s="518"/>
      <c r="AS570" s="518"/>
      <c r="AT570" s="518"/>
      <c r="AU570" s="518"/>
      <c r="AV570" s="518"/>
      <c r="AW570" s="518"/>
      <c r="AX570" s="518"/>
      <c r="AY570" s="518"/>
      <c r="AZ570" s="518"/>
      <c r="BA570" s="518"/>
      <c r="BB570" s="518"/>
      <c r="BC570" s="518"/>
      <c r="BD570" s="518"/>
      <c r="BE570" s="518"/>
    </row>
    <row r="571" spans="1:57" ht="12.75" customHeight="1">
      <c r="A571" s="518"/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8"/>
      <c r="AQ571" s="518"/>
      <c r="AR571" s="518"/>
      <c r="AS571" s="518"/>
      <c r="AT571" s="518"/>
      <c r="AU571" s="518"/>
      <c r="AV571" s="518"/>
      <c r="AW571" s="518"/>
      <c r="AX571" s="518"/>
      <c r="AY571" s="518"/>
      <c r="AZ571" s="518"/>
      <c r="BA571" s="518"/>
      <c r="BB571" s="518"/>
      <c r="BC571" s="518"/>
      <c r="BD571" s="518"/>
      <c r="BE571" s="518"/>
    </row>
    <row r="572" spans="1:57" ht="12.75" customHeight="1">
      <c r="A572" s="518"/>
      <c r="B572" s="518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8"/>
      <c r="AQ572" s="518"/>
      <c r="AR572" s="518"/>
      <c r="AS572" s="518"/>
      <c r="AT572" s="518"/>
      <c r="AU572" s="518"/>
      <c r="AV572" s="518"/>
      <c r="AW572" s="518"/>
      <c r="AX572" s="518"/>
      <c r="AY572" s="518"/>
      <c r="AZ572" s="518"/>
      <c r="BA572" s="518"/>
      <c r="BB572" s="518"/>
      <c r="BC572" s="518"/>
      <c r="BD572" s="518"/>
      <c r="BE572" s="518"/>
    </row>
    <row r="573" spans="1:57" ht="12.75" customHeight="1">
      <c r="A573" s="518"/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8"/>
      <c r="AQ573" s="518"/>
      <c r="AR573" s="518"/>
      <c r="AS573" s="518"/>
      <c r="AT573" s="518"/>
      <c r="AU573" s="518"/>
      <c r="AV573" s="518"/>
      <c r="AW573" s="518"/>
      <c r="AX573" s="518"/>
      <c r="AY573" s="518"/>
      <c r="AZ573" s="518"/>
      <c r="BA573" s="518"/>
      <c r="BB573" s="518"/>
      <c r="BC573" s="518"/>
      <c r="BD573" s="518"/>
      <c r="BE573" s="518"/>
    </row>
    <row r="574" spans="1:57" ht="12.75" customHeight="1">
      <c r="A574" s="518"/>
      <c r="B574" s="518"/>
      <c r="C574" s="518"/>
      <c r="D574" s="518"/>
      <c r="E574" s="518"/>
      <c r="F574" s="518"/>
      <c r="G574" s="518"/>
      <c r="H574" s="518"/>
      <c r="I574" s="518"/>
      <c r="J574" s="518"/>
      <c r="K574" s="518"/>
      <c r="L574" s="518"/>
      <c r="M574" s="518"/>
      <c r="N574" s="518"/>
      <c r="O574" s="518"/>
      <c r="P574" s="518"/>
      <c r="Q574" s="518"/>
      <c r="R574" s="518"/>
      <c r="S574" s="518"/>
      <c r="T574" s="518"/>
      <c r="U574" s="518"/>
      <c r="V574" s="518"/>
      <c r="W574" s="518"/>
      <c r="X574" s="518"/>
      <c r="Y574" s="518"/>
      <c r="Z574" s="518"/>
      <c r="AA574" s="518"/>
      <c r="AB574" s="518"/>
      <c r="AC574" s="518"/>
      <c r="AD574" s="518"/>
      <c r="AE574" s="518"/>
      <c r="AF574" s="518"/>
      <c r="AG574" s="518"/>
      <c r="AH574" s="518"/>
      <c r="AI574" s="518"/>
      <c r="AJ574" s="518"/>
      <c r="AK574" s="518"/>
      <c r="AL574" s="518"/>
      <c r="AM574" s="518"/>
      <c r="AN574" s="518"/>
      <c r="AO574" s="518"/>
      <c r="AP574" s="518"/>
      <c r="AQ574" s="518"/>
      <c r="AR574" s="518"/>
      <c r="AS574" s="518"/>
      <c r="AT574" s="518"/>
      <c r="AU574" s="518"/>
      <c r="AV574" s="518"/>
      <c r="AW574" s="518"/>
      <c r="AX574" s="518"/>
      <c r="AY574" s="518"/>
      <c r="AZ574" s="518"/>
      <c r="BA574" s="518"/>
      <c r="BB574" s="518"/>
      <c r="BC574" s="518"/>
      <c r="BD574" s="518"/>
      <c r="BE574" s="518"/>
    </row>
    <row r="575" spans="1:57" ht="12.75" customHeight="1">
      <c r="A575" s="518"/>
      <c r="B575" s="518"/>
      <c r="C575" s="518"/>
      <c r="D575" s="518"/>
      <c r="E575" s="518"/>
      <c r="F575" s="518"/>
      <c r="G575" s="518"/>
      <c r="H575" s="518"/>
      <c r="I575" s="518"/>
      <c r="J575" s="518"/>
      <c r="K575" s="518"/>
      <c r="L575" s="518"/>
      <c r="M575" s="518"/>
      <c r="N575" s="518"/>
      <c r="O575" s="518"/>
      <c r="P575" s="518"/>
      <c r="Q575" s="518"/>
      <c r="R575" s="518"/>
      <c r="S575" s="518"/>
      <c r="T575" s="518"/>
      <c r="U575" s="518"/>
      <c r="V575" s="518"/>
      <c r="W575" s="518"/>
      <c r="X575" s="518"/>
      <c r="Y575" s="518"/>
      <c r="Z575" s="518"/>
      <c r="AA575" s="518"/>
      <c r="AB575" s="518"/>
      <c r="AC575" s="518"/>
      <c r="AD575" s="518"/>
      <c r="AE575" s="518"/>
      <c r="AF575" s="518"/>
      <c r="AG575" s="518"/>
      <c r="AH575" s="518"/>
      <c r="AI575" s="518"/>
      <c r="AJ575" s="518"/>
      <c r="AK575" s="518"/>
      <c r="AL575" s="518"/>
      <c r="AM575" s="518"/>
      <c r="AN575" s="518"/>
      <c r="AO575" s="518"/>
      <c r="AP575" s="518"/>
      <c r="AQ575" s="518"/>
      <c r="AR575" s="518"/>
      <c r="AS575" s="518"/>
      <c r="AT575" s="518"/>
      <c r="AU575" s="518"/>
      <c r="AV575" s="518"/>
      <c r="AW575" s="518"/>
      <c r="AX575" s="518"/>
      <c r="AY575" s="518"/>
      <c r="AZ575" s="518"/>
      <c r="BA575" s="518"/>
      <c r="BB575" s="518"/>
      <c r="BC575" s="518"/>
      <c r="BD575" s="518"/>
      <c r="BE575" s="518"/>
    </row>
    <row r="576" spans="1:57" ht="12.75" customHeight="1">
      <c r="A576" s="518"/>
      <c r="B576" s="518"/>
      <c r="C576" s="518"/>
      <c r="D576" s="518"/>
      <c r="E576" s="518"/>
      <c r="F576" s="518"/>
      <c r="G576" s="518"/>
      <c r="H576" s="518"/>
      <c r="I576" s="518"/>
      <c r="J576" s="518"/>
      <c r="K576" s="518"/>
      <c r="L576" s="518"/>
      <c r="M576" s="518"/>
      <c r="N576" s="518"/>
      <c r="O576" s="518"/>
      <c r="P576" s="518"/>
      <c r="Q576" s="518"/>
      <c r="R576" s="518"/>
      <c r="S576" s="518"/>
      <c r="T576" s="518"/>
      <c r="U576" s="518"/>
      <c r="V576" s="518"/>
      <c r="W576" s="518"/>
      <c r="X576" s="518"/>
      <c r="Y576" s="518"/>
      <c r="Z576" s="518"/>
      <c r="AA576" s="518"/>
      <c r="AB576" s="518"/>
      <c r="AC576" s="518"/>
      <c r="AD576" s="518"/>
      <c r="AE576" s="518"/>
      <c r="AF576" s="518"/>
      <c r="AG576" s="518"/>
      <c r="AH576" s="518"/>
      <c r="AI576" s="518"/>
      <c r="AJ576" s="518"/>
      <c r="AK576" s="518"/>
      <c r="AL576" s="518"/>
      <c r="AM576" s="518"/>
      <c r="AN576" s="518"/>
      <c r="AO576" s="518"/>
      <c r="AP576" s="518"/>
      <c r="AQ576" s="518"/>
      <c r="AR576" s="518"/>
      <c r="AS576" s="518"/>
      <c r="AT576" s="518"/>
      <c r="AU576" s="518"/>
      <c r="AV576" s="518"/>
      <c r="AW576" s="518"/>
      <c r="AX576" s="518"/>
      <c r="AY576" s="518"/>
      <c r="AZ576" s="518"/>
      <c r="BA576" s="518"/>
      <c r="BB576" s="518"/>
      <c r="BC576" s="518"/>
      <c r="BD576" s="518"/>
      <c r="BE576" s="518"/>
    </row>
    <row r="577" spans="1:57" ht="12.75" customHeight="1">
      <c r="A577" s="518"/>
      <c r="B577" s="518"/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  <c r="AB577" s="518"/>
      <c r="AC577" s="518"/>
      <c r="AD577" s="518"/>
      <c r="AE577" s="518"/>
      <c r="AF577" s="518"/>
      <c r="AG577" s="518"/>
      <c r="AH577" s="518"/>
      <c r="AI577" s="518"/>
      <c r="AJ577" s="518"/>
      <c r="AK577" s="518"/>
      <c r="AL577" s="518"/>
      <c r="AM577" s="518"/>
      <c r="AN577" s="518"/>
      <c r="AO577" s="518"/>
      <c r="AP577" s="518"/>
      <c r="AQ577" s="518"/>
      <c r="AR577" s="518"/>
      <c r="AS577" s="518"/>
      <c r="AT577" s="518"/>
      <c r="AU577" s="518"/>
      <c r="AV577" s="518"/>
      <c r="AW577" s="518"/>
      <c r="AX577" s="518"/>
      <c r="AY577" s="518"/>
      <c r="AZ577" s="518"/>
      <c r="BA577" s="518"/>
      <c r="BB577" s="518"/>
      <c r="BC577" s="518"/>
      <c r="BD577" s="518"/>
      <c r="BE577" s="518"/>
    </row>
    <row r="578" spans="1:57" ht="12.75" customHeight="1">
      <c r="A578" s="518"/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8"/>
      <c r="AQ578" s="518"/>
      <c r="AR578" s="518"/>
      <c r="AS578" s="518"/>
      <c r="AT578" s="518"/>
      <c r="AU578" s="518"/>
      <c r="AV578" s="518"/>
      <c r="AW578" s="518"/>
      <c r="AX578" s="518"/>
      <c r="AY578" s="518"/>
      <c r="AZ578" s="518"/>
      <c r="BA578" s="518"/>
      <c r="BB578" s="518"/>
      <c r="BC578" s="518"/>
      <c r="BD578" s="518"/>
      <c r="BE578" s="518"/>
    </row>
    <row r="579" spans="1:57" ht="12.75" customHeight="1">
      <c r="A579" s="518"/>
      <c r="B579" s="518"/>
      <c r="C579" s="518"/>
      <c r="D579" s="518"/>
      <c r="E579" s="518"/>
      <c r="F579" s="518"/>
      <c r="G579" s="518"/>
      <c r="H579" s="518"/>
      <c r="I579" s="518"/>
      <c r="J579" s="518"/>
      <c r="K579" s="518"/>
      <c r="L579" s="518"/>
      <c r="M579" s="518"/>
      <c r="N579" s="518"/>
      <c r="O579" s="518"/>
      <c r="P579" s="518"/>
      <c r="Q579" s="518"/>
      <c r="R579" s="518"/>
      <c r="S579" s="518"/>
      <c r="T579" s="518"/>
      <c r="U579" s="518"/>
      <c r="V579" s="518"/>
      <c r="W579" s="518"/>
      <c r="X579" s="518"/>
      <c r="Y579" s="518"/>
      <c r="Z579" s="518"/>
      <c r="AA579" s="518"/>
      <c r="AB579" s="518"/>
      <c r="AC579" s="518"/>
      <c r="AD579" s="518"/>
      <c r="AE579" s="518"/>
      <c r="AF579" s="518"/>
      <c r="AG579" s="518"/>
      <c r="AH579" s="518"/>
      <c r="AI579" s="518"/>
      <c r="AJ579" s="518"/>
      <c r="AK579" s="518"/>
      <c r="AL579" s="518"/>
      <c r="AM579" s="518"/>
      <c r="AN579" s="518"/>
      <c r="AO579" s="518"/>
      <c r="AP579" s="518"/>
      <c r="AQ579" s="518"/>
      <c r="AR579" s="518"/>
      <c r="AS579" s="518"/>
      <c r="AT579" s="518"/>
      <c r="AU579" s="518"/>
      <c r="AV579" s="518"/>
      <c r="AW579" s="518"/>
      <c r="AX579" s="518"/>
      <c r="AY579" s="518"/>
      <c r="AZ579" s="518"/>
      <c r="BA579" s="518"/>
      <c r="BB579" s="518"/>
      <c r="BC579" s="518"/>
      <c r="BD579" s="518"/>
      <c r="BE579" s="518"/>
    </row>
    <row r="580" spans="1:57" ht="12.75" customHeight="1">
      <c r="A580" s="518"/>
      <c r="B580" s="518"/>
      <c r="C580" s="518"/>
      <c r="D580" s="518"/>
      <c r="E580" s="518"/>
      <c r="F580" s="518"/>
      <c r="G580" s="518"/>
      <c r="H580" s="518"/>
      <c r="I580" s="518"/>
      <c r="J580" s="518"/>
      <c r="K580" s="518"/>
      <c r="L580" s="518"/>
      <c r="M580" s="518"/>
      <c r="N580" s="518"/>
      <c r="O580" s="518"/>
      <c r="P580" s="518"/>
      <c r="Q580" s="518"/>
      <c r="R580" s="518"/>
      <c r="S580" s="518"/>
      <c r="T580" s="518"/>
      <c r="U580" s="518"/>
      <c r="V580" s="518"/>
      <c r="W580" s="518"/>
      <c r="X580" s="518"/>
      <c r="Y580" s="518"/>
      <c r="Z580" s="518"/>
      <c r="AA580" s="518"/>
      <c r="AB580" s="518"/>
      <c r="AC580" s="518"/>
      <c r="AD580" s="518"/>
      <c r="AE580" s="518"/>
      <c r="AF580" s="518"/>
      <c r="AG580" s="518"/>
      <c r="AH580" s="518"/>
      <c r="AI580" s="518"/>
      <c r="AJ580" s="518"/>
      <c r="AK580" s="518"/>
      <c r="AL580" s="518"/>
      <c r="AM580" s="518"/>
      <c r="AN580" s="518"/>
      <c r="AO580" s="518"/>
      <c r="AP580" s="518"/>
      <c r="AQ580" s="518"/>
      <c r="AR580" s="518"/>
      <c r="AS580" s="518"/>
      <c r="AT580" s="518"/>
      <c r="AU580" s="518"/>
      <c r="AV580" s="518"/>
      <c r="AW580" s="518"/>
      <c r="AX580" s="518"/>
      <c r="AY580" s="518"/>
      <c r="AZ580" s="518"/>
      <c r="BA580" s="518"/>
      <c r="BB580" s="518"/>
      <c r="BC580" s="518"/>
      <c r="BD580" s="518"/>
      <c r="BE580" s="518"/>
    </row>
    <row r="581" spans="1:57" ht="12.75" customHeight="1">
      <c r="A581" s="518"/>
      <c r="B581" s="518"/>
      <c r="C581" s="518"/>
      <c r="D581" s="518"/>
      <c r="E581" s="518"/>
      <c r="F581" s="518"/>
      <c r="G581" s="518"/>
      <c r="H581" s="518"/>
      <c r="I581" s="518"/>
      <c r="J581" s="518"/>
      <c r="K581" s="518"/>
      <c r="L581" s="518"/>
      <c r="M581" s="518"/>
      <c r="N581" s="518"/>
      <c r="O581" s="518"/>
      <c r="P581" s="518"/>
      <c r="Q581" s="518"/>
      <c r="R581" s="518"/>
      <c r="S581" s="518"/>
      <c r="T581" s="518"/>
      <c r="U581" s="518"/>
      <c r="V581" s="518"/>
      <c r="W581" s="518"/>
      <c r="X581" s="518"/>
      <c r="Y581" s="518"/>
      <c r="Z581" s="518"/>
      <c r="AA581" s="518"/>
      <c r="AB581" s="518"/>
      <c r="AC581" s="518"/>
      <c r="AD581" s="518"/>
      <c r="AE581" s="518"/>
      <c r="AF581" s="518"/>
      <c r="AG581" s="518"/>
      <c r="AH581" s="518"/>
      <c r="AI581" s="518"/>
      <c r="AJ581" s="518"/>
      <c r="AK581" s="518"/>
      <c r="AL581" s="518"/>
      <c r="AM581" s="518"/>
      <c r="AN581" s="518"/>
      <c r="AO581" s="518"/>
      <c r="AP581" s="518"/>
      <c r="AQ581" s="518"/>
      <c r="AR581" s="518"/>
      <c r="AS581" s="518"/>
      <c r="AT581" s="518"/>
      <c r="AU581" s="518"/>
      <c r="AV581" s="518"/>
      <c r="AW581" s="518"/>
      <c r="AX581" s="518"/>
      <c r="AY581" s="518"/>
      <c r="AZ581" s="518"/>
      <c r="BA581" s="518"/>
      <c r="BB581" s="518"/>
      <c r="BC581" s="518"/>
      <c r="BD581" s="518"/>
      <c r="BE581" s="518"/>
    </row>
    <row r="582" spans="1:57" ht="12.75" customHeight="1">
      <c r="A582" s="518"/>
      <c r="B582" s="518"/>
      <c r="C582" s="518"/>
      <c r="D582" s="518"/>
      <c r="E582" s="518"/>
      <c r="F582" s="518"/>
      <c r="G582" s="518"/>
      <c r="H582" s="518"/>
      <c r="I582" s="518"/>
      <c r="J582" s="518"/>
      <c r="K582" s="518"/>
      <c r="L582" s="518"/>
      <c r="M582" s="518"/>
      <c r="N582" s="518"/>
      <c r="O582" s="518"/>
      <c r="P582" s="518"/>
      <c r="Q582" s="518"/>
      <c r="R582" s="518"/>
      <c r="S582" s="518"/>
      <c r="T582" s="518"/>
      <c r="U582" s="518"/>
      <c r="V582" s="518"/>
      <c r="W582" s="518"/>
      <c r="X582" s="518"/>
      <c r="Y582" s="518"/>
      <c r="Z582" s="518"/>
      <c r="AA582" s="518"/>
      <c r="AB582" s="518"/>
      <c r="AC582" s="518"/>
      <c r="AD582" s="518"/>
      <c r="AE582" s="518"/>
      <c r="AF582" s="518"/>
      <c r="AG582" s="518"/>
      <c r="AH582" s="518"/>
      <c r="AI582" s="518"/>
      <c r="AJ582" s="518"/>
      <c r="AK582" s="518"/>
      <c r="AL582" s="518"/>
      <c r="AM582" s="518"/>
      <c r="AN582" s="518"/>
      <c r="AO582" s="518"/>
      <c r="AP582" s="518"/>
      <c r="AQ582" s="518"/>
      <c r="AR582" s="518"/>
      <c r="AS582" s="518"/>
      <c r="AT582" s="518"/>
      <c r="AU582" s="518"/>
      <c r="AV582" s="518"/>
      <c r="AW582" s="518"/>
      <c r="AX582" s="518"/>
      <c r="AY582" s="518"/>
      <c r="AZ582" s="518"/>
      <c r="BA582" s="518"/>
      <c r="BB582" s="518"/>
      <c r="BC582" s="518"/>
      <c r="BD582" s="518"/>
      <c r="BE582" s="518"/>
    </row>
    <row r="583" spans="1:57" ht="12.75" customHeight="1">
      <c r="A583" s="518"/>
      <c r="B583" s="518"/>
      <c r="C583" s="518"/>
      <c r="D583" s="518"/>
      <c r="E583" s="518"/>
      <c r="F583" s="518"/>
      <c r="G583" s="518"/>
      <c r="H583" s="518"/>
      <c r="I583" s="518"/>
      <c r="J583" s="518"/>
      <c r="K583" s="518"/>
      <c r="L583" s="518"/>
      <c r="M583" s="518"/>
      <c r="N583" s="518"/>
      <c r="O583" s="518"/>
      <c r="P583" s="518"/>
      <c r="Q583" s="518"/>
      <c r="R583" s="518"/>
      <c r="S583" s="518"/>
      <c r="T583" s="518"/>
      <c r="U583" s="518"/>
      <c r="V583" s="518"/>
      <c r="W583" s="518"/>
      <c r="X583" s="518"/>
      <c r="Y583" s="518"/>
      <c r="Z583" s="518"/>
      <c r="AA583" s="518"/>
      <c r="AB583" s="518"/>
      <c r="AC583" s="518"/>
      <c r="AD583" s="518"/>
      <c r="AE583" s="518"/>
      <c r="AF583" s="518"/>
      <c r="AG583" s="518"/>
      <c r="AH583" s="518"/>
      <c r="AI583" s="518"/>
      <c r="AJ583" s="518"/>
      <c r="AK583" s="518"/>
      <c r="AL583" s="518"/>
      <c r="AM583" s="518"/>
      <c r="AN583" s="518"/>
      <c r="AO583" s="518"/>
      <c r="AP583" s="518"/>
      <c r="AQ583" s="518"/>
      <c r="AR583" s="518"/>
      <c r="AS583" s="518"/>
      <c r="AT583" s="518"/>
      <c r="AU583" s="518"/>
      <c r="AV583" s="518"/>
      <c r="AW583" s="518"/>
      <c r="AX583" s="518"/>
      <c r="AY583" s="518"/>
      <c r="AZ583" s="518"/>
      <c r="BA583" s="518"/>
      <c r="BB583" s="518"/>
      <c r="BC583" s="518"/>
      <c r="BD583" s="518"/>
      <c r="BE583" s="518"/>
    </row>
    <row r="584" spans="1:57" ht="12.75" customHeight="1">
      <c r="A584" s="518"/>
      <c r="B584" s="518"/>
      <c r="C584" s="518"/>
      <c r="D584" s="518"/>
      <c r="E584" s="518"/>
      <c r="F584" s="518"/>
      <c r="G584" s="518"/>
      <c r="H584" s="518"/>
      <c r="I584" s="518"/>
      <c r="J584" s="518"/>
      <c r="K584" s="518"/>
      <c r="L584" s="518"/>
      <c r="M584" s="518"/>
      <c r="N584" s="518"/>
      <c r="O584" s="518"/>
      <c r="P584" s="518"/>
      <c r="Q584" s="518"/>
      <c r="R584" s="518"/>
      <c r="S584" s="518"/>
      <c r="T584" s="518"/>
      <c r="U584" s="518"/>
      <c r="V584" s="518"/>
      <c r="W584" s="518"/>
      <c r="X584" s="518"/>
      <c r="Y584" s="518"/>
      <c r="Z584" s="518"/>
      <c r="AA584" s="518"/>
      <c r="AB584" s="518"/>
      <c r="AC584" s="518"/>
      <c r="AD584" s="518"/>
      <c r="AE584" s="518"/>
      <c r="AF584" s="518"/>
      <c r="AG584" s="518"/>
      <c r="AH584" s="518"/>
      <c r="AI584" s="518"/>
      <c r="AJ584" s="518"/>
      <c r="AK584" s="518"/>
      <c r="AL584" s="518"/>
      <c r="AM584" s="518"/>
      <c r="AN584" s="518"/>
      <c r="AO584" s="518"/>
      <c r="AP584" s="518"/>
      <c r="AQ584" s="518"/>
      <c r="AR584" s="518"/>
      <c r="AS584" s="518"/>
      <c r="AT584" s="518"/>
      <c r="AU584" s="518"/>
      <c r="AV584" s="518"/>
      <c r="AW584" s="518"/>
      <c r="AX584" s="518"/>
      <c r="AY584" s="518"/>
      <c r="AZ584" s="518"/>
      <c r="BA584" s="518"/>
      <c r="BB584" s="518"/>
      <c r="BC584" s="518"/>
      <c r="BD584" s="518"/>
      <c r="BE584" s="518"/>
    </row>
    <row r="585" spans="1:57" ht="12.75" customHeight="1">
      <c r="A585" s="518"/>
      <c r="B585" s="518"/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  <c r="AB585" s="518"/>
      <c r="AC585" s="518"/>
      <c r="AD585" s="518"/>
      <c r="AE585" s="518"/>
      <c r="AF585" s="518"/>
      <c r="AG585" s="518"/>
      <c r="AH585" s="518"/>
      <c r="AI585" s="518"/>
      <c r="AJ585" s="518"/>
      <c r="AK585" s="518"/>
      <c r="AL585" s="518"/>
      <c r="AM585" s="518"/>
      <c r="AN585" s="518"/>
      <c r="AO585" s="518"/>
      <c r="AP585" s="518"/>
      <c r="AQ585" s="518"/>
      <c r="AR585" s="518"/>
      <c r="AS585" s="518"/>
      <c r="AT585" s="518"/>
      <c r="AU585" s="518"/>
      <c r="AV585" s="518"/>
      <c r="AW585" s="518"/>
      <c r="AX585" s="518"/>
      <c r="AY585" s="518"/>
      <c r="AZ585" s="518"/>
      <c r="BA585" s="518"/>
      <c r="BB585" s="518"/>
      <c r="BC585" s="518"/>
      <c r="BD585" s="518"/>
      <c r="BE585" s="518"/>
    </row>
    <row r="586" spans="1:57" ht="12.75" customHeight="1">
      <c r="A586" s="518"/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8"/>
      <c r="AQ586" s="518"/>
      <c r="AR586" s="518"/>
      <c r="AS586" s="518"/>
      <c r="AT586" s="518"/>
      <c r="AU586" s="518"/>
      <c r="AV586" s="518"/>
      <c r="AW586" s="518"/>
      <c r="AX586" s="518"/>
      <c r="AY586" s="518"/>
      <c r="AZ586" s="518"/>
      <c r="BA586" s="518"/>
      <c r="BB586" s="518"/>
      <c r="BC586" s="518"/>
      <c r="BD586" s="518"/>
      <c r="BE586" s="518"/>
    </row>
    <row r="587" spans="1:57" ht="12.75" customHeight="1">
      <c r="A587" s="518"/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8"/>
      <c r="AQ587" s="518"/>
      <c r="AR587" s="518"/>
      <c r="AS587" s="518"/>
      <c r="AT587" s="518"/>
      <c r="AU587" s="518"/>
      <c r="AV587" s="518"/>
      <c r="AW587" s="518"/>
      <c r="AX587" s="518"/>
      <c r="AY587" s="518"/>
      <c r="AZ587" s="518"/>
      <c r="BA587" s="518"/>
      <c r="BB587" s="518"/>
      <c r="BC587" s="518"/>
      <c r="BD587" s="518"/>
      <c r="BE587" s="518"/>
    </row>
    <row r="588" spans="1:57" ht="12.75" customHeight="1">
      <c r="A588" s="518"/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8"/>
      <c r="AQ588" s="518"/>
      <c r="AR588" s="518"/>
      <c r="AS588" s="518"/>
      <c r="AT588" s="518"/>
      <c r="AU588" s="518"/>
      <c r="AV588" s="518"/>
      <c r="AW588" s="518"/>
      <c r="AX588" s="518"/>
      <c r="AY588" s="518"/>
      <c r="AZ588" s="518"/>
      <c r="BA588" s="518"/>
      <c r="BB588" s="518"/>
      <c r="BC588" s="518"/>
      <c r="BD588" s="518"/>
      <c r="BE588" s="518"/>
    </row>
    <row r="589" spans="1:57" ht="12.75" customHeight="1">
      <c r="A589" s="518"/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8"/>
      <c r="AQ589" s="518"/>
      <c r="AR589" s="518"/>
      <c r="AS589" s="518"/>
      <c r="AT589" s="518"/>
      <c r="AU589" s="518"/>
      <c r="AV589" s="518"/>
      <c r="AW589" s="518"/>
      <c r="AX589" s="518"/>
      <c r="AY589" s="518"/>
      <c r="AZ589" s="518"/>
      <c r="BA589" s="518"/>
      <c r="BB589" s="518"/>
      <c r="BC589" s="518"/>
      <c r="BD589" s="518"/>
      <c r="BE589" s="518"/>
    </row>
    <row r="590" spans="1:57" ht="12.75" customHeight="1">
      <c r="A590" s="518"/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8"/>
      <c r="AQ590" s="518"/>
      <c r="AR590" s="518"/>
      <c r="AS590" s="518"/>
      <c r="AT590" s="518"/>
      <c r="AU590" s="518"/>
      <c r="AV590" s="518"/>
      <c r="AW590" s="518"/>
      <c r="AX590" s="518"/>
      <c r="AY590" s="518"/>
      <c r="AZ590" s="518"/>
      <c r="BA590" s="518"/>
      <c r="BB590" s="518"/>
      <c r="BC590" s="518"/>
      <c r="BD590" s="518"/>
      <c r="BE590" s="518"/>
    </row>
    <row r="591" spans="1:57" ht="12.75" customHeight="1">
      <c r="A591" s="518"/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8"/>
      <c r="AQ591" s="518"/>
      <c r="AR591" s="518"/>
      <c r="AS591" s="518"/>
      <c r="AT591" s="518"/>
      <c r="AU591" s="518"/>
      <c r="AV591" s="518"/>
      <c r="AW591" s="518"/>
      <c r="AX591" s="518"/>
      <c r="AY591" s="518"/>
      <c r="AZ591" s="518"/>
      <c r="BA591" s="518"/>
      <c r="BB591" s="518"/>
      <c r="BC591" s="518"/>
      <c r="BD591" s="518"/>
      <c r="BE591" s="518"/>
    </row>
    <row r="592" spans="1:57" ht="12.75" customHeight="1">
      <c r="A592" s="518"/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8"/>
      <c r="AQ592" s="518"/>
      <c r="AR592" s="518"/>
      <c r="AS592" s="518"/>
      <c r="AT592" s="518"/>
      <c r="AU592" s="518"/>
      <c r="AV592" s="518"/>
      <c r="AW592" s="518"/>
      <c r="AX592" s="518"/>
      <c r="AY592" s="518"/>
      <c r="AZ592" s="518"/>
      <c r="BA592" s="518"/>
      <c r="BB592" s="518"/>
      <c r="BC592" s="518"/>
      <c r="BD592" s="518"/>
      <c r="BE592" s="518"/>
    </row>
    <row r="593" spans="1:57" ht="12.75" customHeight="1">
      <c r="A593" s="518"/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8"/>
      <c r="AQ593" s="518"/>
      <c r="AR593" s="518"/>
      <c r="AS593" s="518"/>
      <c r="AT593" s="518"/>
      <c r="AU593" s="518"/>
      <c r="AV593" s="518"/>
      <c r="AW593" s="518"/>
      <c r="AX593" s="518"/>
      <c r="AY593" s="518"/>
      <c r="AZ593" s="518"/>
      <c r="BA593" s="518"/>
      <c r="BB593" s="518"/>
      <c r="BC593" s="518"/>
      <c r="BD593" s="518"/>
      <c r="BE593" s="518"/>
    </row>
    <row r="594" spans="1:57" ht="12.75" customHeight="1">
      <c r="A594" s="518"/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8"/>
      <c r="AQ594" s="518"/>
      <c r="AR594" s="518"/>
      <c r="AS594" s="518"/>
      <c r="AT594" s="518"/>
      <c r="AU594" s="518"/>
      <c r="AV594" s="518"/>
      <c r="AW594" s="518"/>
      <c r="AX594" s="518"/>
      <c r="AY594" s="518"/>
      <c r="AZ594" s="518"/>
      <c r="BA594" s="518"/>
      <c r="BB594" s="518"/>
      <c r="BC594" s="518"/>
      <c r="BD594" s="518"/>
      <c r="BE594" s="518"/>
    </row>
    <row r="595" spans="1:57" ht="12.75" customHeight="1">
      <c r="A595" s="518"/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8"/>
      <c r="AQ595" s="518"/>
      <c r="AR595" s="518"/>
      <c r="AS595" s="518"/>
      <c r="AT595" s="518"/>
      <c r="AU595" s="518"/>
      <c r="AV595" s="518"/>
      <c r="AW595" s="518"/>
      <c r="AX595" s="518"/>
      <c r="AY595" s="518"/>
      <c r="AZ595" s="518"/>
      <c r="BA595" s="518"/>
      <c r="BB595" s="518"/>
      <c r="BC595" s="518"/>
      <c r="BD595" s="518"/>
      <c r="BE595" s="518"/>
    </row>
    <row r="596" spans="1:57" ht="12.75" customHeight="1">
      <c r="A596" s="518"/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8"/>
      <c r="AQ596" s="518"/>
      <c r="AR596" s="518"/>
      <c r="AS596" s="518"/>
      <c r="AT596" s="518"/>
      <c r="AU596" s="518"/>
      <c r="AV596" s="518"/>
      <c r="AW596" s="518"/>
      <c r="AX596" s="518"/>
      <c r="AY596" s="518"/>
      <c r="AZ596" s="518"/>
      <c r="BA596" s="518"/>
      <c r="BB596" s="518"/>
      <c r="BC596" s="518"/>
      <c r="BD596" s="518"/>
      <c r="BE596" s="518"/>
    </row>
    <row r="597" spans="1:57" ht="12.75" customHeight="1">
      <c r="A597" s="518"/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8"/>
      <c r="AQ597" s="518"/>
      <c r="AR597" s="518"/>
      <c r="AS597" s="518"/>
      <c r="AT597" s="518"/>
      <c r="AU597" s="518"/>
      <c r="AV597" s="518"/>
      <c r="AW597" s="518"/>
      <c r="AX597" s="518"/>
      <c r="AY597" s="518"/>
      <c r="AZ597" s="518"/>
      <c r="BA597" s="518"/>
      <c r="BB597" s="518"/>
      <c r="BC597" s="518"/>
      <c r="BD597" s="518"/>
      <c r="BE597" s="518"/>
    </row>
    <row r="598" spans="1:57" ht="12.75" customHeight="1">
      <c r="A598" s="518"/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8"/>
      <c r="AQ598" s="518"/>
      <c r="AR598" s="518"/>
      <c r="AS598" s="518"/>
      <c r="AT598" s="518"/>
      <c r="AU598" s="518"/>
      <c r="AV598" s="518"/>
      <c r="AW598" s="518"/>
      <c r="AX598" s="518"/>
      <c r="AY598" s="518"/>
      <c r="AZ598" s="518"/>
      <c r="BA598" s="518"/>
      <c r="BB598" s="518"/>
      <c r="BC598" s="518"/>
      <c r="BD598" s="518"/>
      <c r="BE598" s="518"/>
    </row>
    <row r="599" spans="1:57" ht="12.75" customHeight="1">
      <c r="A599" s="518"/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8"/>
      <c r="AQ599" s="518"/>
      <c r="AR599" s="518"/>
      <c r="AS599" s="518"/>
      <c r="AT599" s="518"/>
      <c r="AU599" s="518"/>
      <c r="AV599" s="518"/>
      <c r="AW599" s="518"/>
      <c r="AX599" s="518"/>
      <c r="AY599" s="518"/>
      <c r="AZ599" s="518"/>
      <c r="BA599" s="518"/>
      <c r="BB599" s="518"/>
      <c r="BC599" s="518"/>
      <c r="BD599" s="518"/>
      <c r="BE599" s="518"/>
    </row>
    <row r="600" spans="1:57" ht="12.75" customHeight="1">
      <c r="A600" s="518"/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8"/>
      <c r="AQ600" s="518"/>
      <c r="AR600" s="518"/>
      <c r="AS600" s="518"/>
      <c r="AT600" s="518"/>
      <c r="AU600" s="518"/>
      <c r="AV600" s="518"/>
      <c r="AW600" s="518"/>
      <c r="AX600" s="518"/>
      <c r="AY600" s="518"/>
      <c r="AZ600" s="518"/>
      <c r="BA600" s="518"/>
      <c r="BB600" s="518"/>
      <c r="BC600" s="518"/>
      <c r="BD600" s="518"/>
      <c r="BE600" s="518"/>
    </row>
    <row r="601" spans="1:57" ht="12.75" customHeight="1">
      <c r="A601" s="518"/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8"/>
      <c r="AQ601" s="518"/>
      <c r="AR601" s="518"/>
      <c r="AS601" s="518"/>
      <c r="AT601" s="518"/>
      <c r="AU601" s="518"/>
      <c r="AV601" s="518"/>
      <c r="AW601" s="518"/>
      <c r="AX601" s="518"/>
      <c r="AY601" s="518"/>
      <c r="AZ601" s="518"/>
      <c r="BA601" s="518"/>
      <c r="BB601" s="518"/>
      <c r="BC601" s="518"/>
      <c r="BD601" s="518"/>
      <c r="BE601" s="518"/>
    </row>
    <row r="602" spans="1:57" ht="12.75" customHeight="1">
      <c r="A602" s="518"/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8"/>
      <c r="AQ602" s="518"/>
      <c r="AR602" s="518"/>
      <c r="AS602" s="518"/>
      <c r="AT602" s="518"/>
      <c r="AU602" s="518"/>
      <c r="AV602" s="518"/>
      <c r="AW602" s="518"/>
      <c r="AX602" s="518"/>
      <c r="AY602" s="518"/>
      <c r="AZ602" s="518"/>
      <c r="BA602" s="518"/>
      <c r="BB602" s="518"/>
      <c r="BC602" s="518"/>
      <c r="BD602" s="518"/>
      <c r="BE602" s="518"/>
    </row>
    <row r="603" spans="1:57" ht="12.75" customHeight="1">
      <c r="A603" s="518"/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8"/>
      <c r="AQ603" s="518"/>
      <c r="AR603" s="518"/>
      <c r="AS603" s="518"/>
      <c r="AT603" s="518"/>
      <c r="AU603" s="518"/>
      <c r="AV603" s="518"/>
      <c r="AW603" s="518"/>
      <c r="AX603" s="518"/>
      <c r="AY603" s="518"/>
      <c r="AZ603" s="518"/>
      <c r="BA603" s="518"/>
      <c r="BB603" s="518"/>
      <c r="BC603" s="518"/>
      <c r="BD603" s="518"/>
      <c r="BE603" s="518"/>
    </row>
    <row r="604" spans="1:57" ht="12.75" customHeight="1">
      <c r="A604" s="518"/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8"/>
      <c r="AQ604" s="518"/>
      <c r="AR604" s="518"/>
      <c r="AS604" s="518"/>
      <c r="AT604" s="518"/>
      <c r="AU604" s="518"/>
      <c r="AV604" s="518"/>
      <c r="AW604" s="518"/>
      <c r="AX604" s="518"/>
      <c r="AY604" s="518"/>
      <c r="AZ604" s="518"/>
      <c r="BA604" s="518"/>
      <c r="BB604" s="518"/>
      <c r="BC604" s="518"/>
      <c r="BD604" s="518"/>
      <c r="BE604" s="518"/>
    </row>
    <row r="605" spans="1:57" ht="12.75" customHeight="1">
      <c r="A605" s="518"/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8"/>
      <c r="AQ605" s="518"/>
      <c r="AR605" s="518"/>
      <c r="AS605" s="518"/>
      <c r="AT605" s="518"/>
      <c r="AU605" s="518"/>
      <c r="AV605" s="518"/>
      <c r="AW605" s="518"/>
      <c r="AX605" s="518"/>
      <c r="AY605" s="518"/>
      <c r="AZ605" s="518"/>
      <c r="BA605" s="518"/>
      <c r="BB605" s="518"/>
      <c r="BC605" s="518"/>
      <c r="BD605" s="518"/>
      <c r="BE605" s="518"/>
    </row>
    <row r="606" spans="1:57" ht="12.75" customHeight="1">
      <c r="A606" s="518"/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8"/>
      <c r="AQ606" s="518"/>
      <c r="AR606" s="518"/>
      <c r="AS606" s="518"/>
      <c r="AT606" s="518"/>
      <c r="AU606" s="518"/>
      <c r="AV606" s="518"/>
      <c r="AW606" s="518"/>
      <c r="AX606" s="518"/>
      <c r="AY606" s="518"/>
      <c r="AZ606" s="518"/>
      <c r="BA606" s="518"/>
      <c r="BB606" s="518"/>
      <c r="BC606" s="518"/>
      <c r="BD606" s="518"/>
      <c r="BE606" s="518"/>
    </row>
    <row r="607" spans="1:57" ht="12.75" customHeight="1">
      <c r="A607" s="518"/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8"/>
      <c r="AQ607" s="518"/>
      <c r="AR607" s="518"/>
      <c r="AS607" s="518"/>
      <c r="AT607" s="518"/>
      <c r="AU607" s="518"/>
      <c r="AV607" s="518"/>
      <c r="AW607" s="518"/>
      <c r="AX607" s="518"/>
      <c r="AY607" s="518"/>
      <c r="AZ607" s="518"/>
      <c r="BA607" s="518"/>
      <c r="BB607" s="518"/>
      <c r="BC607" s="518"/>
      <c r="BD607" s="518"/>
      <c r="BE607" s="518"/>
    </row>
    <row r="608" spans="1:57" ht="12.75" customHeight="1">
      <c r="A608" s="518"/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8"/>
      <c r="AQ608" s="518"/>
      <c r="AR608" s="518"/>
      <c r="AS608" s="518"/>
      <c r="AT608" s="518"/>
      <c r="AU608" s="518"/>
      <c r="AV608" s="518"/>
      <c r="AW608" s="518"/>
      <c r="AX608" s="518"/>
      <c r="AY608" s="518"/>
      <c r="AZ608" s="518"/>
      <c r="BA608" s="518"/>
      <c r="BB608" s="518"/>
      <c r="BC608" s="518"/>
      <c r="BD608" s="518"/>
      <c r="BE608" s="518"/>
    </row>
    <row r="609" spans="1:57" ht="12.75" customHeight="1">
      <c r="A609" s="518"/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8"/>
      <c r="AQ609" s="518"/>
      <c r="AR609" s="518"/>
      <c r="AS609" s="518"/>
      <c r="AT609" s="518"/>
      <c r="AU609" s="518"/>
      <c r="AV609" s="518"/>
      <c r="AW609" s="518"/>
      <c r="AX609" s="518"/>
      <c r="AY609" s="518"/>
      <c r="AZ609" s="518"/>
      <c r="BA609" s="518"/>
      <c r="BB609" s="518"/>
      <c r="BC609" s="518"/>
      <c r="BD609" s="518"/>
      <c r="BE609" s="518"/>
    </row>
    <row r="610" spans="1:57" ht="12.75" customHeight="1">
      <c r="A610" s="518"/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8"/>
      <c r="AQ610" s="518"/>
      <c r="AR610" s="518"/>
      <c r="AS610" s="518"/>
      <c r="AT610" s="518"/>
      <c r="AU610" s="518"/>
      <c r="AV610" s="518"/>
      <c r="AW610" s="518"/>
      <c r="AX610" s="518"/>
      <c r="AY610" s="518"/>
      <c r="AZ610" s="518"/>
      <c r="BA610" s="518"/>
      <c r="BB610" s="518"/>
      <c r="BC610" s="518"/>
      <c r="BD610" s="518"/>
      <c r="BE610" s="518"/>
    </row>
    <row r="611" spans="1:57" ht="12.75" customHeight="1">
      <c r="A611" s="518"/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8"/>
      <c r="AQ611" s="518"/>
      <c r="AR611" s="518"/>
      <c r="AS611" s="518"/>
      <c r="AT611" s="518"/>
      <c r="AU611" s="518"/>
      <c r="AV611" s="518"/>
      <c r="AW611" s="518"/>
      <c r="AX611" s="518"/>
      <c r="AY611" s="518"/>
      <c r="AZ611" s="518"/>
      <c r="BA611" s="518"/>
      <c r="BB611" s="518"/>
      <c r="BC611" s="518"/>
      <c r="BD611" s="518"/>
      <c r="BE611" s="518"/>
    </row>
    <row r="612" spans="1:57" ht="12.75" customHeight="1">
      <c r="A612" s="518"/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8"/>
      <c r="AQ612" s="518"/>
      <c r="AR612" s="518"/>
      <c r="AS612" s="518"/>
      <c r="AT612" s="518"/>
      <c r="AU612" s="518"/>
      <c r="AV612" s="518"/>
      <c r="AW612" s="518"/>
      <c r="AX612" s="518"/>
      <c r="AY612" s="518"/>
      <c r="AZ612" s="518"/>
      <c r="BA612" s="518"/>
      <c r="BB612" s="518"/>
      <c r="BC612" s="518"/>
      <c r="BD612" s="518"/>
      <c r="BE612" s="518"/>
    </row>
    <row r="613" spans="1:57" ht="12.75" customHeight="1">
      <c r="A613" s="518"/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8"/>
      <c r="AQ613" s="518"/>
      <c r="AR613" s="518"/>
      <c r="AS613" s="518"/>
      <c r="AT613" s="518"/>
      <c r="AU613" s="518"/>
      <c r="AV613" s="518"/>
      <c r="AW613" s="518"/>
      <c r="AX613" s="518"/>
      <c r="AY613" s="518"/>
      <c r="AZ613" s="518"/>
      <c r="BA613" s="518"/>
      <c r="BB613" s="518"/>
      <c r="BC613" s="518"/>
      <c r="BD613" s="518"/>
      <c r="BE613" s="518"/>
    </row>
    <row r="614" spans="1:57" ht="12.75" customHeight="1">
      <c r="A614" s="518"/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8"/>
      <c r="AQ614" s="518"/>
      <c r="AR614" s="518"/>
      <c r="AS614" s="518"/>
      <c r="AT614" s="518"/>
      <c r="AU614" s="518"/>
      <c r="AV614" s="518"/>
      <c r="AW614" s="518"/>
      <c r="AX614" s="518"/>
      <c r="AY614" s="518"/>
      <c r="AZ614" s="518"/>
      <c r="BA614" s="518"/>
      <c r="BB614" s="518"/>
      <c r="BC614" s="518"/>
      <c r="BD614" s="518"/>
      <c r="BE614" s="518"/>
    </row>
    <row r="615" spans="1:57" ht="12.75" customHeight="1">
      <c r="A615" s="518"/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8"/>
      <c r="AQ615" s="518"/>
      <c r="AR615" s="518"/>
      <c r="AS615" s="518"/>
      <c r="AT615" s="518"/>
      <c r="AU615" s="518"/>
      <c r="AV615" s="518"/>
      <c r="AW615" s="518"/>
      <c r="AX615" s="518"/>
      <c r="AY615" s="518"/>
      <c r="AZ615" s="518"/>
      <c r="BA615" s="518"/>
      <c r="BB615" s="518"/>
      <c r="BC615" s="518"/>
      <c r="BD615" s="518"/>
      <c r="BE615" s="518"/>
    </row>
    <row r="616" spans="1:57" ht="12.75" customHeight="1">
      <c r="A616" s="518"/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8"/>
      <c r="AQ616" s="518"/>
      <c r="AR616" s="518"/>
      <c r="AS616" s="518"/>
      <c r="AT616" s="518"/>
      <c r="AU616" s="518"/>
      <c r="AV616" s="518"/>
      <c r="AW616" s="518"/>
      <c r="AX616" s="518"/>
      <c r="AY616" s="518"/>
      <c r="AZ616" s="518"/>
      <c r="BA616" s="518"/>
      <c r="BB616" s="518"/>
      <c r="BC616" s="518"/>
      <c r="BD616" s="518"/>
      <c r="BE616" s="518"/>
    </row>
    <row r="617" spans="1:57" ht="12.75" customHeight="1">
      <c r="A617" s="518"/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8"/>
      <c r="AQ617" s="518"/>
      <c r="AR617" s="518"/>
      <c r="AS617" s="518"/>
      <c r="AT617" s="518"/>
      <c r="AU617" s="518"/>
      <c r="AV617" s="518"/>
      <c r="AW617" s="518"/>
      <c r="AX617" s="518"/>
      <c r="AY617" s="518"/>
      <c r="AZ617" s="518"/>
      <c r="BA617" s="518"/>
      <c r="BB617" s="518"/>
      <c r="BC617" s="518"/>
      <c r="BD617" s="518"/>
      <c r="BE617" s="518"/>
    </row>
    <row r="618" spans="1:57" ht="12.75" customHeight="1">
      <c r="A618" s="518"/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8"/>
      <c r="AQ618" s="518"/>
      <c r="AR618" s="518"/>
      <c r="AS618" s="518"/>
      <c r="AT618" s="518"/>
      <c r="AU618" s="518"/>
      <c r="AV618" s="518"/>
      <c r="AW618" s="518"/>
      <c r="AX618" s="518"/>
      <c r="AY618" s="518"/>
      <c r="AZ618" s="518"/>
      <c r="BA618" s="518"/>
      <c r="BB618" s="518"/>
      <c r="BC618" s="518"/>
      <c r="BD618" s="518"/>
      <c r="BE618" s="518"/>
    </row>
    <row r="619" spans="1:57" ht="12.75" customHeight="1">
      <c r="A619" s="518"/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8"/>
      <c r="AQ619" s="518"/>
      <c r="AR619" s="518"/>
      <c r="AS619" s="518"/>
      <c r="AT619" s="518"/>
      <c r="AU619" s="518"/>
      <c r="AV619" s="518"/>
      <c r="AW619" s="518"/>
      <c r="AX619" s="518"/>
      <c r="AY619" s="518"/>
      <c r="AZ619" s="518"/>
      <c r="BA619" s="518"/>
      <c r="BB619" s="518"/>
      <c r="BC619" s="518"/>
      <c r="BD619" s="518"/>
      <c r="BE619" s="518"/>
    </row>
    <row r="620" spans="1:57" ht="12.75" customHeight="1">
      <c r="A620" s="518"/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8"/>
      <c r="AQ620" s="518"/>
      <c r="AR620" s="518"/>
      <c r="AS620" s="518"/>
      <c r="AT620" s="518"/>
      <c r="AU620" s="518"/>
      <c r="AV620" s="518"/>
      <c r="AW620" s="518"/>
      <c r="AX620" s="518"/>
      <c r="AY620" s="518"/>
      <c r="AZ620" s="518"/>
      <c r="BA620" s="518"/>
      <c r="BB620" s="518"/>
      <c r="BC620" s="518"/>
      <c r="BD620" s="518"/>
      <c r="BE620" s="518"/>
    </row>
    <row r="621" spans="1:57" ht="12.75" customHeight="1">
      <c r="A621" s="518"/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8"/>
      <c r="AQ621" s="518"/>
      <c r="AR621" s="518"/>
      <c r="AS621" s="518"/>
      <c r="AT621" s="518"/>
      <c r="AU621" s="518"/>
      <c r="AV621" s="518"/>
      <c r="AW621" s="518"/>
      <c r="AX621" s="518"/>
      <c r="AY621" s="518"/>
      <c r="AZ621" s="518"/>
      <c r="BA621" s="518"/>
      <c r="BB621" s="518"/>
      <c r="BC621" s="518"/>
      <c r="BD621" s="518"/>
      <c r="BE621" s="518"/>
    </row>
    <row r="622" spans="1:57" ht="12.75" customHeight="1">
      <c r="A622" s="518"/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8"/>
      <c r="AQ622" s="518"/>
      <c r="AR622" s="518"/>
      <c r="AS622" s="518"/>
      <c r="AT622" s="518"/>
      <c r="AU622" s="518"/>
      <c r="AV622" s="518"/>
      <c r="AW622" s="518"/>
      <c r="AX622" s="518"/>
      <c r="AY622" s="518"/>
      <c r="AZ622" s="518"/>
      <c r="BA622" s="518"/>
      <c r="BB622" s="518"/>
      <c r="BC622" s="518"/>
      <c r="BD622" s="518"/>
      <c r="BE622" s="518"/>
    </row>
    <row r="623" spans="1:57" ht="12.75" customHeight="1">
      <c r="A623" s="518"/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8"/>
      <c r="AQ623" s="518"/>
      <c r="AR623" s="518"/>
      <c r="AS623" s="518"/>
      <c r="AT623" s="518"/>
      <c r="AU623" s="518"/>
      <c r="AV623" s="518"/>
      <c r="AW623" s="518"/>
      <c r="AX623" s="518"/>
      <c r="AY623" s="518"/>
      <c r="AZ623" s="518"/>
      <c r="BA623" s="518"/>
      <c r="BB623" s="518"/>
      <c r="BC623" s="518"/>
      <c r="BD623" s="518"/>
      <c r="BE623" s="518"/>
    </row>
    <row r="624" spans="1:57" ht="12.75" customHeight="1">
      <c r="A624" s="518"/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8"/>
      <c r="AQ624" s="518"/>
      <c r="AR624" s="518"/>
      <c r="AS624" s="518"/>
      <c r="AT624" s="518"/>
      <c r="AU624" s="518"/>
      <c r="AV624" s="518"/>
      <c r="AW624" s="518"/>
      <c r="AX624" s="518"/>
      <c r="AY624" s="518"/>
      <c r="AZ624" s="518"/>
      <c r="BA624" s="518"/>
      <c r="BB624" s="518"/>
      <c r="BC624" s="518"/>
      <c r="BD624" s="518"/>
      <c r="BE624" s="518"/>
    </row>
    <row r="625" spans="1:57" ht="12.75" customHeight="1">
      <c r="A625" s="518"/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8"/>
      <c r="AQ625" s="518"/>
      <c r="AR625" s="518"/>
      <c r="AS625" s="518"/>
      <c r="AT625" s="518"/>
      <c r="AU625" s="518"/>
      <c r="AV625" s="518"/>
      <c r="AW625" s="518"/>
      <c r="AX625" s="518"/>
      <c r="AY625" s="518"/>
      <c r="AZ625" s="518"/>
      <c r="BA625" s="518"/>
      <c r="BB625" s="518"/>
      <c r="BC625" s="518"/>
      <c r="BD625" s="518"/>
      <c r="BE625" s="518"/>
    </row>
    <row r="626" spans="1:57" ht="12.75" customHeight="1">
      <c r="A626" s="518"/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8"/>
      <c r="AQ626" s="518"/>
      <c r="AR626" s="518"/>
      <c r="AS626" s="518"/>
      <c r="AT626" s="518"/>
      <c r="AU626" s="518"/>
      <c r="AV626" s="518"/>
      <c r="AW626" s="518"/>
      <c r="AX626" s="518"/>
      <c r="AY626" s="518"/>
      <c r="AZ626" s="518"/>
      <c r="BA626" s="518"/>
      <c r="BB626" s="518"/>
      <c r="BC626" s="518"/>
      <c r="BD626" s="518"/>
      <c r="BE626" s="518"/>
    </row>
    <row r="627" spans="1:57" ht="12.75" customHeight="1">
      <c r="A627" s="518"/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8"/>
      <c r="AQ627" s="518"/>
      <c r="AR627" s="518"/>
      <c r="AS627" s="518"/>
      <c r="AT627" s="518"/>
      <c r="AU627" s="518"/>
      <c r="AV627" s="518"/>
      <c r="AW627" s="518"/>
      <c r="AX627" s="518"/>
      <c r="AY627" s="518"/>
      <c r="AZ627" s="518"/>
      <c r="BA627" s="518"/>
      <c r="BB627" s="518"/>
      <c r="BC627" s="518"/>
      <c r="BD627" s="518"/>
      <c r="BE627" s="518"/>
    </row>
    <row r="628" spans="1:57" ht="12.75" customHeight="1">
      <c r="A628" s="518"/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8"/>
      <c r="AQ628" s="518"/>
      <c r="AR628" s="518"/>
      <c r="AS628" s="518"/>
      <c r="AT628" s="518"/>
      <c r="AU628" s="518"/>
      <c r="AV628" s="518"/>
      <c r="AW628" s="518"/>
      <c r="AX628" s="518"/>
      <c r="AY628" s="518"/>
      <c r="AZ628" s="518"/>
      <c r="BA628" s="518"/>
      <c r="BB628" s="518"/>
      <c r="BC628" s="518"/>
      <c r="BD628" s="518"/>
      <c r="BE628" s="518"/>
    </row>
    <row r="629" spans="1:57" ht="12.75" customHeight="1">
      <c r="A629" s="518"/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8"/>
      <c r="AQ629" s="518"/>
      <c r="AR629" s="518"/>
      <c r="AS629" s="518"/>
      <c r="AT629" s="518"/>
      <c r="AU629" s="518"/>
      <c r="AV629" s="518"/>
      <c r="AW629" s="518"/>
      <c r="AX629" s="518"/>
      <c r="AY629" s="518"/>
      <c r="AZ629" s="518"/>
      <c r="BA629" s="518"/>
      <c r="BB629" s="518"/>
      <c r="BC629" s="518"/>
      <c r="BD629" s="518"/>
      <c r="BE629" s="518"/>
    </row>
    <row r="630" spans="1:57" ht="12.75" customHeight="1">
      <c r="A630" s="518"/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8"/>
      <c r="AQ630" s="518"/>
      <c r="AR630" s="518"/>
      <c r="AS630" s="518"/>
      <c r="AT630" s="518"/>
      <c r="AU630" s="518"/>
      <c r="AV630" s="518"/>
      <c r="AW630" s="518"/>
      <c r="AX630" s="518"/>
      <c r="AY630" s="518"/>
      <c r="AZ630" s="518"/>
      <c r="BA630" s="518"/>
      <c r="BB630" s="518"/>
      <c r="BC630" s="518"/>
      <c r="BD630" s="518"/>
      <c r="BE630" s="518"/>
    </row>
    <row r="631" spans="1:57" ht="12.75" customHeight="1">
      <c r="A631" s="518"/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8"/>
      <c r="AQ631" s="518"/>
      <c r="AR631" s="518"/>
      <c r="AS631" s="518"/>
      <c r="AT631" s="518"/>
      <c r="AU631" s="518"/>
      <c r="AV631" s="518"/>
      <c r="AW631" s="518"/>
      <c r="AX631" s="518"/>
      <c r="AY631" s="518"/>
      <c r="AZ631" s="518"/>
      <c r="BA631" s="518"/>
      <c r="BB631" s="518"/>
      <c r="BC631" s="518"/>
      <c r="BD631" s="518"/>
      <c r="BE631" s="518"/>
    </row>
    <row r="632" spans="1:57" ht="12.75" customHeight="1">
      <c r="A632" s="518"/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8"/>
      <c r="AQ632" s="518"/>
      <c r="AR632" s="518"/>
      <c r="AS632" s="518"/>
      <c r="AT632" s="518"/>
      <c r="AU632" s="518"/>
      <c r="AV632" s="518"/>
      <c r="AW632" s="518"/>
      <c r="AX632" s="518"/>
      <c r="AY632" s="518"/>
      <c r="AZ632" s="518"/>
      <c r="BA632" s="518"/>
      <c r="BB632" s="518"/>
      <c r="BC632" s="518"/>
      <c r="BD632" s="518"/>
      <c r="BE632" s="518"/>
    </row>
    <row r="633" spans="1:57" ht="12.75" customHeight="1">
      <c r="A633" s="518"/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8"/>
      <c r="AQ633" s="518"/>
      <c r="AR633" s="518"/>
      <c r="AS633" s="518"/>
      <c r="AT633" s="518"/>
      <c r="AU633" s="518"/>
      <c r="AV633" s="518"/>
      <c r="AW633" s="518"/>
      <c r="AX633" s="518"/>
      <c r="AY633" s="518"/>
      <c r="AZ633" s="518"/>
      <c r="BA633" s="518"/>
      <c r="BB633" s="518"/>
      <c r="BC633" s="518"/>
      <c r="BD633" s="518"/>
      <c r="BE633" s="518"/>
    </row>
    <row r="634" spans="1:57" ht="12.75" customHeight="1">
      <c r="A634" s="518"/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8"/>
      <c r="AQ634" s="518"/>
      <c r="AR634" s="518"/>
      <c r="AS634" s="518"/>
      <c r="AT634" s="518"/>
      <c r="AU634" s="518"/>
      <c r="AV634" s="518"/>
      <c r="AW634" s="518"/>
      <c r="AX634" s="518"/>
      <c r="AY634" s="518"/>
      <c r="AZ634" s="518"/>
      <c r="BA634" s="518"/>
      <c r="BB634" s="518"/>
      <c r="BC634" s="518"/>
      <c r="BD634" s="518"/>
      <c r="BE634" s="518"/>
    </row>
    <row r="635" spans="1:57" ht="12.75" customHeight="1">
      <c r="A635" s="518"/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8"/>
      <c r="AQ635" s="518"/>
      <c r="AR635" s="518"/>
      <c r="AS635" s="518"/>
      <c r="AT635" s="518"/>
      <c r="AU635" s="518"/>
      <c r="AV635" s="518"/>
      <c r="AW635" s="518"/>
      <c r="AX635" s="518"/>
      <c r="AY635" s="518"/>
      <c r="AZ635" s="518"/>
      <c r="BA635" s="518"/>
      <c r="BB635" s="518"/>
      <c r="BC635" s="518"/>
      <c r="BD635" s="518"/>
      <c r="BE635" s="518"/>
    </row>
    <row r="636" spans="1:57" ht="12.75" customHeight="1">
      <c r="A636" s="518"/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8"/>
      <c r="AQ636" s="518"/>
      <c r="AR636" s="518"/>
      <c r="AS636" s="518"/>
      <c r="AT636" s="518"/>
      <c r="AU636" s="518"/>
      <c r="AV636" s="518"/>
      <c r="AW636" s="518"/>
      <c r="AX636" s="518"/>
      <c r="AY636" s="518"/>
      <c r="AZ636" s="518"/>
      <c r="BA636" s="518"/>
      <c r="BB636" s="518"/>
      <c r="BC636" s="518"/>
      <c r="BD636" s="518"/>
      <c r="BE636" s="518"/>
    </row>
    <row r="637" spans="1:57" ht="12.75" customHeight="1">
      <c r="A637" s="518"/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8"/>
      <c r="AQ637" s="518"/>
      <c r="AR637" s="518"/>
      <c r="AS637" s="518"/>
      <c r="AT637" s="518"/>
      <c r="AU637" s="518"/>
      <c r="AV637" s="518"/>
      <c r="AW637" s="518"/>
      <c r="AX637" s="518"/>
      <c r="AY637" s="518"/>
      <c r="AZ637" s="518"/>
      <c r="BA637" s="518"/>
      <c r="BB637" s="518"/>
      <c r="BC637" s="518"/>
      <c r="BD637" s="518"/>
      <c r="BE637" s="518"/>
    </row>
    <row r="638" spans="1:57" ht="12.75" customHeight="1">
      <c r="A638" s="518"/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8"/>
      <c r="AQ638" s="518"/>
      <c r="AR638" s="518"/>
      <c r="AS638" s="518"/>
      <c r="AT638" s="518"/>
      <c r="AU638" s="518"/>
      <c r="AV638" s="518"/>
      <c r="AW638" s="518"/>
      <c r="AX638" s="518"/>
      <c r="AY638" s="518"/>
      <c r="AZ638" s="518"/>
      <c r="BA638" s="518"/>
      <c r="BB638" s="518"/>
      <c r="BC638" s="518"/>
      <c r="BD638" s="518"/>
      <c r="BE638" s="518"/>
    </row>
    <row r="639" spans="1:57" ht="12.75" customHeight="1">
      <c r="A639" s="518"/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8"/>
      <c r="AQ639" s="518"/>
      <c r="AR639" s="518"/>
      <c r="AS639" s="518"/>
      <c r="AT639" s="518"/>
      <c r="AU639" s="518"/>
      <c r="AV639" s="518"/>
      <c r="AW639" s="518"/>
      <c r="AX639" s="518"/>
      <c r="AY639" s="518"/>
      <c r="AZ639" s="518"/>
      <c r="BA639" s="518"/>
      <c r="BB639" s="518"/>
      <c r="BC639" s="518"/>
      <c r="BD639" s="518"/>
      <c r="BE639" s="518"/>
    </row>
    <row r="640" spans="1:57" ht="12.75" customHeight="1">
      <c r="A640" s="518"/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8"/>
      <c r="AQ640" s="518"/>
      <c r="AR640" s="518"/>
      <c r="AS640" s="518"/>
      <c r="AT640" s="518"/>
      <c r="AU640" s="518"/>
      <c r="AV640" s="518"/>
      <c r="AW640" s="518"/>
      <c r="AX640" s="518"/>
      <c r="AY640" s="518"/>
      <c r="AZ640" s="518"/>
      <c r="BA640" s="518"/>
      <c r="BB640" s="518"/>
      <c r="BC640" s="518"/>
      <c r="BD640" s="518"/>
      <c r="BE640" s="518"/>
    </row>
    <row r="641" spans="1:57" ht="12.75" customHeight="1">
      <c r="A641" s="518"/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8"/>
      <c r="AQ641" s="518"/>
      <c r="AR641" s="518"/>
      <c r="AS641" s="518"/>
      <c r="AT641" s="518"/>
      <c r="AU641" s="518"/>
      <c r="AV641" s="518"/>
      <c r="AW641" s="518"/>
      <c r="AX641" s="518"/>
      <c r="AY641" s="518"/>
      <c r="AZ641" s="518"/>
      <c r="BA641" s="518"/>
      <c r="BB641" s="518"/>
      <c r="BC641" s="518"/>
      <c r="BD641" s="518"/>
      <c r="BE641" s="518"/>
    </row>
    <row r="642" spans="1:57" ht="12.75" customHeight="1">
      <c r="A642" s="518"/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8"/>
      <c r="AQ642" s="518"/>
      <c r="AR642" s="518"/>
      <c r="AS642" s="518"/>
      <c r="AT642" s="518"/>
      <c r="AU642" s="518"/>
      <c r="AV642" s="518"/>
      <c r="AW642" s="518"/>
      <c r="AX642" s="518"/>
      <c r="AY642" s="518"/>
      <c r="AZ642" s="518"/>
      <c r="BA642" s="518"/>
      <c r="BB642" s="518"/>
      <c r="BC642" s="518"/>
      <c r="BD642" s="518"/>
      <c r="BE642" s="518"/>
    </row>
    <row r="643" spans="1:57" ht="12.75" customHeight="1">
      <c r="A643" s="518"/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8"/>
      <c r="AQ643" s="518"/>
      <c r="AR643" s="518"/>
      <c r="AS643" s="518"/>
      <c r="AT643" s="518"/>
      <c r="AU643" s="518"/>
      <c r="AV643" s="518"/>
      <c r="AW643" s="518"/>
      <c r="AX643" s="518"/>
      <c r="AY643" s="518"/>
      <c r="AZ643" s="518"/>
      <c r="BA643" s="518"/>
      <c r="BB643" s="518"/>
      <c r="BC643" s="518"/>
      <c r="BD643" s="518"/>
      <c r="BE643" s="518"/>
    </row>
    <row r="644" spans="1:57" ht="12.75" customHeight="1">
      <c r="A644" s="518"/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8"/>
      <c r="AQ644" s="518"/>
      <c r="AR644" s="518"/>
      <c r="AS644" s="518"/>
      <c r="AT644" s="518"/>
      <c r="AU644" s="518"/>
      <c r="AV644" s="518"/>
      <c r="AW644" s="518"/>
      <c r="AX644" s="518"/>
      <c r="AY644" s="518"/>
      <c r="AZ644" s="518"/>
      <c r="BA644" s="518"/>
      <c r="BB644" s="518"/>
      <c r="BC644" s="518"/>
      <c r="BD644" s="518"/>
      <c r="BE644" s="518"/>
    </row>
    <row r="645" spans="1:57" ht="12.75" customHeight="1">
      <c r="A645" s="518"/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8"/>
      <c r="AQ645" s="518"/>
      <c r="AR645" s="518"/>
      <c r="AS645" s="518"/>
      <c r="AT645" s="518"/>
      <c r="AU645" s="518"/>
      <c r="AV645" s="518"/>
      <c r="AW645" s="518"/>
      <c r="AX645" s="518"/>
      <c r="AY645" s="518"/>
      <c r="AZ645" s="518"/>
      <c r="BA645" s="518"/>
      <c r="BB645" s="518"/>
      <c r="BC645" s="518"/>
      <c r="BD645" s="518"/>
      <c r="BE645" s="518"/>
    </row>
    <row r="646" spans="1:57" ht="12.75" customHeight="1">
      <c r="A646" s="518"/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8"/>
      <c r="AQ646" s="518"/>
      <c r="AR646" s="518"/>
      <c r="AS646" s="518"/>
      <c r="AT646" s="518"/>
      <c r="AU646" s="518"/>
      <c r="AV646" s="518"/>
      <c r="AW646" s="518"/>
      <c r="AX646" s="518"/>
      <c r="AY646" s="518"/>
      <c r="AZ646" s="518"/>
      <c r="BA646" s="518"/>
      <c r="BB646" s="518"/>
      <c r="BC646" s="518"/>
      <c r="BD646" s="518"/>
      <c r="BE646" s="518"/>
    </row>
    <row r="647" spans="1:57" ht="12.75" customHeight="1">
      <c r="A647" s="518"/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8"/>
      <c r="AQ647" s="518"/>
      <c r="AR647" s="518"/>
      <c r="AS647" s="518"/>
      <c r="AT647" s="518"/>
      <c r="AU647" s="518"/>
      <c r="AV647" s="518"/>
      <c r="AW647" s="518"/>
      <c r="AX647" s="518"/>
      <c r="AY647" s="518"/>
      <c r="AZ647" s="518"/>
      <c r="BA647" s="518"/>
      <c r="BB647" s="518"/>
      <c r="BC647" s="518"/>
      <c r="BD647" s="518"/>
      <c r="BE647" s="518"/>
    </row>
    <row r="648" spans="1:57" ht="12.75" customHeight="1">
      <c r="A648" s="518"/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8"/>
      <c r="AQ648" s="518"/>
      <c r="AR648" s="518"/>
      <c r="AS648" s="518"/>
      <c r="AT648" s="518"/>
      <c r="AU648" s="518"/>
      <c r="AV648" s="518"/>
      <c r="AW648" s="518"/>
      <c r="AX648" s="518"/>
      <c r="AY648" s="518"/>
      <c r="AZ648" s="518"/>
      <c r="BA648" s="518"/>
      <c r="BB648" s="518"/>
      <c r="BC648" s="518"/>
      <c r="BD648" s="518"/>
      <c r="BE648" s="518"/>
    </row>
    <row r="649" spans="1:57" ht="12.75" customHeight="1">
      <c r="A649" s="518"/>
      <c r="B649" s="518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8"/>
      <c r="AQ649" s="518"/>
      <c r="AR649" s="518"/>
      <c r="AS649" s="518"/>
      <c r="AT649" s="518"/>
      <c r="AU649" s="518"/>
      <c r="AV649" s="518"/>
      <c r="AW649" s="518"/>
      <c r="AX649" s="518"/>
      <c r="AY649" s="518"/>
      <c r="AZ649" s="518"/>
      <c r="BA649" s="518"/>
      <c r="BB649" s="518"/>
      <c r="BC649" s="518"/>
      <c r="BD649" s="518"/>
      <c r="BE649" s="518"/>
    </row>
    <row r="650" spans="1:57" ht="12.75" customHeight="1">
      <c r="A650" s="518"/>
      <c r="B650" s="518"/>
      <c r="C650" s="518"/>
      <c r="D650" s="518"/>
      <c r="E650" s="518"/>
      <c r="F650" s="518"/>
      <c r="G650" s="518"/>
      <c r="H650" s="518"/>
      <c r="I650" s="518"/>
      <c r="J650" s="518"/>
      <c r="K650" s="518"/>
      <c r="L650" s="518"/>
      <c r="M650" s="518"/>
      <c r="N650" s="518"/>
      <c r="O650" s="518"/>
      <c r="P650" s="518"/>
      <c r="Q650" s="518"/>
      <c r="R650" s="518"/>
      <c r="S650" s="518"/>
      <c r="T650" s="518"/>
      <c r="U650" s="518"/>
      <c r="V650" s="518"/>
      <c r="W650" s="518"/>
      <c r="X650" s="518"/>
      <c r="Y650" s="518"/>
      <c r="Z650" s="518"/>
      <c r="AA650" s="518"/>
      <c r="AB650" s="518"/>
      <c r="AC650" s="518"/>
      <c r="AD650" s="518"/>
      <c r="AE650" s="518"/>
      <c r="AF650" s="518"/>
      <c r="AG650" s="518"/>
      <c r="AH650" s="518"/>
      <c r="AI650" s="518"/>
      <c r="AJ650" s="518"/>
      <c r="AK650" s="518"/>
      <c r="AL650" s="518"/>
      <c r="AM650" s="518"/>
      <c r="AN650" s="518"/>
      <c r="AO650" s="518"/>
      <c r="AP650" s="518"/>
      <c r="AQ650" s="518"/>
      <c r="AR650" s="518"/>
      <c r="AS650" s="518"/>
      <c r="AT650" s="518"/>
      <c r="AU650" s="518"/>
      <c r="AV650" s="518"/>
      <c r="AW650" s="518"/>
      <c r="AX650" s="518"/>
      <c r="AY650" s="518"/>
      <c r="AZ650" s="518"/>
      <c r="BA650" s="518"/>
      <c r="BB650" s="518"/>
      <c r="BC650" s="518"/>
      <c r="BD650" s="518"/>
      <c r="BE650" s="518"/>
    </row>
    <row r="651" spans="1:57" ht="12.75" customHeight="1">
      <c r="A651" s="518"/>
      <c r="B651" s="518"/>
      <c r="C651" s="518"/>
      <c r="D651" s="518"/>
      <c r="E651" s="518"/>
      <c r="F651" s="518"/>
      <c r="G651" s="518"/>
      <c r="H651" s="518"/>
      <c r="I651" s="518"/>
      <c r="J651" s="518"/>
      <c r="K651" s="518"/>
      <c r="L651" s="518"/>
      <c r="M651" s="518"/>
      <c r="N651" s="518"/>
      <c r="O651" s="518"/>
      <c r="P651" s="518"/>
      <c r="Q651" s="518"/>
      <c r="R651" s="518"/>
      <c r="S651" s="518"/>
      <c r="T651" s="518"/>
      <c r="U651" s="518"/>
      <c r="V651" s="518"/>
      <c r="W651" s="518"/>
      <c r="X651" s="518"/>
      <c r="Y651" s="518"/>
      <c r="Z651" s="518"/>
      <c r="AA651" s="518"/>
      <c r="AB651" s="518"/>
      <c r="AC651" s="518"/>
      <c r="AD651" s="518"/>
      <c r="AE651" s="518"/>
      <c r="AF651" s="518"/>
      <c r="AG651" s="518"/>
      <c r="AH651" s="518"/>
      <c r="AI651" s="518"/>
      <c r="AJ651" s="518"/>
      <c r="AK651" s="518"/>
      <c r="AL651" s="518"/>
      <c r="AM651" s="518"/>
      <c r="AN651" s="518"/>
      <c r="AO651" s="518"/>
      <c r="AP651" s="518"/>
      <c r="AQ651" s="518"/>
      <c r="AR651" s="518"/>
      <c r="AS651" s="518"/>
      <c r="AT651" s="518"/>
      <c r="AU651" s="518"/>
      <c r="AV651" s="518"/>
      <c r="AW651" s="518"/>
      <c r="AX651" s="518"/>
      <c r="AY651" s="518"/>
      <c r="AZ651" s="518"/>
      <c r="BA651" s="518"/>
      <c r="BB651" s="518"/>
      <c r="BC651" s="518"/>
      <c r="BD651" s="518"/>
      <c r="BE651" s="518"/>
    </row>
    <row r="652" spans="1:57" ht="12.75" customHeight="1">
      <c r="A652" s="518"/>
      <c r="B652" s="518"/>
      <c r="C652" s="518"/>
      <c r="D652" s="518"/>
      <c r="E652" s="518"/>
      <c r="F652" s="518"/>
      <c r="G652" s="518"/>
      <c r="H652" s="518"/>
      <c r="I652" s="518"/>
      <c r="J652" s="518"/>
      <c r="K652" s="518"/>
      <c r="L652" s="518"/>
      <c r="M652" s="518"/>
      <c r="N652" s="518"/>
      <c r="O652" s="518"/>
      <c r="P652" s="518"/>
      <c r="Q652" s="518"/>
      <c r="R652" s="518"/>
      <c r="S652" s="518"/>
      <c r="T652" s="518"/>
      <c r="U652" s="518"/>
      <c r="V652" s="518"/>
      <c r="W652" s="518"/>
      <c r="X652" s="518"/>
      <c r="Y652" s="518"/>
      <c r="Z652" s="518"/>
      <c r="AA652" s="518"/>
      <c r="AB652" s="518"/>
      <c r="AC652" s="518"/>
      <c r="AD652" s="518"/>
      <c r="AE652" s="518"/>
      <c r="AF652" s="518"/>
      <c r="AG652" s="518"/>
      <c r="AH652" s="518"/>
      <c r="AI652" s="518"/>
      <c r="AJ652" s="518"/>
      <c r="AK652" s="518"/>
      <c r="AL652" s="518"/>
      <c r="AM652" s="518"/>
      <c r="AN652" s="518"/>
      <c r="AO652" s="518"/>
      <c r="AP652" s="518"/>
      <c r="AQ652" s="518"/>
      <c r="AR652" s="518"/>
      <c r="AS652" s="518"/>
      <c r="AT652" s="518"/>
      <c r="AU652" s="518"/>
      <c r="AV652" s="518"/>
      <c r="AW652" s="518"/>
      <c r="AX652" s="518"/>
      <c r="AY652" s="518"/>
      <c r="AZ652" s="518"/>
      <c r="BA652" s="518"/>
      <c r="BB652" s="518"/>
      <c r="BC652" s="518"/>
      <c r="BD652" s="518"/>
      <c r="BE652" s="518"/>
    </row>
    <row r="653" spans="1:57" ht="12.75" customHeight="1">
      <c r="A653" s="518"/>
      <c r="B653" s="518"/>
      <c r="C653" s="518"/>
      <c r="D653" s="518"/>
      <c r="E653" s="518"/>
      <c r="F653" s="518"/>
      <c r="G653" s="518"/>
      <c r="H653" s="518"/>
      <c r="I653" s="518"/>
      <c r="J653" s="518"/>
      <c r="K653" s="518"/>
      <c r="L653" s="518"/>
      <c r="M653" s="518"/>
      <c r="N653" s="518"/>
      <c r="O653" s="518"/>
      <c r="P653" s="518"/>
      <c r="Q653" s="518"/>
      <c r="R653" s="518"/>
      <c r="S653" s="518"/>
      <c r="T653" s="518"/>
      <c r="U653" s="518"/>
      <c r="V653" s="518"/>
      <c r="W653" s="518"/>
      <c r="X653" s="518"/>
      <c r="Y653" s="518"/>
      <c r="Z653" s="518"/>
      <c r="AA653" s="518"/>
      <c r="AB653" s="518"/>
      <c r="AC653" s="518"/>
      <c r="AD653" s="518"/>
      <c r="AE653" s="518"/>
      <c r="AF653" s="518"/>
      <c r="AG653" s="518"/>
      <c r="AH653" s="518"/>
      <c r="AI653" s="518"/>
      <c r="AJ653" s="518"/>
      <c r="AK653" s="518"/>
      <c r="AL653" s="518"/>
      <c r="AM653" s="518"/>
      <c r="AN653" s="518"/>
      <c r="AO653" s="518"/>
      <c r="AP653" s="518"/>
      <c r="AQ653" s="518"/>
      <c r="AR653" s="518"/>
      <c r="AS653" s="518"/>
      <c r="AT653" s="518"/>
      <c r="AU653" s="518"/>
      <c r="AV653" s="518"/>
      <c r="AW653" s="518"/>
      <c r="AX653" s="518"/>
      <c r="AY653" s="518"/>
      <c r="AZ653" s="518"/>
      <c r="BA653" s="518"/>
      <c r="BB653" s="518"/>
      <c r="BC653" s="518"/>
      <c r="BD653" s="518"/>
      <c r="BE653" s="518"/>
    </row>
    <row r="654" spans="1:57" ht="12.75" customHeight="1">
      <c r="A654" s="518"/>
      <c r="B654" s="518"/>
      <c r="C654" s="518"/>
      <c r="D654" s="518"/>
      <c r="E654" s="518"/>
      <c r="F654" s="518"/>
      <c r="G654" s="518"/>
      <c r="H654" s="518"/>
      <c r="I654" s="518"/>
      <c r="J654" s="518"/>
      <c r="K654" s="518"/>
      <c r="L654" s="518"/>
      <c r="M654" s="518"/>
      <c r="N654" s="518"/>
      <c r="O654" s="518"/>
      <c r="P654" s="518"/>
      <c r="Q654" s="518"/>
      <c r="R654" s="518"/>
      <c r="S654" s="518"/>
      <c r="T654" s="518"/>
      <c r="U654" s="518"/>
      <c r="V654" s="518"/>
      <c r="W654" s="518"/>
      <c r="X654" s="518"/>
      <c r="Y654" s="518"/>
      <c r="Z654" s="518"/>
      <c r="AA654" s="518"/>
      <c r="AB654" s="518"/>
      <c r="AC654" s="518"/>
      <c r="AD654" s="518"/>
      <c r="AE654" s="518"/>
      <c r="AF654" s="518"/>
      <c r="AG654" s="518"/>
      <c r="AH654" s="518"/>
      <c r="AI654" s="518"/>
      <c r="AJ654" s="518"/>
      <c r="AK654" s="518"/>
      <c r="AL654" s="518"/>
      <c r="AM654" s="518"/>
      <c r="AN654" s="518"/>
      <c r="AO654" s="518"/>
      <c r="AP654" s="518"/>
      <c r="AQ654" s="518"/>
      <c r="AR654" s="518"/>
      <c r="AS654" s="518"/>
      <c r="AT654" s="518"/>
      <c r="AU654" s="518"/>
      <c r="AV654" s="518"/>
      <c r="AW654" s="518"/>
      <c r="AX654" s="518"/>
      <c r="AY654" s="518"/>
      <c r="AZ654" s="518"/>
      <c r="BA654" s="518"/>
      <c r="BB654" s="518"/>
      <c r="BC654" s="518"/>
      <c r="BD654" s="518"/>
      <c r="BE654" s="518"/>
    </row>
    <row r="655" spans="1:57" ht="12.75" customHeight="1">
      <c r="A655" s="518"/>
      <c r="B655" s="518"/>
      <c r="C655" s="518"/>
      <c r="D655" s="518"/>
      <c r="E655" s="518"/>
      <c r="F655" s="518"/>
      <c r="G655" s="518"/>
      <c r="H655" s="518"/>
      <c r="I655" s="518"/>
      <c r="J655" s="518"/>
      <c r="K655" s="518"/>
      <c r="L655" s="518"/>
      <c r="M655" s="518"/>
      <c r="N655" s="518"/>
      <c r="O655" s="518"/>
      <c r="P655" s="518"/>
      <c r="Q655" s="518"/>
      <c r="R655" s="518"/>
      <c r="S655" s="518"/>
      <c r="T655" s="518"/>
      <c r="U655" s="518"/>
      <c r="V655" s="518"/>
      <c r="W655" s="518"/>
      <c r="X655" s="518"/>
      <c r="Y655" s="518"/>
      <c r="Z655" s="518"/>
      <c r="AA655" s="518"/>
      <c r="AB655" s="518"/>
      <c r="AC655" s="518"/>
      <c r="AD655" s="518"/>
      <c r="AE655" s="518"/>
      <c r="AF655" s="518"/>
      <c r="AG655" s="518"/>
      <c r="AH655" s="518"/>
      <c r="AI655" s="518"/>
      <c r="AJ655" s="518"/>
      <c r="AK655" s="518"/>
      <c r="AL655" s="518"/>
      <c r="AM655" s="518"/>
      <c r="AN655" s="518"/>
      <c r="AO655" s="518"/>
      <c r="AP655" s="518"/>
      <c r="AQ655" s="518"/>
      <c r="AR655" s="518"/>
      <c r="AS655" s="518"/>
      <c r="AT655" s="518"/>
      <c r="AU655" s="518"/>
      <c r="AV655" s="518"/>
      <c r="AW655" s="518"/>
      <c r="AX655" s="518"/>
      <c r="AY655" s="518"/>
      <c r="AZ655" s="518"/>
      <c r="BA655" s="518"/>
      <c r="BB655" s="518"/>
      <c r="BC655" s="518"/>
      <c r="BD655" s="518"/>
      <c r="BE655" s="518"/>
    </row>
    <row r="656" spans="1:57" ht="12.75" customHeight="1">
      <c r="A656" s="518"/>
      <c r="B656" s="518"/>
      <c r="C656" s="518"/>
      <c r="D656" s="518"/>
      <c r="E656" s="518"/>
      <c r="F656" s="518"/>
      <c r="G656" s="518"/>
      <c r="H656" s="518"/>
      <c r="I656" s="518"/>
      <c r="J656" s="518"/>
      <c r="K656" s="518"/>
      <c r="L656" s="518"/>
      <c r="M656" s="518"/>
      <c r="N656" s="518"/>
      <c r="O656" s="518"/>
      <c r="P656" s="518"/>
      <c r="Q656" s="518"/>
      <c r="R656" s="518"/>
      <c r="S656" s="518"/>
      <c r="T656" s="518"/>
      <c r="U656" s="518"/>
      <c r="V656" s="518"/>
      <c r="W656" s="518"/>
      <c r="X656" s="518"/>
      <c r="Y656" s="518"/>
      <c r="Z656" s="518"/>
      <c r="AA656" s="518"/>
      <c r="AB656" s="518"/>
      <c r="AC656" s="518"/>
      <c r="AD656" s="518"/>
      <c r="AE656" s="518"/>
      <c r="AF656" s="518"/>
      <c r="AG656" s="518"/>
      <c r="AH656" s="518"/>
      <c r="AI656" s="518"/>
      <c r="AJ656" s="518"/>
      <c r="AK656" s="518"/>
      <c r="AL656" s="518"/>
      <c r="AM656" s="518"/>
      <c r="AN656" s="518"/>
      <c r="AO656" s="518"/>
      <c r="AP656" s="518"/>
      <c r="AQ656" s="518"/>
      <c r="AR656" s="518"/>
      <c r="AS656" s="518"/>
      <c r="AT656" s="518"/>
      <c r="AU656" s="518"/>
      <c r="AV656" s="518"/>
      <c r="AW656" s="518"/>
      <c r="AX656" s="518"/>
      <c r="AY656" s="518"/>
      <c r="AZ656" s="518"/>
      <c r="BA656" s="518"/>
      <c r="BB656" s="518"/>
      <c r="BC656" s="518"/>
      <c r="BD656" s="518"/>
      <c r="BE656" s="518"/>
    </row>
    <row r="657" spans="1:57" ht="12.75" customHeight="1">
      <c r="A657" s="518"/>
      <c r="B657" s="518"/>
      <c r="C657" s="518"/>
      <c r="D657" s="518"/>
      <c r="E657" s="518"/>
      <c r="F657" s="518"/>
      <c r="G657" s="518"/>
      <c r="H657" s="518"/>
      <c r="I657" s="518"/>
      <c r="J657" s="518"/>
      <c r="K657" s="518"/>
      <c r="L657" s="518"/>
      <c r="M657" s="518"/>
      <c r="N657" s="518"/>
      <c r="O657" s="518"/>
      <c r="P657" s="518"/>
      <c r="Q657" s="518"/>
      <c r="R657" s="518"/>
      <c r="S657" s="518"/>
      <c r="T657" s="518"/>
      <c r="U657" s="518"/>
      <c r="V657" s="518"/>
      <c r="W657" s="518"/>
      <c r="X657" s="518"/>
      <c r="Y657" s="518"/>
      <c r="Z657" s="518"/>
      <c r="AA657" s="518"/>
      <c r="AB657" s="518"/>
      <c r="AC657" s="518"/>
      <c r="AD657" s="518"/>
      <c r="AE657" s="518"/>
      <c r="AF657" s="518"/>
      <c r="AG657" s="518"/>
      <c r="AH657" s="518"/>
      <c r="AI657" s="518"/>
      <c r="AJ657" s="518"/>
      <c r="AK657" s="518"/>
      <c r="AL657" s="518"/>
      <c r="AM657" s="518"/>
      <c r="AN657" s="518"/>
      <c r="AO657" s="518"/>
      <c r="AP657" s="518"/>
      <c r="AQ657" s="518"/>
      <c r="AR657" s="518"/>
      <c r="AS657" s="518"/>
      <c r="AT657" s="518"/>
      <c r="AU657" s="518"/>
      <c r="AV657" s="518"/>
      <c r="AW657" s="518"/>
      <c r="AX657" s="518"/>
      <c r="AY657" s="518"/>
      <c r="AZ657" s="518"/>
      <c r="BA657" s="518"/>
      <c r="BB657" s="518"/>
      <c r="BC657" s="518"/>
      <c r="BD657" s="518"/>
      <c r="BE657" s="518"/>
    </row>
    <row r="658" spans="1:57" ht="12.75" customHeight="1">
      <c r="A658" s="518"/>
      <c r="B658" s="518"/>
      <c r="C658" s="518"/>
      <c r="D658" s="518"/>
      <c r="E658" s="518"/>
      <c r="F658" s="518"/>
      <c r="G658" s="518"/>
      <c r="H658" s="518"/>
      <c r="I658" s="518"/>
      <c r="J658" s="518"/>
      <c r="K658" s="518"/>
      <c r="L658" s="518"/>
      <c r="M658" s="518"/>
      <c r="N658" s="518"/>
      <c r="O658" s="518"/>
      <c r="P658" s="518"/>
      <c r="Q658" s="518"/>
      <c r="R658" s="518"/>
      <c r="S658" s="518"/>
      <c r="T658" s="518"/>
      <c r="U658" s="518"/>
      <c r="V658" s="518"/>
      <c r="W658" s="518"/>
      <c r="X658" s="518"/>
      <c r="Y658" s="518"/>
      <c r="Z658" s="518"/>
      <c r="AA658" s="518"/>
      <c r="AB658" s="518"/>
      <c r="AC658" s="518"/>
      <c r="AD658" s="518"/>
      <c r="AE658" s="518"/>
      <c r="AF658" s="518"/>
      <c r="AG658" s="518"/>
      <c r="AH658" s="518"/>
      <c r="AI658" s="518"/>
      <c r="AJ658" s="518"/>
      <c r="AK658" s="518"/>
      <c r="AL658" s="518"/>
      <c r="AM658" s="518"/>
      <c r="AN658" s="518"/>
      <c r="AO658" s="518"/>
      <c r="AP658" s="518"/>
      <c r="AQ658" s="518"/>
      <c r="AR658" s="518"/>
      <c r="AS658" s="518"/>
      <c r="AT658" s="518"/>
      <c r="AU658" s="518"/>
      <c r="AV658" s="518"/>
      <c r="AW658" s="518"/>
      <c r="AX658" s="518"/>
      <c r="AY658" s="518"/>
      <c r="AZ658" s="518"/>
      <c r="BA658" s="518"/>
      <c r="BB658" s="518"/>
      <c r="BC658" s="518"/>
      <c r="BD658" s="518"/>
      <c r="BE658" s="518"/>
    </row>
    <row r="659" spans="1:57" ht="12.75" customHeight="1">
      <c r="A659" s="518"/>
      <c r="B659" s="518"/>
      <c r="C659" s="518"/>
      <c r="D659" s="518"/>
      <c r="E659" s="518"/>
      <c r="F659" s="518"/>
      <c r="G659" s="518"/>
      <c r="H659" s="518"/>
      <c r="I659" s="518"/>
      <c r="J659" s="518"/>
      <c r="K659" s="518"/>
      <c r="L659" s="518"/>
      <c r="M659" s="518"/>
      <c r="N659" s="518"/>
      <c r="O659" s="518"/>
      <c r="P659" s="518"/>
      <c r="Q659" s="518"/>
      <c r="R659" s="518"/>
      <c r="S659" s="518"/>
      <c r="T659" s="518"/>
      <c r="U659" s="518"/>
      <c r="V659" s="518"/>
      <c r="W659" s="518"/>
      <c r="X659" s="518"/>
      <c r="Y659" s="518"/>
      <c r="Z659" s="518"/>
      <c r="AA659" s="518"/>
      <c r="AB659" s="518"/>
      <c r="AC659" s="518"/>
      <c r="AD659" s="518"/>
      <c r="AE659" s="518"/>
      <c r="AF659" s="518"/>
      <c r="AG659" s="518"/>
      <c r="AH659" s="518"/>
      <c r="AI659" s="518"/>
      <c r="AJ659" s="518"/>
      <c r="AK659" s="518"/>
      <c r="AL659" s="518"/>
      <c r="AM659" s="518"/>
      <c r="AN659" s="518"/>
      <c r="AO659" s="518"/>
      <c r="AP659" s="518"/>
      <c r="AQ659" s="518"/>
      <c r="AR659" s="518"/>
      <c r="AS659" s="518"/>
      <c r="AT659" s="518"/>
      <c r="AU659" s="518"/>
      <c r="AV659" s="518"/>
      <c r="AW659" s="518"/>
      <c r="AX659" s="518"/>
      <c r="AY659" s="518"/>
      <c r="AZ659" s="518"/>
      <c r="BA659" s="518"/>
      <c r="BB659" s="518"/>
      <c r="BC659" s="518"/>
      <c r="BD659" s="518"/>
      <c r="BE659" s="518"/>
    </row>
    <row r="660" spans="1:57" ht="12.75" customHeight="1">
      <c r="A660" s="518"/>
      <c r="B660" s="518"/>
      <c r="C660" s="518"/>
      <c r="D660" s="518"/>
      <c r="E660" s="518"/>
      <c r="F660" s="518"/>
      <c r="G660" s="518"/>
      <c r="H660" s="518"/>
      <c r="I660" s="518"/>
      <c r="J660" s="518"/>
      <c r="K660" s="518"/>
      <c r="L660" s="518"/>
      <c r="M660" s="518"/>
      <c r="N660" s="518"/>
      <c r="O660" s="518"/>
      <c r="P660" s="518"/>
      <c r="Q660" s="518"/>
      <c r="R660" s="518"/>
      <c r="S660" s="518"/>
      <c r="T660" s="518"/>
      <c r="U660" s="518"/>
      <c r="V660" s="518"/>
      <c r="W660" s="518"/>
      <c r="X660" s="518"/>
      <c r="Y660" s="518"/>
      <c r="Z660" s="518"/>
      <c r="AA660" s="518"/>
      <c r="AB660" s="518"/>
      <c r="AC660" s="518"/>
      <c r="AD660" s="518"/>
      <c r="AE660" s="518"/>
      <c r="AF660" s="518"/>
      <c r="AG660" s="518"/>
      <c r="AH660" s="518"/>
      <c r="AI660" s="518"/>
      <c r="AJ660" s="518"/>
      <c r="AK660" s="518"/>
      <c r="AL660" s="518"/>
      <c r="AM660" s="518"/>
      <c r="AN660" s="518"/>
      <c r="AO660" s="518"/>
      <c r="AP660" s="518"/>
      <c r="AQ660" s="518"/>
      <c r="AR660" s="518"/>
      <c r="AS660" s="518"/>
      <c r="AT660" s="518"/>
      <c r="AU660" s="518"/>
      <c r="AV660" s="518"/>
      <c r="AW660" s="518"/>
      <c r="AX660" s="518"/>
      <c r="AY660" s="518"/>
      <c r="AZ660" s="518"/>
      <c r="BA660" s="518"/>
      <c r="BB660" s="518"/>
      <c r="BC660" s="518"/>
      <c r="BD660" s="518"/>
      <c r="BE660" s="518"/>
    </row>
    <row r="661" spans="1:57" ht="12.75" customHeight="1">
      <c r="A661" s="518"/>
      <c r="B661" s="518"/>
      <c r="C661" s="518"/>
      <c r="D661" s="518"/>
      <c r="E661" s="518"/>
      <c r="F661" s="518"/>
      <c r="G661" s="518"/>
      <c r="H661" s="518"/>
      <c r="I661" s="518"/>
      <c r="J661" s="518"/>
      <c r="K661" s="518"/>
      <c r="L661" s="518"/>
      <c r="M661" s="518"/>
      <c r="N661" s="518"/>
      <c r="O661" s="518"/>
      <c r="P661" s="518"/>
      <c r="Q661" s="518"/>
      <c r="R661" s="518"/>
      <c r="S661" s="518"/>
      <c r="T661" s="518"/>
      <c r="U661" s="518"/>
      <c r="V661" s="518"/>
      <c r="W661" s="518"/>
      <c r="X661" s="518"/>
      <c r="Y661" s="518"/>
      <c r="Z661" s="518"/>
      <c r="AA661" s="518"/>
      <c r="AB661" s="518"/>
      <c r="AC661" s="518"/>
      <c r="AD661" s="518"/>
      <c r="AE661" s="518"/>
      <c r="AF661" s="518"/>
      <c r="AG661" s="518"/>
      <c r="AH661" s="518"/>
      <c r="AI661" s="518"/>
      <c r="AJ661" s="518"/>
      <c r="AK661" s="518"/>
      <c r="AL661" s="518"/>
      <c r="AM661" s="518"/>
      <c r="AN661" s="518"/>
      <c r="AO661" s="518"/>
      <c r="AP661" s="518"/>
      <c r="AQ661" s="518"/>
      <c r="AR661" s="518"/>
      <c r="AS661" s="518"/>
      <c r="AT661" s="518"/>
      <c r="AU661" s="518"/>
      <c r="AV661" s="518"/>
      <c r="AW661" s="518"/>
      <c r="AX661" s="518"/>
      <c r="AY661" s="518"/>
      <c r="AZ661" s="518"/>
      <c r="BA661" s="518"/>
      <c r="BB661" s="518"/>
      <c r="BC661" s="518"/>
      <c r="BD661" s="518"/>
      <c r="BE661" s="518"/>
    </row>
    <row r="662" spans="1:57" ht="12.75" customHeight="1">
      <c r="A662" s="518"/>
      <c r="B662" s="518"/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  <c r="AB662" s="518"/>
      <c r="AC662" s="518"/>
      <c r="AD662" s="518"/>
      <c r="AE662" s="518"/>
      <c r="AF662" s="518"/>
      <c r="AG662" s="518"/>
      <c r="AH662" s="518"/>
      <c r="AI662" s="518"/>
      <c r="AJ662" s="518"/>
      <c r="AK662" s="518"/>
      <c r="AL662" s="518"/>
      <c r="AM662" s="518"/>
      <c r="AN662" s="518"/>
      <c r="AO662" s="518"/>
      <c r="AP662" s="518"/>
      <c r="AQ662" s="518"/>
      <c r="AR662" s="518"/>
      <c r="AS662" s="518"/>
      <c r="AT662" s="518"/>
      <c r="AU662" s="518"/>
      <c r="AV662" s="518"/>
      <c r="AW662" s="518"/>
      <c r="AX662" s="518"/>
      <c r="AY662" s="518"/>
      <c r="AZ662" s="518"/>
      <c r="BA662" s="518"/>
      <c r="BB662" s="518"/>
      <c r="BC662" s="518"/>
      <c r="BD662" s="518"/>
      <c r="BE662" s="518"/>
    </row>
    <row r="663" spans="1:57" ht="12.75" customHeight="1">
      <c r="A663" s="518"/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8"/>
      <c r="AQ663" s="518"/>
      <c r="AR663" s="518"/>
      <c r="AS663" s="518"/>
      <c r="AT663" s="518"/>
      <c r="AU663" s="518"/>
      <c r="AV663" s="518"/>
      <c r="AW663" s="518"/>
      <c r="AX663" s="518"/>
      <c r="AY663" s="518"/>
      <c r="AZ663" s="518"/>
      <c r="BA663" s="518"/>
      <c r="BB663" s="518"/>
      <c r="BC663" s="518"/>
      <c r="BD663" s="518"/>
      <c r="BE663" s="518"/>
    </row>
    <row r="664" spans="1:57" ht="12.75" customHeight="1">
      <c r="A664" s="518"/>
      <c r="B664" s="518"/>
      <c r="C664" s="518"/>
      <c r="D664" s="518"/>
      <c r="E664" s="518"/>
      <c r="F664" s="518"/>
      <c r="G664" s="518"/>
      <c r="H664" s="518"/>
      <c r="I664" s="518"/>
      <c r="J664" s="518"/>
      <c r="K664" s="518"/>
      <c r="L664" s="518"/>
      <c r="M664" s="518"/>
      <c r="N664" s="518"/>
      <c r="O664" s="518"/>
      <c r="P664" s="518"/>
      <c r="Q664" s="518"/>
      <c r="R664" s="518"/>
      <c r="S664" s="518"/>
      <c r="T664" s="518"/>
      <c r="U664" s="518"/>
      <c r="V664" s="518"/>
      <c r="W664" s="518"/>
      <c r="X664" s="518"/>
      <c r="Y664" s="518"/>
      <c r="Z664" s="518"/>
      <c r="AA664" s="518"/>
      <c r="AB664" s="518"/>
      <c r="AC664" s="518"/>
      <c r="AD664" s="518"/>
      <c r="AE664" s="518"/>
      <c r="AF664" s="518"/>
      <c r="AG664" s="518"/>
      <c r="AH664" s="518"/>
      <c r="AI664" s="518"/>
      <c r="AJ664" s="518"/>
      <c r="AK664" s="518"/>
      <c r="AL664" s="518"/>
      <c r="AM664" s="518"/>
      <c r="AN664" s="518"/>
      <c r="AO664" s="518"/>
      <c r="AP664" s="518"/>
      <c r="AQ664" s="518"/>
      <c r="AR664" s="518"/>
      <c r="AS664" s="518"/>
      <c r="AT664" s="518"/>
      <c r="AU664" s="518"/>
      <c r="AV664" s="518"/>
      <c r="AW664" s="518"/>
      <c r="AX664" s="518"/>
      <c r="AY664" s="518"/>
      <c r="AZ664" s="518"/>
      <c r="BA664" s="518"/>
      <c r="BB664" s="518"/>
      <c r="BC664" s="518"/>
      <c r="BD664" s="518"/>
      <c r="BE664" s="518"/>
    </row>
    <row r="665" spans="1:57" ht="12.75" customHeight="1">
      <c r="A665" s="518"/>
      <c r="B665" s="518"/>
      <c r="C665" s="518"/>
      <c r="D665" s="518"/>
      <c r="E665" s="518"/>
      <c r="F665" s="518"/>
      <c r="G665" s="518"/>
      <c r="H665" s="518"/>
      <c r="I665" s="518"/>
      <c r="J665" s="518"/>
      <c r="K665" s="518"/>
      <c r="L665" s="518"/>
      <c r="M665" s="518"/>
      <c r="N665" s="518"/>
      <c r="O665" s="518"/>
      <c r="P665" s="518"/>
      <c r="Q665" s="518"/>
      <c r="R665" s="518"/>
      <c r="S665" s="518"/>
      <c r="T665" s="518"/>
      <c r="U665" s="518"/>
      <c r="V665" s="518"/>
      <c r="W665" s="518"/>
      <c r="X665" s="518"/>
      <c r="Y665" s="518"/>
      <c r="Z665" s="518"/>
      <c r="AA665" s="518"/>
      <c r="AB665" s="518"/>
      <c r="AC665" s="518"/>
      <c r="AD665" s="518"/>
      <c r="AE665" s="518"/>
      <c r="AF665" s="518"/>
      <c r="AG665" s="518"/>
      <c r="AH665" s="518"/>
      <c r="AI665" s="518"/>
      <c r="AJ665" s="518"/>
      <c r="AK665" s="518"/>
      <c r="AL665" s="518"/>
      <c r="AM665" s="518"/>
      <c r="AN665" s="518"/>
      <c r="AO665" s="518"/>
      <c r="AP665" s="518"/>
      <c r="AQ665" s="518"/>
      <c r="AR665" s="518"/>
      <c r="AS665" s="518"/>
      <c r="AT665" s="518"/>
      <c r="AU665" s="518"/>
      <c r="AV665" s="518"/>
      <c r="AW665" s="518"/>
      <c r="AX665" s="518"/>
      <c r="AY665" s="518"/>
      <c r="AZ665" s="518"/>
      <c r="BA665" s="518"/>
      <c r="BB665" s="518"/>
      <c r="BC665" s="518"/>
      <c r="BD665" s="518"/>
      <c r="BE665" s="518"/>
    </row>
    <row r="666" spans="1:57" ht="12.75" customHeight="1">
      <c r="A666" s="518"/>
      <c r="B666" s="518"/>
      <c r="C666" s="518"/>
      <c r="D666" s="518"/>
      <c r="E666" s="518"/>
      <c r="F666" s="518"/>
      <c r="G666" s="518"/>
      <c r="H666" s="518"/>
      <c r="I666" s="518"/>
      <c r="J666" s="518"/>
      <c r="K666" s="518"/>
      <c r="L666" s="518"/>
      <c r="M666" s="518"/>
      <c r="N666" s="518"/>
      <c r="O666" s="518"/>
      <c r="P666" s="518"/>
      <c r="Q666" s="518"/>
      <c r="R666" s="518"/>
      <c r="S666" s="518"/>
      <c r="T666" s="518"/>
      <c r="U666" s="518"/>
      <c r="V666" s="518"/>
      <c r="W666" s="518"/>
      <c r="X666" s="518"/>
      <c r="Y666" s="518"/>
      <c r="Z666" s="518"/>
      <c r="AA666" s="518"/>
      <c r="AB666" s="518"/>
      <c r="AC666" s="518"/>
      <c r="AD666" s="518"/>
      <c r="AE666" s="518"/>
      <c r="AF666" s="518"/>
      <c r="AG666" s="518"/>
      <c r="AH666" s="518"/>
      <c r="AI666" s="518"/>
      <c r="AJ666" s="518"/>
      <c r="AK666" s="518"/>
      <c r="AL666" s="518"/>
      <c r="AM666" s="518"/>
      <c r="AN666" s="518"/>
      <c r="AO666" s="518"/>
      <c r="AP666" s="518"/>
      <c r="AQ666" s="518"/>
      <c r="AR666" s="518"/>
      <c r="AS666" s="518"/>
      <c r="AT666" s="518"/>
      <c r="AU666" s="518"/>
      <c r="AV666" s="518"/>
      <c r="AW666" s="518"/>
      <c r="AX666" s="518"/>
      <c r="AY666" s="518"/>
      <c r="AZ666" s="518"/>
      <c r="BA666" s="518"/>
      <c r="BB666" s="518"/>
      <c r="BC666" s="518"/>
      <c r="BD666" s="518"/>
      <c r="BE666" s="518"/>
    </row>
    <row r="667" spans="1:57" ht="12.75" customHeight="1">
      <c r="A667" s="518"/>
      <c r="B667" s="518"/>
      <c r="C667" s="518"/>
      <c r="D667" s="518"/>
      <c r="E667" s="518"/>
      <c r="F667" s="518"/>
      <c r="G667" s="518"/>
      <c r="H667" s="518"/>
      <c r="I667" s="518"/>
      <c r="J667" s="518"/>
      <c r="K667" s="518"/>
      <c r="L667" s="518"/>
      <c r="M667" s="518"/>
      <c r="N667" s="518"/>
      <c r="O667" s="518"/>
      <c r="P667" s="518"/>
      <c r="Q667" s="518"/>
      <c r="R667" s="518"/>
      <c r="S667" s="518"/>
      <c r="T667" s="518"/>
      <c r="U667" s="518"/>
      <c r="V667" s="518"/>
      <c r="W667" s="518"/>
      <c r="X667" s="518"/>
      <c r="Y667" s="518"/>
      <c r="Z667" s="518"/>
      <c r="AA667" s="518"/>
      <c r="AB667" s="518"/>
      <c r="AC667" s="518"/>
      <c r="AD667" s="518"/>
      <c r="AE667" s="518"/>
      <c r="AF667" s="518"/>
      <c r="AG667" s="518"/>
      <c r="AH667" s="518"/>
      <c r="AI667" s="518"/>
      <c r="AJ667" s="518"/>
      <c r="AK667" s="518"/>
      <c r="AL667" s="518"/>
      <c r="AM667" s="518"/>
      <c r="AN667" s="518"/>
      <c r="AO667" s="518"/>
      <c r="AP667" s="518"/>
      <c r="AQ667" s="518"/>
      <c r="AR667" s="518"/>
      <c r="AS667" s="518"/>
      <c r="AT667" s="518"/>
      <c r="AU667" s="518"/>
      <c r="AV667" s="518"/>
      <c r="AW667" s="518"/>
      <c r="AX667" s="518"/>
      <c r="AY667" s="518"/>
      <c r="AZ667" s="518"/>
      <c r="BA667" s="518"/>
      <c r="BB667" s="518"/>
      <c r="BC667" s="518"/>
      <c r="BD667" s="518"/>
      <c r="BE667" s="518"/>
    </row>
    <row r="668" spans="1:57" ht="12.75" customHeight="1">
      <c r="A668" s="518"/>
      <c r="B668" s="518"/>
      <c r="C668" s="518"/>
      <c r="D668" s="518"/>
      <c r="E668" s="518"/>
      <c r="F668" s="518"/>
      <c r="G668" s="518"/>
      <c r="H668" s="518"/>
      <c r="I668" s="518"/>
      <c r="J668" s="518"/>
      <c r="K668" s="518"/>
      <c r="L668" s="518"/>
      <c r="M668" s="518"/>
      <c r="N668" s="518"/>
      <c r="O668" s="518"/>
      <c r="P668" s="518"/>
      <c r="Q668" s="518"/>
      <c r="R668" s="518"/>
      <c r="S668" s="518"/>
      <c r="T668" s="518"/>
      <c r="U668" s="518"/>
      <c r="V668" s="518"/>
      <c r="W668" s="518"/>
      <c r="X668" s="518"/>
      <c r="Y668" s="518"/>
      <c r="Z668" s="518"/>
      <c r="AA668" s="518"/>
      <c r="AB668" s="518"/>
      <c r="AC668" s="518"/>
      <c r="AD668" s="518"/>
      <c r="AE668" s="518"/>
      <c r="AF668" s="518"/>
      <c r="AG668" s="518"/>
      <c r="AH668" s="518"/>
      <c r="AI668" s="518"/>
      <c r="AJ668" s="518"/>
      <c r="AK668" s="518"/>
      <c r="AL668" s="518"/>
      <c r="AM668" s="518"/>
      <c r="AN668" s="518"/>
      <c r="AO668" s="518"/>
      <c r="AP668" s="518"/>
      <c r="AQ668" s="518"/>
      <c r="AR668" s="518"/>
      <c r="AS668" s="518"/>
      <c r="AT668" s="518"/>
      <c r="AU668" s="518"/>
      <c r="AV668" s="518"/>
      <c r="AW668" s="518"/>
      <c r="AX668" s="518"/>
      <c r="AY668" s="518"/>
      <c r="AZ668" s="518"/>
      <c r="BA668" s="518"/>
      <c r="BB668" s="518"/>
      <c r="BC668" s="518"/>
      <c r="BD668" s="518"/>
      <c r="BE668" s="518"/>
    </row>
    <row r="669" spans="1:57" ht="12.75" customHeight="1">
      <c r="A669" s="518"/>
      <c r="B669" s="518"/>
      <c r="C669" s="518"/>
      <c r="D669" s="518"/>
      <c r="E669" s="518"/>
      <c r="F669" s="518"/>
      <c r="G669" s="518"/>
      <c r="H669" s="518"/>
      <c r="I669" s="518"/>
      <c r="J669" s="518"/>
      <c r="K669" s="518"/>
      <c r="L669" s="518"/>
      <c r="M669" s="518"/>
      <c r="N669" s="518"/>
      <c r="O669" s="518"/>
      <c r="P669" s="518"/>
      <c r="Q669" s="518"/>
      <c r="R669" s="518"/>
      <c r="S669" s="518"/>
      <c r="T669" s="518"/>
      <c r="U669" s="518"/>
      <c r="V669" s="518"/>
      <c r="W669" s="518"/>
      <c r="X669" s="518"/>
      <c r="Y669" s="518"/>
      <c r="Z669" s="518"/>
      <c r="AA669" s="518"/>
      <c r="AB669" s="518"/>
      <c r="AC669" s="518"/>
      <c r="AD669" s="518"/>
      <c r="AE669" s="518"/>
      <c r="AF669" s="518"/>
      <c r="AG669" s="518"/>
      <c r="AH669" s="518"/>
      <c r="AI669" s="518"/>
      <c r="AJ669" s="518"/>
      <c r="AK669" s="518"/>
      <c r="AL669" s="518"/>
      <c r="AM669" s="518"/>
      <c r="AN669" s="518"/>
      <c r="AO669" s="518"/>
      <c r="AP669" s="518"/>
      <c r="AQ669" s="518"/>
      <c r="AR669" s="518"/>
      <c r="AS669" s="518"/>
      <c r="AT669" s="518"/>
      <c r="AU669" s="518"/>
      <c r="AV669" s="518"/>
      <c r="AW669" s="518"/>
      <c r="AX669" s="518"/>
      <c r="AY669" s="518"/>
      <c r="AZ669" s="518"/>
      <c r="BA669" s="518"/>
      <c r="BB669" s="518"/>
      <c r="BC669" s="518"/>
      <c r="BD669" s="518"/>
      <c r="BE669" s="518"/>
    </row>
    <row r="670" spans="1:57" ht="12.75" customHeight="1">
      <c r="A670" s="518"/>
      <c r="B670" s="518"/>
      <c r="C670" s="518"/>
      <c r="D670" s="518"/>
      <c r="E670" s="518"/>
      <c r="F670" s="518"/>
      <c r="G670" s="518"/>
      <c r="H670" s="518"/>
      <c r="I670" s="518"/>
      <c r="J670" s="518"/>
      <c r="K670" s="518"/>
      <c r="L670" s="518"/>
      <c r="M670" s="518"/>
      <c r="N670" s="518"/>
      <c r="O670" s="518"/>
      <c r="P670" s="518"/>
      <c r="Q670" s="518"/>
      <c r="R670" s="518"/>
      <c r="S670" s="518"/>
      <c r="T670" s="518"/>
      <c r="U670" s="518"/>
      <c r="V670" s="518"/>
      <c r="W670" s="518"/>
      <c r="X670" s="518"/>
      <c r="Y670" s="518"/>
      <c r="Z670" s="518"/>
      <c r="AA670" s="518"/>
      <c r="AB670" s="518"/>
      <c r="AC670" s="518"/>
      <c r="AD670" s="518"/>
      <c r="AE670" s="518"/>
      <c r="AF670" s="518"/>
      <c r="AG670" s="518"/>
      <c r="AH670" s="518"/>
      <c r="AI670" s="518"/>
      <c r="AJ670" s="518"/>
      <c r="AK670" s="518"/>
      <c r="AL670" s="518"/>
      <c r="AM670" s="518"/>
      <c r="AN670" s="518"/>
      <c r="AO670" s="518"/>
      <c r="AP670" s="518"/>
      <c r="AQ670" s="518"/>
      <c r="AR670" s="518"/>
      <c r="AS670" s="518"/>
      <c r="AT670" s="518"/>
      <c r="AU670" s="518"/>
      <c r="AV670" s="518"/>
      <c r="AW670" s="518"/>
      <c r="AX670" s="518"/>
      <c r="AY670" s="518"/>
      <c r="AZ670" s="518"/>
      <c r="BA670" s="518"/>
      <c r="BB670" s="518"/>
      <c r="BC670" s="518"/>
      <c r="BD670" s="518"/>
      <c r="BE670" s="518"/>
    </row>
    <row r="671" spans="1:57" ht="12.75" customHeight="1">
      <c r="A671" s="518"/>
      <c r="B671" s="518"/>
      <c r="C671" s="518"/>
      <c r="D671" s="518"/>
      <c r="E671" s="518"/>
      <c r="F671" s="518"/>
      <c r="G671" s="518"/>
      <c r="H671" s="518"/>
      <c r="I671" s="518"/>
      <c r="J671" s="518"/>
      <c r="K671" s="518"/>
      <c r="L671" s="518"/>
      <c r="M671" s="518"/>
      <c r="N671" s="518"/>
      <c r="O671" s="518"/>
      <c r="P671" s="518"/>
      <c r="Q671" s="518"/>
      <c r="R671" s="518"/>
      <c r="S671" s="518"/>
      <c r="T671" s="518"/>
      <c r="U671" s="518"/>
      <c r="V671" s="518"/>
      <c r="W671" s="518"/>
      <c r="X671" s="518"/>
      <c r="Y671" s="518"/>
      <c r="Z671" s="518"/>
      <c r="AA671" s="518"/>
      <c r="AB671" s="518"/>
      <c r="AC671" s="518"/>
      <c r="AD671" s="518"/>
      <c r="AE671" s="518"/>
      <c r="AF671" s="518"/>
      <c r="AG671" s="518"/>
      <c r="AH671" s="518"/>
      <c r="AI671" s="518"/>
      <c r="AJ671" s="518"/>
      <c r="AK671" s="518"/>
      <c r="AL671" s="518"/>
      <c r="AM671" s="518"/>
      <c r="AN671" s="518"/>
      <c r="AO671" s="518"/>
      <c r="AP671" s="518"/>
      <c r="AQ671" s="518"/>
      <c r="AR671" s="518"/>
      <c r="AS671" s="518"/>
      <c r="AT671" s="518"/>
      <c r="AU671" s="518"/>
      <c r="AV671" s="518"/>
      <c r="AW671" s="518"/>
      <c r="AX671" s="518"/>
      <c r="AY671" s="518"/>
      <c r="AZ671" s="518"/>
      <c r="BA671" s="518"/>
      <c r="BB671" s="518"/>
      <c r="BC671" s="518"/>
      <c r="BD671" s="518"/>
      <c r="BE671" s="518"/>
    </row>
    <row r="672" spans="1:57" ht="12.75" customHeight="1">
      <c r="A672" s="518"/>
      <c r="B672" s="518"/>
      <c r="C672" s="518"/>
      <c r="D672" s="518"/>
      <c r="E672" s="518"/>
      <c r="F672" s="518"/>
      <c r="G672" s="518"/>
      <c r="H672" s="518"/>
      <c r="I672" s="518"/>
      <c r="J672" s="518"/>
      <c r="K672" s="518"/>
      <c r="L672" s="518"/>
      <c r="M672" s="518"/>
      <c r="N672" s="518"/>
      <c r="O672" s="518"/>
      <c r="P672" s="518"/>
      <c r="Q672" s="518"/>
      <c r="R672" s="518"/>
      <c r="S672" s="518"/>
      <c r="T672" s="518"/>
      <c r="U672" s="518"/>
      <c r="V672" s="518"/>
      <c r="W672" s="518"/>
      <c r="X672" s="518"/>
      <c r="Y672" s="518"/>
      <c r="Z672" s="518"/>
      <c r="AA672" s="518"/>
      <c r="AB672" s="518"/>
      <c r="AC672" s="518"/>
      <c r="AD672" s="518"/>
      <c r="AE672" s="518"/>
      <c r="AF672" s="518"/>
      <c r="AG672" s="518"/>
      <c r="AH672" s="518"/>
      <c r="AI672" s="518"/>
      <c r="AJ672" s="518"/>
      <c r="AK672" s="518"/>
      <c r="AL672" s="518"/>
      <c r="AM672" s="518"/>
      <c r="AN672" s="518"/>
      <c r="AO672" s="518"/>
      <c r="AP672" s="518"/>
      <c r="AQ672" s="518"/>
      <c r="AR672" s="518"/>
      <c r="AS672" s="518"/>
      <c r="AT672" s="518"/>
      <c r="AU672" s="518"/>
      <c r="AV672" s="518"/>
      <c r="AW672" s="518"/>
      <c r="AX672" s="518"/>
      <c r="AY672" s="518"/>
      <c r="AZ672" s="518"/>
      <c r="BA672" s="518"/>
      <c r="BB672" s="518"/>
      <c r="BC672" s="518"/>
      <c r="BD672" s="518"/>
      <c r="BE672" s="518"/>
    </row>
    <row r="673" spans="1:57" ht="12.75" customHeight="1">
      <c r="A673" s="518"/>
      <c r="B673" s="518"/>
      <c r="C673" s="518"/>
      <c r="D673" s="518"/>
      <c r="E673" s="518"/>
      <c r="F673" s="518"/>
      <c r="G673" s="518"/>
      <c r="H673" s="518"/>
      <c r="I673" s="518"/>
      <c r="J673" s="518"/>
      <c r="K673" s="518"/>
      <c r="L673" s="518"/>
      <c r="M673" s="518"/>
      <c r="N673" s="518"/>
      <c r="O673" s="518"/>
      <c r="P673" s="518"/>
      <c r="Q673" s="518"/>
      <c r="R673" s="518"/>
      <c r="S673" s="518"/>
      <c r="T673" s="518"/>
      <c r="U673" s="518"/>
      <c r="V673" s="518"/>
      <c r="W673" s="518"/>
      <c r="X673" s="518"/>
      <c r="Y673" s="518"/>
      <c r="Z673" s="518"/>
      <c r="AA673" s="518"/>
      <c r="AB673" s="518"/>
      <c r="AC673" s="518"/>
      <c r="AD673" s="518"/>
      <c r="AE673" s="518"/>
      <c r="AF673" s="518"/>
      <c r="AG673" s="518"/>
      <c r="AH673" s="518"/>
      <c r="AI673" s="518"/>
      <c r="AJ673" s="518"/>
      <c r="AK673" s="518"/>
      <c r="AL673" s="518"/>
      <c r="AM673" s="518"/>
      <c r="AN673" s="518"/>
      <c r="AO673" s="518"/>
      <c r="AP673" s="518"/>
      <c r="AQ673" s="518"/>
      <c r="AR673" s="518"/>
      <c r="AS673" s="518"/>
      <c r="AT673" s="518"/>
      <c r="AU673" s="518"/>
      <c r="AV673" s="518"/>
      <c r="AW673" s="518"/>
      <c r="AX673" s="518"/>
      <c r="AY673" s="518"/>
      <c r="AZ673" s="518"/>
      <c r="BA673" s="518"/>
      <c r="BB673" s="518"/>
      <c r="BC673" s="518"/>
      <c r="BD673" s="518"/>
      <c r="BE673" s="518"/>
    </row>
    <row r="674" spans="1:57" ht="12.75" customHeight="1">
      <c r="A674" s="518"/>
      <c r="B674" s="518"/>
      <c r="C674" s="518"/>
      <c r="D674" s="518"/>
      <c r="E674" s="518"/>
      <c r="F674" s="518"/>
      <c r="G674" s="518"/>
      <c r="H674" s="518"/>
      <c r="I674" s="518"/>
      <c r="J674" s="518"/>
      <c r="K674" s="518"/>
      <c r="L674" s="518"/>
      <c r="M674" s="518"/>
      <c r="N674" s="518"/>
      <c r="O674" s="518"/>
      <c r="P674" s="518"/>
      <c r="Q674" s="518"/>
      <c r="R674" s="518"/>
      <c r="S674" s="518"/>
      <c r="T674" s="518"/>
      <c r="U674" s="518"/>
      <c r="V674" s="518"/>
      <c r="W674" s="518"/>
      <c r="X674" s="518"/>
      <c r="Y674" s="518"/>
      <c r="Z674" s="518"/>
      <c r="AA674" s="518"/>
      <c r="AB674" s="518"/>
      <c r="AC674" s="518"/>
      <c r="AD674" s="518"/>
      <c r="AE674" s="518"/>
      <c r="AF674" s="518"/>
      <c r="AG674" s="518"/>
      <c r="AH674" s="518"/>
      <c r="AI674" s="518"/>
      <c r="AJ674" s="518"/>
      <c r="AK674" s="518"/>
      <c r="AL674" s="518"/>
      <c r="AM674" s="518"/>
      <c r="AN674" s="518"/>
      <c r="AO674" s="518"/>
      <c r="AP674" s="518"/>
      <c r="AQ674" s="518"/>
      <c r="AR674" s="518"/>
      <c r="AS674" s="518"/>
      <c r="AT674" s="518"/>
      <c r="AU674" s="518"/>
      <c r="AV674" s="518"/>
      <c r="AW674" s="518"/>
      <c r="AX674" s="518"/>
      <c r="AY674" s="518"/>
      <c r="AZ674" s="518"/>
      <c r="BA674" s="518"/>
      <c r="BB674" s="518"/>
      <c r="BC674" s="518"/>
      <c r="BD674" s="518"/>
      <c r="BE674" s="518"/>
    </row>
    <row r="675" spans="1:57" ht="12.75" customHeight="1">
      <c r="A675" s="518"/>
      <c r="B675" s="518"/>
      <c r="C675" s="518"/>
      <c r="D675" s="518"/>
      <c r="E675" s="518"/>
      <c r="F675" s="518"/>
      <c r="G675" s="518"/>
      <c r="H675" s="518"/>
      <c r="I675" s="518"/>
      <c r="J675" s="518"/>
      <c r="K675" s="518"/>
      <c r="L675" s="518"/>
      <c r="M675" s="518"/>
      <c r="N675" s="518"/>
      <c r="O675" s="518"/>
      <c r="P675" s="518"/>
      <c r="Q675" s="518"/>
      <c r="R675" s="518"/>
      <c r="S675" s="518"/>
      <c r="T675" s="518"/>
      <c r="U675" s="518"/>
      <c r="V675" s="518"/>
      <c r="W675" s="518"/>
      <c r="X675" s="518"/>
      <c r="Y675" s="518"/>
      <c r="Z675" s="518"/>
      <c r="AA675" s="518"/>
      <c r="AB675" s="518"/>
      <c r="AC675" s="518"/>
      <c r="AD675" s="518"/>
      <c r="AE675" s="518"/>
      <c r="AF675" s="518"/>
      <c r="AG675" s="518"/>
      <c r="AH675" s="518"/>
      <c r="AI675" s="518"/>
      <c r="AJ675" s="518"/>
      <c r="AK675" s="518"/>
      <c r="AL675" s="518"/>
      <c r="AM675" s="518"/>
      <c r="AN675" s="518"/>
      <c r="AO675" s="518"/>
      <c r="AP675" s="518"/>
      <c r="AQ675" s="518"/>
      <c r="AR675" s="518"/>
      <c r="AS675" s="518"/>
      <c r="AT675" s="518"/>
      <c r="AU675" s="518"/>
      <c r="AV675" s="518"/>
      <c r="AW675" s="518"/>
      <c r="AX675" s="518"/>
      <c r="AY675" s="518"/>
      <c r="AZ675" s="518"/>
      <c r="BA675" s="518"/>
      <c r="BB675" s="518"/>
      <c r="BC675" s="518"/>
      <c r="BD675" s="518"/>
      <c r="BE675" s="518"/>
    </row>
    <row r="676" spans="1:57" ht="12.75" customHeight="1">
      <c r="A676" s="518"/>
      <c r="B676" s="518"/>
      <c r="C676" s="518"/>
      <c r="D676" s="518"/>
      <c r="E676" s="518"/>
      <c r="F676" s="518"/>
      <c r="G676" s="518"/>
      <c r="H676" s="518"/>
      <c r="I676" s="518"/>
      <c r="J676" s="518"/>
      <c r="K676" s="518"/>
      <c r="L676" s="518"/>
      <c r="M676" s="518"/>
      <c r="N676" s="518"/>
      <c r="O676" s="518"/>
      <c r="P676" s="518"/>
      <c r="Q676" s="518"/>
      <c r="R676" s="518"/>
      <c r="S676" s="518"/>
      <c r="T676" s="518"/>
      <c r="U676" s="518"/>
      <c r="V676" s="518"/>
      <c r="W676" s="518"/>
      <c r="X676" s="518"/>
      <c r="Y676" s="518"/>
      <c r="Z676" s="518"/>
      <c r="AA676" s="518"/>
      <c r="AB676" s="518"/>
      <c r="AC676" s="518"/>
      <c r="AD676" s="518"/>
      <c r="AE676" s="518"/>
      <c r="AF676" s="518"/>
      <c r="AG676" s="518"/>
      <c r="AH676" s="518"/>
      <c r="AI676" s="518"/>
      <c r="AJ676" s="518"/>
      <c r="AK676" s="518"/>
      <c r="AL676" s="518"/>
      <c r="AM676" s="518"/>
      <c r="AN676" s="518"/>
      <c r="AO676" s="518"/>
      <c r="AP676" s="518"/>
      <c r="AQ676" s="518"/>
      <c r="AR676" s="518"/>
      <c r="AS676" s="518"/>
      <c r="AT676" s="518"/>
      <c r="AU676" s="518"/>
      <c r="AV676" s="518"/>
      <c r="AW676" s="518"/>
      <c r="AX676" s="518"/>
      <c r="AY676" s="518"/>
      <c r="AZ676" s="518"/>
      <c r="BA676" s="518"/>
      <c r="BB676" s="518"/>
      <c r="BC676" s="518"/>
      <c r="BD676" s="518"/>
      <c r="BE676" s="518"/>
    </row>
    <row r="677" spans="1:57" ht="12.75" customHeight="1">
      <c r="A677" s="518"/>
      <c r="B677" s="518"/>
      <c r="C677" s="518"/>
      <c r="D677" s="518"/>
      <c r="E677" s="518"/>
      <c r="F677" s="518"/>
      <c r="G677" s="518"/>
      <c r="H677" s="518"/>
      <c r="I677" s="518"/>
      <c r="J677" s="518"/>
      <c r="K677" s="518"/>
      <c r="L677" s="518"/>
      <c r="M677" s="518"/>
      <c r="N677" s="518"/>
      <c r="O677" s="518"/>
      <c r="P677" s="518"/>
      <c r="Q677" s="518"/>
      <c r="R677" s="518"/>
      <c r="S677" s="518"/>
      <c r="T677" s="518"/>
      <c r="U677" s="518"/>
      <c r="V677" s="518"/>
      <c r="W677" s="518"/>
      <c r="X677" s="518"/>
      <c r="Y677" s="518"/>
      <c r="Z677" s="518"/>
      <c r="AA677" s="518"/>
      <c r="AB677" s="518"/>
      <c r="AC677" s="518"/>
      <c r="AD677" s="518"/>
      <c r="AE677" s="518"/>
      <c r="AF677" s="518"/>
      <c r="AG677" s="518"/>
      <c r="AH677" s="518"/>
      <c r="AI677" s="518"/>
      <c r="AJ677" s="518"/>
      <c r="AK677" s="518"/>
      <c r="AL677" s="518"/>
      <c r="AM677" s="518"/>
      <c r="AN677" s="518"/>
      <c r="AO677" s="518"/>
      <c r="AP677" s="518"/>
      <c r="AQ677" s="518"/>
      <c r="AR677" s="518"/>
      <c r="AS677" s="518"/>
      <c r="AT677" s="518"/>
      <c r="AU677" s="518"/>
      <c r="AV677" s="518"/>
      <c r="AW677" s="518"/>
      <c r="AX677" s="518"/>
      <c r="AY677" s="518"/>
      <c r="AZ677" s="518"/>
      <c r="BA677" s="518"/>
      <c r="BB677" s="518"/>
      <c r="BC677" s="518"/>
      <c r="BD677" s="518"/>
      <c r="BE677" s="518"/>
    </row>
    <row r="678" spans="1:57" ht="12.75" customHeight="1">
      <c r="A678" s="518"/>
      <c r="B678" s="518"/>
      <c r="C678" s="518"/>
      <c r="D678" s="518"/>
      <c r="E678" s="518"/>
      <c r="F678" s="518"/>
      <c r="G678" s="518"/>
      <c r="H678" s="518"/>
      <c r="I678" s="518"/>
      <c r="J678" s="518"/>
      <c r="K678" s="518"/>
      <c r="L678" s="518"/>
      <c r="M678" s="518"/>
      <c r="N678" s="518"/>
      <c r="O678" s="518"/>
      <c r="P678" s="518"/>
      <c r="Q678" s="518"/>
      <c r="R678" s="518"/>
      <c r="S678" s="518"/>
      <c r="T678" s="518"/>
      <c r="U678" s="518"/>
      <c r="V678" s="518"/>
      <c r="W678" s="518"/>
      <c r="X678" s="518"/>
      <c r="Y678" s="518"/>
      <c r="Z678" s="518"/>
      <c r="AA678" s="518"/>
      <c r="AB678" s="518"/>
      <c r="AC678" s="518"/>
      <c r="AD678" s="518"/>
      <c r="AE678" s="518"/>
      <c r="AF678" s="518"/>
      <c r="AG678" s="518"/>
      <c r="AH678" s="518"/>
      <c r="AI678" s="518"/>
      <c r="AJ678" s="518"/>
      <c r="AK678" s="518"/>
      <c r="AL678" s="518"/>
      <c r="AM678" s="518"/>
      <c r="AN678" s="518"/>
      <c r="AO678" s="518"/>
      <c r="AP678" s="518"/>
      <c r="AQ678" s="518"/>
      <c r="AR678" s="518"/>
      <c r="AS678" s="518"/>
      <c r="AT678" s="518"/>
      <c r="AU678" s="518"/>
      <c r="AV678" s="518"/>
      <c r="AW678" s="518"/>
      <c r="AX678" s="518"/>
      <c r="AY678" s="518"/>
      <c r="AZ678" s="518"/>
      <c r="BA678" s="518"/>
      <c r="BB678" s="518"/>
      <c r="BC678" s="518"/>
      <c r="BD678" s="518"/>
      <c r="BE678" s="518"/>
    </row>
    <row r="679" spans="1:57" ht="12.75" customHeight="1">
      <c r="A679" s="518"/>
      <c r="B679" s="518"/>
      <c r="C679" s="518"/>
      <c r="D679" s="518"/>
      <c r="E679" s="518"/>
      <c r="F679" s="518"/>
      <c r="G679" s="518"/>
      <c r="H679" s="518"/>
      <c r="I679" s="518"/>
      <c r="J679" s="518"/>
      <c r="K679" s="518"/>
      <c r="L679" s="518"/>
      <c r="M679" s="518"/>
      <c r="N679" s="518"/>
      <c r="O679" s="518"/>
      <c r="P679" s="518"/>
      <c r="Q679" s="518"/>
      <c r="R679" s="518"/>
      <c r="S679" s="518"/>
      <c r="T679" s="518"/>
      <c r="U679" s="518"/>
      <c r="V679" s="518"/>
      <c r="W679" s="518"/>
      <c r="X679" s="518"/>
      <c r="Y679" s="518"/>
      <c r="Z679" s="518"/>
      <c r="AA679" s="518"/>
      <c r="AB679" s="518"/>
      <c r="AC679" s="518"/>
      <c r="AD679" s="518"/>
      <c r="AE679" s="518"/>
      <c r="AF679" s="518"/>
      <c r="AG679" s="518"/>
      <c r="AH679" s="518"/>
      <c r="AI679" s="518"/>
      <c r="AJ679" s="518"/>
      <c r="AK679" s="518"/>
      <c r="AL679" s="518"/>
      <c r="AM679" s="518"/>
      <c r="AN679" s="518"/>
      <c r="AO679" s="518"/>
      <c r="AP679" s="518"/>
      <c r="AQ679" s="518"/>
      <c r="AR679" s="518"/>
      <c r="AS679" s="518"/>
      <c r="AT679" s="518"/>
      <c r="AU679" s="518"/>
      <c r="AV679" s="518"/>
      <c r="AW679" s="518"/>
      <c r="AX679" s="518"/>
      <c r="AY679" s="518"/>
      <c r="AZ679" s="518"/>
      <c r="BA679" s="518"/>
      <c r="BB679" s="518"/>
      <c r="BC679" s="518"/>
      <c r="BD679" s="518"/>
      <c r="BE679" s="518"/>
    </row>
    <row r="680" spans="1:57" ht="12.75" customHeight="1">
      <c r="A680" s="518"/>
      <c r="B680" s="518"/>
      <c r="C680" s="518"/>
      <c r="D680" s="518"/>
      <c r="E680" s="518"/>
      <c r="F680" s="518"/>
      <c r="G680" s="518"/>
      <c r="H680" s="518"/>
      <c r="I680" s="518"/>
      <c r="J680" s="518"/>
      <c r="K680" s="518"/>
      <c r="L680" s="518"/>
      <c r="M680" s="518"/>
      <c r="N680" s="518"/>
      <c r="O680" s="518"/>
      <c r="P680" s="518"/>
      <c r="Q680" s="518"/>
      <c r="R680" s="518"/>
      <c r="S680" s="518"/>
      <c r="T680" s="518"/>
      <c r="U680" s="518"/>
      <c r="V680" s="518"/>
      <c r="W680" s="518"/>
      <c r="X680" s="518"/>
      <c r="Y680" s="518"/>
      <c r="Z680" s="518"/>
      <c r="AA680" s="518"/>
      <c r="AB680" s="518"/>
      <c r="AC680" s="518"/>
      <c r="AD680" s="518"/>
      <c r="AE680" s="518"/>
      <c r="AF680" s="518"/>
      <c r="AG680" s="518"/>
      <c r="AH680" s="518"/>
      <c r="AI680" s="518"/>
      <c r="AJ680" s="518"/>
      <c r="AK680" s="518"/>
      <c r="AL680" s="518"/>
      <c r="AM680" s="518"/>
      <c r="AN680" s="518"/>
      <c r="AO680" s="518"/>
      <c r="AP680" s="518"/>
      <c r="AQ680" s="518"/>
      <c r="AR680" s="518"/>
      <c r="AS680" s="518"/>
      <c r="AT680" s="518"/>
      <c r="AU680" s="518"/>
      <c r="AV680" s="518"/>
      <c r="AW680" s="518"/>
      <c r="AX680" s="518"/>
      <c r="AY680" s="518"/>
      <c r="AZ680" s="518"/>
      <c r="BA680" s="518"/>
      <c r="BB680" s="518"/>
      <c r="BC680" s="518"/>
      <c r="BD680" s="518"/>
      <c r="BE680" s="518"/>
    </row>
    <row r="681" spans="1:57" ht="12.75" customHeight="1">
      <c r="A681" s="518"/>
      <c r="B681" s="518"/>
      <c r="C681" s="518"/>
      <c r="D681" s="518"/>
      <c r="E681" s="518"/>
      <c r="F681" s="518"/>
      <c r="G681" s="518"/>
      <c r="H681" s="518"/>
      <c r="I681" s="518"/>
      <c r="J681" s="518"/>
      <c r="K681" s="518"/>
      <c r="L681" s="518"/>
      <c r="M681" s="518"/>
      <c r="N681" s="518"/>
      <c r="O681" s="518"/>
      <c r="P681" s="518"/>
      <c r="Q681" s="518"/>
      <c r="R681" s="518"/>
      <c r="S681" s="518"/>
      <c r="T681" s="518"/>
      <c r="U681" s="518"/>
      <c r="V681" s="518"/>
      <c r="W681" s="518"/>
      <c r="X681" s="518"/>
      <c r="Y681" s="518"/>
      <c r="Z681" s="518"/>
      <c r="AA681" s="518"/>
      <c r="AB681" s="518"/>
      <c r="AC681" s="518"/>
      <c r="AD681" s="518"/>
      <c r="AE681" s="518"/>
      <c r="AF681" s="518"/>
      <c r="AG681" s="518"/>
      <c r="AH681" s="518"/>
      <c r="AI681" s="518"/>
      <c r="AJ681" s="518"/>
      <c r="AK681" s="518"/>
      <c r="AL681" s="518"/>
      <c r="AM681" s="518"/>
      <c r="AN681" s="518"/>
      <c r="AO681" s="518"/>
      <c r="AP681" s="518"/>
      <c r="AQ681" s="518"/>
      <c r="AR681" s="518"/>
      <c r="AS681" s="518"/>
      <c r="AT681" s="518"/>
      <c r="AU681" s="518"/>
      <c r="AV681" s="518"/>
      <c r="AW681" s="518"/>
      <c r="AX681" s="518"/>
      <c r="AY681" s="518"/>
      <c r="AZ681" s="518"/>
      <c r="BA681" s="518"/>
      <c r="BB681" s="518"/>
      <c r="BC681" s="518"/>
      <c r="BD681" s="518"/>
      <c r="BE681" s="518"/>
    </row>
    <row r="682" spans="1:57" ht="12.75" customHeight="1">
      <c r="A682" s="518"/>
      <c r="B682" s="518"/>
      <c r="C682" s="518"/>
      <c r="D682" s="518"/>
      <c r="E682" s="518"/>
      <c r="F682" s="518"/>
      <c r="G682" s="518"/>
      <c r="H682" s="518"/>
      <c r="I682" s="518"/>
      <c r="J682" s="518"/>
      <c r="K682" s="518"/>
      <c r="L682" s="518"/>
      <c r="M682" s="518"/>
      <c r="N682" s="518"/>
      <c r="O682" s="518"/>
      <c r="P682" s="518"/>
      <c r="Q682" s="518"/>
      <c r="R682" s="518"/>
      <c r="S682" s="518"/>
      <c r="T682" s="518"/>
      <c r="U682" s="518"/>
      <c r="V682" s="518"/>
      <c r="W682" s="518"/>
      <c r="X682" s="518"/>
      <c r="Y682" s="518"/>
      <c r="Z682" s="518"/>
      <c r="AA682" s="518"/>
      <c r="AB682" s="518"/>
      <c r="AC682" s="518"/>
      <c r="AD682" s="518"/>
      <c r="AE682" s="518"/>
      <c r="AF682" s="518"/>
      <c r="AG682" s="518"/>
      <c r="AH682" s="518"/>
      <c r="AI682" s="518"/>
      <c r="AJ682" s="518"/>
      <c r="AK682" s="518"/>
      <c r="AL682" s="518"/>
      <c r="AM682" s="518"/>
      <c r="AN682" s="518"/>
      <c r="AO682" s="518"/>
      <c r="AP682" s="518"/>
      <c r="AQ682" s="518"/>
      <c r="AR682" s="518"/>
      <c r="AS682" s="518"/>
      <c r="AT682" s="518"/>
      <c r="AU682" s="518"/>
      <c r="AV682" s="518"/>
      <c r="AW682" s="518"/>
      <c r="AX682" s="518"/>
      <c r="AY682" s="518"/>
      <c r="AZ682" s="518"/>
      <c r="BA682" s="518"/>
      <c r="BB682" s="518"/>
      <c r="BC682" s="518"/>
      <c r="BD682" s="518"/>
      <c r="BE682" s="518"/>
    </row>
    <row r="683" spans="1:57" ht="12.75" customHeight="1">
      <c r="A683" s="518"/>
      <c r="B683" s="518"/>
      <c r="C683" s="518"/>
      <c r="D683" s="518"/>
      <c r="E683" s="518"/>
      <c r="F683" s="518"/>
      <c r="G683" s="518"/>
      <c r="H683" s="518"/>
      <c r="I683" s="518"/>
      <c r="J683" s="518"/>
      <c r="K683" s="518"/>
      <c r="L683" s="518"/>
      <c r="M683" s="518"/>
      <c r="N683" s="518"/>
      <c r="O683" s="518"/>
      <c r="P683" s="518"/>
      <c r="Q683" s="518"/>
      <c r="R683" s="518"/>
      <c r="S683" s="518"/>
      <c r="T683" s="518"/>
      <c r="U683" s="518"/>
      <c r="V683" s="518"/>
      <c r="W683" s="518"/>
      <c r="X683" s="518"/>
      <c r="Y683" s="518"/>
      <c r="Z683" s="518"/>
      <c r="AA683" s="518"/>
      <c r="AB683" s="518"/>
      <c r="AC683" s="518"/>
      <c r="AD683" s="518"/>
      <c r="AE683" s="518"/>
      <c r="AF683" s="518"/>
      <c r="AG683" s="518"/>
      <c r="AH683" s="518"/>
      <c r="AI683" s="518"/>
      <c r="AJ683" s="518"/>
      <c r="AK683" s="518"/>
      <c r="AL683" s="518"/>
      <c r="AM683" s="518"/>
      <c r="AN683" s="518"/>
      <c r="AO683" s="518"/>
      <c r="AP683" s="518"/>
      <c r="AQ683" s="518"/>
      <c r="AR683" s="518"/>
      <c r="AS683" s="518"/>
      <c r="AT683" s="518"/>
      <c r="AU683" s="518"/>
      <c r="AV683" s="518"/>
      <c r="AW683" s="518"/>
      <c r="AX683" s="518"/>
      <c r="AY683" s="518"/>
      <c r="AZ683" s="518"/>
      <c r="BA683" s="518"/>
      <c r="BB683" s="518"/>
      <c r="BC683" s="518"/>
      <c r="BD683" s="518"/>
      <c r="BE683" s="518"/>
    </row>
    <row r="684" spans="1:57" ht="12.75" customHeight="1">
      <c r="A684" s="518"/>
      <c r="B684" s="518"/>
      <c r="C684" s="518"/>
      <c r="D684" s="518"/>
      <c r="E684" s="518"/>
      <c r="F684" s="518"/>
      <c r="G684" s="518"/>
      <c r="H684" s="518"/>
      <c r="I684" s="518"/>
      <c r="J684" s="518"/>
      <c r="K684" s="518"/>
      <c r="L684" s="518"/>
      <c r="M684" s="518"/>
      <c r="N684" s="518"/>
      <c r="O684" s="518"/>
      <c r="P684" s="518"/>
      <c r="Q684" s="518"/>
      <c r="R684" s="518"/>
      <c r="S684" s="518"/>
      <c r="T684" s="518"/>
      <c r="U684" s="518"/>
      <c r="V684" s="518"/>
      <c r="W684" s="518"/>
      <c r="X684" s="518"/>
      <c r="Y684" s="518"/>
      <c r="Z684" s="518"/>
      <c r="AA684" s="518"/>
      <c r="AB684" s="518"/>
      <c r="AC684" s="518"/>
      <c r="AD684" s="518"/>
      <c r="AE684" s="518"/>
      <c r="AF684" s="518"/>
      <c r="AG684" s="518"/>
      <c r="AH684" s="518"/>
      <c r="AI684" s="518"/>
      <c r="AJ684" s="518"/>
      <c r="AK684" s="518"/>
      <c r="AL684" s="518"/>
      <c r="AM684" s="518"/>
      <c r="AN684" s="518"/>
      <c r="AO684" s="518"/>
      <c r="AP684" s="518"/>
      <c r="AQ684" s="518"/>
      <c r="AR684" s="518"/>
      <c r="AS684" s="518"/>
      <c r="AT684" s="518"/>
      <c r="AU684" s="518"/>
      <c r="AV684" s="518"/>
      <c r="AW684" s="518"/>
      <c r="AX684" s="518"/>
      <c r="AY684" s="518"/>
      <c r="AZ684" s="518"/>
      <c r="BA684" s="518"/>
      <c r="BB684" s="518"/>
      <c r="BC684" s="518"/>
      <c r="BD684" s="518"/>
      <c r="BE684" s="518"/>
    </row>
    <row r="685" spans="1:57" ht="12.75" customHeight="1">
      <c r="A685" s="518"/>
      <c r="B685" s="518"/>
      <c r="C685" s="518"/>
      <c r="D685" s="518"/>
      <c r="E685" s="518"/>
      <c r="F685" s="518"/>
      <c r="G685" s="518"/>
      <c r="H685" s="518"/>
      <c r="I685" s="518"/>
      <c r="J685" s="518"/>
      <c r="K685" s="518"/>
      <c r="L685" s="518"/>
      <c r="M685" s="518"/>
      <c r="N685" s="518"/>
      <c r="O685" s="518"/>
      <c r="P685" s="518"/>
      <c r="Q685" s="518"/>
      <c r="R685" s="518"/>
      <c r="S685" s="518"/>
      <c r="T685" s="518"/>
      <c r="U685" s="518"/>
      <c r="V685" s="518"/>
      <c r="W685" s="518"/>
      <c r="X685" s="518"/>
      <c r="Y685" s="518"/>
      <c r="Z685" s="518"/>
      <c r="AA685" s="518"/>
      <c r="AB685" s="518"/>
      <c r="AC685" s="518"/>
      <c r="AD685" s="518"/>
      <c r="AE685" s="518"/>
      <c r="AF685" s="518"/>
      <c r="AG685" s="518"/>
      <c r="AH685" s="518"/>
      <c r="AI685" s="518"/>
      <c r="AJ685" s="518"/>
      <c r="AK685" s="518"/>
      <c r="AL685" s="518"/>
      <c r="AM685" s="518"/>
      <c r="AN685" s="518"/>
      <c r="AO685" s="518"/>
      <c r="AP685" s="518"/>
      <c r="AQ685" s="518"/>
      <c r="AR685" s="518"/>
      <c r="AS685" s="518"/>
      <c r="AT685" s="518"/>
      <c r="AU685" s="518"/>
      <c r="AV685" s="518"/>
      <c r="AW685" s="518"/>
      <c r="AX685" s="518"/>
      <c r="AY685" s="518"/>
      <c r="AZ685" s="518"/>
      <c r="BA685" s="518"/>
      <c r="BB685" s="518"/>
      <c r="BC685" s="518"/>
      <c r="BD685" s="518"/>
      <c r="BE685" s="518"/>
    </row>
    <row r="686" spans="1:57" ht="12.75" customHeight="1">
      <c r="A686" s="518"/>
      <c r="B686" s="518"/>
      <c r="C686" s="518"/>
      <c r="D686" s="518"/>
      <c r="E686" s="518"/>
      <c r="F686" s="518"/>
      <c r="G686" s="518"/>
      <c r="H686" s="518"/>
      <c r="I686" s="518"/>
      <c r="J686" s="518"/>
      <c r="K686" s="518"/>
      <c r="L686" s="518"/>
      <c r="M686" s="518"/>
      <c r="N686" s="518"/>
      <c r="O686" s="518"/>
      <c r="P686" s="518"/>
      <c r="Q686" s="518"/>
      <c r="R686" s="518"/>
      <c r="S686" s="518"/>
      <c r="T686" s="518"/>
      <c r="U686" s="518"/>
      <c r="V686" s="518"/>
      <c r="W686" s="518"/>
      <c r="X686" s="518"/>
      <c r="Y686" s="518"/>
      <c r="Z686" s="518"/>
      <c r="AA686" s="518"/>
      <c r="AB686" s="518"/>
      <c r="AC686" s="518"/>
      <c r="AD686" s="518"/>
      <c r="AE686" s="518"/>
      <c r="AF686" s="518"/>
      <c r="AG686" s="518"/>
      <c r="AH686" s="518"/>
      <c r="AI686" s="518"/>
      <c r="AJ686" s="518"/>
      <c r="AK686" s="518"/>
      <c r="AL686" s="518"/>
      <c r="AM686" s="518"/>
      <c r="AN686" s="518"/>
      <c r="AO686" s="518"/>
      <c r="AP686" s="518"/>
      <c r="AQ686" s="518"/>
      <c r="AR686" s="518"/>
      <c r="AS686" s="518"/>
      <c r="AT686" s="518"/>
      <c r="AU686" s="518"/>
      <c r="AV686" s="518"/>
      <c r="AW686" s="518"/>
      <c r="AX686" s="518"/>
      <c r="AY686" s="518"/>
      <c r="AZ686" s="518"/>
      <c r="BA686" s="518"/>
      <c r="BB686" s="518"/>
      <c r="BC686" s="518"/>
      <c r="BD686" s="518"/>
      <c r="BE686" s="518"/>
    </row>
    <row r="687" spans="1:57" ht="12.75" customHeight="1">
      <c r="A687" s="518"/>
      <c r="B687" s="518"/>
      <c r="C687" s="518"/>
      <c r="D687" s="518"/>
      <c r="E687" s="518"/>
      <c r="F687" s="518"/>
      <c r="G687" s="518"/>
      <c r="H687" s="518"/>
      <c r="I687" s="518"/>
      <c r="J687" s="518"/>
      <c r="K687" s="518"/>
      <c r="L687" s="518"/>
      <c r="M687" s="518"/>
      <c r="N687" s="518"/>
      <c r="O687" s="518"/>
      <c r="P687" s="518"/>
      <c r="Q687" s="518"/>
      <c r="R687" s="518"/>
      <c r="S687" s="518"/>
      <c r="T687" s="518"/>
      <c r="U687" s="518"/>
      <c r="V687" s="518"/>
      <c r="W687" s="518"/>
      <c r="X687" s="518"/>
      <c r="Y687" s="518"/>
      <c r="Z687" s="518"/>
      <c r="AA687" s="518"/>
      <c r="AB687" s="518"/>
      <c r="AC687" s="518"/>
      <c r="AD687" s="518"/>
      <c r="AE687" s="518"/>
      <c r="AF687" s="518"/>
      <c r="AG687" s="518"/>
      <c r="AH687" s="518"/>
      <c r="AI687" s="518"/>
      <c r="AJ687" s="518"/>
      <c r="AK687" s="518"/>
      <c r="AL687" s="518"/>
      <c r="AM687" s="518"/>
      <c r="AN687" s="518"/>
      <c r="AO687" s="518"/>
      <c r="AP687" s="518"/>
      <c r="AQ687" s="518"/>
      <c r="AR687" s="518"/>
      <c r="AS687" s="518"/>
      <c r="AT687" s="518"/>
      <c r="AU687" s="518"/>
      <c r="AV687" s="518"/>
      <c r="AW687" s="518"/>
      <c r="AX687" s="518"/>
      <c r="AY687" s="518"/>
      <c r="AZ687" s="518"/>
      <c r="BA687" s="518"/>
      <c r="BB687" s="518"/>
      <c r="BC687" s="518"/>
      <c r="BD687" s="518"/>
      <c r="BE687" s="518"/>
    </row>
    <row r="688" spans="1:57" ht="12.75" customHeight="1">
      <c r="A688" s="518"/>
      <c r="B688" s="518"/>
      <c r="C688" s="518"/>
      <c r="D688" s="518"/>
      <c r="E688" s="518"/>
      <c r="F688" s="518"/>
      <c r="G688" s="518"/>
      <c r="H688" s="518"/>
      <c r="I688" s="518"/>
      <c r="J688" s="518"/>
      <c r="K688" s="518"/>
      <c r="L688" s="518"/>
      <c r="M688" s="518"/>
      <c r="N688" s="518"/>
      <c r="O688" s="518"/>
      <c r="P688" s="518"/>
      <c r="Q688" s="518"/>
      <c r="R688" s="518"/>
      <c r="S688" s="518"/>
      <c r="T688" s="518"/>
      <c r="U688" s="518"/>
      <c r="V688" s="518"/>
      <c r="W688" s="518"/>
      <c r="X688" s="518"/>
      <c r="Y688" s="518"/>
      <c r="Z688" s="518"/>
      <c r="AA688" s="518"/>
      <c r="AB688" s="518"/>
      <c r="AC688" s="518"/>
      <c r="AD688" s="518"/>
      <c r="AE688" s="518"/>
      <c r="AF688" s="518"/>
      <c r="AG688" s="518"/>
      <c r="AH688" s="518"/>
      <c r="AI688" s="518"/>
      <c r="AJ688" s="518"/>
      <c r="AK688" s="518"/>
      <c r="AL688" s="518"/>
      <c r="AM688" s="518"/>
      <c r="AN688" s="518"/>
      <c r="AO688" s="518"/>
      <c r="AP688" s="518"/>
      <c r="AQ688" s="518"/>
      <c r="AR688" s="518"/>
      <c r="AS688" s="518"/>
      <c r="AT688" s="518"/>
      <c r="AU688" s="518"/>
      <c r="AV688" s="518"/>
      <c r="AW688" s="518"/>
      <c r="AX688" s="518"/>
      <c r="AY688" s="518"/>
      <c r="AZ688" s="518"/>
      <c r="BA688" s="518"/>
      <c r="BB688" s="518"/>
      <c r="BC688" s="518"/>
      <c r="BD688" s="518"/>
      <c r="BE688" s="518"/>
    </row>
    <row r="689" spans="1:57" ht="12.75" customHeight="1">
      <c r="A689" s="518"/>
      <c r="B689" s="518"/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  <c r="AB689" s="518"/>
      <c r="AC689" s="518"/>
      <c r="AD689" s="518"/>
      <c r="AE689" s="518"/>
      <c r="AF689" s="518"/>
      <c r="AG689" s="518"/>
      <c r="AH689" s="518"/>
      <c r="AI689" s="518"/>
      <c r="AJ689" s="518"/>
      <c r="AK689" s="518"/>
      <c r="AL689" s="518"/>
      <c r="AM689" s="518"/>
      <c r="AN689" s="518"/>
      <c r="AO689" s="518"/>
      <c r="AP689" s="518"/>
      <c r="AQ689" s="518"/>
      <c r="AR689" s="518"/>
      <c r="AS689" s="518"/>
      <c r="AT689" s="518"/>
      <c r="AU689" s="518"/>
      <c r="AV689" s="518"/>
      <c r="AW689" s="518"/>
      <c r="AX689" s="518"/>
      <c r="AY689" s="518"/>
      <c r="AZ689" s="518"/>
      <c r="BA689" s="518"/>
      <c r="BB689" s="518"/>
      <c r="BC689" s="518"/>
      <c r="BD689" s="518"/>
      <c r="BE689" s="518"/>
    </row>
    <row r="690" spans="1:57" ht="12.75" customHeight="1">
      <c r="A690" s="518"/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8"/>
      <c r="AQ690" s="518"/>
      <c r="AR690" s="518"/>
      <c r="AS690" s="518"/>
      <c r="AT690" s="518"/>
      <c r="AU690" s="518"/>
      <c r="AV690" s="518"/>
      <c r="AW690" s="518"/>
      <c r="AX690" s="518"/>
      <c r="AY690" s="518"/>
      <c r="AZ690" s="518"/>
      <c r="BA690" s="518"/>
      <c r="BB690" s="518"/>
      <c r="BC690" s="518"/>
      <c r="BD690" s="518"/>
      <c r="BE690" s="518"/>
    </row>
    <row r="691" spans="1:57" ht="12.75" customHeight="1">
      <c r="A691" s="518"/>
      <c r="B691" s="518"/>
      <c r="C691" s="518"/>
      <c r="D691" s="518"/>
      <c r="E691" s="518"/>
      <c r="F691" s="518"/>
      <c r="G691" s="518"/>
      <c r="H691" s="518"/>
      <c r="I691" s="518"/>
      <c r="J691" s="518"/>
      <c r="K691" s="518"/>
      <c r="L691" s="518"/>
      <c r="M691" s="518"/>
      <c r="N691" s="518"/>
      <c r="O691" s="518"/>
      <c r="P691" s="518"/>
      <c r="Q691" s="518"/>
      <c r="R691" s="518"/>
      <c r="S691" s="518"/>
      <c r="T691" s="518"/>
      <c r="U691" s="518"/>
      <c r="V691" s="518"/>
      <c r="W691" s="518"/>
      <c r="X691" s="518"/>
      <c r="Y691" s="518"/>
      <c r="Z691" s="518"/>
      <c r="AA691" s="518"/>
      <c r="AB691" s="518"/>
      <c r="AC691" s="518"/>
      <c r="AD691" s="518"/>
      <c r="AE691" s="518"/>
      <c r="AF691" s="518"/>
      <c r="AG691" s="518"/>
      <c r="AH691" s="518"/>
      <c r="AI691" s="518"/>
      <c r="AJ691" s="518"/>
      <c r="AK691" s="518"/>
      <c r="AL691" s="518"/>
      <c r="AM691" s="518"/>
      <c r="AN691" s="518"/>
      <c r="AO691" s="518"/>
      <c r="AP691" s="518"/>
      <c r="AQ691" s="518"/>
      <c r="AR691" s="518"/>
      <c r="AS691" s="518"/>
      <c r="AT691" s="518"/>
      <c r="AU691" s="518"/>
      <c r="AV691" s="518"/>
      <c r="AW691" s="518"/>
      <c r="AX691" s="518"/>
      <c r="AY691" s="518"/>
      <c r="AZ691" s="518"/>
      <c r="BA691" s="518"/>
      <c r="BB691" s="518"/>
      <c r="BC691" s="518"/>
      <c r="BD691" s="518"/>
      <c r="BE691" s="518"/>
    </row>
    <row r="692" spans="1:57" ht="12.75" customHeight="1">
      <c r="A692" s="518"/>
      <c r="B692" s="518"/>
      <c r="C692" s="518"/>
      <c r="D692" s="518"/>
      <c r="E692" s="518"/>
      <c r="F692" s="518"/>
      <c r="G692" s="518"/>
      <c r="H692" s="518"/>
      <c r="I692" s="518"/>
      <c r="J692" s="518"/>
      <c r="K692" s="518"/>
      <c r="L692" s="518"/>
      <c r="M692" s="518"/>
      <c r="N692" s="518"/>
      <c r="O692" s="518"/>
      <c r="P692" s="518"/>
      <c r="Q692" s="518"/>
      <c r="R692" s="518"/>
      <c r="S692" s="518"/>
      <c r="T692" s="518"/>
      <c r="U692" s="518"/>
      <c r="V692" s="518"/>
      <c r="W692" s="518"/>
      <c r="X692" s="518"/>
      <c r="Y692" s="518"/>
      <c r="Z692" s="518"/>
      <c r="AA692" s="518"/>
      <c r="AB692" s="518"/>
      <c r="AC692" s="518"/>
      <c r="AD692" s="518"/>
      <c r="AE692" s="518"/>
      <c r="AF692" s="518"/>
      <c r="AG692" s="518"/>
      <c r="AH692" s="518"/>
      <c r="AI692" s="518"/>
      <c r="AJ692" s="518"/>
      <c r="AK692" s="518"/>
      <c r="AL692" s="518"/>
      <c r="AM692" s="518"/>
      <c r="AN692" s="518"/>
      <c r="AO692" s="518"/>
      <c r="AP692" s="518"/>
      <c r="AQ692" s="518"/>
      <c r="AR692" s="518"/>
      <c r="AS692" s="518"/>
      <c r="AT692" s="518"/>
      <c r="AU692" s="518"/>
      <c r="AV692" s="518"/>
      <c r="AW692" s="518"/>
      <c r="AX692" s="518"/>
      <c r="AY692" s="518"/>
      <c r="AZ692" s="518"/>
      <c r="BA692" s="518"/>
      <c r="BB692" s="518"/>
      <c r="BC692" s="518"/>
      <c r="BD692" s="518"/>
      <c r="BE692" s="518"/>
    </row>
    <row r="693" spans="1:57" ht="12.75" customHeight="1">
      <c r="A693" s="518"/>
      <c r="B693" s="518"/>
      <c r="C693" s="518"/>
      <c r="D693" s="518"/>
      <c r="E693" s="518"/>
      <c r="F693" s="518"/>
      <c r="G693" s="518"/>
      <c r="H693" s="518"/>
      <c r="I693" s="518"/>
      <c r="J693" s="518"/>
      <c r="K693" s="518"/>
      <c r="L693" s="518"/>
      <c r="M693" s="518"/>
      <c r="N693" s="518"/>
      <c r="O693" s="518"/>
      <c r="P693" s="518"/>
      <c r="Q693" s="518"/>
      <c r="R693" s="518"/>
      <c r="S693" s="518"/>
      <c r="T693" s="518"/>
      <c r="U693" s="518"/>
      <c r="V693" s="518"/>
      <c r="W693" s="518"/>
      <c r="X693" s="518"/>
      <c r="Y693" s="518"/>
      <c r="Z693" s="518"/>
      <c r="AA693" s="518"/>
      <c r="AB693" s="518"/>
      <c r="AC693" s="518"/>
      <c r="AD693" s="518"/>
      <c r="AE693" s="518"/>
      <c r="AF693" s="518"/>
      <c r="AG693" s="518"/>
      <c r="AH693" s="518"/>
      <c r="AI693" s="518"/>
      <c r="AJ693" s="518"/>
      <c r="AK693" s="518"/>
      <c r="AL693" s="518"/>
      <c r="AM693" s="518"/>
      <c r="AN693" s="518"/>
      <c r="AO693" s="518"/>
      <c r="AP693" s="518"/>
      <c r="AQ693" s="518"/>
      <c r="AR693" s="518"/>
      <c r="AS693" s="518"/>
      <c r="AT693" s="518"/>
      <c r="AU693" s="518"/>
      <c r="AV693" s="518"/>
      <c r="AW693" s="518"/>
      <c r="AX693" s="518"/>
      <c r="AY693" s="518"/>
      <c r="AZ693" s="518"/>
      <c r="BA693" s="518"/>
      <c r="BB693" s="518"/>
      <c r="BC693" s="518"/>
      <c r="BD693" s="518"/>
      <c r="BE693" s="518"/>
    </row>
    <row r="694" spans="1:57" ht="12.75" customHeight="1">
      <c r="A694" s="518"/>
      <c r="B694" s="518"/>
      <c r="C694" s="518"/>
      <c r="D694" s="518"/>
      <c r="E694" s="518"/>
      <c r="F694" s="518"/>
      <c r="G694" s="518"/>
      <c r="H694" s="518"/>
      <c r="I694" s="518"/>
      <c r="J694" s="518"/>
      <c r="K694" s="518"/>
      <c r="L694" s="518"/>
      <c r="M694" s="518"/>
      <c r="N694" s="518"/>
      <c r="O694" s="518"/>
      <c r="P694" s="518"/>
      <c r="Q694" s="518"/>
      <c r="R694" s="518"/>
      <c r="S694" s="518"/>
      <c r="T694" s="518"/>
      <c r="U694" s="518"/>
      <c r="V694" s="518"/>
      <c r="W694" s="518"/>
      <c r="X694" s="518"/>
      <c r="Y694" s="518"/>
      <c r="Z694" s="518"/>
      <c r="AA694" s="518"/>
      <c r="AB694" s="518"/>
      <c r="AC694" s="518"/>
      <c r="AD694" s="518"/>
      <c r="AE694" s="518"/>
      <c r="AF694" s="518"/>
      <c r="AG694" s="518"/>
      <c r="AH694" s="518"/>
      <c r="AI694" s="518"/>
      <c r="AJ694" s="518"/>
      <c r="AK694" s="518"/>
      <c r="AL694" s="518"/>
      <c r="AM694" s="518"/>
      <c r="AN694" s="518"/>
      <c r="AO694" s="518"/>
      <c r="AP694" s="518"/>
      <c r="AQ694" s="518"/>
      <c r="AR694" s="518"/>
      <c r="AS694" s="518"/>
      <c r="AT694" s="518"/>
      <c r="AU694" s="518"/>
      <c r="AV694" s="518"/>
      <c r="AW694" s="518"/>
      <c r="AX694" s="518"/>
      <c r="AY694" s="518"/>
      <c r="AZ694" s="518"/>
      <c r="BA694" s="518"/>
      <c r="BB694" s="518"/>
      <c r="BC694" s="518"/>
      <c r="BD694" s="518"/>
      <c r="BE694" s="518"/>
    </row>
    <row r="695" spans="1:57" ht="12.75" customHeight="1">
      <c r="A695" s="518"/>
      <c r="B695" s="518"/>
      <c r="C695" s="518"/>
      <c r="D695" s="518"/>
      <c r="E695" s="518"/>
      <c r="F695" s="518"/>
      <c r="G695" s="518"/>
      <c r="H695" s="518"/>
      <c r="I695" s="518"/>
      <c r="J695" s="518"/>
      <c r="K695" s="518"/>
      <c r="L695" s="518"/>
      <c r="M695" s="518"/>
      <c r="N695" s="518"/>
      <c r="O695" s="518"/>
      <c r="P695" s="518"/>
      <c r="Q695" s="518"/>
      <c r="R695" s="518"/>
      <c r="S695" s="518"/>
      <c r="T695" s="518"/>
      <c r="U695" s="518"/>
      <c r="V695" s="518"/>
      <c r="W695" s="518"/>
      <c r="X695" s="518"/>
      <c r="Y695" s="518"/>
      <c r="Z695" s="518"/>
      <c r="AA695" s="518"/>
      <c r="AB695" s="518"/>
      <c r="AC695" s="518"/>
      <c r="AD695" s="518"/>
      <c r="AE695" s="518"/>
      <c r="AF695" s="518"/>
      <c r="AG695" s="518"/>
      <c r="AH695" s="518"/>
      <c r="AI695" s="518"/>
      <c r="AJ695" s="518"/>
      <c r="AK695" s="518"/>
      <c r="AL695" s="518"/>
      <c r="AM695" s="518"/>
      <c r="AN695" s="518"/>
      <c r="AO695" s="518"/>
      <c r="AP695" s="518"/>
      <c r="AQ695" s="518"/>
      <c r="AR695" s="518"/>
      <c r="AS695" s="518"/>
      <c r="AT695" s="518"/>
      <c r="AU695" s="518"/>
      <c r="AV695" s="518"/>
      <c r="AW695" s="518"/>
      <c r="AX695" s="518"/>
      <c r="AY695" s="518"/>
      <c r="AZ695" s="518"/>
      <c r="BA695" s="518"/>
      <c r="BB695" s="518"/>
      <c r="BC695" s="518"/>
      <c r="BD695" s="518"/>
      <c r="BE695" s="518"/>
    </row>
    <row r="696" spans="1:57" ht="12.75" customHeight="1">
      <c r="A696" s="518"/>
      <c r="B696" s="518"/>
      <c r="C696" s="518"/>
      <c r="D696" s="518"/>
      <c r="E696" s="518"/>
      <c r="F696" s="518"/>
      <c r="G696" s="518"/>
      <c r="H696" s="518"/>
      <c r="I696" s="518"/>
      <c r="J696" s="518"/>
      <c r="K696" s="518"/>
      <c r="L696" s="518"/>
      <c r="M696" s="518"/>
      <c r="N696" s="518"/>
      <c r="O696" s="518"/>
      <c r="P696" s="518"/>
      <c r="Q696" s="518"/>
      <c r="R696" s="518"/>
      <c r="S696" s="518"/>
      <c r="T696" s="518"/>
      <c r="U696" s="518"/>
      <c r="V696" s="518"/>
      <c r="W696" s="518"/>
      <c r="X696" s="518"/>
      <c r="Y696" s="518"/>
      <c r="Z696" s="518"/>
      <c r="AA696" s="518"/>
      <c r="AB696" s="518"/>
      <c r="AC696" s="518"/>
      <c r="AD696" s="518"/>
      <c r="AE696" s="518"/>
      <c r="AF696" s="518"/>
      <c r="AG696" s="518"/>
      <c r="AH696" s="518"/>
      <c r="AI696" s="518"/>
      <c r="AJ696" s="518"/>
      <c r="AK696" s="518"/>
      <c r="AL696" s="518"/>
      <c r="AM696" s="518"/>
      <c r="AN696" s="518"/>
      <c r="AO696" s="518"/>
      <c r="AP696" s="518"/>
      <c r="AQ696" s="518"/>
      <c r="AR696" s="518"/>
      <c r="AS696" s="518"/>
      <c r="AT696" s="518"/>
      <c r="AU696" s="518"/>
      <c r="AV696" s="518"/>
      <c r="AW696" s="518"/>
      <c r="AX696" s="518"/>
      <c r="AY696" s="518"/>
      <c r="AZ696" s="518"/>
      <c r="BA696" s="518"/>
      <c r="BB696" s="518"/>
      <c r="BC696" s="518"/>
      <c r="BD696" s="518"/>
      <c r="BE696" s="518"/>
    </row>
    <row r="697" spans="1:57" ht="12.75" customHeight="1">
      <c r="A697" s="518"/>
      <c r="B697" s="518"/>
      <c r="C697" s="518"/>
      <c r="D697" s="518"/>
      <c r="E697" s="518"/>
      <c r="F697" s="518"/>
      <c r="G697" s="518"/>
      <c r="H697" s="518"/>
      <c r="I697" s="518"/>
      <c r="J697" s="518"/>
      <c r="K697" s="518"/>
      <c r="L697" s="518"/>
      <c r="M697" s="518"/>
      <c r="N697" s="518"/>
      <c r="O697" s="518"/>
      <c r="P697" s="518"/>
      <c r="Q697" s="518"/>
      <c r="R697" s="518"/>
      <c r="S697" s="518"/>
      <c r="T697" s="518"/>
      <c r="U697" s="518"/>
      <c r="V697" s="518"/>
      <c r="W697" s="518"/>
      <c r="X697" s="518"/>
      <c r="Y697" s="518"/>
      <c r="Z697" s="518"/>
      <c r="AA697" s="518"/>
      <c r="AB697" s="518"/>
      <c r="AC697" s="518"/>
      <c r="AD697" s="518"/>
      <c r="AE697" s="518"/>
      <c r="AF697" s="518"/>
      <c r="AG697" s="518"/>
      <c r="AH697" s="518"/>
      <c r="AI697" s="518"/>
      <c r="AJ697" s="518"/>
      <c r="AK697" s="518"/>
      <c r="AL697" s="518"/>
      <c r="AM697" s="518"/>
      <c r="AN697" s="518"/>
      <c r="AO697" s="518"/>
      <c r="AP697" s="518"/>
      <c r="AQ697" s="518"/>
      <c r="AR697" s="518"/>
      <c r="AS697" s="518"/>
      <c r="AT697" s="518"/>
      <c r="AU697" s="518"/>
      <c r="AV697" s="518"/>
      <c r="AW697" s="518"/>
      <c r="AX697" s="518"/>
      <c r="AY697" s="518"/>
      <c r="AZ697" s="518"/>
      <c r="BA697" s="518"/>
      <c r="BB697" s="518"/>
      <c r="BC697" s="518"/>
      <c r="BD697" s="518"/>
      <c r="BE697" s="518"/>
    </row>
    <row r="698" spans="1:57" ht="12.75" customHeight="1">
      <c r="A698" s="518"/>
      <c r="B698" s="518"/>
      <c r="C698" s="518"/>
      <c r="D698" s="518"/>
      <c r="E698" s="518"/>
      <c r="F698" s="518"/>
      <c r="G698" s="518"/>
      <c r="H698" s="518"/>
      <c r="I698" s="518"/>
      <c r="J698" s="518"/>
      <c r="K698" s="518"/>
      <c r="L698" s="518"/>
      <c r="M698" s="518"/>
      <c r="N698" s="518"/>
      <c r="O698" s="518"/>
      <c r="P698" s="518"/>
      <c r="Q698" s="518"/>
      <c r="R698" s="518"/>
      <c r="S698" s="518"/>
      <c r="T698" s="518"/>
      <c r="U698" s="518"/>
      <c r="V698" s="518"/>
      <c r="W698" s="518"/>
      <c r="X698" s="518"/>
      <c r="Y698" s="518"/>
      <c r="Z698" s="518"/>
      <c r="AA698" s="518"/>
      <c r="AB698" s="518"/>
      <c r="AC698" s="518"/>
      <c r="AD698" s="518"/>
      <c r="AE698" s="518"/>
      <c r="AF698" s="518"/>
      <c r="AG698" s="518"/>
      <c r="AH698" s="518"/>
      <c r="AI698" s="518"/>
      <c r="AJ698" s="518"/>
      <c r="AK698" s="518"/>
      <c r="AL698" s="518"/>
      <c r="AM698" s="518"/>
      <c r="AN698" s="518"/>
      <c r="AO698" s="518"/>
      <c r="AP698" s="518"/>
      <c r="AQ698" s="518"/>
      <c r="AR698" s="518"/>
      <c r="AS698" s="518"/>
      <c r="AT698" s="518"/>
      <c r="AU698" s="518"/>
      <c r="AV698" s="518"/>
      <c r="AW698" s="518"/>
      <c r="AX698" s="518"/>
      <c r="AY698" s="518"/>
      <c r="AZ698" s="518"/>
      <c r="BA698" s="518"/>
      <c r="BB698" s="518"/>
      <c r="BC698" s="518"/>
      <c r="BD698" s="518"/>
      <c r="BE698" s="518"/>
    </row>
    <row r="699" spans="1:57" ht="12.75" customHeight="1">
      <c r="A699" s="518"/>
      <c r="B699" s="518"/>
      <c r="C699" s="518"/>
      <c r="D699" s="518"/>
      <c r="E699" s="518"/>
      <c r="F699" s="518"/>
      <c r="G699" s="518"/>
      <c r="H699" s="518"/>
      <c r="I699" s="518"/>
      <c r="J699" s="518"/>
      <c r="K699" s="518"/>
      <c r="L699" s="518"/>
      <c r="M699" s="518"/>
      <c r="N699" s="518"/>
      <c r="O699" s="518"/>
      <c r="P699" s="518"/>
      <c r="Q699" s="518"/>
      <c r="R699" s="518"/>
      <c r="S699" s="518"/>
      <c r="T699" s="518"/>
      <c r="U699" s="518"/>
      <c r="V699" s="518"/>
      <c r="W699" s="518"/>
      <c r="X699" s="518"/>
      <c r="Y699" s="518"/>
      <c r="Z699" s="518"/>
      <c r="AA699" s="518"/>
      <c r="AB699" s="518"/>
      <c r="AC699" s="518"/>
      <c r="AD699" s="518"/>
      <c r="AE699" s="518"/>
      <c r="AF699" s="518"/>
      <c r="AG699" s="518"/>
      <c r="AH699" s="518"/>
      <c r="AI699" s="518"/>
      <c r="AJ699" s="518"/>
      <c r="AK699" s="518"/>
      <c r="AL699" s="518"/>
      <c r="AM699" s="518"/>
      <c r="AN699" s="518"/>
      <c r="AO699" s="518"/>
      <c r="AP699" s="518"/>
      <c r="AQ699" s="518"/>
      <c r="AR699" s="518"/>
      <c r="AS699" s="518"/>
      <c r="AT699" s="518"/>
      <c r="AU699" s="518"/>
      <c r="AV699" s="518"/>
      <c r="AW699" s="518"/>
      <c r="AX699" s="518"/>
      <c r="AY699" s="518"/>
      <c r="AZ699" s="518"/>
      <c r="BA699" s="518"/>
      <c r="BB699" s="518"/>
      <c r="BC699" s="518"/>
      <c r="BD699" s="518"/>
      <c r="BE699" s="518"/>
    </row>
    <row r="700" spans="1:57" ht="12.75" customHeight="1">
      <c r="A700" s="518"/>
      <c r="B700" s="518"/>
      <c r="C700" s="518"/>
      <c r="D700" s="518"/>
      <c r="E700" s="518"/>
      <c r="F700" s="518"/>
      <c r="G700" s="518"/>
      <c r="H700" s="518"/>
      <c r="I700" s="518"/>
      <c r="J700" s="518"/>
      <c r="K700" s="518"/>
      <c r="L700" s="518"/>
      <c r="M700" s="518"/>
      <c r="N700" s="518"/>
      <c r="O700" s="518"/>
      <c r="P700" s="518"/>
      <c r="Q700" s="518"/>
      <c r="R700" s="518"/>
      <c r="S700" s="518"/>
      <c r="T700" s="518"/>
      <c r="U700" s="518"/>
      <c r="V700" s="518"/>
      <c r="W700" s="518"/>
      <c r="X700" s="518"/>
      <c r="Y700" s="518"/>
      <c r="Z700" s="518"/>
      <c r="AA700" s="518"/>
      <c r="AB700" s="518"/>
      <c r="AC700" s="518"/>
      <c r="AD700" s="518"/>
      <c r="AE700" s="518"/>
      <c r="AF700" s="518"/>
      <c r="AG700" s="518"/>
      <c r="AH700" s="518"/>
      <c r="AI700" s="518"/>
      <c r="AJ700" s="518"/>
      <c r="AK700" s="518"/>
      <c r="AL700" s="518"/>
      <c r="AM700" s="518"/>
      <c r="AN700" s="518"/>
      <c r="AO700" s="518"/>
      <c r="AP700" s="518"/>
      <c r="AQ700" s="518"/>
      <c r="AR700" s="518"/>
      <c r="AS700" s="518"/>
      <c r="AT700" s="518"/>
      <c r="AU700" s="518"/>
      <c r="AV700" s="518"/>
      <c r="AW700" s="518"/>
      <c r="AX700" s="518"/>
      <c r="AY700" s="518"/>
      <c r="AZ700" s="518"/>
      <c r="BA700" s="518"/>
      <c r="BB700" s="518"/>
      <c r="BC700" s="518"/>
      <c r="BD700" s="518"/>
      <c r="BE700" s="518"/>
    </row>
    <row r="701" spans="1:57" ht="12.75" customHeight="1">
      <c r="A701" s="518"/>
      <c r="B701" s="518"/>
      <c r="C701" s="518"/>
      <c r="D701" s="518"/>
      <c r="E701" s="518"/>
      <c r="F701" s="518"/>
      <c r="G701" s="518"/>
      <c r="H701" s="518"/>
      <c r="I701" s="518"/>
      <c r="J701" s="518"/>
      <c r="K701" s="518"/>
      <c r="L701" s="518"/>
      <c r="M701" s="518"/>
      <c r="N701" s="518"/>
      <c r="O701" s="518"/>
      <c r="P701" s="518"/>
      <c r="Q701" s="518"/>
      <c r="R701" s="518"/>
      <c r="S701" s="518"/>
      <c r="T701" s="518"/>
      <c r="U701" s="518"/>
      <c r="V701" s="518"/>
      <c r="W701" s="518"/>
      <c r="X701" s="518"/>
      <c r="Y701" s="518"/>
      <c r="Z701" s="518"/>
      <c r="AA701" s="518"/>
      <c r="AB701" s="518"/>
      <c r="AC701" s="518"/>
      <c r="AD701" s="518"/>
      <c r="AE701" s="518"/>
      <c r="AF701" s="518"/>
      <c r="AG701" s="518"/>
      <c r="AH701" s="518"/>
      <c r="AI701" s="518"/>
      <c r="AJ701" s="518"/>
      <c r="AK701" s="518"/>
      <c r="AL701" s="518"/>
      <c r="AM701" s="518"/>
      <c r="AN701" s="518"/>
      <c r="AO701" s="518"/>
      <c r="AP701" s="518"/>
      <c r="AQ701" s="518"/>
      <c r="AR701" s="518"/>
      <c r="AS701" s="518"/>
      <c r="AT701" s="518"/>
      <c r="AU701" s="518"/>
      <c r="AV701" s="518"/>
      <c r="AW701" s="518"/>
      <c r="AX701" s="518"/>
      <c r="AY701" s="518"/>
      <c r="AZ701" s="518"/>
      <c r="BA701" s="518"/>
      <c r="BB701" s="518"/>
      <c r="BC701" s="518"/>
      <c r="BD701" s="518"/>
      <c r="BE701" s="518"/>
    </row>
    <row r="702" spans="1:57" ht="12.75" customHeight="1">
      <c r="A702" s="518"/>
      <c r="B702" s="518"/>
      <c r="C702" s="518"/>
      <c r="D702" s="518"/>
      <c r="E702" s="518"/>
      <c r="F702" s="518"/>
      <c r="G702" s="518"/>
      <c r="H702" s="518"/>
      <c r="I702" s="518"/>
      <c r="J702" s="518"/>
      <c r="K702" s="518"/>
      <c r="L702" s="518"/>
      <c r="M702" s="518"/>
      <c r="N702" s="518"/>
      <c r="O702" s="518"/>
      <c r="P702" s="518"/>
      <c r="Q702" s="518"/>
      <c r="R702" s="518"/>
      <c r="S702" s="518"/>
      <c r="T702" s="518"/>
      <c r="U702" s="518"/>
      <c r="V702" s="518"/>
      <c r="W702" s="518"/>
      <c r="X702" s="518"/>
      <c r="Y702" s="518"/>
      <c r="Z702" s="518"/>
      <c r="AA702" s="518"/>
      <c r="AB702" s="518"/>
      <c r="AC702" s="518"/>
      <c r="AD702" s="518"/>
      <c r="AE702" s="518"/>
      <c r="AF702" s="518"/>
      <c r="AG702" s="518"/>
      <c r="AH702" s="518"/>
      <c r="AI702" s="518"/>
      <c r="AJ702" s="518"/>
      <c r="AK702" s="518"/>
      <c r="AL702" s="518"/>
      <c r="AM702" s="518"/>
      <c r="AN702" s="518"/>
      <c r="AO702" s="518"/>
      <c r="AP702" s="518"/>
      <c r="AQ702" s="518"/>
      <c r="AR702" s="518"/>
      <c r="AS702" s="518"/>
      <c r="AT702" s="518"/>
      <c r="AU702" s="518"/>
      <c r="AV702" s="518"/>
      <c r="AW702" s="518"/>
      <c r="AX702" s="518"/>
      <c r="AY702" s="518"/>
      <c r="AZ702" s="518"/>
      <c r="BA702" s="518"/>
      <c r="BB702" s="518"/>
      <c r="BC702" s="518"/>
      <c r="BD702" s="518"/>
      <c r="BE702" s="518"/>
    </row>
    <row r="703" spans="1:57" ht="12.75" customHeight="1">
      <c r="A703" s="518"/>
      <c r="B703" s="518"/>
      <c r="C703" s="518"/>
      <c r="D703" s="518"/>
      <c r="E703" s="518"/>
      <c r="F703" s="518"/>
      <c r="G703" s="518"/>
      <c r="H703" s="518"/>
      <c r="I703" s="518"/>
      <c r="J703" s="518"/>
      <c r="K703" s="518"/>
      <c r="L703" s="518"/>
      <c r="M703" s="518"/>
      <c r="N703" s="518"/>
      <c r="O703" s="518"/>
      <c r="P703" s="518"/>
      <c r="Q703" s="518"/>
      <c r="R703" s="518"/>
      <c r="S703" s="518"/>
      <c r="T703" s="518"/>
      <c r="U703" s="518"/>
      <c r="V703" s="518"/>
      <c r="W703" s="518"/>
      <c r="X703" s="518"/>
      <c r="Y703" s="518"/>
      <c r="Z703" s="518"/>
      <c r="AA703" s="518"/>
      <c r="AB703" s="518"/>
      <c r="AC703" s="518"/>
      <c r="AD703" s="518"/>
      <c r="AE703" s="518"/>
      <c r="AF703" s="518"/>
      <c r="AG703" s="518"/>
      <c r="AH703" s="518"/>
      <c r="AI703" s="518"/>
      <c r="AJ703" s="518"/>
      <c r="AK703" s="518"/>
      <c r="AL703" s="518"/>
      <c r="AM703" s="518"/>
      <c r="AN703" s="518"/>
      <c r="AO703" s="518"/>
      <c r="AP703" s="518"/>
      <c r="AQ703" s="518"/>
      <c r="AR703" s="518"/>
      <c r="AS703" s="518"/>
      <c r="AT703" s="518"/>
      <c r="AU703" s="518"/>
      <c r="AV703" s="518"/>
      <c r="AW703" s="518"/>
      <c r="AX703" s="518"/>
      <c r="AY703" s="518"/>
      <c r="AZ703" s="518"/>
      <c r="BA703" s="518"/>
      <c r="BB703" s="518"/>
      <c r="BC703" s="518"/>
      <c r="BD703" s="518"/>
      <c r="BE703" s="518"/>
    </row>
    <row r="704" spans="1:57" ht="12.75" customHeight="1">
      <c r="A704" s="518"/>
      <c r="B704" s="518"/>
      <c r="C704" s="518"/>
      <c r="D704" s="518"/>
      <c r="E704" s="518"/>
      <c r="F704" s="518"/>
      <c r="G704" s="518"/>
      <c r="H704" s="518"/>
      <c r="I704" s="518"/>
      <c r="J704" s="518"/>
      <c r="K704" s="518"/>
      <c r="L704" s="518"/>
      <c r="M704" s="518"/>
      <c r="N704" s="518"/>
      <c r="O704" s="518"/>
      <c r="P704" s="518"/>
      <c r="Q704" s="518"/>
      <c r="R704" s="518"/>
      <c r="S704" s="518"/>
      <c r="T704" s="518"/>
      <c r="U704" s="518"/>
      <c r="V704" s="518"/>
      <c r="W704" s="518"/>
      <c r="X704" s="518"/>
      <c r="Y704" s="518"/>
      <c r="Z704" s="518"/>
      <c r="AA704" s="518"/>
      <c r="AB704" s="518"/>
      <c r="AC704" s="518"/>
      <c r="AD704" s="518"/>
      <c r="AE704" s="518"/>
      <c r="AF704" s="518"/>
      <c r="AG704" s="518"/>
      <c r="AH704" s="518"/>
      <c r="AI704" s="518"/>
      <c r="AJ704" s="518"/>
      <c r="AK704" s="518"/>
      <c r="AL704" s="518"/>
      <c r="AM704" s="518"/>
      <c r="AN704" s="518"/>
      <c r="AO704" s="518"/>
      <c r="AP704" s="518"/>
      <c r="AQ704" s="518"/>
      <c r="AR704" s="518"/>
      <c r="AS704" s="518"/>
      <c r="AT704" s="518"/>
      <c r="AU704" s="518"/>
      <c r="AV704" s="518"/>
      <c r="AW704" s="518"/>
      <c r="AX704" s="518"/>
      <c r="AY704" s="518"/>
      <c r="AZ704" s="518"/>
      <c r="BA704" s="518"/>
      <c r="BB704" s="518"/>
      <c r="BC704" s="518"/>
      <c r="BD704" s="518"/>
      <c r="BE704" s="518"/>
    </row>
    <row r="705" spans="1:57" ht="12.75" customHeight="1">
      <c r="A705" s="518"/>
      <c r="B705" s="518"/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  <c r="AB705" s="518"/>
      <c r="AC705" s="518"/>
      <c r="AD705" s="518"/>
      <c r="AE705" s="518"/>
      <c r="AF705" s="518"/>
      <c r="AG705" s="518"/>
      <c r="AH705" s="518"/>
      <c r="AI705" s="518"/>
      <c r="AJ705" s="518"/>
      <c r="AK705" s="518"/>
      <c r="AL705" s="518"/>
      <c r="AM705" s="518"/>
      <c r="AN705" s="518"/>
      <c r="AO705" s="518"/>
      <c r="AP705" s="518"/>
      <c r="AQ705" s="518"/>
      <c r="AR705" s="518"/>
      <c r="AS705" s="518"/>
      <c r="AT705" s="518"/>
      <c r="AU705" s="518"/>
      <c r="AV705" s="518"/>
      <c r="AW705" s="518"/>
      <c r="AX705" s="518"/>
      <c r="AY705" s="518"/>
      <c r="AZ705" s="518"/>
      <c r="BA705" s="518"/>
      <c r="BB705" s="518"/>
      <c r="BC705" s="518"/>
      <c r="BD705" s="518"/>
      <c r="BE705" s="518"/>
    </row>
    <row r="706" spans="1:57" ht="12.75" customHeight="1">
      <c r="A706" s="518"/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8"/>
      <c r="AQ706" s="518"/>
      <c r="AR706" s="518"/>
      <c r="AS706" s="518"/>
      <c r="AT706" s="518"/>
      <c r="AU706" s="518"/>
      <c r="AV706" s="518"/>
      <c r="AW706" s="518"/>
      <c r="AX706" s="518"/>
      <c r="AY706" s="518"/>
      <c r="AZ706" s="518"/>
      <c r="BA706" s="518"/>
      <c r="BB706" s="518"/>
      <c r="BC706" s="518"/>
      <c r="BD706" s="518"/>
      <c r="BE706" s="518"/>
    </row>
    <row r="707" spans="1:57" ht="12.75" customHeight="1">
      <c r="A707" s="518"/>
      <c r="B707" s="518"/>
      <c r="C707" s="518"/>
      <c r="D707" s="518"/>
      <c r="E707" s="518"/>
      <c r="F707" s="518"/>
      <c r="G707" s="518"/>
      <c r="H707" s="518"/>
      <c r="I707" s="518"/>
      <c r="J707" s="518"/>
      <c r="K707" s="518"/>
      <c r="L707" s="518"/>
      <c r="M707" s="518"/>
      <c r="N707" s="518"/>
      <c r="O707" s="518"/>
      <c r="P707" s="518"/>
      <c r="Q707" s="518"/>
      <c r="R707" s="518"/>
      <c r="S707" s="518"/>
      <c r="T707" s="518"/>
      <c r="U707" s="518"/>
      <c r="V707" s="518"/>
      <c r="W707" s="518"/>
      <c r="X707" s="518"/>
      <c r="Y707" s="518"/>
      <c r="Z707" s="518"/>
      <c r="AA707" s="518"/>
      <c r="AB707" s="518"/>
      <c r="AC707" s="518"/>
      <c r="AD707" s="518"/>
      <c r="AE707" s="518"/>
      <c r="AF707" s="518"/>
      <c r="AG707" s="518"/>
      <c r="AH707" s="518"/>
      <c r="AI707" s="518"/>
      <c r="AJ707" s="518"/>
      <c r="AK707" s="518"/>
      <c r="AL707" s="518"/>
      <c r="AM707" s="518"/>
      <c r="AN707" s="518"/>
      <c r="AO707" s="518"/>
      <c r="AP707" s="518"/>
      <c r="AQ707" s="518"/>
      <c r="AR707" s="518"/>
      <c r="AS707" s="518"/>
      <c r="AT707" s="518"/>
      <c r="AU707" s="518"/>
      <c r="AV707" s="518"/>
      <c r="AW707" s="518"/>
      <c r="AX707" s="518"/>
      <c r="AY707" s="518"/>
      <c r="AZ707" s="518"/>
      <c r="BA707" s="518"/>
      <c r="BB707" s="518"/>
      <c r="BC707" s="518"/>
      <c r="BD707" s="518"/>
      <c r="BE707" s="518"/>
    </row>
    <row r="708" spans="1:57" ht="12.75" customHeight="1">
      <c r="A708" s="518"/>
      <c r="B708" s="518"/>
      <c r="C708" s="518"/>
      <c r="D708" s="518"/>
      <c r="E708" s="518"/>
      <c r="F708" s="518"/>
      <c r="G708" s="518"/>
      <c r="H708" s="518"/>
      <c r="I708" s="518"/>
      <c r="J708" s="518"/>
      <c r="K708" s="518"/>
      <c r="L708" s="518"/>
      <c r="M708" s="518"/>
      <c r="N708" s="518"/>
      <c r="O708" s="518"/>
      <c r="P708" s="518"/>
      <c r="Q708" s="518"/>
      <c r="R708" s="518"/>
      <c r="S708" s="518"/>
      <c r="T708" s="518"/>
      <c r="U708" s="518"/>
      <c r="V708" s="518"/>
      <c r="W708" s="518"/>
      <c r="X708" s="518"/>
      <c r="Y708" s="518"/>
      <c r="Z708" s="518"/>
      <c r="AA708" s="518"/>
      <c r="AB708" s="518"/>
      <c r="AC708" s="518"/>
      <c r="AD708" s="518"/>
      <c r="AE708" s="518"/>
      <c r="AF708" s="518"/>
      <c r="AG708" s="518"/>
      <c r="AH708" s="518"/>
      <c r="AI708" s="518"/>
      <c r="AJ708" s="518"/>
      <c r="AK708" s="518"/>
      <c r="AL708" s="518"/>
      <c r="AM708" s="518"/>
      <c r="AN708" s="518"/>
      <c r="AO708" s="518"/>
      <c r="AP708" s="518"/>
      <c r="AQ708" s="518"/>
      <c r="AR708" s="518"/>
      <c r="AS708" s="518"/>
      <c r="AT708" s="518"/>
      <c r="AU708" s="518"/>
      <c r="AV708" s="518"/>
      <c r="AW708" s="518"/>
      <c r="AX708" s="518"/>
      <c r="AY708" s="518"/>
      <c r="AZ708" s="518"/>
      <c r="BA708" s="518"/>
      <c r="BB708" s="518"/>
      <c r="BC708" s="518"/>
      <c r="BD708" s="518"/>
      <c r="BE708" s="518"/>
    </row>
    <row r="709" spans="1:57" ht="12.75" customHeight="1">
      <c r="A709" s="518"/>
      <c r="B709" s="518"/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  <c r="AB709" s="518"/>
      <c r="AC709" s="518"/>
      <c r="AD709" s="518"/>
      <c r="AE709" s="518"/>
      <c r="AF709" s="518"/>
      <c r="AG709" s="518"/>
      <c r="AH709" s="518"/>
      <c r="AI709" s="518"/>
      <c r="AJ709" s="518"/>
      <c r="AK709" s="518"/>
      <c r="AL709" s="518"/>
      <c r="AM709" s="518"/>
      <c r="AN709" s="518"/>
      <c r="AO709" s="518"/>
      <c r="AP709" s="518"/>
      <c r="AQ709" s="518"/>
      <c r="AR709" s="518"/>
      <c r="AS709" s="518"/>
      <c r="AT709" s="518"/>
      <c r="AU709" s="518"/>
      <c r="AV709" s="518"/>
      <c r="AW709" s="518"/>
      <c r="AX709" s="518"/>
      <c r="AY709" s="518"/>
      <c r="AZ709" s="518"/>
      <c r="BA709" s="518"/>
      <c r="BB709" s="518"/>
      <c r="BC709" s="518"/>
      <c r="BD709" s="518"/>
      <c r="BE709" s="518"/>
    </row>
    <row r="710" spans="1:57" ht="12.75" customHeight="1">
      <c r="A710" s="518"/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8"/>
      <c r="AQ710" s="518"/>
      <c r="AR710" s="518"/>
      <c r="AS710" s="518"/>
      <c r="AT710" s="518"/>
      <c r="AU710" s="518"/>
      <c r="AV710" s="518"/>
      <c r="AW710" s="518"/>
      <c r="AX710" s="518"/>
      <c r="AY710" s="518"/>
      <c r="AZ710" s="518"/>
      <c r="BA710" s="518"/>
      <c r="BB710" s="518"/>
      <c r="BC710" s="518"/>
      <c r="BD710" s="518"/>
      <c r="BE710" s="518"/>
    </row>
    <row r="711" spans="1:57" ht="12.75" customHeight="1">
      <c r="A711" s="518"/>
      <c r="B711" s="518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8"/>
      <c r="AQ711" s="518"/>
      <c r="AR711" s="518"/>
      <c r="AS711" s="518"/>
      <c r="AT711" s="518"/>
      <c r="AU711" s="518"/>
      <c r="AV711" s="518"/>
      <c r="AW711" s="518"/>
      <c r="AX711" s="518"/>
      <c r="AY711" s="518"/>
      <c r="AZ711" s="518"/>
      <c r="BA711" s="518"/>
      <c r="BB711" s="518"/>
      <c r="BC711" s="518"/>
      <c r="BD711" s="518"/>
      <c r="BE711" s="518"/>
    </row>
    <row r="712" spans="1:57" ht="12.75" customHeight="1">
      <c r="A712" s="518"/>
      <c r="B712" s="518"/>
      <c r="C712" s="518"/>
      <c r="D712" s="518"/>
      <c r="E712" s="518"/>
      <c r="F712" s="518"/>
      <c r="G712" s="518"/>
      <c r="H712" s="518"/>
      <c r="I712" s="518"/>
      <c r="J712" s="518"/>
      <c r="K712" s="518"/>
      <c r="L712" s="518"/>
      <c r="M712" s="518"/>
      <c r="N712" s="518"/>
      <c r="O712" s="518"/>
      <c r="P712" s="518"/>
      <c r="Q712" s="518"/>
      <c r="R712" s="518"/>
      <c r="S712" s="518"/>
      <c r="T712" s="518"/>
      <c r="U712" s="518"/>
      <c r="V712" s="518"/>
      <c r="W712" s="518"/>
      <c r="X712" s="518"/>
      <c r="Y712" s="518"/>
      <c r="Z712" s="518"/>
      <c r="AA712" s="518"/>
      <c r="AB712" s="518"/>
      <c r="AC712" s="518"/>
      <c r="AD712" s="518"/>
      <c r="AE712" s="518"/>
      <c r="AF712" s="518"/>
      <c r="AG712" s="518"/>
      <c r="AH712" s="518"/>
      <c r="AI712" s="518"/>
      <c r="AJ712" s="518"/>
      <c r="AK712" s="518"/>
      <c r="AL712" s="518"/>
      <c r="AM712" s="518"/>
      <c r="AN712" s="518"/>
      <c r="AO712" s="518"/>
      <c r="AP712" s="518"/>
      <c r="AQ712" s="518"/>
      <c r="AR712" s="518"/>
      <c r="AS712" s="518"/>
      <c r="AT712" s="518"/>
      <c r="AU712" s="518"/>
      <c r="AV712" s="518"/>
      <c r="AW712" s="518"/>
      <c r="AX712" s="518"/>
      <c r="AY712" s="518"/>
      <c r="AZ712" s="518"/>
      <c r="BA712" s="518"/>
      <c r="BB712" s="518"/>
      <c r="BC712" s="518"/>
      <c r="BD712" s="518"/>
      <c r="BE712" s="518"/>
    </row>
    <row r="713" spans="1:57" ht="12.75" customHeight="1">
      <c r="A713" s="518"/>
      <c r="B713" s="518"/>
      <c r="C713" s="518"/>
      <c r="D713" s="518"/>
      <c r="E713" s="518"/>
      <c r="F713" s="518"/>
      <c r="G713" s="518"/>
      <c r="H713" s="518"/>
      <c r="I713" s="518"/>
      <c r="J713" s="518"/>
      <c r="K713" s="518"/>
      <c r="L713" s="518"/>
      <c r="M713" s="518"/>
      <c r="N713" s="518"/>
      <c r="O713" s="518"/>
      <c r="P713" s="518"/>
      <c r="Q713" s="518"/>
      <c r="R713" s="518"/>
      <c r="S713" s="518"/>
      <c r="T713" s="518"/>
      <c r="U713" s="518"/>
      <c r="V713" s="518"/>
      <c r="W713" s="518"/>
      <c r="X713" s="518"/>
      <c r="Y713" s="518"/>
      <c r="Z713" s="518"/>
      <c r="AA713" s="518"/>
      <c r="AB713" s="518"/>
      <c r="AC713" s="518"/>
      <c r="AD713" s="518"/>
      <c r="AE713" s="518"/>
      <c r="AF713" s="518"/>
      <c r="AG713" s="518"/>
      <c r="AH713" s="518"/>
      <c r="AI713" s="518"/>
      <c r="AJ713" s="518"/>
      <c r="AK713" s="518"/>
      <c r="AL713" s="518"/>
      <c r="AM713" s="518"/>
      <c r="AN713" s="518"/>
      <c r="AO713" s="518"/>
      <c r="AP713" s="518"/>
      <c r="AQ713" s="518"/>
      <c r="AR713" s="518"/>
      <c r="AS713" s="518"/>
      <c r="AT713" s="518"/>
      <c r="AU713" s="518"/>
      <c r="AV713" s="518"/>
      <c r="AW713" s="518"/>
      <c r="AX713" s="518"/>
      <c r="AY713" s="518"/>
      <c r="AZ713" s="518"/>
      <c r="BA713" s="518"/>
      <c r="BB713" s="518"/>
      <c r="BC713" s="518"/>
      <c r="BD713" s="518"/>
      <c r="BE713" s="518"/>
    </row>
    <row r="714" spans="1:57" ht="12.75" customHeight="1">
      <c r="A714" s="518"/>
      <c r="B714" s="518"/>
      <c r="C714" s="518"/>
      <c r="D714" s="518"/>
      <c r="E714" s="518"/>
      <c r="F714" s="518"/>
      <c r="G714" s="518"/>
      <c r="H714" s="518"/>
      <c r="I714" s="518"/>
      <c r="J714" s="518"/>
      <c r="K714" s="518"/>
      <c r="L714" s="518"/>
      <c r="M714" s="518"/>
      <c r="N714" s="518"/>
      <c r="O714" s="518"/>
      <c r="P714" s="518"/>
      <c r="Q714" s="518"/>
      <c r="R714" s="518"/>
      <c r="S714" s="518"/>
      <c r="T714" s="518"/>
      <c r="U714" s="518"/>
      <c r="V714" s="518"/>
      <c r="W714" s="518"/>
      <c r="X714" s="518"/>
      <c r="Y714" s="518"/>
      <c r="Z714" s="518"/>
      <c r="AA714" s="518"/>
      <c r="AB714" s="518"/>
      <c r="AC714" s="518"/>
      <c r="AD714" s="518"/>
      <c r="AE714" s="518"/>
      <c r="AF714" s="518"/>
      <c r="AG714" s="518"/>
      <c r="AH714" s="518"/>
      <c r="AI714" s="518"/>
      <c r="AJ714" s="518"/>
      <c r="AK714" s="518"/>
      <c r="AL714" s="518"/>
      <c r="AM714" s="518"/>
      <c r="AN714" s="518"/>
      <c r="AO714" s="518"/>
      <c r="AP714" s="518"/>
      <c r="AQ714" s="518"/>
      <c r="AR714" s="518"/>
      <c r="AS714" s="518"/>
      <c r="AT714" s="518"/>
      <c r="AU714" s="518"/>
      <c r="AV714" s="518"/>
      <c r="AW714" s="518"/>
      <c r="AX714" s="518"/>
      <c r="AY714" s="518"/>
      <c r="AZ714" s="518"/>
      <c r="BA714" s="518"/>
      <c r="BB714" s="518"/>
      <c r="BC714" s="518"/>
      <c r="BD714" s="518"/>
      <c r="BE714" s="518"/>
    </row>
    <row r="715" spans="1:57" ht="12.75" customHeight="1">
      <c r="A715" s="518"/>
      <c r="B715" s="518"/>
      <c r="C715" s="518"/>
      <c r="D715" s="518"/>
      <c r="E715" s="518"/>
      <c r="F715" s="518"/>
      <c r="G715" s="518"/>
      <c r="H715" s="518"/>
      <c r="I715" s="518"/>
      <c r="J715" s="518"/>
      <c r="K715" s="518"/>
      <c r="L715" s="518"/>
      <c r="M715" s="518"/>
      <c r="N715" s="518"/>
      <c r="O715" s="518"/>
      <c r="P715" s="518"/>
      <c r="Q715" s="518"/>
      <c r="R715" s="518"/>
      <c r="S715" s="518"/>
      <c r="T715" s="518"/>
      <c r="U715" s="518"/>
      <c r="V715" s="518"/>
      <c r="W715" s="518"/>
      <c r="X715" s="518"/>
      <c r="Y715" s="518"/>
      <c r="Z715" s="518"/>
      <c r="AA715" s="518"/>
      <c r="AB715" s="518"/>
      <c r="AC715" s="518"/>
      <c r="AD715" s="518"/>
      <c r="AE715" s="518"/>
      <c r="AF715" s="518"/>
      <c r="AG715" s="518"/>
      <c r="AH715" s="518"/>
      <c r="AI715" s="518"/>
      <c r="AJ715" s="518"/>
      <c r="AK715" s="518"/>
      <c r="AL715" s="518"/>
      <c r="AM715" s="518"/>
      <c r="AN715" s="518"/>
      <c r="AO715" s="518"/>
      <c r="AP715" s="518"/>
      <c r="AQ715" s="518"/>
      <c r="AR715" s="518"/>
      <c r="AS715" s="518"/>
      <c r="AT715" s="518"/>
      <c r="AU715" s="518"/>
      <c r="AV715" s="518"/>
      <c r="AW715" s="518"/>
      <c r="AX715" s="518"/>
      <c r="AY715" s="518"/>
      <c r="AZ715" s="518"/>
      <c r="BA715" s="518"/>
      <c r="BB715" s="518"/>
      <c r="BC715" s="518"/>
      <c r="BD715" s="518"/>
      <c r="BE715" s="518"/>
    </row>
    <row r="716" spans="1:57" ht="12.75" customHeight="1">
      <c r="A716" s="518"/>
      <c r="B716" s="518"/>
      <c r="C716" s="518"/>
      <c r="D716" s="518"/>
      <c r="E716" s="518"/>
      <c r="F716" s="518"/>
      <c r="G716" s="518"/>
      <c r="H716" s="518"/>
      <c r="I716" s="518"/>
      <c r="J716" s="518"/>
      <c r="K716" s="518"/>
      <c r="L716" s="518"/>
      <c r="M716" s="518"/>
      <c r="N716" s="518"/>
      <c r="O716" s="518"/>
      <c r="P716" s="518"/>
      <c r="Q716" s="518"/>
      <c r="R716" s="518"/>
      <c r="S716" s="518"/>
      <c r="T716" s="518"/>
      <c r="U716" s="518"/>
      <c r="V716" s="518"/>
      <c r="W716" s="518"/>
      <c r="X716" s="518"/>
      <c r="Y716" s="518"/>
      <c r="Z716" s="518"/>
      <c r="AA716" s="518"/>
      <c r="AB716" s="518"/>
      <c r="AC716" s="518"/>
      <c r="AD716" s="518"/>
      <c r="AE716" s="518"/>
      <c r="AF716" s="518"/>
      <c r="AG716" s="518"/>
      <c r="AH716" s="518"/>
      <c r="AI716" s="518"/>
      <c r="AJ716" s="518"/>
      <c r="AK716" s="518"/>
      <c r="AL716" s="518"/>
      <c r="AM716" s="518"/>
      <c r="AN716" s="518"/>
      <c r="AO716" s="518"/>
      <c r="AP716" s="518"/>
      <c r="AQ716" s="518"/>
      <c r="AR716" s="518"/>
      <c r="AS716" s="518"/>
      <c r="AT716" s="518"/>
      <c r="AU716" s="518"/>
      <c r="AV716" s="518"/>
      <c r="AW716" s="518"/>
      <c r="AX716" s="518"/>
      <c r="AY716" s="518"/>
      <c r="AZ716" s="518"/>
      <c r="BA716" s="518"/>
      <c r="BB716" s="518"/>
      <c r="BC716" s="518"/>
      <c r="BD716" s="518"/>
      <c r="BE716" s="518"/>
    </row>
    <row r="717" spans="1:57" ht="12.75" customHeight="1">
      <c r="A717" s="518"/>
      <c r="B717" s="518"/>
      <c r="C717" s="518"/>
      <c r="D717" s="518"/>
      <c r="E717" s="518"/>
      <c r="F717" s="518"/>
      <c r="G717" s="518"/>
      <c r="H717" s="518"/>
      <c r="I717" s="518"/>
      <c r="J717" s="518"/>
      <c r="K717" s="518"/>
      <c r="L717" s="518"/>
      <c r="M717" s="518"/>
      <c r="N717" s="518"/>
      <c r="O717" s="518"/>
      <c r="P717" s="518"/>
      <c r="Q717" s="518"/>
      <c r="R717" s="518"/>
      <c r="S717" s="518"/>
      <c r="T717" s="518"/>
      <c r="U717" s="518"/>
      <c r="V717" s="518"/>
      <c r="W717" s="518"/>
      <c r="X717" s="518"/>
      <c r="Y717" s="518"/>
      <c r="Z717" s="518"/>
      <c r="AA717" s="518"/>
      <c r="AB717" s="518"/>
      <c r="AC717" s="518"/>
      <c r="AD717" s="518"/>
      <c r="AE717" s="518"/>
      <c r="AF717" s="518"/>
      <c r="AG717" s="518"/>
      <c r="AH717" s="518"/>
      <c r="AI717" s="518"/>
      <c r="AJ717" s="518"/>
      <c r="AK717" s="518"/>
      <c r="AL717" s="518"/>
      <c r="AM717" s="518"/>
      <c r="AN717" s="518"/>
      <c r="AO717" s="518"/>
      <c r="AP717" s="518"/>
      <c r="AQ717" s="518"/>
      <c r="AR717" s="518"/>
      <c r="AS717" s="518"/>
      <c r="AT717" s="518"/>
      <c r="AU717" s="518"/>
      <c r="AV717" s="518"/>
      <c r="AW717" s="518"/>
      <c r="AX717" s="518"/>
      <c r="AY717" s="518"/>
      <c r="AZ717" s="518"/>
      <c r="BA717" s="518"/>
      <c r="BB717" s="518"/>
      <c r="BC717" s="518"/>
      <c r="BD717" s="518"/>
      <c r="BE717" s="518"/>
    </row>
    <row r="718" spans="1:57" ht="12.75" customHeight="1">
      <c r="A718" s="518"/>
      <c r="B718" s="518"/>
      <c r="C718" s="518"/>
      <c r="D718" s="518"/>
      <c r="E718" s="518"/>
      <c r="F718" s="518"/>
      <c r="G718" s="518"/>
      <c r="H718" s="518"/>
      <c r="I718" s="518"/>
      <c r="J718" s="518"/>
      <c r="K718" s="518"/>
      <c r="L718" s="518"/>
      <c r="M718" s="518"/>
      <c r="N718" s="518"/>
      <c r="O718" s="518"/>
      <c r="P718" s="518"/>
      <c r="Q718" s="518"/>
      <c r="R718" s="518"/>
      <c r="S718" s="518"/>
      <c r="T718" s="518"/>
      <c r="U718" s="518"/>
      <c r="V718" s="518"/>
      <c r="W718" s="518"/>
      <c r="X718" s="518"/>
      <c r="Y718" s="518"/>
      <c r="Z718" s="518"/>
      <c r="AA718" s="518"/>
      <c r="AB718" s="518"/>
      <c r="AC718" s="518"/>
      <c r="AD718" s="518"/>
      <c r="AE718" s="518"/>
      <c r="AF718" s="518"/>
      <c r="AG718" s="518"/>
      <c r="AH718" s="518"/>
      <c r="AI718" s="518"/>
      <c r="AJ718" s="518"/>
      <c r="AK718" s="518"/>
      <c r="AL718" s="518"/>
      <c r="AM718" s="518"/>
      <c r="AN718" s="518"/>
      <c r="AO718" s="518"/>
      <c r="AP718" s="518"/>
      <c r="AQ718" s="518"/>
      <c r="AR718" s="518"/>
      <c r="AS718" s="518"/>
      <c r="AT718" s="518"/>
      <c r="AU718" s="518"/>
      <c r="AV718" s="518"/>
      <c r="AW718" s="518"/>
      <c r="AX718" s="518"/>
      <c r="AY718" s="518"/>
      <c r="AZ718" s="518"/>
      <c r="BA718" s="518"/>
      <c r="BB718" s="518"/>
      <c r="BC718" s="518"/>
      <c r="BD718" s="518"/>
      <c r="BE718" s="518"/>
    </row>
    <row r="719" spans="1:57" ht="12.75" customHeight="1">
      <c r="A719" s="518"/>
      <c r="B719" s="518"/>
      <c r="C719" s="518"/>
      <c r="D719" s="518"/>
      <c r="E719" s="518"/>
      <c r="F719" s="518"/>
      <c r="G719" s="518"/>
      <c r="H719" s="518"/>
      <c r="I719" s="518"/>
      <c r="J719" s="518"/>
      <c r="K719" s="518"/>
      <c r="L719" s="518"/>
      <c r="M719" s="518"/>
      <c r="N719" s="518"/>
      <c r="O719" s="518"/>
      <c r="P719" s="518"/>
      <c r="Q719" s="518"/>
      <c r="R719" s="518"/>
      <c r="S719" s="518"/>
      <c r="T719" s="518"/>
      <c r="U719" s="518"/>
      <c r="V719" s="518"/>
      <c r="W719" s="518"/>
      <c r="X719" s="518"/>
      <c r="Y719" s="518"/>
      <c r="Z719" s="518"/>
      <c r="AA719" s="518"/>
      <c r="AB719" s="518"/>
      <c r="AC719" s="518"/>
      <c r="AD719" s="518"/>
      <c r="AE719" s="518"/>
      <c r="AF719" s="518"/>
      <c r="AG719" s="518"/>
      <c r="AH719" s="518"/>
      <c r="AI719" s="518"/>
      <c r="AJ719" s="518"/>
      <c r="AK719" s="518"/>
      <c r="AL719" s="518"/>
      <c r="AM719" s="518"/>
      <c r="AN719" s="518"/>
      <c r="AO719" s="518"/>
      <c r="AP719" s="518"/>
      <c r="AQ719" s="518"/>
      <c r="AR719" s="518"/>
      <c r="AS719" s="518"/>
      <c r="AT719" s="518"/>
      <c r="AU719" s="518"/>
      <c r="AV719" s="518"/>
      <c r="AW719" s="518"/>
      <c r="AX719" s="518"/>
      <c r="AY719" s="518"/>
      <c r="AZ719" s="518"/>
      <c r="BA719" s="518"/>
      <c r="BB719" s="518"/>
      <c r="BC719" s="518"/>
      <c r="BD719" s="518"/>
      <c r="BE719" s="518"/>
    </row>
    <row r="720" spans="1:57" ht="12.75" customHeight="1">
      <c r="A720" s="518"/>
      <c r="B720" s="518"/>
      <c r="C720" s="518"/>
      <c r="D720" s="518"/>
      <c r="E720" s="518"/>
      <c r="F720" s="518"/>
      <c r="G720" s="518"/>
      <c r="H720" s="518"/>
      <c r="I720" s="518"/>
      <c r="J720" s="518"/>
      <c r="K720" s="518"/>
      <c r="L720" s="518"/>
      <c r="M720" s="518"/>
      <c r="N720" s="518"/>
      <c r="O720" s="518"/>
      <c r="P720" s="518"/>
      <c r="Q720" s="518"/>
      <c r="R720" s="518"/>
      <c r="S720" s="518"/>
      <c r="T720" s="518"/>
      <c r="U720" s="518"/>
      <c r="V720" s="518"/>
      <c r="W720" s="518"/>
      <c r="X720" s="518"/>
      <c r="Y720" s="518"/>
      <c r="Z720" s="518"/>
      <c r="AA720" s="518"/>
      <c r="AB720" s="518"/>
      <c r="AC720" s="518"/>
      <c r="AD720" s="518"/>
      <c r="AE720" s="518"/>
      <c r="AF720" s="518"/>
      <c r="AG720" s="518"/>
      <c r="AH720" s="518"/>
      <c r="AI720" s="518"/>
      <c r="AJ720" s="518"/>
      <c r="AK720" s="518"/>
      <c r="AL720" s="518"/>
      <c r="AM720" s="518"/>
      <c r="AN720" s="518"/>
      <c r="AO720" s="518"/>
      <c r="AP720" s="518"/>
      <c r="AQ720" s="518"/>
      <c r="AR720" s="518"/>
      <c r="AS720" s="518"/>
      <c r="AT720" s="518"/>
      <c r="AU720" s="518"/>
      <c r="AV720" s="518"/>
      <c r="AW720" s="518"/>
      <c r="AX720" s="518"/>
      <c r="AY720" s="518"/>
      <c r="AZ720" s="518"/>
      <c r="BA720" s="518"/>
      <c r="BB720" s="518"/>
      <c r="BC720" s="518"/>
      <c r="BD720" s="518"/>
      <c r="BE720" s="518"/>
    </row>
    <row r="721" spans="1:57" ht="12.75" customHeight="1">
      <c r="A721" s="518"/>
      <c r="B721" s="518"/>
      <c r="C721" s="518"/>
      <c r="D721" s="518"/>
      <c r="E721" s="518"/>
      <c r="F721" s="518"/>
      <c r="G721" s="518"/>
      <c r="H721" s="518"/>
      <c r="I721" s="518"/>
      <c r="J721" s="518"/>
      <c r="K721" s="518"/>
      <c r="L721" s="518"/>
      <c r="M721" s="518"/>
      <c r="N721" s="518"/>
      <c r="O721" s="518"/>
      <c r="P721" s="518"/>
      <c r="Q721" s="518"/>
      <c r="R721" s="518"/>
      <c r="S721" s="518"/>
      <c r="T721" s="518"/>
      <c r="U721" s="518"/>
      <c r="V721" s="518"/>
      <c r="W721" s="518"/>
      <c r="X721" s="518"/>
      <c r="Y721" s="518"/>
      <c r="Z721" s="518"/>
      <c r="AA721" s="518"/>
      <c r="AB721" s="518"/>
      <c r="AC721" s="518"/>
      <c r="AD721" s="518"/>
      <c r="AE721" s="518"/>
      <c r="AF721" s="518"/>
      <c r="AG721" s="518"/>
      <c r="AH721" s="518"/>
      <c r="AI721" s="518"/>
      <c r="AJ721" s="518"/>
      <c r="AK721" s="518"/>
      <c r="AL721" s="518"/>
      <c r="AM721" s="518"/>
      <c r="AN721" s="518"/>
      <c r="AO721" s="518"/>
      <c r="AP721" s="518"/>
      <c r="AQ721" s="518"/>
      <c r="AR721" s="518"/>
      <c r="AS721" s="518"/>
      <c r="AT721" s="518"/>
      <c r="AU721" s="518"/>
      <c r="AV721" s="518"/>
      <c r="AW721" s="518"/>
      <c r="AX721" s="518"/>
      <c r="AY721" s="518"/>
      <c r="AZ721" s="518"/>
      <c r="BA721" s="518"/>
      <c r="BB721" s="518"/>
      <c r="BC721" s="518"/>
      <c r="BD721" s="518"/>
      <c r="BE721" s="518"/>
    </row>
    <row r="722" spans="1:57" ht="12.75" customHeight="1">
      <c r="A722" s="518"/>
      <c r="B722" s="518"/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  <c r="AB722" s="518"/>
      <c r="AC722" s="518"/>
      <c r="AD722" s="518"/>
      <c r="AE722" s="518"/>
      <c r="AF722" s="518"/>
      <c r="AG722" s="518"/>
      <c r="AH722" s="518"/>
      <c r="AI722" s="518"/>
      <c r="AJ722" s="518"/>
      <c r="AK722" s="518"/>
      <c r="AL722" s="518"/>
      <c r="AM722" s="518"/>
      <c r="AN722" s="518"/>
      <c r="AO722" s="518"/>
      <c r="AP722" s="518"/>
      <c r="AQ722" s="518"/>
      <c r="AR722" s="518"/>
      <c r="AS722" s="518"/>
      <c r="AT722" s="518"/>
      <c r="AU722" s="518"/>
      <c r="AV722" s="518"/>
      <c r="AW722" s="518"/>
      <c r="AX722" s="518"/>
      <c r="AY722" s="518"/>
      <c r="AZ722" s="518"/>
      <c r="BA722" s="518"/>
      <c r="BB722" s="518"/>
      <c r="BC722" s="518"/>
      <c r="BD722" s="518"/>
      <c r="BE722" s="518"/>
    </row>
    <row r="723" spans="1:57" ht="12.75" customHeight="1">
      <c r="A723" s="518"/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8"/>
      <c r="AQ723" s="518"/>
      <c r="AR723" s="518"/>
      <c r="AS723" s="518"/>
      <c r="AT723" s="518"/>
      <c r="AU723" s="518"/>
      <c r="AV723" s="518"/>
      <c r="AW723" s="518"/>
      <c r="AX723" s="518"/>
      <c r="AY723" s="518"/>
      <c r="AZ723" s="518"/>
      <c r="BA723" s="518"/>
      <c r="BB723" s="518"/>
      <c r="BC723" s="518"/>
      <c r="BD723" s="518"/>
      <c r="BE723" s="518"/>
    </row>
    <row r="724" spans="1:57" ht="12.75" customHeight="1">
      <c r="A724" s="518"/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8"/>
      <c r="AQ724" s="518"/>
      <c r="AR724" s="518"/>
      <c r="AS724" s="518"/>
      <c r="AT724" s="518"/>
      <c r="AU724" s="518"/>
      <c r="AV724" s="518"/>
      <c r="AW724" s="518"/>
      <c r="AX724" s="518"/>
      <c r="AY724" s="518"/>
      <c r="AZ724" s="518"/>
      <c r="BA724" s="518"/>
      <c r="BB724" s="518"/>
      <c r="BC724" s="518"/>
      <c r="BD724" s="518"/>
      <c r="BE724" s="518"/>
    </row>
    <row r="725" spans="1:57" ht="12.75" customHeight="1">
      <c r="A725" s="518"/>
      <c r="B725" s="518"/>
      <c r="C725" s="518"/>
      <c r="D725" s="518"/>
      <c r="E725" s="518"/>
      <c r="F725" s="518"/>
      <c r="G725" s="518"/>
      <c r="H725" s="518"/>
      <c r="I725" s="518"/>
      <c r="J725" s="518"/>
      <c r="K725" s="518"/>
      <c r="L725" s="518"/>
      <c r="M725" s="518"/>
      <c r="N725" s="518"/>
      <c r="O725" s="518"/>
      <c r="P725" s="518"/>
      <c r="Q725" s="518"/>
      <c r="R725" s="518"/>
      <c r="S725" s="518"/>
      <c r="T725" s="518"/>
      <c r="U725" s="518"/>
      <c r="V725" s="518"/>
      <c r="W725" s="518"/>
      <c r="X725" s="518"/>
      <c r="Y725" s="518"/>
      <c r="Z725" s="518"/>
      <c r="AA725" s="518"/>
      <c r="AB725" s="518"/>
      <c r="AC725" s="518"/>
      <c r="AD725" s="518"/>
      <c r="AE725" s="518"/>
      <c r="AF725" s="518"/>
      <c r="AG725" s="518"/>
      <c r="AH725" s="518"/>
      <c r="AI725" s="518"/>
      <c r="AJ725" s="518"/>
      <c r="AK725" s="518"/>
      <c r="AL725" s="518"/>
      <c r="AM725" s="518"/>
      <c r="AN725" s="518"/>
      <c r="AO725" s="518"/>
      <c r="AP725" s="518"/>
      <c r="AQ725" s="518"/>
      <c r="AR725" s="518"/>
      <c r="AS725" s="518"/>
      <c r="AT725" s="518"/>
      <c r="AU725" s="518"/>
      <c r="AV725" s="518"/>
      <c r="AW725" s="518"/>
      <c r="AX725" s="518"/>
      <c r="AY725" s="518"/>
      <c r="AZ725" s="518"/>
      <c r="BA725" s="518"/>
      <c r="BB725" s="518"/>
      <c r="BC725" s="518"/>
      <c r="BD725" s="518"/>
      <c r="BE725" s="518"/>
    </row>
    <row r="726" spans="1:57" ht="12.75" customHeight="1">
      <c r="A726" s="518"/>
      <c r="B726" s="518"/>
      <c r="C726" s="518"/>
      <c r="D726" s="518"/>
      <c r="E726" s="518"/>
      <c r="F726" s="518"/>
      <c r="G726" s="518"/>
      <c r="H726" s="518"/>
      <c r="I726" s="518"/>
      <c r="J726" s="518"/>
      <c r="K726" s="518"/>
      <c r="L726" s="518"/>
      <c r="M726" s="518"/>
      <c r="N726" s="518"/>
      <c r="O726" s="518"/>
      <c r="P726" s="518"/>
      <c r="Q726" s="518"/>
      <c r="R726" s="518"/>
      <c r="S726" s="518"/>
      <c r="T726" s="518"/>
      <c r="U726" s="518"/>
      <c r="V726" s="518"/>
      <c r="W726" s="518"/>
      <c r="X726" s="518"/>
      <c r="Y726" s="518"/>
      <c r="Z726" s="518"/>
      <c r="AA726" s="518"/>
      <c r="AB726" s="518"/>
      <c r="AC726" s="518"/>
      <c r="AD726" s="518"/>
      <c r="AE726" s="518"/>
      <c r="AF726" s="518"/>
      <c r="AG726" s="518"/>
      <c r="AH726" s="518"/>
      <c r="AI726" s="518"/>
      <c r="AJ726" s="518"/>
      <c r="AK726" s="518"/>
      <c r="AL726" s="518"/>
      <c r="AM726" s="518"/>
      <c r="AN726" s="518"/>
      <c r="AO726" s="518"/>
      <c r="AP726" s="518"/>
      <c r="AQ726" s="518"/>
      <c r="AR726" s="518"/>
      <c r="AS726" s="518"/>
      <c r="AT726" s="518"/>
      <c r="AU726" s="518"/>
      <c r="AV726" s="518"/>
      <c r="AW726" s="518"/>
      <c r="AX726" s="518"/>
      <c r="AY726" s="518"/>
      <c r="AZ726" s="518"/>
      <c r="BA726" s="518"/>
      <c r="BB726" s="518"/>
      <c r="BC726" s="518"/>
      <c r="BD726" s="518"/>
      <c r="BE726" s="518"/>
    </row>
    <row r="727" spans="1:57" ht="12.75" customHeight="1">
      <c r="A727" s="518"/>
      <c r="B727" s="518"/>
      <c r="C727" s="518"/>
      <c r="D727" s="518"/>
      <c r="E727" s="518"/>
      <c r="F727" s="518"/>
      <c r="G727" s="518"/>
      <c r="H727" s="518"/>
      <c r="I727" s="518"/>
      <c r="J727" s="518"/>
      <c r="K727" s="518"/>
      <c r="L727" s="518"/>
      <c r="M727" s="518"/>
      <c r="N727" s="518"/>
      <c r="O727" s="518"/>
      <c r="P727" s="518"/>
      <c r="Q727" s="518"/>
      <c r="R727" s="518"/>
      <c r="S727" s="518"/>
      <c r="T727" s="518"/>
      <c r="U727" s="518"/>
      <c r="V727" s="518"/>
      <c r="W727" s="518"/>
      <c r="X727" s="518"/>
      <c r="Y727" s="518"/>
      <c r="Z727" s="518"/>
      <c r="AA727" s="518"/>
      <c r="AB727" s="518"/>
      <c r="AC727" s="518"/>
      <c r="AD727" s="518"/>
      <c r="AE727" s="518"/>
      <c r="AF727" s="518"/>
      <c r="AG727" s="518"/>
      <c r="AH727" s="518"/>
      <c r="AI727" s="518"/>
      <c r="AJ727" s="518"/>
      <c r="AK727" s="518"/>
      <c r="AL727" s="518"/>
      <c r="AM727" s="518"/>
      <c r="AN727" s="518"/>
      <c r="AO727" s="518"/>
      <c r="AP727" s="518"/>
      <c r="AQ727" s="518"/>
      <c r="AR727" s="518"/>
      <c r="AS727" s="518"/>
      <c r="AT727" s="518"/>
      <c r="AU727" s="518"/>
      <c r="AV727" s="518"/>
      <c r="AW727" s="518"/>
      <c r="AX727" s="518"/>
      <c r="AY727" s="518"/>
      <c r="AZ727" s="518"/>
      <c r="BA727" s="518"/>
      <c r="BB727" s="518"/>
      <c r="BC727" s="518"/>
      <c r="BD727" s="518"/>
      <c r="BE727" s="518"/>
    </row>
    <row r="728" spans="1:57" ht="12.75" customHeight="1">
      <c r="A728" s="518"/>
      <c r="B728" s="518"/>
      <c r="C728" s="518"/>
      <c r="D728" s="518"/>
      <c r="E728" s="518"/>
      <c r="F728" s="518"/>
      <c r="G728" s="518"/>
      <c r="H728" s="518"/>
      <c r="I728" s="518"/>
      <c r="J728" s="518"/>
      <c r="K728" s="518"/>
      <c r="L728" s="518"/>
      <c r="M728" s="518"/>
      <c r="N728" s="518"/>
      <c r="O728" s="518"/>
      <c r="P728" s="518"/>
      <c r="Q728" s="518"/>
      <c r="R728" s="518"/>
      <c r="S728" s="518"/>
      <c r="T728" s="518"/>
      <c r="U728" s="518"/>
      <c r="V728" s="518"/>
      <c r="W728" s="518"/>
      <c r="X728" s="518"/>
      <c r="Y728" s="518"/>
      <c r="Z728" s="518"/>
      <c r="AA728" s="518"/>
      <c r="AB728" s="518"/>
      <c r="AC728" s="518"/>
      <c r="AD728" s="518"/>
      <c r="AE728" s="518"/>
      <c r="AF728" s="518"/>
      <c r="AG728" s="518"/>
      <c r="AH728" s="518"/>
      <c r="AI728" s="518"/>
      <c r="AJ728" s="518"/>
      <c r="AK728" s="518"/>
      <c r="AL728" s="518"/>
      <c r="AM728" s="518"/>
      <c r="AN728" s="518"/>
      <c r="AO728" s="518"/>
      <c r="AP728" s="518"/>
      <c r="AQ728" s="518"/>
      <c r="AR728" s="518"/>
      <c r="AS728" s="518"/>
      <c r="AT728" s="518"/>
      <c r="AU728" s="518"/>
      <c r="AV728" s="518"/>
      <c r="AW728" s="518"/>
      <c r="AX728" s="518"/>
      <c r="AY728" s="518"/>
      <c r="AZ728" s="518"/>
      <c r="BA728" s="518"/>
      <c r="BB728" s="518"/>
      <c r="BC728" s="518"/>
      <c r="BD728" s="518"/>
      <c r="BE728" s="518"/>
    </row>
    <row r="729" spans="1:57" ht="12.75" customHeight="1">
      <c r="A729" s="518"/>
      <c r="B729" s="518"/>
      <c r="C729" s="518"/>
      <c r="D729" s="518"/>
      <c r="E729" s="518"/>
      <c r="F729" s="518"/>
      <c r="G729" s="518"/>
      <c r="H729" s="518"/>
      <c r="I729" s="518"/>
      <c r="J729" s="518"/>
      <c r="K729" s="518"/>
      <c r="L729" s="518"/>
      <c r="M729" s="518"/>
      <c r="N729" s="518"/>
      <c r="O729" s="518"/>
      <c r="P729" s="518"/>
      <c r="Q729" s="518"/>
      <c r="R729" s="518"/>
      <c r="S729" s="518"/>
      <c r="T729" s="518"/>
      <c r="U729" s="518"/>
      <c r="V729" s="518"/>
      <c r="W729" s="518"/>
      <c r="X729" s="518"/>
      <c r="Y729" s="518"/>
      <c r="Z729" s="518"/>
      <c r="AA729" s="518"/>
      <c r="AB729" s="518"/>
      <c r="AC729" s="518"/>
      <c r="AD729" s="518"/>
      <c r="AE729" s="518"/>
      <c r="AF729" s="518"/>
      <c r="AG729" s="518"/>
      <c r="AH729" s="518"/>
      <c r="AI729" s="518"/>
      <c r="AJ729" s="518"/>
      <c r="AK729" s="518"/>
      <c r="AL729" s="518"/>
      <c r="AM729" s="518"/>
      <c r="AN729" s="518"/>
      <c r="AO729" s="518"/>
      <c r="AP729" s="518"/>
      <c r="AQ729" s="518"/>
      <c r="AR729" s="518"/>
      <c r="AS729" s="518"/>
      <c r="AT729" s="518"/>
      <c r="AU729" s="518"/>
      <c r="AV729" s="518"/>
      <c r="AW729" s="518"/>
      <c r="AX729" s="518"/>
      <c r="AY729" s="518"/>
      <c r="AZ729" s="518"/>
      <c r="BA729" s="518"/>
      <c r="BB729" s="518"/>
      <c r="BC729" s="518"/>
      <c r="BD729" s="518"/>
      <c r="BE729" s="518"/>
    </row>
    <row r="730" spans="1:57" ht="12.75" customHeight="1">
      <c r="A730" s="518"/>
      <c r="B730" s="518"/>
      <c r="C730" s="518"/>
      <c r="D730" s="518"/>
      <c r="E730" s="518"/>
      <c r="F730" s="518"/>
      <c r="G730" s="518"/>
      <c r="H730" s="518"/>
      <c r="I730" s="518"/>
      <c r="J730" s="518"/>
      <c r="K730" s="518"/>
      <c r="L730" s="518"/>
      <c r="M730" s="518"/>
      <c r="N730" s="518"/>
      <c r="O730" s="518"/>
      <c r="P730" s="518"/>
      <c r="Q730" s="518"/>
      <c r="R730" s="518"/>
      <c r="S730" s="518"/>
      <c r="T730" s="518"/>
      <c r="U730" s="518"/>
      <c r="V730" s="518"/>
      <c r="W730" s="518"/>
      <c r="X730" s="518"/>
      <c r="Y730" s="518"/>
      <c r="Z730" s="518"/>
      <c r="AA730" s="518"/>
      <c r="AB730" s="518"/>
      <c r="AC730" s="518"/>
      <c r="AD730" s="518"/>
      <c r="AE730" s="518"/>
      <c r="AF730" s="518"/>
      <c r="AG730" s="518"/>
      <c r="AH730" s="518"/>
      <c r="AI730" s="518"/>
      <c r="AJ730" s="518"/>
      <c r="AK730" s="518"/>
      <c r="AL730" s="518"/>
      <c r="AM730" s="518"/>
      <c r="AN730" s="518"/>
      <c r="AO730" s="518"/>
      <c r="AP730" s="518"/>
      <c r="AQ730" s="518"/>
      <c r="AR730" s="518"/>
      <c r="AS730" s="518"/>
      <c r="AT730" s="518"/>
      <c r="AU730" s="518"/>
      <c r="AV730" s="518"/>
      <c r="AW730" s="518"/>
      <c r="AX730" s="518"/>
      <c r="AY730" s="518"/>
      <c r="AZ730" s="518"/>
      <c r="BA730" s="518"/>
      <c r="BB730" s="518"/>
      <c r="BC730" s="518"/>
      <c r="BD730" s="518"/>
      <c r="BE730" s="518"/>
    </row>
    <row r="731" spans="1:57" ht="12.75" customHeight="1">
      <c r="A731" s="518"/>
      <c r="B731" s="518"/>
      <c r="C731" s="518"/>
      <c r="D731" s="518"/>
      <c r="E731" s="518"/>
      <c r="F731" s="518"/>
      <c r="G731" s="518"/>
      <c r="H731" s="518"/>
      <c r="I731" s="518"/>
      <c r="J731" s="518"/>
      <c r="K731" s="518"/>
      <c r="L731" s="518"/>
      <c r="M731" s="518"/>
      <c r="N731" s="518"/>
      <c r="O731" s="518"/>
      <c r="P731" s="518"/>
      <c r="Q731" s="518"/>
      <c r="R731" s="518"/>
      <c r="S731" s="518"/>
      <c r="T731" s="518"/>
      <c r="U731" s="518"/>
      <c r="V731" s="518"/>
      <c r="W731" s="518"/>
      <c r="X731" s="518"/>
      <c r="Y731" s="518"/>
      <c r="Z731" s="518"/>
      <c r="AA731" s="518"/>
      <c r="AB731" s="518"/>
      <c r="AC731" s="518"/>
      <c r="AD731" s="518"/>
      <c r="AE731" s="518"/>
      <c r="AF731" s="518"/>
      <c r="AG731" s="518"/>
      <c r="AH731" s="518"/>
      <c r="AI731" s="518"/>
      <c r="AJ731" s="518"/>
      <c r="AK731" s="518"/>
      <c r="AL731" s="518"/>
      <c r="AM731" s="518"/>
      <c r="AN731" s="518"/>
      <c r="AO731" s="518"/>
      <c r="AP731" s="518"/>
      <c r="AQ731" s="518"/>
      <c r="AR731" s="518"/>
      <c r="AS731" s="518"/>
      <c r="AT731" s="518"/>
      <c r="AU731" s="518"/>
      <c r="AV731" s="518"/>
      <c r="AW731" s="518"/>
      <c r="AX731" s="518"/>
      <c r="AY731" s="518"/>
      <c r="AZ731" s="518"/>
      <c r="BA731" s="518"/>
      <c r="BB731" s="518"/>
      <c r="BC731" s="518"/>
      <c r="BD731" s="518"/>
      <c r="BE731" s="518"/>
    </row>
    <row r="732" spans="1:57" ht="12.75" customHeight="1">
      <c r="A732" s="518"/>
      <c r="B732" s="518"/>
      <c r="C732" s="518"/>
      <c r="D732" s="518"/>
      <c r="E732" s="518"/>
      <c r="F732" s="518"/>
      <c r="G732" s="518"/>
      <c r="H732" s="518"/>
      <c r="I732" s="518"/>
      <c r="J732" s="518"/>
      <c r="K732" s="518"/>
      <c r="L732" s="518"/>
      <c r="M732" s="518"/>
      <c r="N732" s="518"/>
      <c r="O732" s="518"/>
      <c r="P732" s="518"/>
      <c r="Q732" s="518"/>
      <c r="R732" s="518"/>
      <c r="S732" s="518"/>
      <c r="T732" s="518"/>
      <c r="U732" s="518"/>
      <c r="V732" s="518"/>
      <c r="W732" s="518"/>
      <c r="X732" s="518"/>
      <c r="Y732" s="518"/>
      <c r="Z732" s="518"/>
      <c r="AA732" s="518"/>
      <c r="AB732" s="518"/>
      <c r="AC732" s="518"/>
      <c r="AD732" s="518"/>
      <c r="AE732" s="518"/>
      <c r="AF732" s="518"/>
      <c r="AG732" s="518"/>
      <c r="AH732" s="518"/>
      <c r="AI732" s="518"/>
      <c r="AJ732" s="518"/>
      <c r="AK732" s="518"/>
      <c r="AL732" s="518"/>
      <c r="AM732" s="518"/>
      <c r="AN732" s="518"/>
      <c r="AO732" s="518"/>
      <c r="AP732" s="518"/>
      <c r="AQ732" s="518"/>
      <c r="AR732" s="518"/>
      <c r="AS732" s="518"/>
      <c r="AT732" s="518"/>
      <c r="AU732" s="518"/>
      <c r="AV732" s="518"/>
      <c r="AW732" s="518"/>
      <c r="AX732" s="518"/>
      <c r="AY732" s="518"/>
      <c r="AZ732" s="518"/>
      <c r="BA732" s="518"/>
      <c r="BB732" s="518"/>
      <c r="BC732" s="518"/>
      <c r="BD732" s="518"/>
      <c r="BE732" s="518"/>
    </row>
    <row r="733" spans="1:57" ht="12.75" customHeight="1">
      <c r="A733" s="518"/>
      <c r="B733" s="518"/>
      <c r="C733" s="518"/>
      <c r="D733" s="518"/>
      <c r="E733" s="518"/>
      <c r="F733" s="518"/>
      <c r="G733" s="518"/>
      <c r="H733" s="518"/>
      <c r="I733" s="518"/>
      <c r="J733" s="518"/>
      <c r="K733" s="518"/>
      <c r="L733" s="518"/>
      <c r="M733" s="518"/>
      <c r="N733" s="518"/>
      <c r="O733" s="518"/>
      <c r="P733" s="518"/>
      <c r="Q733" s="518"/>
      <c r="R733" s="518"/>
      <c r="S733" s="518"/>
      <c r="T733" s="518"/>
      <c r="U733" s="518"/>
      <c r="V733" s="518"/>
      <c r="W733" s="518"/>
      <c r="X733" s="518"/>
      <c r="Y733" s="518"/>
      <c r="Z733" s="518"/>
      <c r="AA733" s="518"/>
      <c r="AB733" s="518"/>
      <c r="AC733" s="518"/>
      <c r="AD733" s="518"/>
      <c r="AE733" s="518"/>
      <c r="AF733" s="518"/>
      <c r="AG733" s="518"/>
      <c r="AH733" s="518"/>
      <c r="AI733" s="518"/>
      <c r="AJ733" s="518"/>
      <c r="AK733" s="518"/>
      <c r="AL733" s="518"/>
      <c r="AM733" s="518"/>
      <c r="AN733" s="518"/>
      <c r="AO733" s="518"/>
      <c r="AP733" s="518"/>
      <c r="AQ733" s="518"/>
      <c r="AR733" s="518"/>
      <c r="AS733" s="518"/>
      <c r="AT733" s="518"/>
      <c r="AU733" s="518"/>
      <c r="AV733" s="518"/>
      <c r="AW733" s="518"/>
      <c r="AX733" s="518"/>
      <c r="AY733" s="518"/>
      <c r="AZ733" s="518"/>
      <c r="BA733" s="518"/>
      <c r="BB733" s="518"/>
      <c r="BC733" s="518"/>
      <c r="BD733" s="518"/>
      <c r="BE733" s="518"/>
    </row>
    <row r="734" spans="1:57" ht="12.75" customHeight="1">
      <c r="A734" s="518"/>
      <c r="B734" s="518"/>
      <c r="C734" s="518"/>
      <c r="D734" s="518"/>
      <c r="E734" s="518"/>
      <c r="F734" s="518"/>
      <c r="G734" s="518"/>
      <c r="H734" s="518"/>
      <c r="I734" s="518"/>
      <c r="J734" s="518"/>
      <c r="K734" s="518"/>
      <c r="L734" s="518"/>
      <c r="M734" s="518"/>
      <c r="N734" s="518"/>
      <c r="O734" s="518"/>
      <c r="P734" s="518"/>
      <c r="Q734" s="518"/>
      <c r="R734" s="518"/>
      <c r="S734" s="518"/>
      <c r="T734" s="518"/>
      <c r="U734" s="518"/>
      <c r="V734" s="518"/>
      <c r="W734" s="518"/>
      <c r="X734" s="518"/>
      <c r="Y734" s="518"/>
      <c r="Z734" s="518"/>
      <c r="AA734" s="518"/>
      <c r="AB734" s="518"/>
      <c r="AC734" s="518"/>
      <c r="AD734" s="518"/>
      <c r="AE734" s="518"/>
      <c r="AF734" s="518"/>
      <c r="AG734" s="518"/>
      <c r="AH734" s="518"/>
      <c r="AI734" s="518"/>
      <c r="AJ734" s="518"/>
      <c r="AK734" s="518"/>
      <c r="AL734" s="518"/>
      <c r="AM734" s="518"/>
      <c r="AN734" s="518"/>
      <c r="AO734" s="518"/>
      <c r="AP734" s="518"/>
      <c r="AQ734" s="518"/>
      <c r="AR734" s="518"/>
      <c r="AS734" s="518"/>
      <c r="AT734" s="518"/>
      <c r="AU734" s="518"/>
      <c r="AV734" s="518"/>
      <c r="AW734" s="518"/>
      <c r="AX734" s="518"/>
      <c r="AY734" s="518"/>
      <c r="AZ734" s="518"/>
      <c r="BA734" s="518"/>
      <c r="BB734" s="518"/>
      <c r="BC734" s="518"/>
      <c r="BD734" s="518"/>
      <c r="BE734" s="518"/>
    </row>
    <row r="735" spans="1:57" ht="12.75" customHeight="1">
      <c r="A735" s="518"/>
      <c r="B735" s="518"/>
      <c r="C735" s="518"/>
      <c r="D735" s="518"/>
      <c r="E735" s="518"/>
      <c r="F735" s="518"/>
      <c r="G735" s="518"/>
      <c r="H735" s="518"/>
      <c r="I735" s="518"/>
      <c r="J735" s="518"/>
      <c r="K735" s="518"/>
      <c r="L735" s="518"/>
      <c r="M735" s="518"/>
      <c r="N735" s="518"/>
      <c r="O735" s="518"/>
      <c r="P735" s="518"/>
      <c r="Q735" s="518"/>
      <c r="R735" s="518"/>
      <c r="S735" s="518"/>
      <c r="T735" s="518"/>
      <c r="U735" s="518"/>
      <c r="V735" s="518"/>
      <c r="W735" s="518"/>
      <c r="X735" s="518"/>
      <c r="Y735" s="518"/>
      <c r="Z735" s="518"/>
      <c r="AA735" s="518"/>
      <c r="AB735" s="518"/>
      <c r="AC735" s="518"/>
      <c r="AD735" s="518"/>
      <c r="AE735" s="518"/>
      <c r="AF735" s="518"/>
      <c r="AG735" s="518"/>
      <c r="AH735" s="518"/>
      <c r="AI735" s="518"/>
      <c r="AJ735" s="518"/>
      <c r="AK735" s="518"/>
      <c r="AL735" s="518"/>
      <c r="AM735" s="518"/>
      <c r="AN735" s="518"/>
      <c r="AO735" s="518"/>
      <c r="AP735" s="518"/>
      <c r="AQ735" s="518"/>
      <c r="AR735" s="518"/>
      <c r="AS735" s="518"/>
      <c r="AT735" s="518"/>
      <c r="AU735" s="518"/>
      <c r="AV735" s="518"/>
      <c r="AW735" s="518"/>
      <c r="AX735" s="518"/>
      <c r="AY735" s="518"/>
      <c r="AZ735" s="518"/>
      <c r="BA735" s="518"/>
      <c r="BB735" s="518"/>
      <c r="BC735" s="518"/>
      <c r="BD735" s="518"/>
      <c r="BE735" s="518"/>
    </row>
    <row r="736" spans="1:57" ht="12.75" customHeight="1">
      <c r="A736" s="518"/>
      <c r="B736" s="518"/>
      <c r="C736" s="518"/>
      <c r="D736" s="518"/>
      <c r="E736" s="518"/>
      <c r="F736" s="518"/>
      <c r="G736" s="518"/>
      <c r="H736" s="518"/>
      <c r="I736" s="518"/>
      <c r="J736" s="518"/>
      <c r="K736" s="518"/>
      <c r="L736" s="518"/>
      <c r="M736" s="518"/>
      <c r="N736" s="518"/>
      <c r="O736" s="518"/>
      <c r="P736" s="518"/>
      <c r="Q736" s="518"/>
      <c r="R736" s="518"/>
      <c r="S736" s="518"/>
      <c r="T736" s="518"/>
      <c r="U736" s="518"/>
      <c r="V736" s="518"/>
      <c r="W736" s="518"/>
      <c r="X736" s="518"/>
      <c r="Y736" s="518"/>
      <c r="Z736" s="518"/>
      <c r="AA736" s="518"/>
      <c r="AB736" s="518"/>
      <c r="AC736" s="518"/>
      <c r="AD736" s="518"/>
      <c r="AE736" s="518"/>
      <c r="AF736" s="518"/>
      <c r="AG736" s="518"/>
      <c r="AH736" s="518"/>
      <c r="AI736" s="518"/>
      <c r="AJ736" s="518"/>
      <c r="AK736" s="518"/>
      <c r="AL736" s="518"/>
      <c r="AM736" s="518"/>
      <c r="AN736" s="518"/>
      <c r="AO736" s="518"/>
      <c r="AP736" s="518"/>
      <c r="AQ736" s="518"/>
      <c r="AR736" s="518"/>
      <c r="AS736" s="518"/>
      <c r="AT736" s="518"/>
      <c r="AU736" s="518"/>
      <c r="AV736" s="518"/>
      <c r="AW736" s="518"/>
      <c r="AX736" s="518"/>
      <c r="AY736" s="518"/>
      <c r="AZ736" s="518"/>
      <c r="BA736" s="518"/>
      <c r="BB736" s="518"/>
      <c r="BC736" s="518"/>
      <c r="BD736" s="518"/>
      <c r="BE736" s="518"/>
    </row>
    <row r="737" spans="1:57" ht="12.75" customHeight="1">
      <c r="A737" s="518"/>
      <c r="B737" s="518"/>
      <c r="C737" s="518"/>
      <c r="D737" s="518"/>
      <c r="E737" s="518"/>
      <c r="F737" s="518"/>
      <c r="G737" s="518"/>
      <c r="H737" s="518"/>
      <c r="I737" s="518"/>
      <c r="J737" s="518"/>
      <c r="K737" s="518"/>
      <c r="L737" s="518"/>
      <c r="M737" s="518"/>
      <c r="N737" s="518"/>
      <c r="O737" s="518"/>
      <c r="P737" s="518"/>
      <c r="Q737" s="518"/>
      <c r="R737" s="518"/>
      <c r="S737" s="518"/>
      <c r="T737" s="518"/>
      <c r="U737" s="518"/>
      <c r="V737" s="518"/>
      <c r="W737" s="518"/>
      <c r="X737" s="518"/>
      <c r="Y737" s="518"/>
      <c r="Z737" s="518"/>
      <c r="AA737" s="518"/>
      <c r="AB737" s="518"/>
      <c r="AC737" s="518"/>
      <c r="AD737" s="518"/>
      <c r="AE737" s="518"/>
      <c r="AF737" s="518"/>
      <c r="AG737" s="518"/>
      <c r="AH737" s="518"/>
      <c r="AI737" s="518"/>
      <c r="AJ737" s="518"/>
      <c r="AK737" s="518"/>
      <c r="AL737" s="518"/>
      <c r="AM737" s="518"/>
      <c r="AN737" s="518"/>
      <c r="AO737" s="518"/>
      <c r="AP737" s="518"/>
      <c r="AQ737" s="518"/>
      <c r="AR737" s="518"/>
      <c r="AS737" s="518"/>
      <c r="AT737" s="518"/>
      <c r="AU737" s="518"/>
      <c r="AV737" s="518"/>
      <c r="AW737" s="518"/>
      <c r="AX737" s="518"/>
      <c r="AY737" s="518"/>
      <c r="AZ737" s="518"/>
      <c r="BA737" s="518"/>
      <c r="BB737" s="518"/>
      <c r="BC737" s="518"/>
      <c r="BD737" s="518"/>
      <c r="BE737" s="518"/>
    </row>
    <row r="738" spans="1:57" ht="12.75" customHeight="1">
      <c r="A738" s="518"/>
      <c r="B738" s="518"/>
      <c r="C738" s="518"/>
      <c r="D738" s="518"/>
      <c r="E738" s="518"/>
      <c r="F738" s="518"/>
      <c r="G738" s="518"/>
      <c r="H738" s="518"/>
      <c r="I738" s="518"/>
      <c r="J738" s="518"/>
      <c r="K738" s="518"/>
      <c r="L738" s="518"/>
      <c r="M738" s="518"/>
      <c r="N738" s="518"/>
      <c r="O738" s="518"/>
      <c r="P738" s="518"/>
      <c r="Q738" s="518"/>
      <c r="R738" s="518"/>
      <c r="S738" s="518"/>
      <c r="T738" s="518"/>
      <c r="U738" s="518"/>
      <c r="V738" s="518"/>
      <c r="W738" s="518"/>
      <c r="X738" s="518"/>
      <c r="Y738" s="518"/>
      <c r="Z738" s="518"/>
      <c r="AA738" s="518"/>
      <c r="AB738" s="518"/>
      <c r="AC738" s="518"/>
      <c r="AD738" s="518"/>
      <c r="AE738" s="518"/>
      <c r="AF738" s="518"/>
      <c r="AG738" s="518"/>
      <c r="AH738" s="518"/>
      <c r="AI738" s="518"/>
      <c r="AJ738" s="518"/>
      <c r="AK738" s="518"/>
      <c r="AL738" s="518"/>
      <c r="AM738" s="518"/>
      <c r="AN738" s="518"/>
      <c r="AO738" s="518"/>
      <c r="AP738" s="518"/>
      <c r="AQ738" s="518"/>
      <c r="AR738" s="518"/>
      <c r="AS738" s="518"/>
      <c r="AT738" s="518"/>
      <c r="AU738" s="518"/>
      <c r="AV738" s="518"/>
      <c r="AW738" s="518"/>
      <c r="AX738" s="518"/>
      <c r="AY738" s="518"/>
      <c r="AZ738" s="518"/>
      <c r="BA738" s="518"/>
      <c r="BB738" s="518"/>
      <c r="BC738" s="518"/>
      <c r="BD738" s="518"/>
      <c r="BE738" s="518"/>
    </row>
    <row r="739" spans="1:57" ht="12.75" customHeight="1">
      <c r="A739" s="518"/>
      <c r="B739" s="518"/>
      <c r="C739" s="518"/>
      <c r="D739" s="518"/>
      <c r="E739" s="518"/>
      <c r="F739" s="518"/>
      <c r="G739" s="518"/>
      <c r="H739" s="518"/>
      <c r="I739" s="518"/>
      <c r="J739" s="518"/>
      <c r="K739" s="518"/>
      <c r="L739" s="518"/>
      <c r="M739" s="518"/>
      <c r="N739" s="518"/>
      <c r="O739" s="518"/>
      <c r="P739" s="518"/>
      <c r="Q739" s="518"/>
      <c r="R739" s="518"/>
      <c r="S739" s="518"/>
      <c r="T739" s="518"/>
      <c r="U739" s="518"/>
      <c r="V739" s="518"/>
      <c r="W739" s="518"/>
      <c r="X739" s="518"/>
      <c r="Y739" s="518"/>
      <c r="Z739" s="518"/>
      <c r="AA739" s="518"/>
      <c r="AB739" s="518"/>
      <c r="AC739" s="518"/>
      <c r="AD739" s="518"/>
      <c r="AE739" s="518"/>
      <c r="AF739" s="518"/>
      <c r="AG739" s="518"/>
      <c r="AH739" s="518"/>
      <c r="AI739" s="518"/>
      <c r="AJ739" s="518"/>
      <c r="AK739" s="518"/>
      <c r="AL739" s="518"/>
      <c r="AM739" s="518"/>
      <c r="AN739" s="518"/>
      <c r="AO739" s="518"/>
      <c r="AP739" s="518"/>
      <c r="AQ739" s="518"/>
      <c r="AR739" s="518"/>
      <c r="AS739" s="518"/>
      <c r="AT739" s="518"/>
      <c r="AU739" s="518"/>
      <c r="AV739" s="518"/>
      <c r="AW739" s="518"/>
      <c r="AX739" s="518"/>
      <c r="AY739" s="518"/>
      <c r="AZ739" s="518"/>
      <c r="BA739" s="518"/>
      <c r="BB739" s="518"/>
      <c r="BC739" s="518"/>
      <c r="BD739" s="518"/>
      <c r="BE739" s="518"/>
    </row>
    <row r="740" spans="1:57" ht="12.75" customHeight="1">
      <c r="A740" s="518"/>
      <c r="B740" s="518"/>
      <c r="C740" s="518"/>
      <c r="D740" s="518"/>
      <c r="E740" s="518"/>
      <c r="F740" s="518"/>
      <c r="G740" s="518"/>
      <c r="H740" s="518"/>
      <c r="I740" s="518"/>
      <c r="J740" s="518"/>
      <c r="K740" s="518"/>
      <c r="L740" s="518"/>
      <c r="M740" s="518"/>
      <c r="N740" s="518"/>
      <c r="O740" s="518"/>
      <c r="P740" s="518"/>
      <c r="Q740" s="518"/>
      <c r="R740" s="518"/>
      <c r="S740" s="518"/>
      <c r="T740" s="518"/>
      <c r="U740" s="518"/>
      <c r="V740" s="518"/>
      <c r="W740" s="518"/>
      <c r="X740" s="518"/>
      <c r="Y740" s="518"/>
      <c r="Z740" s="518"/>
      <c r="AA740" s="518"/>
      <c r="AB740" s="518"/>
      <c r="AC740" s="518"/>
      <c r="AD740" s="518"/>
      <c r="AE740" s="518"/>
      <c r="AF740" s="518"/>
      <c r="AG740" s="518"/>
      <c r="AH740" s="518"/>
      <c r="AI740" s="518"/>
      <c r="AJ740" s="518"/>
      <c r="AK740" s="518"/>
      <c r="AL740" s="518"/>
      <c r="AM740" s="518"/>
      <c r="AN740" s="518"/>
      <c r="AO740" s="518"/>
      <c r="AP740" s="518"/>
      <c r="AQ740" s="518"/>
      <c r="AR740" s="518"/>
      <c r="AS740" s="518"/>
      <c r="AT740" s="518"/>
      <c r="AU740" s="518"/>
      <c r="AV740" s="518"/>
      <c r="AW740" s="518"/>
      <c r="AX740" s="518"/>
      <c r="AY740" s="518"/>
      <c r="AZ740" s="518"/>
      <c r="BA740" s="518"/>
      <c r="BB740" s="518"/>
      <c r="BC740" s="518"/>
      <c r="BD740" s="518"/>
      <c r="BE740" s="518"/>
    </row>
    <row r="741" spans="1:57" ht="12.75" customHeight="1">
      <c r="A741" s="518"/>
      <c r="B741" s="518"/>
      <c r="C741" s="518"/>
      <c r="D741" s="518"/>
      <c r="E741" s="518"/>
      <c r="F741" s="518"/>
      <c r="G741" s="518"/>
      <c r="H741" s="518"/>
      <c r="I741" s="518"/>
      <c r="J741" s="518"/>
      <c r="K741" s="518"/>
      <c r="L741" s="518"/>
      <c r="M741" s="518"/>
      <c r="N741" s="518"/>
      <c r="O741" s="518"/>
      <c r="P741" s="518"/>
      <c r="Q741" s="518"/>
      <c r="R741" s="518"/>
      <c r="S741" s="518"/>
      <c r="T741" s="518"/>
      <c r="U741" s="518"/>
      <c r="V741" s="518"/>
      <c r="W741" s="518"/>
      <c r="X741" s="518"/>
      <c r="Y741" s="518"/>
      <c r="Z741" s="518"/>
      <c r="AA741" s="518"/>
      <c r="AB741" s="518"/>
      <c r="AC741" s="518"/>
      <c r="AD741" s="518"/>
      <c r="AE741" s="518"/>
      <c r="AF741" s="518"/>
      <c r="AG741" s="518"/>
      <c r="AH741" s="518"/>
      <c r="AI741" s="518"/>
      <c r="AJ741" s="518"/>
      <c r="AK741" s="518"/>
      <c r="AL741" s="518"/>
      <c r="AM741" s="518"/>
      <c r="AN741" s="518"/>
      <c r="AO741" s="518"/>
      <c r="AP741" s="518"/>
      <c r="AQ741" s="518"/>
      <c r="AR741" s="518"/>
      <c r="AS741" s="518"/>
      <c r="AT741" s="518"/>
      <c r="AU741" s="518"/>
      <c r="AV741" s="518"/>
      <c r="AW741" s="518"/>
      <c r="AX741" s="518"/>
      <c r="AY741" s="518"/>
      <c r="AZ741" s="518"/>
      <c r="BA741" s="518"/>
      <c r="BB741" s="518"/>
      <c r="BC741" s="518"/>
      <c r="BD741" s="518"/>
      <c r="BE741" s="518"/>
    </row>
    <row r="742" spans="1:57" ht="12.75" customHeight="1">
      <c r="A742" s="518"/>
      <c r="B742" s="518"/>
      <c r="C742" s="518"/>
      <c r="D742" s="518"/>
      <c r="E742" s="518"/>
      <c r="F742" s="518"/>
      <c r="G742" s="518"/>
      <c r="H742" s="518"/>
      <c r="I742" s="518"/>
      <c r="J742" s="518"/>
      <c r="K742" s="518"/>
      <c r="L742" s="518"/>
      <c r="M742" s="518"/>
      <c r="N742" s="518"/>
      <c r="O742" s="518"/>
      <c r="P742" s="518"/>
      <c r="Q742" s="518"/>
      <c r="R742" s="518"/>
      <c r="S742" s="518"/>
      <c r="T742" s="518"/>
      <c r="U742" s="518"/>
      <c r="V742" s="518"/>
      <c r="W742" s="518"/>
      <c r="X742" s="518"/>
      <c r="Y742" s="518"/>
      <c r="Z742" s="518"/>
      <c r="AA742" s="518"/>
      <c r="AB742" s="518"/>
      <c r="AC742" s="518"/>
      <c r="AD742" s="518"/>
      <c r="AE742" s="518"/>
      <c r="AF742" s="518"/>
      <c r="AG742" s="518"/>
      <c r="AH742" s="518"/>
      <c r="AI742" s="518"/>
      <c r="AJ742" s="518"/>
      <c r="AK742" s="518"/>
      <c r="AL742" s="518"/>
      <c r="AM742" s="518"/>
      <c r="AN742" s="518"/>
      <c r="AO742" s="518"/>
      <c r="AP742" s="518"/>
      <c r="AQ742" s="518"/>
      <c r="AR742" s="518"/>
      <c r="AS742" s="518"/>
      <c r="AT742" s="518"/>
      <c r="AU742" s="518"/>
      <c r="AV742" s="518"/>
      <c r="AW742" s="518"/>
      <c r="AX742" s="518"/>
      <c r="AY742" s="518"/>
      <c r="AZ742" s="518"/>
      <c r="BA742" s="518"/>
      <c r="BB742" s="518"/>
      <c r="BC742" s="518"/>
      <c r="BD742" s="518"/>
      <c r="BE742" s="518"/>
    </row>
    <row r="743" spans="1:57" ht="12.75" customHeight="1">
      <c r="A743" s="518"/>
      <c r="B743" s="518"/>
      <c r="C743" s="518"/>
      <c r="D743" s="518"/>
      <c r="E743" s="518"/>
      <c r="F743" s="518"/>
      <c r="G743" s="518"/>
      <c r="H743" s="518"/>
      <c r="I743" s="518"/>
      <c r="J743" s="518"/>
      <c r="K743" s="518"/>
      <c r="L743" s="518"/>
      <c r="M743" s="518"/>
      <c r="N743" s="518"/>
      <c r="O743" s="518"/>
      <c r="P743" s="518"/>
      <c r="Q743" s="518"/>
      <c r="R743" s="518"/>
      <c r="S743" s="518"/>
      <c r="T743" s="518"/>
      <c r="U743" s="518"/>
      <c r="V743" s="518"/>
      <c r="W743" s="518"/>
      <c r="X743" s="518"/>
      <c r="Y743" s="518"/>
      <c r="Z743" s="518"/>
      <c r="AA743" s="518"/>
      <c r="AB743" s="518"/>
      <c r="AC743" s="518"/>
      <c r="AD743" s="518"/>
      <c r="AE743" s="518"/>
      <c r="AF743" s="518"/>
      <c r="AG743" s="518"/>
      <c r="AH743" s="518"/>
      <c r="AI743" s="518"/>
      <c r="AJ743" s="518"/>
      <c r="AK743" s="518"/>
      <c r="AL743" s="518"/>
      <c r="AM743" s="518"/>
      <c r="AN743" s="518"/>
      <c r="AO743" s="518"/>
      <c r="AP743" s="518"/>
      <c r="AQ743" s="518"/>
      <c r="AR743" s="518"/>
      <c r="AS743" s="518"/>
      <c r="AT743" s="518"/>
      <c r="AU743" s="518"/>
      <c r="AV743" s="518"/>
      <c r="AW743" s="518"/>
      <c r="AX743" s="518"/>
      <c r="AY743" s="518"/>
      <c r="AZ743" s="518"/>
      <c r="BA743" s="518"/>
      <c r="BB743" s="518"/>
      <c r="BC743" s="518"/>
      <c r="BD743" s="518"/>
      <c r="BE743" s="518"/>
    </row>
    <row r="744" spans="1:57" ht="12.75" customHeight="1">
      <c r="A744" s="518"/>
      <c r="B744" s="518"/>
      <c r="C744" s="518"/>
      <c r="D744" s="518"/>
      <c r="E744" s="518"/>
      <c r="F744" s="518"/>
      <c r="G744" s="518"/>
      <c r="H744" s="518"/>
      <c r="I744" s="518"/>
      <c r="J744" s="518"/>
      <c r="K744" s="518"/>
      <c r="L744" s="518"/>
      <c r="M744" s="518"/>
      <c r="N744" s="518"/>
      <c r="O744" s="518"/>
      <c r="P744" s="518"/>
      <c r="Q744" s="518"/>
      <c r="R744" s="518"/>
      <c r="S744" s="518"/>
      <c r="T744" s="518"/>
      <c r="U744" s="518"/>
      <c r="V744" s="518"/>
      <c r="W744" s="518"/>
      <c r="X744" s="518"/>
      <c r="Y744" s="518"/>
      <c r="Z744" s="518"/>
      <c r="AA744" s="518"/>
      <c r="AB744" s="518"/>
      <c r="AC744" s="518"/>
      <c r="AD744" s="518"/>
      <c r="AE744" s="518"/>
      <c r="AF744" s="518"/>
      <c r="AG744" s="518"/>
      <c r="AH744" s="518"/>
      <c r="AI744" s="518"/>
      <c r="AJ744" s="518"/>
      <c r="AK744" s="518"/>
      <c r="AL744" s="518"/>
      <c r="AM744" s="518"/>
      <c r="AN744" s="518"/>
      <c r="AO744" s="518"/>
      <c r="AP744" s="518"/>
      <c r="AQ744" s="518"/>
      <c r="AR744" s="518"/>
      <c r="AS744" s="518"/>
      <c r="AT744" s="518"/>
      <c r="AU744" s="518"/>
      <c r="AV744" s="518"/>
      <c r="AW744" s="518"/>
      <c r="AX744" s="518"/>
      <c r="AY744" s="518"/>
      <c r="AZ744" s="518"/>
      <c r="BA744" s="518"/>
      <c r="BB744" s="518"/>
      <c r="BC744" s="518"/>
      <c r="BD744" s="518"/>
      <c r="BE744" s="518"/>
    </row>
    <row r="745" spans="1:57" ht="12.75" customHeight="1">
      <c r="A745" s="518"/>
      <c r="B745" s="518"/>
      <c r="C745" s="518"/>
      <c r="D745" s="518"/>
      <c r="E745" s="518"/>
      <c r="F745" s="518"/>
      <c r="G745" s="518"/>
      <c r="H745" s="518"/>
      <c r="I745" s="518"/>
      <c r="J745" s="518"/>
      <c r="K745" s="518"/>
      <c r="L745" s="518"/>
      <c r="M745" s="518"/>
      <c r="N745" s="518"/>
      <c r="O745" s="518"/>
      <c r="P745" s="518"/>
      <c r="Q745" s="518"/>
      <c r="R745" s="518"/>
      <c r="S745" s="518"/>
      <c r="T745" s="518"/>
      <c r="U745" s="518"/>
      <c r="V745" s="518"/>
      <c r="W745" s="518"/>
      <c r="X745" s="518"/>
      <c r="Y745" s="518"/>
      <c r="Z745" s="518"/>
      <c r="AA745" s="518"/>
      <c r="AB745" s="518"/>
      <c r="AC745" s="518"/>
      <c r="AD745" s="518"/>
      <c r="AE745" s="518"/>
      <c r="AF745" s="518"/>
      <c r="AG745" s="518"/>
      <c r="AH745" s="518"/>
      <c r="AI745" s="518"/>
      <c r="AJ745" s="518"/>
      <c r="AK745" s="518"/>
      <c r="AL745" s="518"/>
      <c r="AM745" s="518"/>
      <c r="AN745" s="518"/>
      <c r="AO745" s="518"/>
      <c r="AP745" s="518"/>
      <c r="AQ745" s="518"/>
      <c r="AR745" s="518"/>
      <c r="AS745" s="518"/>
      <c r="AT745" s="518"/>
      <c r="AU745" s="518"/>
      <c r="AV745" s="518"/>
      <c r="AW745" s="518"/>
      <c r="AX745" s="518"/>
      <c r="AY745" s="518"/>
      <c r="AZ745" s="518"/>
      <c r="BA745" s="518"/>
      <c r="BB745" s="518"/>
      <c r="BC745" s="518"/>
      <c r="BD745" s="518"/>
      <c r="BE745" s="518"/>
    </row>
    <row r="746" spans="1:57" ht="12.75" customHeight="1">
      <c r="A746" s="518"/>
      <c r="B746" s="518"/>
      <c r="C746" s="518"/>
      <c r="D746" s="518"/>
      <c r="E746" s="518"/>
      <c r="F746" s="518"/>
      <c r="G746" s="518"/>
      <c r="H746" s="518"/>
      <c r="I746" s="518"/>
      <c r="J746" s="518"/>
      <c r="K746" s="518"/>
      <c r="L746" s="518"/>
      <c r="M746" s="518"/>
      <c r="N746" s="518"/>
      <c r="O746" s="518"/>
      <c r="P746" s="518"/>
      <c r="Q746" s="518"/>
      <c r="R746" s="518"/>
      <c r="S746" s="518"/>
      <c r="T746" s="518"/>
      <c r="U746" s="518"/>
      <c r="V746" s="518"/>
      <c r="W746" s="518"/>
      <c r="X746" s="518"/>
      <c r="Y746" s="518"/>
      <c r="Z746" s="518"/>
      <c r="AA746" s="518"/>
      <c r="AB746" s="518"/>
      <c r="AC746" s="518"/>
      <c r="AD746" s="518"/>
      <c r="AE746" s="518"/>
      <c r="AF746" s="518"/>
      <c r="AG746" s="518"/>
      <c r="AH746" s="518"/>
      <c r="AI746" s="518"/>
      <c r="AJ746" s="518"/>
      <c r="AK746" s="518"/>
      <c r="AL746" s="518"/>
      <c r="AM746" s="518"/>
      <c r="AN746" s="518"/>
      <c r="AO746" s="518"/>
      <c r="AP746" s="518"/>
      <c r="AQ746" s="518"/>
      <c r="AR746" s="518"/>
      <c r="AS746" s="518"/>
      <c r="AT746" s="518"/>
      <c r="AU746" s="518"/>
      <c r="AV746" s="518"/>
      <c r="AW746" s="518"/>
      <c r="AX746" s="518"/>
      <c r="AY746" s="518"/>
      <c r="AZ746" s="518"/>
      <c r="BA746" s="518"/>
      <c r="BB746" s="518"/>
      <c r="BC746" s="518"/>
      <c r="BD746" s="518"/>
      <c r="BE746" s="518"/>
    </row>
    <row r="747" spans="1:57" ht="12.75" customHeight="1">
      <c r="A747" s="518"/>
      <c r="B747" s="518"/>
      <c r="C747" s="518"/>
      <c r="D747" s="518"/>
      <c r="E747" s="518"/>
      <c r="F747" s="518"/>
      <c r="G747" s="518"/>
      <c r="H747" s="518"/>
      <c r="I747" s="518"/>
      <c r="J747" s="518"/>
      <c r="K747" s="518"/>
      <c r="L747" s="518"/>
      <c r="M747" s="518"/>
      <c r="N747" s="518"/>
      <c r="O747" s="518"/>
      <c r="P747" s="518"/>
      <c r="Q747" s="518"/>
      <c r="R747" s="518"/>
      <c r="S747" s="518"/>
      <c r="T747" s="518"/>
      <c r="U747" s="518"/>
      <c r="V747" s="518"/>
      <c r="W747" s="518"/>
      <c r="X747" s="518"/>
      <c r="Y747" s="518"/>
      <c r="Z747" s="518"/>
      <c r="AA747" s="518"/>
      <c r="AB747" s="518"/>
      <c r="AC747" s="518"/>
      <c r="AD747" s="518"/>
      <c r="AE747" s="518"/>
      <c r="AF747" s="518"/>
      <c r="AG747" s="518"/>
      <c r="AH747" s="518"/>
      <c r="AI747" s="518"/>
      <c r="AJ747" s="518"/>
      <c r="AK747" s="518"/>
      <c r="AL747" s="518"/>
      <c r="AM747" s="518"/>
      <c r="AN747" s="518"/>
      <c r="AO747" s="518"/>
      <c r="AP747" s="518"/>
      <c r="AQ747" s="518"/>
      <c r="AR747" s="518"/>
      <c r="AS747" s="518"/>
      <c r="AT747" s="518"/>
      <c r="AU747" s="518"/>
      <c r="AV747" s="518"/>
      <c r="AW747" s="518"/>
      <c r="AX747" s="518"/>
      <c r="AY747" s="518"/>
      <c r="AZ747" s="518"/>
      <c r="BA747" s="518"/>
      <c r="BB747" s="518"/>
      <c r="BC747" s="518"/>
      <c r="BD747" s="518"/>
      <c r="BE747" s="518"/>
    </row>
    <row r="748" spans="1:57" ht="12.75" customHeight="1">
      <c r="A748" s="518"/>
      <c r="B748" s="518"/>
      <c r="C748" s="518"/>
      <c r="D748" s="518"/>
      <c r="E748" s="518"/>
      <c r="F748" s="518"/>
      <c r="G748" s="518"/>
      <c r="H748" s="518"/>
      <c r="I748" s="518"/>
      <c r="J748" s="518"/>
      <c r="K748" s="518"/>
      <c r="L748" s="518"/>
      <c r="M748" s="518"/>
      <c r="N748" s="518"/>
      <c r="O748" s="518"/>
      <c r="P748" s="518"/>
      <c r="Q748" s="518"/>
      <c r="R748" s="518"/>
      <c r="S748" s="518"/>
      <c r="T748" s="518"/>
      <c r="U748" s="518"/>
      <c r="V748" s="518"/>
      <c r="W748" s="518"/>
      <c r="X748" s="518"/>
      <c r="Y748" s="518"/>
      <c r="Z748" s="518"/>
      <c r="AA748" s="518"/>
      <c r="AB748" s="518"/>
      <c r="AC748" s="518"/>
      <c r="AD748" s="518"/>
      <c r="AE748" s="518"/>
      <c r="AF748" s="518"/>
      <c r="AG748" s="518"/>
      <c r="AH748" s="518"/>
      <c r="AI748" s="518"/>
      <c r="AJ748" s="518"/>
      <c r="AK748" s="518"/>
      <c r="AL748" s="518"/>
      <c r="AM748" s="518"/>
      <c r="AN748" s="518"/>
      <c r="AO748" s="518"/>
      <c r="AP748" s="518"/>
      <c r="AQ748" s="518"/>
      <c r="AR748" s="518"/>
      <c r="AS748" s="518"/>
      <c r="AT748" s="518"/>
      <c r="AU748" s="518"/>
      <c r="AV748" s="518"/>
      <c r="AW748" s="518"/>
      <c r="AX748" s="518"/>
      <c r="AY748" s="518"/>
      <c r="AZ748" s="518"/>
      <c r="BA748" s="518"/>
      <c r="BB748" s="518"/>
      <c r="BC748" s="518"/>
      <c r="BD748" s="518"/>
      <c r="BE748" s="518"/>
    </row>
    <row r="749" spans="1:57" ht="12.75" customHeight="1">
      <c r="A749" s="518"/>
      <c r="B749" s="518"/>
      <c r="C749" s="518"/>
      <c r="D749" s="518"/>
      <c r="E749" s="518"/>
      <c r="F749" s="518"/>
      <c r="G749" s="518"/>
      <c r="H749" s="518"/>
      <c r="I749" s="518"/>
      <c r="J749" s="518"/>
      <c r="K749" s="518"/>
      <c r="L749" s="518"/>
      <c r="M749" s="518"/>
      <c r="N749" s="518"/>
      <c r="O749" s="518"/>
      <c r="P749" s="518"/>
      <c r="Q749" s="518"/>
      <c r="R749" s="518"/>
      <c r="S749" s="518"/>
      <c r="T749" s="518"/>
      <c r="U749" s="518"/>
      <c r="V749" s="518"/>
      <c r="W749" s="518"/>
      <c r="X749" s="518"/>
      <c r="Y749" s="518"/>
      <c r="Z749" s="518"/>
      <c r="AA749" s="518"/>
      <c r="AB749" s="518"/>
      <c r="AC749" s="518"/>
      <c r="AD749" s="518"/>
      <c r="AE749" s="518"/>
      <c r="AF749" s="518"/>
      <c r="AG749" s="518"/>
      <c r="AH749" s="518"/>
      <c r="AI749" s="518"/>
      <c r="AJ749" s="518"/>
      <c r="AK749" s="518"/>
      <c r="AL749" s="518"/>
      <c r="AM749" s="518"/>
      <c r="AN749" s="518"/>
      <c r="AO749" s="518"/>
      <c r="AP749" s="518"/>
      <c r="AQ749" s="518"/>
      <c r="AR749" s="518"/>
      <c r="AS749" s="518"/>
      <c r="AT749" s="518"/>
      <c r="AU749" s="518"/>
      <c r="AV749" s="518"/>
      <c r="AW749" s="518"/>
      <c r="AX749" s="518"/>
      <c r="AY749" s="518"/>
      <c r="AZ749" s="518"/>
      <c r="BA749" s="518"/>
      <c r="BB749" s="518"/>
      <c r="BC749" s="518"/>
      <c r="BD749" s="518"/>
      <c r="BE749" s="518"/>
    </row>
    <row r="750" spans="1:57" ht="12.75" customHeight="1">
      <c r="A750" s="518"/>
      <c r="B750" s="518"/>
      <c r="C750" s="518"/>
      <c r="D750" s="518"/>
      <c r="E750" s="518"/>
      <c r="F750" s="518"/>
      <c r="G750" s="518"/>
      <c r="H750" s="518"/>
      <c r="I750" s="518"/>
      <c r="J750" s="518"/>
      <c r="K750" s="518"/>
      <c r="L750" s="518"/>
      <c r="M750" s="518"/>
      <c r="N750" s="518"/>
      <c r="O750" s="518"/>
      <c r="P750" s="518"/>
      <c r="Q750" s="518"/>
      <c r="R750" s="518"/>
      <c r="S750" s="518"/>
      <c r="T750" s="518"/>
      <c r="U750" s="518"/>
      <c r="V750" s="518"/>
      <c r="W750" s="518"/>
      <c r="X750" s="518"/>
      <c r="Y750" s="518"/>
      <c r="Z750" s="518"/>
      <c r="AA750" s="518"/>
      <c r="AB750" s="518"/>
      <c r="AC750" s="518"/>
      <c r="AD750" s="518"/>
      <c r="AE750" s="518"/>
      <c r="AF750" s="518"/>
      <c r="AG750" s="518"/>
      <c r="AH750" s="518"/>
      <c r="AI750" s="518"/>
      <c r="AJ750" s="518"/>
      <c r="AK750" s="518"/>
      <c r="AL750" s="518"/>
      <c r="AM750" s="518"/>
      <c r="AN750" s="518"/>
      <c r="AO750" s="518"/>
      <c r="AP750" s="518"/>
      <c r="AQ750" s="518"/>
      <c r="AR750" s="518"/>
      <c r="AS750" s="518"/>
      <c r="AT750" s="518"/>
      <c r="AU750" s="518"/>
      <c r="AV750" s="518"/>
      <c r="AW750" s="518"/>
      <c r="AX750" s="518"/>
      <c r="AY750" s="518"/>
      <c r="AZ750" s="518"/>
      <c r="BA750" s="518"/>
      <c r="BB750" s="518"/>
      <c r="BC750" s="518"/>
      <c r="BD750" s="518"/>
      <c r="BE750" s="518"/>
    </row>
    <row r="751" spans="1:57" ht="12.75" customHeight="1">
      <c r="A751" s="518"/>
      <c r="B751" s="518"/>
      <c r="C751" s="518"/>
      <c r="D751" s="518"/>
      <c r="E751" s="518"/>
      <c r="F751" s="518"/>
      <c r="G751" s="518"/>
      <c r="H751" s="518"/>
      <c r="I751" s="518"/>
      <c r="J751" s="518"/>
      <c r="K751" s="518"/>
      <c r="L751" s="518"/>
      <c r="M751" s="518"/>
      <c r="N751" s="518"/>
      <c r="O751" s="518"/>
      <c r="P751" s="518"/>
      <c r="Q751" s="518"/>
      <c r="R751" s="518"/>
      <c r="S751" s="518"/>
      <c r="T751" s="518"/>
      <c r="U751" s="518"/>
      <c r="V751" s="518"/>
      <c r="W751" s="518"/>
      <c r="X751" s="518"/>
      <c r="Y751" s="518"/>
      <c r="Z751" s="518"/>
      <c r="AA751" s="518"/>
      <c r="AB751" s="518"/>
      <c r="AC751" s="518"/>
      <c r="AD751" s="518"/>
      <c r="AE751" s="518"/>
      <c r="AF751" s="518"/>
      <c r="AG751" s="518"/>
      <c r="AH751" s="518"/>
      <c r="AI751" s="518"/>
      <c r="AJ751" s="518"/>
      <c r="AK751" s="518"/>
      <c r="AL751" s="518"/>
      <c r="AM751" s="518"/>
      <c r="AN751" s="518"/>
      <c r="AO751" s="518"/>
      <c r="AP751" s="518"/>
      <c r="AQ751" s="518"/>
      <c r="AR751" s="518"/>
      <c r="AS751" s="518"/>
      <c r="AT751" s="518"/>
      <c r="AU751" s="518"/>
      <c r="AV751" s="518"/>
      <c r="AW751" s="518"/>
      <c r="AX751" s="518"/>
      <c r="AY751" s="518"/>
      <c r="AZ751" s="518"/>
      <c r="BA751" s="518"/>
      <c r="BB751" s="518"/>
      <c r="BC751" s="518"/>
      <c r="BD751" s="518"/>
      <c r="BE751" s="518"/>
    </row>
    <row r="752" spans="1:57" ht="12.75" customHeight="1">
      <c r="A752" s="518"/>
      <c r="B752" s="518"/>
      <c r="C752" s="518"/>
      <c r="D752" s="518"/>
      <c r="E752" s="518"/>
      <c r="F752" s="518"/>
      <c r="G752" s="518"/>
      <c r="H752" s="518"/>
      <c r="I752" s="518"/>
      <c r="J752" s="518"/>
      <c r="K752" s="518"/>
      <c r="L752" s="518"/>
      <c r="M752" s="518"/>
      <c r="N752" s="518"/>
      <c r="O752" s="518"/>
      <c r="P752" s="518"/>
      <c r="Q752" s="518"/>
      <c r="R752" s="518"/>
      <c r="S752" s="518"/>
      <c r="T752" s="518"/>
      <c r="U752" s="518"/>
      <c r="V752" s="518"/>
      <c r="W752" s="518"/>
      <c r="X752" s="518"/>
      <c r="Y752" s="518"/>
      <c r="Z752" s="518"/>
      <c r="AA752" s="518"/>
      <c r="AB752" s="518"/>
      <c r="AC752" s="518"/>
      <c r="AD752" s="518"/>
      <c r="AE752" s="518"/>
      <c r="AF752" s="518"/>
      <c r="AG752" s="518"/>
      <c r="AH752" s="518"/>
      <c r="AI752" s="518"/>
      <c r="AJ752" s="518"/>
      <c r="AK752" s="518"/>
      <c r="AL752" s="518"/>
      <c r="AM752" s="518"/>
      <c r="AN752" s="518"/>
      <c r="AO752" s="518"/>
      <c r="AP752" s="518"/>
      <c r="AQ752" s="518"/>
      <c r="AR752" s="518"/>
      <c r="AS752" s="518"/>
      <c r="AT752" s="518"/>
      <c r="AU752" s="518"/>
      <c r="AV752" s="518"/>
      <c r="AW752" s="518"/>
      <c r="AX752" s="518"/>
      <c r="AY752" s="518"/>
      <c r="AZ752" s="518"/>
      <c r="BA752" s="518"/>
      <c r="BB752" s="518"/>
      <c r="BC752" s="518"/>
      <c r="BD752" s="518"/>
      <c r="BE752" s="518"/>
    </row>
    <row r="753" spans="1:57" ht="12.75" customHeight="1">
      <c r="A753" s="518"/>
      <c r="B753" s="518"/>
      <c r="C753" s="518"/>
      <c r="D753" s="518"/>
      <c r="E753" s="518"/>
      <c r="F753" s="518"/>
      <c r="G753" s="518"/>
      <c r="H753" s="518"/>
      <c r="I753" s="518"/>
      <c r="J753" s="518"/>
      <c r="K753" s="518"/>
      <c r="L753" s="518"/>
      <c r="M753" s="518"/>
      <c r="N753" s="518"/>
      <c r="O753" s="518"/>
      <c r="P753" s="518"/>
      <c r="Q753" s="518"/>
      <c r="R753" s="518"/>
      <c r="S753" s="518"/>
      <c r="T753" s="518"/>
      <c r="U753" s="518"/>
      <c r="V753" s="518"/>
      <c r="W753" s="518"/>
      <c r="X753" s="518"/>
      <c r="Y753" s="518"/>
      <c r="Z753" s="518"/>
      <c r="AA753" s="518"/>
      <c r="AB753" s="518"/>
      <c r="AC753" s="518"/>
      <c r="AD753" s="518"/>
      <c r="AE753" s="518"/>
      <c r="AF753" s="518"/>
      <c r="AG753" s="518"/>
      <c r="AH753" s="518"/>
      <c r="AI753" s="518"/>
      <c r="AJ753" s="518"/>
      <c r="AK753" s="518"/>
      <c r="AL753" s="518"/>
      <c r="AM753" s="518"/>
      <c r="AN753" s="518"/>
      <c r="AO753" s="518"/>
      <c r="AP753" s="518"/>
      <c r="AQ753" s="518"/>
      <c r="AR753" s="518"/>
      <c r="AS753" s="518"/>
      <c r="AT753" s="518"/>
      <c r="AU753" s="518"/>
      <c r="AV753" s="518"/>
      <c r="AW753" s="518"/>
      <c r="AX753" s="518"/>
      <c r="AY753" s="518"/>
      <c r="AZ753" s="518"/>
      <c r="BA753" s="518"/>
      <c r="BB753" s="518"/>
      <c r="BC753" s="518"/>
      <c r="BD753" s="518"/>
      <c r="BE753" s="518"/>
    </row>
    <row r="754" spans="1:57" ht="12.75" customHeight="1">
      <c r="A754" s="518"/>
      <c r="B754" s="518"/>
      <c r="C754" s="518"/>
      <c r="D754" s="518"/>
      <c r="E754" s="518"/>
      <c r="F754" s="518"/>
      <c r="G754" s="518"/>
      <c r="H754" s="518"/>
      <c r="I754" s="518"/>
      <c r="J754" s="518"/>
      <c r="K754" s="518"/>
      <c r="L754" s="518"/>
      <c r="M754" s="518"/>
      <c r="N754" s="518"/>
      <c r="O754" s="518"/>
      <c r="P754" s="518"/>
      <c r="Q754" s="518"/>
      <c r="R754" s="518"/>
      <c r="S754" s="518"/>
      <c r="T754" s="518"/>
      <c r="U754" s="518"/>
      <c r="V754" s="518"/>
      <c r="W754" s="518"/>
      <c r="X754" s="518"/>
      <c r="Y754" s="518"/>
      <c r="Z754" s="518"/>
      <c r="AA754" s="518"/>
      <c r="AB754" s="518"/>
      <c r="AC754" s="518"/>
      <c r="AD754" s="518"/>
      <c r="AE754" s="518"/>
      <c r="AF754" s="518"/>
      <c r="AG754" s="518"/>
      <c r="AH754" s="518"/>
      <c r="AI754" s="518"/>
      <c r="AJ754" s="518"/>
      <c r="AK754" s="518"/>
      <c r="AL754" s="518"/>
      <c r="AM754" s="518"/>
      <c r="AN754" s="518"/>
      <c r="AO754" s="518"/>
      <c r="AP754" s="518"/>
      <c r="AQ754" s="518"/>
      <c r="AR754" s="518"/>
      <c r="AS754" s="518"/>
      <c r="AT754" s="518"/>
      <c r="AU754" s="518"/>
      <c r="AV754" s="518"/>
      <c r="AW754" s="518"/>
      <c r="AX754" s="518"/>
      <c r="AY754" s="518"/>
      <c r="AZ754" s="518"/>
      <c r="BA754" s="518"/>
      <c r="BB754" s="518"/>
      <c r="BC754" s="518"/>
      <c r="BD754" s="518"/>
      <c r="BE754" s="518"/>
    </row>
    <row r="755" spans="1:57" ht="12.75" customHeight="1">
      <c r="A755" s="518"/>
      <c r="B755" s="518"/>
      <c r="C755" s="518"/>
      <c r="D755" s="518"/>
      <c r="E755" s="518"/>
      <c r="F755" s="518"/>
      <c r="G755" s="518"/>
      <c r="H755" s="518"/>
      <c r="I755" s="518"/>
      <c r="J755" s="518"/>
      <c r="K755" s="518"/>
      <c r="L755" s="518"/>
      <c r="M755" s="518"/>
      <c r="N755" s="518"/>
      <c r="O755" s="518"/>
      <c r="P755" s="518"/>
      <c r="Q755" s="518"/>
      <c r="R755" s="518"/>
      <c r="S755" s="518"/>
      <c r="T755" s="518"/>
      <c r="U755" s="518"/>
      <c r="V755" s="518"/>
      <c r="W755" s="518"/>
      <c r="X755" s="518"/>
      <c r="Y755" s="518"/>
      <c r="Z755" s="518"/>
      <c r="AA755" s="518"/>
      <c r="AB755" s="518"/>
      <c r="AC755" s="518"/>
      <c r="AD755" s="518"/>
      <c r="AE755" s="518"/>
      <c r="AF755" s="518"/>
      <c r="AG755" s="518"/>
      <c r="AH755" s="518"/>
      <c r="AI755" s="518"/>
      <c r="AJ755" s="518"/>
      <c r="AK755" s="518"/>
      <c r="AL755" s="518"/>
      <c r="AM755" s="518"/>
      <c r="AN755" s="518"/>
      <c r="AO755" s="518"/>
      <c r="AP755" s="518"/>
      <c r="AQ755" s="518"/>
      <c r="AR755" s="518"/>
      <c r="AS755" s="518"/>
      <c r="AT755" s="518"/>
      <c r="AU755" s="518"/>
      <c r="AV755" s="518"/>
      <c r="AW755" s="518"/>
      <c r="AX755" s="518"/>
      <c r="AY755" s="518"/>
      <c r="AZ755" s="518"/>
      <c r="BA755" s="518"/>
      <c r="BB755" s="518"/>
      <c r="BC755" s="518"/>
      <c r="BD755" s="518"/>
      <c r="BE755" s="518"/>
    </row>
    <row r="756" spans="1:57" ht="12.75" customHeight="1">
      <c r="A756" s="518"/>
      <c r="B756" s="518"/>
      <c r="C756" s="518"/>
      <c r="D756" s="518"/>
      <c r="E756" s="518"/>
      <c r="F756" s="518"/>
      <c r="G756" s="518"/>
      <c r="H756" s="518"/>
      <c r="I756" s="518"/>
      <c r="J756" s="518"/>
      <c r="K756" s="518"/>
      <c r="L756" s="518"/>
      <c r="M756" s="518"/>
      <c r="N756" s="518"/>
      <c r="O756" s="518"/>
      <c r="P756" s="518"/>
      <c r="Q756" s="518"/>
      <c r="R756" s="518"/>
      <c r="S756" s="518"/>
      <c r="T756" s="518"/>
      <c r="U756" s="518"/>
      <c r="V756" s="518"/>
      <c r="W756" s="518"/>
      <c r="X756" s="518"/>
      <c r="Y756" s="518"/>
      <c r="Z756" s="518"/>
      <c r="AA756" s="518"/>
      <c r="AB756" s="518"/>
      <c r="AC756" s="518"/>
      <c r="AD756" s="518"/>
      <c r="AE756" s="518"/>
      <c r="AF756" s="518"/>
      <c r="AG756" s="518"/>
      <c r="AH756" s="518"/>
      <c r="AI756" s="518"/>
      <c r="AJ756" s="518"/>
      <c r="AK756" s="518"/>
      <c r="AL756" s="518"/>
      <c r="AM756" s="518"/>
      <c r="AN756" s="518"/>
      <c r="AO756" s="518"/>
      <c r="AP756" s="518"/>
      <c r="AQ756" s="518"/>
      <c r="AR756" s="518"/>
      <c r="AS756" s="518"/>
      <c r="AT756" s="518"/>
      <c r="AU756" s="518"/>
      <c r="AV756" s="518"/>
      <c r="AW756" s="518"/>
      <c r="AX756" s="518"/>
      <c r="AY756" s="518"/>
      <c r="AZ756" s="518"/>
      <c r="BA756" s="518"/>
      <c r="BB756" s="518"/>
      <c r="BC756" s="518"/>
      <c r="BD756" s="518"/>
      <c r="BE756" s="518"/>
    </row>
    <row r="757" spans="1:57" ht="12.75" customHeight="1">
      <c r="A757" s="518"/>
      <c r="B757" s="518"/>
      <c r="C757" s="518"/>
      <c r="D757" s="518"/>
      <c r="E757" s="518"/>
      <c r="F757" s="518"/>
      <c r="G757" s="518"/>
      <c r="H757" s="518"/>
      <c r="I757" s="518"/>
      <c r="J757" s="518"/>
      <c r="K757" s="518"/>
      <c r="L757" s="518"/>
      <c r="M757" s="518"/>
      <c r="N757" s="518"/>
      <c r="O757" s="518"/>
      <c r="P757" s="518"/>
      <c r="Q757" s="518"/>
      <c r="R757" s="518"/>
      <c r="S757" s="518"/>
      <c r="T757" s="518"/>
      <c r="U757" s="518"/>
      <c r="V757" s="518"/>
      <c r="W757" s="518"/>
      <c r="X757" s="518"/>
      <c r="Y757" s="518"/>
      <c r="Z757" s="518"/>
      <c r="AA757" s="518"/>
      <c r="AB757" s="518"/>
      <c r="AC757" s="518"/>
      <c r="AD757" s="518"/>
      <c r="AE757" s="518"/>
      <c r="AF757" s="518"/>
      <c r="AG757" s="518"/>
      <c r="AH757" s="518"/>
      <c r="AI757" s="518"/>
      <c r="AJ757" s="518"/>
      <c r="AK757" s="518"/>
      <c r="AL757" s="518"/>
      <c r="AM757" s="518"/>
      <c r="AN757" s="518"/>
      <c r="AO757" s="518"/>
      <c r="AP757" s="518"/>
      <c r="AQ757" s="518"/>
      <c r="AR757" s="518"/>
      <c r="AS757" s="518"/>
      <c r="AT757" s="518"/>
      <c r="AU757" s="518"/>
      <c r="AV757" s="518"/>
      <c r="AW757" s="518"/>
      <c r="AX757" s="518"/>
      <c r="AY757" s="518"/>
      <c r="AZ757" s="518"/>
      <c r="BA757" s="518"/>
      <c r="BB757" s="518"/>
      <c r="BC757" s="518"/>
      <c r="BD757" s="518"/>
      <c r="BE757" s="518"/>
    </row>
    <row r="758" spans="1:57" ht="12.75" customHeight="1">
      <c r="A758" s="518"/>
      <c r="B758" s="518"/>
      <c r="C758" s="518"/>
      <c r="D758" s="518"/>
      <c r="E758" s="518"/>
      <c r="F758" s="518"/>
      <c r="G758" s="518"/>
      <c r="H758" s="518"/>
      <c r="I758" s="518"/>
      <c r="J758" s="518"/>
      <c r="K758" s="518"/>
      <c r="L758" s="518"/>
      <c r="M758" s="518"/>
      <c r="N758" s="518"/>
      <c r="O758" s="518"/>
      <c r="P758" s="518"/>
      <c r="Q758" s="518"/>
      <c r="R758" s="518"/>
      <c r="S758" s="518"/>
      <c r="T758" s="518"/>
      <c r="U758" s="518"/>
      <c r="V758" s="518"/>
      <c r="W758" s="518"/>
      <c r="X758" s="518"/>
      <c r="Y758" s="518"/>
      <c r="Z758" s="518"/>
      <c r="AA758" s="518"/>
      <c r="AB758" s="518"/>
      <c r="AC758" s="518"/>
      <c r="AD758" s="518"/>
      <c r="AE758" s="518"/>
      <c r="AF758" s="518"/>
      <c r="AG758" s="518"/>
      <c r="AH758" s="518"/>
      <c r="AI758" s="518"/>
      <c r="AJ758" s="518"/>
      <c r="AK758" s="518"/>
      <c r="AL758" s="518"/>
      <c r="AM758" s="518"/>
      <c r="AN758" s="518"/>
      <c r="AO758" s="518"/>
      <c r="AP758" s="518"/>
      <c r="AQ758" s="518"/>
      <c r="AR758" s="518"/>
      <c r="AS758" s="518"/>
      <c r="AT758" s="518"/>
      <c r="AU758" s="518"/>
      <c r="AV758" s="518"/>
      <c r="AW758" s="518"/>
      <c r="AX758" s="518"/>
      <c r="AY758" s="518"/>
      <c r="AZ758" s="518"/>
      <c r="BA758" s="518"/>
      <c r="BB758" s="518"/>
      <c r="BC758" s="518"/>
      <c r="BD758" s="518"/>
      <c r="BE758" s="518"/>
    </row>
    <row r="759" spans="1:57" ht="12.75" customHeight="1">
      <c r="A759" s="518"/>
      <c r="B759" s="518"/>
      <c r="C759" s="518"/>
      <c r="D759" s="518"/>
      <c r="E759" s="518"/>
      <c r="F759" s="518"/>
      <c r="G759" s="518"/>
      <c r="H759" s="518"/>
      <c r="I759" s="518"/>
      <c r="J759" s="518"/>
      <c r="K759" s="518"/>
      <c r="L759" s="518"/>
      <c r="M759" s="518"/>
      <c r="N759" s="518"/>
      <c r="O759" s="518"/>
      <c r="P759" s="518"/>
      <c r="Q759" s="518"/>
      <c r="R759" s="518"/>
      <c r="S759" s="518"/>
      <c r="T759" s="518"/>
      <c r="U759" s="518"/>
      <c r="V759" s="518"/>
      <c r="W759" s="518"/>
      <c r="X759" s="518"/>
      <c r="Y759" s="518"/>
      <c r="Z759" s="518"/>
      <c r="AA759" s="518"/>
      <c r="AB759" s="518"/>
      <c r="AC759" s="518"/>
      <c r="AD759" s="518"/>
      <c r="AE759" s="518"/>
      <c r="AF759" s="518"/>
      <c r="AG759" s="518"/>
      <c r="AH759" s="518"/>
      <c r="AI759" s="518"/>
      <c r="AJ759" s="518"/>
      <c r="AK759" s="518"/>
      <c r="AL759" s="518"/>
      <c r="AM759" s="518"/>
      <c r="AN759" s="518"/>
      <c r="AO759" s="518"/>
      <c r="AP759" s="518"/>
      <c r="AQ759" s="518"/>
      <c r="AR759" s="518"/>
      <c r="AS759" s="518"/>
      <c r="AT759" s="518"/>
      <c r="AU759" s="518"/>
      <c r="AV759" s="518"/>
      <c r="AW759" s="518"/>
      <c r="AX759" s="518"/>
      <c r="AY759" s="518"/>
      <c r="AZ759" s="518"/>
      <c r="BA759" s="518"/>
      <c r="BB759" s="518"/>
      <c r="BC759" s="518"/>
      <c r="BD759" s="518"/>
      <c r="BE759" s="518"/>
    </row>
    <row r="760" spans="1:57" ht="12.75" customHeight="1">
      <c r="A760" s="518"/>
      <c r="B760" s="518"/>
      <c r="C760" s="518"/>
      <c r="D760" s="518"/>
      <c r="E760" s="518"/>
      <c r="F760" s="518"/>
      <c r="G760" s="518"/>
      <c r="H760" s="518"/>
      <c r="I760" s="518"/>
      <c r="J760" s="518"/>
      <c r="K760" s="518"/>
      <c r="L760" s="518"/>
      <c r="M760" s="518"/>
      <c r="N760" s="518"/>
      <c r="O760" s="518"/>
      <c r="P760" s="518"/>
      <c r="Q760" s="518"/>
      <c r="R760" s="518"/>
      <c r="S760" s="518"/>
      <c r="T760" s="518"/>
      <c r="U760" s="518"/>
      <c r="V760" s="518"/>
      <c r="W760" s="518"/>
      <c r="X760" s="518"/>
      <c r="Y760" s="518"/>
      <c r="Z760" s="518"/>
      <c r="AA760" s="518"/>
      <c r="AB760" s="518"/>
      <c r="AC760" s="518"/>
      <c r="AD760" s="518"/>
      <c r="AE760" s="518"/>
      <c r="AF760" s="518"/>
      <c r="AG760" s="518"/>
      <c r="AH760" s="518"/>
      <c r="AI760" s="518"/>
      <c r="AJ760" s="518"/>
      <c r="AK760" s="518"/>
      <c r="AL760" s="518"/>
      <c r="AM760" s="518"/>
      <c r="AN760" s="518"/>
      <c r="AO760" s="518"/>
      <c r="AP760" s="518"/>
      <c r="AQ760" s="518"/>
      <c r="AR760" s="518"/>
      <c r="AS760" s="518"/>
      <c r="AT760" s="518"/>
      <c r="AU760" s="518"/>
      <c r="AV760" s="518"/>
      <c r="AW760" s="518"/>
      <c r="AX760" s="518"/>
      <c r="AY760" s="518"/>
      <c r="AZ760" s="518"/>
      <c r="BA760" s="518"/>
      <c r="BB760" s="518"/>
      <c r="BC760" s="518"/>
      <c r="BD760" s="518"/>
      <c r="BE760" s="518"/>
    </row>
    <row r="761" spans="1:57" ht="12.75" customHeight="1">
      <c r="A761" s="518"/>
      <c r="B761" s="518"/>
      <c r="C761" s="518"/>
      <c r="D761" s="518"/>
      <c r="E761" s="518"/>
      <c r="F761" s="518"/>
      <c r="G761" s="518"/>
      <c r="H761" s="518"/>
      <c r="I761" s="518"/>
      <c r="J761" s="518"/>
      <c r="K761" s="518"/>
      <c r="L761" s="518"/>
      <c r="M761" s="518"/>
      <c r="N761" s="518"/>
      <c r="O761" s="518"/>
      <c r="P761" s="518"/>
      <c r="Q761" s="518"/>
      <c r="R761" s="518"/>
      <c r="S761" s="518"/>
      <c r="T761" s="518"/>
      <c r="U761" s="518"/>
      <c r="V761" s="518"/>
      <c r="W761" s="518"/>
      <c r="X761" s="518"/>
      <c r="Y761" s="518"/>
      <c r="Z761" s="518"/>
      <c r="AA761" s="518"/>
      <c r="AB761" s="518"/>
      <c r="AC761" s="518"/>
      <c r="AD761" s="518"/>
      <c r="AE761" s="518"/>
      <c r="AF761" s="518"/>
      <c r="AG761" s="518"/>
      <c r="AH761" s="518"/>
      <c r="AI761" s="518"/>
      <c r="AJ761" s="518"/>
      <c r="AK761" s="518"/>
      <c r="AL761" s="518"/>
      <c r="AM761" s="518"/>
      <c r="AN761" s="518"/>
      <c r="AO761" s="518"/>
      <c r="AP761" s="518"/>
      <c r="AQ761" s="518"/>
      <c r="AR761" s="518"/>
      <c r="AS761" s="518"/>
      <c r="AT761" s="518"/>
      <c r="AU761" s="518"/>
      <c r="AV761" s="518"/>
      <c r="AW761" s="518"/>
      <c r="AX761" s="518"/>
      <c r="AY761" s="518"/>
      <c r="AZ761" s="518"/>
      <c r="BA761" s="518"/>
      <c r="BB761" s="518"/>
      <c r="BC761" s="518"/>
      <c r="BD761" s="518"/>
      <c r="BE761" s="518"/>
    </row>
    <row r="762" spans="1:57" ht="12.75" customHeight="1">
      <c r="A762" s="518"/>
      <c r="B762" s="518"/>
      <c r="C762" s="518"/>
      <c r="D762" s="518"/>
      <c r="E762" s="518"/>
      <c r="F762" s="518"/>
      <c r="G762" s="518"/>
      <c r="H762" s="518"/>
      <c r="I762" s="518"/>
      <c r="J762" s="518"/>
      <c r="K762" s="518"/>
      <c r="L762" s="518"/>
      <c r="M762" s="518"/>
      <c r="N762" s="518"/>
      <c r="O762" s="518"/>
      <c r="P762" s="518"/>
      <c r="Q762" s="518"/>
      <c r="R762" s="518"/>
      <c r="S762" s="518"/>
      <c r="T762" s="518"/>
      <c r="U762" s="518"/>
      <c r="V762" s="518"/>
      <c r="W762" s="518"/>
      <c r="X762" s="518"/>
      <c r="Y762" s="518"/>
      <c r="Z762" s="518"/>
      <c r="AA762" s="518"/>
      <c r="AB762" s="518"/>
      <c r="AC762" s="518"/>
      <c r="AD762" s="518"/>
      <c r="AE762" s="518"/>
      <c r="AF762" s="518"/>
      <c r="AG762" s="518"/>
      <c r="AH762" s="518"/>
      <c r="AI762" s="518"/>
      <c r="AJ762" s="518"/>
      <c r="AK762" s="518"/>
      <c r="AL762" s="518"/>
      <c r="AM762" s="518"/>
      <c r="AN762" s="518"/>
      <c r="AO762" s="518"/>
      <c r="AP762" s="518"/>
      <c r="AQ762" s="518"/>
      <c r="AR762" s="518"/>
      <c r="AS762" s="518"/>
      <c r="AT762" s="518"/>
      <c r="AU762" s="518"/>
      <c r="AV762" s="518"/>
      <c r="AW762" s="518"/>
      <c r="AX762" s="518"/>
      <c r="AY762" s="518"/>
      <c r="AZ762" s="518"/>
      <c r="BA762" s="518"/>
      <c r="BB762" s="518"/>
      <c r="BC762" s="518"/>
      <c r="BD762" s="518"/>
      <c r="BE762" s="518"/>
    </row>
    <row r="763" spans="1:57" ht="12.75" customHeight="1">
      <c r="A763" s="518"/>
      <c r="B763" s="518"/>
      <c r="C763" s="518"/>
      <c r="D763" s="518"/>
      <c r="E763" s="518"/>
      <c r="F763" s="518"/>
      <c r="G763" s="518"/>
      <c r="H763" s="518"/>
      <c r="I763" s="518"/>
      <c r="J763" s="518"/>
      <c r="K763" s="518"/>
      <c r="L763" s="518"/>
      <c r="M763" s="518"/>
      <c r="N763" s="518"/>
      <c r="O763" s="518"/>
      <c r="P763" s="518"/>
      <c r="Q763" s="518"/>
      <c r="R763" s="518"/>
      <c r="S763" s="518"/>
      <c r="T763" s="518"/>
      <c r="U763" s="518"/>
      <c r="V763" s="518"/>
      <c r="W763" s="518"/>
      <c r="X763" s="518"/>
      <c r="Y763" s="518"/>
      <c r="Z763" s="518"/>
      <c r="AA763" s="518"/>
      <c r="AB763" s="518"/>
      <c r="AC763" s="518"/>
      <c r="AD763" s="518"/>
      <c r="AE763" s="518"/>
      <c r="AF763" s="518"/>
      <c r="AG763" s="518"/>
      <c r="AH763" s="518"/>
      <c r="AI763" s="518"/>
      <c r="AJ763" s="518"/>
      <c r="AK763" s="518"/>
      <c r="AL763" s="518"/>
      <c r="AM763" s="518"/>
      <c r="AN763" s="518"/>
      <c r="AO763" s="518"/>
      <c r="AP763" s="518"/>
      <c r="AQ763" s="518"/>
      <c r="AR763" s="518"/>
      <c r="AS763" s="518"/>
      <c r="AT763" s="518"/>
      <c r="AU763" s="518"/>
      <c r="AV763" s="518"/>
      <c r="AW763" s="518"/>
      <c r="AX763" s="518"/>
      <c r="AY763" s="518"/>
      <c r="AZ763" s="518"/>
      <c r="BA763" s="518"/>
      <c r="BB763" s="518"/>
      <c r="BC763" s="518"/>
      <c r="BD763" s="518"/>
      <c r="BE763" s="518"/>
    </row>
    <row r="764" spans="1:57" ht="12.75" customHeight="1">
      <c r="A764" s="518"/>
      <c r="B764" s="518"/>
      <c r="C764" s="518"/>
      <c r="D764" s="518"/>
      <c r="E764" s="518"/>
      <c r="F764" s="518"/>
      <c r="G764" s="518"/>
      <c r="H764" s="518"/>
      <c r="I764" s="518"/>
      <c r="J764" s="518"/>
      <c r="K764" s="518"/>
      <c r="L764" s="518"/>
      <c r="M764" s="518"/>
      <c r="N764" s="518"/>
      <c r="O764" s="518"/>
      <c r="P764" s="518"/>
      <c r="Q764" s="518"/>
      <c r="R764" s="518"/>
      <c r="S764" s="518"/>
      <c r="T764" s="518"/>
      <c r="U764" s="518"/>
      <c r="V764" s="518"/>
      <c r="W764" s="518"/>
      <c r="X764" s="518"/>
      <c r="Y764" s="518"/>
      <c r="Z764" s="518"/>
      <c r="AA764" s="518"/>
      <c r="AB764" s="518"/>
      <c r="AC764" s="518"/>
      <c r="AD764" s="518"/>
      <c r="AE764" s="518"/>
      <c r="AF764" s="518"/>
      <c r="AG764" s="518"/>
      <c r="AH764" s="518"/>
      <c r="AI764" s="518"/>
      <c r="AJ764" s="518"/>
      <c r="AK764" s="518"/>
      <c r="AL764" s="518"/>
      <c r="AM764" s="518"/>
      <c r="AN764" s="518"/>
      <c r="AO764" s="518"/>
      <c r="AP764" s="518"/>
      <c r="AQ764" s="518"/>
      <c r="AR764" s="518"/>
      <c r="AS764" s="518"/>
      <c r="AT764" s="518"/>
      <c r="AU764" s="518"/>
      <c r="AV764" s="518"/>
      <c r="AW764" s="518"/>
      <c r="AX764" s="518"/>
      <c r="AY764" s="518"/>
      <c r="AZ764" s="518"/>
      <c r="BA764" s="518"/>
      <c r="BB764" s="518"/>
      <c r="BC764" s="518"/>
      <c r="BD764" s="518"/>
      <c r="BE764" s="518"/>
    </row>
    <row r="765" spans="1:57" ht="12.75" customHeight="1">
      <c r="A765" s="518"/>
      <c r="B765" s="518"/>
      <c r="C765" s="518"/>
      <c r="D765" s="518"/>
      <c r="E765" s="518"/>
      <c r="F765" s="518"/>
      <c r="G765" s="518"/>
      <c r="H765" s="518"/>
      <c r="I765" s="518"/>
      <c r="J765" s="518"/>
      <c r="K765" s="518"/>
      <c r="L765" s="518"/>
      <c r="M765" s="518"/>
      <c r="N765" s="518"/>
      <c r="O765" s="518"/>
      <c r="P765" s="518"/>
      <c r="Q765" s="518"/>
      <c r="R765" s="518"/>
      <c r="S765" s="518"/>
      <c r="T765" s="518"/>
      <c r="U765" s="518"/>
      <c r="V765" s="518"/>
      <c r="W765" s="518"/>
      <c r="X765" s="518"/>
      <c r="Y765" s="518"/>
      <c r="Z765" s="518"/>
      <c r="AA765" s="518"/>
      <c r="AB765" s="518"/>
      <c r="AC765" s="518"/>
      <c r="AD765" s="518"/>
      <c r="AE765" s="518"/>
      <c r="AF765" s="518"/>
      <c r="AG765" s="518"/>
      <c r="AH765" s="518"/>
      <c r="AI765" s="518"/>
      <c r="AJ765" s="518"/>
      <c r="AK765" s="518"/>
      <c r="AL765" s="518"/>
      <c r="AM765" s="518"/>
      <c r="AN765" s="518"/>
      <c r="AO765" s="518"/>
      <c r="AP765" s="518"/>
      <c r="AQ765" s="518"/>
      <c r="AR765" s="518"/>
      <c r="AS765" s="518"/>
      <c r="AT765" s="518"/>
      <c r="AU765" s="518"/>
      <c r="AV765" s="518"/>
      <c r="AW765" s="518"/>
      <c r="AX765" s="518"/>
      <c r="AY765" s="518"/>
      <c r="AZ765" s="518"/>
      <c r="BA765" s="518"/>
      <c r="BB765" s="518"/>
      <c r="BC765" s="518"/>
      <c r="BD765" s="518"/>
      <c r="BE765" s="518"/>
    </row>
    <row r="766" spans="1:57" ht="12.75" customHeight="1">
      <c r="A766" s="518"/>
      <c r="B766" s="518"/>
      <c r="C766" s="518"/>
      <c r="D766" s="518"/>
      <c r="E766" s="518"/>
      <c r="F766" s="518"/>
      <c r="G766" s="518"/>
      <c r="H766" s="518"/>
      <c r="I766" s="518"/>
      <c r="J766" s="518"/>
      <c r="K766" s="518"/>
      <c r="L766" s="518"/>
      <c r="M766" s="518"/>
      <c r="N766" s="518"/>
      <c r="O766" s="518"/>
      <c r="P766" s="518"/>
      <c r="Q766" s="518"/>
      <c r="R766" s="518"/>
      <c r="S766" s="518"/>
      <c r="T766" s="518"/>
      <c r="U766" s="518"/>
      <c r="V766" s="518"/>
      <c r="W766" s="518"/>
      <c r="X766" s="518"/>
      <c r="Y766" s="518"/>
      <c r="Z766" s="518"/>
      <c r="AA766" s="518"/>
      <c r="AB766" s="518"/>
      <c r="AC766" s="518"/>
      <c r="AD766" s="518"/>
      <c r="AE766" s="518"/>
      <c r="AF766" s="518"/>
      <c r="AG766" s="518"/>
      <c r="AH766" s="518"/>
      <c r="AI766" s="518"/>
      <c r="AJ766" s="518"/>
      <c r="AK766" s="518"/>
      <c r="AL766" s="518"/>
      <c r="AM766" s="518"/>
      <c r="AN766" s="518"/>
      <c r="AO766" s="518"/>
      <c r="AP766" s="518"/>
      <c r="AQ766" s="518"/>
      <c r="AR766" s="518"/>
      <c r="AS766" s="518"/>
      <c r="AT766" s="518"/>
      <c r="AU766" s="518"/>
      <c r="AV766" s="518"/>
      <c r="AW766" s="518"/>
      <c r="AX766" s="518"/>
      <c r="AY766" s="518"/>
      <c r="AZ766" s="518"/>
      <c r="BA766" s="518"/>
      <c r="BB766" s="518"/>
      <c r="BC766" s="518"/>
      <c r="BD766" s="518"/>
      <c r="BE766" s="518"/>
    </row>
    <row r="767" spans="1:57" ht="12.75" customHeight="1">
      <c r="A767" s="518"/>
      <c r="B767" s="518"/>
      <c r="C767" s="518"/>
      <c r="D767" s="518"/>
      <c r="E767" s="518"/>
      <c r="F767" s="518"/>
      <c r="G767" s="518"/>
      <c r="H767" s="518"/>
      <c r="I767" s="518"/>
      <c r="J767" s="518"/>
      <c r="K767" s="518"/>
      <c r="L767" s="518"/>
      <c r="M767" s="518"/>
      <c r="N767" s="518"/>
      <c r="O767" s="518"/>
      <c r="P767" s="518"/>
      <c r="Q767" s="518"/>
      <c r="R767" s="518"/>
      <c r="S767" s="518"/>
      <c r="T767" s="518"/>
      <c r="U767" s="518"/>
      <c r="V767" s="518"/>
      <c r="W767" s="518"/>
      <c r="X767" s="518"/>
      <c r="Y767" s="518"/>
      <c r="Z767" s="518"/>
      <c r="AA767" s="518"/>
      <c r="AB767" s="518"/>
      <c r="AC767" s="518"/>
      <c r="AD767" s="518"/>
      <c r="AE767" s="518"/>
      <c r="AF767" s="518"/>
      <c r="AG767" s="518"/>
      <c r="AH767" s="518"/>
      <c r="AI767" s="518"/>
      <c r="AJ767" s="518"/>
      <c r="AK767" s="518"/>
      <c r="AL767" s="518"/>
      <c r="AM767" s="518"/>
      <c r="AN767" s="518"/>
      <c r="AO767" s="518"/>
      <c r="AP767" s="518"/>
      <c r="AQ767" s="518"/>
      <c r="AR767" s="518"/>
      <c r="AS767" s="518"/>
      <c r="AT767" s="518"/>
      <c r="AU767" s="518"/>
      <c r="AV767" s="518"/>
      <c r="AW767" s="518"/>
      <c r="AX767" s="518"/>
      <c r="AY767" s="518"/>
      <c r="AZ767" s="518"/>
      <c r="BA767" s="518"/>
      <c r="BB767" s="518"/>
      <c r="BC767" s="518"/>
      <c r="BD767" s="518"/>
      <c r="BE767" s="518"/>
    </row>
    <row r="768" spans="1:57" ht="12.75" customHeight="1">
      <c r="A768" s="518"/>
      <c r="B768" s="518"/>
      <c r="C768" s="518"/>
      <c r="D768" s="518"/>
      <c r="E768" s="518"/>
      <c r="F768" s="518"/>
      <c r="G768" s="518"/>
      <c r="H768" s="518"/>
      <c r="I768" s="518"/>
      <c r="J768" s="518"/>
      <c r="K768" s="518"/>
      <c r="L768" s="518"/>
      <c r="M768" s="518"/>
      <c r="N768" s="518"/>
      <c r="O768" s="518"/>
      <c r="P768" s="518"/>
      <c r="Q768" s="518"/>
      <c r="R768" s="518"/>
      <c r="S768" s="518"/>
      <c r="T768" s="518"/>
      <c r="U768" s="518"/>
      <c r="V768" s="518"/>
      <c r="W768" s="518"/>
      <c r="X768" s="518"/>
      <c r="Y768" s="518"/>
      <c r="Z768" s="518"/>
      <c r="AA768" s="518"/>
      <c r="AB768" s="518"/>
      <c r="AC768" s="518"/>
      <c r="AD768" s="518"/>
      <c r="AE768" s="518"/>
      <c r="AF768" s="518"/>
      <c r="AG768" s="518"/>
      <c r="AH768" s="518"/>
      <c r="AI768" s="518"/>
      <c r="AJ768" s="518"/>
      <c r="AK768" s="518"/>
      <c r="AL768" s="518"/>
      <c r="AM768" s="518"/>
      <c r="AN768" s="518"/>
      <c r="AO768" s="518"/>
      <c r="AP768" s="518"/>
      <c r="AQ768" s="518"/>
      <c r="AR768" s="518"/>
      <c r="AS768" s="518"/>
      <c r="AT768" s="518"/>
      <c r="AU768" s="518"/>
      <c r="AV768" s="518"/>
      <c r="AW768" s="518"/>
      <c r="AX768" s="518"/>
      <c r="AY768" s="518"/>
      <c r="AZ768" s="518"/>
      <c r="BA768" s="518"/>
      <c r="BB768" s="518"/>
      <c r="BC768" s="518"/>
      <c r="BD768" s="518"/>
      <c r="BE768" s="518"/>
    </row>
    <row r="769" spans="1:57" ht="12.75" customHeight="1">
      <c r="A769" s="518"/>
      <c r="B769" s="518"/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  <c r="AB769" s="518"/>
      <c r="AC769" s="518"/>
      <c r="AD769" s="518"/>
      <c r="AE769" s="518"/>
      <c r="AF769" s="518"/>
      <c r="AG769" s="518"/>
      <c r="AH769" s="518"/>
      <c r="AI769" s="518"/>
      <c r="AJ769" s="518"/>
      <c r="AK769" s="518"/>
      <c r="AL769" s="518"/>
      <c r="AM769" s="518"/>
      <c r="AN769" s="518"/>
      <c r="AO769" s="518"/>
      <c r="AP769" s="518"/>
      <c r="AQ769" s="518"/>
      <c r="AR769" s="518"/>
      <c r="AS769" s="518"/>
      <c r="AT769" s="518"/>
      <c r="AU769" s="518"/>
      <c r="AV769" s="518"/>
      <c r="AW769" s="518"/>
      <c r="AX769" s="518"/>
      <c r="AY769" s="518"/>
      <c r="AZ769" s="518"/>
      <c r="BA769" s="518"/>
      <c r="BB769" s="518"/>
      <c r="BC769" s="518"/>
      <c r="BD769" s="518"/>
      <c r="BE769" s="518"/>
    </row>
    <row r="770" spans="1:57" ht="12.75" customHeight="1">
      <c r="A770" s="518"/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8"/>
      <c r="AQ770" s="518"/>
      <c r="AR770" s="518"/>
      <c r="AS770" s="518"/>
      <c r="AT770" s="518"/>
      <c r="AU770" s="518"/>
      <c r="AV770" s="518"/>
      <c r="AW770" s="518"/>
      <c r="AX770" s="518"/>
      <c r="AY770" s="518"/>
      <c r="AZ770" s="518"/>
      <c r="BA770" s="518"/>
      <c r="BB770" s="518"/>
      <c r="BC770" s="518"/>
      <c r="BD770" s="518"/>
      <c r="BE770" s="518"/>
    </row>
    <row r="771" spans="1:57" ht="12.75" customHeight="1">
      <c r="A771" s="518"/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8"/>
      <c r="AQ771" s="518"/>
      <c r="AR771" s="518"/>
      <c r="AS771" s="518"/>
      <c r="AT771" s="518"/>
      <c r="AU771" s="518"/>
      <c r="AV771" s="518"/>
      <c r="AW771" s="518"/>
      <c r="AX771" s="518"/>
      <c r="AY771" s="518"/>
      <c r="AZ771" s="518"/>
      <c r="BA771" s="518"/>
      <c r="BB771" s="518"/>
      <c r="BC771" s="518"/>
      <c r="BD771" s="518"/>
      <c r="BE771" s="518"/>
    </row>
    <row r="772" spans="1:57" ht="12.75" customHeight="1">
      <c r="A772" s="518"/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8"/>
      <c r="AQ772" s="518"/>
      <c r="AR772" s="518"/>
      <c r="AS772" s="518"/>
      <c r="AT772" s="518"/>
      <c r="AU772" s="518"/>
      <c r="AV772" s="518"/>
      <c r="AW772" s="518"/>
      <c r="AX772" s="518"/>
      <c r="AY772" s="518"/>
      <c r="AZ772" s="518"/>
      <c r="BA772" s="518"/>
      <c r="BB772" s="518"/>
      <c r="BC772" s="518"/>
      <c r="BD772" s="518"/>
      <c r="BE772" s="518"/>
    </row>
    <row r="773" spans="1:57" ht="12.75" customHeight="1">
      <c r="A773" s="518"/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8"/>
      <c r="AQ773" s="518"/>
      <c r="AR773" s="518"/>
      <c r="AS773" s="518"/>
      <c r="AT773" s="518"/>
      <c r="AU773" s="518"/>
      <c r="AV773" s="518"/>
      <c r="AW773" s="518"/>
      <c r="AX773" s="518"/>
      <c r="AY773" s="518"/>
      <c r="AZ773" s="518"/>
      <c r="BA773" s="518"/>
      <c r="BB773" s="518"/>
      <c r="BC773" s="518"/>
      <c r="BD773" s="518"/>
      <c r="BE773" s="518"/>
    </row>
    <row r="774" spans="1:57" ht="12.75" customHeight="1">
      <c r="A774" s="518"/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8"/>
      <c r="AQ774" s="518"/>
      <c r="AR774" s="518"/>
      <c r="AS774" s="518"/>
      <c r="AT774" s="518"/>
      <c r="AU774" s="518"/>
      <c r="AV774" s="518"/>
      <c r="AW774" s="518"/>
      <c r="AX774" s="518"/>
      <c r="AY774" s="518"/>
      <c r="AZ774" s="518"/>
      <c r="BA774" s="518"/>
      <c r="BB774" s="518"/>
      <c r="BC774" s="518"/>
      <c r="BD774" s="518"/>
      <c r="BE774" s="518"/>
    </row>
    <row r="775" spans="1:57" ht="12.75" customHeight="1">
      <c r="A775" s="518"/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8"/>
      <c r="AQ775" s="518"/>
      <c r="AR775" s="518"/>
      <c r="AS775" s="518"/>
      <c r="AT775" s="518"/>
      <c r="AU775" s="518"/>
      <c r="AV775" s="518"/>
      <c r="AW775" s="518"/>
      <c r="AX775" s="518"/>
      <c r="AY775" s="518"/>
      <c r="AZ775" s="518"/>
      <c r="BA775" s="518"/>
      <c r="BB775" s="518"/>
      <c r="BC775" s="518"/>
      <c r="BD775" s="518"/>
      <c r="BE775" s="518"/>
    </row>
    <row r="776" spans="1:57" ht="12.75" customHeight="1">
      <c r="A776" s="518"/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8"/>
      <c r="AQ776" s="518"/>
      <c r="AR776" s="518"/>
      <c r="AS776" s="518"/>
      <c r="AT776" s="518"/>
      <c r="AU776" s="518"/>
      <c r="AV776" s="518"/>
      <c r="AW776" s="518"/>
      <c r="AX776" s="518"/>
      <c r="AY776" s="518"/>
      <c r="AZ776" s="518"/>
      <c r="BA776" s="518"/>
      <c r="BB776" s="518"/>
      <c r="BC776" s="518"/>
      <c r="BD776" s="518"/>
      <c r="BE776" s="518"/>
    </row>
    <row r="777" spans="1:57" ht="12.75" customHeight="1">
      <c r="A777" s="518"/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8"/>
      <c r="AQ777" s="518"/>
      <c r="AR777" s="518"/>
      <c r="AS777" s="518"/>
      <c r="AT777" s="518"/>
      <c r="AU777" s="518"/>
      <c r="AV777" s="518"/>
      <c r="AW777" s="518"/>
      <c r="AX777" s="518"/>
      <c r="AY777" s="518"/>
      <c r="AZ777" s="518"/>
      <c r="BA777" s="518"/>
      <c r="BB777" s="518"/>
      <c r="BC777" s="518"/>
      <c r="BD777" s="518"/>
      <c r="BE777" s="518"/>
    </row>
    <row r="778" spans="1:57" ht="12.75" customHeight="1">
      <c r="A778" s="518"/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8"/>
      <c r="AQ778" s="518"/>
      <c r="AR778" s="518"/>
      <c r="AS778" s="518"/>
      <c r="AT778" s="518"/>
      <c r="AU778" s="518"/>
      <c r="AV778" s="518"/>
      <c r="AW778" s="518"/>
      <c r="AX778" s="518"/>
      <c r="AY778" s="518"/>
      <c r="AZ778" s="518"/>
      <c r="BA778" s="518"/>
      <c r="BB778" s="518"/>
      <c r="BC778" s="518"/>
      <c r="BD778" s="518"/>
      <c r="BE778" s="518"/>
    </row>
    <row r="779" spans="1:57" ht="12.75" customHeight="1">
      <c r="A779" s="518"/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8"/>
      <c r="AQ779" s="518"/>
      <c r="AR779" s="518"/>
      <c r="AS779" s="518"/>
      <c r="AT779" s="518"/>
      <c r="AU779" s="518"/>
      <c r="AV779" s="518"/>
      <c r="AW779" s="518"/>
      <c r="AX779" s="518"/>
      <c r="AY779" s="518"/>
      <c r="AZ779" s="518"/>
      <c r="BA779" s="518"/>
      <c r="BB779" s="518"/>
      <c r="BC779" s="518"/>
      <c r="BD779" s="518"/>
      <c r="BE779" s="518"/>
    </row>
    <row r="780" spans="1:57" ht="12.75" customHeight="1">
      <c r="A780" s="518"/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8"/>
      <c r="AQ780" s="518"/>
      <c r="AR780" s="518"/>
      <c r="AS780" s="518"/>
      <c r="AT780" s="518"/>
      <c r="AU780" s="518"/>
      <c r="AV780" s="518"/>
      <c r="AW780" s="518"/>
      <c r="AX780" s="518"/>
      <c r="AY780" s="518"/>
      <c r="AZ780" s="518"/>
      <c r="BA780" s="518"/>
      <c r="BB780" s="518"/>
      <c r="BC780" s="518"/>
      <c r="BD780" s="518"/>
      <c r="BE780" s="518"/>
    </row>
    <row r="781" spans="1:57" ht="12.75" customHeight="1">
      <c r="A781" s="518"/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8"/>
      <c r="AQ781" s="518"/>
      <c r="AR781" s="518"/>
      <c r="AS781" s="518"/>
      <c r="AT781" s="518"/>
      <c r="AU781" s="518"/>
      <c r="AV781" s="518"/>
      <c r="AW781" s="518"/>
      <c r="AX781" s="518"/>
      <c r="AY781" s="518"/>
      <c r="AZ781" s="518"/>
      <c r="BA781" s="518"/>
      <c r="BB781" s="518"/>
      <c r="BC781" s="518"/>
      <c r="BD781" s="518"/>
      <c r="BE781" s="518"/>
    </row>
    <row r="782" spans="1:57" ht="12.75" customHeight="1">
      <c r="A782" s="518"/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8"/>
      <c r="AQ782" s="518"/>
      <c r="AR782" s="518"/>
      <c r="AS782" s="518"/>
      <c r="AT782" s="518"/>
      <c r="AU782" s="518"/>
      <c r="AV782" s="518"/>
      <c r="AW782" s="518"/>
      <c r="AX782" s="518"/>
      <c r="AY782" s="518"/>
      <c r="AZ782" s="518"/>
      <c r="BA782" s="518"/>
      <c r="BB782" s="518"/>
      <c r="BC782" s="518"/>
      <c r="BD782" s="518"/>
      <c r="BE782" s="518"/>
    </row>
    <row r="783" spans="1:57" ht="12.75" customHeight="1">
      <c r="A783" s="518"/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8"/>
      <c r="AQ783" s="518"/>
      <c r="AR783" s="518"/>
      <c r="AS783" s="518"/>
      <c r="AT783" s="518"/>
      <c r="AU783" s="518"/>
      <c r="AV783" s="518"/>
      <c r="AW783" s="518"/>
      <c r="AX783" s="518"/>
      <c r="AY783" s="518"/>
      <c r="AZ783" s="518"/>
      <c r="BA783" s="518"/>
      <c r="BB783" s="518"/>
      <c r="BC783" s="518"/>
      <c r="BD783" s="518"/>
      <c r="BE783" s="518"/>
    </row>
    <row r="784" spans="1:57" ht="12.75" customHeight="1">
      <c r="A784" s="518"/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8"/>
      <c r="AQ784" s="518"/>
      <c r="AR784" s="518"/>
      <c r="AS784" s="518"/>
      <c r="AT784" s="518"/>
      <c r="AU784" s="518"/>
      <c r="AV784" s="518"/>
      <c r="AW784" s="518"/>
      <c r="AX784" s="518"/>
      <c r="AY784" s="518"/>
      <c r="AZ784" s="518"/>
      <c r="BA784" s="518"/>
      <c r="BB784" s="518"/>
      <c r="BC784" s="518"/>
      <c r="BD784" s="518"/>
      <c r="BE784" s="518"/>
    </row>
    <row r="785" spans="1:57" ht="12.75" customHeight="1">
      <c r="A785" s="518"/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8"/>
      <c r="AQ785" s="518"/>
      <c r="AR785" s="518"/>
      <c r="AS785" s="518"/>
      <c r="AT785" s="518"/>
      <c r="AU785" s="518"/>
      <c r="AV785" s="518"/>
      <c r="AW785" s="518"/>
      <c r="AX785" s="518"/>
      <c r="AY785" s="518"/>
      <c r="AZ785" s="518"/>
      <c r="BA785" s="518"/>
      <c r="BB785" s="518"/>
      <c r="BC785" s="518"/>
      <c r="BD785" s="518"/>
      <c r="BE785" s="518"/>
    </row>
    <row r="786" spans="1:57" ht="12.75" customHeight="1">
      <c r="A786" s="518"/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8"/>
      <c r="AQ786" s="518"/>
      <c r="AR786" s="518"/>
      <c r="AS786" s="518"/>
      <c r="AT786" s="518"/>
      <c r="AU786" s="518"/>
      <c r="AV786" s="518"/>
      <c r="AW786" s="518"/>
      <c r="AX786" s="518"/>
      <c r="AY786" s="518"/>
      <c r="AZ786" s="518"/>
      <c r="BA786" s="518"/>
      <c r="BB786" s="518"/>
      <c r="BC786" s="518"/>
      <c r="BD786" s="518"/>
      <c r="BE786" s="518"/>
    </row>
    <row r="787" spans="1:57" ht="12.75" customHeight="1">
      <c r="A787" s="518"/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8"/>
      <c r="AQ787" s="518"/>
      <c r="AR787" s="518"/>
      <c r="AS787" s="518"/>
      <c r="AT787" s="518"/>
      <c r="AU787" s="518"/>
      <c r="AV787" s="518"/>
      <c r="AW787" s="518"/>
      <c r="AX787" s="518"/>
      <c r="AY787" s="518"/>
      <c r="AZ787" s="518"/>
      <c r="BA787" s="518"/>
      <c r="BB787" s="518"/>
      <c r="BC787" s="518"/>
      <c r="BD787" s="518"/>
      <c r="BE787" s="518"/>
    </row>
    <row r="788" spans="1:57" ht="12.75" customHeight="1">
      <c r="A788" s="518"/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8"/>
      <c r="AQ788" s="518"/>
      <c r="AR788" s="518"/>
      <c r="AS788" s="518"/>
      <c r="AT788" s="518"/>
      <c r="AU788" s="518"/>
      <c r="AV788" s="518"/>
      <c r="AW788" s="518"/>
      <c r="AX788" s="518"/>
      <c r="AY788" s="518"/>
      <c r="AZ788" s="518"/>
      <c r="BA788" s="518"/>
      <c r="BB788" s="518"/>
      <c r="BC788" s="518"/>
      <c r="BD788" s="518"/>
      <c r="BE788" s="518"/>
    </row>
    <row r="789" spans="1:57" ht="12.75" customHeight="1">
      <c r="A789" s="518"/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8"/>
      <c r="AQ789" s="518"/>
      <c r="AR789" s="518"/>
      <c r="AS789" s="518"/>
      <c r="AT789" s="518"/>
      <c r="AU789" s="518"/>
      <c r="AV789" s="518"/>
      <c r="AW789" s="518"/>
      <c r="AX789" s="518"/>
      <c r="AY789" s="518"/>
      <c r="AZ789" s="518"/>
      <c r="BA789" s="518"/>
      <c r="BB789" s="518"/>
      <c r="BC789" s="518"/>
      <c r="BD789" s="518"/>
      <c r="BE789" s="518"/>
    </row>
    <row r="790" spans="1:57" ht="12.75" customHeight="1">
      <c r="A790" s="518"/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8"/>
      <c r="AQ790" s="518"/>
      <c r="AR790" s="518"/>
      <c r="AS790" s="518"/>
      <c r="AT790" s="518"/>
      <c r="AU790" s="518"/>
      <c r="AV790" s="518"/>
      <c r="AW790" s="518"/>
      <c r="AX790" s="518"/>
      <c r="AY790" s="518"/>
      <c r="AZ790" s="518"/>
      <c r="BA790" s="518"/>
      <c r="BB790" s="518"/>
      <c r="BC790" s="518"/>
      <c r="BD790" s="518"/>
      <c r="BE790" s="518"/>
    </row>
    <row r="791" spans="1:57" ht="12.75" customHeight="1">
      <c r="A791" s="518"/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8"/>
      <c r="AQ791" s="518"/>
      <c r="AR791" s="518"/>
      <c r="AS791" s="518"/>
      <c r="AT791" s="518"/>
      <c r="AU791" s="518"/>
      <c r="AV791" s="518"/>
      <c r="AW791" s="518"/>
      <c r="AX791" s="518"/>
      <c r="AY791" s="518"/>
      <c r="AZ791" s="518"/>
      <c r="BA791" s="518"/>
      <c r="BB791" s="518"/>
      <c r="BC791" s="518"/>
      <c r="BD791" s="518"/>
      <c r="BE791" s="518"/>
    </row>
    <row r="792" spans="1:57" ht="12.75" customHeight="1">
      <c r="A792" s="518"/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8"/>
      <c r="AQ792" s="518"/>
      <c r="AR792" s="518"/>
      <c r="AS792" s="518"/>
      <c r="AT792" s="518"/>
      <c r="AU792" s="518"/>
      <c r="AV792" s="518"/>
      <c r="AW792" s="518"/>
      <c r="AX792" s="518"/>
      <c r="AY792" s="518"/>
      <c r="AZ792" s="518"/>
      <c r="BA792" s="518"/>
      <c r="BB792" s="518"/>
      <c r="BC792" s="518"/>
      <c r="BD792" s="518"/>
      <c r="BE792" s="518"/>
    </row>
    <row r="793" spans="1:57" ht="12.75" customHeight="1">
      <c r="A793" s="518"/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8"/>
      <c r="AQ793" s="518"/>
      <c r="AR793" s="518"/>
      <c r="AS793" s="518"/>
      <c r="AT793" s="518"/>
      <c r="AU793" s="518"/>
      <c r="AV793" s="518"/>
      <c r="AW793" s="518"/>
      <c r="AX793" s="518"/>
      <c r="AY793" s="518"/>
      <c r="AZ793" s="518"/>
      <c r="BA793" s="518"/>
      <c r="BB793" s="518"/>
      <c r="BC793" s="518"/>
      <c r="BD793" s="518"/>
      <c r="BE793" s="518"/>
    </row>
    <row r="794" spans="1:57" ht="12.75" customHeight="1">
      <c r="A794" s="518"/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8"/>
      <c r="AQ794" s="518"/>
      <c r="AR794" s="518"/>
      <c r="AS794" s="518"/>
      <c r="AT794" s="518"/>
      <c r="AU794" s="518"/>
      <c r="AV794" s="518"/>
      <c r="AW794" s="518"/>
      <c r="AX794" s="518"/>
      <c r="AY794" s="518"/>
      <c r="AZ794" s="518"/>
      <c r="BA794" s="518"/>
      <c r="BB794" s="518"/>
      <c r="BC794" s="518"/>
      <c r="BD794" s="518"/>
      <c r="BE794" s="518"/>
    </row>
    <row r="795" spans="1:57" ht="12.75" customHeight="1">
      <c r="A795" s="518"/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8"/>
      <c r="AQ795" s="518"/>
      <c r="AR795" s="518"/>
      <c r="AS795" s="518"/>
      <c r="AT795" s="518"/>
      <c r="AU795" s="518"/>
      <c r="AV795" s="518"/>
      <c r="AW795" s="518"/>
      <c r="AX795" s="518"/>
      <c r="AY795" s="518"/>
      <c r="AZ795" s="518"/>
      <c r="BA795" s="518"/>
      <c r="BB795" s="518"/>
      <c r="BC795" s="518"/>
      <c r="BD795" s="518"/>
      <c r="BE795" s="518"/>
    </row>
    <row r="796" spans="1:57" ht="12.75" customHeight="1">
      <c r="A796" s="518"/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8"/>
      <c r="AQ796" s="518"/>
      <c r="AR796" s="518"/>
      <c r="AS796" s="518"/>
      <c r="AT796" s="518"/>
      <c r="AU796" s="518"/>
      <c r="AV796" s="518"/>
      <c r="AW796" s="518"/>
      <c r="AX796" s="518"/>
      <c r="AY796" s="518"/>
      <c r="AZ796" s="518"/>
      <c r="BA796" s="518"/>
      <c r="BB796" s="518"/>
      <c r="BC796" s="518"/>
      <c r="BD796" s="518"/>
      <c r="BE796" s="518"/>
    </row>
    <row r="797" spans="1:57" ht="12.75" customHeight="1">
      <c r="A797" s="518"/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8"/>
      <c r="AQ797" s="518"/>
      <c r="AR797" s="518"/>
      <c r="AS797" s="518"/>
      <c r="AT797" s="518"/>
      <c r="AU797" s="518"/>
      <c r="AV797" s="518"/>
      <c r="AW797" s="518"/>
      <c r="AX797" s="518"/>
      <c r="AY797" s="518"/>
      <c r="AZ797" s="518"/>
      <c r="BA797" s="518"/>
      <c r="BB797" s="518"/>
      <c r="BC797" s="518"/>
      <c r="BD797" s="518"/>
      <c r="BE797" s="518"/>
    </row>
    <row r="798" spans="1:57" ht="12.75" customHeight="1">
      <c r="A798" s="518"/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8"/>
      <c r="AQ798" s="518"/>
      <c r="AR798" s="518"/>
      <c r="AS798" s="518"/>
      <c r="AT798" s="518"/>
      <c r="AU798" s="518"/>
      <c r="AV798" s="518"/>
      <c r="AW798" s="518"/>
      <c r="AX798" s="518"/>
      <c r="AY798" s="518"/>
      <c r="AZ798" s="518"/>
      <c r="BA798" s="518"/>
      <c r="BB798" s="518"/>
      <c r="BC798" s="518"/>
      <c r="BD798" s="518"/>
      <c r="BE798" s="518"/>
    </row>
    <row r="799" spans="1:57" ht="12.75" customHeight="1">
      <c r="A799" s="518"/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8"/>
      <c r="AQ799" s="518"/>
      <c r="AR799" s="518"/>
      <c r="AS799" s="518"/>
      <c r="AT799" s="518"/>
      <c r="AU799" s="518"/>
      <c r="AV799" s="518"/>
      <c r="AW799" s="518"/>
      <c r="AX799" s="518"/>
      <c r="AY799" s="518"/>
      <c r="AZ799" s="518"/>
      <c r="BA799" s="518"/>
      <c r="BB799" s="518"/>
      <c r="BC799" s="518"/>
      <c r="BD799" s="518"/>
      <c r="BE799" s="518"/>
    </row>
    <row r="800" spans="1:57" ht="12.75" customHeight="1">
      <c r="A800" s="518"/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8"/>
      <c r="AQ800" s="518"/>
      <c r="AR800" s="518"/>
      <c r="AS800" s="518"/>
      <c r="AT800" s="518"/>
      <c r="AU800" s="518"/>
      <c r="AV800" s="518"/>
      <c r="AW800" s="518"/>
      <c r="AX800" s="518"/>
      <c r="AY800" s="518"/>
      <c r="AZ800" s="518"/>
      <c r="BA800" s="518"/>
      <c r="BB800" s="518"/>
      <c r="BC800" s="518"/>
      <c r="BD800" s="518"/>
      <c r="BE800" s="518"/>
    </row>
    <row r="801" spans="1:57" ht="12.75" customHeight="1">
      <c r="A801" s="518"/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8"/>
      <c r="AQ801" s="518"/>
      <c r="AR801" s="518"/>
      <c r="AS801" s="518"/>
      <c r="AT801" s="518"/>
      <c r="AU801" s="518"/>
      <c r="AV801" s="518"/>
      <c r="AW801" s="518"/>
      <c r="AX801" s="518"/>
      <c r="AY801" s="518"/>
      <c r="AZ801" s="518"/>
      <c r="BA801" s="518"/>
      <c r="BB801" s="518"/>
      <c r="BC801" s="518"/>
      <c r="BD801" s="518"/>
      <c r="BE801" s="518"/>
    </row>
    <row r="802" spans="1:57" ht="12.75" customHeight="1">
      <c r="A802" s="518"/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8"/>
      <c r="AQ802" s="518"/>
      <c r="AR802" s="518"/>
      <c r="AS802" s="518"/>
      <c r="AT802" s="518"/>
      <c r="AU802" s="518"/>
      <c r="AV802" s="518"/>
      <c r="AW802" s="518"/>
      <c r="AX802" s="518"/>
      <c r="AY802" s="518"/>
      <c r="AZ802" s="518"/>
      <c r="BA802" s="518"/>
      <c r="BB802" s="518"/>
      <c r="BC802" s="518"/>
      <c r="BD802" s="518"/>
      <c r="BE802" s="518"/>
    </row>
    <row r="803" spans="1:57" ht="12.75" customHeight="1">
      <c r="A803" s="518"/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8"/>
      <c r="AQ803" s="518"/>
      <c r="AR803" s="518"/>
      <c r="AS803" s="518"/>
      <c r="AT803" s="518"/>
      <c r="AU803" s="518"/>
      <c r="AV803" s="518"/>
      <c r="AW803" s="518"/>
      <c r="AX803" s="518"/>
      <c r="AY803" s="518"/>
      <c r="AZ803" s="518"/>
      <c r="BA803" s="518"/>
      <c r="BB803" s="518"/>
      <c r="BC803" s="518"/>
      <c r="BD803" s="518"/>
      <c r="BE803" s="518"/>
    </row>
    <row r="804" spans="1:57" ht="12.75" customHeight="1">
      <c r="A804" s="518"/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8"/>
      <c r="AQ804" s="518"/>
      <c r="AR804" s="518"/>
      <c r="AS804" s="518"/>
      <c r="AT804" s="518"/>
      <c r="AU804" s="518"/>
      <c r="AV804" s="518"/>
      <c r="AW804" s="518"/>
      <c r="AX804" s="518"/>
      <c r="AY804" s="518"/>
      <c r="AZ804" s="518"/>
      <c r="BA804" s="518"/>
      <c r="BB804" s="518"/>
      <c r="BC804" s="518"/>
      <c r="BD804" s="518"/>
      <c r="BE804" s="518"/>
    </row>
    <row r="805" spans="1:57" ht="12.75" customHeight="1">
      <c r="A805" s="518"/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8"/>
      <c r="AQ805" s="518"/>
      <c r="AR805" s="518"/>
      <c r="AS805" s="518"/>
      <c r="AT805" s="518"/>
      <c r="AU805" s="518"/>
      <c r="AV805" s="518"/>
      <c r="AW805" s="518"/>
      <c r="AX805" s="518"/>
      <c r="AY805" s="518"/>
      <c r="AZ805" s="518"/>
      <c r="BA805" s="518"/>
      <c r="BB805" s="518"/>
      <c r="BC805" s="518"/>
      <c r="BD805" s="518"/>
      <c r="BE805" s="518"/>
    </row>
    <row r="806" spans="1:57" ht="12.75" customHeight="1">
      <c r="A806" s="518"/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8"/>
      <c r="AQ806" s="518"/>
      <c r="AR806" s="518"/>
      <c r="AS806" s="518"/>
      <c r="AT806" s="518"/>
      <c r="AU806" s="518"/>
      <c r="AV806" s="518"/>
      <c r="AW806" s="518"/>
      <c r="AX806" s="518"/>
      <c r="AY806" s="518"/>
      <c r="AZ806" s="518"/>
      <c r="BA806" s="518"/>
      <c r="BB806" s="518"/>
      <c r="BC806" s="518"/>
      <c r="BD806" s="518"/>
      <c r="BE806" s="518"/>
    </row>
    <row r="807" spans="1:57" ht="12.75" customHeight="1">
      <c r="A807" s="518"/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8"/>
      <c r="AQ807" s="518"/>
      <c r="AR807" s="518"/>
      <c r="AS807" s="518"/>
      <c r="AT807" s="518"/>
      <c r="AU807" s="518"/>
      <c r="AV807" s="518"/>
      <c r="AW807" s="518"/>
      <c r="AX807" s="518"/>
      <c r="AY807" s="518"/>
      <c r="AZ807" s="518"/>
      <c r="BA807" s="518"/>
      <c r="BB807" s="518"/>
      <c r="BC807" s="518"/>
      <c r="BD807" s="518"/>
      <c r="BE807" s="518"/>
    </row>
    <row r="808" spans="1:57" ht="12.75" customHeight="1">
      <c r="A808" s="518"/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8"/>
      <c r="AQ808" s="518"/>
      <c r="AR808" s="518"/>
      <c r="AS808" s="518"/>
      <c r="AT808" s="518"/>
      <c r="AU808" s="518"/>
      <c r="AV808" s="518"/>
      <c r="AW808" s="518"/>
      <c r="AX808" s="518"/>
      <c r="AY808" s="518"/>
      <c r="AZ808" s="518"/>
      <c r="BA808" s="518"/>
      <c r="BB808" s="518"/>
      <c r="BC808" s="518"/>
      <c r="BD808" s="518"/>
      <c r="BE808" s="518"/>
    </row>
    <row r="809" spans="1:57" ht="12.75" customHeight="1">
      <c r="A809" s="518"/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8"/>
      <c r="AQ809" s="518"/>
      <c r="AR809" s="518"/>
      <c r="AS809" s="518"/>
      <c r="AT809" s="518"/>
      <c r="AU809" s="518"/>
      <c r="AV809" s="518"/>
      <c r="AW809" s="518"/>
      <c r="AX809" s="518"/>
      <c r="AY809" s="518"/>
      <c r="AZ809" s="518"/>
      <c r="BA809" s="518"/>
      <c r="BB809" s="518"/>
      <c r="BC809" s="518"/>
      <c r="BD809" s="518"/>
      <c r="BE809" s="518"/>
    </row>
    <row r="810" spans="1:57" ht="12.75" customHeight="1">
      <c r="A810" s="518"/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8"/>
      <c r="AQ810" s="518"/>
      <c r="AR810" s="518"/>
      <c r="AS810" s="518"/>
      <c r="AT810" s="518"/>
      <c r="AU810" s="518"/>
      <c r="AV810" s="518"/>
      <c r="AW810" s="518"/>
      <c r="AX810" s="518"/>
      <c r="AY810" s="518"/>
      <c r="AZ810" s="518"/>
      <c r="BA810" s="518"/>
      <c r="BB810" s="518"/>
      <c r="BC810" s="518"/>
      <c r="BD810" s="518"/>
      <c r="BE810" s="518"/>
    </row>
    <row r="811" spans="1:57" ht="12.75" customHeight="1">
      <c r="A811" s="518"/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8"/>
      <c r="AQ811" s="518"/>
      <c r="AR811" s="518"/>
      <c r="AS811" s="518"/>
      <c r="AT811" s="518"/>
      <c r="AU811" s="518"/>
      <c r="AV811" s="518"/>
      <c r="AW811" s="518"/>
      <c r="AX811" s="518"/>
      <c r="AY811" s="518"/>
      <c r="AZ811" s="518"/>
      <c r="BA811" s="518"/>
      <c r="BB811" s="518"/>
      <c r="BC811" s="518"/>
      <c r="BD811" s="518"/>
      <c r="BE811" s="518"/>
    </row>
    <row r="812" spans="1:57" ht="12.75" customHeight="1">
      <c r="A812" s="518"/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8"/>
      <c r="AQ812" s="518"/>
      <c r="AR812" s="518"/>
      <c r="AS812" s="518"/>
      <c r="AT812" s="518"/>
      <c r="AU812" s="518"/>
      <c r="AV812" s="518"/>
      <c r="AW812" s="518"/>
      <c r="AX812" s="518"/>
      <c r="AY812" s="518"/>
      <c r="AZ812" s="518"/>
      <c r="BA812" s="518"/>
      <c r="BB812" s="518"/>
      <c r="BC812" s="518"/>
      <c r="BD812" s="518"/>
      <c r="BE812" s="518"/>
    </row>
    <row r="813" spans="1:57" ht="12.75" customHeight="1">
      <c r="A813" s="518"/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8"/>
      <c r="AQ813" s="518"/>
      <c r="AR813" s="518"/>
      <c r="AS813" s="518"/>
      <c r="AT813" s="518"/>
      <c r="AU813" s="518"/>
      <c r="AV813" s="518"/>
      <c r="AW813" s="518"/>
      <c r="AX813" s="518"/>
      <c r="AY813" s="518"/>
      <c r="AZ813" s="518"/>
      <c r="BA813" s="518"/>
      <c r="BB813" s="518"/>
      <c r="BC813" s="518"/>
      <c r="BD813" s="518"/>
      <c r="BE813" s="518"/>
    </row>
    <row r="814" spans="1:57" ht="12.75" customHeight="1">
      <c r="A814" s="518"/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8"/>
      <c r="AQ814" s="518"/>
      <c r="AR814" s="518"/>
      <c r="AS814" s="518"/>
      <c r="AT814" s="518"/>
      <c r="AU814" s="518"/>
      <c r="AV814" s="518"/>
      <c r="AW814" s="518"/>
      <c r="AX814" s="518"/>
      <c r="AY814" s="518"/>
      <c r="AZ814" s="518"/>
      <c r="BA814" s="518"/>
      <c r="BB814" s="518"/>
      <c r="BC814" s="518"/>
      <c r="BD814" s="518"/>
      <c r="BE814" s="518"/>
    </row>
    <row r="815" spans="1:57" ht="12.75" customHeight="1">
      <c r="A815" s="518"/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8"/>
      <c r="AQ815" s="518"/>
      <c r="AR815" s="518"/>
      <c r="AS815" s="518"/>
      <c r="AT815" s="518"/>
      <c r="AU815" s="518"/>
      <c r="AV815" s="518"/>
      <c r="AW815" s="518"/>
      <c r="AX815" s="518"/>
      <c r="AY815" s="518"/>
      <c r="AZ815" s="518"/>
      <c r="BA815" s="518"/>
      <c r="BB815" s="518"/>
      <c r="BC815" s="518"/>
      <c r="BD815" s="518"/>
      <c r="BE815" s="518"/>
    </row>
    <row r="816" spans="1:57" ht="12.75" customHeight="1">
      <c r="A816" s="518"/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8"/>
      <c r="AQ816" s="518"/>
      <c r="AR816" s="518"/>
      <c r="AS816" s="518"/>
      <c r="AT816" s="518"/>
      <c r="AU816" s="518"/>
      <c r="AV816" s="518"/>
      <c r="AW816" s="518"/>
      <c r="AX816" s="518"/>
      <c r="AY816" s="518"/>
      <c r="AZ816" s="518"/>
      <c r="BA816" s="518"/>
      <c r="BB816" s="518"/>
      <c r="BC816" s="518"/>
      <c r="BD816" s="518"/>
      <c r="BE816" s="518"/>
    </row>
    <row r="817" spans="1:57" ht="12.75" customHeight="1">
      <c r="A817" s="518"/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8"/>
      <c r="AQ817" s="518"/>
      <c r="AR817" s="518"/>
      <c r="AS817" s="518"/>
      <c r="AT817" s="518"/>
      <c r="AU817" s="518"/>
      <c r="AV817" s="518"/>
      <c r="AW817" s="518"/>
      <c r="AX817" s="518"/>
      <c r="AY817" s="518"/>
      <c r="AZ817" s="518"/>
      <c r="BA817" s="518"/>
      <c r="BB817" s="518"/>
      <c r="BC817" s="518"/>
      <c r="BD817" s="518"/>
      <c r="BE817" s="518"/>
    </row>
    <row r="818" spans="1:57" ht="12.75" customHeight="1">
      <c r="A818" s="518"/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8"/>
      <c r="AQ818" s="518"/>
      <c r="AR818" s="518"/>
      <c r="AS818" s="518"/>
      <c r="AT818" s="518"/>
      <c r="AU818" s="518"/>
      <c r="AV818" s="518"/>
      <c r="AW818" s="518"/>
      <c r="AX818" s="518"/>
      <c r="AY818" s="518"/>
      <c r="AZ818" s="518"/>
      <c r="BA818" s="518"/>
      <c r="BB818" s="518"/>
      <c r="BC818" s="518"/>
      <c r="BD818" s="518"/>
      <c r="BE818" s="518"/>
    </row>
    <row r="819" spans="1:57" ht="12.75" customHeight="1">
      <c r="A819" s="518"/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8"/>
      <c r="AQ819" s="518"/>
      <c r="AR819" s="518"/>
      <c r="AS819" s="518"/>
      <c r="AT819" s="518"/>
      <c r="AU819" s="518"/>
      <c r="AV819" s="518"/>
      <c r="AW819" s="518"/>
      <c r="AX819" s="518"/>
      <c r="AY819" s="518"/>
      <c r="AZ819" s="518"/>
      <c r="BA819" s="518"/>
      <c r="BB819" s="518"/>
      <c r="BC819" s="518"/>
      <c r="BD819" s="518"/>
      <c r="BE819" s="518"/>
    </row>
    <row r="820" spans="1:57" ht="12.75" customHeight="1">
      <c r="A820" s="518"/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8"/>
      <c r="AQ820" s="518"/>
      <c r="AR820" s="518"/>
      <c r="AS820" s="518"/>
      <c r="AT820" s="518"/>
      <c r="AU820" s="518"/>
      <c r="AV820" s="518"/>
      <c r="AW820" s="518"/>
      <c r="AX820" s="518"/>
      <c r="AY820" s="518"/>
      <c r="AZ820" s="518"/>
      <c r="BA820" s="518"/>
      <c r="BB820" s="518"/>
      <c r="BC820" s="518"/>
      <c r="BD820" s="518"/>
      <c r="BE820" s="518"/>
    </row>
    <row r="821" spans="1:57" ht="12.75" customHeight="1">
      <c r="A821" s="518"/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8"/>
      <c r="AQ821" s="518"/>
      <c r="AR821" s="518"/>
      <c r="AS821" s="518"/>
      <c r="AT821" s="518"/>
      <c r="AU821" s="518"/>
      <c r="AV821" s="518"/>
      <c r="AW821" s="518"/>
      <c r="AX821" s="518"/>
      <c r="AY821" s="518"/>
      <c r="AZ821" s="518"/>
      <c r="BA821" s="518"/>
      <c r="BB821" s="518"/>
      <c r="BC821" s="518"/>
      <c r="BD821" s="518"/>
      <c r="BE821" s="518"/>
    </row>
    <row r="822" spans="1:57" ht="12.75" customHeight="1">
      <c r="A822" s="518"/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8"/>
      <c r="AQ822" s="518"/>
      <c r="AR822" s="518"/>
      <c r="AS822" s="518"/>
      <c r="AT822" s="518"/>
      <c r="AU822" s="518"/>
      <c r="AV822" s="518"/>
      <c r="AW822" s="518"/>
      <c r="AX822" s="518"/>
      <c r="AY822" s="518"/>
      <c r="AZ822" s="518"/>
      <c r="BA822" s="518"/>
      <c r="BB822" s="518"/>
      <c r="BC822" s="518"/>
      <c r="BD822" s="518"/>
      <c r="BE822" s="518"/>
    </row>
    <row r="823" spans="1:57" ht="12.75" customHeight="1">
      <c r="A823" s="518"/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8"/>
      <c r="AQ823" s="518"/>
      <c r="AR823" s="518"/>
      <c r="AS823" s="518"/>
      <c r="AT823" s="518"/>
      <c r="AU823" s="518"/>
      <c r="AV823" s="518"/>
      <c r="AW823" s="518"/>
      <c r="AX823" s="518"/>
      <c r="AY823" s="518"/>
      <c r="AZ823" s="518"/>
      <c r="BA823" s="518"/>
      <c r="BB823" s="518"/>
      <c r="BC823" s="518"/>
      <c r="BD823" s="518"/>
      <c r="BE823" s="518"/>
    </row>
    <row r="824" spans="1:57" ht="12.75" customHeight="1">
      <c r="A824" s="518"/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8"/>
      <c r="AQ824" s="518"/>
      <c r="AR824" s="518"/>
      <c r="AS824" s="518"/>
      <c r="AT824" s="518"/>
      <c r="AU824" s="518"/>
      <c r="AV824" s="518"/>
      <c r="AW824" s="518"/>
      <c r="AX824" s="518"/>
      <c r="AY824" s="518"/>
      <c r="AZ824" s="518"/>
      <c r="BA824" s="518"/>
      <c r="BB824" s="518"/>
      <c r="BC824" s="518"/>
      <c r="BD824" s="518"/>
      <c r="BE824" s="518"/>
    </row>
    <row r="825" spans="1:57" ht="12.75" customHeight="1">
      <c r="A825" s="518"/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8"/>
      <c r="AQ825" s="518"/>
      <c r="AR825" s="518"/>
      <c r="AS825" s="518"/>
      <c r="AT825" s="518"/>
      <c r="AU825" s="518"/>
      <c r="AV825" s="518"/>
      <c r="AW825" s="518"/>
      <c r="AX825" s="518"/>
      <c r="AY825" s="518"/>
      <c r="AZ825" s="518"/>
      <c r="BA825" s="518"/>
      <c r="BB825" s="518"/>
      <c r="BC825" s="518"/>
      <c r="BD825" s="518"/>
      <c r="BE825" s="518"/>
    </row>
    <row r="826" spans="1:57" ht="12.75" customHeight="1">
      <c r="A826" s="518"/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8"/>
      <c r="AQ826" s="518"/>
      <c r="AR826" s="518"/>
      <c r="AS826" s="518"/>
      <c r="AT826" s="518"/>
      <c r="AU826" s="518"/>
      <c r="AV826" s="518"/>
      <c r="AW826" s="518"/>
      <c r="AX826" s="518"/>
      <c r="AY826" s="518"/>
      <c r="AZ826" s="518"/>
      <c r="BA826" s="518"/>
      <c r="BB826" s="518"/>
      <c r="BC826" s="518"/>
      <c r="BD826" s="518"/>
      <c r="BE826" s="518"/>
    </row>
    <row r="827" spans="1:57" ht="12.75" customHeight="1">
      <c r="A827" s="518"/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8"/>
      <c r="AQ827" s="518"/>
      <c r="AR827" s="518"/>
      <c r="AS827" s="518"/>
      <c r="AT827" s="518"/>
      <c r="AU827" s="518"/>
      <c r="AV827" s="518"/>
      <c r="AW827" s="518"/>
      <c r="AX827" s="518"/>
      <c r="AY827" s="518"/>
      <c r="AZ827" s="518"/>
      <c r="BA827" s="518"/>
      <c r="BB827" s="518"/>
      <c r="BC827" s="518"/>
      <c r="BD827" s="518"/>
      <c r="BE827" s="518"/>
    </row>
    <row r="828" spans="1:57" ht="12.75" customHeight="1">
      <c r="A828" s="518"/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8"/>
      <c r="AQ828" s="518"/>
      <c r="AR828" s="518"/>
      <c r="AS828" s="518"/>
      <c r="AT828" s="518"/>
      <c r="AU828" s="518"/>
      <c r="AV828" s="518"/>
      <c r="AW828" s="518"/>
      <c r="AX828" s="518"/>
      <c r="AY828" s="518"/>
      <c r="AZ828" s="518"/>
      <c r="BA828" s="518"/>
      <c r="BB828" s="518"/>
      <c r="BC828" s="518"/>
      <c r="BD828" s="518"/>
      <c r="BE828" s="518"/>
    </row>
    <row r="829" spans="1:57" ht="12.75" customHeight="1">
      <c r="A829" s="518"/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8"/>
      <c r="AQ829" s="518"/>
      <c r="AR829" s="518"/>
      <c r="AS829" s="518"/>
      <c r="AT829" s="518"/>
      <c r="AU829" s="518"/>
      <c r="AV829" s="518"/>
      <c r="AW829" s="518"/>
      <c r="AX829" s="518"/>
      <c r="AY829" s="518"/>
      <c r="AZ829" s="518"/>
      <c r="BA829" s="518"/>
      <c r="BB829" s="518"/>
      <c r="BC829" s="518"/>
      <c r="BD829" s="518"/>
      <c r="BE829" s="518"/>
    </row>
    <row r="830" spans="1:57" ht="12.75" customHeight="1">
      <c r="A830" s="518"/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8"/>
      <c r="AQ830" s="518"/>
      <c r="AR830" s="518"/>
      <c r="AS830" s="518"/>
      <c r="AT830" s="518"/>
      <c r="AU830" s="518"/>
      <c r="AV830" s="518"/>
      <c r="AW830" s="518"/>
      <c r="AX830" s="518"/>
      <c r="AY830" s="518"/>
      <c r="AZ830" s="518"/>
      <c r="BA830" s="518"/>
      <c r="BB830" s="518"/>
      <c r="BC830" s="518"/>
      <c r="BD830" s="518"/>
      <c r="BE830" s="518"/>
    </row>
    <row r="831" spans="1:57" ht="12.75" customHeight="1">
      <c r="A831" s="518"/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8"/>
      <c r="AQ831" s="518"/>
      <c r="AR831" s="518"/>
      <c r="AS831" s="518"/>
      <c r="AT831" s="518"/>
      <c r="AU831" s="518"/>
      <c r="AV831" s="518"/>
      <c r="AW831" s="518"/>
      <c r="AX831" s="518"/>
      <c r="AY831" s="518"/>
      <c r="AZ831" s="518"/>
      <c r="BA831" s="518"/>
      <c r="BB831" s="518"/>
      <c r="BC831" s="518"/>
      <c r="BD831" s="518"/>
      <c r="BE831" s="518"/>
    </row>
    <row r="832" spans="1:57" ht="12.75" customHeight="1">
      <c r="A832" s="518"/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8"/>
      <c r="AQ832" s="518"/>
      <c r="AR832" s="518"/>
      <c r="AS832" s="518"/>
      <c r="AT832" s="518"/>
      <c r="AU832" s="518"/>
      <c r="AV832" s="518"/>
      <c r="AW832" s="518"/>
      <c r="AX832" s="518"/>
      <c r="AY832" s="518"/>
      <c r="AZ832" s="518"/>
      <c r="BA832" s="518"/>
      <c r="BB832" s="518"/>
      <c r="BC832" s="518"/>
      <c r="BD832" s="518"/>
      <c r="BE832" s="518"/>
    </row>
    <row r="833" spans="1:57" ht="12.75" customHeight="1">
      <c r="A833" s="518"/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8"/>
      <c r="AQ833" s="518"/>
      <c r="AR833" s="518"/>
      <c r="AS833" s="518"/>
      <c r="AT833" s="518"/>
      <c r="AU833" s="518"/>
      <c r="AV833" s="518"/>
      <c r="AW833" s="518"/>
      <c r="AX833" s="518"/>
      <c r="AY833" s="518"/>
      <c r="AZ833" s="518"/>
      <c r="BA833" s="518"/>
      <c r="BB833" s="518"/>
      <c r="BC833" s="518"/>
      <c r="BD833" s="518"/>
      <c r="BE833" s="518"/>
    </row>
    <row r="834" spans="1:57" ht="12.75" customHeight="1">
      <c r="A834" s="518"/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8"/>
      <c r="AQ834" s="518"/>
      <c r="AR834" s="518"/>
      <c r="AS834" s="518"/>
      <c r="AT834" s="518"/>
      <c r="AU834" s="518"/>
      <c r="AV834" s="518"/>
      <c r="AW834" s="518"/>
      <c r="AX834" s="518"/>
      <c r="AY834" s="518"/>
      <c r="AZ834" s="518"/>
      <c r="BA834" s="518"/>
      <c r="BB834" s="518"/>
      <c r="BC834" s="518"/>
      <c r="BD834" s="518"/>
      <c r="BE834" s="518"/>
    </row>
    <row r="835" spans="1:57" ht="12.75" customHeight="1">
      <c r="A835" s="518"/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8"/>
      <c r="AQ835" s="518"/>
      <c r="AR835" s="518"/>
      <c r="AS835" s="518"/>
      <c r="AT835" s="518"/>
      <c r="AU835" s="518"/>
      <c r="AV835" s="518"/>
      <c r="AW835" s="518"/>
      <c r="AX835" s="518"/>
      <c r="AY835" s="518"/>
      <c r="AZ835" s="518"/>
      <c r="BA835" s="518"/>
      <c r="BB835" s="518"/>
      <c r="BC835" s="518"/>
      <c r="BD835" s="518"/>
      <c r="BE835" s="518"/>
    </row>
    <row r="836" spans="1:57" ht="12.75" customHeight="1">
      <c r="A836" s="518"/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8"/>
      <c r="AQ836" s="518"/>
      <c r="AR836" s="518"/>
      <c r="AS836" s="518"/>
      <c r="AT836" s="518"/>
      <c r="AU836" s="518"/>
      <c r="AV836" s="518"/>
      <c r="AW836" s="518"/>
      <c r="AX836" s="518"/>
      <c r="AY836" s="518"/>
      <c r="AZ836" s="518"/>
      <c r="BA836" s="518"/>
      <c r="BB836" s="518"/>
      <c r="BC836" s="518"/>
      <c r="BD836" s="518"/>
      <c r="BE836" s="518"/>
    </row>
    <row r="837" spans="1:57" ht="12.75" customHeight="1">
      <c r="A837" s="518"/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8"/>
      <c r="AQ837" s="518"/>
      <c r="AR837" s="518"/>
      <c r="AS837" s="518"/>
      <c r="AT837" s="518"/>
      <c r="AU837" s="518"/>
      <c r="AV837" s="518"/>
      <c r="AW837" s="518"/>
      <c r="AX837" s="518"/>
      <c r="AY837" s="518"/>
      <c r="AZ837" s="518"/>
      <c r="BA837" s="518"/>
      <c r="BB837" s="518"/>
      <c r="BC837" s="518"/>
      <c r="BD837" s="518"/>
      <c r="BE837" s="518"/>
    </row>
    <row r="838" spans="1:57" ht="12.75" customHeight="1">
      <c r="A838" s="518"/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8"/>
      <c r="AQ838" s="518"/>
      <c r="AR838" s="518"/>
      <c r="AS838" s="518"/>
      <c r="AT838" s="518"/>
      <c r="AU838" s="518"/>
      <c r="AV838" s="518"/>
      <c r="AW838" s="518"/>
      <c r="AX838" s="518"/>
      <c r="AY838" s="518"/>
      <c r="AZ838" s="518"/>
      <c r="BA838" s="518"/>
      <c r="BB838" s="518"/>
      <c r="BC838" s="518"/>
      <c r="BD838" s="518"/>
      <c r="BE838" s="518"/>
    </row>
    <row r="839" spans="1:57" ht="12.75" customHeight="1">
      <c r="A839" s="518"/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8"/>
      <c r="AQ839" s="518"/>
      <c r="AR839" s="518"/>
      <c r="AS839" s="518"/>
      <c r="AT839" s="518"/>
      <c r="AU839" s="518"/>
      <c r="AV839" s="518"/>
      <c r="AW839" s="518"/>
      <c r="AX839" s="518"/>
      <c r="AY839" s="518"/>
      <c r="AZ839" s="518"/>
      <c r="BA839" s="518"/>
      <c r="BB839" s="518"/>
      <c r="BC839" s="518"/>
      <c r="BD839" s="518"/>
      <c r="BE839" s="518"/>
    </row>
    <row r="840" spans="1:57" ht="12.75" customHeight="1">
      <c r="A840" s="518"/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8"/>
      <c r="AQ840" s="518"/>
      <c r="AR840" s="518"/>
      <c r="AS840" s="518"/>
      <c r="AT840" s="518"/>
      <c r="AU840" s="518"/>
      <c r="AV840" s="518"/>
      <c r="AW840" s="518"/>
      <c r="AX840" s="518"/>
      <c r="AY840" s="518"/>
      <c r="AZ840" s="518"/>
      <c r="BA840" s="518"/>
      <c r="BB840" s="518"/>
      <c r="BC840" s="518"/>
      <c r="BD840" s="518"/>
      <c r="BE840" s="518"/>
    </row>
    <row r="841" spans="1:57" ht="12.75" customHeight="1">
      <c r="A841" s="518"/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8"/>
      <c r="AQ841" s="518"/>
      <c r="AR841" s="518"/>
      <c r="AS841" s="518"/>
      <c r="AT841" s="518"/>
      <c r="AU841" s="518"/>
      <c r="AV841" s="518"/>
      <c r="AW841" s="518"/>
      <c r="AX841" s="518"/>
      <c r="AY841" s="518"/>
      <c r="AZ841" s="518"/>
      <c r="BA841" s="518"/>
      <c r="BB841" s="518"/>
      <c r="BC841" s="518"/>
      <c r="BD841" s="518"/>
      <c r="BE841" s="518"/>
    </row>
    <row r="842" spans="1:57" ht="12.75" customHeight="1">
      <c r="A842" s="518"/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8"/>
      <c r="AQ842" s="518"/>
      <c r="AR842" s="518"/>
      <c r="AS842" s="518"/>
      <c r="AT842" s="518"/>
      <c r="AU842" s="518"/>
      <c r="AV842" s="518"/>
      <c r="AW842" s="518"/>
      <c r="AX842" s="518"/>
      <c r="AY842" s="518"/>
      <c r="AZ842" s="518"/>
      <c r="BA842" s="518"/>
      <c r="BB842" s="518"/>
      <c r="BC842" s="518"/>
      <c r="BD842" s="518"/>
      <c r="BE842" s="518"/>
    </row>
    <row r="843" spans="1:57" ht="12.75" customHeight="1">
      <c r="A843" s="518"/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8"/>
      <c r="AQ843" s="518"/>
      <c r="AR843" s="518"/>
      <c r="AS843" s="518"/>
      <c r="AT843" s="518"/>
      <c r="AU843" s="518"/>
      <c r="AV843" s="518"/>
      <c r="AW843" s="518"/>
      <c r="AX843" s="518"/>
      <c r="AY843" s="518"/>
      <c r="AZ843" s="518"/>
      <c r="BA843" s="518"/>
      <c r="BB843" s="518"/>
      <c r="BC843" s="518"/>
      <c r="BD843" s="518"/>
      <c r="BE843" s="518"/>
    </row>
    <row r="844" spans="1:57" ht="12.75" customHeight="1">
      <c r="A844" s="518"/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8"/>
      <c r="AQ844" s="518"/>
      <c r="AR844" s="518"/>
      <c r="AS844" s="518"/>
      <c r="AT844" s="518"/>
      <c r="AU844" s="518"/>
      <c r="AV844" s="518"/>
      <c r="AW844" s="518"/>
      <c r="AX844" s="518"/>
      <c r="AY844" s="518"/>
      <c r="AZ844" s="518"/>
      <c r="BA844" s="518"/>
      <c r="BB844" s="518"/>
      <c r="BC844" s="518"/>
      <c r="BD844" s="518"/>
      <c r="BE844" s="518"/>
    </row>
    <row r="845" spans="1:57" ht="12.75" customHeight="1">
      <c r="A845" s="518"/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8"/>
      <c r="AQ845" s="518"/>
      <c r="AR845" s="518"/>
      <c r="AS845" s="518"/>
      <c r="AT845" s="518"/>
      <c r="AU845" s="518"/>
      <c r="AV845" s="518"/>
      <c r="AW845" s="518"/>
      <c r="AX845" s="518"/>
      <c r="AY845" s="518"/>
      <c r="AZ845" s="518"/>
      <c r="BA845" s="518"/>
      <c r="BB845" s="518"/>
      <c r="BC845" s="518"/>
      <c r="BD845" s="518"/>
      <c r="BE845" s="518"/>
    </row>
    <row r="846" spans="1:57" ht="12.75" customHeight="1">
      <c r="A846" s="518"/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8"/>
      <c r="AQ846" s="518"/>
      <c r="AR846" s="518"/>
      <c r="AS846" s="518"/>
      <c r="AT846" s="518"/>
      <c r="AU846" s="518"/>
      <c r="AV846" s="518"/>
      <c r="AW846" s="518"/>
      <c r="AX846" s="518"/>
      <c r="AY846" s="518"/>
      <c r="AZ846" s="518"/>
      <c r="BA846" s="518"/>
      <c r="BB846" s="518"/>
      <c r="BC846" s="518"/>
      <c r="BD846" s="518"/>
      <c r="BE846" s="518"/>
    </row>
    <row r="847" spans="1:57" ht="12.75" customHeight="1">
      <c r="A847" s="518"/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8"/>
      <c r="AQ847" s="518"/>
      <c r="AR847" s="518"/>
      <c r="AS847" s="518"/>
      <c r="AT847" s="518"/>
      <c r="AU847" s="518"/>
      <c r="AV847" s="518"/>
      <c r="AW847" s="518"/>
      <c r="AX847" s="518"/>
      <c r="AY847" s="518"/>
      <c r="AZ847" s="518"/>
      <c r="BA847" s="518"/>
      <c r="BB847" s="518"/>
      <c r="BC847" s="518"/>
      <c r="BD847" s="518"/>
      <c r="BE847" s="518"/>
    </row>
    <row r="848" spans="1:57" ht="12.75" customHeight="1">
      <c r="A848" s="518"/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8"/>
      <c r="AQ848" s="518"/>
      <c r="AR848" s="518"/>
      <c r="AS848" s="518"/>
      <c r="AT848" s="518"/>
      <c r="AU848" s="518"/>
      <c r="AV848" s="518"/>
      <c r="AW848" s="518"/>
      <c r="AX848" s="518"/>
      <c r="AY848" s="518"/>
      <c r="AZ848" s="518"/>
      <c r="BA848" s="518"/>
      <c r="BB848" s="518"/>
      <c r="BC848" s="518"/>
      <c r="BD848" s="518"/>
      <c r="BE848" s="518"/>
    </row>
    <row r="849" spans="1:57" ht="12.75" customHeight="1">
      <c r="A849" s="518"/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8"/>
      <c r="AQ849" s="518"/>
      <c r="AR849" s="518"/>
      <c r="AS849" s="518"/>
      <c r="AT849" s="518"/>
      <c r="AU849" s="518"/>
      <c r="AV849" s="518"/>
      <c r="AW849" s="518"/>
      <c r="AX849" s="518"/>
      <c r="AY849" s="518"/>
      <c r="AZ849" s="518"/>
      <c r="BA849" s="518"/>
      <c r="BB849" s="518"/>
      <c r="BC849" s="518"/>
      <c r="BD849" s="518"/>
      <c r="BE849" s="518"/>
    </row>
    <row r="850" spans="1:57" ht="12.75" customHeight="1">
      <c r="A850" s="518"/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8"/>
      <c r="AQ850" s="518"/>
      <c r="AR850" s="518"/>
      <c r="AS850" s="518"/>
      <c r="AT850" s="518"/>
      <c r="AU850" s="518"/>
      <c r="AV850" s="518"/>
      <c r="AW850" s="518"/>
      <c r="AX850" s="518"/>
      <c r="AY850" s="518"/>
      <c r="AZ850" s="518"/>
      <c r="BA850" s="518"/>
      <c r="BB850" s="518"/>
      <c r="BC850" s="518"/>
      <c r="BD850" s="518"/>
      <c r="BE850" s="518"/>
    </row>
    <row r="851" spans="1:57" ht="12.75" customHeight="1">
      <c r="A851" s="518"/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8"/>
      <c r="AQ851" s="518"/>
      <c r="AR851" s="518"/>
      <c r="AS851" s="518"/>
      <c r="AT851" s="518"/>
      <c r="AU851" s="518"/>
      <c r="AV851" s="518"/>
      <c r="AW851" s="518"/>
      <c r="AX851" s="518"/>
      <c r="AY851" s="518"/>
      <c r="AZ851" s="518"/>
      <c r="BA851" s="518"/>
      <c r="BB851" s="518"/>
      <c r="BC851" s="518"/>
      <c r="BD851" s="518"/>
      <c r="BE851" s="518"/>
    </row>
    <row r="852" spans="1:57" ht="12.75" customHeight="1">
      <c r="A852" s="518"/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8"/>
      <c r="AQ852" s="518"/>
      <c r="AR852" s="518"/>
      <c r="AS852" s="518"/>
      <c r="AT852" s="518"/>
      <c r="AU852" s="518"/>
      <c r="AV852" s="518"/>
      <c r="AW852" s="518"/>
      <c r="AX852" s="518"/>
      <c r="AY852" s="518"/>
      <c r="AZ852" s="518"/>
      <c r="BA852" s="518"/>
      <c r="BB852" s="518"/>
      <c r="BC852" s="518"/>
      <c r="BD852" s="518"/>
      <c r="BE852" s="518"/>
    </row>
    <row r="853" spans="1:57" ht="12.75" customHeight="1">
      <c r="A853" s="518"/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8"/>
      <c r="AQ853" s="518"/>
      <c r="AR853" s="518"/>
      <c r="AS853" s="518"/>
      <c r="AT853" s="518"/>
      <c r="AU853" s="518"/>
      <c r="AV853" s="518"/>
      <c r="AW853" s="518"/>
      <c r="AX853" s="518"/>
      <c r="AY853" s="518"/>
      <c r="AZ853" s="518"/>
      <c r="BA853" s="518"/>
      <c r="BB853" s="518"/>
      <c r="BC853" s="518"/>
      <c r="BD853" s="518"/>
      <c r="BE853" s="518"/>
    </row>
    <row r="854" spans="1:57" ht="12.75" customHeight="1">
      <c r="A854" s="518"/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8"/>
      <c r="AQ854" s="518"/>
      <c r="AR854" s="518"/>
      <c r="AS854" s="518"/>
      <c r="AT854" s="518"/>
      <c r="AU854" s="518"/>
      <c r="AV854" s="518"/>
      <c r="AW854" s="518"/>
      <c r="AX854" s="518"/>
      <c r="AY854" s="518"/>
      <c r="AZ854" s="518"/>
      <c r="BA854" s="518"/>
      <c r="BB854" s="518"/>
      <c r="BC854" s="518"/>
      <c r="BD854" s="518"/>
      <c r="BE854" s="518"/>
    </row>
    <row r="855" spans="1:57" ht="12.75" customHeight="1">
      <c r="A855" s="518"/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8"/>
      <c r="AQ855" s="518"/>
      <c r="AR855" s="518"/>
      <c r="AS855" s="518"/>
      <c r="AT855" s="518"/>
      <c r="AU855" s="518"/>
      <c r="AV855" s="518"/>
      <c r="AW855" s="518"/>
      <c r="AX855" s="518"/>
      <c r="AY855" s="518"/>
      <c r="AZ855" s="518"/>
      <c r="BA855" s="518"/>
      <c r="BB855" s="518"/>
      <c r="BC855" s="518"/>
      <c r="BD855" s="518"/>
      <c r="BE855" s="518"/>
    </row>
    <row r="856" spans="1:57" ht="12.75" customHeight="1">
      <c r="A856" s="518"/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8"/>
      <c r="AQ856" s="518"/>
      <c r="AR856" s="518"/>
      <c r="AS856" s="518"/>
      <c r="AT856" s="518"/>
      <c r="AU856" s="518"/>
      <c r="AV856" s="518"/>
      <c r="AW856" s="518"/>
      <c r="AX856" s="518"/>
      <c r="AY856" s="518"/>
      <c r="AZ856" s="518"/>
      <c r="BA856" s="518"/>
      <c r="BB856" s="518"/>
      <c r="BC856" s="518"/>
      <c r="BD856" s="518"/>
      <c r="BE856" s="518"/>
    </row>
    <row r="857" spans="1:57" ht="12.75" customHeight="1">
      <c r="A857" s="518"/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8"/>
      <c r="AQ857" s="518"/>
      <c r="AR857" s="518"/>
      <c r="AS857" s="518"/>
      <c r="AT857" s="518"/>
      <c r="AU857" s="518"/>
      <c r="AV857" s="518"/>
      <c r="AW857" s="518"/>
      <c r="AX857" s="518"/>
      <c r="AY857" s="518"/>
      <c r="AZ857" s="518"/>
      <c r="BA857" s="518"/>
      <c r="BB857" s="518"/>
      <c r="BC857" s="518"/>
      <c r="BD857" s="518"/>
      <c r="BE857" s="518"/>
    </row>
    <row r="858" spans="1:57" ht="12.75" customHeight="1">
      <c r="A858" s="518"/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8"/>
      <c r="AQ858" s="518"/>
      <c r="AR858" s="518"/>
      <c r="AS858" s="518"/>
      <c r="AT858" s="518"/>
      <c r="AU858" s="518"/>
      <c r="AV858" s="518"/>
      <c r="AW858" s="518"/>
      <c r="AX858" s="518"/>
      <c r="AY858" s="518"/>
      <c r="AZ858" s="518"/>
      <c r="BA858" s="518"/>
      <c r="BB858" s="518"/>
      <c r="BC858" s="518"/>
      <c r="BD858" s="518"/>
      <c r="BE858" s="518"/>
    </row>
    <row r="859" spans="1:57" ht="12.75" customHeight="1">
      <c r="A859" s="518"/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8"/>
      <c r="AQ859" s="518"/>
      <c r="AR859" s="518"/>
      <c r="AS859" s="518"/>
      <c r="AT859" s="518"/>
      <c r="AU859" s="518"/>
      <c r="AV859" s="518"/>
      <c r="AW859" s="518"/>
      <c r="AX859" s="518"/>
      <c r="AY859" s="518"/>
      <c r="AZ859" s="518"/>
      <c r="BA859" s="518"/>
      <c r="BB859" s="518"/>
      <c r="BC859" s="518"/>
      <c r="BD859" s="518"/>
      <c r="BE859" s="518"/>
    </row>
    <row r="860" spans="1:57" ht="12.75" customHeight="1">
      <c r="A860" s="518"/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8"/>
      <c r="AQ860" s="518"/>
      <c r="AR860" s="518"/>
      <c r="AS860" s="518"/>
      <c r="AT860" s="518"/>
      <c r="AU860" s="518"/>
      <c r="AV860" s="518"/>
      <c r="AW860" s="518"/>
      <c r="AX860" s="518"/>
      <c r="AY860" s="518"/>
      <c r="AZ860" s="518"/>
      <c r="BA860" s="518"/>
      <c r="BB860" s="518"/>
      <c r="BC860" s="518"/>
      <c r="BD860" s="518"/>
      <c r="BE860" s="518"/>
    </row>
    <row r="861" spans="1:57" ht="12.75" customHeight="1">
      <c r="A861" s="518"/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8"/>
      <c r="AQ861" s="518"/>
      <c r="AR861" s="518"/>
      <c r="AS861" s="518"/>
      <c r="AT861" s="518"/>
      <c r="AU861" s="518"/>
      <c r="AV861" s="518"/>
      <c r="AW861" s="518"/>
      <c r="AX861" s="518"/>
      <c r="AY861" s="518"/>
      <c r="AZ861" s="518"/>
      <c r="BA861" s="518"/>
      <c r="BB861" s="518"/>
      <c r="BC861" s="518"/>
      <c r="BD861" s="518"/>
      <c r="BE861" s="518"/>
    </row>
    <row r="862" spans="1:57" ht="12.75" customHeight="1">
      <c r="A862" s="518"/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8"/>
      <c r="AQ862" s="518"/>
      <c r="AR862" s="518"/>
      <c r="AS862" s="518"/>
      <c r="AT862" s="518"/>
      <c r="AU862" s="518"/>
      <c r="AV862" s="518"/>
      <c r="AW862" s="518"/>
      <c r="AX862" s="518"/>
      <c r="AY862" s="518"/>
      <c r="AZ862" s="518"/>
      <c r="BA862" s="518"/>
      <c r="BB862" s="518"/>
      <c r="BC862" s="518"/>
      <c r="BD862" s="518"/>
      <c r="BE862" s="518"/>
    </row>
    <row r="863" spans="1:57" ht="12.75" customHeight="1">
      <c r="A863" s="518"/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8"/>
      <c r="AQ863" s="518"/>
      <c r="AR863" s="518"/>
      <c r="AS863" s="518"/>
      <c r="AT863" s="518"/>
      <c r="AU863" s="518"/>
      <c r="AV863" s="518"/>
      <c r="AW863" s="518"/>
      <c r="AX863" s="518"/>
      <c r="AY863" s="518"/>
      <c r="AZ863" s="518"/>
      <c r="BA863" s="518"/>
      <c r="BB863" s="518"/>
      <c r="BC863" s="518"/>
      <c r="BD863" s="518"/>
      <c r="BE863" s="518"/>
    </row>
    <row r="864" spans="1:57" ht="12.75" customHeight="1">
      <c r="A864" s="518"/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8"/>
      <c r="AQ864" s="518"/>
      <c r="AR864" s="518"/>
      <c r="AS864" s="518"/>
      <c r="AT864" s="518"/>
      <c r="AU864" s="518"/>
      <c r="AV864" s="518"/>
      <c r="AW864" s="518"/>
      <c r="AX864" s="518"/>
      <c r="AY864" s="518"/>
      <c r="AZ864" s="518"/>
      <c r="BA864" s="518"/>
      <c r="BB864" s="518"/>
      <c r="BC864" s="518"/>
      <c r="BD864" s="518"/>
      <c r="BE864" s="518"/>
    </row>
    <row r="865" spans="1:57" ht="12.75" customHeight="1">
      <c r="A865" s="518"/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8"/>
      <c r="AQ865" s="518"/>
      <c r="AR865" s="518"/>
      <c r="AS865" s="518"/>
      <c r="AT865" s="518"/>
      <c r="AU865" s="518"/>
      <c r="AV865" s="518"/>
      <c r="AW865" s="518"/>
      <c r="AX865" s="518"/>
      <c r="AY865" s="518"/>
      <c r="AZ865" s="518"/>
      <c r="BA865" s="518"/>
      <c r="BB865" s="518"/>
      <c r="BC865" s="518"/>
      <c r="BD865" s="518"/>
      <c r="BE865" s="518"/>
    </row>
    <row r="866" spans="1:57" ht="12.75" customHeight="1">
      <c r="A866" s="518"/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8"/>
      <c r="AQ866" s="518"/>
      <c r="AR866" s="518"/>
      <c r="AS866" s="518"/>
      <c r="AT866" s="518"/>
      <c r="AU866" s="518"/>
      <c r="AV866" s="518"/>
      <c r="AW866" s="518"/>
      <c r="AX866" s="518"/>
      <c r="AY866" s="518"/>
      <c r="AZ866" s="518"/>
      <c r="BA866" s="518"/>
      <c r="BB866" s="518"/>
      <c r="BC866" s="518"/>
      <c r="BD866" s="518"/>
      <c r="BE866" s="518"/>
    </row>
    <row r="867" spans="1:57" ht="12.75" customHeight="1">
      <c r="A867" s="518"/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8"/>
      <c r="AQ867" s="518"/>
      <c r="AR867" s="518"/>
      <c r="AS867" s="518"/>
      <c r="AT867" s="518"/>
      <c r="AU867" s="518"/>
      <c r="AV867" s="518"/>
      <c r="AW867" s="518"/>
      <c r="AX867" s="518"/>
      <c r="AY867" s="518"/>
      <c r="AZ867" s="518"/>
      <c r="BA867" s="518"/>
      <c r="BB867" s="518"/>
      <c r="BC867" s="518"/>
      <c r="BD867" s="518"/>
      <c r="BE867" s="518"/>
    </row>
    <row r="868" spans="1:57" ht="12.75" customHeight="1">
      <c r="A868" s="518"/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8"/>
      <c r="AQ868" s="518"/>
      <c r="AR868" s="518"/>
      <c r="AS868" s="518"/>
      <c r="AT868" s="518"/>
      <c r="AU868" s="518"/>
      <c r="AV868" s="518"/>
      <c r="AW868" s="518"/>
      <c r="AX868" s="518"/>
      <c r="AY868" s="518"/>
      <c r="AZ868" s="518"/>
      <c r="BA868" s="518"/>
      <c r="BB868" s="518"/>
      <c r="BC868" s="518"/>
      <c r="BD868" s="518"/>
      <c r="BE868" s="518"/>
    </row>
    <row r="869" spans="1:57" ht="12.75" customHeight="1">
      <c r="A869" s="518"/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8"/>
      <c r="AQ869" s="518"/>
      <c r="AR869" s="518"/>
      <c r="AS869" s="518"/>
      <c r="AT869" s="518"/>
      <c r="AU869" s="518"/>
      <c r="AV869" s="518"/>
      <c r="AW869" s="518"/>
      <c r="AX869" s="518"/>
      <c r="AY869" s="518"/>
      <c r="AZ869" s="518"/>
      <c r="BA869" s="518"/>
      <c r="BB869" s="518"/>
      <c r="BC869" s="518"/>
      <c r="BD869" s="518"/>
      <c r="BE869" s="518"/>
    </row>
    <row r="870" spans="1:57" ht="12.75" customHeight="1">
      <c r="A870" s="518"/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8"/>
      <c r="AQ870" s="518"/>
      <c r="AR870" s="518"/>
      <c r="AS870" s="518"/>
      <c r="AT870" s="518"/>
      <c r="AU870" s="518"/>
      <c r="AV870" s="518"/>
      <c r="AW870" s="518"/>
      <c r="AX870" s="518"/>
      <c r="AY870" s="518"/>
      <c r="AZ870" s="518"/>
      <c r="BA870" s="518"/>
      <c r="BB870" s="518"/>
      <c r="BC870" s="518"/>
      <c r="BD870" s="518"/>
      <c r="BE870" s="518"/>
    </row>
    <row r="871" spans="1:57" ht="12.75" customHeight="1">
      <c r="A871" s="518"/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8"/>
      <c r="AQ871" s="518"/>
      <c r="AR871" s="518"/>
      <c r="AS871" s="518"/>
      <c r="AT871" s="518"/>
      <c r="AU871" s="518"/>
      <c r="AV871" s="518"/>
      <c r="AW871" s="518"/>
      <c r="AX871" s="518"/>
      <c r="AY871" s="518"/>
      <c r="AZ871" s="518"/>
      <c r="BA871" s="518"/>
      <c r="BB871" s="518"/>
      <c r="BC871" s="518"/>
      <c r="BD871" s="518"/>
      <c r="BE871" s="518"/>
    </row>
    <row r="872" spans="1:57" ht="12.75" customHeight="1">
      <c r="A872" s="518"/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8"/>
      <c r="AQ872" s="518"/>
      <c r="AR872" s="518"/>
      <c r="AS872" s="518"/>
      <c r="AT872" s="518"/>
      <c r="AU872" s="518"/>
      <c r="AV872" s="518"/>
      <c r="AW872" s="518"/>
      <c r="AX872" s="518"/>
      <c r="AY872" s="518"/>
      <c r="AZ872" s="518"/>
      <c r="BA872" s="518"/>
      <c r="BB872" s="518"/>
      <c r="BC872" s="518"/>
      <c r="BD872" s="518"/>
      <c r="BE872" s="518"/>
    </row>
    <row r="873" spans="1:57" ht="12.75" customHeight="1">
      <c r="A873" s="518"/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8"/>
      <c r="AQ873" s="518"/>
      <c r="AR873" s="518"/>
      <c r="AS873" s="518"/>
      <c r="AT873" s="518"/>
      <c r="AU873" s="518"/>
      <c r="AV873" s="518"/>
      <c r="AW873" s="518"/>
      <c r="AX873" s="518"/>
      <c r="AY873" s="518"/>
      <c r="AZ873" s="518"/>
      <c r="BA873" s="518"/>
      <c r="BB873" s="518"/>
      <c r="BC873" s="518"/>
      <c r="BD873" s="518"/>
      <c r="BE873" s="518"/>
    </row>
    <row r="874" spans="1:57" ht="12.75" customHeight="1">
      <c r="A874" s="518"/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8"/>
      <c r="AQ874" s="518"/>
      <c r="AR874" s="518"/>
      <c r="AS874" s="518"/>
      <c r="AT874" s="518"/>
      <c r="AU874" s="518"/>
      <c r="AV874" s="518"/>
      <c r="AW874" s="518"/>
      <c r="AX874" s="518"/>
      <c r="AY874" s="518"/>
      <c r="AZ874" s="518"/>
      <c r="BA874" s="518"/>
      <c r="BB874" s="518"/>
      <c r="BC874" s="518"/>
      <c r="BD874" s="518"/>
      <c r="BE874" s="518"/>
    </row>
    <row r="875" spans="1:57" ht="12.75" customHeight="1">
      <c r="A875" s="518"/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8"/>
      <c r="AQ875" s="518"/>
      <c r="AR875" s="518"/>
      <c r="AS875" s="518"/>
      <c r="AT875" s="518"/>
      <c r="AU875" s="518"/>
      <c r="AV875" s="518"/>
      <c r="AW875" s="518"/>
      <c r="AX875" s="518"/>
      <c r="AY875" s="518"/>
      <c r="AZ875" s="518"/>
      <c r="BA875" s="518"/>
      <c r="BB875" s="518"/>
      <c r="BC875" s="518"/>
      <c r="BD875" s="518"/>
      <c r="BE875" s="518"/>
    </row>
    <row r="876" spans="1:57" ht="12.75" customHeight="1">
      <c r="A876" s="518"/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8"/>
      <c r="AQ876" s="518"/>
      <c r="AR876" s="518"/>
      <c r="AS876" s="518"/>
      <c r="AT876" s="518"/>
      <c r="AU876" s="518"/>
      <c r="AV876" s="518"/>
      <c r="AW876" s="518"/>
      <c r="AX876" s="518"/>
      <c r="AY876" s="518"/>
      <c r="AZ876" s="518"/>
      <c r="BA876" s="518"/>
      <c r="BB876" s="518"/>
      <c r="BC876" s="518"/>
      <c r="BD876" s="518"/>
      <c r="BE876" s="518"/>
    </row>
    <row r="877" spans="1:57" ht="12.75" customHeight="1">
      <c r="A877" s="518"/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8"/>
      <c r="AQ877" s="518"/>
      <c r="AR877" s="518"/>
      <c r="AS877" s="518"/>
      <c r="AT877" s="518"/>
      <c r="AU877" s="518"/>
      <c r="AV877" s="518"/>
      <c r="AW877" s="518"/>
      <c r="AX877" s="518"/>
      <c r="AY877" s="518"/>
      <c r="AZ877" s="518"/>
      <c r="BA877" s="518"/>
      <c r="BB877" s="518"/>
      <c r="BC877" s="518"/>
      <c r="BD877" s="518"/>
      <c r="BE877" s="518"/>
    </row>
    <row r="878" spans="1:57" ht="12.75" customHeight="1">
      <c r="A878" s="518"/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8"/>
      <c r="AQ878" s="518"/>
      <c r="AR878" s="518"/>
      <c r="AS878" s="518"/>
      <c r="AT878" s="518"/>
      <c r="AU878" s="518"/>
      <c r="AV878" s="518"/>
      <c r="AW878" s="518"/>
      <c r="AX878" s="518"/>
      <c r="AY878" s="518"/>
      <c r="AZ878" s="518"/>
      <c r="BA878" s="518"/>
      <c r="BB878" s="518"/>
      <c r="BC878" s="518"/>
      <c r="BD878" s="518"/>
      <c r="BE878" s="518"/>
    </row>
    <row r="879" spans="1:57" ht="12.75" customHeight="1">
      <c r="A879" s="518"/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8"/>
      <c r="AQ879" s="518"/>
      <c r="AR879" s="518"/>
      <c r="AS879" s="518"/>
      <c r="AT879" s="518"/>
      <c r="AU879" s="518"/>
      <c r="AV879" s="518"/>
      <c r="AW879" s="518"/>
      <c r="AX879" s="518"/>
      <c r="AY879" s="518"/>
      <c r="AZ879" s="518"/>
      <c r="BA879" s="518"/>
      <c r="BB879" s="518"/>
      <c r="BC879" s="518"/>
      <c r="BD879" s="518"/>
      <c r="BE879" s="518"/>
    </row>
    <row r="880" spans="1:57" ht="12.75" customHeight="1">
      <c r="A880" s="518"/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8"/>
      <c r="AQ880" s="518"/>
      <c r="AR880" s="518"/>
      <c r="AS880" s="518"/>
      <c r="AT880" s="518"/>
      <c r="AU880" s="518"/>
      <c r="AV880" s="518"/>
      <c r="AW880" s="518"/>
      <c r="AX880" s="518"/>
      <c r="AY880" s="518"/>
      <c r="AZ880" s="518"/>
      <c r="BA880" s="518"/>
      <c r="BB880" s="518"/>
      <c r="BC880" s="518"/>
      <c r="BD880" s="518"/>
      <c r="BE880" s="518"/>
    </row>
    <row r="881" spans="1:57" ht="12.75" customHeight="1">
      <c r="A881" s="518"/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8"/>
      <c r="AQ881" s="518"/>
      <c r="AR881" s="518"/>
      <c r="AS881" s="518"/>
      <c r="AT881" s="518"/>
      <c r="AU881" s="518"/>
      <c r="AV881" s="518"/>
      <c r="AW881" s="518"/>
      <c r="AX881" s="518"/>
      <c r="AY881" s="518"/>
      <c r="AZ881" s="518"/>
      <c r="BA881" s="518"/>
      <c r="BB881" s="518"/>
      <c r="BC881" s="518"/>
      <c r="BD881" s="518"/>
      <c r="BE881" s="518"/>
    </row>
    <row r="882" spans="1:57" ht="12.75" customHeight="1">
      <c r="A882" s="518"/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8"/>
      <c r="AQ882" s="518"/>
      <c r="AR882" s="518"/>
      <c r="AS882" s="518"/>
      <c r="AT882" s="518"/>
      <c r="AU882" s="518"/>
      <c r="AV882" s="518"/>
      <c r="AW882" s="518"/>
      <c r="AX882" s="518"/>
      <c r="AY882" s="518"/>
      <c r="AZ882" s="518"/>
      <c r="BA882" s="518"/>
      <c r="BB882" s="518"/>
      <c r="BC882" s="518"/>
      <c r="BD882" s="518"/>
      <c r="BE882" s="518"/>
    </row>
    <row r="883" spans="1:57" ht="12.75" customHeight="1">
      <c r="A883" s="518"/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8"/>
      <c r="AQ883" s="518"/>
      <c r="AR883" s="518"/>
      <c r="AS883" s="518"/>
      <c r="AT883" s="518"/>
      <c r="AU883" s="518"/>
      <c r="AV883" s="518"/>
      <c r="AW883" s="518"/>
      <c r="AX883" s="518"/>
      <c r="AY883" s="518"/>
      <c r="AZ883" s="518"/>
      <c r="BA883" s="518"/>
      <c r="BB883" s="518"/>
      <c r="BC883" s="518"/>
      <c r="BD883" s="518"/>
      <c r="BE883" s="518"/>
    </row>
    <row r="884" spans="1:57" ht="12.75" customHeight="1">
      <c r="A884" s="518"/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8"/>
      <c r="AQ884" s="518"/>
      <c r="AR884" s="518"/>
      <c r="AS884" s="518"/>
      <c r="AT884" s="518"/>
      <c r="AU884" s="518"/>
      <c r="AV884" s="518"/>
      <c r="AW884" s="518"/>
      <c r="AX884" s="518"/>
      <c r="AY884" s="518"/>
      <c r="AZ884" s="518"/>
      <c r="BA884" s="518"/>
      <c r="BB884" s="518"/>
      <c r="BC884" s="518"/>
      <c r="BD884" s="518"/>
      <c r="BE884" s="518"/>
    </row>
    <row r="885" spans="1:57" ht="12.75" customHeight="1">
      <c r="A885" s="518"/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8"/>
      <c r="AQ885" s="518"/>
      <c r="AR885" s="518"/>
      <c r="AS885" s="518"/>
      <c r="AT885" s="518"/>
      <c r="AU885" s="518"/>
      <c r="AV885" s="518"/>
      <c r="AW885" s="518"/>
      <c r="AX885" s="518"/>
      <c r="AY885" s="518"/>
      <c r="AZ885" s="518"/>
      <c r="BA885" s="518"/>
      <c r="BB885" s="518"/>
      <c r="BC885" s="518"/>
      <c r="BD885" s="518"/>
      <c r="BE885" s="518"/>
    </row>
    <row r="886" spans="1:57" ht="12.75" customHeight="1">
      <c r="A886" s="518"/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8"/>
      <c r="AQ886" s="518"/>
      <c r="AR886" s="518"/>
      <c r="AS886" s="518"/>
      <c r="AT886" s="518"/>
      <c r="AU886" s="518"/>
      <c r="AV886" s="518"/>
      <c r="AW886" s="518"/>
      <c r="AX886" s="518"/>
      <c r="AY886" s="518"/>
      <c r="AZ886" s="518"/>
      <c r="BA886" s="518"/>
      <c r="BB886" s="518"/>
      <c r="BC886" s="518"/>
      <c r="BD886" s="518"/>
      <c r="BE886" s="518"/>
    </row>
    <row r="887" spans="1:57" ht="12.75" customHeight="1">
      <c r="A887" s="518"/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8"/>
      <c r="AQ887" s="518"/>
      <c r="AR887" s="518"/>
      <c r="AS887" s="518"/>
      <c r="AT887" s="518"/>
      <c r="AU887" s="518"/>
      <c r="AV887" s="518"/>
      <c r="AW887" s="518"/>
      <c r="AX887" s="518"/>
      <c r="AY887" s="518"/>
      <c r="AZ887" s="518"/>
      <c r="BA887" s="518"/>
      <c r="BB887" s="518"/>
      <c r="BC887" s="518"/>
      <c r="BD887" s="518"/>
      <c r="BE887" s="518"/>
    </row>
    <row r="888" spans="1:57" ht="12.75" customHeight="1">
      <c r="A888" s="518"/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8"/>
      <c r="AQ888" s="518"/>
      <c r="AR888" s="518"/>
      <c r="AS888" s="518"/>
      <c r="AT888" s="518"/>
      <c r="AU888" s="518"/>
      <c r="AV888" s="518"/>
      <c r="AW888" s="518"/>
      <c r="AX888" s="518"/>
      <c r="AY888" s="518"/>
      <c r="AZ888" s="518"/>
      <c r="BA888" s="518"/>
      <c r="BB888" s="518"/>
      <c r="BC888" s="518"/>
      <c r="BD888" s="518"/>
      <c r="BE888" s="518"/>
    </row>
    <row r="889" spans="1:57" ht="12.75" customHeight="1">
      <c r="A889" s="518"/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8"/>
      <c r="AQ889" s="518"/>
      <c r="AR889" s="518"/>
      <c r="AS889" s="518"/>
      <c r="AT889" s="518"/>
      <c r="AU889" s="518"/>
      <c r="AV889" s="518"/>
      <c r="AW889" s="518"/>
      <c r="AX889" s="518"/>
      <c r="AY889" s="518"/>
      <c r="AZ889" s="518"/>
      <c r="BA889" s="518"/>
      <c r="BB889" s="518"/>
      <c r="BC889" s="518"/>
      <c r="BD889" s="518"/>
      <c r="BE889" s="518"/>
    </row>
    <row r="890" spans="1:57" ht="12.75" customHeight="1">
      <c r="A890" s="518"/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8"/>
      <c r="AQ890" s="518"/>
      <c r="AR890" s="518"/>
      <c r="AS890" s="518"/>
      <c r="AT890" s="518"/>
      <c r="AU890" s="518"/>
      <c r="AV890" s="518"/>
      <c r="AW890" s="518"/>
      <c r="AX890" s="518"/>
      <c r="AY890" s="518"/>
      <c r="AZ890" s="518"/>
      <c r="BA890" s="518"/>
      <c r="BB890" s="518"/>
      <c r="BC890" s="518"/>
      <c r="BD890" s="518"/>
      <c r="BE890" s="518"/>
    </row>
    <row r="891" spans="1:57" ht="12.75" customHeight="1">
      <c r="A891" s="518"/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8"/>
      <c r="AQ891" s="518"/>
      <c r="AR891" s="518"/>
      <c r="AS891" s="518"/>
      <c r="AT891" s="518"/>
      <c r="AU891" s="518"/>
      <c r="AV891" s="518"/>
      <c r="AW891" s="518"/>
      <c r="AX891" s="518"/>
      <c r="AY891" s="518"/>
      <c r="AZ891" s="518"/>
      <c r="BA891" s="518"/>
      <c r="BB891" s="518"/>
      <c r="BC891" s="518"/>
      <c r="BD891" s="518"/>
      <c r="BE891" s="518"/>
    </row>
    <row r="892" spans="1:57" ht="12.75" customHeight="1">
      <c r="A892" s="518"/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8"/>
      <c r="AQ892" s="518"/>
      <c r="AR892" s="518"/>
      <c r="AS892" s="518"/>
      <c r="AT892" s="518"/>
      <c r="AU892" s="518"/>
      <c r="AV892" s="518"/>
      <c r="AW892" s="518"/>
      <c r="AX892" s="518"/>
      <c r="AY892" s="518"/>
      <c r="AZ892" s="518"/>
      <c r="BA892" s="518"/>
      <c r="BB892" s="518"/>
      <c r="BC892" s="518"/>
      <c r="BD892" s="518"/>
      <c r="BE892" s="518"/>
    </row>
    <row r="893" spans="1:57" ht="12.75" customHeight="1">
      <c r="A893" s="518"/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8"/>
      <c r="AQ893" s="518"/>
      <c r="AR893" s="518"/>
      <c r="AS893" s="518"/>
      <c r="AT893" s="518"/>
      <c r="AU893" s="518"/>
      <c r="AV893" s="518"/>
      <c r="AW893" s="518"/>
      <c r="AX893" s="518"/>
      <c r="AY893" s="518"/>
      <c r="AZ893" s="518"/>
      <c r="BA893" s="518"/>
      <c r="BB893" s="518"/>
      <c r="BC893" s="518"/>
      <c r="BD893" s="518"/>
      <c r="BE893" s="518"/>
    </row>
    <row r="894" spans="1:57" ht="12.75" customHeight="1">
      <c r="A894" s="518"/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8"/>
      <c r="AQ894" s="518"/>
      <c r="AR894" s="518"/>
      <c r="AS894" s="518"/>
      <c r="AT894" s="518"/>
      <c r="AU894" s="518"/>
      <c r="AV894" s="518"/>
      <c r="AW894" s="518"/>
      <c r="AX894" s="518"/>
      <c r="AY894" s="518"/>
      <c r="AZ894" s="518"/>
      <c r="BA894" s="518"/>
      <c r="BB894" s="518"/>
      <c r="BC894" s="518"/>
      <c r="BD894" s="518"/>
      <c r="BE894" s="518"/>
    </row>
    <row r="895" spans="1:57" ht="12.75" customHeight="1">
      <c r="A895" s="518"/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8"/>
      <c r="AQ895" s="518"/>
      <c r="AR895" s="518"/>
      <c r="AS895" s="518"/>
      <c r="AT895" s="518"/>
      <c r="AU895" s="518"/>
      <c r="AV895" s="518"/>
      <c r="AW895" s="518"/>
      <c r="AX895" s="518"/>
      <c r="AY895" s="518"/>
      <c r="AZ895" s="518"/>
      <c r="BA895" s="518"/>
      <c r="BB895" s="518"/>
      <c r="BC895" s="518"/>
      <c r="BD895" s="518"/>
      <c r="BE895" s="518"/>
    </row>
    <row r="896" spans="1:57" ht="12.75" customHeight="1">
      <c r="A896" s="518"/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8"/>
      <c r="AQ896" s="518"/>
      <c r="AR896" s="518"/>
      <c r="AS896" s="518"/>
      <c r="AT896" s="518"/>
      <c r="AU896" s="518"/>
      <c r="AV896" s="518"/>
      <c r="AW896" s="518"/>
      <c r="AX896" s="518"/>
      <c r="AY896" s="518"/>
      <c r="AZ896" s="518"/>
      <c r="BA896" s="518"/>
      <c r="BB896" s="518"/>
      <c r="BC896" s="518"/>
      <c r="BD896" s="518"/>
      <c r="BE896" s="518"/>
    </row>
    <row r="897" spans="1:57" ht="12.75" customHeight="1">
      <c r="A897" s="518"/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8"/>
      <c r="AQ897" s="518"/>
      <c r="AR897" s="518"/>
      <c r="AS897" s="518"/>
      <c r="AT897" s="518"/>
      <c r="AU897" s="518"/>
      <c r="AV897" s="518"/>
      <c r="AW897" s="518"/>
      <c r="AX897" s="518"/>
      <c r="AY897" s="518"/>
      <c r="AZ897" s="518"/>
      <c r="BA897" s="518"/>
      <c r="BB897" s="518"/>
      <c r="BC897" s="518"/>
      <c r="BD897" s="518"/>
      <c r="BE897" s="518"/>
    </row>
    <row r="898" spans="1:57" ht="12.75" customHeight="1">
      <c r="A898" s="518"/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8"/>
      <c r="AQ898" s="518"/>
      <c r="AR898" s="518"/>
      <c r="AS898" s="518"/>
      <c r="AT898" s="518"/>
      <c r="AU898" s="518"/>
      <c r="AV898" s="518"/>
      <c r="AW898" s="518"/>
      <c r="AX898" s="518"/>
      <c r="AY898" s="518"/>
      <c r="AZ898" s="518"/>
      <c r="BA898" s="518"/>
      <c r="BB898" s="518"/>
      <c r="BC898" s="518"/>
      <c r="BD898" s="518"/>
      <c r="BE898" s="518"/>
    </row>
    <row r="899" spans="1:57" ht="12.75" customHeight="1">
      <c r="A899" s="518"/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8"/>
      <c r="AQ899" s="518"/>
      <c r="AR899" s="518"/>
      <c r="AS899" s="518"/>
      <c r="AT899" s="518"/>
      <c r="AU899" s="518"/>
      <c r="AV899" s="518"/>
      <c r="AW899" s="518"/>
      <c r="AX899" s="518"/>
      <c r="AY899" s="518"/>
      <c r="AZ899" s="518"/>
      <c r="BA899" s="518"/>
      <c r="BB899" s="518"/>
      <c r="BC899" s="518"/>
      <c r="BD899" s="518"/>
      <c r="BE899" s="518"/>
    </row>
    <row r="900" spans="1:57" ht="12.75" customHeight="1">
      <c r="A900" s="518"/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8"/>
      <c r="AQ900" s="518"/>
      <c r="AR900" s="518"/>
      <c r="AS900" s="518"/>
      <c r="AT900" s="518"/>
      <c r="AU900" s="518"/>
      <c r="AV900" s="518"/>
      <c r="AW900" s="518"/>
      <c r="AX900" s="518"/>
      <c r="AY900" s="518"/>
      <c r="AZ900" s="518"/>
      <c r="BA900" s="518"/>
      <c r="BB900" s="518"/>
      <c r="BC900" s="518"/>
      <c r="BD900" s="518"/>
      <c r="BE900" s="518"/>
    </row>
    <row r="901" spans="1:57" ht="12.75" customHeight="1">
      <c r="A901" s="518"/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8"/>
      <c r="AQ901" s="518"/>
      <c r="AR901" s="518"/>
      <c r="AS901" s="518"/>
      <c r="AT901" s="518"/>
      <c r="AU901" s="518"/>
      <c r="AV901" s="518"/>
      <c r="AW901" s="518"/>
      <c r="AX901" s="518"/>
      <c r="AY901" s="518"/>
      <c r="AZ901" s="518"/>
      <c r="BA901" s="518"/>
      <c r="BB901" s="518"/>
      <c r="BC901" s="518"/>
      <c r="BD901" s="518"/>
      <c r="BE901" s="518"/>
    </row>
    <row r="902" spans="1:57" ht="12.75" customHeight="1">
      <c r="A902" s="518"/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8"/>
      <c r="AQ902" s="518"/>
      <c r="AR902" s="518"/>
      <c r="AS902" s="518"/>
      <c r="AT902" s="518"/>
      <c r="AU902" s="518"/>
      <c r="AV902" s="518"/>
      <c r="AW902" s="518"/>
      <c r="AX902" s="518"/>
      <c r="AY902" s="518"/>
      <c r="AZ902" s="518"/>
      <c r="BA902" s="518"/>
      <c r="BB902" s="518"/>
      <c r="BC902" s="518"/>
      <c r="BD902" s="518"/>
      <c r="BE902" s="518"/>
    </row>
    <row r="903" spans="1:57" ht="12.75" customHeight="1">
      <c r="A903" s="518"/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8"/>
      <c r="AQ903" s="518"/>
      <c r="AR903" s="518"/>
      <c r="AS903" s="518"/>
      <c r="AT903" s="518"/>
      <c r="AU903" s="518"/>
      <c r="AV903" s="518"/>
      <c r="AW903" s="518"/>
      <c r="AX903" s="518"/>
      <c r="AY903" s="518"/>
      <c r="AZ903" s="518"/>
      <c r="BA903" s="518"/>
      <c r="BB903" s="518"/>
      <c r="BC903" s="518"/>
      <c r="BD903" s="518"/>
      <c r="BE903" s="518"/>
    </row>
    <row r="904" spans="1:57" ht="12.75" customHeight="1">
      <c r="A904" s="518"/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8"/>
      <c r="AQ904" s="518"/>
      <c r="AR904" s="518"/>
      <c r="AS904" s="518"/>
      <c r="AT904" s="518"/>
      <c r="AU904" s="518"/>
      <c r="AV904" s="518"/>
      <c r="AW904" s="518"/>
      <c r="AX904" s="518"/>
      <c r="AY904" s="518"/>
      <c r="AZ904" s="518"/>
      <c r="BA904" s="518"/>
      <c r="BB904" s="518"/>
      <c r="BC904" s="518"/>
      <c r="BD904" s="518"/>
      <c r="BE904" s="518"/>
    </row>
    <row r="905" spans="1:57" ht="12.75" customHeight="1">
      <c r="A905" s="518"/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8"/>
      <c r="AQ905" s="518"/>
      <c r="AR905" s="518"/>
      <c r="AS905" s="518"/>
      <c r="AT905" s="518"/>
      <c r="AU905" s="518"/>
      <c r="AV905" s="518"/>
      <c r="AW905" s="518"/>
      <c r="AX905" s="518"/>
      <c r="AY905" s="518"/>
      <c r="AZ905" s="518"/>
      <c r="BA905" s="518"/>
      <c r="BB905" s="518"/>
      <c r="BC905" s="518"/>
      <c r="BD905" s="518"/>
      <c r="BE905" s="518"/>
    </row>
    <row r="906" spans="1:57" ht="12.75" customHeight="1">
      <c r="A906" s="518"/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8"/>
      <c r="AQ906" s="518"/>
      <c r="AR906" s="518"/>
      <c r="AS906" s="518"/>
      <c r="AT906" s="518"/>
      <c r="AU906" s="518"/>
      <c r="AV906" s="518"/>
      <c r="AW906" s="518"/>
      <c r="AX906" s="518"/>
      <c r="AY906" s="518"/>
      <c r="AZ906" s="518"/>
      <c r="BA906" s="518"/>
      <c r="BB906" s="518"/>
      <c r="BC906" s="518"/>
      <c r="BD906" s="518"/>
      <c r="BE906" s="518"/>
    </row>
    <row r="907" spans="1:57" ht="12.75" customHeight="1">
      <c r="A907" s="518"/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8"/>
      <c r="AQ907" s="518"/>
      <c r="AR907" s="518"/>
      <c r="AS907" s="518"/>
      <c r="AT907" s="518"/>
      <c r="AU907" s="518"/>
      <c r="AV907" s="518"/>
      <c r="AW907" s="518"/>
      <c r="AX907" s="518"/>
      <c r="AY907" s="518"/>
      <c r="AZ907" s="518"/>
      <c r="BA907" s="518"/>
      <c r="BB907" s="518"/>
      <c r="BC907" s="518"/>
      <c r="BD907" s="518"/>
      <c r="BE907" s="518"/>
    </row>
    <row r="908" spans="1:57" ht="12.75" customHeight="1">
      <c r="A908" s="518"/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8"/>
      <c r="AQ908" s="518"/>
      <c r="AR908" s="518"/>
      <c r="AS908" s="518"/>
      <c r="AT908" s="518"/>
      <c r="AU908" s="518"/>
      <c r="AV908" s="518"/>
      <c r="AW908" s="518"/>
      <c r="AX908" s="518"/>
      <c r="AY908" s="518"/>
      <c r="AZ908" s="518"/>
      <c r="BA908" s="518"/>
      <c r="BB908" s="518"/>
      <c r="BC908" s="518"/>
      <c r="BD908" s="518"/>
      <c r="BE908" s="518"/>
    </row>
    <row r="909" spans="1:57" ht="12.75" customHeight="1">
      <c r="A909" s="518"/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8"/>
      <c r="AQ909" s="518"/>
      <c r="AR909" s="518"/>
      <c r="AS909" s="518"/>
      <c r="AT909" s="518"/>
      <c r="AU909" s="518"/>
      <c r="AV909" s="518"/>
      <c r="AW909" s="518"/>
      <c r="AX909" s="518"/>
      <c r="AY909" s="518"/>
      <c r="AZ909" s="518"/>
      <c r="BA909" s="518"/>
      <c r="BB909" s="518"/>
      <c r="BC909" s="518"/>
      <c r="BD909" s="518"/>
      <c r="BE909" s="518"/>
    </row>
    <row r="910" spans="1:57" ht="12.75" customHeight="1">
      <c r="A910" s="518"/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8"/>
      <c r="AQ910" s="518"/>
      <c r="AR910" s="518"/>
      <c r="AS910" s="518"/>
      <c r="AT910" s="518"/>
      <c r="AU910" s="518"/>
      <c r="AV910" s="518"/>
      <c r="AW910" s="518"/>
      <c r="AX910" s="518"/>
      <c r="AY910" s="518"/>
      <c r="AZ910" s="518"/>
      <c r="BA910" s="518"/>
      <c r="BB910" s="518"/>
      <c r="BC910" s="518"/>
      <c r="BD910" s="518"/>
      <c r="BE910" s="518"/>
    </row>
    <row r="911" spans="1:57" ht="12.75" customHeight="1">
      <c r="A911" s="518"/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8"/>
      <c r="AQ911" s="518"/>
      <c r="AR911" s="518"/>
      <c r="AS911" s="518"/>
      <c r="AT911" s="518"/>
      <c r="AU911" s="518"/>
      <c r="AV911" s="518"/>
      <c r="AW911" s="518"/>
      <c r="AX911" s="518"/>
      <c r="AY911" s="518"/>
      <c r="AZ911" s="518"/>
      <c r="BA911" s="518"/>
      <c r="BB911" s="518"/>
      <c r="BC911" s="518"/>
      <c r="BD911" s="518"/>
      <c r="BE911" s="518"/>
    </row>
    <row r="912" spans="1:57" ht="12.75" customHeight="1">
      <c r="A912" s="518"/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8"/>
      <c r="AQ912" s="518"/>
      <c r="AR912" s="518"/>
      <c r="AS912" s="518"/>
      <c r="AT912" s="518"/>
      <c r="AU912" s="518"/>
      <c r="AV912" s="518"/>
      <c r="AW912" s="518"/>
      <c r="AX912" s="518"/>
      <c r="AY912" s="518"/>
      <c r="AZ912" s="518"/>
      <c r="BA912" s="518"/>
      <c r="BB912" s="518"/>
      <c r="BC912" s="518"/>
      <c r="BD912" s="518"/>
      <c r="BE912" s="518"/>
    </row>
    <row r="913" spans="1:57" ht="12.75" customHeight="1">
      <c r="A913" s="518"/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8"/>
      <c r="AQ913" s="518"/>
      <c r="AR913" s="518"/>
      <c r="AS913" s="518"/>
      <c r="AT913" s="518"/>
      <c r="AU913" s="518"/>
      <c r="AV913" s="518"/>
      <c r="AW913" s="518"/>
      <c r="AX913" s="518"/>
      <c r="AY913" s="518"/>
      <c r="AZ913" s="518"/>
      <c r="BA913" s="518"/>
      <c r="BB913" s="518"/>
      <c r="BC913" s="518"/>
      <c r="BD913" s="518"/>
      <c r="BE913" s="518"/>
    </row>
    <row r="914" spans="1:57" ht="12.75" customHeight="1">
      <c r="A914" s="518"/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8"/>
      <c r="AQ914" s="518"/>
      <c r="AR914" s="518"/>
      <c r="AS914" s="518"/>
      <c r="AT914" s="518"/>
      <c r="AU914" s="518"/>
      <c r="AV914" s="518"/>
      <c r="AW914" s="518"/>
      <c r="AX914" s="518"/>
      <c r="AY914" s="518"/>
      <c r="AZ914" s="518"/>
      <c r="BA914" s="518"/>
      <c r="BB914" s="518"/>
      <c r="BC914" s="518"/>
      <c r="BD914" s="518"/>
      <c r="BE914" s="518"/>
    </row>
    <row r="915" spans="1:57" ht="12.75" customHeight="1">
      <c r="A915" s="518"/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8"/>
      <c r="AQ915" s="518"/>
      <c r="AR915" s="518"/>
      <c r="AS915" s="518"/>
      <c r="AT915" s="518"/>
      <c r="AU915" s="518"/>
      <c r="AV915" s="518"/>
      <c r="AW915" s="518"/>
      <c r="AX915" s="518"/>
      <c r="AY915" s="518"/>
      <c r="AZ915" s="518"/>
      <c r="BA915" s="518"/>
      <c r="BB915" s="518"/>
      <c r="BC915" s="518"/>
      <c r="BD915" s="518"/>
      <c r="BE915" s="518"/>
    </row>
    <row r="916" spans="1:57" ht="12.75" customHeight="1">
      <c r="A916" s="518"/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8"/>
      <c r="AQ916" s="518"/>
      <c r="AR916" s="518"/>
      <c r="AS916" s="518"/>
      <c r="AT916" s="518"/>
      <c r="AU916" s="518"/>
      <c r="AV916" s="518"/>
      <c r="AW916" s="518"/>
      <c r="AX916" s="518"/>
      <c r="AY916" s="518"/>
      <c r="AZ916" s="518"/>
      <c r="BA916" s="518"/>
      <c r="BB916" s="518"/>
      <c r="BC916" s="518"/>
      <c r="BD916" s="518"/>
      <c r="BE916" s="518"/>
    </row>
    <row r="917" spans="1:57" ht="12.75" customHeight="1">
      <c r="A917" s="518"/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8"/>
      <c r="AQ917" s="518"/>
      <c r="AR917" s="518"/>
      <c r="AS917" s="518"/>
      <c r="AT917" s="518"/>
      <c r="AU917" s="518"/>
      <c r="AV917" s="518"/>
      <c r="AW917" s="518"/>
      <c r="AX917" s="518"/>
      <c r="AY917" s="518"/>
      <c r="AZ917" s="518"/>
      <c r="BA917" s="518"/>
      <c r="BB917" s="518"/>
      <c r="BC917" s="518"/>
      <c r="BD917" s="518"/>
      <c r="BE917" s="518"/>
    </row>
    <row r="918" spans="1:57" ht="12.75" customHeight="1">
      <c r="A918" s="518"/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8"/>
      <c r="AQ918" s="518"/>
      <c r="AR918" s="518"/>
      <c r="AS918" s="518"/>
      <c r="AT918" s="518"/>
      <c r="AU918" s="518"/>
      <c r="AV918" s="518"/>
      <c r="AW918" s="518"/>
      <c r="AX918" s="518"/>
      <c r="AY918" s="518"/>
      <c r="AZ918" s="518"/>
      <c r="BA918" s="518"/>
      <c r="BB918" s="518"/>
      <c r="BC918" s="518"/>
      <c r="BD918" s="518"/>
      <c r="BE918" s="518"/>
    </row>
    <row r="919" spans="1:57" ht="12.75" customHeight="1">
      <c r="A919" s="518"/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8"/>
      <c r="AQ919" s="518"/>
      <c r="AR919" s="518"/>
      <c r="AS919" s="518"/>
      <c r="AT919" s="518"/>
      <c r="AU919" s="518"/>
      <c r="AV919" s="518"/>
      <c r="AW919" s="518"/>
      <c r="AX919" s="518"/>
      <c r="AY919" s="518"/>
      <c r="AZ919" s="518"/>
      <c r="BA919" s="518"/>
      <c r="BB919" s="518"/>
      <c r="BC919" s="518"/>
      <c r="BD919" s="518"/>
      <c r="BE919" s="518"/>
    </row>
    <row r="920" spans="1:57" ht="12.75" customHeight="1">
      <c r="A920" s="518"/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8"/>
      <c r="AQ920" s="518"/>
      <c r="AR920" s="518"/>
      <c r="AS920" s="518"/>
      <c r="AT920" s="518"/>
      <c r="AU920" s="518"/>
      <c r="AV920" s="518"/>
      <c r="AW920" s="518"/>
      <c r="AX920" s="518"/>
      <c r="AY920" s="518"/>
      <c r="AZ920" s="518"/>
      <c r="BA920" s="518"/>
      <c r="BB920" s="518"/>
      <c r="BC920" s="518"/>
      <c r="BD920" s="518"/>
      <c r="BE920" s="518"/>
    </row>
    <row r="921" spans="1:57" ht="12.75" customHeight="1">
      <c r="A921" s="518"/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8"/>
      <c r="AQ921" s="518"/>
      <c r="AR921" s="518"/>
      <c r="AS921" s="518"/>
      <c r="AT921" s="518"/>
      <c r="AU921" s="518"/>
      <c r="AV921" s="518"/>
      <c r="AW921" s="518"/>
      <c r="AX921" s="518"/>
      <c r="AY921" s="518"/>
      <c r="AZ921" s="518"/>
      <c r="BA921" s="518"/>
      <c r="BB921" s="518"/>
      <c r="BC921" s="518"/>
      <c r="BD921" s="518"/>
      <c r="BE921" s="518"/>
    </row>
    <row r="922" spans="1:57" ht="12.75" customHeight="1">
      <c r="A922" s="518"/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8"/>
      <c r="AQ922" s="518"/>
      <c r="AR922" s="518"/>
      <c r="AS922" s="518"/>
      <c r="AT922" s="518"/>
      <c r="AU922" s="518"/>
      <c r="AV922" s="518"/>
      <c r="AW922" s="518"/>
      <c r="AX922" s="518"/>
      <c r="AY922" s="518"/>
      <c r="AZ922" s="518"/>
      <c r="BA922" s="518"/>
      <c r="BB922" s="518"/>
      <c r="BC922" s="518"/>
      <c r="BD922" s="518"/>
      <c r="BE922" s="518"/>
    </row>
    <row r="923" spans="1:57" ht="12.75" customHeight="1">
      <c r="A923" s="518"/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8"/>
      <c r="AQ923" s="518"/>
      <c r="AR923" s="518"/>
      <c r="AS923" s="518"/>
      <c r="AT923" s="518"/>
      <c r="AU923" s="518"/>
      <c r="AV923" s="518"/>
      <c r="AW923" s="518"/>
      <c r="AX923" s="518"/>
      <c r="AY923" s="518"/>
      <c r="AZ923" s="518"/>
      <c r="BA923" s="518"/>
      <c r="BB923" s="518"/>
      <c r="BC923" s="518"/>
      <c r="BD923" s="518"/>
      <c r="BE923" s="518"/>
    </row>
    <row r="924" spans="1:57" ht="12.75" customHeight="1">
      <c r="A924" s="518"/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8"/>
      <c r="AQ924" s="518"/>
      <c r="AR924" s="518"/>
      <c r="AS924" s="518"/>
      <c r="AT924" s="518"/>
      <c r="AU924" s="518"/>
      <c r="AV924" s="518"/>
      <c r="AW924" s="518"/>
      <c r="AX924" s="518"/>
      <c r="AY924" s="518"/>
      <c r="AZ924" s="518"/>
      <c r="BA924" s="518"/>
      <c r="BB924" s="518"/>
      <c r="BC924" s="518"/>
      <c r="BD924" s="518"/>
      <c r="BE924" s="518"/>
    </row>
    <row r="925" spans="1:57" ht="12.75" customHeight="1">
      <c r="A925" s="518"/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8"/>
      <c r="AQ925" s="518"/>
      <c r="AR925" s="518"/>
      <c r="AS925" s="518"/>
      <c r="AT925" s="518"/>
      <c r="AU925" s="518"/>
      <c r="AV925" s="518"/>
      <c r="AW925" s="518"/>
      <c r="AX925" s="518"/>
      <c r="AY925" s="518"/>
      <c r="AZ925" s="518"/>
      <c r="BA925" s="518"/>
      <c r="BB925" s="518"/>
      <c r="BC925" s="518"/>
      <c r="BD925" s="518"/>
      <c r="BE925" s="518"/>
    </row>
    <row r="926" spans="1:57" ht="12.75" customHeight="1">
      <c r="A926" s="518"/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8"/>
      <c r="AQ926" s="518"/>
      <c r="AR926" s="518"/>
      <c r="AS926" s="518"/>
      <c r="AT926" s="518"/>
      <c r="AU926" s="518"/>
      <c r="AV926" s="518"/>
      <c r="AW926" s="518"/>
      <c r="AX926" s="518"/>
      <c r="AY926" s="518"/>
      <c r="AZ926" s="518"/>
      <c r="BA926" s="518"/>
      <c r="BB926" s="518"/>
      <c r="BC926" s="518"/>
      <c r="BD926" s="518"/>
      <c r="BE926" s="518"/>
    </row>
    <row r="927" spans="1:57" ht="12.75" customHeight="1">
      <c r="A927" s="518"/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8"/>
      <c r="AQ927" s="518"/>
      <c r="AR927" s="518"/>
      <c r="AS927" s="518"/>
      <c r="AT927" s="518"/>
      <c r="AU927" s="518"/>
      <c r="AV927" s="518"/>
      <c r="AW927" s="518"/>
      <c r="AX927" s="518"/>
      <c r="AY927" s="518"/>
      <c r="AZ927" s="518"/>
      <c r="BA927" s="518"/>
      <c r="BB927" s="518"/>
      <c r="BC927" s="518"/>
      <c r="BD927" s="518"/>
      <c r="BE927" s="518"/>
    </row>
    <row r="928" spans="1:57" ht="12.75" customHeight="1">
      <c r="A928" s="518"/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8"/>
      <c r="AQ928" s="518"/>
      <c r="AR928" s="518"/>
      <c r="AS928" s="518"/>
      <c r="AT928" s="518"/>
      <c r="AU928" s="518"/>
      <c r="AV928" s="518"/>
      <c r="AW928" s="518"/>
      <c r="AX928" s="518"/>
      <c r="AY928" s="518"/>
      <c r="AZ928" s="518"/>
      <c r="BA928" s="518"/>
      <c r="BB928" s="518"/>
      <c r="BC928" s="518"/>
      <c r="BD928" s="518"/>
      <c r="BE928" s="518"/>
    </row>
    <row r="929" spans="1:57" ht="12.75" customHeight="1">
      <c r="A929" s="518"/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8"/>
      <c r="AQ929" s="518"/>
      <c r="AR929" s="518"/>
      <c r="AS929" s="518"/>
      <c r="AT929" s="518"/>
      <c r="AU929" s="518"/>
      <c r="AV929" s="518"/>
      <c r="AW929" s="518"/>
      <c r="AX929" s="518"/>
      <c r="AY929" s="518"/>
      <c r="AZ929" s="518"/>
      <c r="BA929" s="518"/>
      <c r="BB929" s="518"/>
      <c r="BC929" s="518"/>
      <c r="BD929" s="518"/>
      <c r="BE929" s="518"/>
    </row>
    <row r="930" spans="1:57" ht="12.75" customHeight="1">
      <c r="A930" s="518"/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8"/>
      <c r="AQ930" s="518"/>
      <c r="AR930" s="518"/>
      <c r="AS930" s="518"/>
      <c r="AT930" s="518"/>
      <c r="AU930" s="518"/>
      <c r="AV930" s="518"/>
      <c r="AW930" s="518"/>
      <c r="AX930" s="518"/>
      <c r="AY930" s="518"/>
      <c r="AZ930" s="518"/>
      <c r="BA930" s="518"/>
      <c r="BB930" s="518"/>
      <c r="BC930" s="518"/>
      <c r="BD930" s="518"/>
      <c r="BE930" s="518"/>
    </row>
    <row r="931" spans="1:57" ht="12.75" customHeight="1">
      <c r="A931" s="518"/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8"/>
      <c r="AQ931" s="518"/>
      <c r="AR931" s="518"/>
      <c r="AS931" s="518"/>
      <c r="AT931" s="518"/>
      <c r="AU931" s="518"/>
      <c r="AV931" s="518"/>
      <c r="AW931" s="518"/>
      <c r="AX931" s="518"/>
      <c r="AY931" s="518"/>
      <c r="AZ931" s="518"/>
      <c r="BA931" s="518"/>
      <c r="BB931" s="518"/>
      <c r="BC931" s="518"/>
      <c r="BD931" s="518"/>
      <c r="BE931" s="518"/>
    </row>
    <row r="932" spans="1:57" ht="12.75" customHeight="1">
      <c r="A932" s="518"/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8"/>
      <c r="AQ932" s="518"/>
      <c r="AR932" s="518"/>
      <c r="AS932" s="518"/>
      <c r="AT932" s="518"/>
      <c r="AU932" s="518"/>
      <c r="AV932" s="518"/>
      <c r="AW932" s="518"/>
      <c r="AX932" s="518"/>
      <c r="AY932" s="518"/>
      <c r="AZ932" s="518"/>
      <c r="BA932" s="518"/>
      <c r="BB932" s="518"/>
      <c r="BC932" s="518"/>
      <c r="BD932" s="518"/>
      <c r="BE932" s="518"/>
    </row>
    <row r="933" spans="1:57" ht="12.75" customHeight="1">
      <c r="A933" s="518"/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8"/>
      <c r="AQ933" s="518"/>
      <c r="AR933" s="518"/>
      <c r="AS933" s="518"/>
      <c r="AT933" s="518"/>
      <c r="AU933" s="518"/>
      <c r="AV933" s="518"/>
      <c r="AW933" s="518"/>
      <c r="AX933" s="518"/>
      <c r="AY933" s="518"/>
      <c r="AZ933" s="518"/>
      <c r="BA933" s="518"/>
      <c r="BB933" s="518"/>
      <c r="BC933" s="518"/>
      <c r="BD933" s="518"/>
      <c r="BE933" s="518"/>
    </row>
    <row r="934" spans="1:57" ht="12.75" customHeight="1">
      <c r="A934" s="518"/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8"/>
      <c r="AQ934" s="518"/>
      <c r="AR934" s="518"/>
      <c r="AS934" s="518"/>
      <c r="AT934" s="518"/>
      <c r="AU934" s="518"/>
      <c r="AV934" s="518"/>
      <c r="AW934" s="518"/>
      <c r="AX934" s="518"/>
      <c r="AY934" s="518"/>
      <c r="AZ934" s="518"/>
      <c r="BA934" s="518"/>
      <c r="BB934" s="518"/>
      <c r="BC934" s="518"/>
      <c r="BD934" s="518"/>
      <c r="BE934" s="518"/>
    </row>
    <row r="935" spans="1:57" ht="12.75" customHeight="1">
      <c r="A935" s="518"/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8"/>
      <c r="AQ935" s="518"/>
      <c r="AR935" s="518"/>
      <c r="AS935" s="518"/>
      <c r="AT935" s="518"/>
      <c r="AU935" s="518"/>
      <c r="AV935" s="518"/>
      <c r="AW935" s="518"/>
      <c r="AX935" s="518"/>
      <c r="AY935" s="518"/>
      <c r="AZ935" s="518"/>
      <c r="BA935" s="518"/>
      <c r="BB935" s="518"/>
      <c r="BC935" s="518"/>
      <c r="BD935" s="518"/>
      <c r="BE935" s="518"/>
    </row>
    <row r="936" spans="1:57" ht="12.75" customHeight="1">
      <c r="A936" s="518"/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8"/>
      <c r="AQ936" s="518"/>
      <c r="AR936" s="518"/>
      <c r="AS936" s="518"/>
      <c r="AT936" s="518"/>
      <c r="AU936" s="518"/>
      <c r="AV936" s="518"/>
      <c r="AW936" s="518"/>
      <c r="AX936" s="518"/>
      <c r="AY936" s="518"/>
      <c r="AZ936" s="518"/>
      <c r="BA936" s="518"/>
      <c r="BB936" s="518"/>
      <c r="BC936" s="518"/>
      <c r="BD936" s="518"/>
      <c r="BE936" s="518"/>
    </row>
    <row r="937" spans="1:57" ht="12.75" customHeight="1">
      <c r="A937" s="518"/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8"/>
      <c r="AQ937" s="518"/>
      <c r="AR937" s="518"/>
      <c r="AS937" s="518"/>
      <c r="AT937" s="518"/>
      <c r="AU937" s="518"/>
      <c r="AV937" s="518"/>
      <c r="AW937" s="518"/>
      <c r="AX937" s="518"/>
      <c r="AY937" s="518"/>
      <c r="AZ937" s="518"/>
      <c r="BA937" s="518"/>
      <c r="BB937" s="518"/>
      <c r="BC937" s="518"/>
      <c r="BD937" s="518"/>
      <c r="BE937" s="518"/>
    </row>
    <row r="938" spans="1:57" ht="12.75" customHeight="1">
      <c r="A938" s="518"/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8"/>
      <c r="AQ938" s="518"/>
      <c r="AR938" s="518"/>
      <c r="AS938" s="518"/>
      <c r="AT938" s="518"/>
      <c r="AU938" s="518"/>
      <c r="AV938" s="518"/>
      <c r="AW938" s="518"/>
      <c r="AX938" s="518"/>
      <c r="AY938" s="518"/>
      <c r="AZ938" s="518"/>
      <c r="BA938" s="518"/>
      <c r="BB938" s="518"/>
      <c r="BC938" s="518"/>
      <c r="BD938" s="518"/>
      <c r="BE938" s="518"/>
    </row>
    <row r="939" spans="1:57" ht="12.75" customHeight="1">
      <c r="A939" s="518"/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8"/>
      <c r="AQ939" s="518"/>
      <c r="AR939" s="518"/>
      <c r="AS939" s="518"/>
      <c r="AT939" s="518"/>
      <c r="AU939" s="518"/>
      <c r="AV939" s="518"/>
      <c r="AW939" s="518"/>
      <c r="AX939" s="518"/>
      <c r="AY939" s="518"/>
      <c r="AZ939" s="518"/>
      <c r="BA939" s="518"/>
      <c r="BB939" s="518"/>
      <c r="BC939" s="518"/>
      <c r="BD939" s="518"/>
      <c r="BE939" s="518"/>
    </row>
    <row r="940" spans="1:57" ht="12.75" customHeight="1">
      <c r="A940" s="518"/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8"/>
      <c r="AQ940" s="518"/>
      <c r="AR940" s="518"/>
      <c r="AS940" s="518"/>
      <c r="AT940" s="518"/>
      <c r="AU940" s="518"/>
      <c r="AV940" s="518"/>
      <c r="AW940" s="518"/>
      <c r="AX940" s="518"/>
      <c r="AY940" s="518"/>
      <c r="AZ940" s="518"/>
      <c r="BA940" s="518"/>
      <c r="BB940" s="518"/>
      <c r="BC940" s="518"/>
      <c r="BD940" s="518"/>
      <c r="BE940" s="518"/>
    </row>
    <row r="941" spans="1:57" ht="12.75" customHeight="1">
      <c r="A941" s="518"/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8"/>
      <c r="AQ941" s="518"/>
      <c r="AR941" s="518"/>
      <c r="AS941" s="518"/>
      <c r="AT941" s="518"/>
      <c r="AU941" s="518"/>
      <c r="AV941" s="518"/>
      <c r="AW941" s="518"/>
      <c r="AX941" s="518"/>
      <c r="AY941" s="518"/>
      <c r="AZ941" s="518"/>
      <c r="BA941" s="518"/>
      <c r="BB941" s="518"/>
      <c r="BC941" s="518"/>
      <c r="BD941" s="518"/>
      <c r="BE941" s="518"/>
    </row>
    <row r="942" spans="1:57" ht="12.75" customHeight="1">
      <c r="A942" s="518"/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8"/>
      <c r="AQ942" s="518"/>
      <c r="AR942" s="518"/>
      <c r="AS942" s="518"/>
      <c r="AT942" s="518"/>
      <c r="AU942" s="518"/>
      <c r="AV942" s="518"/>
      <c r="AW942" s="518"/>
      <c r="AX942" s="518"/>
      <c r="AY942" s="518"/>
      <c r="AZ942" s="518"/>
      <c r="BA942" s="518"/>
      <c r="BB942" s="518"/>
      <c r="BC942" s="518"/>
      <c r="BD942" s="518"/>
      <c r="BE942" s="518"/>
    </row>
    <row r="943" spans="1:57" ht="12.75" customHeight="1">
      <c r="A943" s="518"/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8"/>
      <c r="AQ943" s="518"/>
      <c r="AR943" s="518"/>
      <c r="AS943" s="518"/>
      <c r="AT943" s="518"/>
      <c r="AU943" s="518"/>
      <c r="AV943" s="518"/>
      <c r="AW943" s="518"/>
      <c r="AX943" s="518"/>
      <c r="AY943" s="518"/>
      <c r="AZ943" s="518"/>
      <c r="BA943" s="518"/>
      <c r="BB943" s="518"/>
      <c r="BC943" s="518"/>
      <c r="BD943" s="518"/>
      <c r="BE943" s="518"/>
    </row>
    <row r="944" spans="1:57" ht="12.75" customHeight="1">
      <c r="A944" s="518"/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8"/>
      <c r="AQ944" s="518"/>
      <c r="AR944" s="518"/>
      <c r="AS944" s="518"/>
      <c r="AT944" s="518"/>
      <c r="AU944" s="518"/>
      <c r="AV944" s="518"/>
      <c r="AW944" s="518"/>
      <c r="AX944" s="518"/>
      <c r="AY944" s="518"/>
      <c r="AZ944" s="518"/>
      <c r="BA944" s="518"/>
      <c r="BB944" s="518"/>
      <c r="BC944" s="518"/>
      <c r="BD944" s="518"/>
      <c r="BE944" s="518"/>
    </row>
    <row r="945" spans="1:57" ht="12.75" customHeight="1">
      <c r="A945" s="518"/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8"/>
      <c r="AQ945" s="518"/>
      <c r="AR945" s="518"/>
      <c r="AS945" s="518"/>
      <c r="AT945" s="518"/>
      <c r="AU945" s="518"/>
      <c r="AV945" s="518"/>
      <c r="AW945" s="518"/>
      <c r="AX945" s="518"/>
      <c r="AY945" s="518"/>
      <c r="AZ945" s="518"/>
      <c r="BA945" s="518"/>
      <c r="BB945" s="518"/>
      <c r="BC945" s="518"/>
      <c r="BD945" s="518"/>
      <c r="BE945" s="518"/>
    </row>
    <row r="946" spans="1:57" ht="12.75" customHeight="1">
      <c r="A946" s="518"/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8"/>
      <c r="AQ946" s="518"/>
      <c r="AR946" s="518"/>
      <c r="AS946" s="518"/>
      <c r="AT946" s="518"/>
      <c r="AU946" s="518"/>
      <c r="AV946" s="518"/>
      <c r="AW946" s="518"/>
      <c r="AX946" s="518"/>
      <c r="AY946" s="518"/>
      <c r="AZ946" s="518"/>
      <c r="BA946" s="518"/>
      <c r="BB946" s="518"/>
      <c r="BC946" s="518"/>
      <c r="BD946" s="518"/>
      <c r="BE946" s="518"/>
    </row>
    <row r="947" spans="1:57" ht="12.75" customHeight="1">
      <c r="A947" s="518"/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8"/>
      <c r="AQ947" s="518"/>
      <c r="AR947" s="518"/>
      <c r="AS947" s="518"/>
      <c r="AT947" s="518"/>
      <c r="AU947" s="518"/>
      <c r="AV947" s="518"/>
      <c r="AW947" s="518"/>
      <c r="AX947" s="518"/>
      <c r="AY947" s="518"/>
      <c r="AZ947" s="518"/>
      <c r="BA947" s="518"/>
      <c r="BB947" s="518"/>
      <c r="BC947" s="518"/>
      <c r="BD947" s="518"/>
      <c r="BE947" s="518"/>
    </row>
    <row r="948" spans="1:57" ht="12.75" customHeight="1">
      <c r="A948" s="518"/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8"/>
      <c r="AQ948" s="518"/>
      <c r="AR948" s="518"/>
      <c r="AS948" s="518"/>
      <c r="AT948" s="518"/>
      <c r="AU948" s="518"/>
      <c r="AV948" s="518"/>
      <c r="AW948" s="518"/>
      <c r="AX948" s="518"/>
      <c r="AY948" s="518"/>
      <c r="AZ948" s="518"/>
      <c r="BA948" s="518"/>
      <c r="BB948" s="518"/>
      <c r="BC948" s="518"/>
      <c r="BD948" s="518"/>
      <c r="BE948" s="518"/>
    </row>
    <row r="949" spans="1:57" ht="12.75" customHeight="1">
      <c r="A949" s="518"/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8"/>
      <c r="AQ949" s="518"/>
      <c r="AR949" s="518"/>
      <c r="AS949" s="518"/>
      <c r="AT949" s="518"/>
      <c r="AU949" s="518"/>
      <c r="AV949" s="518"/>
      <c r="AW949" s="518"/>
      <c r="AX949" s="518"/>
      <c r="AY949" s="518"/>
      <c r="AZ949" s="518"/>
      <c r="BA949" s="518"/>
      <c r="BB949" s="518"/>
      <c r="BC949" s="518"/>
      <c r="BD949" s="518"/>
      <c r="BE949" s="518"/>
    </row>
    <row r="950" spans="1:57" ht="12.75" customHeight="1">
      <c r="A950" s="518"/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8"/>
      <c r="AQ950" s="518"/>
      <c r="AR950" s="518"/>
      <c r="AS950" s="518"/>
      <c r="AT950" s="518"/>
      <c r="AU950" s="518"/>
      <c r="AV950" s="518"/>
      <c r="AW950" s="518"/>
      <c r="AX950" s="518"/>
      <c r="AY950" s="518"/>
      <c r="AZ950" s="518"/>
      <c r="BA950" s="518"/>
      <c r="BB950" s="518"/>
      <c r="BC950" s="518"/>
      <c r="BD950" s="518"/>
      <c r="BE950" s="518"/>
    </row>
    <row r="951" spans="1:57" ht="12.75" customHeight="1">
      <c r="A951" s="518"/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8"/>
      <c r="AQ951" s="518"/>
      <c r="AR951" s="518"/>
      <c r="AS951" s="518"/>
      <c r="AT951" s="518"/>
      <c r="AU951" s="518"/>
      <c r="AV951" s="518"/>
      <c r="AW951" s="518"/>
      <c r="AX951" s="518"/>
      <c r="AY951" s="518"/>
      <c r="AZ951" s="518"/>
      <c r="BA951" s="518"/>
      <c r="BB951" s="518"/>
      <c r="BC951" s="518"/>
      <c r="BD951" s="518"/>
      <c r="BE951" s="518"/>
    </row>
    <row r="952" spans="1:57" ht="12.75" customHeight="1">
      <c r="A952" s="518"/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8"/>
      <c r="AQ952" s="518"/>
      <c r="AR952" s="518"/>
      <c r="AS952" s="518"/>
      <c r="AT952" s="518"/>
      <c r="AU952" s="518"/>
      <c r="AV952" s="518"/>
      <c r="AW952" s="518"/>
      <c r="AX952" s="518"/>
      <c r="AY952" s="518"/>
      <c r="AZ952" s="518"/>
      <c r="BA952" s="518"/>
      <c r="BB952" s="518"/>
      <c r="BC952" s="518"/>
      <c r="BD952" s="518"/>
      <c r="BE952" s="518"/>
    </row>
    <row r="953" spans="1:57" ht="12.75" customHeight="1">
      <c r="A953" s="518"/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8"/>
      <c r="AQ953" s="518"/>
      <c r="AR953" s="518"/>
      <c r="AS953" s="518"/>
      <c r="AT953" s="518"/>
      <c r="AU953" s="518"/>
      <c r="AV953" s="518"/>
      <c r="AW953" s="518"/>
      <c r="AX953" s="518"/>
      <c r="AY953" s="518"/>
      <c r="AZ953" s="518"/>
      <c r="BA953" s="518"/>
      <c r="BB953" s="518"/>
      <c r="BC953" s="518"/>
      <c r="BD953" s="518"/>
      <c r="BE953" s="518"/>
    </row>
    <row r="954" spans="1:57" ht="12.75" customHeight="1">
      <c r="A954" s="518"/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8"/>
      <c r="AQ954" s="518"/>
      <c r="AR954" s="518"/>
      <c r="AS954" s="518"/>
      <c r="AT954" s="518"/>
      <c r="AU954" s="518"/>
      <c r="AV954" s="518"/>
      <c r="AW954" s="518"/>
      <c r="AX954" s="518"/>
      <c r="AY954" s="518"/>
      <c r="AZ954" s="518"/>
      <c r="BA954" s="518"/>
      <c r="BB954" s="518"/>
      <c r="BC954" s="518"/>
      <c r="BD954" s="518"/>
      <c r="BE954" s="518"/>
    </row>
    <row r="955" spans="1:57" ht="12.75" customHeight="1">
      <c r="A955" s="518"/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8"/>
      <c r="AQ955" s="518"/>
      <c r="AR955" s="518"/>
      <c r="AS955" s="518"/>
      <c r="AT955" s="518"/>
      <c r="AU955" s="518"/>
      <c r="AV955" s="518"/>
      <c r="AW955" s="518"/>
      <c r="AX955" s="518"/>
      <c r="AY955" s="518"/>
      <c r="AZ955" s="518"/>
      <c r="BA955" s="518"/>
      <c r="BB955" s="518"/>
      <c r="BC955" s="518"/>
      <c r="BD955" s="518"/>
      <c r="BE955" s="518"/>
    </row>
    <row r="956" spans="1:57" ht="12.75" customHeight="1">
      <c r="A956" s="518"/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8"/>
      <c r="AQ956" s="518"/>
      <c r="AR956" s="518"/>
      <c r="AS956" s="518"/>
      <c r="AT956" s="518"/>
      <c r="AU956" s="518"/>
      <c r="AV956" s="518"/>
      <c r="AW956" s="518"/>
      <c r="AX956" s="518"/>
      <c r="AY956" s="518"/>
      <c r="AZ956" s="518"/>
      <c r="BA956" s="518"/>
      <c r="BB956" s="518"/>
      <c r="BC956" s="518"/>
      <c r="BD956" s="518"/>
      <c r="BE956" s="518"/>
    </row>
    <row r="957" spans="1:57" ht="12.75" customHeight="1">
      <c r="A957" s="518"/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8"/>
      <c r="AQ957" s="518"/>
      <c r="AR957" s="518"/>
      <c r="AS957" s="518"/>
      <c r="AT957" s="518"/>
      <c r="AU957" s="518"/>
      <c r="AV957" s="518"/>
      <c r="AW957" s="518"/>
      <c r="AX957" s="518"/>
      <c r="AY957" s="518"/>
      <c r="AZ957" s="518"/>
      <c r="BA957" s="518"/>
      <c r="BB957" s="518"/>
      <c r="BC957" s="518"/>
      <c r="BD957" s="518"/>
      <c r="BE957" s="518"/>
    </row>
    <row r="958" spans="1:57" ht="12.75" customHeight="1">
      <c r="A958" s="518"/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8"/>
      <c r="AQ958" s="518"/>
      <c r="AR958" s="518"/>
      <c r="AS958" s="518"/>
      <c r="AT958" s="518"/>
      <c r="AU958" s="518"/>
      <c r="AV958" s="518"/>
      <c r="AW958" s="518"/>
      <c r="AX958" s="518"/>
      <c r="AY958" s="518"/>
      <c r="AZ958" s="518"/>
      <c r="BA958" s="518"/>
      <c r="BB958" s="518"/>
      <c r="BC958" s="518"/>
      <c r="BD958" s="518"/>
      <c r="BE958" s="518"/>
    </row>
    <row r="959" spans="1:57" ht="12.75" customHeight="1">
      <c r="A959" s="518"/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8"/>
      <c r="AQ959" s="518"/>
      <c r="AR959" s="518"/>
      <c r="AS959" s="518"/>
      <c r="AT959" s="518"/>
      <c r="AU959" s="518"/>
      <c r="AV959" s="518"/>
      <c r="AW959" s="518"/>
      <c r="AX959" s="518"/>
      <c r="AY959" s="518"/>
      <c r="AZ959" s="518"/>
      <c r="BA959" s="518"/>
      <c r="BB959" s="518"/>
      <c r="BC959" s="518"/>
      <c r="BD959" s="518"/>
      <c r="BE959" s="518"/>
    </row>
    <row r="960" spans="1:57" ht="12.75" customHeight="1">
      <c r="A960" s="518"/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8"/>
      <c r="AQ960" s="518"/>
      <c r="AR960" s="518"/>
      <c r="AS960" s="518"/>
      <c r="AT960" s="518"/>
      <c r="AU960" s="518"/>
      <c r="AV960" s="518"/>
      <c r="AW960" s="518"/>
      <c r="AX960" s="518"/>
      <c r="AY960" s="518"/>
      <c r="AZ960" s="518"/>
      <c r="BA960" s="518"/>
      <c r="BB960" s="518"/>
      <c r="BC960" s="518"/>
      <c r="BD960" s="518"/>
      <c r="BE960" s="518"/>
    </row>
    <row r="961" spans="1:57" ht="12.75" customHeight="1">
      <c r="A961" s="518"/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8"/>
      <c r="AQ961" s="518"/>
      <c r="AR961" s="518"/>
      <c r="AS961" s="518"/>
      <c r="AT961" s="518"/>
      <c r="AU961" s="518"/>
      <c r="AV961" s="518"/>
      <c r="AW961" s="518"/>
      <c r="AX961" s="518"/>
      <c r="AY961" s="518"/>
      <c r="AZ961" s="518"/>
      <c r="BA961" s="518"/>
      <c r="BB961" s="518"/>
      <c r="BC961" s="518"/>
      <c r="BD961" s="518"/>
      <c r="BE961" s="518"/>
    </row>
    <row r="962" spans="1:57" ht="12.75" customHeight="1">
      <c r="A962" s="518"/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8"/>
      <c r="AQ962" s="518"/>
      <c r="AR962" s="518"/>
      <c r="AS962" s="518"/>
      <c r="AT962" s="518"/>
      <c r="AU962" s="518"/>
      <c r="AV962" s="518"/>
      <c r="AW962" s="518"/>
      <c r="AX962" s="518"/>
      <c r="AY962" s="518"/>
      <c r="AZ962" s="518"/>
      <c r="BA962" s="518"/>
      <c r="BB962" s="518"/>
      <c r="BC962" s="518"/>
      <c r="BD962" s="518"/>
      <c r="BE962" s="518"/>
    </row>
    <row r="963" spans="1:57" ht="12.75" customHeight="1">
      <c r="A963" s="518"/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8"/>
      <c r="AQ963" s="518"/>
      <c r="AR963" s="518"/>
      <c r="AS963" s="518"/>
      <c r="AT963" s="518"/>
      <c r="AU963" s="518"/>
      <c r="AV963" s="518"/>
      <c r="AW963" s="518"/>
      <c r="AX963" s="518"/>
      <c r="AY963" s="518"/>
      <c r="AZ963" s="518"/>
      <c r="BA963" s="518"/>
      <c r="BB963" s="518"/>
      <c r="BC963" s="518"/>
      <c r="BD963" s="518"/>
      <c r="BE963" s="518"/>
    </row>
    <row r="964" spans="1:57" ht="12.75" customHeight="1">
      <c r="A964" s="518"/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8"/>
      <c r="AQ964" s="518"/>
      <c r="AR964" s="518"/>
      <c r="AS964" s="518"/>
      <c r="AT964" s="518"/>
      <c r="AU964" s="518"/>
      <c r="AV964" s="518"/>
      <c r="AW964" s="518"/>
      <c r="AX964" s="518"/>
      <c r="AY964" s="518"/>
      <c r="AZ964" s="518"/>
      <c r="BA964" s="518"/>
      <c r="BB964" s="518"/>
      <c r="BC964" s="518"/>
      <c r="BD964" s="518"/>
      <c r="BE964" s="518"/>
    </row>
    <row r="965" spans="1:57" ht="12.75" customHeight="1">
      <c r="A965" s="518"/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8"/>
      <c r="AQ965" s="518"/>
      <c r="AR965" s="518"/>
      <c r="AS965" s="518"/>
      <c r="AT965" s="518"/>
      <c r="AU965" s="518"/>
      <c r="AV965" s="518"/>
      <c r="AW965" s="518"/>
      <c r="AX965" s="518"/>
      <c r="AY965" s="518"/>
      <c r="AZ965" s="518"/>
      <c r="BA965" s="518"/>
      <c r="BB965" s="518"/>
      <c r="BC965" s="518"/>
      <c r="BD965" s="518"/>
      <c r="BE965" s="518"/>
    </row>
    <row r="966" spans="1:57" ht="12.75" customHeight="1">
      <c r="A966" s="518"/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8"/>
      <c r="AQ966" s="518"/>
      <c r="AR966" s="518"/>
      <c r="AS966" s="518"/>
      <c r="AT966" s="518"/>
      <c r="AU966" s="518"/>
      <c r="AV966" s="518"/>
      <c r="AW966" s="518"/>
      <c r="AX966" s="518"/>
      <c r="AY966" s="518"/>
      <c r="AZ966" s="518"/>
      <c r="BA966" s="518"/>
      <c r="BB966" s="518"/>
      <c r="BC966" s="518"/>
      <c r="BD966" s="518"/>
      <c r="BE966" s="518"/>
    </row>
    <row r="967" spans="1:57" ht="12.75" customHeight="1">
      <c r="A967" s="518"/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8"/>
      <c r="AQ967" s="518"/>
      <c r="AR967" s="518"/>
      <c r="AS967" s="518"/>
      <c r="AT967" s="518"/>
      <c r="AU967" s="518"/>
      <c r="AV967" s="518"/>
      <c r="AW967" s="518"/>
      <c r="AX967" s="518"/>
      <c r="AY967" s="518"/>
      <c r="AZ967" s="518"/>
      <c r="BA967" s="518"/>
      <c r="BB967" s="518"/>
      <c r="BC967" s="518"/>
      <c r="BD967" s="518"/>
      <c r="BE967" s="518"/>
    </row>
    <row r="968" spans="1:57" ht="12.75" customHeight="1">
      <c r="A968" s="518"/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8"/>
      <c r="AQ968" s="518"/>
      <c r="AR968" s="518"/>
      <c r="AS968" s="518"/>
      <c r="AT968" s="518"/>
      <c r="AU968" s="518"/>
      <c r="AV968" s="518"/>
      <c r="AW968" s="518"/>
      <c r="AX968" s="518"/>
      <c r="AY968" s="518"/>
      <c r="AZ968" s="518"/>
      <c r="BA968" s="518"/>
      <c r="BB968" s="518"/>
      <c r="BC968" s="518"/>
      <c r="BD968" s="518"/>
      <c r="BE968" s="518"/>
    </row>
    <row r="969" spans="1:57" ht="12.75" customHeight="1">
      <c r="A969" s="518"/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8"/>
      <c r="AQ969" s="518"/>
      <c r="AR969" s="518"/>
      <c r="AS969" s="518"/>
      <c r="AT969" s="518"/>
      <c r="AU969" s="518"/>
      <c r="AV969" s="518"/>
      <c r="AW969" s="518"/>
      <c r="AX969" s="518"/>
      <c r="AY969" s="518"/>
      <c r="AZ969" s="518"/>
      <c r="BA969" s="518"/>
      <c r="BB969" s="518"/>
      <c r="BC969" s="518"/>
      <c r="BD969" s="518"/>
      <c r="BE969" s="518"/>
    </row>
    <row r="970" spans="1:57" ht="12.75" customHeight="1">
      <c r="A970" s="518"/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8"/>
      <c r="AQ970" s="518"/>
      <c r="AR970" s="518"/>
      <c r="AS970" s="518"/>
      <c r="AT970" s="518"/>
      <c r="AU970" s="518"/>
      <c r="AV970" s="518"/>
      <c r="AW970" s="518"/>
      <c r="AX970" s="518"/>
      <c r="AY970" s="518"/>
      <c r="AZ970" s="518"/>
      <c r="BA970" s="518"/>
      <c r="BB970" s="518"/>
      <c r="BC970" s="518"/>
      <c r="BD970" s="518"/>
      <c r="BE970" s="518"/>
    </row>
    <row r="971" spans="1:57" ht="12.75" customHeight="1">
      <c r="A971" s="518"/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8"/>
      <c r="AQ971" s="518"/>
      <c r="AR971" s="518"/>
      <c r="AS971" s="518"/>
      <c r="AT971" s="518"/>
      <c r="AU971" s="518"/>
      <c r="AV971" s="518"/>
      <c r="AW971" s="518"/>
      <c r="AX971" s="518"/>
      <c r="AY971" s="518"/>
      <c r="AZ971" s="518"/>
      <c r="BA971" s="518"/>
      <c r="BB971" s="518"/>
      <c r="BC971" s="518"/>
      <c r="BD971" s="518"/>
      <c r="BE971" s="518"/>
    </row>
    <row r="972" spans="1:57" ht="12.75" customHeight="1">
      <c r="A972" s="518"/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8"/>
      <c r="AQ972" s="518"/>
      <c r="AR972" s="518"/>
      <c r="AS972" s="518"/>
      <c r="AT972" s="518"/>
      <c r="AU972" s="518"/>
      <c r="AV972" s="518"/>
      <c r="AW972" s="518"/>
      <c r="AX972" s="518"/>
      <c r="AY972" s="518"/>
      <c r="AZ972" s="518"/>
      <c r="BA972" s="518"/>
      <c r="BB972" s="518"/>
      <c r="BC972" s="518"/>
      <c r="BD972" s="518"/>
      <c r="BE972" s="518"/>
    </row>
    <row r="973" spans="1:57" ht="12.75" customHeight="1">
      <c r="A973" s="518"/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8"/>
      <c r="AQ973" s="518"/>
      <c r="AR973" s="518"/>
      <c r="AS973" s="518"/>
      <c r="AT973" s="518"/>
      <c r="AU973" s="518"/>
      <c r="AV973" s="518"/>
      <c r="AW973" s="518"/>
      <c r="AX973" s="518"/>
      <c r="AY973" s="518"/>
      <c r="AZ973" s="518"/>
      <c r="BA973" s="518"/>
      <c r="BB973" s="518"/>
      <c r="BC973" s="518"/>
      <c r="BD973" s="518"/>
      <c r="BE973" s="518"/>
    </row>
    <row r="974" spans="1:57" ht="12.75" customHeight="1">
      <c r="A974" s="518"/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8"/>
      <c r="AQ974" s="518"/>
      <c r="AR974" s="518"/>
      <c r="AS974" s="518"/>
      <c r="AT974" s="518"/>
      <c r="AU974" s="518"/>
      <c r="AV974" s="518"/>
      <c r="AW974" s="518"/>
      <c r="AX974" s="518"/>
      <c r="AY974" s="518"/>
      <c r="AZ974" s="518"/>
      <c r="BA974" s="518"/>
      <c r="BB974" s="518"/>
      <c r="BC974" s="518"/>
      <c r="BD974" s="518"/>
      <c r="BE974" s="518"/>
    </row>
    <row r="975" spans="1:57" ht="12.75" customHeight="1">
      <c r="A975" s="518"/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8"/>
      <c r="AQ975" s="518"/>
      <c r="AR975" s="518"/>
      <c r="AS975" s="518"/>
      <c r="AT975" s="518"/>
      <c r="AU975" s="518"/>
      <c r="AV975" s="518"/>
      <c r="AW975" s="518"/>
      <c r="AX975" s="518"/>
      <c r="AY975" s="518"/>
      <c r="AZ975" s="518"/>
      <c r="BA975" s="518"/>
      <c r="BB975" s="518"/>
      <c r="BC975" s="518"/>
      <c r="BD975" s="518"/>
      <c r="BE975" s="518"/>
    </row>
    <row r="976" spans="1:57" ht="12.75" customHeight="1">
      <c r="A976" s="518"/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8"/>
      <c r="AQ976" s="518"/>
      <c r="AR976" s="518"/>
      <c r="AS976" s="518"/>
      <c r="AT976" s="518"/>
      <c r="AU976" s="518"/>
      <c r="AV976" s="518"/>
      <c r="AW976" s="518"/>
      <c r="AX976" s="518"/>
      <c r="AY976" s="518"/>
      <c r="AZ976" s="518"/>
      <c r="BA976" s="518"/>
      <c r="BB976" s="518"/>
      <c r="BC976" s="518"/>
      <c r="BD976" s="518"/>
      <c r="BE976" s="518"/>
    </row>
    <row r="977" spans="1:57" ht="12.75" customHeight="1">
      <c r="A977" s="518"/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8"/>
      <c r="AQ977" s="518"/>
      <c r="AR977" s="518"/>
      <c r="AS977" s="518"/>
      <c r="AT977" s="518"/>
      <c r="AU977" s="518"/>
      <c r="AV977" s="518"/>
      <c r="AW977" s="518"/>
      <c r="AX977" s="518"/>
      <c r="AY977" s="518"/>
      <c r="AZ977" s="518"/>
      <c r="BA977" s="518"/>
      <c r="BB977" s="518"/>
      <c r="BC977" s="518"/>
      <c r="BD977" s="518"/>
      <c r="BE977" s="518"/>
    </row>
    <row r="978" spans="1:57" ht="12.75" customHeight="1">
      <c r="A978" s="518"/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8"/>
      <c r="AQ978" s="518"/>
      <c r="AR978" s="518"/>
      <c r="AS978" s="518"/>
      <c r="AT978" s="518"/>
      <c r="AU978" s="518"/>
      <c r="AV978" s="518"/>
      <c r="AW978" s="518"/>
      <c r="AX978" s="518"/>
      <c r="AY978" s="518"/>
      <c r="AZ978" s="518"/>
      <c r="BA978" s="518"/>
      <c r="BB978" s="518"/>
      <c r="BC978" s="518"/>
      <c r="BD978" s="518"/>
      <c r="BE978" s="518"/>
    </row>
    <row r="979" spans="1:57" ht="12.75" customHeight="1">
      <c r="A979" s="518"/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8"/>
      <c r="AQ979" s="518"/>
      <c r="AR979" s="518"/>
      <c r="AS979" s="518"/>
      <c r="AT979" s="518"/>
      <c r="AU979" s="518"/>
      <c r="AV979" s="518"/>
      <c r="AW979" s="518"/>
      <c r="AX979" s="518"/>
      <c r="AY979" s="518"/>
      <c r="AZ979" s="518"/>
      <c r="BA979" s="518"/>
      <c r="BB979" s="518"/>
      <c r="BC979" s="518"/>
      <c r="BD979" s="518"/>
      <c r="BE979" s="518"/>
    </row>
    <row r="980" spans="1:57" ht="12.75" customHeight="1">
      <c r="A980" s="518"/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8"/>
      <c r="AQ980" s="518"/>
      <c r="AR980" s="518"/>
      <c r="AS980" s="518"/>
      <c r="AT980" s="518"/>
      <c r="AU980" s="518"/>
      <c r="AV980" s="518"/>
      <c r="AW980" s="518"/>
      <c r="AX980" s="518"/>
      <c r="AY980" s="518"/>
      <c r="AZ980" s="518"/>
      <c r="BA980" s="518"/>
      <c r="BB980" s="518"/>
      <c r="BC980" s="518"/>
      <c r="BD980" s="518"/>
      <c r="BE980" s="518"/>
    </row>
    <row r="981" spans="1:57" ht="12.75" customHeight="1">
      <c r="A981" s="518"/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8"/>
      <c r="AQ981" s="518"/>
      <c r="AR981" s="518"/>
      <c r="AS981" s="518"/>
      <c r="AT981" s="518"/>
      <c r="AU981" s="518"/>
      <c r="AV981" s="518"/>
      <c r="AW981" s="518"/>
      <c r="AX981" s="518"/>
      <c r="AY981" s="518"/>
      <c r="AZ981" s="518"/>
      <c r="BA981" s="518"/>
      <c r="BB981" s="518"/>
      <c r="BC981" s="518"/>
      <c r="BD981" s="518"/>
      <c r="BE981" s="518"/>
    </row>
    <row r="982" spans="1:57" ht="12.75" customHeight="1">
      <c r="A982" s="518"/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8"/>
      <c r="AQ982" s="518"/>
      <c r="AR982" s="518"/>
      <c r="AS982" s="518"/>
      <c r="AT982" s="518"/>
      <c r="AU982" s="518"/>
      <c r="AV982" s="518"/>
      <c r="AW982" s="518"/>
      <c r="AX982" s="518"/>
      <c r="AY982" s="518"/>
      <c r="AZ982" s="518"/>
      <c r="BA982" s="518"/>
      <c r="BB982" s="518"/>
      <c r="BC982" s="518"/>
      <c r="BD982" s="518"/>
      <c r="BE982" s="518"/>
    </row>
    <row r="983" spans="1:57" ht="12.75" customHeight="1">
      <c r="A983" s="518"/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8"/>
      <c r="AQ983" s="518"/>
      <c r="AR983" s="518"/>
      <c r="AS983" s="518"/>
      <c r="AT983" s="518"/>
      <c r="AU983" s="518"/>
      <c r="AV983" s="518"/>
      <c r="AW983" s="518"/>
      <c r="AX983" s="518"/>
      <c r="AY983" s="518"/>
      <c r="AZ983" s="518"/>
      <c r="BA983" s="518"/>
      <c r="BB983" s="518"/>
      <c r="BC983" s="518"/>
      <c r="BD983" s="518"/>
      <c r="BE983" s="518"/>
    </row>
    <row r="984" spans="1:57" ht="12.75" customHeight="1">
      <c r="A984" s="518"/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8"/>
      <c r="AQ984" s="518"/>
      <c r="AR984" s="518"/>
      <c r="AS984" s="518"/>
      <c r="AT984" s="518"/>
      <c r="AU984" s="518"/>
      <c r="AV984" s="518"/>
      <c r="AW984" s="518"/>
      <c r="AX984" s="518"/>
      <c r="AY984" s="518"/>
      <c r="AZ984" s="518"/>
      <c r="BA984" s="518"/>
      <c r="BB984" s="518"/>
      <c r="BC984" s="518"/>
      <c r="BD984" s="518"/>
      <c r="BE984" s="518"/>
    </row>
    <row r="985" spans="1:57" ht="12.75" customHeight="1">
      <c r="A985" s="518"/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8"/>
      <c r="AQ985" s="518"/>
      <c r="AR985" s="518"/>
      <c r="AS985" s="518"/>
      <c r="AT985" s="518"/>
      <c r="AU985" s="518"/>
      <c r="AV985" s="518"/>
      <c r="AW985" s="518"/>
      <c r="AX985" s="518"/>
      <c r="AY985" s="518"/>
      <c r="AZ985" s="518"/>
      <c r="BA985" s="518"/>
      <c r="BB985" s="518"/>
      <c r="BC985" s="518"/>
      <c r="BD985" s="518"/>
      <c r="BE985" s="518"/>
    </row>
    <row r="986" spans="1:57" ht="12.75" customHeight="1">
      <c r="A986" s="518"/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8"/>
      <c r="AQ986" s="518"/>
      <c r="AR986" s="518"/>
      <c r="AS986" s="518"/>
      <c r="AT986" s="518"/>
      <c r="AU986" s="518"/>
      <c r="AV986" s="518"/>
      <c r="AW986" s="518"/>
      <c r="AX986" s="518"/>
      <c r="AY986" s="518"/>
      <c r="AZ986" s="518"/>
      <c r="BA986" s="518"/>
      <c r="BB986" s="518"/>
      <c r="BC986" s="518"/>
      <c r="BD986" s="518"/>
      <c r="BE986" s="518"/>
    </row>
    <row r="987" spans="1:57" ht="12.75" customHeight="1">
      <c r="A987" s="518"/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8"/>
      <c r="AQ987" s="518"/>
      <c r="AR987" s="518"/>
      <c r="AS987" s="518"/>
      <c r="AT987" s="518"/>
      <c r="AU987" s="518"/>
      <c r="AV987" s="518"/>
      <c r="AW987" s="518"/>
      <c r="AX987" s="518"/>
      <c r="AY987" s="518"/>
      <c r="AZ987" s="518"/>
      <c r="BA987" s="518"/>
      <c r="BB987" s="518"/>
      <c r="BC987" s="518"/>
      <c r="BD987" s="518"/>
      <c r="BE987" s="518"/>
    </row>
    <row r="988" spans="1:57" ht="12.75" customHeight="1">
      <c r="A988" s="518"/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8"/>
      <c r="AQ988" s="518"/>
      <c r="AR988" s="518"/>
      <c r="AS988" s="518"/>
      <c r="AT988" s="518"/>
      <c r="AU988" s="518"/>
      <c r="AV988" s="518"/>
      <c r="AW988" s="518"/>
      <c r="AX988" s="518"/>
      <c r="AY988" s="518"/>
      <c r="AZ988" s="518"/>
      <c r="BA988" s="518"/>
      <c r="BB988" s="518"/>
      <c r="BC988" s="518"/>
      <c r="BD988" s="518"/>
      <c r="BE988" s="518"/>
    </row>
    <row r="989" spans="1:57" ht="12.75" customHeight="1">
      <c r="A989" s="518"/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8"/>
      <c r="AQ989" s="518"/>
      <c r="AR989" s="518"/>
      <c r="AS989" s="518"/>
      <c r="AT989" s="518"/>
      <c r="AU989" s="518"/>
      <c r="AV989" s="518"/>
      <c r="AW989" s="518"/>
      <c r="AX989" s="518"/>
      <c r="AY989" s="518"/>
      <c r="AZ989" s="518"/>
      <c r="BA989" s="518"/>
      <c r="BB989" s="518"/>
      <c r="BC989" s="518"/>
      <c r="BD989" s="518"/>
      <c r="BE989" s="518"/>
    </row>
    <row r="990" spans="1:57" ht="12.75" customHeight="1">
      <c r="A990" s="518"/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8"/>
      <c r="AQ990" s="518"/>
      <c r="AR990" s="518"/>
      <c r="AS990" s="518"/>
      <c r="AT990" s="518"/>
      <c r="AU990" s="518"/>
      <c r="AV990" s="518"/>
      <c r="AW990" s="518"/>
      <c r="AX990" s="518"/>
      <c r="AY990" s="518"/>
      <c r="AZ990" s="518"/>
      <c r="BA990" s="518"/>
      <c r="BB990" s="518"/>
      <c r="BC990" s="518"/>
      <c r="BD990" s="518"/>
      <c r="BE990" s="518"/>
    </row>
    <row r="991" spans="1:57" ht="12.75" customHeight="1">
      <c r="A991" s="518"/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8"/>
      <c r="AQ991" s="518"/>
      <c r="AR991" s="518"/>
      <c r="AS991" s="518"/>
      <c r="AT991" s="518"/>
      <c r="AU991" s="518"/>
      <c r="AV991" s="518"/>
      <c r="AW991" s="518"/>
      <c r="AX991" s="518"/>
      <c r="AY991" s="518"/>
      <c r="AZ991" s="518"/>
      <c r="BA991" s="518"/>
      <c r="BB991" s="518"/>
      <c r="BC991" s="518"/>
      <c r="BD991" s="518"/>
      <c r="BE991" s="518"/>
    </row>
    <row r="992" spans="1:57" ht="12.75" customHeight="1">
      <c r="A992" s="518"/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8"/>
      <c r="AQ992" s="518"/>
      <c r="AR992" s="518"/>
      <c r="AS992" s="518"/>
      <c r="AT992" s="518"/>
      <c r="AU992" s="518"/>
      <c r="AV992" s="518"/>
      <c r="AW992" s="518"/>
      <c r="AX992" s="518"/>
      <c r="AY992" s="518"/>
      <c r="AZ992" s="518"/>
      <c r="BA992" s="518"/>
      <c r="BB992" s="518"/>
      <c r="BC992" s="518"/>
      <c r="BD992" s="518"/>
      <c r="BE992" s="518"/>
    </row>
    <row r="993" spans="1:57" ht="12.75" customHeight="1">
      <c r="A993" s="518"/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8"/>
      <c r="AQ993" s="518"/>
      <c r="AR993" s="518"/>
      <c r="AS993" s="518"/>
      <c r="AT993" s="518"/>
      <c r="AU993" s="518"/>
      <c r="AV993" s="518"/>
      <c r="AW993" s="518"/>
      <c r="AX993" s="518"/>
      <c r="AY993" s="518"/>
      <c r="AZ993" s="518"/>
      <c r="BA993" s="518"/>
      <c r="BB993" s="518"/>
      <c r="BC993" s="518"/>
      <c r="BD993" s="518"/>
      <c r="BE993" s="518"/>
    </row>
    <row r="994" spans="1:57" ht="12.75" customHeight="1">
      <c r="A994" s="518"/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8"/>
      <c r="AQ994" s="518"/>
      <c r="AR994" s="518"/>
      <c r="AS994" s="518"/>
      <c r="AT994" s="518"/>
      <c r="AU994" s="518"/>
      <c r="AV994" s="518"/>
      <c r="AW994" s="518"/>
      <c r="AX994" s="518"/>
      <c r="AY994" s="518"/>
      <c r="AZ994" s="518"/>
      <c r="BA994" s="518"/>
      <c r="BB994" s="518"/>
      <c r="BC994" s="518"/>
      <c r="BD994" s="518"/>
      <c r="BE994" s="518"/>
    </row>
    <row r="995" spans="1:57" ht="12.75" customHeight="1">
      <c r="A995" s="518"/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8"/>
      <c r="AQ995" s="518"/>
      <c r="AR995" s="518"/>
      <c r="AS995" s="518"/>
      <c r="AT995" s="518"/>
      <c r="AU995" s="518"/>
      <c r="AV995" s="518"/>
      <c r="AW995" s="518"/>
      <c r="AX995" s="518"/>
      <c r="AY995" s="518"/>
      <c r="AZ995" s="518"/>
      <c r="BA995" s="518"/>
      <c r="BB995" s="518"/>
      <c r="BC995" s="518"/>
      <c r="BD995" s="518"/>
      <c r="BE995" s="518"/>
    </row>
    <row r="996" spans="1:57" ht="12.75" customHeight="1">
      <c r="A996" s="518"/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8"/>
      <c r="AQ996" s="518"/>
      <c r="AR996" s="518"/>
      <c r="AS996" s="518"/>
      <c r="AT996" s="518"/>
      <c r="AU996" s="518"/>
      <c r="AV996" s="518"/>
      <c r="AW996" s="518"/>
      <c r="AX996" s="518"/>
      <c r="AY996" s="518"/>
      <c r="AZ996" s="518"/>
      <c r="BA996" s="518"/>
      <c r="BB996" s="518"/>
      <c r="BC996" s="518"/>
      <c r="BD996" s="518"/>
      <c r="BE996" s="518"/>
    </row>
    <row r="997" spans="1:57" ht="12.75" customHeight="1">
      <c r="A997" s="518"/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8"/>
      <c r="AQ997" s="518"/>
      <c r="AR997" s="518"/>
      <c r="AS997" s="518"/>
      <c r="AT997" s="518"/>
      <c r="AU997" s="518"/>
      <c r="AV997" s="518"/>
      <c r="AW997" s="518"/>
      <c r="AX997" s="518"/>
      <c r="AY997" s="518"/>
      <c r="AZ997" s="518"/>
      <c r="BA997" s="518"/>
      <c r="BB997" s="518"/>
      <c r="BC997" s="518"/>
      <c r="BD997" s="518"/>
      <c r="BE997" s="518"/>
    </row>
    <row r="998" spans="1:57" ht="12.75" customHeight="1">
      <c r="A998" s="518"/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8"/>
      <c r="AQ998" s="518"/>
      <c r="AR998" s="518"/>
      <c r="AS998" s="518"/>
      <c r="AT998" s="518"/>
      <c r="AU998" s="518"/>
      <c r="AV998" s="518"/>
      <c r="AW998" s="518"/>
      <c r="AX998" s="518"/>
      <c r="AY998" s="518"/>
      <c r="AZ998" s="518"/>
      <c r="BA998" s="518"/>
      <c r="BB998" s="518"/>
      <c r="BC998" s="518"/>
      <c r="BD998" s="518"/>
      <c r="BE998" s="518"/>
    </row>
    <row r="999" spans="1:57" ht="12.75" customHeight="1">
      <c r="A999" s="518"/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8"/>
      <c r="AQ999" s="518"/>
      <c r="AR999" s="518"/>
      <c r="AS999" s="518"/>
      <c r="AT999" s="518"/>
      <c r="AU999" s="518"/>
      <c r="AV999" s="518"/>
      <c r="AW999" s="518"/>
      <c r="AX999" s="518"/>
      <c r="AY999" s="518"/>
      <c r="AZ999" s="518"/>
      <c r="BA999" s="518"/>
      <c r="BB999" s="518"/>
      <c r="BC999" s="518"/>
      <c r="BD999" s="518"/>
      <c r="BE999" s="518"/>
    </row>
    <row r="1000" spans="1:57" ht="12.75" customHeight="1">
      <c r="A1000" s="518"/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8"/>
      <c r="AQ1000" s="518"/>
      <c r="AR1000" s="518"/>
      <c r="AS1000" s="518"/>
      <c r="AT1000" s="518"/>
      <c r="AU1000" s="518"/>
      <c r="AV1000" s="518"/>
      <c r="AW1000" s="518"/>
      <c r="AX1000" s="518"/>
      <c r="AY1000" s="518"/>
      <c r="AZ1000" s="518"/>
      <c r="BA1000" s="518"/>
      <c r="BB1000" s="518"/>
      <c r="BC1000" s="518"/>
      <c r="BD1000" s="518"/>
      <c r="BE1000" s="518"/>
    </row>
    <row r="1001" spans="1:57" ht="12.75" customHeight="1">
      <c r="A1001" s="518"/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8"/>
      <c r="AQ1001" s="518"/>
      <c r="AR1001" s="518"/>
      <c r="AS1001" s="518"/>
      <c r="AT1001" s="518"/>
      <c r="AU1001" s="518"/>
      <c r="AV1001" s="518"/>
      <c r="AW1001" s="518"/>
      <c r="AX1001" s="518"/>
      <c r="AY1001" s="518"/>
      <c r="AZ1001" s="518"/>
      <c r="BA1001" s="518"/>
      <c r="BB1001" s="518"/>
      <c r="BC1001" s="518"/>
      <c r="BD1001" s="518"/>
      <c r="BE1001" s="518"/>
    </row>
    <row r="1002" spans="1:57" ht="12.75" customHeight="1">
      <c r="A1002" s="518"/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8"/>
      <c r="AQ1002" s="518"/>
      <c r="AR1002" s="518"/>
      <c r="AS1002" s="518"/>
      <c r="AT1002" s="518"/>
      <c r="AU1002" s="518"/>
      <c r="AV1002" s="518"/>
      <c r="AW1002" s="518"/>
      <c r="AX1002" s="518"/>
      <c r="AY1002" s="518"/>
      <c r="AZ1002" s="518"/>
      <c r="BA1002" s="518"/>
      <c r="BB1002" s="518"/>
      <c r="BC1002" s="518"/>
      <c r="BD1002" s="518"/>
      <c r="BE1002" s="518"/>
    </row>
    <row r="1003" spans="1:57" ht="12.75" customHeight="1">
      <c r="A1003" s="518"/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8"/>
      <c r="AQ1003" s="518"/>
      <c r="AR1003" s="518"/>
      <c r="AS1003" s="518"/>
      <c r="AT1003" s="518"/>
      <c r="AU1003" s="518"/>
      <c r="AV1003" s="518"/>
      <c r="AW1003" s="518"/>
      <c r="AX1003" s="518"/>
      <c r="AY1003" s="518"/>
      <c r="AZ1003" s="518"/>
      <c r="BA1003" s="518"/>
      <c r="BB1003" s="518"/>
      <c r="BC1003" s="518"/>
      <c r="BD1003" s="518"/>
      <c r="BE1003" s="518"/>
    </row>
    <row r="1004" spans="1:57" ht="12.75" customHeight="1">
      <c r="A1004" s="518"/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8"/>
      <c r="AQ1004" s="518"/>
      <c r="AR1004" s="518"/>
      <c r="AS1004" s="518"/>
      <c r="AT1004" s="518"/>
      <c r="AU1004" s="518"/>
      <c r="AV1004" s="518"/>
      <c r="AW1004" s="518"/>
      <c r="AX1004" s="518"/>
      <c r="AY1004" s="518"/>
      <c r="AZ1004" s="518"/>
      <c r="BA1004" s="518"/>
      <c r="BB1004" s="518"/>
      <c r="BC1004" s="518"/>
      <c r="BD1004" s="518"/>
      <c r="BE1004" s="518"/>
    </row>
    <row r="1005" spans="1:57" ht="12.75" customHeight="1">
      <c r="A1005" s="518"/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8"/>
      <c r="AQ1005" s="518"/>
      <c r="AR1005" s="518"/>
      <c r="AS1005" s="518"/>
      <c r="AT1005" s="518"/>
      <c r="AU1005" s="518"/>
      <c r="AV1005" s="518"/>
      <c r="AW1005" s="518"/>
      <c r="AX1005" s="518"/>
      <c r="AY1005" s="518"/>
      <c r="AZ1005" s="518"/>
      <c r="BA1005" s="518"/>
      <c r="BB1005" s="518"/>
      <c r="BC1005" s="518"/>
      <c r="BD1005" s="518"/>
      <c r="BE1005" s="518"/>
    </row>
  </sheetData>
  <mergeCells count="50">
    <mergeCell ref="I4:I5"/>
    <mergeCell ref="C4:C5"/>
    <mergeCell ref="D4:D5"/>
    <mergeCell ref="E4:E5"/>
    <mergeCell ref="F4:F5"/>
    <mergeCell ref="G4:G5"/>
    <mergeCell ref="V4:V5"/>
    <mergeCell ref="J4:J5"/>
    <mergeCell ref="K4:K5"/>
    <mergeCell ref="L4:L5"/>
    <mergeCell ref="M4:M5"/>
    <mergeCell ref="O4:O5"/>
    <mergeCell ref="P4:P5"/>
    <mergeCell ref="Q4:Q5"/>
    <mergeCell ref="R4:R5"/>
    <mergeCell ref="S4:S5"/>
    <mergeCell ref="T4:T5"/>
    <mergeCell ref="U4:U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T4:AT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BA4:BA5"/>
    <mergeCell ref="BB4:BB5"/>
    <mergeCell ref="AU4:AU5"/>
    <mergeCell ref="AV4:AV5"/>
    <mergeCell ref="AW4:AW5"/>
    <mergeCell ref="AX4:AX5"/>
    <mergeCell ref="AY4:AY5"/>
    <mergeCell ref="AZ4:AZ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724A-1399-4EA7-9F13-62257DB8C804}">
  <sheetPr>
    <tabColor rgb="FF92D050"/>
  </sheetPr>
  <dimension ref="A2:AG91"/>
  <sheetViews>
    <sheetView showGridLines="0" zoomScale="70" zoomScaleNormal="70" workbookViewId="0">
      <pane xSplit="3" ySplit="3" topLeftCell="E4" activePane="bottomRight" state="frozen"/>
      <selection pane="bottomRight" activeCell="O11" sqref="O11"/>
      <selection pane="bottomLeft" activeCell="A4" sqref="A4"/>
      <selection pane="topRight" activeCell="D1" sqref="D1"/>
    </sheetView>
  </sheetViews>
  <sheetFormatPr defaultRowHeight="12.6" customHeight="1"/>
  <cols>
    <col min="2" max="2" width="2.5703125" customWidth="1"/>
    <col min="3" max="3" width="40.42578125" bestFit="1" customWidth="1"/>
    <col min="4" max="4" width="5.42578125" customWidth="1"/>
    <col min="5" max="5" width="19.5703125" customWidth="1"/>
    <col min="6" max="6" width="5.42578125" customWidth="1"/>
    <col min="7" max="7" width="16.42578125" hidden="1" customWidth="1"/>
    <col min="8" max="8" width="6.42578125" hidden="1" customWidth="1"/>
    <col min="9" max="9" width="16.42578125" hidden="1" customWidth="1"/>
    <col min="10" max="10" width="6" hidden="1" customWidth="1"/>
    <col min="11" max="11" width="22.42578125" hidden="1" customWidth="1"/>
    <col min="12" max="12" width="7.5703125" hidden="1" customWidth="1"/>
    <col min="13" max="13" width="16.42578125" hidden="1" customWidth="1"/>
    <col min="14" max="14" width="5.42578125" hidden="1" customWidth="1"/>
    <col min="15" max="15" width="19.42578125" bestFit="1" customWidth="1"/>
    <col min="16" max="16" width="8.5703125" customWidth="1"/>
    <col min="17" max="17" width="3.42578125" customWidth="1"/>
    <col min="18" max="18" width="37.5703125" customWidth="1"/>
    <col min="19" max="19" width="3.42578125" customWidth="1"/>
    <col min="20" max="20" width="8.5703125" customWidth="1"/>
    <col min="21" max="21" width="26.5703125" customWidth="1"/>
    <col min="22" max="22" width="22.5703125" customWidth="1"/>
    <col min="23" max="23" width="15.85546875" bestFit="1" customWidth="1"/>
    <col min="24" max="24" width="17.5703125" bestFit="1" customWidth="1"/>
    <col min="26" max="26" width="17.5703125" bestFit="1" customWidth="1"/>
    <col min="28" max="28" width="16.42578125" bestFit="1" customWidth="1"/>
    <col min="30" max="30" width="16.42578125" bestFit="1" customWidth="1"/>
    <col min="31" max="31" width="4.42578125" customWidth="1"/>
    <col min="32" max="32" width="20" customWidth="1"/>
  </cols>
  <sheetData>
    <row r="2" spans="2:33" ht="12.6" customHeight="1">
      <c r="B2" s="796"/>
      <c r="C2" s="797"/>
      <c r="D2" s="1656"/>
      <c r="E2" s="798" t="s">
        <v>49</v>
      </c>
      <c r="F2" s="1656"/>
      <c r="G2" s="798" t="s">
        <v>1546</v>
      </c>
      <c r="H2" s="799"/>
      <c r="I2" s="798" t="s">
        <v>1546</v>
      </c>
      <c r="J2" s="797"/>
      <c r="K2" s="798" t="s">
        <v>1547</v>
      </c>
      <c r="L2" s="799"/>
      <c r="M2" s="798" t="s">
        <v>1547</v>
      </c>
      <c r="N2" s="798"/>
      <c r="O2" s="798" t="s">
        <v>49</v>
      </c>
      <c r="P2" s="801"/>
      <c r="Q2" s="801"/>
      <c r="R2" s="801"/>
      <c r="V2" s="798" t="s">
        <v>49</v>
      </c>
      <c r="X2" s="798" t="s">
        <v>1546</v>
      </c>
      <c r="Y2" s="799"/>
      <c r="Z2" s="798" t="s">
        <v>1546</v>
      </c>
      <c r="AB2" s="798" t="s">
        <v>1547</v>
      </c>
      <c r="AC2" s="799"/>
      <c r="AD2" s="798" t="s">
        <v>1547</v>
      </c>
      <c r="AE2" s="798"/>
      <c r="AF2" s="798" t="s">
        <v>1547</v>
      </c>
    </row>
    <row r="3" spans="2:33" ht="12.6" customHeight="1">
      <c r="B3" s="796"/>
      <c r="C3" s="797"/>
      <c r="D3" s="1656"/>
      <c r="E3" s="802">
        <v>2024</v>
      </c>
      <c r="F3" s="1656"/>
      <c r="G3" s="802">
        <v>2024</v>
      </c>
      <c r="H3" s="799"/>
      <c r="I3" s="802">
        <v>2023</v>
      </c>
      <c r="J3" s="797"/>
      <c r="K3" s="802">
        <v>2024</v>
      </c>
      <c r="L3" s="799"/>
      <c r="M3" s="802">
        <v>2023</v>
      </c>
      <c r="N3" s="798"/>
      <c r="O3" s="802">
        <v>2023</v>
      </c>
      <c r="P3" s="801"/>
      <c r="Q3" s="801"/>
      <c r="R3" s="801"/>
      <c r="V3" s="802">
        <v>2024</v>
      </c>
      <c r="X3" s="802">
        <v>2024</v>
      </c>
      <c r="Y3" s="799"/>
      <c r="Z3" s="802">
        <v>2023</v>
      </c>
      <c r="AB3" s="802">
        <v>2024</v>
      </c>
      <c r="AC3" s="799"/>
      <c r="AD3" s="802">
        <v>2023</v>
      </c>
      <c r="AE3" s="798"/>
      <c r="AF3" s="802">
        <v>2023</v>
      </c>
    </row>
    <row r="4" spans="2:33" ht="12.6" customHeight="1">
      <c r="B4" s="796"/>
      <c r="C4" s="797"/>
      <c r="D4" s="1656"/>
      <c r="E4" s="797"/>
      <c r="F4" s="1656"/>
      <c r="G4" s="797"/>
      <c r="H4" s="797"/>
      <c r="I4" s="797"/>
      <c r="J4" s="797"/>
      <c r="K4" s="803"/>
      <c r="L4" s="803"/>
      <c r="M4" s="803"/>
      <c r="N4" s="1649"/>
      <c r="O4" s="803"/>
      <c r="P4" s="801"/>
      <c r="Q4" s="801"/>
      <c r="R4" s="801"/>
    </row>
    <row r="5" spans="2:33" ht="12.6" customHeight="1">
      <c r="B5" s="796" t="s">
        <v>1548</v>
      </c>
      <c r="C5" s="804"/>
      <c r="D5" s="1657"/>
      <c r="E5" s="804"/>
      <c r="F5" s="1657"/>
      <c r="G5" s="804"/>
      <c r="H5" s="804"/>
      <c r="I5" s="804"/>
      <c r="J5" s="804"/>
      <c r="K5" s="805"/>
      <c r="L5" s="805"/>
      <c r="M5" s="805"/>
      <c r="N5" s="1149"/>
      <c r="O5" s="805"/>
      <c r="P5" s="800"/>
      <c r="Q5" s="806" t="s">
        <v>1549</v>
      </c>
      <c r="R5" s="807"/>
    </row>
    <row r="6" spans="2:33" ht="12.6" customHeight="1">
      <c r="B6" s="796" t="s">
        <v>1550</v>
      </c>
      <c r="C6" s="796"/>
      <c r="D6" s="1658"/>
      <c r="E6" s="796"/>
      <c r="F6" s="1658"/>
      <c r="G6" s="796"/>
      <c r="H6" s="796"/>
      <c r="I6" s="796"/>
      <c r="J6" s="796"/>
      <c r="K6" s="805"/>
      <c r="L6" s="805"/>
      <c r="M6" s="805"/>
      <c r="N6" s="1149"/>
      <c r="O6" s="805"/>
      <c r="P6" s="800"/>
      <c r="Q6" s="806" t="s">
        <v>1551</v>
      </c>
      <c r="R6" s="806"/>
    </row>
    <row r="7" spans="2:33" ht="12.6" customHeight="1">
      <c r="B7" s="804"/>
      <c r="C7" s="808" t="s">
        <v>1552</v>
      </c>
      <c r="D7" s="1659"/>
      <c r="E7" s="805">
        <f>'WS Konsol'!M557</f>
        <v>186576651865</v>
      </c>
      <c r="F7" s="1659"/>
      <c r="G7" s="805">
        <f>'WS Konsol'!W557</f>
        <v>186576651865</v>
      </c>
      <c r="H7" s="805"/>
      <c r="I7" s="1173">
        <f>'WS Konsol'!AT557</f>
        <v>111840608096</v>
      </c>
      <c r="J7" s="808"/>
      <c r="K7" s="805">
        <f>'WS Konsol'!AF557</f>
        <v>186576651865</v>
      </c>
      <c r="L7" s="805"/>
      <c r="M7" s="1173">
        <f>'WS Konsol'!BC557</f>
        <v>111840608096</v>
      </c>
      <c r="N7" s="1149"/>
      <c r="O7" s="1173">
        <f>'WS Konsol'!AI557</f>
        <v>111840608096</v>
      </c>
      <c r="P7" s="800"/>
      <c r="Q7" s="807"/>
      <c r="R7" s="809" t="s">
        <v>1553</v>
      </c>
      <c r="S7" s="210"/>
    </row>
    <row r="8" spans="2:33" ht="12.6" customHeight="1">
      <c r="B8" s="804"/>
      <c r="C8" s="808" t="s">
        <v>1554</v>
      </c>
      <c r="D8" s="1659"/>
      <c r="E8" s="810">
        <f>'WS Konsol'!M558-14855385131.84</f>
        <v>169321624566.47</v>
      </c>
      <c r="F8" s="1659"/>
      <c r="G8" s="810">
        <f>'WS Konsol'!W558</f>
        <v>108020558221</v>
      </c>
      <c r="H8" s="805"/>
      <c r="I8" s="1171">
        <f>'WS Konsol'!AT558</f>
        <v>134610945934</v>
      </c>
      <c r="J8" s="808"/>
      <c r="K8" s="810">
        <f>'WS Konsol'!AF558</f>
        <v>51337557348</v>
      </c>
      <c r="L8" s="805"/>
      <c r="M8" s="1171">
        <f>'WS Konsol'!BC558</f>
        <v>128958313056</v>
      </c>
      <c r="N8" s="1149"/>
      <c r="O8" s="1171">
        <f>'WS Konsol'!AI558-13709398626</f>
        <v>150439090988</v>
      </c>
      <c r="P8" s="800"/>
      <c r="Q8" s="807"/>
      <c r="R8" s="809" t="s">
        <v>1555</v>
      </c>
      <c r="S8" s="912"/>
      <c r="U8" s="912">
        <v>250585686544</v>
      </c>
    </row>
    <row r="9" spans="2:33" ht="12.6" customHeight="1">
      <c r="B9" s="796"/>
      <c r="C9" s="811" t="s">
        <v>869</v>
      </c>
      <c r="D9" s="1660"/>
      <c r="E9" s="812">
        <f>SUM(E7:E8)-E10</f>
        <v>343864757664.46997</v>
      </c>
      <c r="F9" s="1660"/>
      <c r="G9" s="812">
        <f>SUM(G7:G8)-G10</f>
        <v>283887994614</v>
      </c>
      <c r="H9" s="812"/>
      <c r="I9" s="812">
        <f>SUM(I7:I8)-I10</f>
        <v>238487883107</v>
      </c>
      <c r="J9" s="811"/>
      <c r="K9" s="812">
        <f>SUM(K7:K8)-K10</f>
        <v>229425359992</v>
      </c>
      <c r="L9" s="812"/>
      <c r="M9" s="812">
        <f>SUM(M7:M8)-M10</f>
        <v>235647788871</v>
      </c>
      <c r="N9" s="1650"/>
      <c r="O9" s="812">
        <f>SUM(O7:O8)-O10</f>
        <v>256298147089</v>
      </c>
      <c r="P9" s="813"/>
      <c r="Q9" s="806"/>
      <c r="R9" s="814" t="s">
        <v>1556</v>
      </c>
      <c r="U9" s="210">
        <f>SUM(E7:E8)</f>
        <v>355898276431.46997</v>
      </c>
    </row>
    <row r="10" spans="2:33" ht="12.6" customHeight="1">
      <c r="B10" s="804"/>
      <c r="C10" s="808" t="s">
        <v>1557</v>
      </c>
      <c r="D10" s="1659"/>
      <c r="E10" s="810">
        <f>'WS Konsol'!M560</f>
        <v>12033518767</v>
      </c>
      <c r="F10" s="1659"/>
      <c r="G10" s="810">
        <f>'WS Konsol'!W560</f>
        <v>10709215472</v>
      </c>
      <c r="H10" s="805"/>
      <c r="I10" s="1171">
        <f>'WS Konsol'!AT560</f>
        <v>7963670923</v>
      </c>
      <c r="J10" s="808"/>
      <c r="K10" s="810">
        <f>'WS Konsol'!AF560</f>
        <v>8488849221</v>
      </c>
      <c r="L10" s="805"/>
      <c r="M10" s="1171">
        <f>'WS Konsol'!BC560</f>
        <v>5151132281</v>
      </c>
      <c r="N10" s="1149"/>
      <c r="O10" s="1171">
        <f>'WS Konsol'!AI560</f>
        <v>5981551995</v>
      </c>
      <c r="P10" s="800"/>
      <c r="Q10" s="807"/>
      <c r="R10" s="809" t="s">
        <v>1558</v>
      </c>
      <c r="V10" s="912">
        <v>121069513913</v>
      </c>
    </row>
    <row r="11" spans="2:33" ht="12.6" customHeight="1">
      <c r="B11" s="796"/>
      <c r="C11" s="811" t="s">
        <v>1559</v>
      </c>
      <c r="D11" s="1660"/>
      <c r="E11" s="812">
        <f>SUM(E9:E10)</f>
        <v>355898276431.46997</v>
      </c>
      <c r="F11" s="1660"/>
      <c r="G11" s="812">
        <f>SUM(G9:G10)</f>
        <v>294597210086</v>
      </c>
      <c r="H11" s="812"/>
      <c r="I11" s="812">
        <f>SUM(I9:I10)</f>
        <v>246451554030</v>
      </c>
      <c r="J11" s="811"/>
      <c r="K11" s="812">
        <f>SUM(K9:K10)</f>
        <v>237914209213</v>
      </c>
      <c r="L11" s="812"/>
      <c r="M11" s="812">
        <f>SUM(M9:M10)</f>
        <v>240798921152</v>
      </c>
      <c r="N11" s="1650"/>
      <c r="O11" s="812">
        <f>SUM(O9:O10)</f>
        <v>262279699084</v>
      </c>
      <c r="P11" s="813"/>
      <c r="Q11" s="806"/>
      <c r="R11" s="814" t="s">
        <v>871</v>
      </c>
      <c r="U11" s="912">
        <v>238891674004</v>
      </c>
      <c r="V11" s="210">
        <f>O11-U11</f>
        <v>23388025080</v>
      </c>
      <c r="W11" s="210">
        <f>V11+V10</f>
        <v>144457538993</v>
      </c>
      <c r="AB11" t="s">
        <v>855</v>
      </c>
      <c r="AD11" t="s">
        <v>855</v>
      </c>
      <c r="AF11" t="s">
        <v>855</v>
      </c>
    </row>
    <row r="12" spans="2:33" ht="12.6" customHeight="1">
      <c r="B12" s="804"/>
      <c r="C12" s="808" t="s">
        <v>1560</v>
      </c>
      <c r="D12" s="1659"/>
      <c r="E12" s="815">
        <f>'WS Konsol'!M562</f>
        <v>-182379361893</v>
      </c>
      <c r="F12" s="1659"/>
      <c r="G12" s="815">
        <f>'WS Konsol'!W562</f>
        <v>-218415919461</v>
      </c>
      <c r="H12" s="816"/>
      <c r="I12" s="1174">
        <f>'WS Konsol'!AT562</f>
        <v>-181106444070</v>
      </c>
      <c r="J12" s="808"/>
      <c r="K12" s="815">
        <f>'WS Konsol'!AF562</f>
        <v>-188896283476</v>
      </c>
      <c r="L12" s="816"/>
      <c r="M12" s="1174">
        <f>'WS Konsol'!BC562</f>
        <v>-183763678252</v>
      </c>
      <c r="N12" s="1149"/>
      <c r="O12" s="1174">
        <f>'WS Konsol'!AI562</f>
        <v>-186576651865</v>
      </c>
      <c r="P12" s="800"/>
      <c r="Q12" s="807"/>
      <c r="R12" s="809" t="s">
        <v>1561</v>
      </c>
      <c r="V12" s="121">
        <f>'WS Konsol'!M144</f>
        <v>182379361893</v>
      </c>
      <c r="X12" s="121">
        <f>'WS Konsol'!W144</f>
        <v>218415919461</v>
      </c>
      <c r="Z12" s="121">
        <f>'WS Konsol'!AT144</f>
        <v>181106444070</v>
      </c>
      <c r="AB12" s="121">
        <f>'WS Konsol'!AF144</f>
        <v>188896283476</v>
      </c>
      <c r="AD12" s="121">
        <f>'WS Konsol'!BC144</f>
        <v>183763678252</v>
      </c>
      <c r="AE12" s="121"/>
      <c r="AF12" s="121">
        <f>'WS Konsol'!AI144</f>
        <v>186576651865</v>
      </c>
    </row>
    <row r="13" spans="2:33" ht="12.6" customHeight="1">
      <c r="B13" s="796"/>
      <c r="C13" s="811" t="s">
        <v>1562</v>
      </c>
      <c r="D13" s="1660"/>
      <c r="E13" s="812">
        <f>SUM(E11:E12)</f>
        <v>173518914538.46997</v>
      </c>
      <c r="F13" s="1660"/>
      <c r="G13" s="812">
        <f>SUM(G11:G12)</f>
        <v>76181290625</v>
      </c>
      <c r="H13" s="812"/>
      <c r="I13" s="812">
        <f>SUM(I11:I12)</f>
        <v>65345109960</v>
      </c>
      <c r="J13" s="811"/>
      <c r="K13" s="812">
        <f>SUM(K11:K12)</f>
        <v>49017925737</v>
      </c>
      <c r="L13" s="812"/>
      <c r="M13" s="812">
        <f>SUM(M11:M12)</f>
        <v>57035242900</v>
      </c>
      <c r="N13" s="1650"/>
      <c r="O13" s="812">
        <f>SUM(O11:O12)</f>
        <v>75703047219</v>
      </c>
      <c r="P13" s="813"/>
      <c r="Q13" s="806"/>
      <c r="R13" s="814" t="s">
        <v>873</v>
      </c>
      <c r="V13" s="854">
        <f>V12+E12</f>
        <v>0</v>
      </c>
      <c r="X13" s="854">
        <f>X12+G12</f>
        <v>0</v>
      </c>
      <c r="Y13" s="849"/>
      <c r="Z13" s="855">
        <f>I12+Z12</f>
        <v>0</v>
      </c>
      <c r="AB13" s="854">
        <f>AB12+K12</f>
        <v>0</v>
      </c>
      <c r="AC13" s="849"/>
      <c r="AD13" s="855">
        <f>M12+AD12</f>
        <v>0</v>
      </c>
      <c r="AE13" s="855"/>
      <c r="AF13" s="855">
        <f>O12+AF12</f>
        <v>0</v>
      </c>
      <c r="AG13" s="849" t="s">
        <v>1563</v>
      </c>
    </row>
    <row r="14" spans="2:33" ht="12.6" customHeight="1">
      <c r="B14" s="804"/>
      <c r="C14" s="808" t="s">
        <v>1564</v>
      </c>
      <c r="D14" s="1659"/>
      <c r="E14" s="810">
        <f>'WS Konsol'!M564</f>
        <v>-12033518767</v>
      </c>
      <c r="F14" s="1659"/>
      <c r="G14" s="810">
        <f>'WS Konsol'!W564</f>
        <v>-10709215472</v>
      </c>
      <c r="H14" s="805"/>
      <c r="I14" s="810">
        <f>'WS Konsol'!AT564</f>
        <v>-7963670923</v>
      </c>
      <c r="J14" s="808"/>
      <c r="K14" s="810">
        <f>'WS Konsol'!AF564</f>
        <v>-8488849221</v>
      </c>
      <c r="L14" s="805"/>
      <c r="M14" s="810">
        <f>'WS Konsol'!BC564</f>
        <v>-5151132281</v>
      </c>
      <c r="N14" s="1149"/>
      <c r="O14" s="810">
        <v>-11694012540</v>
      </c>
      <c r="P14" s="800"/>
      <c r="Q14" s="807"/>
      <c r="R14" s="809" t="s">
        <v>1565</v>
      </c>
    </row>
    <row r="15" spans="2:33" ht="12.6" customHeight="1">
      <c r="B15" s="796"/>
      <c r="C15" s="811" t="s">
        <v>1566</v>
      </c>
      <c r="D15" s="1660"/>
      <c r="E15" s="1184">
        <f>SUM(E13:E14)</f>
        <v>161485395771.46997</v>
      </c>
      <c r="F15" s="1660"/>
      <c r="G15" s="1184">
        <f>SUM(G13:G14)</f>
        <v>65472075153</v>
      </c>
      <c r="H15" s="812"/>
      <c r="I15" s="817">
        <f>SUM(I13:I14)</f>
        <v>57381439037</v>
      </c>
      <c r="J15" s="811"/>
      <c r="K15" s="1184">
        <f>SUM(K13:K14)</f>
        <v>40529076516</v>
      </c>
      <c r="L15" s="812"/>
      <c r="M15" s="817">
        <f>SUM(M13:M14)</f>
        <v>51884110619</v>
      </c>
      <c r="N15" s="1650"/>
      <c r="O15" s="817">
        <f>SUM(O13:O14)</f>
        <v>64009034679</v>
      </c>
      <c r="P15" s="813"/>
      <c r="Q15" s="806"/>
      <c r="R15" s="814" t="s">
        <v>1567</v>
      </c>
    </row>
    <row r="16" spans="2:33" ht="12.6" customHeight="1">
      <c r="B16" s="796"/>
      <c r="C16" s="811"/>
      <c r="D16" s="1660"/>
      <c r="E16" s="812"/>
      <c r="F16" s="1660"/>
      <c r="G16" s="812"/>
      <c r="H16" s="812"/>
      <c r="I16" s="812"/>
      <c r="J16" s="811"/>
      <c r="K16" s="812"/>
      <c r="L16" s="812"/>
      <c r="M16" s="812"/>
      <c r="N16" s="1650"/>
      <c r="O16" s="812"/>
      <c r="P16" s="813"/>
      <c r="Q16" s="806"/>
      <c r="R16" s="814"/>
    </row>
    <row r="17" spans="2:33" ht="12.6" customHeight="1">
      <c r="B17" s="796"/>
      <c r="C17" s="811"/>
      <c r="D17" s="1660"/>
      <c r="E17" s="812">
        <f>'WS Konsol'!M565</f>
        <v>176340780903.31</v>
      </c>
      <c r="F17" s="1660"/>
      <c r="G17" s="812">
        <f>'WS Konsol'!W565</f>
        <v>65472075153</v>
      </c>
      <c r="H17" s="812"/>
      <c r="I17" s="812">
        <f>'WS Konsol'!AT565</f>
        <v>57381439037</v>
      </c>
      <c r="J17" s="811"/>
      <c r="K17" s="1587">
        <f>'WS Konsol'!AF565</f>
        <v>40529076516</v>
      </c>
      <c r="L17" s="812"/>
      <c r="M17" s="812">
        <f>'WS Konsol'!BC565</f>
        <v>51884110619</v>
      </c>
      <c r="N17" s="1650"/>
      <c r="O17" s="812"/>
      <c r="P17" s="813"/>
      <c r="Q17" s="806"/>
      <c r="R17" s="814"/>
      <c r="U17" t="s">
        <v>1568</v>
      </c>
    </row>
    <row r="18" spans="2:33" ht="12.6" customHeight="1">
      <c r="B18" s="796"/>
      <c r="C18" s="811"/>
      <c r="D18" s="1660"/>
      <c r="E18" s="812">
        <f>(E15-E17)-'Aset Biologis'!E15</f>
        <v>-3.0517578125E-5</v>
      </c>
      <c r="F18" s="1660"/>
      <c r="G18" s="812">
        <f>G15-G17</f>
        <v>0</v>
      </c>
      <c r="H18" s="812"/>
      <c r="I18" s="812">
        <f>I15-I17</f>
        <v>0</v>
      </c>
      <c r="J18" s="811"/>
      <c r="K18" s="812">
        <f>K15-K17</f>
        <v>0</v>
      </c>
      <c r="L18" s="812"/>
      <c r="M18" s="812">
        <f>M15-M17</f>
        <v>0</v>
      </c>
      <c r="N18" s="1650"/>
      <c r="O18" s="812"/>
      <c r="P18" s="813"/>
      <c r="Q18" s="806"/>
      <c r="R18" s="814"/>
    </row>
    <row r="19" spans="2:33" ht="12.6" customHeight="1">
      <c r="B19" s="804"/>
      <c r="C19" s="808"/>
      <c r="D19" s="1659"/>
      <c r="E19" s="805"/>
      <c r="F19" s="1659"/>
      <c r="G19" s="805"/>
      <c r="H19" s="805"/>
      <c r="I19" s="805"/>
      <c r="J19" s="808"/>
      <c r="K19" s="805"/>
      <c r="L19" s="805"/>
      <c r="M19" s="805"/>
      <c r="N19" s="1149"/>
      <c r="O19" s="805"/>
      <c r="P19" s="800"/>
      <c r="Q19" s="807"/>
      <c r="R19" s="809"/>
    </row>
    <row r="20" spans="2:33" ht="12.6" customHeight="1">
      <c r="B20" s="796" t="s">
        <v>1569</v>
      </c>
      <c r="C20" s="808"/>
      <c r="D20" s="1659"/>
      <c r="E20" s="805"/>
      <c r="F20" s="1659"/>
      <c r="G20" s="805"/>
      <c r="H20" s="805"/>
      <c r="I20" s="805"/>
      <c r="J20" s="808"/>
      <c r="K20" s="805"/>
      <c r="L20" s="805"/>
      <c r="M20" s="805"/>
      <c r="N20" s="1149"/>
      <c r="O20" s="805"/>
      <c r="P20" s="800"/>
      <c r="Q20" s="806" t="s">
        <v>876</v>
      </c>
      <c r="R20" s="809"/>
    </row>
    <row r="21" spans="2:33" ht="12.6" customHeight="1">
      <c r="B21" s="796"/>
      <c r="C21" s="808" t="s">
        <v>1552</v>
      </c>
      <c r="D21" s="1659"/>
      <c r="E21" s="805">
        <f>'WS Konsol'!M568</f>
        <v>3808188569</v>
      </c>
      <c r="F21" s="1659"/>
      <c r="G21" s="805">
        <f>'WS Konsol'!W568</f>
        <v>3808188569</v>
      </c>
      <c r="H21" s="805"/>
      <c r="I21" s="1173">
        <f>'WS Konsol'!AT568</f>
        <v>4118553810</v>
      </c>
      <c r="J21" s="808"/>
      <c r="K21" s="805">
        <f>'WS Konsol'!AF568</f>
        <v>3808188569</v>
      </c>
      <c r="L21" s="805"/>
      <c r="M21" s="1173">
        <f>'WS Konsol'!BC568</f>
        <v>4118553810</v>
      </c>
      <c r="N21" s="1149"/>
      <c r="O21" s="1173">
        <f>'WS Konsol'!AI568</f>
        <v>4118553810</v>
      </c>
      <c r="P21" s="800"/>
      <c r="Q21" s="806"/>
      <c r="R21" s="809" t="s">
        <v>1553</v>
      </c>
    </row>
    <row r="22" spans="2:33" ht="12.6" customHeight="1">
      <c r="B22" s="796"/>
      <c r="C22" s="808" t="s">
        <v>878</v>
      </c>
      <c r="D22" s="1659"/>
      <c r="E22" s="818">
        <f>'WS Konsol'!M569</f>
        <v>12033518767</v>
      </c>
      <c r="F22" s="1659"/>
      <c r="G22" s="818">
        <f>'WS Konsol'!W569</f>
        <v>10709215472</v>
      </c>
      <c r="H22" s="805"/>
      <c r="I22" s="818">
        <f>'WS Konsol'!AT569</f>
        <v>7963670923</v>
      </c>
      <c r="J22" s="808"/>
      <c r="K22" s="818">
        <f>'WS Konsol'!AF569</f>
        <v>8488849221</v>
      </c>
      <c r="L22" s="805"/>
      <c r="M22" s="818">
        <f>'WS Konsol'!BC569</f>
        <v>5151132281</v>
      </c>
      <c r="N22" s="1149"/>
      <c r="O22" s="818">
        <f>-O14</f>
        <v>11694012540</v>
      </c>
      <c r="P22" s="800"/>
      <c r="Q22" s="806"/>
      <c r="R22" s="809" t="s">
        <v>1570</v>
      </c>
    </row>
    <row r="23" spans="2:33" ht="12.6" customHeight="1">
      <c r="B23" s="796"/>
      <c r="C23" s="811" t="s">
        <v>869</v>
      </c>
      <c r="D23" s="1660"/>
      <c r="E23" s="812">
        <f>SUM(E21:E22)</f>
        <v>15841707336</v>
      </c>
      <c r="F23" s="1660"/>
      <c r="G23" s="812">
        <f>SUM(G21:G22)</f>
        <v>14517404041</v>
      </c>
      <c r="H23" s="812"/>
      <c r="I23" s="812">
        <f>SUM(I21:I22)</f>
        <v>12082224733</v>
      </c>
      <c r="J23" s="811"/>
      <c r="K23" s="812">
        <f>SUM(K21:K22)</f>
        <v>12297037790</v>
      </c>
      <c r="L23" s="812"/>
      <c r="M23" s="812">
        <f>SUM(M21:M22)</f>
        <v>9269686091</v>
      </c>
      <c r="N23" s="1650"/>
      <c r="O23" s="812">
        <f>SUM(O21:O22)</f>
        <v>15812566350</v>
      </c>
      <c r="P23" s="813"/>
      <c r="Q23" s="806"/>
      <c r="R23" s="814" t="s">
        <v>1556</v>
      </c>
      <c r="V23" t="s">
        <v>1571</v>
      </c>
      <c r="X23" t="s">
        <v>1571</v>
      </c>
      <c r="Z23" t="s">
        <v>1571</v>
      </c>
      <c r="AB23" t="s">
        <v>1571</v>
      </c>
      <c r="AD23" t="s">
        <v>1571</v>
      </c>
      <c r="AF23" t="s">
        <v>1571</v>
      </c>
    </row>
    <row r="24" spans="2:33" ht="12.6" customHeight="1">
      <c r="B24" s="796"/>
      <c r="C24" s="808" t="s">
        <v>1572</v>
      </c>
      <c r="D24" s="1659"/>
      <c r="E24" s="810">
        <f>'WS Konsol'!M571</f>
        <v>-4614448027</v>
      </c>
      <c r="F24" s="1659"/>
      <c r="G24" s="810">
        <f>'WS Konsol'!W571</f>
        <v>-6129938497</v>
      </c>
      <c r="H24" s="805"/>
      <c r="I24" s="1174">
        <f>'WS Konsol'!AT571</f>
        <v>-4720465278</v>
      </c>
      <c r="J24" s="808"/>
      <c r="K24" s="810">
        <f>'WS Konsol'!AF571</f>
        <v>-5993032339</v>
      </c>
      <c r="L24" s="805"/>
      <c r="M24" s="1174">
        <f>'WS Konsol'!BC571</f>
        <v>-4344319666</v>
      </c>
      <c r="N24" s="1149"/>
      <c r="O24" s="1174">
        <f>'WS Konsol'!AI571</f>
        <v>-3808188569</v>
      </c>
      <c r="P24" s="800"/>
      <c r="Q24" s="806"/>
      <c r="R24" s="809" t="s">
        <v>1573</v>
      </c>
      <c r="V24" s="121">
        <f>'WS Konsol'!M145</f>
        <v>4614448027</v>
      </c>
      <c r="X24" s="121">
        <f>'WS Konsol'!W145</f>
        <v>6129938497</v>
      </c>
      <c r="Z24" s="121">
        <f>'WS Konsol'!AT145</f>
        <v>4720465278</v>
      </c>
      <c r="AB24" s="121">
        <f>'WS Konsol'!AF145</f>
        <v>5993032339</v>
      </c>
      <c r="AD24" s="121">
        <f>'WS Konsol'!BC145</f>
        <v>4344319666</v>
      </c>
      <c r="AE24" s="121"/>
      <c r="AF24" s="121">
        <f>'WS Konsol'!AI145</f>
        <v>3808188569</v>
      </c>
    </row>
    <row r="25" spans="2:33" ht="12.6" customHeight="1">
      <c r="B25" s="796"/>
      <c r="C25" s="811" t="s">
        <v>1562</v>
      </c>
      <c r="D25" s="1660"/>
      <c r="E25" s="1184">
        <f>SUM(E23:E24)</f>
        <v>11227259309</v>
      </c>
      <c r="F25" s="1660"/>
      <c r="G25" s="1184">
        <f>SUM(G23:G24)</f>
        <v>8387465544</v>
      </c>
      <c r="H25" s="805"/>
      <c r="I25" s="817">
        <f>SUM(I23:I24)</f>
        <v>7361759455</v>
      </c>
      <c r="J25" s="808"/>
      <c r="K25" s="1588">
        <f>SUM(K23:K24)</f>
        <v>6304005451</v>
      </c>
      <c r="L25" s="812"/>
      <c r="M25" s="817">
        <f>SUM(M23:M24)</f>
        <v>4925366425</v>
      </c>
      <c r="N25" s="1650"/>
      <c r="O25" s="817">
        <f>SUM(O23:O24)</f>
        <v>12004377781</v>
      </c>
      <c r="P25" s="813"/>
      <c r="Q25" s="806"/>
      <c r="R25" s="814" t="s">
        <v>873</v>
      </c>
      <c r="U25" t="s">
        <v>1568</v>
      </c>
      <c r="V25" s="854">
        <f>V24+E24</f>
        <v>0</v>
      </c>
      <c r="X25" s="854">
        <f>X24+G24</f>
        <v>0</v>
      </c>
      <c r="Y25" s="849"/>
      <c r="Z25" s="855">
        <f>I24+Z24</f>
        <v>0</v>
      </c>
      <c r="AB25" s="854">
        <f>AB24+K24</f>
        <v>0</v>
      </c>
      <c r="AC25" s="849"/>
      <c r="AD25" s="855">
        <f>M24+AD24</f>
        <v>0</v>
      </c>
      <c r="AE25" s="855"/>
      <c r="AF25" s="855">
        <f>O24+AF24</f>
        <v>0</v>
      </c>
      <c r="AG25" s="849" t="s">
        <v>1563</v>
      </c>
    </row>
    <row r="26" spans="2:33" ht="12.6" customHeight="1">
      <c r="B26" s="819"/>
      <c r="C26" s="820"/>
      <c r="D26" s="1661"/>
      <c r="E26" s="821"/>
      <c r="F26" s="1661"/>
      <c r="G26" s="821"/>
      <c r="H26" s="805"/>
      <c r="I26" s="821"/>
      <c r="J26" s="808"/>
      <c r="K26" s="821"/>
      <c r="L26" s="812"/>
      <c r="M26" s="821"/>
      <c r="N26" s="1651"/>
      <c r="O26" s="821"/>
      <c r="P26" s="822"/>
      <c r="Q26" s="823"/>
      <c r="R26" s="824"/>
    </row>
    <row r="27" spans="2:33" ht="12.6" customHeight="1">
      <c r="B27" s="825" t="s">
        <v>60</v>
      </c>
      <c r="C27" s="826"/>
      <c r="D27" s="1660"/>
      <c r="E27" s="827"/>
      <c r="F27" s="1660"/>
      <c r="G27" s="827"/>
      <c r="H27" s="805"/>
      <c r="I27" s="827"/>
      <c r="J27" s="808"/>
      <c r="K27" s="827"/>
      <c r="L27" s="812"/>
      <c r="M27" s="827"/>
      <c r="N27" s="1650"/>
      <c r="O27" s="827"/>
      <c r="P27" s="828"/>
      <c r="Q27" s="829" t="s">
        <v>1068</v>
      </c>
      <c r="R27" s="830"/>
    </row>
    <row r="28" spans="2:33" ht="12.6" customHeight="1">
      <c r="B28" s="825"/>
      <c r="C28" s="831" t="s">
        <v>888</v>
      </c>
      <c r="D28" s="1659"/>
      <c r="E28" s="832">
        <f>-O30</f>
        <v>2415719386</v>
      </c>
      <c r="F28" s="1659"/>
      <c r="G28" s="832">
        <f>'Aset Biologis'!G7</f>
        <v>2415719386</v>
      </c>
      <c r="H28" s="805"/>
      <c r="I28" s="1173">
        <f>'Aset Biologis'!I7</f>
        <v>651253829.48999119</v>
      </c>
      <c r="J28" s="808"/>
      <c r="K28" s="832">
        <v>2415719386</v>
      </c>
      <c r="L28" s="812"/>
      <c r="M28" s="1173">
        <v>651253829</v>
      </c>
      <c r="N28" s="1149"/>
      <c r="O28" s="1173">
        <v>651253829</v>
      </c>
      <c r="P28" s="828"/>
      <c r="Q28" s="829"/>
      <c r="R28" s="833" t="s">
        <v>1553</v>
      </c>
    </row>
    <row r="29" spans="2:33" ht="12.6" customHeight="1">
      <c r="B29" s="825"/>
      <c r="C29" s="831" t="s">
        <v>1574</v>
      </c>
      <c r="D29" s="1659"/>
      <c r="E29" s="1078">
        <v>13353469730.250004</v>
      </c>
      <c r="F29" s="1659"/>
      <c r="G29" s="1078">
        <f>'Aset Biologis'!G10</f>
        <v>9922825151</v>
      </c>
      <c r="H29" s="805"/>
      <c r="I29" s="1172">
        <f>'Aset Biologis'!I10</f>
        <v>9059426788</v>
      </c>
      <c r="J29" s="808"/>
      <c r="K29" s="1078">
        <v>6005913449</v>
      </c>
      <c r="L29" s="812"/>
      <c r="M29" s="1172">
        <v>5537025361</v>
      </c>
      <c r="N29" s="1149"/>
      <c r="O29" s="1172">
        <v>13008607991</v>
      </c>
      <c r="P29" s="828"/>
      <c r="Q29" s="829"/>
      <c r="R29" s="833" t="s">
        <v>1575</v>
      </c>
      <c r="V29" t="s">
        <v>60</v>
      </c>
      <c r="X29" t="s">
        <v>60</v>
      </c>
      <c r="Z29" t="s">
        <v>60</v>
      </c>
      <c r="AB29" t="s">
        <v>60</v>
      </c>
      <c r="AD29" t="s">
        <v>60</v>
      </c>
      <c r="AF29" t="s">
        <v>60</v>
      </c>
    </row>
    <row r="30" spans="2:33" ht="12.6" customHeight="1">
      <c r="B30" s="825"/>
      <c r="C30" s="831" t="s">
        <v>1576</v>
      </c>
      <c r="D30" s="1659"/>
      <c r="E30" s="834">
        <v>-913803984.41000748</v>
      </c>
      <c r="F30" s="1659"/>
      <c r="G30" s="834">
        <v>-3489807904</v>
      </c>
      <c r="H30" s="805"/>
      <c r="I30" s="1174">
        <v>-2917522322</v>
      </c>
      <c r="J30" s="808"/>
      <c r="K30" s="834">
        <v>-2649404556</v>
      </c>
      <c r="L30" s="812"/>
      <c r="M30" s="1174">
        <v>-1792056297</v>
      </c>
      <c r="N30" s="1149"/>
      <c r="O30" s="1174">
        <v>-2415719386</v>
      </c>
      <c r="P30" s="828"/>
      <c r="Q30" s="829"/>
      <c r="R30" s="833" t="s">
        <v>1577</v>
      </c>
      <c r="V30" s="121">
        <f>'WS Konsol'!M182</f>
        <v>913803984</v>
      </c>
      <c r="X30" s="121">
        <f>'WS Konsol'!W182</f>
        <v>3489807904</v>
      </c>
      <c r="Z30" s="121">
        <f>'WS Konsol'!AT182</f>
        <v>2917522322</v>
      </c>
      <c r="AB30" s="121">
        <f>'WS Konsol'!AF182</f>
        <v>2649404556</v>
      </c>
      <c r="AD30" s="121">
        <f>'WS Konsol'!BC182</f>
        <v>1792056297</v>
      </c>
      <c r="AE30" s="121"/>
      <c r="AF30" s="121">
        <f>'WS Konsol'!AI182</f>
        <v>2415719386</v>
      </c>
    </row>
    <row r="31" spans="2:33" ht="12.6" customHeight="1">
      <c r="B31" s="825"/>
      <c r="C31" s="826" t="s">
        <v>1578</v>
      </c>
      <c r="D31" s="1660"/>
      <c r="E31" s="827">
        <f>SUM(E28:E30)</f>
        <v>14855385131.839996</v>
      </c>
      <c r="F31" s="1660"/>
      <c r="G31" s="827">
        <f>SUM(G28:G30)</f>
        <v>8848736633</v>
      </c>
      <c r="H31" s="805"/>
      <c r="I31" s="827">
        <f>SUM(I28:I30)</f>
        <v>6793158295.4899902</v>
      </c>
      <c r="J31" s="808"/>
      <c r="K31" s="827">
        <f>SUM(K28:K30)</f>
        <v>5772228279</v>
      </c>
      <c r="L31" s="812"/>
      <c r="M31" s="827">
        <f>SUM(M28:M30)</f>
        <v>4396222893</v>
      </c>
      <c r="N31" s="1650"/>
      <c r="O31" s="827">
        <f>SUM(O28:O30)</f>
        <v>11244142434</v>
      </c>
      <c r="P31" s="828"/>
      <c r="Q31" s="829"/>
      <c r="R31" s="830" t="s">
        <v>1579</v>
      </c>
      <c r="V31" s="856">
        <f>E30+V30</f>
        <v>-0.41000747680664063</v>
      </c>
      <c r="X31" s="856">
        <f>G30+X30</f>
        <v>0</v>
      </c>
      <c r="Y31" s="849"/>
      <c r="Z31" s="856">
        <f>I30+Z30</f>
        <v>0</v>
      </c>
      <c r="AB31" s="856">
        <f>K30+AB30</f>
        <v>0</v>
      </c>
      <c r="AC31" s="849"/>
      <c r="AD31" s="856">
        <f>M30+AD30</f>
        <v>0</v>
      </c>
      <c r="AE31" s="856"/>
      <c r="AF31" s="856">
        <f>O30+AF30</f>
        <v>0</v>
      </c>
      <c r="AG31" s="849" t="s">
        <v>1563</v>
      </c>
    </row>
    <row r="32" spans="2:33" ht="12.6" customHeight="1">
      <c r="B32" s="819"/>
      <c r="C32" s="820"/>
      <c r="D32" s="1661"/>
      <c r="E32" s="821"/>
      <c r="F32" s="1661"/>
      <c r="G32" s="821"/>
      <c r="H32" s="805"/>
      <c r="I32" s="821"/>
      <c r="J32" s="808"/>
      <c r="K32" s="821"/>
      <c r="L32" s="812"/>
      <c r="M32" s="821"/>
      <c r="N32" s="1651"/>
      <c r="O32" s="821"/>
      <c r="P32" s="822"/>
      <c r="Q32" s="823"/>
      <c r="R32" s="824"/>
    </row>
    <row r="33" spans="2:33" ht="12.6" customHeight="1">
      <c r="B33" s="835" t="s">
        <v>880</v>
      </c>
      <c r="C33" s="820"/>
      <c r="D33" s="1661"/>
      <c r="E33" s="821"/>
      <c r="F33" s="1661"/>
      <c r="G33" s="821"/>
      <c r="H33" s="805"/>
      <c r="I33" s="821"/>
      <c r="J33" s="808"/>
      <c r="K33" s="821"/>
      <c r="L33" s="812"/>
      <c r="M33" s="821"/>
      <c r="N33" s="1651"/>
      <c r="O33" s="821"/>
      <c r="P33" s="822"/>
      <c r="Q33" s="836" t="s">
        <v>1555</v>
      </c>
      <c r="R33" s="824"/>
    </row>
    <row r="34" spans="2:33" ht="12.6" customHeight="1">
      <c r="B34" s="819"/>
      <c r="C34" s="808" t="s">
        <v>509</v>
      </c>
      <c r="D34" s="1659"/>
      <c r="E34" s="837">
        <f>SUM('WS Konsol'!M576:M583)-V34</f>
        <v>14810536249</v>
      </c>
      <c r="F34" s="1659"/>
      <c r="G34" s="837">
        <f>SUM('WS Konsol'!W576:W583)-X34+1</f>
        <v>5055227937</v>
      </c>
      <c r="H34" s="805"/>
      <c r="I34" s="1172">
        <f>SUM('WS Konsol'!AT576:AT583)-Z34+2</f>
        <v>4847138259.5100098</v>
      </c>
      <c r="J34" s="808"/>
      <c r="K34" s="837">
        <f>SUM('WS Konsol'!AF576:AF583)-AB34</f>
        <v>1478590997</v>
      </c>
      <c r="L34" s="812"/>
      <c r="M34" s="1172">
        <f>SUM('WS Konsol'!BC576:BC583)-AD34</f>
        <v>4925410692</v>
      </c>
      <c r="N34" s="1149"/>
      <c r="O34" s="1172">
        <f>SUM('WS Konsol'!AI576:AI583)+2465256192</f>
        <v>16218054234</v>
      </c>
      <c r="P34" s="822"/>
      <c r="Q34" s="823"/>
      <c r="R34" s="809" t="s">
        <v>1580</v>
      </c>
      <c r="S34" s="210"/>
      <c r="V34" s="121"/>
      <c r="X34" s="121">
        <v>8848736633</v>
      </c>
      <c r="Y34" s="121"/>
      <c r="Z34" s="121">
        <v>6793158295.4899902</v>
      </c>
      <c r="AB34" s="121">
        <v>5772228279</v>
      </c>
      <c r="AD34" s="121">
        <v>4396222893</v>
      </c>
      <c r="AE34" s="121"/>
      <c r="AF34" s="121"/>
    </row>
    <row r="35" spans="2:33" ht="12.6" customHeight="1">
      <c r="B35" s="819"/>
      <c r="C35" s="808" t="s">
        <v>887</v>
      </c>
      <c r="D35" s="1659"/>
      <c r="E35" s="805">
        <v>0</v>
      </c>
      <c r="F35" s="1659"/>
      <c r="G35" s="805">
        <v>0</v>
      </c>
      <c r="H35" s="805"/>
      <c r="I35" s="805">
        <v>0</v>
      </c>
      <c r="J35" s="808"/>
      <c r="K35" s="805">
        <v>0</v>
      </c>
      <c r="L35" s="812"/>
      <c r="M35" s="805">
        <v>0</v>
      </c>
      <c r="N35" s="1149"/>
      <c r="O35" s="805">
        <v>0</v>
      </c>
      <c r="P35" s="822"/>
      <c r="Q35" s="823"/>
      <c r="R35" s="809" t="s">
        <v>1581</v>
      </c>
      <c r="S35" s="912"/>
    </row>
    <row r="36" spans="2:33" ht="12.6" customHeight="1">
      <c r="B36" s="819"/>
      <c r="C36" s="820"/>
      <c r="D36" s="1661"/>
      <c r="E36" s="821"/>
      <c r="F36" s="1661"/>
      <c r="G36" s="821"/>
      <c r="H36" s="805"/>
      <c r="I36" s="821"/>
      <c r="J36" s="808"/>
      <c r="K36" s="821"/>
      <c r="L36" s="812"/>
      <c r="M36" s="821"/>
      <c r="N36" s="1651"/>
      <c r="O36" s="821"/>
      <c r="P36" s="822"/>
      <c r="Q36" s="823"/>
      <c r="R36" s="824"/>
    </row>
    <row r="37" spans="2:33" ht="12.6" customHeight="1">
      <c r="B37" s="838" t="s">
        <v>888</v>
      </c>
      <c r="C37" s="820"/>
      <c r="D37" s="1661"/>
      <c r="E37" s="821"/>
      <c r="F37" s="1661"/>
      <c r="G37" s="821"/>
      <c r="H37" s="805"/>
      <c r="I37" s="821"/>
      <c r="J37" s="808"/>
      <c r="K37" s="821"/>
      <c r="L37" s="812"/>
      <c r="M37" s="821"/>
      <c r="N37" s="1651"/>
      <c r="O37" s="821"/>
      <c r="P37" s="822"/>
      <c r="Q37" s="839" t="s">
        <v>1553</v>
      </c>
      <c r="R37" s="824"/>
    </row>
    <row r="38" spans="2:33" ht="12.6" customHeight="1">
      <c r="B38" s="840"/>
      <c r="C38" s="808" t="s">
        <v>509</v>
      </c>
      <c r="D38" s="1659"/>
      <c r="E38" s="805">
        <f>SUM('WS Konsol'!M585:M590)</f>
        <v>27252363564</v>
      </c>
      <c r="F38" s="1659"/>
      <c r="G38" s="805">
        <f>SUM('WS Konsol'!W585:W590)</f>
        <v>27252363564</v>
      </c>
      <c r="H38" s="805"/>
      <c r="I38" s="1173">
        <f>SUM('WS Konsol'!AT585:AT590)</f>
        <v>20527092362</v>
      </c>
      <c r="J38" s="808"/>
      <c r="K38" s="805">
        <f>SUM('WS Konsol'!AF585:AF590)</f>
        <v>27252363564</v>
      </c>
      <c r="L38" s="812"/>
      <c r="M38" s="1173">
        <f>SUM('WS Konsol'!BC585:BC590)</f>
        <v>20527092362</v>
      </c>
      <c r="N38" s="1149"/>
      <c r="O38" s="1173">
        <f>SUM('WS Konsol'!AI585:AI590)</f>
        <v>21086963933</v>
      </c>
      <c r="P38" s="800"/>
      <c r="Q38" s="841"/>
      <c r="R38" s="809" t="s">
        <v>1580</v>
      </c>
    </row>
    <row r="39" spans="2:33" ht="12.6" customHeight="1">
      <c r="B39" s="840"/>
      <c r="C39" s="808" t="s">
        <v>887</v>
      </c>
      <c r="D39" s="1659"/>
      <c r="E39" s="805">
        <f>'WS Konsol'!M591</f>
        <v>434192365</v>
      </c>
      <c r="F39" s="1659"/>
      <c r="G39" s="805">
        <f>'WS Konsol'!W591</f>
        <v>434192365</v>
      </c>
      <c r="H39" s="805"/>
      <c r="I39" s="1173">
        <f>'WS Konsol'!AT591</f>
        <v>693639232</v>
      </c>
      <c r="J39" s="808"/>
      <c r="K39" s="805">
        <f>'WS Konsol'!AF591</f>
        <v>434192365</v>
      </c>
      <c r="L39" s="805"/>
      <c r="M39" s="1173">
        <f>'WS Konsol'!BC591</f>
        <v>693639232</v>
      </c>
      <c r="N39" s="1149"/>
      <c r="O39" s="1173">
        <f>'WS Konsol'!AI591</f>
        <v>133767661</v>
      </c>
      <c r="P39" s="800"/>
      <c r="Q39" s="841"/>
      <c r="R39" s="809" t="s">
        <v>1581</v>
      </c>
    </row>
    <row r="40" spans="2:33" ht="12.6" customHeight="1">
      <c r="B40" s="840"/>
      <c r="C40" s="808"/>
      <c r="D40" s="1659"/>
      <c r="E40" s="805"/>
      <c r="F40" s="1659"/>
      <c r="G40" s="805"/>
      <c r="H40" s="805"/>
      <c r="I40" s="805"/>
      <c r="J40" s="808"/>
      <c r="K40" s="805"/>
      <c r="L40" s="805"/>
      <c r="M40" s="805"/>
      <c r="N40" s="1149"/>
      <c r="O40" s="805"/>
      <c r="P40" s="800"/>
      <c r="Q40" s="841"/>
      <c r="R40" s="809"/>
    </row>
    <row r="41" spans="2:33" ht="12.6" customHeight="1">
      <c r="B41" s="838" t="s">
        <v>893</v>
      </c>
      <c r="C41" s="808"/>
      <c r="D41" s="1659"/>
      <c r="E41" s="805"/>
      <c r="F41" s="1659"/>
      <c r="G41" s="805"/>
      <c r="H41" s="805"/>
      <c r="I41" s="805"/>
      <c r="J41" s="808"/>
      <c r="K41" s="805"/>
      <c r="L41" s="805"/>
      <c r="M41" s="805"/>
      <c r="N41" s="1149"/>
      <c r="O41" s="805"/>
      <c r="P41" s="800"/>
      <c r="Q41" s="839" t="s">
        <v>1582</v>
      </c>
      <c r="R41" s="809"/>
      <c r="V41" t="s">
        <v>1583</v>
      </c>
      <c r="X41" t="s">
        <v>1583</v>
      </c>
      <c r="Z41" t="s">
        <v>1583</v>
      </c>
      <c r="AB41" t="s">
        <v>1583</v>
      </c>
      <c r="AD41" t="s">
        <v>1583</v>
      </c>
      <c r="AF41" t="s">
        <v>1583</v>
      </c>
    </row>
    <row r="42" spans="2:33" ht="12.6" customHeight="1">
      <c r="B42" s="804"/>
      <c r="C42" s="808" t="s">
        <v>509</v>
      </c>
      <c r="D42" s="1659"/>
      <c r="E42" s="805">
        <f>ROUND(-SUM('WS Konsol'!M595:M599),0)</f>
        <v>-30192766860</v>
      </c>
      <c r="F42" s="1659"/>
      <c r="G42" s="805">
        <f>ROUND(-SUM('WS Konsol'!W595:W599),0)-1</f>
        <v>-37136960542</v>
      </c>
      <c r="H42" s="805"/>
      <c r="I42" s="1175">
        <f>-SUM('WS Konsol'!AT595:AT599)-2</f>
        <v>-28841475079</v>
      </c>
      <c r="J42" s="808"/>
      <c r="K42" s="805">
        <f>-SUM('WS Konsol'!AF595:AF599)</f>
        <v>-29693775024</v>
      </c>
      <c r="L42" s="805"/>
      <c r="M42" s="1175">
        <f>-SUM('WS Konsol'!BC595:BC599)</f>
        <v>-26535192188</v>
      </c>
      <c r="N42" s="1149"/>
      <c r="O42" s="1175">
        <f>-SUM('WS Konsol'!AI595:AI599)</f>
        <v>-27573750806</v>
      </c>
      <c r="P42" s="800"/>
      <c r="Q42" s="807"/>
      <c r="R42" s="809" t="s">
        <v>1580</v>
      </c>
      <c r="S42" s="121"/>
      <c r="V42" s="121">
        <f>'WS Konsol'!M141+'WS Konsol'!M143</f>
        <v>30748341781</v>
      </c>
      <c r="X42" s="121">
        <f>'WS Konsol'!W141+'WS Konsol'!W143</f>
        <v>37556801759</v>
      </c>
      <c r="Z42" s="121">
        <f>'WS Konsol'!AT141+'WS Konsol'!AT143</f>
        <v>29333518811</v>
      </c>
      <c r="AB42" s="121">
        <f>'WS Konsol'!AF141+'WS Konsol'!AF143</f>
        <v>30101515361</v>
      </c>
      <c r="AD42" s="121">
        <f>'WS Konsol'!BC141+'WS Konsol'!BC143</f>
        <v>27070075919</v>
      </c>
      <c r="AE42" s="121"/>
      <c r="AF42" s="121">
        <f>'WS Konsol'!AI141+'WS Konsol'!AI143</f>
        <v>27686555928</v>
      </c>
    </row>
    <row r="43" spans="2:33" ht="12.6" customHeight="1">
      <c r="B43" s="804"/>
      <c r="C43" s="808" t="s">
        <v>887</v>
      </c>
      <c r="D43" s="1659"/>
      <c r="E43" s="810">
        <f>ROUND(-'WS Konsol'!M600,0)</f>
        <v>-555574920</v>
      </c>
      <c r="F43" s="1659"/>
      <c r="G43" s="810">
        <f>ROUND(-'WS Konsol'!W600,0)</f>
        <v>-419841217</v>
      </c>
      <c r="H43" s="805"/>
      <c r="I43" s="1174">
        <f>-'WS Konsol'!AT600</f>
        <v>-492043732</v>
      </c>
      <c r="J43" s="808"/>
      <c r="K43" s="810">
        <f>-'WS Konsol'!AF600</f>
        <v>-407740337</v>
      </c>
      <c r="L43" s="805"/>
      <c r="M43" s="1174">
        <f>-'WS Konsol'!BC600</f>
        <v>-534883731</v>
      </c>
      <c r="N43" s="1149"/>
      <c r="O43" s="1174">
        <f>-'WS Konsol'!AI600</f>
        <v>-112805123</v>
      </c>
      <c r="P43" s="800"/>
      <c r="Q43" s="807"/>
      <c r="R43" s="809" t="s">
        <v>1581</v>
      </c>
      <c r="S43" s="121"/>
      <c r="V43" s="856">
        <f>V42+E42+E43</f>
        <v>1</v>
      </c>
      <c r="X43" s="856">
        <f>X42+G42+G43</f>
        <v>0</v>
      </c>
      <c r="Y43" s="849"/>
      <c r="Z43" s="856">
        <f>Z42+I42+I43</f>
        <v>0</v>
      </c>
      <c r="AB43" s="856">
        <f>AB42+K42+K43</f>
        <v>0</v>
      </c>
      <c r="AC43" s="849"/>
      <c r="AD43" s="856">
        <f>AD42+M42+M43</f>
        <v>0</v>
      </c>
      <c r="AE43" s="856"/>
      <c r="AF43" s="856">
        <f>AF42+O42+O43</f>
        <v>-1</v>
      </c>
      <c r="AG43" s="849" t="s">
        <v>1563</v>
      </c>
    </row>
    <row r="44" spans="2:33" ht="12.6" customHeight="1">
      <c r="B44" s="811" t="s">
        <v>1584</v>
      </c>
      <c r="C44" s="811"/>
      <c r="D44" s="1660"/>
      <c r="E44" s="1185">
        <f>SUM(E34:E43)</f>
        <v>11748750398</v>
      </c>
      <c r="F44" s="1660"/>
      <c r="G44" s="1185">
        <f>SUM(G34:G43)+G31</f>
        <v>4033718740</v>
      </c>
      <c r="H44" s="812"/>
      <c r="I44" s="812">
        <f>SUM(I34:I43)+I31</f>
        <v>3527509338</v>
      </c>
      <c r="J44" s="811"/>
      <c r="K44" s="1587">
        <f>SUM(K34:K43)+K31</f>
        <v>4835859844</v>
      </c>
      <c r="L44" s="812"/>
      <c r="M44" s="812">
        <f>SUM(M34:M43)+M31</f>
        <v>3472289260</v>
      </c>
      <c r="N44" s="1650"/>
      <c r="O44" s="812">
        <f>SUM(O34:O43)</f>
        <v>9752229899</v>
      </c>
      <c r="P44" s="813"/>
      <c r="Q44" s="814" t="s">
        <v>1585</v>
      </c>
      <c r="R44" s="814"/>
      <c r="S44" s="853"/>
      <c r="U44" t="s">
        <v>1568</v>
      </c>
    </row>
    <row r="45" spans="2:33" ht="12.6" customHeight="1">
      <c r="B45" s="804"/>
      <c r="C45" s="808"/>
      <c r="D45" s="1659"/>
      <c r="E45" s="805"/>
      <c r="F45" s="1659"/>
      <c r="G45" s="805"/>
      <c r="H45" s="805"/>
      <c r="I45" s="805"/>
      <c r="J45" s="808"/>
      <c r="K45" s="805"/>
      <c r="L45" s="805"/>
      <c r="M45" s="805"/>
      <c r="N45" s="1149"/>
      <c r="O45" s="805"/>
      <c r="P45" s="800"/>
      <c r="Q45" s="807"/>
      <c r="R45" s="809"/>
    </row>
    <row r="46" spans="2:33" ht="12.6" customHeight="1">
      <c r="B46" s="804"/>
      <c r="C46" s="808"/>
      <c r="D46" s="1659"/>
      <c r="E46" s="805">
        <f>'WS Konsol'!M601</f>
        <v>11748750398</v>
      </c>
      <c r="F46" s="1659"/>
      <c r="G46" s="805">
        <f>'WS Konsol'!W601</f>
        <v>4033718740</v>
      </c>
      <c r="H46" s="805"/>
      <c r="I46" s="805">
        <f>'WS Konsol'!AT601</f>
        <v>3527509338</v>
      </c>
      <c r="J46" s="808"/>
      <c r="K46" s="805">
        <f>'WS Konsol'!AF601</f>
        <v>4835859844</v>
      </c>
      <c r="L46" s="805"/>
      <c r="M46" s="805">
        <f>'WS Konsol'!BC601</f>
        <v>3472289260</v>
      </c>
      <c r="N46" s="1149"/>
      <c r="O46" s="805"/>
      <c r="P46" s="800"/>
      <c r="Q46" s="807"/>
      <c r="R46" s="809"/>
    </row>
    <row r="47" spans="2:33" ht="12.6" customHeight="1">
      <c r="B47" s="804"/>
      <c r="C47" s="808"/>
      <c r="D47" s="1659"/>
      <c r="E47" s="1149">
        <f>(E44-E46)</f>
        <v>0</v>
      </c>
      <c r="F47" s="1659"/>
      <c r="G47" s="1149">
        <f>G44-G46</f>
        <v>0</v>
      </c>
      <c r="H47" s="1149"/>
      <c r="I47" s="1149">
        <f>I44-I46</f>
        <v>0</v>
      </c>
      <c r="J47" s="808"/>
      <c r="K47" s="1149">
        <f>K44-K46</f>
        <v>0</v>
      </c>
      <c r="L47" s="1149"/>
      <c r="M47" s="1149">
        <f>M44-M46</f>
        <v>0</v>
      </c>
      <c r="N47" s="1149"/>
      <c r="O47" s="1149"/>
      <c r="P47" s="800"/>
      <c r="Q47" s="807"/>
      <c r="R47" s="809"/>
    </row>
    <row r="48" spans="2:33" ht="12.6" customHeight="1">
      <c r="B48" s="804"/>
      <c r="C48" s="808"/>
      <c r="D48" s="1659"/>
      <c r="E48" s="805"/>
      <c r="F48" s="1659"/>
      <c r="G48" s="805"/>
      <c r="H48" s="805"/>
      <c r="I48" s="805"/>
      <c r="J48" s="808"/>
      <c r="K48" s="805"/>
      <c r="L48" s="805"/>
      <c r="M48" s="805"/>
      <c r="N48" s="1149"/>
      <c r="O48" s="805"/>
      <c r="P48" s="800"/>
      <c r="Q48" s="807"/>
      <c r="R48" s="809"/>
    </row>
    <row r="49" spans="2:21" ht="12.6" customHeight="1">
      <c r="B49" s="796" t="s">
        <v>895</v>
      </c>
      <c r="C49" s="808"/>
      <c r="D49" s="1659"/>
      <c r="E49" s="805"/>
      <c r="F49" s="1659"/>
      <c r="G49" s="805"/>
      <c r="H49" s="805"/>
      <c r="I49" s="805"/>
      <c r="J49" s="808"/>
      <c r="K49" s="805"/>
      <c r="L49" s="805"/>
      <c r="M49" s="805"/>
      <c r="N49" s="1149"/>
      <c r="O49" s="805"/>
      <c r="P49" s="800"/>
      <c r="Q49" s="806" t="s">
        <v>1586</v>
      </c>
      <c r="R49" s="809"/>
    </row>
    <row r="50" spans="2:21" ht="12.6" customHeight="1">
      <c r="B50" s="796"/>
      <c r="C50" s="808"/>
      <c r="D50" s="1659"/>
      <c r="E50" s="805"/>
      <c r="F50" s="1659"/>
      <c r="G50" s="805"/>
      <c r="H50" s="805"/>
      <c r="I50" s="805"/>
      <c r="J50" s="808"/>
      <c r="K50" s="805"/>
      <c r="L50" s="805"/>
      <c r="M50" s="805"/>
      <c r="N50" s="1149"/>
      <c r="O50" s="805"/>
      <c r="P50" s="800"/>
      <c r="Q50" s="806"/>
      <c r="R50" s="809"/>
    </row>
    <row r="51" spans="2:21" ht="12.6" customHeight="1">
      <c r="B51" s="811" t="s">
        <v>899</v>
      </c>
      <c r="C51" s="811"/>
      <c r="D51" s="1660"/>
      <c r="E51" s="842">
        <f>SUM('WS Konsol'!M609:M615)+'WS Konsol'!M620+'WS Konsol'!M617</f>
        <v>17674126865</v>
      </c>
      <c r="F51" s="1660"/>
      <c r="G51" s="842">
        <f>SUM('WS Konsol'!W609:W615)+'WS Konsol'!W620+'WS Konsol'!W617</f>
        <v>12586370057</v>
      </c>
      <c r="H51" s="812"/>
      <c r="I51" s="842">
        <f>SUM('WS Konsol'!AT609:AT615)+'WS Konsol'!AT620+'WS Konsol'!AT617</f>
        <v>12405479374</v>
      </c>
      <c r="J51" s="811"/>
      <c r="K51" s="842">
        <f>SUM('WS Konsol'!AF609:AF615)+'WS Konsol'!AF620+'WS Konsol'!AF617</f>
        <v>7578399027</v>
      </c>
      <c r="L51" s="812"/>
      <c r="M51" s="842">
        <f>SUM('WS Konsol'!BC609:BC615)+'WS Konsol'!BC620+'WS Konsol'!BC617</f>
        <v>9783826035</v>
      </c>
      <c r="N51" s="1650"/>
      <c r="O51" s="842">
        <f>SUM('WS Konsol'!AI609:AI615)+'WS Konsol'!AI620+'WS Konsol'!AI617</f>
        <v>15525807138</v>
      </c>
      <c r="P51" s="800"/>
      <c r="Q51" s="843" t="s">
        <v>1587</v>
      </c>
      <c r="R51" s="814"/>
    </row>
    <row r="52" spans="2:21" ht="12.6" customHeight="1">
      <c r="B52" s="811"/>
      <c r="C52" s="811"/>
      <c r="D52" s="1660"/>
      <c r="E52" s="805"/>
      <c r="F52" s="1660"/>
      <c r="G52" s="805"/>
      <c r="H52" s="805"/>
      <c r="I52" s="805"/>
      <c r="J52" s="811"/>
      <c r="K52" s="805"/>
      <c r="L52" s="805"/>
      <c r="M52" s="805"/>
      <c r="N52" s="1149"/>
      <c r="O52" s="805"/>
      <c r="P52" s="800"/>
      <c r="Q52" s="844"/>
      <c r="R52" s="814"/>
    </row>
    <row r="53" spans="2:21" ht="12.6" customHeight="1">
      <c r="B53" s="796" t="s">
        <v>911</v>
      </c>
      <c r="C53" s="808"/>
      <c r="D53" s="1659"/>
      <c r="E53" s="805"/>
      <c r="F53" s="1659"/>
      <c r="G53" s="805"/>
      <c r="H53" s="805"/>
      <c r="I53" s="805"/>
      <c r="J53" s="808"/>
      <c r="K53" s="805"/>
      <c r="L53" s="805"/>
      <c r="M53" s="805"/>
      <c r="N53" s="1149"/>
      <c r="O53" s="805"/>
      <c r="P53" s="800"/>
      <c r="Q53" s="806" t="s">
        <v>1588</v>
      </c>
      <c r="R53" s="809"/>
    </row>
    <row r="54" spans="2:21" ht="12.6" customHeight="1">
      <c r="B54" s="840"/>
      <c r="C54" s="808" t="s">
        <v>915</v>
      </c>
      <c r="D54" s="1659"/>
      <c r="E54" s="812">
        <f>'WS Konsol'!M626</f>
        <v>10119099703</v>
      </c>
      <c r="F54" s="1659"/>
      <c r="G54" s="812">
        <f>'WS Konsol'!W626</f>
        <v>7189008851</v>
      </c>
      <c r="H54" s="812"/>
      <c r="I54" s="812">
        <f>'WS Konsol'!AT626</f>
        <v>6465961560</v>
      </c>
      <c r="J54" s="808"/>
      <c r="K54" s="812">
        <f>'WS Konsol'!AF626</f>
        <v>4279899517</v>
      </c>
      <c r="L54" s="805"/>
      <c r="M54" s="805">
        <f>'WS Konsol'!BC626</f>
        <v>4617040783</v>
      </c>
      <c r="N54" s="1149"/>
      <c r="O54" s="805">
        <f>'WS Konsol'!AI626</f>
        <v>8731633855</v>
      </c>
      <c r="P54" s="800"/>
      <c r="Q54" s="841"/>
      <c r="R54" s="809" t="s">
        <v>1589</v>
      </c>
      <c r="U54" t="s">
        <v>1590</v>
      </c>
    </row>
    <row r="55" spans="2:21" ht="12.6" customHeight="1">
      <c r="B55" s="845"/>
      <c r="C55" s="808" t="s">
        <v>311</v>
      </c>
      <c r="D55" s="1659"/>
      <c r="E55" s="812">
        <f>'WS Konsol'!M623</f>
        <v>7230370312</v>
      </c>
      <c r="F55" s="1659"/>
      <c r="G55" s="812">
        <f>'WS Konsol'!W623</f>
        <v>5306458280</v>
      </c>
      <c r="H55" s="812"/>
      <c r="I55" s="812">
        <f>'WS Konsol'!AT623</f>
        <v>7064683653</v>
      </c>
      <c r="J55" s="808"/>
      <c r="K55" s="812">
        <f>'WS Konsol'!AF623</f>
        <v>3207247370</v>
      </c>
      <c r="L55" s="805"/>
      <c r="M55" s="812">
        <f>'WS Konsol'!BC623</f>
        <v>3967833681</v>
      </c>
      <c r="N55" s="1650"/>
      <c r="O55" s="812">
        <f>'WS Konsol'!AI623+'WS Konsol'!AI618</f>
        <v>8834794350</v>
      </c>
      <c r="P55" s="800"/>
      <c r="Q55" s="844"/>
      <c r="R55" s="809" t="s">
        <v>311</v>
      </c>
    </row>
    <row r="56" spans="2:21" ht="12.6" customHeight="1">
      <c r="B56" s="845"/>
      <c r="C56" s="808" t="s">
        <v>1591</v>
      </c>
      <c r="D56" s="1659"/>
      <c r="E56" s="812">
        <f>'WS Konsol'!M619</f>
        <v>283373179</v>
      </c>
      <c r="F56" s="1659"/>
      <c r="G56" s="812">
        <f>'WS Konsol'!W619</f>
        <v>212529884</v>
      </c>
      <c r="H56" s="812"/>
      <c r="I56" s="812">
        <f>'WS Konsol'!AT619</f>
        <v>212529884</v>
      </c>
      <c r="J56" s="808"/>
      <c r="K56" s="812">
        <f>'WS Konsol'!AF619</f>
        <v>141686589</v>
      </c>
      <c r="L56" s="805"/>
      <c r="M56" s="812">
        <f>'WS Konsol'!BC619</f>
        <v>141686589</v>
      </c>
      <c r="N56" s="1650"/>
      <c r="O56" s="812">
        <f>'WS Konsol'!AI619</f>
        <v>282792707</v>
      </c>
      <c r="P56" s="800"/>
      <c r="Q56" s="844"/>
      <c r="R56" s="809" t="s">
        <v>1592</v>
      </c>
    </row>
    <row r="57" spans="2:21" ht="12.6" customHeight="1">
      <c r="B57" s="845"/>
      <c r="C57" s="808" t="s">
        <v>1593</v>
      </c>
      <c r="D57" s="1659"/>
      <c r="E57" s="1572">
        <f>'WS Konsol'!M607</f>
        <v>111284000</v>
      </c>
      <c r="F57" s="1659"/>
      <c r="G57" s="1572">
        <f>'WS Konsol'!W607</f>
        <v>69504600</v>
      </c>
      <c r="H57" s="812"/>
      <c r="I57" s="812">
        <f>'WS Konsol'!AT607</f>
        <v>76189600</v>
      </c>
      <c r="J57" s="808"/>
      <c r="K57" s="1589">
        <f>'WS Konsol'!AF607</f>
        <v>23064800</v>
      </c>
      <c r="L57" s="805"/>
      <c r="M57" s="805">
        <f>'WS Konsol'!BC607</f>
        <v>58606800</v>
      </c>
      <c r="N57" s="1149"/>
      <c r="O57" s="805">
        <f>'WS Konsol'!AI607</f>
        <v>105789800</v>
      </c>
      <c r="P57" s="800"/>
      <c r="Q57" s="844"/>
      <c r="R57" s="809"/>
      <c r="U57" t="s">
        <v>1568</v>
      </c>
    </row>
    <row r="58" spans="2:21" ht="12.6" customHeight="1">
      <c r="B58" s="840"/>
      <c r="C58" s="808" t="s">
        <v>923</v>
      </c>
      <c r="D58" s="1659"/>
      <c r="E58" s="1574">
        <f>'WS Konsol'!M635</f>
        <v>596993075</v>
      </c>
      <c r="F58" s="1659"/>
      <c r="G58" s="1574">
        <f>'WS Konsol'!W635</f>
        <v>361639273</v>
      </c>
      <c r="H58" s="812"/>
      <c r="I58" s="812">
        <f>'WS Konsol'!AT635</f>
        <v>375062427</v>
      </c>
      <c r="J58" s="808"/>
      <c r="K58" s="1574">
        <f>'WS Konsol'!AF635</f>
        <v>186463025</v>
      </c>
      <c r="L58" s="805"/>
      <c r="M58" s="805">
        <f>'WS Konsol'!BC635</f>
        <v>291192318</v>
      </c>
      <c r="N58" s="1149"/>
      <c r="O58" s="805">
        <f>'WS Konsol'!AI635</f>
        <v>439689777</v>
      </c>
      <c r="P58" s="800"/>
      <c r="Q58" s="841"/>
      <c r="R58" s="809" t="s">
        <v>1594</v>
      </c>
      <c r="U58" t="s">
        <v>1595</v>
      </c>
    </row>
    <row r="59" spans="2:21" ht="12.6" customHeight="1">
      <c r="B59" s="840"/>
      <c r="C59" s="808" t="s">
        <v>916</v>
      </c>
      <c r="D59" s="1659"/>
      <c r="E59" s="1573">
        <f>'WS Konsol'!M627</f>
        <v>115794793</v>
      </c>
      <c r="F59" s="1659"/>
      <c r="G59" s="1573">
        <f>'WS Konsol'!W627</f>
        <v>63108255</v>
      </c>
      <c r="H59" s="812"/>
      <c r="I59" s="812">
        <f>'WS Konsol'!AT627</f>
        <v>148327605</v>
      </c>
      <c r="J59" s="808"/>
      <c r="K59" s="1573">
        <f>'WS Konsol'!AF627</f>
        <v>68866817</v>
      </c>
      <c r="L59" s="805"/>
      <c r="M59" s="805">
        <f>'WS Konsol'!BC627</f>
        <v>78447535</v>
      </c>
      <c r="N59" s="1149"/>
      <c r="O59" s="805">
        <f>'WS Konsol'!AI627</f>
        <v>169543950</v>
      </c>
      <c r="P59" s="800"/>
      <c r="Q59" s="841"/>
      <c r="R59" s="809" t="s">
        <v>1596</v>
      </c>
      <c r="U59" t="s">
        <v>1597</v>
      </c>
    </row>
    <row r="60" spans="2:21" ht="12.6" customHeight="1">
      <c r="B60" s="840"/>
      <c r="C60" s="808" t="s">
        <v>1598</v>
      </c>
      <c r="D60" s="1659"/>
      <c r="E60" s="812">
        <f>'WS Konsol'!M622</f>
        <v>56276930</v>
      </c>
      <c r="F60" s="1659"/>
      <c r="G60" s="812">
        <f>'WS Konsol'!W622</f>
        <v>45277078</v>
      </c>
      <c r="H60" s="812"/>
      <c r="I60" s="812">
        <f>'WS Konsol'!AT622</f>
        <v>46766312</v>
      </c>
      <c r="J60" s="808"/>
      <c r="K60" s="812">
        <f>'WS Konsol'!AF622</f>
        <v>26721542</v>
      </c>
      <c r="L60" s="805"/>
      <c r="M60" s="805">
        <f>'WS Konsol'!BC622</f>
        <v>35479312</v>
      </c>
      <c r="N60" s="1149"/>
      <c r="O60" s="805">
        <f>'WS Konsol'!AI622</f>
        <v>60683280</v>
      </c>
      <c r="P60" s="800"/>
      <c r="Q60" s="841"/>
      <c r="R60" s="809" t="s">
        <v>1599</v>
      </c>
      <c r="U60" t="s">
        <v>1600</v>
      </c>
    </row>
    <row r="61" spans="2:21" ht="12.6" customHeight="1">
      <c r="B61" s="840"/>
      <c r="C61" s="808" t="s">
        <v>1601</v>
      </c>
      <c r="D61" s="1659"/>
      <c r="E61" s="812">
        <f>'WS Konsol'!M624</f>
        <v>492294727</v>
      </c>
      <c r="F61" s="1659"/>
      <c r="G61" s="812">
        <f>'WS Konsol'!W624</f>
        <v>354540518</v>
      </c>
      <c r="H61" s="812"/>
      <c r="I61" s="812">
        <f>'WS Konsol'!AT624</f>
        <v>319494835</v>
      </c>
      <c r="J61" s="808"/>
      <c r="K61" s="812">
        <f>'WS Konsol'!AF624</f>
        <v>240220478</v>
      </c>
      <c r="L61" s="805"/>
      <c r="M61" s="805">
        <f>'WS Konsol'!BC624</f>
        <v>260146076</v>
      </c>
      <c r="N61" s="1149"/>
      <c r="O61" s="805">
        <f>'WS Konsol'!AI624</f>
        <v>485436571</v>
      </c>
      <c r="P61" s="800"/>
      <c r="Q61" s="841"/>
      <c r="R61" s="809" t="s">
        <v>1602</v>
      </c>
      <c r="U61" t="s">
        <v>1600</v>
      </c>
    </row>
    <row r="62" spans="2:21" ht="12.6" customHeight="1">
      <c r="B62" s="840"/>
      <c r="C62" s="808" t="s">
        <v>914</v>
      </c>
      <c r="D62" s="1659"/>
      <c r="E62" s="1574">
        <f>'WS Konsol'!M625</f>
        <v>91579000</v>
      </c>
      <c r="F62" s="1659"/>
      <c r="G62" s="1574">
        <f>'WS Konsol'!W625</f>
        <v>69935000</v>
      </c>
      <c r="H62" s="812"/>
      <c r="I62" s="812">
        <f>'WS Konsol'!AT625</f>
        <v>42474000</v>
      </c>
      <c r="J62" s="808"/>
      <c r="K62" s="1574">
        <f>'WS Konsol'!AF625</f>
        <v>48736000</v>
      </c>
      <c r="L62" s="805"/>
      <c r="M62" s="805">
        <f>'WS Konsol'!BC625</f>
        <v>35565000</v>
      </c>
      <c r="N62" s="1149"/>
      <c r="O62" s="805">
        <f>'WS Konsol'!AI625</f>
        <v>67539000</v>
      </c>
      <c r="P62" s="800"/>
      <c r="Q62" s="841"/>
      <c r="R62" s="809" t="s">
        <v>1603</v>
      </c>
      <c r="U62" t="s">
        <v>1595</v>
      </c>
    </row>
    <row r="63" spans="2:21" ht="12.6" customHeight="1">
      <c r="B63" s="840"/>
      <c r="C63" s="808" t="s">
        <v>917</v>
      </c>
      <c r="D63" s="1659"/>
      <c r="E63" s="1573">
        <f>'WS Konsol'!M628</f>
        <v>12258700</v>
      </c>
      <c r="F63" s="1659"/>
      <c r="G63" s="1573">
        <f>'WS Konsol'!W628</f>
        <v>11431700</v>
      </c>
      <c r="H63" s="812"/>
      <c r="I63" s="812">
        <f>'WS Konsol'!AT628</f>
        <v>3079200</v>
      </c>
      <c r="J63" s="808"/>
      <c r="K63" s="1573">
        <f>'WS Konsol'!AF628</f>
        <v>4676500</v>
      </c>
      <c r="L63" s="805"/>
      <c r="M63" s="805">
        <f>'WS Konsol'!BC628</f>
        <v>2005900</v>
      </c>
      <c r="N63" s="1149"/>
      <c r="O63" s="805">
        <f>'WS Konsol'!AI628</f>
        <v>5107800</v>
      </c>
      <c r="P63" s="800"/>
      <c r="Q63" s="846" t="s">
        <v>1604</v>
      </c>
      <c r="R63" s="809"/>
      <c r="U63" t="s">
        <v>1597</v>
      </c>
    </row>
    <row r="64" spans="2:21" ht="12.6" customHeight="1">
      <c r="B64" s="840"/>
      <c r="C64" s="808" t="s">
        <v>918</v>
      </c>
      <c r="D64" s="1659"/>
      <c r="E64" s="1574">
        <f>'WS Konsol'!M629</f>
        <v>27214011</v>
      </c>
      <c r="F64" s="1659"/>
      <c r="G64" s="1574">
        <f>'WS Konsol'!W629</f>
        <v>24662311</v>
      </c>
      <c r="H64" s="812"/>
      <c r="I64" s="812">
        <f>'WS Konsol'!AT629</f>
        <v>17896433</v>
      </c>
      <c r="J64" s="808"/>
      <c r="K64" s="1574">
        <f>'WS Konsol'!AF629</f>
        <v>17558800</v>
      </c>
      <c r="L64" s="805"/>
      <c r="M64" s="805">
        <f>'WS Konsol'!BC629</f>
        <v>16623600</v>
      </c>
      <c r="N64" s="1149"/>
      <c r="O64" s="805">
        <f>'WS Konsol'!AI629</f>
        <v>24358633</v>
      </c>
      <c r="P64" s="800"/>
      <c r="Q64" s="841"/>
      <c r="R64" s="809" t="s">
        <v>1605</v>
      </c>
      <c r="U64" t="s">
        <v>1595</v>
      </c>
    </row>
    <row r="65" spans="1:21" ht="12.6" customHeight="1">
      <c r="B65" s="840"/>
      <c r="C65" s="808" t="s">
        <v>889</v>
      </c>
      <c r="D65" s="1659"/>
      <c r="E65" s="1572">
        <f>'WS Konsol'!M630</f>
        <v>2109004365</v>
      </c>
      <c r="F65" s="1659"/>
      <c r="G65" s="1572">
        <f>'WS Konsol'!W630</f>
        <v>1605400503</v>
      </c>
      <c r="H65" s="812"/>
      <c r="I65" s="812">
        <f>'WS Konsol'!AT630</f>
        <v>854823295</v>
      </c>
      <c r="J65" s="808"/>
      <c r="K65" s="1589">
        <f>'WS Konsol'!AF630</f>
        <v>1046857169</v>
      </c>
      <c r="L65" s="805"/>
      <c r="M65" s="805">
        <f>'WS Konsol'!BC630</f>
        <v>445443549</v>
      </c>
      <c r="N65" s="1149"/>
      <c r="O65" s="805">
        <f>'WS Konsol'!AI630</f>
        <v>1329172446</v>
      </c>
      <c r="P65" s="800"/>
      <c r="Q65" s="841"/>
      <c r="R65" s="809" t="s">
        <v>1606</v>
      </c>
      <c r="U65" t="s">
        <v>1568</v>
      </c>
    </row>
    <row r="66" spans="1:21" ht="12.6" customHeight="1">
      <c r="B66" s="840"/>
      <c r="C66" s="808" t="s">
        <v>919</v>
      </c>
      <c r="D66" s="1659"/>
      <c r="E66" s="1573">
        <f>'WS Konsol'!M631</f>
        <v>64532707</v>
      </c>
      <c r="F66" s="1659"/>
      <c r="G66" s="1573">
        <f>'WS Konsol'!W631</f>
        <v>38036457</v>
      </c>
      <c r="H66" s="812"/>
      <c r="I66" s="812">
        <f>'WS Konsol'!AT631</f>
        <v>55020940</v>
      </c>
      <c r="J66" s="808"/>
      <c r="K66" s="1573">
        <f>'WS Konsol'!AF631</f>
        <v>26275457</v>
      </c>
      <c r="L66" s="805"/>
      <c r="M66" s="805">
        <f>'WS Konsol'!BC631</f>
        <v>27024340</v>
      </c>
      <c r="N66" s="1149"/>
      <c r="O66" s="805">
        <f>'WS Konsol'!AI631</f>
        <v>69993215</v>
      </c>
      <c r="P66" s="800"/>
      <c r="Q66" s="841"/>
      <c r="R66" s="809" t="s">
        <v>1607</v>
      </c>
      <c r="U66" t="s">
        <v>1597</v>
      </c>
    </row>
    <row r="67" spans="1:21" ht="12.6" customHeight="1">
      <c r="B67" s="840"/>
      <c r="C67" s="808" t="s">
        <v>920</v>
      </c>
      <c r="D67" s="1659"/>
      <c r="E67" s="1573">
        <f>'WS Konsol'!M632</f>
        <v>290712636</v>
      </c>
      <c r="F67" s="1659"/>
      <c r="G67" s="1573">
        <f>'WS Konsol'!W632</f>
        <v>146678128</v>
      </c>
      <c r="H67" s="812"/>
      <c r="I67" s="812">
        <f>'WS Konsol'!AT632</f>
        <v>166340341</v>
      </c>
      <c r="J67" s="808"/>
      <c r="K67" s="1573">
        <f>'WS Konsol'!AF632</f>
        <v>62532287</v>
      </c>
      <c r="L67" s="805"/>
      <c r="M67" s="805">
        <f>'WS Konsol'!BC632</f>
        <v>116518600</v>
      </c>
      <c r="N67" s="1149"/>
      <c r="O67" s="805">
        <f>'WS Konsol'!AI632</f>
        <v>205122491</v>
      </c>
      <c r="P67" s="800"/>
      <c r="Q67" s="841"/>
      <c r="R67" s="809" t="s">
        <v>1608</v>
      </c>
      <c r="U67" t="s">
        <v>1597</v>
      </c>
    </row>
    <row r="68" spans="1:21" ht="12.6" customHeight="1">
      <c r="B68" s="840"/>
      <c r="C68" s="808" t="s">
        <v>921</v>
      </c>
      <c r="D68" s="1659"/>
      <c r="E68" s="1573">
        <f>'WS Konsol'!M633</f>
        <v>2086587575</v>
      </c>
      <c r="F68" s="1659"/>
      <c r="G68" s="1573">
        <f>'WS Konsol'!W633</f>
        <v>1330993804</v>
      </c>
      <c r="H68" s="812"/>
      <c r="I68" s="812">
        <f>'WS Konsol'!AT633</f>
        <v>356963445</v>
      </c>
      <c r="J68" s="808"/>
      <c r="K68" s="1573">
        <f>'WS Konsol'!AF633</f>
        <v>462669129</v>
      </c>
      <c r="L68" s="805"/>
      <c r="M68" s="805">
        <f>'WS Konsol'!BC633</f>
        <v>227530475</v>
      </c>
      <c r="N68" s="1149"/>
      <c r="O68" s="805">
        <f>'WS Konsol'!AI633</f>
        <v>587806643</v>
      </c>
      <c r="P68" s="800"/>
      <c r="Q68" s="841"/>
      <c r="R68" s="809" t="s">
        <v>1609</v>
      </c>
      <c r="U68" t="s">
        <v>1597</v>
      </c>
    </row>
    <row r="69" spans="1:21" ht="12.6" customHeight="1">
      <c r="B69" s="840"/>
      <c r="C69" s="808" t="s">
        <v>907</v>
      </c>
      <c r="D69" s="1659"/>
      <c r="E69" s="1574">
        <f>'WS Konsol'!M616+'WS Konsol'!M634</f>
        <v>312079416</v>
      </c>
      <c r="F69" s="1659"/>
      <c r="G69" s="1574">
        <f>'WS Konsol'!W616+'WS Konsol'!W634</f>
        <v>227038791</v>
      </c>
      <c r="H69" s="812"/>
      <c r="I69" s="812">
        <f>'WS Konsol'!AT616+'WS Konsol'!AT634</f>
        <v>260089552</v>
      </c>
      <c r="J69" s="808"/>
      <c r="K69" s="1574">
        <f>'WS Konsol'!AF616+'WS Konsol'!AF634</f>
        <v>130369288</v>
      </c>
      <c r="L69" s="805"/>
      <c r="M69" s="805">
        <f>'WS Konsol'!BC616+'WS Konsol'!BC634</f>
        <v>227719224</v>
      </c>
      <c r="N69" s="1149"/>
      <c r="O69" s="805">
        <f>'WS Konsol'!AI616+'WS Konsol'!AI634</f>
        <v>279279363</v>
      </c>
      <c r="P69" s="800"/>
      <c r="Q69" s="841"/>
      <c r="R69" s="809" t="s">
        <v>1610</v>
      </c>
      <c r="U69" t="s">
        <v>1595</v>
      </c>
    </row>
    <row r="70" spans="1:21" ht="12.6" customHeight="1">
      <c r="B70" s="840"/>
      <c r="C70" s="808" t="s">
        <v>1466</v>
      </c>
      <c r="D70" s="1659"/>
      <c r="E70" s="805">
        <f>'WS Konsol'!M636+'WS Konsol'!M637</f>
        <v>150000</v>
      </c>
      <c r="F70" s="1659"/>
      <c r="G70" s="805">
        <f>'WS Konsol'!W636</f>
        <v>0</v>
      </c>
      <c r="H70" s="805"/>
      <c r="I70" s="805">
        <f>'WS Konsol'!AT636</f>
        <v>0</v>
      </c>
      <c r="J70" s="808"/>
      <c r="K70" s="805">
        <f>'WS Konsol'!AF636</f>
        <v>0</v>
      </c>
      <c r="L70" s="805"/>
      <c r="M70" s="805">
        <f>'WS Konsol'!BC636</f>
        <v>0</v>
      </c>
      <c r="N70" s="1149"/>
      <c r="O70" s="805">
        <f>'WS Konsol'!AI636</f>
        <v>0</v>
      </c>
      <c r="P70" s="800"/>
      <c r="Q70" s="841"/>
      <c r="R70" s="809" t="s">
        <v>1611</v>
      </c>
    </row>
    <row r="71" spans="1:21" ht="12.6" customHeight="1">
      <c r="B71" s="840"/>
      <c r="C71" s="808" t="s">
        <v>925</v>
      </c>
      <c r="D71" s="1659"/>
      <c r="E71" s="810">
        <f>'WS Konsol'!M638</f>
        <v>5944216262</v>
      </c>
      <c r="F71" s="1659"/>
      <c r="G71" s="810">
        <f>'WS Konsol'!W638</f>
        <v>0</v>
      </c>
      <c r="H71" s="805"/>
      <c r="I71" s="810">
        <f>'WS Konsol'!AT638</f>
        <v>0</v>
      </c>
      <c r="J71" s="808"/>
      <c r="K71" s="810">
        <f>'WS Konsol'!AF638</f>
        <v>0</v>
      </c>
      <c r="L71" s="805"/>
      <c r="M71" s="810">
        <f>'WS Konsol'!BC638</f>
        <v>0</v>
      </c>
      <c r="N71" s="1149"/>
      <c r="O71" s="810">
        <f>'WS Konsol'!AI638</f>
        <v>0</v>
      </c>
      <c r="P71" s="800"/>
      <c r="Q71" s="841"/>
      <c r="R71" s="809" t="s">
        <v>925</v>
      </c>
    </row>
    <row r="72" spans="1:21" ht="12.6" customHeight="1">
      <c r="B72" s="796" t="s">
        <v>1612</v>
      </c>
      <c r="C72" s="796"/>
      <c r="D72" s="1658"/>
      <c r="E72" s="847">
        <f>E51+SUM(E54:E71)</f>
        <v>47617948256</v>
      </c>
      <c r="F72" s="1658"/>
      <c r="G72" s="847">
        <f>G51+SUM(G54:G71)</f>
        <v>29642613490</v>
      </c>
      <c r="H72" s="847"/>
      <c r="I72" s="847">
        <f>I51+SUM(I54:I71)</f>
        <v>28871182456</v>
      </c>
      <c r="J72" s="796"/>
      <c r="K72" s="847">
        <f>K51+SUM(K54:K71)</f>
        <v>17552243795</v>
      </c>
      <c r="L72" s="847"/>
      <c r="M72" s="847">
        <f>M51+SUM(M54:M71)</f>
        <v>20332689817</v>
      </c>
      <c r="N72" s="1652"/>
      <c r="O72" s="847">
        <f>O51+SUM(O54:O71)</f>
        <v>37204551019</v>
      </c>
      <c r="P72" s="800"/>
      <c r="Q72" s="806" t="s">
        <v>1613</v>
      </c>
      <c r="R72" s="806"/>
    </row>
    <row r="73" spans="1:21" ht="12.6" customHeight="1">
      <c r="B73" s="796" t="s">
        <v>1614</v>
      </c>
      <c r="C73" s="796"/>
      <c r="D73" s="1658"/>
      <c r="E73" s="1079">
        <f>E15+E25+E44+E72+E31</f>
        <v>246934738866.30997</v>
      </c>
      <c r="F73" s="1658"/>
      <c r="G73" s="1079">
        <f>G15+G25+G44+G72</f>
        <v>107535872927</v>
      </c>
      <c r="H73" s="847"/>
      <c r="I73" s="1079">
        <f>I15+I25+I44+I72</f>
        <v>97141890286</v>
      </c>
      <c r="J73" s="796"/>
      <c r="K73" s="1079">
        <f>K15+K25+K44+K72</f>
        <v>69221185606</v>
      </c>
      <c r="L73" s="847"/>
      <c r="M73" s="1079">
        <f>M15+M25+M44+M72</f>
        <v>80614456121</v>
      </c>
      <c r="N73" s="1652"/>
      <c r="O73" s="1079">
        <f>O15+O25+O44+O72+O31</f>
        <v>134214335812</v>
      </c>
      <c r="P73" s="800"/>
      <c r="Q73" s="806" t="s">
        <v>1615</v>
      </c>
      <c r="R73" s="806"/>
    </row>
    <row r="74" spans="1:21" ht="12.6" customHeight="1">
      <c r="B74" s="808"/>
      <c r="C74" s="808"/>
      <c r="D74" s="1659"/>
      <c r="E74" s="848"/>
      <c r="F74" s="1659"/>
      <c r="G74" s="848"/>
      <c r="H74" s="848"/>
      <c r="I74" s="848"/>
      <c r="J74" s="808"/>
      <c r="K74" s="848"/>
      <c r="L74" s="848"/>
      <c r="M74" s="848"/>
      <c r="N74" s="1653"/>
      <c r="O74" s="848"/>
      <c r="P74" s="801"/>
      <c r="Q74" s="801"/>
      <c r="R74" s="801"/>
    </row>
    <row r="75" spans="1:21" ht="12.6" customHeight="1">
      <c r="B75" s="808"/>
      <c r="C75" s="808"/>
      <c r="D75" s="1659"/>
      <c r="E75" s="1082">
        <f>'WS Konsol'!M639</f>
        <v>47617948256</v>
      </c>
      <c r="F75" s="1659"/>
      <c r="G75" s="1082">
        <f>'WS Konsol'!W639</f>
        <v>29642613490</v>
      </c>
      <c r="H75" s="848"/>
      <c r="I75" s="1082">
        <f>'WS Konsol'!AT639</f>
        <v>28871182456</v>
      </c>
      <c r="J75" s="808"/>
      <c r="K75" s="1082">
        <f>'WS Konsol'!AF639</f>
        <v>17552243795</v>
      </c>
      <c r="L75" s="848"/>
      <c r="M75" s="1082">
        <f>'WS Konsol'!BC639</f>
        <v>20332689817</v>
      </c>
      <c r="N75" s="1654"/>
      <c r="O75" s="1082">
        <f>'WS Konsol'!AI639</f>
        <v>37204551019</v>
      </c>
      <c r="P75" s="801"/>
      <c r="Q75" s="801"/>
      <c r="R75" s="801"/>
    </row>
    <row r="76" spans="1:21" ht="12.6" customHeight="1">
      <c r="B76" s="808"/>
      <c r="C76" s="808"/>
      <c r="D76" s="1659"/>
      <c r="E76" s="848">
        <f>E72-E75</f>
        <v>0</v>
      </c>
      <c r="F76" s="1659"/>
      <c r="G76" s="848">
        <f>G72-G75</f>
        <v>0</v>
      </c>
      <c r="H76" s="848"/>
      <c r="I76" s="1080">
        <f>I72-I75</f>
        <v>0</v>
      </c>
      <c r="J76" s="808"/>
      <c r="K76" s="848">
        <f>K72-K75</f>
        <v>0</v>
      </c>
      <c r="L76" s="848"/>
      <c r="M76" s="1080">
        <f>M72-M75</f>
        <v>0</v>
      </c>
      <c r="N76" s="1655"/>
      <c r="O76" s="1080">
        <f>O72-O75</f>
        <v>0</v>
      </c>
      <c r="P76" s="801"/>
      <c r="Q76" s="801"/>
      <c r="R76" s="801"/>
    </row>
    <row r="77" spans="1:21" ht="12.6" customHeight="1">
      <c r="C77" s="852" t="s">
        <v>1616</v>
      </c>
      <c r="D77" s="852"/>
      <c r="E77" s="850">
        <f>E73-'WS Konsol'!M640</f>
        <v>0</v>
      </c>
      <c r="F77" s="852"/>
      <c r="G77" s="850">
        <f>G73-'WS Konsol'!W640</f>
        <v>0</v>
      </c>
      <c r="H77" s="851"/>
      <c r="I77" s="1081">
        <f>I73-'WS Konsol'!AT640</f>
        <v>0</v>
      </c>
      <c r="J77" s="852"/>
      <c r="K77" s="850">
        <f>K73-'WS Konsol'!AF640</f>
        <v>0</v>
      </c>
      <c r="L77" s="851"/>
      <c r="M77" s="1081">
        <f>M73-'WS Konsol'!BC640</f>
        <v>0</v>
      </c>
      <c r="N77" s="1081"/>
      <c r="O77" s="1081">
        <f>O73-'WS Konsol'!AI640</f>
        <v>0</v>
      </c>
    </row>
    <row r="79" spans="1:21" ht="12.6" customHeight="1">
      <c r="E79" s="210"/>
    </row>
    <row r="80" spans="1:21" ht="12.6" customHeight="1">
      <c r="A80" s="342" t="s">
        <v>59</v>
      </c>
    </row>
    <row r="81" spans="1:20" ht="12.6" customHeight="1">
      <c r="C81" t="s">
        <v>1617</v>
      </c>
      <c r="R81" s="1241" t="s">
        <v>1618</v>
      </c>
    </row>
    <row r="83" spans="1:20" ht="12.6" customHeight="1">
      <c r="E83" s="628" t="str">
        <f>E2</f>
        <v>31 Desember</v>
      </c>
      <c r="G83" s="628">
        <f>G1</f>
        <v>0</v>
      </c>
      <c r="I83" s="628">
        <f>I1</f>
        <v>0</v>
      </c>
      <c r="K83" s="628">
        <f>K1</f>
        <v>0</v>
      </c>
      <c r="M83" s="628">
        <f>M1</f>
        <v>0</v>
      </c>
      <c r="O83" s="628" t="str">
        <f>O2</f>
        <v>31 Desember</v>
      </c>
    </row>
    <row r="84" spans="1:20" ht="12.6" customHeight="1">
      <c r="E84" s="632">
        <f>E3</f>
        <v>2024</v>
      </c>
      <c r="G84" s="632" t="str">
        <f>G2</f>
        <v>30 September</v>
      </c>
      <c r="I84" s="632" t="str">
        <f>I2</f>
        <v>30 September</v>
      </c>
      <c r="K84" s="632" t="str">
        <f>K2</f>
        <v xml:space="preserve">30 Juni </v>
      </c>
      <c r="M84" s="632" t="str">
        <f>M2</f>
        <v xml:space="preserve">30 Juni </v>
      </c>
      <c r="O84" s="632">
        <f>O3</f>
        <v>2023</v>
      </c>
    </row>
    <row r="86" spans="1:20" ht="12.6" customHeight="1">
      <c r="C86" t="s">
        <v>1619</v>
      </c>
      <c r="E86" s="210">
        <f>E15</f>
        <v>161485395771.46997</v>
      </c>
      <c r="G86" s="210">
        <f>G14</f>
        <v>-10709215472</v>
      </c>
      <c r="I86" s="210">
        <f>I14</f>
        <v>-7963670923</v>
      </c>
      <c r="K86" s="210">
        <f>K14</f>
        <v>-8488849221</v>
      </c>
      <c r="M86" s="210">
        <f>M14</f>
        <v>-5151132281</v>
      </c>
      <c r="O86" s="210">
        <f>O15</f>
        <v>64009034679</v>
      </c>
      <c r="R86" s="1241" t="s">
        <v>1620</v>
      </c>
    </row>
    <row r="87" spans="1:20" ht="12.6" customHeight="1">
      <c r="C87" t="s">
        <v>1621</v>
      </c>
      <c r="E87" s="210">
        <f>E44</f>
        <v>11748750398</v>
      </c>
      <c r="G87" s="210">
        <f>G43</f>
        <v>-419841217</v>
      </c>
      <c r="I87" s="210">
        <f>I43</f>
        <v>-492043732</v>
      </c>
      <c r="K87" s="210">
        <f>K43</f>
        <v>-407740337</v>
      </c>
      <c r="M87" s="210">
        <f>M43</f>
        <v>-534883731</v>
      </c>
      <c r="O87" s="210">
        <f>O44</f>
        <v>9752229899</v>
      </c>
      <c r="R87" s="1241" t="s">
        <v>1622</v>
      </c>
    </row>
    <row r="88" spans="1:20" ht="12.6" customHeight="1">
      <c r="C88" s="1241" t="s">
        <v>1623</v>
      </c>
      <c r="E88" s="1274">
        <f>E25</f>
        <v>11227259309</v>
      </c>
      <c r="G88" s="1274">
        <f>G24</f>
        <v>-6129938497</v>
      </c>
      <c r="I88" s="1274">
        <f>I24</f>
        <v>-4720465278</v>
      </c>
      <c r="K88" s="1274">
        <f>K24</f>
        <v>-5993032339</v>
      </c>
      <c r="M88" s="1274">
        <f>M24</f>
        <v>-4344319666</v>
      </c>
      <c r="O88" s="1274">
        <f>O25</f>
        <v>12004377781</v>
      </c>
      <c r="R88" s="1241" t="s">
        <v>1624</v>
      </c>
    </row>
    <row r="90" spans="1:20" ht="12.6" customHeight="1" thickBot="1">
      <c r="A90" s="342"/>
      <c r="B90" s="342"/>
      <c r="C90" s="342" t="s">
        <v>1625</v>
      </c>
      <c r="D90" s="342"/>
      <c r="E90" s="2247">
        <f>SUM(E86:E88)</f>
        <v>184461405478.46997</v>
      </c>
      <c r="F90" s="342"/>
      <c r="G90" s="2247">
        <f>SUM(G86:G88)</f>
        <v>-17258995186</v>
      </c>
      <c r="H90" s="342"/>
      <c r="I90" s="2247">
        <f>SUM(I86:I88)</f>
        <v>-13176179933</v>
      </c>
      <c r="J90" s="342"/>
      <c r="K90" s="2247">
        <f>SUM(K86:K88)</f>
        <v>-14889621897</v>
      </c>
      <c r="L90" s="342"/>
      <c r="M90" s="2247">
        <f>SUM(M86:M88)</f>
        <v>-10030335678</v>
      </c>
      <c r="N90" s="342"/>
      <c r="O90" s="2247">
        <f>SUM(O86:O88)</f>
        <v>85765642359</v>
      </c>
      <c r="P90" s="342"/>
      <c r="Q90" s="342"/>
      <c r="R90" s="1240" t="s">
        <v>252</v>
      </c>
      <c r="S90" s="342"/>
      <c r="T90" s="342"/>
    </row>
    <row r="91" spans="1:20" ht="12.6" customHeight="1" thickTop="1"/>
  </sheetData>
  <pageMargins left="0.7" right="0.7" top="0.75" bottom="0.75" header="0.3" footer="0.3"/>
  <pageSetup orientation="portrait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F9BC-E958-4F7C-AF02-7DA61011901C}">
  <sheetPr>
    <tabColor rgb="FF92D050"/>
  </sheetPr>
  <dimension ref="A2:M27"/>
  <sheetViews>
    <sheetView showGridLines="0" topLeftCell="A5" workbookViewId="0">
      <selection activeCell="E20" sqref="E20"/>
    </sheetView>
  </sheetViews>
  <sheetFormatPr defaultRowHeight="14.45"/>
  <cols>
    <col min="3" max="3" width="24.5703125" bestFit="1" customWidth="1"/>
    <col min="5" max="5" width="19.5703125" style="210" bestFit="1" customWidth="1"/>
    <col min="6" max="6" width="2.42578125" customWidth="1"/>
    <col min="7" max="7" width="19.5703125" style="210" bestFit="1" customWidth="1"/>
    <col min="8" max="8" width="3.42578125" style="210" customWidth="1"/>
    <col min="9" max="9" width="19.5703125" style="210" customWidth="1"/>
    <col min="10" max="10" width="3.42578125" style="210" customWidth="1"/>
    <col min="11" max="11" width="19" style="210" bestFit="1" customWidth="1"/>
    <col min="12" max="12" width="2.42578125" customWidth="1"/>
    <col min="13" max="13" width="8.5703125" style="1241"/>
  </cols>
  <sheetData>
    <row r="2" spans="1:13">
      <c r="A2" s="1248" t="s">
        <v>536</v>
      </c>
      <c r="B2" s="1249"/>
      <c r="C2" s="1249"/>
      <c r="E2" s="299"/>
      <c r="G2" s="299"/>
    </row>
    <row r="4" spans="1:13">
      <c r="E4" s="1266" t="s">
        <v>1626</v>
      </c>
      <c r="G4" s="1266" t="s">
        <v>1627</v>
      </c>
      <c r="H4" s="211"/>
      <c r="I4" s="1266" t="s">
        <v>1628</v>
      </c>
      <c r="J4" s="211"/>
      <c r="K4" s="1266" t="s">
        <v>1629</v>
      </c>
    </row>
    <row r="5" spans="1:13">
      <c r="E5" s="1267" t="s">
        <v>1630</v>
      </c>
      <c r="G5" s="1267" t="s">
        <v>1631</v>
      </c>
      <c r="H5" s="211"/>
      <c r="I5" s="1267" t="s">
        <v>1632</v>
      </c>
      <c r="J5" s="211"/>
      <c r="K5" s="1267" t="s">
        <v>1633</v>
      </c>
    </row>
    <row r="7" spans="1:13">
      <c r="C7" t="s">
        <v>888</v>
      </c>
      <c r="E7" s="210">
        <f>K16</f>
        <v>2415719386</v>
      </c>
      <c r="G7" s="210">
        <f>K16</f>
        <v>2415719386</v>
      </c>
      <c r="I7" s="210">
        <v>651253829.48999119</v>
      </c>
      <c r="K7" s="210">
        <v>651253829</v>
      </c>
      <c r="M7" s="1241" t="s">
        <v>1553</v>
      </c>
    </row>
    <row r="8" spans="1:13">
      <c r="C8" t="s">
        <v>1634</v>
      </c>
      <c r="M8" s="1241" t="s">
        <v>1635</v>
      </c>
    </row>
    <row r="9" spans="1:13">
      <c r="C9" t="s">
        <v>1636</v>
      </c>
      <c r="M9" s="1241" t="s">
        <v>1637</v>
      </c>
    </row>
    <row r="10" spans="1:13">
      <c r="C10" s="1252" t="s">
        <v>1638</v>
      </c>
      <c r="E10" s="210">
        <f>E26</f>
        <v>13353469730.250004</v>
      </c>
      <c r="G10" s="210">
        <f>G26</f>
        <v>9922825151</v>
      </c>
      <c r="I10" s="210">
        <f>I26</f>
        <v>9059426788</v>
      </c>
      <c r="M10" s="1253" t="s">
        <v>1639</v>
      </c>
    </row>
    <row r="11" spans="1:13">
      <c r="C11" s="1252" t="s">
        <v>1640</v>
      </c>
      <c r="K11" s="210">
        <v>1540434000</v>
      </c>
      <c r="M11" s="1253" t="s">
        <v>1641</v>
      </c>
    </row>
    <row r="12" spans="1:13">
      <c r="C12" s="1252" t="s">
        <v>1642</v>
      </c>
      <c r="K12" s="210">
        <v>11468173991</v>
      </c>
      <c r="M12" s="1253" t="s">
        <v>1643</v>
      </c>
    </row>
    <row r="13" spans="1:13">
      <c r="C13" s="878" t="s">
        <v>1644</v>
      </c>
      <c r="M13" s="1241" t="s">
        <v>1645</v>
      </c>
    </row>
    <row r="14" spans="1:13">
      <c r="C14" s="878" t="s">
        <v>1636</v>
      </c>
      <c r="M14" s="1241" t="s">
        <v>1646</v>
      </c>
    </row>
    <row r="15" spans="1:13">
      <c r="C15" s="1252" t="s">
        <v>1647</v>
      </c>
      <c r="E15" s="1647">
        <v>-14855385131.839996</v>
      </c>
      <c r="G15" s="1274">
        <v>-8848736633.2800007</v>
      </c>
      <c r="I15" s="1274">
        <v>-6793158295.4900026</v>
      </c>
      <c r="K15" s="1274">
        <v>-11244142434</v>
      </c>
      <c r="M15" s="1241" t="s">
        <v>1648</v>
      </c>
    </row>
    <row r="16" spans="1:13" s="342" customFormat="1" ht="20.85" customHeight="1" thickBot="1">
      <c r="C16" s="1254" t="s">
        <v>1649</v>
      </c>
      <c r="E16" s="1276">
        <f>SUM(E7:E15)</f>
        <v>913803984.41000748</v>
      </c>
      <c r="G16" s="1276">
        <f>SUM(G7:G15)</f>
        <v>3489807903.7199993</v>
      </c>
      <c r="H16" s="1275"/>
      <c r="I16" s="1276">
        <f>SUM(I7:I15)</f>
        <v>2917522321.9999876</v>
      </c>
      <c r="J16" s="1275"/>
      <c r="K16" s="1276">
        <f>SUM(K7:K15)</f>
        <v>2415719386</v>
      </c>
      <c r="M16" s="1240" t="s">
        <v>1582</v>
      </c>
    </row>
    <row r="17" spans="1:13" ht="15" thickTop="1">
      <c r="E17" s="210">
        <f>'WS Konsol'!M182</f>
        <v>913803984</v>
      </c>
      <c r="G17" s="210">
        <f>'WS Konsol'!W182</f>
        <v>3489807904</v>
      </c>
      <c r="I17" s="210">
        <f>'WS Konsol'!AT182</f>
        <v>2917522322</v>
      </c>
    </row>
    <row r="18" spans="1:13">
      <c r="E18" s="210">
        <f>E16-E17</f>
        <v>0.41000747680664063</v>
      </c>
      <c r="G18" s="210">
        <f>G16-G17</f>
        <v>-0.28000068664550781</v>
      </c>
      <c r="I18" s="210">
        <f>I16-I17</f>
        <v>-1.239776611328125E-5</v>
      </c>
    </row>
    <row r="19" spans="1:13">
      <c r="A19" s="342" t="s">
        <v>1650</v>
      </c>
    </row>
    <row r="21" spans="1:13">
      <c r="E21" s="1266" t="s">
        <v>1626</v>
      </c>
      <c r="G21" s="1266" t="s">
        <v>1627</v>
      </c>
      <c r="H21" s="211"/>
      <c r="I21" s="1266" t="str">
        <f>I4</f>
        <v>30 September 2023 /</v>
      </c>
      <c r="J21" s="211"/>
      <c r="K21" s="1266" t="s">
        <v>1629</v>
      </c>
    </row>
    <row r="22" spans="1:13">
      <c r="E22" s="1267" t="s">
        <v>1630</v>
      </c>
      <c r="G22" s="1267" t="s">
        <v>1631</v>
      </c>
      <c r="H22" s="211"/>
      <c r="I22" s="1463" t="str">
        <f>I5</f>
        <v>September, 30 2023</v>
      </c>
      <c r="J22" s="211"/>
      <c r="K22" s="1267" t="s">
        <v>1633</v>
      </c>
    </row>
    <row r="24" spans="1:13">
      <c r="C24" t="s">
        <v>1651</v>
      </c>
      <c r="E24" s="1646">
        <v>11737388230.250004</v>
      </c>
      <c r="G24" s="210">
        <v>8652677651</v>
      </c>
      <c r="I24" s="1461">
        <v>7895822788</v>
      </c>
      <c r="K24" s="210">
        <v>11468173991</v>
      </c>
      <c r="M24" s="1241" t="s">
        <v>1652</v>
      </c>
    </row>
    <row r="25" spans="1:13">
      <c r="C25" t="s">
        <v>1653</v>
      </c>
      <c r="E25" s="1647">
        <v>1616081500</v>
      </c>
      <c r="G25" s="1274">
        <v>1270147500</v>
      </c>
      <c r="I25" s="1462">
        <v>1163604000</v>
      </c>
      <c r="K25" s="1274">
        <v>1540434000</v>
      </c>
      <c r="M25" s="1241" t="s">
        <v>1654</v>
      </c>
    </row>
    <row r="26" spans="1:13" s="342" customFormat="1" ht="20.85" customHeight="1" thickBot="1">
      <c r="C26" s="1254" t="s">
        <v>1649</v>
      </c>
      <c r="E26" s="1276">
        <f>SUM(E24:E25)</f>
        <v>13353469730.250004</v>
      </c>
      <c r="G26" s="1276">
        <f>SUM(G24:G25)</f>
        <v>9922825151</v>
      </c>
      <c r="H26" s="1275"/>
      <c r="I26" s="1276">
        <f>SUM(I24:I25)</f>
        <v>9059426788</v>
      </c>
      <c r="J26" s="1275"/>
      <c r="K26" s="1276">
        <f>SUM(K24:K25)</f>
        <v>13008607991</v>
      </c>
      <c r="M26" s="1240" t="s">
        <v>1582</v>
      </c>
    </row>
    <row r="27" spans="1:13" ht="15" thickTop="1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D46C-7C87-4C2B-9F09-FDEE23722BF2}">
  <dimension ref="A2:AM80"/>
  <sheetViews>
    <sheetView showGridLines="0" zoomScale="74" workbookViewId="0">
      <selection activeCell="AN11" sqref="AN11"/>
    </sheetView>
  </sheetViews>
  <sheetFormatPr defaultColWidth="8.5703125" defaultRowHeight="10.5" customHeight="1"/>
  <cols>
    <col min="1" max="1" width="8.5703125" style="1336"/>
    <col min="2" max="2" width="21.5703125" style="1336" customWidth="1"/>
    <col min="3" max="3" width="22.5703125" style="1337" customWidth="1"/>
    <col min="4" max="4" width="1.5703125" style="1337" customWidth="1"/>
    <col min="5" max="5" width="19.42578125" style="1338" customWidth="1"/>
    <col min="6" max="6" width="3" style="1337" customWidth="1"/>
    <col min="7" max="7" width="11.5703125" style="1337" customWidth="1"/>
    <col min="8" max="8" width="2.5703125" style="1337" customWidth="1"/>
    <col min="9" max="9" width="18.42578125" style="1337" customWidth="1"/>
    <col min="10" max="10" width="32.5703125" style="1337" bestFit="1" customWidth="1"/>
    <col min="11" max="11" width="3.42578125" style="1337" customWidth="1"/>
    <col min="12" max="12" width="4.5703125" style="1356" customWidth="1"/>
    <col min="13" max="13" width="4.42578125" style="1337" customWidth="1"/>
    <col min="14" max="14" width="0" style="1336" hidden="1" customWidth="1"/>
    <col min="15" max="15" width="21.5703125" style="1336" hidden="1" customWidth="1"/>
    <col min="16" max="16" width="22.5703125" style="1337" hidden="1" customWidth="1"/>
    <col min="17" max="17" width="1.5703125" style="1337" hidden="1" customWidth="1"/>
    <col min="18" max="18" width="19.42578125" style="1338" hidden="1" customWidth="1"/>
    <col min="19" max="19" width="3" style="1337" hidden="1" customWidth="1"/>
    <col min="20" max="20" width="11.5703125" style="1337" hidden="1" customWidth="1"/>
    <col min="21" max="21" width="2.5703125" style="1337" hidden="1" customWidth="1"/>
    <col min="22" max="22" width="18.42578125" style="1337" hidden="1" customWidth="1"/>
    <col min="23" max="23" width="32.5703125" style="1337" hidden="1" customWidth="1"/>
    <col min="24" max="24" width="3.42578125" style="1337" hidden="1" customWidth="1"/>
    <col min="25" max="25" width="4.5703125" style="1356" hidden="1" customWidth="1"/>
    <col min="26" max="26" width="1.5703125" style="1337" hidden="1" customWidth="1"/>
    <col min="27" max="27" width="0" style="1336" hidden="1" customWidth="1"/>
    <col min="28" max="28" width="21.5703125" style="1336" hidden="1" customWidth="1"/>
    <col min="29" max="29" width="22.5703125" style="1337" hidden="1" customWidth="1"/>
    <col min="30" max="30" width="1.5703125" style="1337" hidden="1" customWidth="1"/>
    <col min="31" max="31" width="19.42578125" style="1338" hidden="1" customWidth="1"/>
    <col min="32" max="32" width="3" style="1337" hidden="1" customWidth="1"/>
    <col min="33" max="33" width="11.5703125" style="1337" hidden="1" customWidth="1"/>
    <col min="34" max="34" width="2.5703125" style="1337" hidden="1" customWidth="1"/>
    <col min="35" max="35" width="18.42578125" style="1337" hidden="1" customWidth="1"/>
    <col min="36" max="36" width="30.42578125" style="1337" hidden="1" customWidth="1"/>
    <col min="37" max="39" width="8.5703125" style="1337"/>
    <col min="40" max="16384" width="8.5703125" style="1336"/>
  </cols>
  <sheetData>
    <row r="2" spans="2:36" ht="10.5" customHeight="1" thickBot="1">
      <c r="B2" s="880"/>
      <c r="C2" s="2485" t="s">
        <v>1655</v>
      </c>
      <c r="D2" s="2485"/>
      <c r="E2" s="2485"/>
      <c r="F2" s="1294"/>
      <c r="G2" s="1294"/>
      <c r="O2" s="880"/>
      <c r="P2" s="2485" t="s">
        <v>1656</v>
      </c>
      <c r="Q2" s="2485"/>
      <c r="R2" s="2485"/>
      <c r="S2" s="1294"/>
      <c r="T2" s="1294"/>
      <c r="AB2" s="880"/>
      <c r="AC2" s="2485" t="s">
        <v>1657</v>
      </c>
      <c r="AD2" s="2485"/>
      <c r="AE2" s="2485"/>
      <c r="AF2" s="1294"/>
      <c r="AG2" s="1294"/>
    </row>
    <row r="3" spans="2:36" ht="14.1">
      <c r="B3" s="880"/>
      <c r="C3" s="1295" t="s">
        <v>1658</v>
      </c>
      <c r="D3" s="1296"/>
      <c r="E3" s="1297" t="s">
        <v>1659</v>
      </c>
      <c r="F3" s="1294"/>
      <c r="G3" s="1294"/>
      <c r="O3" s="880"/>
      <c r="P3" s="1295" t="s">
        <v>1658</v>
      </c>
      <c r="Q3" s="1296"/>
      <c r="R3" s="1297" t="s">
        <v>1659</v>
      </c>
      <c r="S3" s="1294"/>
      <c r="T3" s="1294"/>
      <c r="AB3" s="880"/>
      <c r="AC3" s="1295" t="s">
        <v>1658</v>
      </c>
      <c r="AD3" s="1296"/>
      <c r="AE3" s="1297" t="s">
        <v>1659</v>
      </c>
      <c r="AF3" s="1294"/>
      <c r="AG3" s="1294"/>
    </row>
    <row r="4" spans="2:36" ht="14.1">
      <c r="B4" s="880"/>
      <c r="C4" s="1296" t="s">
        <v>1660</v>
      </c>
      <c r="D4" s="1296"/>
      <c r="E4" s="1298" t="s">
        <v>1661</v>
      </c>
      <c r="F4" s="1294"/>
      <c r="G4" s="1294"/>
      <c r="O4" s="880"/>
      <c r="P4" s="1296" t="s">
        <v>1660</v>
      </c>
      <c r="Q4" s="1296"/>
      <c r="R4" s="1298" t="s">
        <v>1661</v>
      </c>
      <c r="S4" s="1294"/>
      <c r="T4" s="1294"/>
      <c r="AB4" s="880"/>
      <c r="AC4" s="1296" t="s">
        <v>1660</v>
      </c>
      <c r="AD4" s="1296"/>
      <c r="AE4" s="1298" t="s">
        <v>1661</v>
      </c>
      <c r="AF4" s="1294"/>
      <c r="AG4" s="1294"/>
    </row>
    <row r="5" spans="2:36" ht="10.5" customHeight="1">
      <c r="B5" s="894"/>
      <c r="C5" s="1299"/>
      <c r="D5" s="1299"/>
      <c r="E5" s="1300"/>
      <c r="F5" s="1301"/>
      <c r="G5" s="1301"/>
      <c r="O5" s="894"/>
      <c r="P5" s="1299"/>
      <c r="Q5" s="1299"/>
      <c r="R5" s="1300"/>
      <c r="S5" s="1301"/>
      <c r="T5" s="1301"/>
      <c r="AB5" s="894"/>
      <c r="AC5" s="1299"/>
      <c r="AD5" s="1299"/>
      <c r="AE5" s="1300"/>
      <c r="AF5" s="1301"/>
      <c r="AG5" s="1301"/>
    </row>
    <row r="6" spans="2:36" ht="15" customHeight="1">
      <c r="B6" s="884" t="s">
        <v>166</v>
      </c>
      <c r="C6" s="1302"/>
      <c r="D6" s="1302"/>
      <c r="E6" s="1303"/>
      <c r="F6" s="1304" t="s">
        <v>1662</v>
      </c>
      <c r="G6" s="1294"/>
      <c r="I6" s="1336"/>
      <c r="J6" s="1355" t="s">
        <v>1663</v>
      </c>
      <c r="M6" s="1355"/>
      <c r="O6" s="884" t="s">
        <v>166</v>
      </c>
      <c r="P6" s="1302"/>
      <c r="Q6" s="1302"/>
      <c r="R6" s="1303"/>
      <c r="S6" s="1304" t="s">
        <v>1662</v>
      </c>
      <c r="T6" s="1294"/>
      <c r="V6" s="1336"/>
      <c r="W6" s="1355" t="s">
        <v>1664</v>
      </c>
      <c r="AB6" s="884" t="s">
        <v>166</v>
      </c>
      <c r="AC6" s="1302"/>
      <c r="AD6" s="1302"/>
      <c r="AE6" s="1303"/>
      <c r="AF6" s="1304" t="s">
        <v>1662</v>
      </c>
      <c r="AG6" s="1294"/>
      <c r="AI6" s="1336"/>
      <c r="AJ6" s="1355" t="s">
        <v>1665</v>
      </c>
    </row>
    <row r="7" spans="2:36" ht="18" customHeight="1">
      <c r="B7" s="795" t="s">
        <v>1666</v>
      </c>
      <c r="C7" s="1305"/>
      <c r="D7" s="1305"/>
      <c r="E7" s="1306"/>
      <c r="F7" s="1307" t="s">
        <v>1667</v>
      </c>
      <c r="G7" s="1308"/>
      <c r="I7" s="1336"/>
      <c r="J7" s="1423">
        <v>16162</v>
      </c>
      <c r="M7" s="1423"/>
      <c r="O7" s="795" t="s">
        <v>1666</v>
      </c>
      <c r="P7" s="1305"/>
      <c r="Q7" s="1305"/>
      <c r="R7" s="1306"/>
      <c r="S7" s="1307" t="s">
        <v>1667</v>
      </c>
      <c r="T7" s="1308"/>
      <c r="V7" s="1336"/>
      <c r="W7" s="1423">
        <v>15138</v>
      </c>
      <c r="AB7" s="795" t="s">
        <v>1666</v>
      </c>
      <c r="AC7" s="1305"/>
      <c r="AD7" s="1305"/>
      <c r="AE7" s="1306"/>
      <c r="AF7" s="1307" t="s">
        <v>1667</v>
      </c>
      <c r="AG7" s="1308"/>
      <c r="AI7" s="1336"/>
      <c r="AJ7" s="1354">
        <v>16421</v>
      </c>
    </row>
    <row r="8" spans="2:36" ht="10.5" customHeight="1">
      <c r="B8" s="795" t="s">
        <v>620</v>
      </c>
      <c r="C8" s="1305">
        <f>E8/$J$7</f>
        <v>30715.529946788763</v>
      </c>
      <c r="D8" s="1305"/>
      <c r="E8" s="1306">
        <f>SUM('WS Konsol'!M35:M44)</f>
        <v>496424395</v>
      </c>
      <c r="F8" s="1307" t="s">
        <v>620</v>
      </c>
      <c r="G8" s="1308"/>
      <c r="O8" s="795" t="s">
        <v>620</v>
      </c>
      <c r="P8" s="1305">
        <f>R8/$W$7</f>
        <v>260470.08303606819</v>
      </c>
      <c r="Q8" s="1305"/>
      <c r="R8" s="1306">
        <f>SUM('WS Konsol'!W35:W44)</f>
        <v>3942996117</v>
      </c>
      <c r="S8" s="1307" t="s">
        <v>620</v>
      </c>
      <c r="T8" s="1308"/>
      <c r="AB8" s="795" t="s">
        <v>620</v>
      </c>
      <c r="AC8" s="1305">
        <f>AE8/$AJ$7</f>
        <v>8362.0038974483887</v>
      </c>
      <c r="AD8" s="1305"/>
      <c r="AE8" s="1306">
        <f>SUM('WS Konsol'!AF35:AF44)</f>
        <v>137312466</v>
      </c>
      <c r="AF8" s="1307" t="s">
        <v>620</v>
      </c>
      <c r="AG8" s="1308"/>
    </row>
    <row r="9" spans="2:36" ht="10.5" customHeight="1">
      <c r="B9" s="795" t="s">
        <v>1668</v>
      </c>
      <c r="C9" s="1305"/>
      <c r="D9" s="1305"/>
      <c r="E9" s="1306"/>
      <c r="F9" s="1309" t="s">
        <v>1669</v>
      </c>
      <c r="G9" s="1310"/>
      <c r="O9" s="795" t="s">
        <v>1668</v>
      </c>
      <c r="P9" s="1305"/>
      <c r="Q9" s="1305"/>
      <c r="R9" s="1306"/>
      <c r="S9" s="1309" t="s">
        <v>1669</v>
      </c>
      <c r="T9" s="1310"/>
      <c r="AB9" s="795" t="s">
        <v>1668</v>
      </c>
      <c r="AC9" s="1305"/>
      <c r="AD9" s="1305"/>
      <c r="AE9" s="1306"/>
      <c r="AF9" s="1309" t="s">
        <v>1669</v>
      </c>
      <c r="AG9" s="1310"/>
    </row>
    <row r="10" spans="2:36" ht="10.5" customHeight="1" thickBot="1">
      <c r="B10" s="795" t="s">
        <v>620</v>
      </c>
      <c r="C10" s="1311">
        <f>E10/$J$7</f>
        <v>5956138.6034525428</v>
      </c>
      <c r="D10" s="1305"/>
      <c r="E10" s="1311">
        <f>SUM('WS Konsol'!M76:M92)+SUM('WS Konsol'!M97:M104)</f>
        <v>96263112109</v>
      </c>
      <c r="F10" s="1307" t="s">
        <v>620</v>
      </c>
      <c r="G10" s="1308"/>
      <c r="O10" s="795" t="s">
        <v>620</v>
      </c>
      <c r="P10" s="1311">
        <f>R10/$W$7</f>
        <v>2234728.6973840664</v>
      </c>
      <c r="Q10" s="1305"/>
      <c r="R10" s="1311">
        <f>SUM('WS Konsol'!W77:W90)</f>
        <v>33829323021</v>
      </c>
      <c r="S10" s="1307" t="s">
        <v>620</v>
      </c>
      <c r="T10" s="1308"/>
      <c r="AB10" s="795" t="s">
        <v>620</v>
      </c>
      <c r="AC10" s="1311">
        <f>AE10/$AJ$7</f>
        <v>1683610.298946471</v>
      </c>
      <c r="AD10" s="1305"/>
      <c r="AE10" s="1311">
        <f>SUM('WS Konsol'!AF77:AF90)</f>
        <v>27646564719</v>
      </c>
      <c r="AF10" s="1307" t="s">
        <v>620</v>
      </c>
      <c r="AG10" s="1308"/>
    </row>
    <row r="11" spans="2:36" ht="10.5" customHeight="1">
      <c r="B11" s="894"/>
      <c r="C11" s="1299"/>
      <c r="D11" s="1299"/>
      <c r="E11" s="1300"/>
      <c r="F11" s="1312"/>
      <c r="G11" s="1313"/>
      <c r="O11" s="894"/>
      <c r="P11" s="1299"/>
      <c r="Q11" s="1299"/>
      <c r="R11" s="1300"/>
      <c r="S11" s="1312"/>
      <c r="T11" s="1313"/>
      <c r="AB11" s="894"/>
      <c r="AC11" s="1299"/>
      <c r="AD11" s="1299"/>
      <c r="AE11" s="1300"/>
      <c r="AF11" s="1312"/>
      <c r="AG11" s="1313"/>
    </row>
    <row r="12" spans="2:36" ht="10.5" customHeight="1" thickBot="1">
      <c r="B12" s="908" t="s">
        <v>1670</v>
      </c>
      <c r="C12" s="1314">
        <f>SUM(C8:C10)</f>
        <v>5986854.1333993319</v>
      </c>
      <c r="D12" s="1302"/>
      <c r="E12" s="1314">
        <f>SUM(E8:E10)</f>
        <v>96759536504</v>
      </c>
      <c r="F12" s="1315" t="s">
        <v>1671</v>
      </c>
      <c r="G12" s="1316"/>
      <c r="O12" s="908" t="s">
        <v>1670</v>
      </c>
      <c r="P12" s="1314">
        <f>SUM(P8:P10)</f>
        <v>2495198.7804201348</v>
      </c>
      <c r="Q12" s="1302"/>
      <c r="R12" s="1314">
        <f>SUM(R8:R10)</f>
        <v>37772319138</v>
      </c>
      <c r="S12" s="1315" t="s">
        <v>1671</v>
      </c>
      <c r="T12" s="1316"/>
      <c r="AB12" s="908" t="s">
        <v>1670</v>
      </c>
      <c r="AC12" s="1314">
        <f>SUM(AC8:AC10)</f>
        <v>1691972.3028439193</v>
      </c>
      <c r="AD12" s="1302"/>
      <c r="AE12" s="1314">
        <f>SUM(AE8:AE10)</f>
        <v>27783877185</v>
      </c>
      <c r="AF12" s="1315" t="s">
        <v>1671</v>
      </c>
      <c r="AG12" s="1316"/>
    </row>
    <row r="13" spans="2:36" ht="10.5" customHeight="1">
      <c r="B13" s="894"/>
      <c r="C13" s="1299"/>
      <c r="D13" s="1299"/>
      <c r="E13" s="1300"/>
      <c r="F13" s="1312"/>
      <c r="G13" s="1313"/>
      <c r="O13" s="894"/>
      <c r="P13" s="1299"/>
      <c r="Q13" s="1299"/>
      <c r="R13" s="1300"/>
      <c r="S13" s="1312"/>
      <c r="T13" s="1313"/>
      <c r="AB13" s="894"/>
      <c r="AC13" s="1299"/>
      <c r="AD13" s="1299"/>
      <c r="AE13" s="1300"/>
      <c r="AF13" s="1312"/>
      <c r="AG13" s="1313"/>
    </row>
    <row r="14" spans="2:36" ht="10.5" customHeight="1">
      <c r="B14" s="908" t="s">
        <v>167</v>
      </c>
      <c r="C14" s="1305"/>
      <c r="D14" s="1305"/>
      <c r="E14" s="1306"/>
      <c r="F14" s="1304" t="s">
        <v>187</v>
      </c>
      <c r="G14" s="1294"/>
      <c r="O14" s="908" t="s">
        <v>167</v>
      </c>
      <c r="P14" s="1305"/>
      <c r="Q14" s="1305"/>
      <c r="R14" s="1306"/>
      <c r="S14" s="1304" t="s">
        <v>187</v>
      </c>
      <c r="T14" s="1294"/>
      <c r="AB14" s="908" t="s">
        <v>167</v>
      </c>
      <c r="AC14" s="1305"/>
      <c r="AD14" s="1305"/>
      <c r="AE14" s="1306"/>
      <c r="AF14" s="1304" t="s">
        <v>187</v>
      </c>
      <c r="AG14" s="1294"/>
    </row>
    <row r="15" spans="2:36" ht="10.5" customHeight="1">
      <c r="B15" s="886" t="s">
        <v>1672</v>
      </c>
      <c r="C15" s="1306">
        <f>E15/$J$7</f>
        <v>6625000</v>
      </c>
      <c r="D15" s="1305"/>
      <c r="E15" s="1306">
        <f>SUM('WS Konsol'!M285:M286)+'WS Konsol'!M283+'WS Konsol'!M276+'WS Konsol'!M284</f>
        <v>107073250000</v>
      </c>
      <c r="F15" s="1309" t="s">
        <v>1673</v>
      </c>
      <c r="G15" s="1310"/>
      <c r="O15" s="886" t="s">
        <v>1672</v>
      </c>
      <c r="P15" s="1306">
        <f>R15/$W$7</f>
        <v>5114557.2070286693</v>
      </c>
      <c r="Q15" s="1305"/>
      <c r="R15" s="1306">
        <f>SUM('WS Konsol'!W285:W286)</f>
        <v>77424167000</v>
      </c>
      <c r="S15" s="1309" t="s">
        <v>1673</v>
      </c>
      <c r="T15" s="1310"/>
      <c r="AB15" s="886" t="s">
        <v>1672</v>
      </c>
      <c r="AC15" s="1306">
        <f>AE15/$AJ$7</f>
        <v>6017250</v>
      </c>
      <c r="AD15" s="1305"/>
      <c r="AE15" s="1306">
        <f>SUM('WS Konsol'!AF285:AF286)</f>
        <v>98809262250</v>
      </c>
      <c r="AF15" s="1309" t="s">
        <v>1673</v>
      </c>
      <c r="AG15" s="1310"/>
    </row>
    <row r="16" spans="2:36" ht="10.5" customHeight="1" thickBot="1">
      <c r="B16" s="909" t="s">
        <v>620</v>
      </c>
      <c r="C16" s="1317"/>
      <c r="D16" s="1305"/>
      <c r="E16" s="1311"/>
      <c r="F16" s="1307" t="s">
        <v>620</v>
      </c>
      <c r="G16" s="1308"/>
      <c r="O16" s="909" t="s">
        <v>620</v>
      </c>
      <c r="P16" s="1317"/>
      <c r="Q16" s="1305"/>
      <c r="R16" s="1311"/>
      <c r="S16" s="1307" t="s">
        <v>620</v>
      </c>
      <c r="T16" s="1308"/>
      <c r="AB16" s="909" t="s">
        <v>620</v>
      </c>
      <c r="AC16" s="1317"/>
      <c r="AD16" s="1305"/>
      <c r="AE16" s="1311"/>
      <c r="AF16" s="1307" t="s">
        <v>620</v>
      </c>
      <c r="AG16" s="1308"/>
    </row>
    <row r="17" spans="1:38" ht="10.5" customHeight="1">
      <c r="B17" s="894"/>
      <c r="C17" s="1299"/>
      <c r="D17" s="1299"/>
      <c r="E17" s="1300"/>
      <c r="F17" s="1318"/>
      <c r="G17" s="1319"/>
      <c r="O17" s="894"/>
      <c r="P17" s="1299"/>
      <c r="Q17" s="1299"/>
      <c r="R17" s="1300"/>
      <c r="S17" s="1318"/>
      <c r="T17" s="1319"/>
      <c r="AB17" s="894"/>
      <c r="AC17" s="1299"/>
      <c r="AD17" s="1299"/>
      <c r="AE17" s="1300"/>
      <c r="AF17" s="1318"/>
      <c r="AG17" s="1319"/>
    </row>
    <row r="18" spans="1:38" ht="10.5" customHeight="1" thickBot="1">
      <c r="B18" s="910" t="s">
        <v>1674</v>
      </c>
      <c r="C18" s="1314">
        <f>SUM(C15)</f>
        <v>6625000</v>
      </c>
      <c r="D18" s="1302"/>
      <c r="E18" s="1314">
        <f>SUM(E15)</f>
        <v>107073250000</v>
      </c>
      <c r="F18" s="1304" t="s">
        <v>1675</v>
      </c>
      <c r="G18" s="1294"/>
      <c r="O18" s="910" t="s">
        <v>1674</v>
      </c>
      <c r="P18" s="1314">
        <f>SUM(P15)</f>
        <v>5114557.2070286693</v>
      </c>
      <c r="Q18" s="1302"/>
      <c r="R18" s="1314">
        <f>SUM(R15)</f>
        <v>77424167000</v>
      </c>
      <c r="S18" s="1304" t="s">
        <v>1675</v>
      </c>
      <c r="T18" s="1294"/>
      <c r="AB18" s="910" t="s">
        <v>1674</v>
      </c>
      <c r="AC18" s="1314">
        <f>SUM(AC15)</f>
        <v>6017250</v>
      </c>
      <c r="AD18" s="1302"/>
      <c r="AE18" s="1314">
        <f>SUM(AE15)</f>
        <v>98809262250</v>
      </c>
      <c r="AF18" s="1304" t="s">
        <v>1675</v>
      </c>
      <c r="AG18" s="1294"/>
    </row>
    <row r="19" spans="1:38" ht="10.5" customHeight="1">
      <c r="B19" s="911"/>
      <c r="C19" s="1320"/>
      <c r="D19" s="1320"/>
      <c r="E19" s="1321"/>
      <c r="F19" s="1322"/>
      <c r="G19" s="1323"/>
      <c r="O19" s="911"/>
      <c r="P19" s="1320"/>
      <c r="Q19" s="1320"/>
      <c r="R19" s="1321"/>
      <c r="S19" s="1322"/>
      <c r="T19" s="1323"/>
      <c r="AB19" s="911"/>
      <c r="AC19" s="1320"/>
      <c r="AD19" s="1320"/>
      <c r="AE19" s="1321"/>
      <c r="AF19" s="1322"/>
      <c r="AG19" s="1323"/>
    </row>
    <row r="20" spans="1:38" ht="10.5" customHeight="1" thickBot="1">
      <c r="B20" s="884" t="s">
        <v>1676</v>
      </c>
      <c r="C20" s="1324">
        <f>C12-C18</f>
        <v>-638145.86660066806</v>
      </c>
      <c r="D20" s="1302"/>
      <c r="E20" s="1324">
        <f>E12-E18</f>
        <v>-10313713496</v>
      </c>
      <c r="F20" s="1304" t="s">
        <v>1677</v>
      </c>
      <c r="G20" s="1325"/>
      <c r="O20" s="884" t="s">
        <v>1676</v>
      </c>
      <c r="P20" s="1324">
        <f>P12-P18</f>
        <v>-2619358.4266085345</v>
      </c>
      <c r="Q20" s="1302"/>
      <c r="R20" s="1324">
        <f>R12-R18</f>
        <v>-39651847862</v>
      </c>
      <c r="S20" s="1304" t="s">
        <v>1677</v>
      </c>
      <c r="T20" s="1325"/>
      <c r="AB20" s="884" t="s">
        <v>1676</v>
      </c>
      <c r="AC20" s="1324">
        <f>AC12-AC18</f>
        <v>-4325277.697156081</v>
      </c>
      <c r="AD20" s="1302"/>
      <c r="AE20" s="1324">
        <f>AE12-AE18</f>
        <v>-71025385065</v>
      </c>
      <c r="AF20" s="1304" t="s">
        <v>1677</v>
      </c>
      <c r="AG20" s="1325"/>
    </row>
    <row r="21" spans="1:38" ht="10.5" customHeight="1" thickTop="1"/>
    <row r="24" spans="1:38" ht="15" customHeight="1">
      <c r="A24" s="1339" t="s">
        <v>1678</v>
      </c>
      <c r="B24" s="1340"/>
      <c r="N24" s="1339" t="s">
        <v>1678</v>
      </c>
      <c r="O24" s="1340"/>
      <c r="AA24" s="1339" t="s">
        <v>1678</v>
      </c>
      <c r="AB24" s="1340"/>
    </row>
    <row r="26" spans="1:38" ht="11.85" customHeight="1" thickBot="1">
      <c r="B26" s="886"/>
      <c r="C26" s="2490" t="s">
        <v>1679</v>
      </c>
      <c r="D26" s="2490"/>
      <c r="E26" s="2490"/>
      <c r="F26" s="2490"/>
      <c r="G26" s="2490"/>
      <c r="H26" s="2490"/>
      <c r="I26" s="2490"/>
      <c r="J26" s="1333"/>
      <c r="K26" s="1333"/>
      <c r="L26" s="1357"/>
      <c r="M26" s="1333"/>
      <c r="O26" s="886"/>
      <c r="P26" s="2490" t="s">
        <v>1680</v>
      </c>
      <c r="Q26" s="2490"/>
      <c r="R26" s="2490"/>
      <c r="S26" s="2490"/>
      <c r="T26" s="2490"/>
      <c r="U26" s="2490"/>
      <c r="V26" s="2490"/>
      <c r="W26" s="1333"/>
      <c r="X26" s="1333"/>
      <c r="Y26" s="1357"/>
      <c r="Z26" s="1326"/>
      <c r="AB26" s="886"/>
      <c r="AC26" s="2478" t="s">
        <v>1681</v>
      </c>
      <c r="AD26" s="2478"/>
      <c r="AE26" s="2478"/>
      <c r="AF26" s="2478"/>
      <c r="AG26" s="2478"/>
      <c r="AH26" s="2478"/>
      <c r="AI26" s="2478"/>
      <c r="AJ26" s="2478"/>
      <c r="AK26" s="1326"/>
      <c r="AL26" s="1325"/>
    </row>
    <row r="27" spans="1:38" ht="10.5" customHeight="1">
      <c r="B27" s="886"/>
      <c r="C27" s="1327" t="s">
        <v>1682</v>
      </c>
      <c r="D27" s="1327"/>
      <c r="E27" s="1327"/>
      <c r="F27" s="1327"/>
      <c r="G27" s="1327" t="s">
        <v>1683</v>
      </c>
      <c r="H27" s="1327"/>
      <c r="I27" s="1327"/>
      <c r="J27" s="1333"/>
      <c r="K27" s="1333"/>
      <c r="L27" s="1358"/>
      <c r="M27" s="1333"/>
      <c r="O27" s="886"/>
      <c r="P27" s="1327" t="s">
        <v>1682</v>
      </c>
      <c r="Q27" s="1327"/>
      <c r="R27" s="1327"/>
      <c r="S27" s="1327"/>
      <c r="T27" s="1327" t="s">
        <v>1683</v>
      </c>
      <c r="U27" s="1327"/>
      <c r="V27" s="1327"/>
      <c r="W27" s="1333"/>
      <c r="X27" s="1333"/>
      <c r="Y27" s="1358"/>
      <c r="Z27" s="1333"/>
      <c r="AB27" s="886"/>
      <c r="AC27" s="1327" t="s">
        <v>1682</v>
      </c>
      <c r="AD27" s="1327"/>
      <c r="AE27" s="1327"/>
      <c r="AF27" s="1327"/>
      <c r="AG27" s="1327" t="s">
        <v>1683</v>
      </c>
      <c r="AH27" s="1327"/>
      <c r="AI27" s="1327"/>
      <c r="AJ27" s="2478"/>
      <c r="AK27" s="2478"/>
      <c r="AL27" s="2478"/>
    </row>
    <row r="28" spans="1:38" ht="10.5" customHeight="1">
      <c r="B28" s="2486"/>
      <c r="C28" s="1326" t="s">
        <v>1684</v>
      </c>
      <c r="D28" s="1333"/>
      <c r="E28" s="1326"/>
      <c r="F28" s="1333"/>
      <c r="G28" s="1326" t="s">
        <v>1685</v>
      </c>
      <c r="H28" s="1333"/>
      <c r="I28" s="1326"/>
      <c r="J28" s="1333"/>
      <c r="K28" s="1333"/>
      <c r="L28" s="1358"/>
      <c r="M28" s="1333"/>
      <c r="O28" s="2486"/>
      <c r="P28" s="1326" t="s">
        <v>1684</v>
      </c>
      <c r="Q28" s="1333"/>
      <c r="R28" s="1326"/>
      <c r="S28" s="1333"/>
      <c r="T28" s="1326" t="s">
        <v>1685</v>
      </c>
      <c r="U28" s="1333"/>
      <c r="V28" s="1326"/>
      <c r="W28" s="1333"/>
      <c r="X28" s="1333"/>
      <c r="Y28" s="1358"/>
      <c r="Z28" s="1333"/>
      <c r="AB28" s="2486"/>
      <c r="AC28" s="1326" t="s">
        <v>1684</v>
      </c>
      <c r="AD28" s="2478"/>
      <c r="AE28" s="1326"/>
      <c r="AF28" s="2478"/>
      <c r="AG28" s="1326" t="s">
        <v>1685</v>
      </c>
      <c r="AH28" s="2478"/>
      <c r="AI28" s="1326"/>
      <c r="AJ28" s="2478"/>
      <c r="AK28" s="2478"/>
      <c r="AL28" s="2478"/>
    </row>
    <row r="29" spans="1:38" ht="10.5" customHeight="1">
      <c r="B29" s="2486"/>
      <c r="C29" s="1328" t="s">
        <v>1686</v>
      </c>
      <c r="D29" s="1333"/>
      <c r="E29" s="1326" t="s">
        <v>1687</v>
      </c>
      <c r="F29" s="1333"/>
      <c r="G29" s="1328" t="s">
        <v>1688</v>
      </c>
      <c r="H29" s="1333"/>
      <c r="I29" s="1326" t="s">
        <v>1689</v>
      </c>
      <c r="J29" s="1333"/>
      <c r="K29" s="1333"/>
      <c r="L29" s="1358"/>
      <c r="M29" s="1333"/>
      <c r="O29" s="2486"/>
      <c r="P29" s="1328" t="s">
        <v>1686</v>
      </c>
      <c r="Q29" s="1333"/>
      <c r="R29" s="1326" t="s">
        <v>1687</v>
      </c>
      <c r="S29" s="1333"/>
      <c r="T29" s="1328" t="s">
        <v>1688</v>
      </c>
      <c r="U29" s="1333"/>
      <c r="V29" s="1326" t="s">
        <v>1689</v>
      </c>
      <c r="W29" s="1333"/>
      <c r="X29" s="1333"/>
      <c r="Y29" s="1358"/>
      <c r="Z29" s="1333"/>
      <c r="AB29" s="2486"/>
      <c r="AC29" s="1328" t="s">
        <v>1686</v>
      </c>
      <c r="AD29" s="2478"/>
      <c r="AE29" s="1326" t="s">
        <v>1687</v>
      </c>
      <c r="AF29" s="2478"/>
      <c r="AG29" s="1328" t="s">
        <v>1688</v>
      </c>
      <c r="AH29" s="2478"/>
      <c r="AI29" s="1326" t="s">
        <v>1689</v>
      </c>
      <c r="AJ29" s="2478"/>
      <c r="AK29" s="2478"/>
      <c r="AL29" s="2478"/>
    </row>
    <row r="30" spans="1:38" ht="10.5" customHeight="1" thickBot="1">
      <c r="B30" s="2486"/>
      <c r="C30" s="1341"/>
      <c r="D30" s="1333"/>
      <c r="E30" s="1329" t="s">
        <v>1690</v>
      </c>
      <c r="F30" s="1333"/>
      <c r="G30" s="1341"/>
      <c r="H30" s="1333"/>
      <c r="I30" s="1329" t="s">
        <v>252</v>
      </c>
      <c r="J30" s="1333"/>
      <c r="K30" s="1333"/>
      <c r="L30" s="1358"/>
      <c r="M30" s="1333"/>
      <c r="O30" s="2486"/>
      <c r="P30" s="1341"/>
      <c r="Q30" s="1333"/>
      <c r="R30" s="1329" t="s">
        <v>1690</v>
      </c>
      <c r="S30" s="1333"/>
      <c r="T30" s="1341"/>
      <c r="U30" s="1333"/>
      <c r="V30" s="1329" t="s">
        <v>252</v>
      </c>
      <c r="W30" s="1333"/>
      <c r="X30" s="1333"/>
      <c r="Y30" s="1358"/>
      <c r="Z30" s="1333"/>
      <c r="AB30" s="2486"/>
      <c r="AC30" s="1341"/>
      <c r="AD30" s="2478"/>
      <c r="AE30" s="1329" t="s">
        <v>1690</v>
      </c>
      <c r="AF30" s="2478"/>
      <c r="AG30" s="1341"/>
      <c r="AH30" s="2478"/>
      <c r="AI30" s="1329" t="s">
        <v>252</v>
      </c>
      <c r="AJ30" s="2478"/>
      <c r="AK30" s="2478"/>
      <c r="AL30" s="2478"/>
    </row>
    <row r="31" spans="1:38" ht="10.5" customHeight="1">
      <c r="B31" s="916"/>
      <c r="C31" s="1330"/>
      <c r="D31" s="1330"/>
      <c r="E31" s="1330"/>
      <c r="F31" s="1330"/>
      <c r="G31" s="1330"/>
      <c r="H31" s="1330"/>
      <c r="I31" s="1330"/>
      <c r="J31" s="1353"/>
      <c r="K31" s="1353"/>
      <c r="L31" s="1359"/>
      <c r="M31" s="1353"/>
      <c r="O31" s="916"/>
      <c r="P31" s="1330"/>
      <c r="Q31" s="1330"/>
      <c r="R31" s="1330"/>
      <c r="S31" s="1330"/>
      <c r="T31" s="1330"/>
      <c r="U31" s="1330"/>
      <c r="V31" s="1330"/>
      <c r="W31" s="1353"/>
      <c r="X31" s="1353"/>
      <c r="Y31" s="1359"/>
      <c r="Z31" s="1353"/>
      <c r="AB31" s="916"/>
      <c r="AC31" s="1330"/>
      <c r="AD31" s="1330"/>
      <c r="AE31" s="1330"/>
      <c r="AF31" s="1330"/>
      <c r="AG31" s="1330"/>
      <c r="AH31" s="1330"/>
      <c r="AI31" s="1330"/>
      <c r="AJ31" s="2489"/>
      <c r="AK31" s="2489"/>
      <c r="AL31" s="2489"/>
    </row>
    <row r="32" spans="1:38" ht="12" customHeight="1">
      <c r="B32" s="795" t="s">
        <v>1691</v>
      </c>
      <c r="C32" s="1305"/>
      <c r="D32" s="1305"/>
      <c r="E32" s="1305"/>
      <c r="F32" s="1305"/>
      <c r="G32" s="1305"/>
      <c r="H32" s="1305"/>
      <c r="I32" s="1305"/>
      <c r="J32" s="1310" t="s">
        <v>1692</v>
      </c>
      <c r="K32" s="1310"/>
      <c r="L32" s="1360"/>
      <c r="M32" s="1310"/>
      <c r="O32" s="795" t="s">
        <v>1691</v>
      </c>
      <c r="P32" s="1305"/>
      <c r="Q32" s="1305"/>
      <c r="R32" s="1305"/>
      <c r="S32" s="1305"/>
      <c r="T32" s="1305"/>
      <c r="U32" s="1305"/>
      <c r="V32" s="1305"/>
      <c r="W32" s="1310" t="s">
        <v>1692</v>
      </c>
      <c r="X32" s="1310"/>
      <c r="Y32" s="1360"/>
      <c r="Z32" s="1310"/>
      <c r="AB32" s="795" t="s">
        <v>1691</v>
      </c>
      <c r="AC32" s="1305"/>
      <c r="AD32" s="1305"/>
      <c r="AE32" s="1305"/>
      <c r="AF32" s="1305"/>
      <c r="AG32" s="1305"/>
      <c r="AH32" s="1305"/>
      <c r="AI32" s="1305"/>
      <c r="AJ32" s="1310" t="s">
        <v>1692</v>
      </c>
      <c r="AK32" s="1310"/>
      <c r="AL32" s="1310"/>
    </row>
    <row r="33" spans="1:38" ht="12" customHeight="1">
      <c r="B33" s="795" t="s">
        <v>1063</v>
      </c>
      <c r="C33" s="1305">
        <f>'BS Konsol-Des 24'!G52</f>
        <v>10364486466</v>
      </c>
      <c r="D33" s="1305"/>
      <c r="E33" s="1306">
        <v>0</v>
      </c>
      <c r="F33" s="1305"/>
      <c r="G33" s="1306">
        <v>0</v>
      </c>
      <c r="H33" s="1305"/>
      <c r="I33" s="1305">
        <f>SUM(C33:G33)</f>
        <v>10364486466</v>
      </c>
      <c r="J33" s="1310" t="s">
        <v>1693</v>
      </c>
      <c r="K33" s="1310"/>
      <c r="L33" s="1360"/>
      <c r="M33" s="1310"/>
      <c r="O33" s="795" t="s">
        <v>1063</v>
      </c>
      <c r="P33" s="1305">
        <f>'BS Konsol-Des 24'!I52</f>
        <v>10645094570</v>
      </c>
      <c r="Q33" s="1305"/>
      <c r="R33" s="1306">
        <v>0</v>
      </c>
      <c r="S33" s="1305"/>
      <c r="T33" s="1306">
        <v>0</v>
      </c>
      <c r="U33" s="1305"/>
      <c r="V33" s="1305">
        <f>SUM(P33:T33)</f>
        <v>10645094570</v>
      </c>
      <c r="W33" s="1310" t="s">
        <v>1693</v>
      </c>
      <c r="X33" s="1310"/>
      <c r="Y33" s="1360"/>
      <c r="Z33" s="1310"/>
      <c r="AB33" s="795" t="s">
        <v>1063</v>
      </c>
      <c r="AC33" s="1305">
        <f>'BS Konsol'!H58</f>
        <v>14186291754</v>
      </c>
      <c r="AD33" s="1305"/>
      <c r="AE33" s="1306">
        <v>0</v>
      </c>
      <c r="AF33" s="1305"/>
      <c r="AG33" s="1306">
        <v>0</v>
      </c>
      <c r="AH33" s="1305"/>
      <c r="AI33" s="1305">
        <f>SUM(AC33:AG33)</f>
        <v>14186291754</v>
      </c>
      <c r="AJ33" s="1310" t="s">
        <v>1693</v>
      </c>
      <c r="AK33" s="1310"/>
      <c r="AL33" s="1310"/>
    </row>
    <row r="34" spans="1:38" ht="12" customHeight="1">
      <c r="B34" s="795"/>
      <c r="C34" s="1305"/>
      <c r="D34" s="1305"/>
      <c r="E34" s="1305"/>
      <c r="F34" s="1305"/>
      <c r="G34" s="1305"/>
      <c r="H34" s="1305"/>
      <c r="I34" s="1305"/>
      <c r="J34" s="1310" t="s">
        <v>1694</v>
      </c>
      <c r="K34" s="1310"/>
      <c r="L34" s="1360"/>
      <c r="M34" s="1310"/>
      <c r="O34" s="795"/>
      <c r="P34" s="1305"/>
      <c r="Q34" s="1305"/>
      <c r="R34" s="1305"/>
      <c r="S34" s="1305"/>
      <c r="T34" s="1305"/>
      <c r="U34" s="1305"/>
      <c r="V34" s="1305"/>
      <c r="W34" s="1310" t="s">
        <v>1694</v>
      </c>
      <c r="X34" s="1310"/>
      <c r="Y34" s="1360"/>
      <c r="Z34" s="1310"/>
      <c r="AB34" s="795"/>
      <c r="AC34" s="1305"/>
      <c r="AD34" s="1305"/>
      <c r="AE34" s="1305"/>
      <c r="AF34" s="1305"/>
      <c r="AG34" s="1305"/>
      <c r="AH34" s="1305"/>
      <c r="AI34" s="1305"/>
      <c r="AJ34" s="1310" t="s">
        <v>1694</v>
      </c>
      <c r="AK34" s="1310"/>
      <c r="AL34" s="1310"/>
    </row>
    <row r="35" spans="1:38" ht="12" customHeight="1">
      <c r="B35" s="795" t="s">
        <v>1456</v>
      </c>
      <c r="C35" s="1305"/>
      <c r="D35" s="1305"/>
      <c r="E35" s="1305"/>
      <c r="F35" s="1305"/>
      <c r="G35" s="1305"/>
      <c r="H35" s="1305"/>
      <c r="I35" s="1305"/>
      <c r="J35" s="1310" t="s">
        <v>1695</v>
      </c>
      <c r="K35" s="1310"/>
      <c r="L35" s="1360"/>
      <c r="M35" s="1310"/>
      <c r="O35" s="795" t="s">
        <v>1456</v>
      </c>
      <c r="P35" s="1305"/>
      <c r="Q35" s="1305"/>
      <c r="R35" s="1305"/>
      <c r="S35" s="1305"/>
      <c r="T35" s="1305"/>
      <c r="U35" s="1305"/>
      <c r="V35" s="1305"/>
      <c r="W35" s="1310" t="s">
        <v>1695</v>
      </c>
      <c r="X35" s="1310"/>
      <c r="Y35" s="1360"/>
      <c r="Z35" s="1310"/>
      <c r="AB35" s="795" t="s">
        <v>1456</v>
      </c>
      <c r="AC35" s="1305"/>
      <c r="AD35" s="1305"/>
      <c r="AE35" s="1305"/>
      <c r="AF35" s="1305"/>
      <c r="AG35" s="1305"/>
      <c r="AH35" s="1305"/>
      <c r="AI35" s="1305"/>
      <c r="AJ35" s="1310" t="s">
        <v>1695</v>
      </c>
      <c r="AK35" s="1310"/>
      <c r="AL35" s="1310"/>
    </row>
    <row r="36" spans="1:38" ht="12" customHeight="1">
      <c r="B36" s="795" t="s">
        <v>201</v>
      </c>
      <c r="C36" s="1305">
        <f>'BS Konsol-Des 24'!G61</f>
        <v>0</v>
      </c>
      <c r="D36" s="1305"/>
      <c r="E36" s="1306">
        <v>0</v>
      </c>
      <c r="F36" s="1305"/>
      <c r="G36" s="1306">
        <v>0</v>
      </c>
      <c r="H36" s="1305"/>
      <c r="I36" s="1305">
        <f t="shared" ref="I36:I37" si="0">SUM(C36:G36)</f>
        <v>0</v>
      </c>
      <c r="J36" s="1310" t="s">
        <v>1696</v>
      </c>
      <c r="K36" s="1310"/>
      <c r="L36" s="1360"/>
      <c r="M36" s="1310"/>
      <c r="O36" s="795" t="s">
        <v>201</v>
      </c>
      <c r="P36" s="1305">
        <f>'BS Konsol-Des 24'!I61</f>
        <v>19446177</v>
      </c>
      <c r="Q36" s="1305"/>
      <c r="R36" s="1306">
        <v>0</v>
      </c>
      <c r="S36" s="1305"/>
      <c r="T36" s="1306">
        <v>0</v>
      </c>
      <c r="U36" s="1305"/>
      <c r="V36" s="1305">
        <f t="shared" ref="V36:V37" si="1">SUM(P36:T36)</f>
        <v>19446177</v>
      </c>
      <c r="W36" s="1310" t="s">
        <v>1696</v>
      </c>
      <c r="X36" s="1310"/>
      <c r="Y36" s="1360"/>
      <c r="Z36" s="1310"/>
      <c r="AB36" s="795" t="s">
        <v>201</v>
      </c>
      <c r="AC36" s="1305">
        <f>'BS Konsol'!H66</f>
        <v>38822068</v>
      </c>
      <c r="AD36" s="1305"/>
      <c r="AE36" s="1306">
        <v>0</v>
      </c>
      <c r="AF36" s="1305"/>
      <c r="AG36" s="1306">
        <v>0</v>
      </c>
      <c r="AH36" s="1305"/>
      <c r="AI36" s="1305">
        <f t="shared" ref="AI36:AI37" si="2">SUM(AC36:AG36)</f>
        <v>38822068</v>
      </c>
      <c r="AJ36" s="1310" t="s">
        <v>1696</v>
      </c>
      <c r="AK36" s="1310"/>
      <c r="AL36" s="1310"/>
    </row>
    <row r="37" spans="1:38" ht="12" customHeight="1">
      <c r="B37" s="795" t="s">
        <v>76</v>
      </c>
      <c r="C37" s="1305">
        <f>'BS Konsol-Des 24'!G55+'BS Konsol-Des 24'!G64</f>
        <v>231271837921</v>
      </c>
      <c r="D37" s="1305"/>
      <c r="E37" s="1306">
        <v>0</v>
      </c>
      <c r="F37" s="1305"/>
      <c r="G37" s="1306">
        <v>0</v>
      </c>
      <c r="H37" s="1305"/>
      <c r="I37" s="1305">
        <f t="shared" si="0"/>
        <v>231271837921</v>
      </c>
      <c r="J37" s="1310" t="s">
        <v>1098</v>
      </c>
      <c r="K37" s="1310"/>
      <c r="L37" s="1360"/>
      <c r="M37" s="1310"/>
      <c r="O37" s="795" t="s">
        <v>76</v>
      </c>
      <c r="P37" s="1305">
        <f>'BS Konsol-Des 24'!I55+'BS Konsol-Des 24'!I64</f>
        <v>197771078247</v>
      </c>
      <c r="Q37" s="1305"/>
      <c r="R37" s="1306">
        <v>0</v>
      </c>
      <c r="S37" s="1305"/>
      <c r="T37" s="1306">
        <v>0</v>
      </c>
      <c r="U37" s="1305"/>
      <c r="V37" s="1305">
        <f t="shared" si="1"/>
        <v>197771078247</v>
      </c>
      <c r="W37" s="1310" t="s">
        <v>1098</v>
      </c>
      <c r="X37" s="1310"/>
      <c r="Y37" s="1360"/>
      <c r="Z37" s="1310"/>
      <c r="AB37" s="795" t="s">
        <v>76</v>
      </c>
      <c r="AC37" s="1305">
        <f>'BS Konsol'!H61+'BS Konsol'!H69</f>
        <v>209240909665</v>
      </c>
      <c r="AD37" s="1305"/>
      <c r="AE37" s="1306">
        <v>0</v>
      </c>
      <c r="AF37" s="1305"/>
      <c r="AG37" s="1306">
        <v>0</v>
      </c>
      <c r="AH37" s="1305"/>
      <c r="AI37" s="1305">
        <f t="shared" si="2"/>
        <v>209240909665</v>
      </c>
      <c r="AJ37" s="1310" t="s">
        <v>1098</v>
      </c>
      <c r="AK37" s="1310"/>
      <c r="AL37" s="1310"/>
    </row>
    <row r="38" spans="1:38" ht="10.5" customHeight="1">
      <c r="B38" s="795" t="s">
        <v>1541</v>
      </c>
      <c r="C38" s="1305"/>
      <c r="D38" s="1305"/>
      <c r="E38" s="1305"/>
      <c r="F38" s="1305"/>
      <c r="G38" s="1305"/>
      <c r="H38" s="1305"/>
      <c r="I38" s="1305"/>
      <c r="J38" s="1310"/>
      <c r="K38" s="1310"/>
      <c r="L38" s="1360"/>
      <c r="M38" s="1310"/>
      <c r="O38" s="795" t="s">
        <v>1541</v>
      </c>
      <c r="P38" s="1305"/>
      <c r="Q38" s="1305"/>
      <c r="R38" s="1305"/>
      <c r="S38" s="1305"/>
      <c r="T38" s="1305"/>
      <c r="U38" s="1305"/>
      <c r="V38" s="1305"/>
      <c r="W38" s="1310"/>
      <c r="X38" s="1310"/>
      <c r="Y38" s="1360"/>
      <c r="Z38" s="1310"/>
      <c r="AB38" s="795" t="s">
        <v>1541</v>
      </c>
      <c r="AC38" s="1305"/>
      <c r="AD38" s="1305"/>
      <c r="AE38" s="1305"/>
      <c r="AF38" s="1305"/>
      <c r="AG38" s="1305"/>
      <c r="AH38" s="1305"/>
      <c r="AI38" s="1305"/>
      <c r="AJ38" s="1310"/>
      <c r="AK38" s="1310"/>
      <c r="AL38" s="1310"/>
    </row>
    <row r="39" spans="1:38" ht="12" customHeight="1">
      <c r="B39" s="795" t="s">
        <v>1697</v>
      </c>
      <c r="C39" s="1305"/>
      <c r="D39" s="1305"/>
      <c r="E39" s="1305"/>
      <c r="F39" s="1305"/>
      <c r="G39" s="1305"/>
      <c r="H39" s="1305"/>
      <c r="I39" s="1305"/>
      <c r="J39" s="1310" t="s">
        <v>1698</v>
      </c>
      <c r="K39" s="1310"/>
      <c r="L39" s="1360"/>
      <c r="M39" s="1310"/>
      <c r="O39" s="795" t="s">
        <v>1697</v>
      </c>
      <c r="P39" s="1305"/>
      <c r="Q39" s="1305"/>
      <c r="R39" s="1305"/>
      <c r="S39" s="1305"/>
      <c r="T39" s="1305"/>
      <c r="U39" s="1305"/>
      <c r="V39" s="1305"/>
      <c r="W39" s="1310" t="s">
        <v>1698</v>
      </c>
      <c r="X39" s="1310"/>
      <c r="Y39" s="1360"/>
      <c r="Z39" s="1310"/>
      <c r="AB39" s="795" t="s">
        <v>1697</v>
      </c>
      <c r="AC39" s="1305"/>
      <c r="AD39" s="1305"/>
      <c r="AE39" s="1305"/>
      <c r="AF39" s="1305"/>
      <c r="AG39" s="1305"/>
      <c r="AH39" s="1305"/>
      <c r="AI39" s="1305"/>
      <c r="AJ39" s="1310" t="s">
        <v>1698</v>
      </c>
      <c r="AK39" s="1310"/>
      <c r="AL39" s="1310"/>
    </row>
    <row r="40" spans="1:38" ht="12" customHeight="1" thickBot="1">
      <c r="B40" s="795" t="s">
        <v>1699</v>
      </c>
      <c r="C40" s="1305">
        <f>'BS Konsol-Des 24'!G63</f>
        <v>0</v>
      </c>
      <c r="D40" s="1305"/>
      <c r="E40" s="1306">
        <v>0</v>
      </c>
      <c r="F40" s="1305"/>
      <c r="G40" s="1306">
        <v>0</v>
      </c>
      <c r="H40" s="1305"/>
      <c r="I40" s="1306">
        <f>SUM(C40:G40)</f>
        <v>0</v>
      </c>
      <c r="J40" s="1310" t="s">
        <v>1700</v>
      </c>
      <c r="K40" s="1310"/>
      <c r="L40" s="1360"/>
      <c r="M40" s="1310"/>
      <c r="O40" s="795" t="s">
        <v>1699</v>
      </c>
      <c r="P40" s="1305">
        <f>'BS Konsol-Des 24'!I63</f>
        <v>0</v>
      </c>
      <c r="Q40" s="1305"/>
      <c r="R40" s="1306">
        <v>0</v>
      </c>
      <c r="S40" s="1305"/>
      <c r="T40" s="1306">
        <v>0</v>
      </c>
      <c r="U40" s="1305"/>
      <c r="V40" s="1306">
        <f>SUM(P40:T40)</f>
        <v>0</v>
      </c>
      <c r="W40" s="1310" t="s">
        <v>1700</v>
      </c>
      <c r="X40" s="1310"/>
      <c r="Y40" s="1360"/>
      <c r="Z40" s="1310"/>
      <c r="AB40" s="795" t="s">
        <v>1699</v>
      </c>
      <c r="AC40" s="1305">
        <f>'BS Konsol'!H68</f>
        <v>0</v>
      </c>
      <c r="AD40" s="1305"/>
      <c r="AE40" s="1306">
        <v>0</v>
      </c>
      <c r="AF40" s="1305"/>
      <c r="AG40" s="1306">
        <v>0</v>
      </c>
      <c r="AH40" s="1305"/>
      <c r="AI40" s="1306">
        <f>SUM(AC40:AG40)</f>
        <v>0</v>
      </c>
      <c r="AJ40" s="1310" t="s">
        <v>1700</v>
      </c>
      <c r="AK40" s="1310"/>
      <c r="AL40" s="1310"/>
    </row>
    <row r="41" spans="1:38" ht="10.5" customHeight="1">
      <c r="B41" s="917"/>
      <c r="C41" s="1331"/>
      <c r="D41" s="1299"/>
      <c r="E41" s="1331"/>
      <c r="F41" s="1299"/>
      <c r="G41" s="1331"/>
      <c r="H41" s="1299"/>
      <c r="I41" s="1331"/>
      <c r="J41" s="1334"/>
      <c r="K41" s="1334"/>
      <c r="L41" s="1360"/>
      <c r="M41" s="1334"/>
      <c r="O41" s="917"/>
      <c r="P41" s="1331"/>
      <c r="Q41" s="1299"/>
      <c r="R41" s="1331"/>
      <c r="S41" s="1299"/>
      <c r="T41" s="1331"/>
      <c r="U41" s="1299"/>
      <c r="V41" s="1331"/>
      <c r="W41" s="1334"/>
      <c r="X41" s="1334"/>
      <c r="Y41" s="1360"/>
      <c r="Z41" s="1335"/>
      <c r="AB41" s="917"/>
      <c r="AC41" s="1331"/>
      <c r="AD41" s="1299"/>
      <c r="AE41" s="1331"/>
      <c r="AF41" s="1299"/>
      <c r="AG41" s="1331"/>
      <c r="AH41" s="1299"/>
      <c r="AI41" s="1331"/>
      <c r="AJ41" s="2487"/>
      <c r="AK41" s="2487"/>
      <c r="AL41" s="2487"/>
    </row>
    <row r="42" spans="1:38" ht="12.6" customHeight="1" thickBot="1">
      <c r="B42" s="910" t="s">
        <v>1625</v>
      </c>
      <c r="C42" s="1332">
        <f>SUM(C33:C40)</f>
        <v>241636324387</v>
      </c>
      <c r="D42" s="1333"/>
      <c r="E42" s="1332"/>
      <c r="F42" s="1302"/>
      <c r="G42" s="1332"/>
      <c r="H42" s="1302"/>
      <c r="I42" s="1332">
        <f>SUM(I33:I40)</f>
        <v>241636324387</v>
      </c>
      <c r="J42" s="1316" t="s">
        <v>252</v>
      </c>
      <c r="K42" s="1316"/>
      <c r="L42" s="1360"/>
      <c r="M42" s="1316"/>
      <c r="O42" s="910" t="s">
        <v>1625</v>
      </c>
      <c r="P42" s="1332">
        <f>SUM(P33:P40)</f>
        <v>208435618994</v>
      </c>
      <c r="Q42" s="1333"/>
      <c r="R42" s="1332"/>
      <c r="S42" s="1302"/>
      <c r="T42" s="1332"/>
      <c r="U42" s="1302"/>
      <c r="V42" s="1332">
        <f>SUM(V33:V40)</f>
        <v>208435618994</v>
      </c>
      <c r="W42" s="1316" t="s">
        <v>252</v>
      </c>
      <c r="X42" s="1316"/>
      <c r="Y42" s="1360"/>
      <c r="Z42" s="1316"/>
      <c r="AB42" s="910" t="s">
        <v>1625</v>
      </c>
      <c r="AC42" s="1332">
        <f>SUM(AC33:AC40)</f>
        <v>223466023487</v>
      </c>
      <c r="AD42" s="1333"/>
      <c r="AE42" s="1332"/>
      <c r="AF42" s="1302"/>
      <c r="AG42" s="1332"/>
      <c r="AH42" s="1302"/>
      <c r="AI42" s="1332">
        <f>SUM(AI33:AI40)</f>
        <v>223466023487</v>
      </c>
      <c r="AJ42" s="2488" t="s">
        <v>252</v>
      </c>
      <c r="AK42" s="2488"/>
      <c r="AL42" s="2488"/>
    </row>
    <row r="43" spans="1:38" ht="10.5" customHeight="1" thickTop="1">
      <c r="L43" s="1360"/>
      <c r="Y43" s="1360"/>
    </row>
    <row r="44" spans="1:38" ht="10.5" customHeight="1">
      <c r="L44" s="1360"/>
      <c r="Y44" s="1360"/>
    </row>
    <row r="45" spans="1:38" ht="10.5" customHeight="1">
      <c r="L45" s="1360"/>
      <c r="Y45" s="1360"/>
    </row>
    <row r="46" spans="1:38" ht="10.5" customHeight="1">
      <c r="L46" s="1360"/>
      <c r="Y46" s="1360"/>
    </row>
    <row r="47" spans="1:38" ht="10.5" customHeight="1">
      <c r="L47" s="1360"/>
      <c r="Y47" s="1360"/>
    </row>
    <row r="48" spans="1:38" ht="14.85" customHeight="1">
      <c r="A48" s="1339" t="s">
        <v>1701</v>
      </c>
      <c r="B48" s="1340"/>
      <c r="C48" s="1342"/>
      <c r="N48" s="1339" t="s">
        <v>1701</v>
      </c>
      <c r="O48" s="1340"/>
      <c r="P48" s="1342"/>
      <c r="AA48" s="1339" t="s">
        <v>1701</v>
      </c>
      <c r="AB48" s="1340"/>
      <c r="AC48" s="1342"/>
    </row>
    <row r="49" spans="1:39" s="1344" customFormat="1" ht="14.85" customHeight="1">
      <c r="A49" s="1343"/>
      <c r="C49" s="1345"/>
      <c r="D49" s="1345"/>
      <c r="E49" s="1346"/>
      <c r="F49" s="1345"/>
      <c r="G49" s="1345"/>
      <c r="H49" s="1345"/>
      <c r="I49" s="1345"/>
      <c r="J49" s="1345"/>
      <c r="K49" s="1345"/>
      <c r="L49" s="1361"/>
      <c r="M49" s="1345"/>
      <c r="N49" s="1343"/>
      <c r="P49" s="1345"/>
      <c r="Q49" s="1345"/>
      <c r="R49" s="1346"/>
      <c r="S49" s="1345"/>
      <c r="T49" s="1345"/>
      <c r="U49" s="1345"/>
      <c r="V49" s="1345"/>
      <c r="W49" s="1345"/>
      <c r="X49" s="1345"/>
      <c r="Y49" s="1361"/>
      <c r="Z49" s="1345"/>
      <c r="AA49" s="1343"/>
      <c r="AC49" s="1345"/>
      <c r="AD49" s="1345"/>
      <c r="AE49" s="1346"/>
      <c r="AF49" s="1345"/>
      <c r="AG49" s="1345"/>
      <c r="AH49" s="1345"/>
      <c r="AI49" s="1345"/>
      <c r="AJ49" s="1345"/>
      <c r="AK49" s="1345"/>
      <c r="AL49" s="1345"/>
      <c r="AM49" s="1345"/>
    </row>
    <row r="50" spans="1:39" s="1344" customFormat="1" ht="10.5" customHeight="1">
      <c r="B50" s="2479"/>
      <c r="C50" s="1326" t="s">
        <v>1702</v>
      </c>
      <c r="D50" s="2478"/>
      <c r="E50" s="1326" t="s">
        <v>1703</v>
      </c>
      <c r="F50" s="2480"/>
      <c r="G50" s="1326" t="s">
        <v>1704</v>
      </c>
      <c r="H50" s="2480"/>
      <c r="I50" s="1326" t="s">
        <v>1689</v>
      </c>
      <c r="J50" s="2478"/>
      <c r="K50" s="1326"/>
      <c r="L50" s="1361"/>
      <c r="M50" s="1326"/>
      <c r="O50" s="2479"/>
      <c r="P50" s="1326" t="s">
        <v>1702</v>
      </c>
      <c r="Q50" s="2478"/>
      <c r="R50" s="1326" t="s">
        <v>1703</v>
      </c>
      <c r="S50" s="2480"/>
      <c r="T50" s="1326" t="s">
        <v>1704</v>
      </c>
      <c r="U50" s="2480"/>
      <c r="V50" s="1326" t="s">
        <v>1689</v>
      </c>
      <c r="W50" s="2478"/>
      <c r="X50" s="1326"/>
      <c r="Y50" s="1361"/>
      <c r="Z50" s="1345"/>
      <c r="AB50" s="2479"/>
      <c r="AC50" s="1326" t="s">
        <v>1702</v>
      </c>
      <c r="AD50" s="2478"/>
      <c r="AE50" s="1326" t="s">
        <v>1703</v>
      </c>
      <c r="AF50" s="2480"/>
      <c r="AG50" s="1326" t="s">
        <v>1704</v>
      </c>
      <c r="AH50" s="2480"/>
      <c r="AI50" s="1326" t="s">
        <v>1689</v>
      </c>
      <c r="AJ50" s="2478"/>
      <c r="AK50" s="1345"/>
      <c r="AL50" s="1345"/>
      <c r="AM50" s="1345"/>
    </row>
    <row r="51" spans="1:39" s="1344" customFormat="1" ht="10.5" customHeight="1" thickBot="1">
      <c r="B51" s="2479"/>
      <c r="C51" s="1329" t="s">
        <v>1705</v>
      </c>
      <c r="D51" s="2478"/>
      <c r="E51" s="1329" t="s">
        <v>1706</v>
      </c>
      <c r="F51" s="2480"/>
      <c r="G51" s="1329" t="s">
        <v>1707</v>
      </c>
      <c r="H51" s="2480"/>
      <c r="I51" s="1329" t="s">
        <v>252</v>
      </c>
      <c r="J51" s="2478"/>
      <c r="K51" s="1326"/>
      <c r="L51" s="1361"/>
      <c r="M51" s="1326"/>
      <c r="O51" s="2479"/>
      <c r="P51" s="1329" t="s">
        <v>1705</v>
      </c>
      <c r="Q51" s="2478"/>
      <c r="R51" s="1329" t="s">
        <v>1706</v>
      </c>
      <c r="S51" s="2480"/>
      <c r="T51" s="1329" t="s">
        <v>1707</v>
      </c>
      <c r="U51" s="2480"/>
      <c r="V51" s="1329" t="s">
        <v>252</v>
      </c>
      <c r="W51" s="2478"/>
      <c r="X51" s="1326"/>
      <c r="Y51" s="1361"/>
      <c r="Z51" s="1345"/>
      <c r="AB51" s="2479"/>
      <c r="AC51" s="1329" t="s">
        <v>1705</v>
      </c>
      <c r="AD51" s="2478"/>
      <c r="AE51" s="1329" t="s">
        <v>1706</v>
      </c>
      <c r="AF51" s="2480"/>
      <c r="AG51" s="1329" t="s">
        <v>1707</v>
      </c>
      <c r="AH51" s="2480"/>
      <c r="AI51" s="1329" t="s">
        <v>252</v>
      </c>
      <c r="AJ51" s="2478"/>
      <c r="AK51" s="1345"/>
      <c r="AL51" s="1345"/>
      <c r="AM51" s="1345"/>
    </row>
    <row r="52" spans="1:39" s="1344" customFormat="1" ht="10.5" customHeight="1">
      <c r="B52" s="2479" t="s">
        <v>468</v>
      </c>
      <c r="C52" s="2481"/>
      <c r="D52" s="2482"/>
      <c r="E52" s="2481"/>
      <c r="F52" s="2483"/>
      <c r="G52" s="2481"/>
      <c r="H52" s="2483"/>
      <c r="I52" s="2477"/>
      <c r="J52" s="2478"/>
      <c r="K52" s="1326"/>
      <c r="L52" s="1361"/>
      <c r="M52" s="1326"/>
      <c r="O52" s="2479" t="s">
        <v>468</v>
      </c>
      <c r="P52" s="2481"/>
      <c r="Q52" s="2482"/>
      <c r="R52" s="2481"/>
      <c r="S52" s="2483"/>
      <c r="T52" s="2481"/>
      <c r="U52" s="2483"/>
      <c r="V52" s="2477"/>
      <c r="W52" s="2478"/>
      <c r="X52" s="1326"/>
      <c r="Y52" s="1361"/>
      <c r="Z52" s="1345"/>
      <c r="AB52" s="2479" t="s">
        <v>468</v>
      </c>
      <c r="AC52" s="2481"/>
      <c r="AD52" s="2482"/>
      <c r="AE52" s="2481"/>
      <c r="AF52" s="2483"/>
      <c r="AG52" s="2481"/>
      <c r="AH52" s="2483"/>
      <c r="AI52" s="2477"/>
      <c r="AJ52" s="2478"/>
      <c r="AK52" s="1345"/>
      <c r="AL52" s="1345"/>
      <c r="AM52" s="1345"/>
    </row>
    <row r="53" spans="1:39" s="1344" customFormat="1" ht="10.5" customHeight="1">
      <c r="B53" s="2479"/>
      <c r="C53" s="2482"/>
      <c r="D53" s="2482"/>
      <c r="E53" s="2482"/>
      <c r="F53" s="2483"/>
      <c r="G53" s="2482"/>
      <c r="H53" s="2483"/>
      <c r="I53" s="2478"/>
      <c r="J53" s="2478"/>
      <c r="K53" s="1326"/>
      <c r="L53" s="1361"/>
      <c r="M53" s="1326"/>
      <c r="O53" s="2479"/>
      <c r="P53" s="2482"/>
      <c r="Q53" s="2482"/>
      <c r="R53" s="2482"/>
      <c r="S53" s="2483"/>
      <c r="T53" s="2482"/>
      <c r="U53" s="2483"/>
      <c r="V53" s="2478"/>
      <c r="W53" s="2478"/>
      <c r="X53" s="1326"/>
      <c r="Y53" s="1361"/>
      <c r="Z53" s="1345"/>
      <c r="AB53" s="2479"/>
      <c r="AC53" s="2482"/>
      <c r="AD53" s="2482"/>
      <c r="AE53" s="2482"/>
      <c r="AF53" s="2483"/>
      <c r="AG53" s="2482"/>
      <c r="AH53" s="2483"/>
      <c r="AI53" s="2478"/>
      <c r="AJ53" s="2478"/>
      <c r="AK53" s="1345"/>
      <c r="AL53" s="1345"/>
      <c r="AM53" s="1345"/>
    </row>
    <row r="54" spans="1:39" s="1344" customFormat="1" ht="10.5" customHeight="1">
      <c r="B54" s="1362" t="s">
        <v>376</v>
      </c>
      <c r="C54" s="1305"/>
      <c r="D54" s="1305"/>
      <c r="E54" s="1305"/>
      <c r="F54" s="1305"/>
      <c r="G54" s="1305"/>
      <c r="H54" s="1305"/>
      <c r="I54" s="1348"/>
      <c r="J54" s="1349" t="s">
        <v>1529</v>
      </c>
      <c r="K54" s="1349"/>
      <c r="L54" s="1361"/>
      <c r="M54" s="1349"/>
      <c r="O54" s="1362" t="s">
        <v>1708</v>
      </c>
      <c r="P54" s="1305"/>
      <c r="Q54" s="1305"/>
      <c r="R54" s="1305"/>
      <c r="S54" s="1305"/>
      <c r="T54" s="1305"/>
      <c r="U54" s="1305"/>
      <c r="V54" s="1348"/>
      <c r="W54" s="1349" t="s">
        <v>1709</v>
      </c>
      <c r="X54" s="1349"/>
      <c r="Y54" s="1361"/>
      <c r="Z54" s="1345"/>
      <c r="AB54" s="1347" t="s">
        <v>381</v>
      </c>
      <c r="AC54" s="1305"/>
      <c r="AD54" s="1305"/>
      <c r="AE54" s="1305"/>
      <c r="AF54" s="1305"/>
      <c r="AG54" s="1305"/>
      <c r="AH54" s="1305"/>
      <c r="AI54" s="1348"/>
      <c r="AJ54" s="1349" t="s">
        <v>1710</v>
      </c>
      <c r="AK54" s="1345"/>
      <c r="AL54" s="1345"/>
      <c r="AM54" s="1345"/>
    </row>
    <row r="55" spans="1:39" s="1344" customFormat="1" ht="10.5" customHeight="1">
      <c r="B55" s="1347" t="s">
        <v>1711</v>
      </c>
      <c r="C55" s="1305"/>
      <c r="D55" s="1305"/>
      <c r="E55" s="1305"/>
      <c r="F55" s="1305"/>
      <c r="G55" s="1305"/>
      <c r="H55" s="1305"/>
      <c r="I55" s="1305"/>
      <c r="J55" s="1349" t="s">
        <v>1712</v>
      </c>
      <c r="K55" s="1349"/>
      <c r="L55" s="1361"/>
      <c r="M55" s="1349"/>
      <c r="O55" s="1347" t="s">
        <v>1711</v>
      </c>
      <c r="P55" s="1305"/>
      <c r="Q55" s="1305"/>
      <c r="R55" s="1305"/>
      <c r="S55" s="1305"/>
      <c r="T55" s="1305"/>
      <c r="U55" s="1305"/>
      <c r="V55" s="1305"/>
      <c r="W55" s="1349" t="s">
        <v>1712</v>
      </c>
      <c r="X55" s="1349"/>
      <c r="Y55" s="1361"/>
      <c r="Z55" s="1345"/>
      <c r="AB55" s="1347" t="s">
        <v>1711</v>
      </c>
      <c r="AC55" s="1305"/>
      <c r="AD55" s="1305"/>
      <c r="AE55" s="1305"/>
      <c r="AF55" s="1305"/>
      <c r="AG55" s="1305"/>
      <c r="AH55" s="1305"/>
      <c r="AI55" s="1305"/>
      <c r="AJ55" s="1349" t="s">
        <v>1712</v>
      </c>
      <c r="AK55" s="1345"/>
      <c r="AL55" s="1345"/>
      <c r="AM55" s="1345"/>
    </row>
    <row r="56" spans="1:39" s="1344" customFormat="1" ht="10.5" customHeight="1">
      <c r="B56" s="1347" t="s">
        <v>1713</v>
      </c>
      <c r="C56" s="1305"/>
      <c r="D56" s="1305"/>
      <c r="E56" s="1305"/>
      <c r="F56" s="1305"/>
      <c r="G56" s="1305"/>
      <c r="H56" s="1305"/>
      <c r="I56" s="1305"/>
      <c r="J56" s="1349" t="s">
        <v>1714</v>
      </c>
      <c r="K56" s="1349"/>
      <c r="L56" s="1361"/>
      <c r="M56" s="1349"/>
      <c r="O56" s="1347" t="s">
        <v>1713</v>
      </c>
      <c r="P56" s="1305"/>
      <c r="Q56" s="1305"/>
      <c r="R56" s="1305"/>
      <c r="S56" s="1305"/>
      <c r="T56" s="1305"/>
      <c r="U56" s="1305"/>
      <c r="V56" s="1305"/>
      <c r="W56" s="1349" t="s">
        <v>1714</v>
      </c>
      <c r="X56" s="1349"/>
      <c r="Y56" s="1361"/>
      <c r="Z56" s="1345"/>
      <c r="AB56" s="1347" t="s">
        <v>1713</v>
      </c>
      <c r="AC56" s="1305"/>
      <c r="AD56" s="1305"/>
      <c r="AE56" s="1305"/>
      <c r="AF56" s="1305"/>
      <c r="AG56" s="1305"/>
      <c r="AH56" s="1305"/>
      <c r="AI56" s="1305"/>
      <c r="AJ56" s="1349" t="s">
        <v>1714</v>
      </c>
      <c r="AK56" s="1345"/>
      <c r="AL56" s="1345"/>
      <c r="AM56" s="1345"/>
    </row>
    <row r="57" spans="1:39" s="1344" customFormat="1" ht="10.5" customHeight="1">
      <c r="B57" s="795"/>
      <c r="C57" s="1305"/>
      <c r="D57" s="1305"/>
      <c r="E57" s="1305"/>
      <c r="F57" s="1305"/>
      <c r="G57" s="1305"/>
      <c r="H57" s="1305"/>
      <c r="I57" s="1305"/>
      <c r="J57" s="1310"/>
      <c r="K57" s="1310"/>
      <c r="L57" s="1361"/>
      <c r="M57" s="1310"/>
      <c r="O57" s="795"/>
      <c r="P57" s="1305"/>
      <c r="Q57" s="1305"/>
      <c r="R57" s="1305"/>
      <c r="S57" s="1305"/>
      <c r="T57" s="1305"/>
      <c r="U57" s="1305"/>
      <c r="V57" s="1305"/>
      <c r="W57" s="1310"/>
      <c r="X57" s="1310"/>
      <c r="Y57" s="1361"/>
      <c r="Z57" s="1345"/>
      <c r="AB57" s="795"/>
      <c r="AC57" s="1305"/>
      <c r="AD57" s="1305"/>
      <c r="AE57" s="1305"/>
      <c r="AF57" s="1305"/>
      <c r="AG57" s="1305"/>
      <c r="AH57" s="1305"/>
      <c r="AI57" s="1305"/>
      <c r="AJ57" s="1310"/>
      <c r="AK57" s="1345"/>
      <c r="AL57" s="1345"/>
      <c r="AM57" s="1345"/>
    </row>
    <row r="58" spans="1:39" s="1344" customFormat="1" ht="10.5" customHeight="1">
      <c r="B58" s="795" t="s">
        <v>1715</v>
      </c>
      <c r="C58" s="1305"/>
      <c r="D58" s="1305"/>
      <c r="E58" s="1305"/>
      <c r="F58" s="1305"/>
      <c r="G58" s="1305"/>
      <c r="H58" s="1305"/>
      <c r="I58" s="1305"/>
      <c r="J58" s="1310" t="s">
        <v>1716</v>
      </c>
      <c r="K58" s="1310"/>
      <c r="L58" s="1361"/>
      <c r="M58" s="1310"/>
      <c r="O58" s="795" t="s">
        <v>1715</v>
      </c>
      <c r="P58" s="1305"/>
      <c r="Q58" s="1305"/>
      <c r="R58" s="1305"/>
      <c r="S58" s="1305"/>
      <c r="T58" s="1305"/>
      <c r="U58" s="1305"/>
      <c r="V58" s="1305"/>
      <c r="W58" s="1310" t="s">
        <v>1716</v>
      </c>
      <c r="X58" s="1310"/>
      <c r="Y58" s="1361"/>
      <c r="Z58" s="1345"/>
      <c r="AB58" s="795" t="s">
        <v>1715</v>
      </c>
      <c r="AC58" s="1305"/>
      <c r="AD58" s="1305"/>
      <c r="AE58" s="1305"/>
      <c r="AF58" s="1305"/>
      <c r="AG58" s="1305"/>
      <c r="AH58" s="1305"/>
      <c r="AI58" s="1305"/>
      <c r="AJ58" s="1310" t="s">
        <v>1716</v>
      </c>
      <c r="AK58" s="1345"/>
      <c r="AL58" s="1345"/>
      <c r="AM58" s="1345"/>
    </row>
    <row r="59" spans="1:39" s="1344" customFormat="1" ht="10.5" customHeight="1" thickBot="1">
      <c r="B59" s="795" t="s">
        <v>201</v>
      </c>
      <c r="C59" s="1350" t="s">
        <v>315</v>
      </c>
      <c r="D59" s="1305"/>
      <c r="E59" s="1350">
        <f>'BS Konsol-Des 24'!G29</f>
        <v>66637513685</v>
      </c>
      <c r="F59" s="1305"/>
      <c r="G59" s="1350" t="s">
        <v>315</v>
      </c>
      <c r="H59" s="1305"/>
      <c r="I59" s="1350">
        <f>SUM(C59:H59)</f>
        <v>66637513685</v>
      </c>
      <c r="J59" s="1310" t="s">
        <v>1082</v>
      </c>
      <c r="K59" s="1310"/>
      <c r="L59" s="1361"/>
      <c r="M59" s="1310"/>
      <c r="O59" s="795" t="s">
        <v>201</v>
      </c>
      <c r="P59" s="1350" t="s">
        <v>315</v>
      </c>
      <c r="Q59" s="1305"/>
      <c r="R59" s="1350">
        <f>'BS Konsol-Des 24'!I29</f>
        <v>68366993855</v>
      </c>
      <c r="S59" s="1305"/>
      <c r="T59" s="1350" t="s">
        <v>315</v>
      </c>
      <c r="U59" s="1305"/>
      <c r="V59" s="1350">
        <f>SUM(P59:U59)</f>
        <v>68366993855</v>
      </c>
      <c r="W59" s="1310" t="s">
        <v>1082</v>
      </c>
      <c r="X59" s="1310"/>
      <c r="Y59" s="1361"/>
      <c r="Z59" s="1345"/>
      <c r="AB59" s="795" t="s">
        <v>201</v>
      </c>
      <c r="AC59" s="1350" t="s">
        <v>315</v>
      </c>
      <c r="AD59" s="1305"/>
      <c r="AE59" s="1350">
        <f>'BS Konsol-Des 24'!M29</f>
        <v>70317926651</v>
      </c>
      <c r="AF59" s="1305"/>
      <c r="AG59" s="1350" t="s">
        <v>315</v>
      </c>
      <c r="AH59" s="1305"/>
      <c r="AI59" s="1350">
        <f>SUM(AC59:AH59)</f>
        <v>70317926651</v>
      </c>
      <c r="AJ59" s="1310" t="s">
        <v>1082</v>
      </c>
      <c r="AK59" s="1345"/>
      <c r="AL59" s="1345"/>
      <c r="AM59" s="1345"/>
    </row>
    <row r="60" spans="1:39" s="1344" customFormat="1" ht="10.5" customHeight="1" thickTop="1">
      <c r="C60" s="1345"/>
      <c r="D60" s="1345"/>
      <c r="E60" s="1351"/>
      <c r="F60" s="1345"/>
      <c r="G60" s="1345"/>
      <c r="H60" s="1345"/>
      <c r="I60" s="1345"/>
      <c r="J60" s="1345"/>
      <c r="K60" s="1345"/>
      <c r="L60" s="1361"/>
      <c r="M60" s="1345"/>
      <c r="P60" s="1345"/>
      <c r="Q60" s="1345"/>
      <c r="R60" s="1351"/>
      <c r="S60" s="1345"/>
      <c r="T60" s="1345"/>
      <c r="U60" s="1345"/>
      <c r="V60" s="1345"/>
      <c r="W60" s="1345"/>
      <c r="X60" s="1345"/>
      <c r="Y60" s="1361"/>
      <c r="Z60" s="1345"/>
      <c r="AC60" s="1345"/>
      <c r="AD60" s="1345"/>
      <c r="AE60" s="1351"/>
      <c r="AF60" s="1345"/>
      <c r="AG60" s="1345"/>
      <c r="AH60" s="1345"/>
      <c r="AI60" s="1345"/>
      <c r="AJ60" s="1345"/>
      <c r="AK60" s="1345"/>
      <c r="AL60" s="1345"/>
      <c r="AM60" s="1345"/>
    </row>
    <row r="61" spans="1:39" s="1344" customFormat="1" ht="10.5" customHeight="1">
      <c r="C61" s="1345"/>
      <c r="D61" s="1345"/>
      <c r="E61" s="1351"/>
      <c r="F61" s="1345"/>
      <c r="G61" s="1345"/>
      <c r="H61" s="1345"/>
      <c r="I61" s="1345"/>
      <c r="J61" s="1345"/>
      <c r="K61" s="1345"/>
      <c r="L61" s="1361"/>
      <c r="M61" s="1345"/>
      <c r="P61" s="1345"/>
      <c r="Q61" s="1345"/>
      <c r="R61" s="1351"/>
      <c r="S61" s="1345"/>
      <c r="T61" s="1345"/>
      <c r="U61" s="1345"/>
      <c r="V61" s="1345"/>
      <c r="W61" s="1345"/>
      <c r="X61" s="1345"/>
      <c r="Y61" s="1361"/>
      <c r="Z61" s="1345"/>
      <c r="AC61" s="1345"/>
      <c r="AD61" s="1345"/>
      <c r="AE61" s="1351"/>
      <c r="AF61" s="1345"/>
      <c r="AG61" s="1345"/>
      <c r="AH61" s="1345"/>
      <c r="AI61" s="1345"/>
      <c r="AJ61" s="1345"/>
      <c r="AK61" s="1345"/>
      <c r="AL61" s="1345"/>
      <c r="AM61" s="1345"/>
    </row>
    <row r="62" spans="1:39" s="1344" customFormat="1" ht="10.5" customHeight="1">
      <c r="C62" s="1345"/>
      <c r="D62" s="1345"/>
      <c r="E62" s="1351"/>
      <c r="F62" s="1345"/>
      <c r="G62" s="1345"/>
      <c r="H62" s="1345"/>
      <c r="I62" s="1345"/>
      <c r="J62" s="1345"/>
      <c r="K62" s="1345"/>
      <c r="L62" s="1361"/>
      <c r="M62" s="1345"/>
      <c r="P62" s="1345"/>
      <c r="Q62" s="1345"/>
      <c r="R62" s="1351"/>
      <c r="S62" s="1345"/>
      <c r="T62" s="1345"/>
      <c r="U62" s="1345"/>
      <c r="V62" s="1345"/>
      <c r="W62" s="1345"/>
      <c r="X62" s="1345"/>
      <c r="Y62" s="1361"/>
      <c r="Z62" s="1345"/>
      <c r="AC62" s="1345"/>
      <c r="AD62" s="1345"/>
      <c r="AE62" s="1351"/>
      <c r="AF62" s="1345"/>
      <c r="AG62" s="1345"/>
      <c r="AH62" s="1345"/>
      <c r="AI62" s="1345"/>
      <c r="AJ62" s="1345"/>
      <c r="AK62" s="1345"/>
      <c r="AL62" s="1345"/>
      <c r="AM62" s="1345"/>
    </row>
    <row r="63" spans="1:39" s="1344" customFormat="1" ht="10.5" customHeight="1">
      <c r="C63" s="1345"/>
      <c r="D63" s="1345"/>
      <c r="E63" s="1351"/>
      <c r="F63" s="1345"/>
      <c r="G63" s="1345"/>
      <c r="H63" s="1345"/>
      <c r="I63" s="1345"/>
      <c r="J63" s="1345"/>
      <c r="K63" s="1345"/>
      <c r="L63" s="1361"/>
      <c r="M63" s="1345"/>
      <c r="P63" s="1345"/>
      <c r="Q63" s="1345"/>
      <c r="R63" s="1351"/>
      <c r="S63" s="1345"/>
      <c r="T63" s="1345"/>
      <c r="U63" s="1345"/>
      <c r="V63" s="1345"/>
      <c r="W63" s="1345"/>
      <c r="X63" s="1345"/>
      <c r="Y63" s="1361"/>
      <c r="Z63" s="1345"/>
      <c r="AC63" s="1345"/>
      <c r="AD63" s="1345"/>
      <c r="AE63" s="1351"/>
      <c r="AF63" s="1345"/>
      <c r="AG63" s="1345"/>
      <c r="AH63" s="1345"/>
      <c r="AI63" s="1345"/>
      <c r="AJ63" s="1345"/>
      <c r="AK63" s="1345"/>
      <c r="AL63" s="1345"/>
      <c r="AM63" s="1345"/>
    </row>
    <row r="64" spans="1:39" s="1344" customFormat="1" ht="10.5" customHeight="1">
      <c r="B64" s="2491"/>
      <c r="C64" s="1326" t="s">
        <v>1702</v>
      </c>
      <c r="D64" s="2482"/>
      <c r="E64" s="1326" t="s">
        <v>1703</v>
      </c>
      <c r="F64" s="2482"/>
      <c r="G64" s="1326" t="s">
        <v>1704</v>
      </c>
      <c r="H64" s="2482"/>
      <c r="I64" s="1326" t="s">
        <v>1689</v>
      </c>
      <c r="J64" s="2484"/>
      <c r="K64" s="1352"/>
      <c r="L64" s="1361"/>
      <c r="M64" s="1352"/>
      <c r="O64" s="2491"/>
      <c r="P64" s="1326" t="s">
        <v>1702</v>
      </c>
      <c r="Q64" s="2482"/>
      <c r="R64" s="1326" t="s">
        <v>1703</v>
      </c>
      <c r="S64" s="2482"/>
      <c r="T64" s="1326" t="s">
        <v>1704</v>
      </c>
      <c r="U64" s="2482"/>
      <c r="V64" s="1326" t="s">
        <v>1689</v>
      </c>
      <c r="W64" s="2484"/>
      <c r="X64" s="1352"/>
      <c r="Y64" s="1361"/>
      <c r="Z64" s="1345"/>
      <c r="AB64" s="2491"/>
      <c r="AC64" s="1326" t="s">
        <v>1702</v>
      </c>
      <c r="AD64" s="2482"/>
      <c r="AE64" s="1326" t="s">
        <v>1703</v>
      </c>
      <c r="AF64" s="2482"/>
      <c r="AG64" s="1326" t="s">
        <v>1704</v>
      </c>
      <c r="AH64" s="2482"/>
      <c r="AI64" s="1326" t="s">
        <v>1689</v>
      </c>
      <c r="AJ64" s="2484"/>
      <c r="AK64" s="1345"/>
      <c r="AL64" s="1345"/>
      <c r="AM64" s="1345"/>
    </row>
    <row r="65" spans="2:39" s="1344" customFormat="1" ht="12">
      <c r="B65" s="2491"/>
      <c r="C65" s="1328" t="s">
        <v>1705</v>
      </c>
      <c r="D65" s="2482"/>
      <c r="E65" s="1328" t="s">
        <v>1706</v>
      </c>
      <c r="F65" s="2482"/>
      <c r="G65" s="1328" t="s">
        <v>1707</v>
      </c>
      <c r="H65" s="2482"/>
      <c r="I65" s="1328" t="s">
        <v>252</v>
      </c>
      <c r="J65" s="2484"/>
      <c r="K65" s="1352"/>
      <c r="L65" s="1361"/>
      <c r="M65" s="1352"/>
      <c r="O65" s="2491"/>
      <c r="P65" s="1328" t="s">
        <v>1705</v>
      </c>
      <c r="Q65" s="2482"/>
      <c r="R65" s="1328" t="s">
        <v>1706</v>
      </c>
      <c r="S65" s="2482"/>
      <c r="T65" s="1328" t="s">
        <v>1707</v>
      </c>
      <c r="U65" s="2482"/>
      <c r="V65" s="1328" t="s">
        <v>252</v>
      </c>
      <c r="W65" s="2484"/>
      <c r="X65" s="1352"/>
      <c r="Y65" s="1361"/>
      <c r="Z65" s="1345"/>
      <c r="AB65" s="2491"/>
      <c r="AC65" s="1328" t="s">
        <v>1705</v>
      </c>
      <c r="AD65" s="2482"/>
      <c r="AE65" s="1328" t="s">
        <v>1706</v>
      </c>
      <c r="AF65" s="2482"/>
      <c r="AG65" s="1328" t="s">
        <v>1707</v>
      </c>
      <c r="AH65" s="2482"/>
      <c r="AI65" s="1328" t="s">
        <v>252</v>
      </c>
      <c r="AJ65" s="2484"/>
      <c r="AK65" s="1345"/>
      <c r="AL65" s="1345"/>
      <c r="AM65" s="1345"/>
    </row>
    <row r="66" spans="2:39" s="1344" customFormat="1" ht="12">
      <c r="B66" s="795"/>
      <c r="C66" s="1305"/>
      <c r="D66" s="1305"/>
      <c r="E66" s="1305"/>
      <c r="F66" s="1305"/>
      <c r="G66" s="1305"/>
      <c r="H66" s="1305"/>
      <c r="I66" s="1348"/>
      <c r="J66" s="1310"/>
      <c r="K66" s="1310"/>
      <c r="L66" s="1361"/>
      <c r="M66" s="1310"/>
      <c r="O66" s="795"/>
      <c r="P66" s="1305"/>
      <c r="Q66" s="1305"/>
      <c r="R66" s="1305"/>
      <c r="S66" s="1305"/>
      <c r="T66" s="1305"/>
      <c r="U66" s="1305"/>
      <c r="V66" s="1348"/>
      <c r="W66" s="1310"/>
      <c r="X66" s="1310"/>
      <c r="Y66" s="1361"/>
      <c r="Z66" s="1345"/>
      <c r="AB66" s="795"/>
      <c r="AC66" s="1305"/>
      <c r="AD66" s="1305"/>
      <c r="AE66" s="1305"/>
      <c r="AF66" s="1305"/>
      <c r="AG66" s="1305"/>
      <c r="AH66" s="1305"/>
      <c r="AI66" s="1348"/>
      <c r="AJ66" s="1310"/>
      <c r="AK66" s="1345"/>
      <c r="AL66" s="1345"/>
      <c r="AM66" s="1345"/>
    </row>
    <row r="67" spans="2:39" s="1344" customFormat="1" ht="12">
      <c r="B67" s="1362" t="s">
        <v>376</v>
      </c>
      <c r="C67" s="1305"/>
      <c r="D67" s="1305"/>
      <c r="E67" s="1305"/>
      <c r="F67" s="1305"/>
      <c r="G67" s="1305"/>
      <c r="H67" s="1305"/>
      <c r="I67" s="1348"/>
      <c r="J67" s="1349" t="s">
        <v>1529</v>
      </c>
      <c r="K67" s="1349"/>
      <c r="L67" s="1361"/>
      <c r="M67" s="1349"/>
      <c r="O67" s="1362" t="s">
        <v>1708</v>
      </c>
      <c r="P67" s="1305"/>
      <c r="Q67" s="1305"/>
      <c r="R67" s="1305"/>
      <c r="S67" s="1305"/>
      <c r="T67" s="1305"/>
      <c r="U67" s="1305"/>
      <c r="V67" s="1348"/>
      <c r="W67" s="1349" t="s">
        <v>1709</v>
      </c>
      <c r="X67" s="1349"/>
      <c r="Y67" s="1361"/>
      <c r="Z67" s="1345"/>
      <c r="AB67" s="1347" t="s">
        <v>384</v>
      </c>
      <c r="AC67" s="1305"/>
      <c r="AD67" s="1305"/>
      <c r="AE67" s="1305"/>
      <c r="AF67" s="1305"/>
      <c r="AG67" s="1305"/>
      <c r="AH67" s="1305"/>
      <c r="AI67" s="1348"/>
      <c r="AJ67" s="1349" t="s">
        <v>1717</v>
      </c>
      <c r="AK67" s="1345"/>
      <c r="AL67" s="1345"/>
      <c r="AM67" s="1345"/>
    </row>
    <row r="68" spans="2:39" s="1344" customFormat="1" ht="11.45">
      <c r="B68" s="795"/>
      <c r="C68" s="1305"/>
      <c r="D68" s="1305"/>
      <c r="E68" s="1305"/>
      <c r="F68" s="1305"/>
      <c r="G68" s="1305"/>
      <c r="H68" s="1305"/>
      <c r="I68" s="1305"/>
      <c r="J68" s="1325"/>
      <c r="K68" s="1325"/>
      <c r="L68" s="1361"/>
      <c r="M68" s="1325"/>
      <c r="O68" s="795"/>
      <c r="P68" s="1305"/>
      <c r="Q68" s="1305"/>
      <c r="R68" s="1305"/>
      <c r="S68" s="1305"/>
      <c r="T68" s="1305"/>
      <c r="U68" s="1305"/>
      <c r="V68" s="1305"/>
      <c r="W68" s="1325"/>
      <c r="X68" s="1325"/>
      <c r="Y68" s="1361"/>
      <c r="Z68" s="1345"/>
      <c r="AB68" s="795"/>
      <c r="AC68" s="1305"/>
      <c r="AD68" s="1305"/>
      <c r="AE68" s="1305"/>
      <c r="AF68" s="1305"/>
      <c r="AG68" s="1305"/>
      <c r="AH68" s="1305"/>
      <c r="AI68" s="1305"/>
      <c r="AJ68" s="1325"/>
      <c r="AK68" s="1345"/>
      <c r="AL68" s="1345"/>
      <c r="AM68" s="1345"/>
    </row>
    <row r="69" spans="2:39" s="1344" customFormat="1" ht="12">
      <c r="B69" s="795" t="s">
        <v>1718</v>
      </c>
      <c r="C69" s="1305"/>
      <c r="D69" s="1305"/>
      <c r="E69" s="1305"/>
      <c r="F69" s="1305"/>
      <c r="G69" s="1305"/>
      <c r="H69" s="1305"/>
      <c r="I69" s="1305"/>
      <c r="J69" s="1310"/>
      <c r="K69" s="1310"/>
      <c r="L69" s="1361"/>
      <c r="M69" s="1310"/>
      <c r="O69" s="795" t="s">
        <v>1718</v>
      </c>
      <c r="P69" s="1305"/>
      <c r="Q69" s="1305"/>
      <c r="R69" s="1305"/>
      <c r="S69" s="1305"/>
      <c r="T69" s="1305"/>
      <c r="U69" s="1305"/>
      <c r="V69" s="1305"/>
      <c r="W69" s="1310"/>
      <c r="X69" s="1310"/>
      <c r="Y69" s="1361"/>
      <c r="Z69" s="1345"/>
      <c r="AB69" s="795" t="s">
        <v>1718</v>
      </c>
      <c r="AC69" s="1305"/>
      <c r="AD69" s="1305"/>
      <c r="AE69" s="1305"/>
      <c r="AF69" s="1305"/>
      <c r="AG69" s="1305"/>
      <c r="AH69" s="1305"/>
      <c r="AI69" s="1305"/>
      <c r="AJ69" s="1310"/>
      <c r="AK69" s="1345"/>
      <c r="AL69" s="1345"/>
      <c r="AM69" s="1345"/>
    </row>
    <row r="70" spans="2:39" s="1344" customFormat="1" ht="12">
      <c r="B70" s="795" t="s">
        <v>1719</v>
      </c>
      <c r="C70" s="1305"/>
      <c r="D70" s="1305"/>
      <c r="E70" s="1305"/>
      <c r="F70" s="1305"/>
      <c r="G70" s="1305"/>
      <c r="H70" s="1305"/>
      <c r="I70" s="1305"/>
      <c r="J70" s="1310" t="s">
        <v>1720</v>
      </c>
      <c r="K70" s="1310"/>
      <c r="L70" s="1361"/>
      <c r="M70" s="1310"/>
      <c r="O70" s="795" t="s">
        <v>1719</v>
      </c>
      <c r="P70" s="1305"/>
      <c r="Q70" s="1305"/>
      <c r="R70" s="1305"/>
      <c r="S70" s="1305"/>
      <c r="T70" s="1305"/>
      <c r="U70" s="1305"/>
      <c r="V70" s="1305"/>
      <c r="W70" s="1310" t="s">
        <v>1720</v>
      </c>
      <c r="X70" s="1310"/>
      <c r="Y70" s="1361"/>
      <c r="Z70" s="1345"/>
      <c r="AB70" s="795" t="s">
        <v>1719</v>
      </c>
      <c r="AC70" s="1305"/>
      <c r="AD70" s="1305"/>
      <c r="AE70" s="1305"/>
      <c r="AF70" s="1305"/>
      <c r="AG70" s="1305"/>
      <c r="AH70" s="1305"/>
      <c r="AI70" s="1305"/>
      <c r="AJ70" s="1310" t="s">
        <v>1720</v>
      </c>
      <c r="AK70" s="1345"/>
      <c r="AL70" s="1345"/>
      <c r="AM70" s="1345"/>
    </row>
    <row r="71" spans="2:39" s="1344" customFormat="1" ht="12">
      <c r="B71" s="795" t="s">
        <v>1721</v>
      </c>
      <c r="C71" s="1305"/>
      <c r="D71" s="1305"/>
      <c r="E71" s="1305"/>
      <c r="F71" s="1305"/>
      <c r="G71" s="1305"/>
      <c r="H71" s="1305"/>
      <c r="I71" s="1305"/>
      <c r="J71" s="1310" t="s">
        <v>1722</v>
      </c>
      <c r="K71" s="1310"/>
      <c r="L71" s="1361"/>
      <c r="M71" s="1310"/>
      <c r="O71" s="795" t="s">
        <v>1721</v>
      </c>
      <c r="P71" s="1305"/>
      <c r="Q71" s="1305"/>
      <c r="R71" s="1305"/>
      <c r="S71" s="1305"/>
      <c r="T71" s="1305"/>
      <c r="U71" s="1305"/>
      <c r="V71" s="1305"/>
      <c r="W71" s="1310" t="s">
        <v>1722</v>
      </c>
      <c r="X71" s="1310"/>
      <c r="Y71" s="1361"/>
      <c r="Z71" s="1345"/>
      <c r="AB71" s="795" t="s">
        <v>1721</v>
      </c>
      <c r="AC71" s="1305"/>
      <c r="AD71" s="1305"/>
      <c r="AE71" s="1305"/>
      <c r="AF71" s="1305"/>
      <c r="AG71" s="1305"/>
      <c r="AH71" s="1305"/>
      <c r="AI71" s="1305"/>
      <c r="AJ71" s="1310" t="s">
        <v>1722</v>
      </c>
      <c r="AK71" s="1345"/>
      <c r="AL71" s="1345"/>
      <c r="AM71" s="1345"/>
    </row>
    <row r="72" spans="2:39" s="1344" customFormat="1" ht="12">
      <c r="B72" s="795" t="s">
        <v>76</v>
      </c>
      <c r="C72" s="1305">
        <f>'BS Konsol-Des 24'!G55+'BS Konsol-Des 24'!G64</f>
        <v>231271837921</v>
      </c>
      <c r="D72" s="1305"/>
      <c r="E72" s="1305" t="s">
        <v>315</v>
      </c>
      <c r="F72" s="1305"/>
      <c r="G72" s="1305" t="s">
        <v>315</v>
      </c>
      <c r="H72" s="1305"/>
      <c r="I72" s="1305">
        <f>SUM(C72:G72)</f>
        <v>231271837921</v>
      </c>
      <c r="J72" s="1310" t="s">
        <v>1098</v>
      </c>
      <c r="K72" s="1310"/>
      <c r="L72" s="1361"/>
      <c r="M72" s="1310"/>
      <c r="O72" s="795" t="s">
        <v>76</v>
      </c>
      <c r="P72" s="1305">
        <f>'BS Konsol-Des 24'!I55+'BS Konsol-Des 24'!I64</f>
        <v>197771078247</v>
      </c>
      <c r="Q72" s="1305"/>
      <c r="R72" s="1305" t="s">
        <v>315</v>
      </c>
      <c r="S72" s="1305"/>
      <c r="T72" s="1305" t="s">
        <v>315</v>
      </c>
      <c r="U72" s="1305"/>
      <c r="V72" s="1305">
        <f>SUM(P72:T72)</f>
        <v>197771078247</v>
      </c>
      <c r="W72" s="1310" t="s">
        <v>1098</v>
      </c>
      <c r="X72" s="1310"/>
      <c r="Y72" s="1361"/>
      <c r="Z72" s="1345"/>
      <c r="AB72" s="795" t="s">
        <v>76</v>
      </c>
      <c r="AC72" s="1305">
        <f>'BS Konsol-Des 24'!M55+'BS Konsol-Des 24'!M64</f>
        <v>209240909665</v>
      </c>
      <c r="AD72" s="1305"/>
      <c r="AE72" s="1305" t="s">
        <v>315</v>
      </c>
      <c r="AF72" s="1305"/>
      <c r="AG72" s="1305" t="s">
        <v>315</v>
      </c>
      <c r="AH72" s="1305"/>
      <c r="AI72" s="1305">
        <f>SUM(AC72:AG72)</f>
        <v>209240909665</v>
      </c>
      <c r="AJ72" s="1310" t="s">
        <v>1098</v>
      </c>
      <c r="AK72" s="1345"/>
      <c r="AL72" s="1345"/>
      <c r="AM72" s="1345"/>
    </row>
    <row r="73" spans="2:39" s="1344" customFormat="1" ht="24">
      <c r="B73" s="795" t="s">
        <v>82</v>
      </c>
      <c r="C73" s="1305">
        <f>'BS Konsol-Des 24'!G61</f>
        <v>0</v>
      </c>
      <c r="D73" s="1305"/>
      <c r="E73" s="1305" t="s">
        <v>315</v>
      </c>
      <c r="F73" s="1305"/>
      <c r="G73" s="1305" t="s">
        <v>315</v>
      </c>
      <c r="H73" s="1305"/>
      <c r="I73" s="1305">
        <f>SUM(C73:G73)</f>
        <v>0</v>
      </c>
      <c r="J73" s="1310" t="s">
        <v>1723</v>
      </c>
      <c r="K73" s="1310"/>
      <c r="L73" s="1361"/>
      <c r="M73" s="1310"/>
      <c r="O73" s="795" t="s">
        <v>82</v>
      </c>
      <c r="P73" s="1305">
        <f>'BS Konsol-Des 24'!I61</f>
        <v>19446177</v>
      </c>
      <c r="Q73" s="1305"/>
      <c r="R73" s="1305" t="s">
        <v>315</v>
      </c>
      <c r="S73" s="1305"/>
      <c r="T73" s="1305" t="s">
        <v>315</v>
      </c>
      <c r="U73" s="1305"/>
      <c r="V73" s="1305">
        <f>SUM(P73:T73)</f>
        <v>19446177</v>
      </c>
      <c r="W73" s="1310" t="s">
        <v>1723</v>
      </c>
      <c r="X73" s="1310"/>
      <c r="Y73" s="1361"/>
      <c r="Z73" s="1345"/>
      <c r="AB73" s="795" t="s">
        <v>82</v>
      </c>
      <c r="AC73" s="1305">
        <f>'BS Konsol-Des 24'!M61</f>
        <v>38822068</v>
      </c>
      <c r="AD73" s="1305"/>
      <c r="AE73" s="1305" t="s">
        <v>315</v>
      </c>
      <c r="AF73" s="1305"/>
      <c r="AG73" s="1305" t="s">
        <v>315</v>
      </c>
      <c r="AH73" s="1305"/>
      <c r="AI73" s="1305">
        <f>SUM(AC73:AG73)</f>
        <v>38822068</v>
      </c>
      <c r="AJ73" s="1310" t="s">
        <v>1723</v>
      </c>
      <c r="AK73" s="1345"/>
      <c r="AL73" s="1345"/>
      <c r="AM73" s="1345"/>
    </row>
    <row r="74" spans="2:39" s="1344" customFormat="1" ht="23.45" thickBot="1">
      <c r="B74" s="795" t="s">
        <v>83</v>
      </c>
      <c r="C74" s="1317">
        <f>'BS Konsol-Des 24'!G63</f>
        <v>0</v>
      </c>
      <c r="D74" s="1305"/>
      <c r="E74" s="1317" t="s">
        <v>315</v>
      </c>
      <c r="F74" s="1305"/>
      <c r="G74" s="1317" t="s">
        <v>315</v>
      </c>
      <c r="H74" s="1305"/>
      <c r="I74" s="1317">
        <f>SUM(C74:G74)</f>
        <v>0</v>
      </c>
      <c r="J74" s="1310" t="s">
        <v>1724</v>
      </c>
      <c r="K74" s="1310"/>
      <c r="L74" s="1361"/>
      <c r="M74" s="1310"/>
      <c r="O74" s="795" t="s">
        <v>83</v>
      </c>
      <c r="P74" s="1317">
        <f>'BS Konsol-Des 24'!I63</f>
        <v>0</v>
      </c>
      <c r="Q74" s="1305"/>
      <c r="R74" s="1317" t="s">
        <v>315</v>
      </c>
      <c r="S74" s="1305"/>
      <c r="T74" s="1317" t="s">
        <v>315</v>
      </c>
      <c r="U74" s="1305"/>
      <c r="V74" s="1317">
        <f>SUM(P74:T74)</f>
        <v>0</v>
      </c>
      <c r="W74" s="1310" t="s">
        <v>1724</v>
      </c>
      <c r="X74" s="1310"/>
      <c r="Y74" s="1361"/>
      <c r="Z74" s="1345"/>
      <c r="AB74" s="795" t="s">
        <v>83</v>
      </c>
      <c r="AC74" s="1317">
        <f>'BS Konsol-Des 24'!M63</f>
        <v>0</v>
      </c>
      <c r="AD74" s="1305"/>
      <c r="AE74" s="1317" t="s">
        <v>315</v>
      </c>
      <c r="AF74" s="1305"/>
      <c r="AG74" s="1317" t="s">
        <v>315</v>
      </c>
      <c r="AH74" s="1305"/>
      <c r="AI74" s="1317">
        <f>SUM(AC74:AG74)</f>
        <v>0</v>
      </c>
      <c r="AJ74" s="1310" t="s">
        <v>1724</v>
      </c>
      <c r="AK74" s="1345"/>
      <c r="AL74" s="1345"/>
      <c r="AM74" s="1345"/>
    </row>
    <row r="75" spans="2:39" s="1344" customFormat="1" ht="11.45">
      <c r="B75" s="795"/>
      <c r="C75" s="1305"/>
      <c r="D75" s="1305"/>
      <c r="E75" s="1305"/>
      <c r="F75" s="1305"/>
      <c r="G75" s="1305"/>
      <c r="H75" s="1305"/>
      <c r="I75" s="1305"/>
      <c r="J75" s="1325"/>
      <c r="K75" s="1325"/>
      <c r="L75" s="1361"/>
      <c r="M75" s="1325"/>
      <c r="O75" s="795"/>
      <c r="P75" s="1305"/>
      <c r="Q75" s="1305"/>
      <c r="R75" s="1305"/>
      <c r="S75" s="1305"/>
      <c r="T75" s="1305"/>
      <c r="U75" s="1305"/>
      <c r="V75" s="1305"/>
      <c r="W75" s="1325"/>
      <c r="X75" s="1325"/>
      <c r="Y75" s="1361"/>
      <c r="Z75" s="1345"/>
      <c r="AB75" s="795"/>
      <c r="AC75" s="1305"/>
      <c r="AD75" s="1305"/>
      <c r="AE75" s="1305"/>
      <c r="AF75" s="1305"/>
      <c r="AG75" s="1305"/>
      <c r="AH75" s="1305"/>
      <c r="AI75" s="1305"/>
      <c r="AJ75" s="1325"/>
      <c r="AK75" s="1345"/>
      <c r="AL75" s="1345"/>
      <c r="AM75" s="1345"/>
    </row>
    <row r="76" spans="2:39" s="1344" customFormat="1" ht="12" thickBot="1">
      <c r="B76" s="884" t="s">
        <v>1625</v>
      </c>
      <c r="C76" s="1332">
        <f>SUM(C72:C74)</f>
        <v>231271837921</v>
      </c>
      <c r="D76" s="1302"/>
      <c r="E76" s="1332" t="s">
        <v>315</v>
      </c>
      <c r="F76" s="1302"/>
      <c r="G76" s="1332" t="s">
        <v>315</v>
      </c>
      <c r="H76" s="1302"/>
      <c r="I76" s="1332">
        <f>SUM(I72:I74)</f>
        <v>231271837921</v>
      </c>
      <c r="J76" s="1316" t="s">
        <v>252</v>
      </c>
      <c r="K76" s="1316"/>
      <c r="L76" s="1361"/>
      <c r="M76" s="1316"/>
      <c r="O76" s="884" t="s">
        <v>1625</v>
      </c>
      <c r="P76" s="1332">
        <f>SUM(P72:P74)</f>
        <v>197790524424</v>
      </c>
      <c r="Q76" s="1302"/>
      <c r="R76" s="1332" t="s">
        <v>315</v>
      </c>
      <c r="S76" s="1302"/>
      <c r="T76" s="1332" t="s">
        <v>315</v>
      </c>
      <c r="U76" s="1302"/>
      <c r="V76" s="1332">
        <f>SUM(V72:V74)</f>
        <v>197790524424</v>
      </c>
      <c r="W76" s="1316" t="s">
        <v>252</v>
      </c>
      <c r="X76" s="1316"/>
      <c r="Y76" s="1361"/>
      <c r="Z76" s="1345"/>
      <c r="AB76" s="884" t="s">
        <v>1625</v>
      </c>
      <c r="AC76" s="1332">
        <f>SUM(AC72:AC74)</f>
        <v>209279731733</v>
      </c>
      <c r="AD76" s="1302"/>
      <c r="AE76" s="1332" t="s">
        <v>315</v>
      </c>
      <c r="AF76" s="1302"/>
      <c r="AG76" s="1332" t="s">
        <v>315</v>
      </c>
      <c r="AH76" s="1302"/>
      <c r="AI76" s="1332">
        <f>SUM(AI72:AI74)</f>
        <v>209279731733</v>
      </c>
      <c r="AJ76" s="1316" t="s">
        <v>252</v>
      </c>
      <c r="AK76" s="1345"/>
      <c r="AL76" s="1345"/>
      <c r="AM76" s="1345"/>
    </row>
    <row r="77" spans="2:39" s="1344" customFormat="1" ht="12" thickTop="1">
      <c r="C77" s="1345"/>
      <c r="D77" s="1345"/>
      <c r="E77" s="1351"/>
      <c r="F77" s="1345"/>
      <c r="G77" s="1345"/>
      <c r="H77" s="1345"/>
      <c r="I77" s="1345"/>
      <c r="J77" s="1345"/>
      <c r="K77" s="1345"/>
      <c r="L77" s="1361"/>
      <c r="M77" s="1345"/>
      <c r="P77" s="1345"/>
      <c r="Q77" s="1345"/>
      <c r="R77" s="1351"/>
      <c r="S77" s="1345"/>
      <c r="T77" s="1345"/>
      <c r="U77" s="1345"/>
      <c r="V77" s="1345"/>
      <c r="W77" s="1345"/>
      <c r="X77" s="1345"/>
      <c r="Y77" s="1361"/>
      <c r="Z77" s="1345"/>
      <c r="AC77" s="1345"/>
      <c r="AD77" s="1345"/>
      <c r="AE77" s="1351"/>
      <c r="AF77" s="1345"/>
      <c r="AG77" s="1345"/>
      <c r="AH77" s="1345"/>
      <c r="AI77" s="1345"/>
      <c r="AJ77" s="1345"/>
      <c r="AK77" s="1345"/>
      <c r="AL77" s="1345"/>
      <c r="AM77" s="1345"/>
    </row>
    <row r="78" spans="2:39" ht="14.1"/>
    <row r="79" spans="2:39" ht="14.1"/>
    <row r="80" spans="2:39" ht="14.1"/>
  </sheetData>
  <mergeCells count="74">
    <mergeCell ref="B64:B65"/>
    <mergeCell ref="D64:D65"/>
    <mergeCell ref="F64:F65"/>
    <mergeCell ref="H64:H65"/>
    <mergeCell ref="J64:J65"/>
    <mergeCell ref="J50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C2:E2"/>
    <mergeCell ref="C26:I26"/>
    <mergeCell ref="B28:B30"/>
    <mergeCell ref="B50:B51"/>
    <mergeCell ref="D50:D51"/>
    <mergeCell ref="F50:F51"/>
    <mergeCell ref="H50:H51"/>
    <mergeCell ref="S64:S65"/>
    <mergeCell ref="U64:U65"/>
    <mergeCell ref="W64:W65"/>
    <mergeCell ref="O52:O53"/>
    <mergeCell ref="P52:P53"/>
    <mergeCell ref="Q52:Q53"/>
    <mergeCell ref="R52:R53"/>
    <mergeCell ref="S52:S53"/>
    <mergeCell ref="P2:R2"/>
    <mergeCell ref="O28:O30"/>
    <mergeCell ref="P26:V26"/>
    <mergeCell ref="AB64:AB65"/>
    <mergeCell ref="AD64:AD65"/>
    <mergeCell ref="O50:O51"/>
    <mergeCell ref="Q50:Q51"/>
    <mergeCell ref="S50:S51"/>
    <mergeCell ref="U50:U51"/>
    <mergeCell ref="W50:W51"/>
    <mergeCell ref="T52:T53"/>
    <mergeCell ref="U52:U53"/>
    <mergeCell ref="V52:V53"/>
    <mergeCell ref="W52:W53"/>
    <mergeCell ref="O64:O65"/>
    <mergeCell ref="Q64:Q65"/>
    <mergeCell ref="AF64:AF65"/>
    <mergeCell ref="AH64:AH65"/>
    <mergeCell ref="AJ64:AJ65"/>
    <mergeCell ref="AC2:AE2"/>
    <mergeCell ref="AB28:AB30"/>
    <mergeCell ref="AD28:AD30"/>
    <mergeCell ref="AF28:AF30"/>
    <mergeCell ref="AH28:AH30"/>
    <mergeCell ref="AJ28:AL30"/>
    <mergeCell ref="AJ41:AL41"/>
    <mergeCell ref="AJ42:AL42"/>
    <mergeCell ref="AJ31:AL31"/>
    <mergeCell ref="AC26:AJ26"/>
    <mergeCell ref="AJ27:AL27"/>
    <mergeCell ref="AG52:AG53"/>
    <mergeCell ref="AH52:AH53"/>
    <mergeCell ref="AI52:AI53"/>
    <mergeCell ref="AJ52:AJ53"/>
    <mergeCell ref="AB50:AB51"/>
    <mergeCell ref="AD50:AD51"/>
    <mergeCell ref="AF50:AF51"/>
    <mergeCell ref="AH50:AH51"/>
    <mergeCell ref="AJ50:AJ51"/>
    <mergeCell ref="AB52:AB53"/>
    <mergeCell ref="AC52:AC53"/>
    <mergeCell ref="AD52:AD53"/>
    <mergeCell ref="AE52:AE53"/>
    <mergeCell ref="AF52:AF53"/>
  </mergeCells>
  <pageMargins left="0.7" right="0.7" top="0.75" bottom="0.75" header="0.3" footer="0.3"/>
  <pageSetup orientation="portrait" horizontalDpi="360" verticalDpi="36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BECD-9FD1-421D-B674-2701767EE057}">
  <dimension ref="A1:AG68"/>
  <sheetViews>
    <sheetView showGridLines="0" workbookViewId="0">
      <pane xSplit="1" ySplit="3" topLeftCell="B14" activePane="bottomRight" state="frozen"/>
      <selection pane="bottomRight" sqref="A1:F25"/>
      <selection pane="bottomLeft" activeCell="A4" sqref="A4"/>
      <selection pane="topRight" activeCell="B1" sqref="B1"/>
    </sheetView>
  </sheetViews>
  <sheetFormatPr defaultRowHeight="14.45"/>
  <cols>
    <col min="1" max="1" width="30.5703125" customWidth="1"/>
    <col min="2" max="2" width="3.5703125" customWidth="1"/>
    <col min="3" max="3" width="16.5703125" bestFit="1" customWidth="1"/>
    <col min="4" max="4" width="16.5703125" customWidth="1"/>
    <col min="5" max="5" width="16.5703125" bestFit="1" customWidth="1"/>
    <col min="6" max="6" width="18" customWidth="1"/>
    <col min="7" max="7" width="9" customWidth="1"/>
    <col min="8" max="8" width="1.5703125" style="1046" customWidth="1"/>
    <col min="9" max="9" width="3" customWidth="1"/>
    <col min="10" max="10" width="30.42578125" hidden="1" customWidth="1"/>
    <col min="11" max="13" width="16.5703125" hidden="1" customWidth="1"/>
    <col min="14" max="14" width="18" hidden="1" customWidth="1"/>
    <col min="15" max="15" width="9" hidden="1" customWidth="1"/>
    <col min="16" max="16" width="1.5703125" style="1046" hidden="1" customWidth="1"/>
    <col min="17" max="17" width="3" hidden="1" customWidth="1"/>
    <col min="18" max="18" width="30.5703125" hidden="1" customWidth="1"/>
    <col min="19" max="19" width="15.5703125" hidden="1" customWidth="1"/>
    <col min="20" max="22" width="16.5703125" hidden="1" customWidth="1"/>
    <col min="23" max="23" width="12.42578125" hidden="1" customWidth="1"/>
    <col min="24" max="24" width="2.5703125" style="1046" hidden="1" customWidth="1"/>
    <col min="25" max="25" width="0" hidden="1" customWidth="1"/>
    <col min="26" max="26" width="30.5703125" hidden="1" customWidth="1"/>
    <col min="27" max="30" width="16.5703125" hidden="1" customWidth="1"/>
    <col min="31" max="32" width="18.42578125" bestFit="1" customWidth="1"/>
    <col min="33" max="33" width="15.85546875" bestFit="1" customWidth="1"/>
  </cols>
  <sheetData>
    <row r="1" spans="1:33">
      <c r="A1" s="1468" t="s">
        <v>1725</v>
      </c>
      <c r="B1" s="342"/>
    </row>
    <row r="2" spans="1:33">
      <c r="A2" s="1448" t="s">
        <v>1726</v>
      </c>
      <c r="B2" s="1643"/>
      <c r="C2" s="628" t="s">
        <v>888</v>
      </c>
      <c r="D2" s="628" t="s">
        <v>1727</v>
      </c>
      <c r="E2" s="628" t="s">
        <v>1728</v>
      </c>
      <c r="F2" s="628" t="s">
        <v>1649</v>
      </c>
      <c r="J2" s="1448" t="s">
        <v>1729</v>
      </c>
      <c r="K2" s="628" t="s">
        <v>888</v>
      </c>
      <c r="L2" s="628" t="s">
        <v>1727</v>
      </c>
      <c r="M2" s="628" t="s">
        <v>1728</v>
      </c>
      <c r="N2" s="628" t="s">
        <v>1649</v>
      </c>
      <c r="R2" s="1448" t="s">
        <v>1730</v>
      </c>
      <c r="S2" s="628" t="s">
        <v>888</v>
      </c>
      <c r="T2" s="628" t="s">
        <v>1727</v>
      </c>
      <c r="U2" s="628" t="s">
        <v>1728</v>
      </c>
      <c r="V2" s="628" t="s">
        <v>1649</v>
      </c>
      <c r="AA2" s="628" t="s">
        <v>888</v>
      </c>
      <c r="AB2" s="628" t="s">
        <v>1727</v>
      </c>
      <c r="AC2" s="628" t="s">
        <v>1728</v>
      </c>
      <c r="AD2" s="628" t="s">
        <v>1649</v>
      </c>
    </row>
    <row r="3" spans="1:33">
      <c r="A3" s="879" t="s">
        <v>1731</v>
      </c>
      <c r="B3" s="859"/>
      <c r="C3" s="1447"/>
      <c r="D3" s="1447"/>
      <c r="E3" s="1447"/>
      <c r="F3" s="1447"/>
      <c r="J3" s="879" t="s">
        <v>1731</v>
      </c>
      <c r="K3" s="1447"/>
      <c r="L3" s="1447"/>
      <c r="M3" s="1447"/>
      <c r="N3" s="1447"/>
      <c r="R3" s="879" t="s">
        <v>1731</v>
      </c>
      <c r="S3" s="1447"/>
      <c r="T3" s="1447"/>
      <c r="U3" s="1447"/>
      <c r="V3" s="1447"/>
      <c r="Z3" s="879" t="s">
        <v>1731</v>
      </c>
      <c r="AA3" s="869"/>
      <c r="AB3" s="870"/>
      <c r="AC3" s="870"/>
      <c r="AD3" s="869"/>
    </row>
    <row r="4" spans="1:33">
      <c r="A4" s="862" t="s">
        <v>627</v>
      </c>
      <c r="B4" s="862"/>
      <c r="C4" s="863">
        <v>27745785208</v>
      </c>
      <c r="D4" s="864">
        <v>51460791263</v>
      </c>
      <c r="E4" s="864">
        <v>68064704926</v>
      </c>
      <c r="F4" s="863">
        <v>44349698871</v>
      </c>
      <c r="K4" s="863">
        <v>27745785208</v>
      </c>
      <c r="L4" s="864">
        <v>38469851305</v>
      </c>
      <c r="M4" s="864">
        <v>35272252251</v>
      </c>
      <c r="N4" s="863">
        <v>24548186154</v>
      </c>
      <c r="R4" s="862" t="s">
        <v>627</v>
      </c>
      <c r="S4" s="863">
        <v>27745785208</v>
      </c>
      <c r="T4" s="864">
        <v>28664263944</v>
      </c>
      <c r="U4" s="864">
        <v>23302029549</v>
      </c>
      <c r="V4" s="863">
        <v>22383550813</v>
      </c>
      <c r="Z4" s="859" t="s">
        <v>1732</v>
      </c>
      <c r="AA4" s="860"/>
      <c r="AB4" s="861"/>
      <c r="AC4" s="861"/>
      <c r="AD4" s="860"/>
      <c r="AE4" s="1939"/>
    </row>
    <row r="5" spans="1:33">
      <c r="A5" s="865" t="s">
        <v>628</v>
      </c>
      <c r="B5" s="865"/>
      <c r="C5" s="863">
        <v>33713322258</v>
      </c>
      <c r="D5" s="864">
        <v>33713322258</v>
      </c>
      <c r="E5" s="866"/>
      <c r="F5" s="867"/>
      <c r="K5" s="863">
        <v>33713322258</v>
      </c>
      <c r="L5" s="864">
        <v>33713322258</v>
      </c>
      <c r="M5" s="866"/>
      <c r="N5" s="867"/>
      <c r="R5" s="865" t="s">
        <v>628</v>
      </c>
      <c r="S5" s="863">
        <v>33713322258</v>
      </c>
      <c r="T5" s="864">
        <v>33713322258</v>
      </c>
      <c r="U5" s="866"/>
      <c r="V5" s="867"/>
      <c r="Z5" s="865" t="s">
        <v>617</v>
      </c>
      <c r="AA5" s="863">
        <v>13134191795</v>
      </c>
      <c r="AB5" s="864">
        <v>31334191795</v>
      </c>
      <c r="AC5" s="864">
        <v>18200000000</v>
      </c>
      <c r="AD5" s="867"/>
    </row>
    <row r="6" spans="1:33">
      <c r="A6" s="865" t="s">
        <v>629</v>
      </c>
      <c r="B6" s="865"/>
      <c r="C6" s="863">
        <v>29290400000</v>
      </c>
      <c r="D6" s="864">
        <v>30464273187</v>
      </c>
      <c r="E6" s="864">
        <v>1173873187</v>
      </c>
      <c r="F6" s="867"/>
      <c r="K6" s="863">
        <v>29290400000</v>
      </c>
      <c r="L6" s="864">
        <v>30464273187</v>
      </c>
      <c r="M6" s="864">
        <v>1173873187</v>
      </c>
      <c r="N6" s="867"/>
      <c r="R6" s="865" t="s">
        <v>629</v>
      </c>
      <c r="S6" s="863">
        <v>29290400000</v>
      </c>
      <c r="T6" s="864">
        <v>30464273187</v>
      </c>
      <c r="U6" s="864">
        <v>1173873187</v>
      </c>
      <c r="V6" s="867"/>
      <c r="Z6" s="865" t="s">
        <v>612</v>
      </c>
      <c r="AA6" s="867"/>
      <c r="AB6" s="866"/>
      <c r="AC6" s="866"/>
      <c r="AD6" s="867"/>
    </row>
    <row r="7" spans="1:33">
      <c r="A7" s="862" t="s">
        <v>1733</v>
      </c>
      <c r="B7" s="862"/>
      <c r="C7" s="863">
        <v>15924728000</v>
      </c>
      <c r="D7" s="864">
        <v>206733253400</v>
      </c>
      <c r="E7" s="864">
        <v>218397059400</v>
      </c>
      <c r="F7" s="863">
        <v>27588534000</v>
      </c>
      <c r="K7" s="863">
        <v>15924728000</v>
      </c>
      <c r="L7" s="864">
        <v>156879937400</v>
      </c>
      <c r="M7" s="864">
        <v>171923097400</v>
      </c>
      <c r="N7" s="863">
        <v>30967888000</v>
      </c>
      <c r="R7" s="862" t="s">
        <v>1733</v>
      </c>
      <c r="S7" s="863">
        <v>15924728000</v>
      </c>
      <c r="T7" s="864">
        <v>70692882900</v>
      </c>
      <c r="U7" s="864">
        <v>106814514400</v>
      </c>
      <c r="V7" s="863">
        <v>52046359500</v>
      </c>
      <c r="Z7" s="865" t="s">
        <v>618</v>
      </c>
      <c r="AA7" s="863">
        <v>41444942607</v>
      </c>
      <c r="AB7" s="864">
        <v>41444942607</v>
      </c>
      <c r="AC7" s="864">
        <v>19041318075</v>
      </c>
      <c r="AD7" s="863">
        <v>19041318075</v>
      </c>
    </row>
    <row r="8" spans="1:33">
      <c r="A8" s="862" t="s">
        <v>631</v>
      </c>
      <c r="B8" s="862"/>
      <c r="C8" s="863">
        <v>20494030400</v>
      </c>
      <c r="D8" s="864">
        <v>92219444800</v>
      </c>
      <c r="E8" s="864">
        <v>104049414400</v>
      </c>
      <c r="F8" s="863">
        <v>32324000000</v>
      </c>
      <c r="K8" s="863">
        <v>20494030400</v>
      </c>
      <c r="L8" s="864">
        <v>83914322800</v>
      </c>
      <c r="M8" s="864">
        <v>86068957400</v>
      </c>
      <c r="N8" s="863">
        <v>22648665000</v>
      </c>
      <c r="R8" s="862" t="s">
        <v>631</v>
      </c>
      <c r="S8" s="863">
        <v>20494030400</v>
      </c>
      <c r="T8" s="864">
        <v>31266566100</v>
      </c>
      <c r="U8" s="864">
        <v>43601398900</v>
      </c>
      <c r="V8" s="863">
        <v>32828863200</v>
      </c>
      <c r="Z8" s="865" t="s">
        <v>619</v>
      </c>
      <c r="AA8" s="863">
        <v>18000000000</v>
      </c>
      <c r="AB8" s="864">
        <v>19500000000</v>
      </c>
      <c r="AC8" s="864">
        <v>31350000000</v>
      </c>
      <c r="AD8" s="863">
        <v>29850000000</v>
      </c>
    </row>
    <row r="9" spans="1:33">
      <c r="A9" s="862" t="s">
        <v>633</v>
      </c>
      <c r="B9" s="862"/>
      <c r="C9" s="863">
        <v>8600000000</v>
      </c>
      <c r="D9" s="864">
        <v>22500000000</v>
      </c>
      <c r="E9" s="864">
        <v>36250000000</v>
      </c>
      <c r="F9" s="863">
        <v>22350000000</v>
      </c>
      <c r="K9" s="863">
        <v>8600000000</v>
      </c>
      <c r="L9" s="864">
        <v>10000000000</v>
      </c>
      <c r="M9" s="864">
        <v>23400000000</v>
      </c>
      <c r="N9" s="863">
        <v>22000000000</v>
      </c>
      <c r="R9" s="862" t="s">
        <v>633</v>
      </c>
      <c r="S9" s="863">
        <v>8600000000</v>
      </c>
      <c r="T9" s="864">
        <v>10000000000</v>
      </c>
      <c r="U9" s="864">
        <v>13600000000</v>
      </c>
      <c r="V9" s="863">
        <v>12200000000</v>
      </c>
      <c r="Z9" s="859" t="s">
        <v>1734</v>
      </c>
      <c r="AA9" s="871"/>
      <c r="AB9" s="872"/>
      <c r="AC9" s="872"/>
      <c r="AD9" s="871"/>
    </row>
    <row r="10" spans="1:33">
      <c r="A10" s="879" t="s">
        <v>1735</v>
      </c>
      <c r="B10" s="859"/>
      <c r="R10" s="879" t="s">
        <v>1735</v>
      </c>
      <c r="Z10" s="865" t="s">
        <v>613</v>
      </c>
      <c r="AA10" s="867"/>
      <c r="AB10" s="866"/>
      <c r="AC10" s="866"/>
      <c r="AD10" s="867"/>
    </row>
    <row r="11" spans="1:33">
      <c r="A11" s="1449" t="s">
        <v>1736</v>
      </c>
      <c r="B11" s="1449"/>
      <c r="C11" s="1450"/>
      <c r="D11" s="1451"/>
      <c r="E11" s="1451"/>
      <c r="F11" s="1450"/>
      <c r="K11" s="1450"/>
      <c r="L11" s="1451"/>
      <c r="M11" s="1451"/>
      <c r="N11" s="1450"/>
      <c r="R11" s="868" t="s">
        <v>1736</v>
      </c>
      <c r="S11" s="869"/>
      <c r="T11" s="870"/>
      <c r="U11" s="870"/>
      <c r="V11" s="869"/>
      <c r="Z11" s="865" t="s">
        <v>621</v>
      </c>
      <c r="AA11" s="863">
        <v>7882111937</v>
      </c>
      <c r="AB11" s="864">
        <v>8179912042</v>
      </c>
      <c r="AC11" s="864">
        <v>4904817387</v>
      </c>
      <c r="AD11" s="1176">
        <v>4607017282</v>
      </c>
    </row>
    <row r="12" spans="1:33">
      <c r="A12" s="1452" t="s">
        <v>1732</v>
      </c>
      <c r="B12" s="1452"/>
      <c r="C12" s="1453"/>
      <c r="D12" s="1454"/>
      <c r="E12" s="1454"/>
      <c r="F12" s="1453"/>
      <c r="K12" s="1453"/>
      <c r="L12" s="1454"/>
      <c r="M12" s="1454"/>
      <c r="N12" s="1453"/>
      <c r="R12" s="859" t="s">
        <v>1732</v>
      </c>
      <c r="S12" s="860"/>
      <c r="T12" s="861"/>
      <c r="U12" s="861"/>
      <c r="V12" s="860"/>
      <c r="Z12" s="865" t="s">
        <v>1737</v>
      </c>
      <c r="AA12" s="867"/>
      <c r="AB12" s="864">
        <v>12287772300</v>
      </c>
      <c r="AC12" s="864">
        <v>14280219900</v>
      </c>
      <c r="AD12" s="1176">
        <v>1992447600</v>
      </c>
    </row>
    <row r="13" spans="1:33">
      <c r="A13" s="865" t="s">
        <v>612</v>
      </c>
      <c r="B13" s="865"/>
      <c r="C13" s="867"/>
      <c r="D13" s="866"/>
      <c r="E13" s="866"/>
      <c r="F13" s="867"/>
      <c r="K13" s="867"/>
      <c r="L13" s="866"/>
      <c r="M13" s="866"/>
      <c r="N13" s="867"/>
      <c r="R13" s="865" t="s">
        <v>612</v>
      </c>
      <c r="S13" s="867"/>
      <c r="T13" s="866"/>
      <c r="U13" s="866"/>
      <c r="V13" s="867"/>
      <c r="Z13" s="868" t="s">
        <v>1738</v>
      </c>
      <c r="AA13" s="873"/>
      <c r="AB13" s="874"/>
      <c r="AC13" s="875"/>
      <c r="AD13" s="873"/>
    </row>
    <row r="14" spans="1:33">
      <c r="A14" s="865" t="s">
        <v>618</v>
      </c>
      <c r="B14" s="865"/>
      <c r="C14" s="863">
        <v>18083600543</v>
      </c>
      <c r="D14" s="864">
        <v>35259522245</v>
      </c>
      <c r="E14" s="864">
        <v>57024810752</v>
      </c>
      <c r="F14" s="863">
        <v>39848889050</v>
      </c>
      <c r="K14" s="863">
        <v>18083600543</v>
      </c>
      <c r="L14" s="864">
        <v>24809493024</v>
      </c>
      <c r="M14" s="864">
        <v>31955835510</v>
      </c>
      <c r="N14" s="863">
        <v>25229943029</v>
      </c>
      <c r="R14" s="865" t="s">
        <v>618</v>
      </c>
      <c r="S14" s="863">
        <v>18083600543</v>
      </c>
      <c r="T14" s="864">
        <v>18233940701</v>
      </c>
      <c r="U14" s="864">
        <v>15619277369</v>
      </c>
      <c r="V14" s="863">
        <v>15468937211</v>
      </c>
      <c r="Z14" s="859" t="s">
        <v>1739</v>
      </c>
      <c r="AA14" s="860"/>
      <c r="AB14" s="861"/>
      <c r="AC14" s="876"/>
      <c r="AD14" s="860"/>
      <c r="AE14" s="1939"/>
      <c r="AF14" s="1939"/>
      <c r="AG14" s="1939"/>
    </row>
    <row r="15" spans="1:33">
      <c r="A15" s="865" t="s">
        <v>619</v>
      </c>
      <c r="B15" s="865"/>
      <c r="C15" s="863">
        <v>29800000000</v>
      </c>
      <c r="D15" s="864">
        <v>60700000000</v>
      </c>
      <c r="E15" s="864">
        <v>48550000000</v>
      </c>
      <c r="F15" s="863">
        <v>17650000000</v>
      </c>
      <c r="K15" s="863">
        <v>29800000000</v>
      </c>
      <c r="L15" s="864">
        <v>52550000000</v>
      </c>
      <c r="M15" s="864">
        <v>39450000000</v>
      </c>
      <c r="N15" s="863">
        <v>16700000000</v>
      </c>
      <c r="R15" s="865" t="s">
        <v>619</v>
      </c>
      <c r="S15" s="863">
        <v>29800000000</v>
      </c>
      <c r="T15" s="864">
        <v>33200000000</v>
      </c>
      <c r="U15" s="864">
        <v>30900000000</v>
      </c>
      <c r="V15" s="863">
        <v>27500000000</v>
      </c>
      <c r="Z15" s="865" t="s">
        <v>623</v>
      </c>
      <c r="AA15" s="863">
        <v>7683894064</v>
      </c>
      <c r="AB15" s="864">
        <v>1938000000</v>
      </c>
      <c r="AC15" s="866"/>
      <c r="AD15" s="863">
        <v>5745894064</v>
      </c>
      <c r="AG15" s="1939"/>
    </row>
    <row r="16" spans="1:33">
      <c r="A16" s="1452" t="s">
        <v>1734</v>
      </c>
      <c r="B16" s="1452"/>
      <c r="C16" s="1455"/>
      <c r="D16" s="1456"/>
      <c r="E16" s="1456"/>
      <c r="F16" s="1455"/>
      <c r="K16" s="1455"/>
      <c r="L16" s="1456"/>
      <c r="M16" s="1456"/>
      <c r="N16" s="1455"/>
      <c r="R16" s="859" t="s">
        <v>1734</v>
      </c>
      <c r="S16" s="871"/>
      <c r="T16" s="872"/>
      <c r="U16" s="872"/>
      <c r="V16" s="871"/>
      <c r="AG16" s="1939"/>
    </row>
    <row r="17" spans="1:33">
      <c r="A17" s="865" t="s">
        <v>613</v>
      </c>
      <c r="B17" s="865"/>
      <c r="C17" s="863">
        <v>10217416280</v>
      </c>
      <c r="D17" s="864">
        <v>90549504360</v>
      </c>
      <c r="E17" s="864">
        <v>112639926080</v>
      </c>
      <c r="F17" s="863">
        <v>32307838000</v>
      </c>
      <c r="K17" s="867"/>
      <c r="L17" s="866"/>
      <c r="M17" s="866"/>
      <c r="N17" s="867"/>
      <c r="R17" s="865" t="s">
        <v>1740</v>
      </c>
      <c r="S17" s="863">
        <v>10217416280</v>
      </c>
      <c r="T17" s="864">
        <v>30151041310</v>
      </c>
      <c r="U17" s="864">
        <v>49213089080</v>
      </c>
      <c r="V17" s="1176">
        <v>29279464050</v>
      </c>
      <c r="Z17" s="879" t="s">
        <v>1735</v>
      </c>
      <c r="AA17" s="869"/>
      <c r="AB17" s="870"/>
      <c r="AC17" s="870"/>
      <c r="AD17" s="869"/>
    </row>
    <row r="18" spans="1:33">
      <c r="A18" s="865" t="s">
        <v>1740</v>
      </c>
      <c r="B18" s="865"/>
      <c r="C18" s="867"/>
      <c r="D18" s="2317"/>
      <c r="E18" s="866"/>
      <c r="F18" s="867"/>
      <c r="K18" s="863">
        <v>10217416280</v>
      </c>
      <c r="L18" s="864">
        <v>90957171360</v>
      </c>
      <c r="M18" s="864">
        <v>104486817080</v>
      </c>
      <c r="N18" s="863">
        <v>23747062000</v>
      </c>
      <c r="R18" s="865" t="s">
        <v>613</v>
      </c>
      <c r="S18" s="867"/>
      <c r="T18" s="866"/>
      <c r="U18" s="866"/>
      <c r="V18" s="867"/>
      <c r="Z18" s="859" t="s">
        <v>1739</v>
      </c>
      <c r="AA18" s="860"/>
      <c r="AB18" s="861"/>
      <c r="AC18" s="876"/>
      <c r="AD18" s="860"/>
    </row>
    <row r="19" spans="1:33">
      <c r="A19" s="865" t="s">
        <v>1737</v>
      </c>
      <c r="B19" s="865"/>
      <c r="C19" s="863">
        <v>1572432000</v>
      </c>
      <c r="D19" s="864">
        <v>166574705200</v>
      </c>
      <c r="E19" s="864">
        <v>179855151200</v>
      </c>
      <c r="F19" s="863">
        <v>14852878000</v>
      </c>
      <c r="K19" s="863">
        <v>1572432000</v>
      </c>
      <c r="L19" s="864">
        <v>126211209200</v>
      </c>
      <c r="M19" s="864">
        <v>155667217200</v>
      </c>
      <c r="N19" s="863">
        <v>31028440000</v>
      </c>
      <c r="R19" s="865" t="s">
        <v>1737</v>
      </c>
      <c r="S19" s="863">
        <v>1572432000</v>
      </c>
      <c r="T19" s="864">
        <v>50353551200</v>
      </c>
      <c r="U19" s="864">
        <v>85482054200</v>
      </c>
      <c r="V19" s="1176">
        <v>36700935000</v>
      </c>
      <c r="Z19" s="1047" t="s">
        <v>1741</v>
      </c>
      <c r="AA19" s="863">
        <v>6807266668</v>
      </c>
      <c r="AB19" s="864">
        <v>1701816666</v>
      </c>
      <c r="AC19" s="866"/>
      <c r="AD19" s="863">
        <v>5105450002</v>
      </c>
    </row>
    <row r="20" spans="1:33">
      <c r="A20" s="1449" t="s">
        <v>1738</v>
      </c>
      <c r="B20" s="1449"/>
      <c r="C20" s="1457"/>
      <c r="D20" s="1458"/>
      <c r="E20" s="1459"/>
      <c r="F20" s="1457"/>
      <c r="K20" s="1457"/>
      <c r="L20" s="1458"/>
      <c r="M20" s="1459"/>
      <c r="N20" s="1457"/>
      <c r="R20" s="868" t="s">
        <v>1738</v>
      </c>
      <c r="S20" s="873"/>
      <c r="T20" s="874"/>
      <c r="U20" s="875"/>
      <c r="V20" s="873"/>
      <c r="Z20" s="859" t="s">
        <v>1732</v>
      </c>
      <c r="AA20" s="871"/>
      <c r="AB20" s="872"/>
      <c r="AC20" s="872"/>
      <c r="AD20" s="871"/>
    </row>
    <row r="21" spans="1:33">
      <c r="A21" s="1452" t="s">
        <v>1739</v>
      </c>
      <c r="B21" s="1452"/>
      <c r="C21" s="1453"/>
      <c r="D21" s="1454"/>
      <c r="E21" s="1460"/>
      <c r="F21" s="1453"/>
      <c r="K21" s="1453"/>
      <c r="L21" s="1454"/>
      <c r="M21" s="1460"/>
      <c r="N21" s="1453"/>
      <c r="R21" s="859" t="s">
        <v>1739</v>
      </c>
      <c r="S21" s="860"/>
      <c r="T21" s="861"/>
      <c r="U21" s="876"/>
      <c r="V21" s="860"/>
      <c r="Z21" s="1048" t="s">
        <v>1742</v>
      </c>
      <c r="AA21" s="863">
        <v>32428172070</v>
      </c>
      <c r="AB21" s="864">
        <v>32428172067</v>
      </c>
      <c r="AC21" s="864">
        <v>31511179904</v>
      </c>
      <c r="AD21" s="863">
        <v>31511179907</v>
      </c>
    </row>
    <row r="22" spans="1:33">
      <c r="A22" s="865" t="s">
        <v>623</v>
      </c>
      <c r="B22" s="865"/>
      <c r="C22" s="1176">
        <v>3807894064</v>
      </c>
      <c r="D22" s="2307">
        <v>3807894064</v>
      </c>
      <c r="E22" s="866"/>
      <c r="F22" s="863"/>
      <c r="K22" s="863">
        <v>3807894064</v>
      </c>
      <c r="L22" s="864">
        <v>2907000000</v>
      </c>
      <c r="M22" s="866"/>
      <c r="N22" s="863">
        <v>900894064</v>
      </c>
      <c r="R22" s="865" t="s">
        <v>623</v>
      </c>
      <c r="S22" s="863">
        <v>3807894064</v>
      </c>
      <c r="T22" s="864">
        <v>1938000000</v>
      </c>
      <c r="U22" s="866"/>
      <c r="V22" s="863">
        <v>1869894064</v>
      </c>
      <c r="Z22" s="1047" t="s">
        <v>1743</v>
      </c>
      <c r="AA22" s="863">
        <v>10000000000</v>
      </c>
      <c r="AB22" s="866"/>
      <c r="AC22" s="866"/>
      <c r="AD22" s="863">
        <v>10000000000</v>
      </c>
    </row>
    <row r="23" spans="1:33">
      <c r="A23" s="865" t="s">
        <v>625</v>
      </c>
      <c r="B23" s="865"/>
      <c r="C23" s="2308" t="s">
        <v>1744</v>
      </c>
      <c r="D23" s="2309"/>
      <c r="E23" s="866"/>
      <c r="F23" s="877" t="s">
        <v>1744</v>
      </c>
      <c r="K23" s="877">
        <v>1.25</v>
      </c>
      <c r="L23" s="866"/>
      <c r="M23" s="866"/>
      <c r="N23" s="877">
        <v>1.25</v>
      </c>
      <c r="R23" s="865" t="s">
        <v>625</v>
      </c>
      <c r="S23" s="877">
        <v>0</v>
      </c>
      <c r="T23" s="866"/>
      <c r="U23" s="866"/>
      <c r="V23" s="877">
        <v>0</v>
      </c>
      <c r="Z23" s="859" t="s">
        <v>1734</v>
      </c>
      <c r="AA23" s="871"/>
      <c r="AB23" s="872"/>
      <c r="AC23" s="872"/>
      <c r="AD23" s="871"/>
      <c r="AE23" s="853">
        <f>C25+E25</f>
        <v>1025254548698</v>
      </c>
      <c r="AF23" s="853">
        <f>D25</f>
        <v>793982710777</v>
      </c>
      <c r="AG23" s="853">
        <f>AE23-AF23</f>
        <v>231271837921</v>
      </c>
    </row>
    <row r="24" spans="1:33">
      <c r="Z24" s="862" t="s">
        <v>1745</v>
      </c>
      <c r="AA24" s="863">
        <v>29888900000</v>
      </c>
      <c r="AB24" s="864">
        <v>44902557057</v>
      </c>
      <c r="AC24" s="864">
        <v>43416763921</v>
      </c>
      <c r="AD24" s="1176">
        <v>28403106864</v>
      </c>
    </row>
    <row r="25" spans="1:33">
      <c r="C25" s="2310">
        <f>SUM(C4:C23)</f>
        <v>199249608753</v>
      </c>
      <c r="D25" s="2310">
        <f>SUM(D4:D23)</f>
        <v>793982710777</v>
      </c>
      <c r="E25" s="2310">
        <f>SUM(E4:E23)</f>
        <v>826004939945</v>
      </c>
      <c r="F25" s="2310">
        <f>SUM(F4:F23)</f>
        <v>231271837921</v>
      </c>
      <c r="K25" s="121">
        <f>SUM(K4:K23)</f>
        <v>199249608754.25</v>
      </c>
      <c r="L25" s="121">
        <f>SUM(L4:L23)</f>
        <v>650876580534</v>
      </c>
      <c r="M25" s="121">
        <f>SUM(M4:M23)</f>
        <v>649398050028</v>
      </c>
      <c r="N25" s="121">
        <f>SUM(N4:N23)</f>
        <v>197771078248.25</v>
      </c>
      <c r="S25" s="121">
        <f>SUM(S4:S23)</f>
        <v>199249608753</v>
      </c>
      <c r="T25" s="121">
        <f>SUM(T4:T23)</f>
        <v>338677841600</v>
      </c>
      <c r="U25" s="121">
        <f>SUM(U4:U23)</f>
        <v>369706236685</v>
      </c>
      <c r="V25" s="121">
        <f>SUM(V4:V23)</f>
        <v>230278003838</v>
      </c>
      <c r="Z25" s="859" t="s">
        <v>1746</v>
      </c>
      <c r="AA25" s="1049"/>
      <c r="AB25" s="872"/>
      <c r="AC25" s="872"/>
      <c r="AD25" s="871"/>
      <c r="AE25" s="2120">
        <f>E25-D25</f>
        <v>32022229168</v>
      </c>
      <c r="AF25" s="2120">
        <f>F25-AE25</f>
        <v>199249608753</v>
      </c>
      <c r="AG25" s="593"/>
    </row>
    <row r="26" spans="1:33">
      <c r="F26" s="853">
        <f>'BS Konsol-Des 24'!G55+'BS Konsol-Des 24'!G64</f>
        <v>231271837921</v>
      </c>
      <c r="G26" t="s">
        <v>1747</v>
      </c>
      <c r="N26" s="853">
        <f>'BS Konsol-Des 24'!I55+'BS Konsol-Des 24'!I64</f>
        <v>197771078247</v>
      </c>
      <c r="O26" t="s">
        <v>1747</v>
      </c>
      <c r="V26" s="853">
        <f>'BS Konsol'!H61+'BS Konsol'!H69</f>
        <v>209240909665</v>
      </c>
      <c r="W26" s="878" t="s">
        <v>1747</v>
      </c>
      <c r="Z26" s="862" t="s">
        <v>627</v>
      </c>
      <c r="AA26" s="867"/>
      <c r="AB26" s="866"/>
      <c r="AC26" s="864">
        <v>16346176592</v>
      </c>
      <c r="AD26" s="863">
        <v>16346176592</v>
      </c>
      <c r="AE26" s="853"/>
    </row>
    <row r="27" spans="1:33">
      <c r="D27" s="853"/>
      <c r="F27" s="853">
        <f>F25-F26</f>
        <v>0</v>
      </c>
      <c r="L27" s="853"/>
      <c r="N27" s="853">
        <f>N25-N26</f>
        <v>1.25</v>
      </c>
      <c r="T27" s="853">
        <f>V27</f>
        <v>21037094173</v>
      </c>
      <c r="V27" s="853">
        <f>V25-V26</f>
        <v>21037094173</v>
      </c>
      <c r="W27" t="s">
        <v>1748</v>
      </c>
      <c r="Z27" s="862" t="s">
        <v>1749</v>
      </c>
      <c r="AA27" s="867"/>
      <c r="AB27" s="864">
        <v>108199059</v>
      </c>
      <c r="AC27" s="864">
        <v>2526357430</v>
      </c>
      <c r="AD27" s="1176">
        <v>2418158371</v>
      </c>
      <c r="AE27" s="853"/>
    </row>
    <row r="28" spans="1:33">
      <c r="A28" s="929" t="s">
        <v>1750</v>
      </c>
      <c r="Z28" s="862" t="s">
        <v>1733</v>
      </c>
      <c r="AA28" s="867"/>
      <c r="AB28" s="864">
        <v>20718546900</v>
      </c>
      <c r="AC28" s="864">
        <v>42049456500</v>
      </c>
      <c r="AD28" s="863">
        <v>21330909600</v>
      </c>
    </row>
    <row r="29" spans="1:33">
      <c r="A29" s="1448" t="s">
        <v>317</v>
      </c>
      <c r="B29" s="1643"/>
      <c r="C29" s="628" t="s">
        <v>888</v>
      </c>
      <c r="D29" s="628" t="s">
        <v>1727</v>
      </c>
      <c r="E29" s="628" t="s">
        <v>1728</v>
      </c>
      <c r="F29" s="628" t="s">
        <v>1649</v>
      </c>
      <c r="J29" s="1448" t="s">
        <v>1751</v>
      </c>
      <c r="K29" s="628" t="s">
        <v>888</v>
      </c>
      <c r="L29" s="628" t="s">
        <v>1727</v>
      </c>
      <c r="M29" s="628" t="s">
        <v>1728</v>
      </c>
      <c r="N29" s="628" t="s">
        <v>1649</v>
      </c>
      <c r="AA29" s="1050">
        <f>SUM(AA4:AA28)</f>
        <v>167269479141</v>
      </c>
      <c r="AB29" s="1050">
        <f>SUM(AB4:AB28)</f>
        <v>214544110493</v>
      </c>
      <c r="AC29" s="1050">
        <f>SUM(AC4:AC28)</f>
        <v>223626289709</v>
      </c>
      <c r="AD29" s="1050">
        <f>SUM(AD4:AD28)</f>
        <v>176351658357</v>
      </c>
    </row>
    <row r="30" spans="1:33">
      <c r="A30" s="879" t="s">
        <v>1731</v>
      </c>
      <c r="B30" s="859"/>
      <c r="C30" s="628"/>
      <c r="D30" s="628"/>
      <c r="E30" s="628"/>
      <c r="F30" s="628"/>
      <c r="J30" s="879" t="s">
        <v>1731</v>
      </c>
      <c r="K30" s="628"/>
      <c r="L30" s="628"/>
      <c r="M30" s="628"/>
      <c r="N30" s="628"/>
      <c r="AA30" s="1050"/>
      <c r="AB30" s="1050"/>
      <c r="AC30" s="1050"/>
      <c r="AD30" s="1050"/>
    </row>
    <row r="31" spans="1:33">
      <c r="A31" s="1449" t="s">
        <v>1736</v>
      </c>
      <c r="B31" s="1449"/>
      <c r="C31" s="1450"/>
      <c r="D31" s="1451"/>
      <c r="E31" s="1451"/>
      <c r="F31" s="1450"/>
      <c r="K31" s="1450"/>
      <c r="L31" s="1451"/>
      <c r="M31" s="1451"/>
      <c r="N31" s="1450"/>
    </row>
    <row r="32" spans="1:33">
      <c r="A32" s="1452" t="s">
        <v>1739</v>
      </c>
      <c r="B32" s="1452"/>
      <c r="C32" s="1453"/>
      <c r="D32" s="1454"/>
      <c r="E32" s="1460"/>
      <c r="F32" s="1453"/>
      <c r="K32" s="1453"/>
      <c r="L32" s="1454"/>
      <c r="M32" s="1460"/>
      <c r="N32" s="1453"/>
    </row>
    <row r="33" spans="1:14">
      <c r="A33" s="1047" t="s">
        <v>1741</v>
      </c>
      <c r="B33" s="1047"/>
      <c r="C33" s="863">
        <v>6807266668</v>
      </c>
      <c r="D33" s="864">
        <v>6807266668</v>
      </c>
      <c r="E33" s="866"/>
      <c r="F33" s="863"/>
      <c r="K33" s="863">
        <v>6807266668</v>
      </c>
      <c r="L33" s="864">
        <v>2552724999</v>
      </c>
      <c r="M33" s="866"/>
      <c r="N33" s="863">
        <v>4254541669</v>
      </c>
    </row>
    <row r="34" spans="1:14">
      <c r="A34" s="1452" t="s">
        <v>1732</v>
      </c>
      <c r="B34" s="1452"/>
      <c r="C34" s="1455"/>
      <c r="D34" s="1456"/>
      <c r="E34" s="1456"/>
      <c r="F34" s="1455"/>
      <c r="K34" s="1455"/>
      <c r="L34" s="1456"/>
      <c r="M34" s="1456"/>
      <c r="N34" s="1455"/>
    </row>
    <row r="35" spans="1:14">
      <c r="A35" s="1048" t="s">
        <v>1742</v>
      </c>
      <c r="B35" s="1048"/>
      <c r="C35" s="863">
        <v>32428172070</v>
      </c>
      <c r="D35" s="864">
        <v>87653372274</v>
      </c>
      <c r="E35" s="864">
        <v>55225200204</v>
      </c>
      <c r="F35" s="863"/>
      <c r="K35" s="863">
        <v>32428172070</v>
      </c>
      <c r="L35" s="864">
        <v>37489210995</v>
      </c>
      <c r="M35" s="864">
        <v>37531375706</v>
      </c>
      <c r="N35" s="863">
        <v>32470336781</v>
      </c>
    </row>
    <row r="36" spans="1:14">
      <c r="A36" s="1047" t="s">
        <v>1743</v>
      </c>
      <c r="B36" s="1047"/>
      <c r="C36" s="863">
        <v>10000000000</v>
      </c>
      <c r="D36" s="864">
        <v>10000000000</v>
      </c>
      <c r="E36" s="866"/>
      <c r="F36" s="863"/>
      <c r="K36" s="863">
        <v>10000000000</v>
      </c>
      <c r="L36" s="866"/>
      <c r="M36" s="866"/>
      <c r="N36" s="863">
        <v>10000000000</v>
      </c>
    </row>
    <row r="37" spans="1:14">
      <c r="A37" s="1452" t="s">
        <v>1734</v>
      </c>
      <c r="B37" s="1452"/>
      <c r="C37" s="1455"/>
      <c r="D37" s="1456"/>
      <c r="E37" s="1456"/>
      <c r="F37" s="1455"/>
      <c r="K37" s="1455"/>
      <c r="L37" s="1456"/>
      <c r="M37" s="1456"/>
      <c r="N37" s="1455"/>
    </row>
    <row r="38" spans="1:14">
      <c r="A38" s="862" t="s">
        <v>1745</v>
      </c>
      <c r="B38" s="862"/>
      <c r="C38" s="863">
        <v>29888900000</v>
      </c>
      <c r="D38" s="864">
        <v>107415168158</v>
      </c>
      <c r="E38" s="864">
        <v>77526268158</v>
      </c>
      <c r="F38" s="863"/>
      <c r="K38" s="863">
        <v>29888900000</v>
      </c>
      <c r="L38" s="864">
        <v>62498579191</v>
      </c>
      <c r="M38" s="864">
        <v>62109079191</v>
      </c>
      <c r="N38" s="863">
        <v>29499400000</v>
      </c>
    </row>
    <row r="39" spans="1:14">
      <c r="A39" s="859" t="s">
        <v>1746</v>
      </c>
      <c r="B39" s="1452"/>
      <c r="C39" s="1467"/>
      <c r="D39" s="1456"/>
      <c r="E39" s="1456"/>
      <c r="F39" s="1455"/>
      <c r="K39" s="1467"/>
      <c r="L39" s="1456"/>
      <c r="M39" s="1456"/>
      <c r="N39" s="1455"/>
    </row>
    <row r="40" spans="1:14">
      <c r="A40" s="1452" t="s">
        <v>627</v>
      </c>
      <c r="B40" s="1452"/>
      <c r="C40" s="867"/>
      <c r="D40" s="2246">
        <v>16346176592</v>
      </c>
      <c r="E40" s="2246">
        <v>44091961800</v>
      </c>
      <c r="F40" s="863">
        <v>27745785208</v>
      </c>
      <c r="K40" s="867"/>
      <c r="L40" s="2246"/>
      <c r="M40" s="2246"/>
      <c r="N40" s="863"/>
    </row>
    <row r="41" spans="1:14">
      <c r="A41" s="1452" t="s">
        <v>628</v>
      </c>
      <c r="B41" s="1452"/>
      <c r="C41" s="867"/>
      <c r="D41" s="2246">
        <v>8785979697</v>
      </c>
      <c r="E41" s="2246">
        <v>42499301955</v>
      </c>
      <c r="F41" s="863">
        <v>33713322258</v>
      </c>
      <c r="K41" s="867"/>
      <c r="L41" s="2246"/>
      <c r="M41" s="2246"/>
      <c r="N41" s="863"/>
    </row>
    <row r="42" spans="1:14">
      <c r="A42" s="1452" t="s">
        <v>1749</v>
      </c>
      <c r="B42" s="1452"/>
      <c r="C42" s="867"/>
      <c r="D42" s="2246">
        <v>2563374810</v>
      </c>
      <c r="E42" s="2246">
        <v>2563374810</v>
      </c>
      <c r="F42" s="867"/>
      <c r="K42" s="867"/>
      <c r="L42" s="2246"/>
      <c r="M42" s="2246"/>
      <c r="N42" s="863"/>
    </row>
    <row r="43" spans="1:14">
      <c r="A43" s="1452" t="s">
        <v>629</v>
      </c>
      <c r="B43" s="1452"/>
      <c r="C43" s="867"/>
      <c r="D43" s="2246">
        <v>380000000</v>
      </c>
      <c r="E43" s="2246">
        <v>29670400000</v>
      </c>
      <c r="F43" s="863">
        <v>29290400000</v>
      </c>
      <c r="K43" s="867"/>
      <c r="L43" s="2246"/>
      <c r="M43" s="2246"/>
      <c r="N43" s="863"/>
    </row>
    <row r="44" spans="1:14">
      <c r="A44" s="862" t="s">
        <v>1733</v>
      </c>
      <c r="B44" s="862"/>
      <c r="C44" s="867"/>
      <c r="D44" s="864">
        <v>69923590800</v>
      </c>
      <c r="E44" s="864">
        <v>85848318800</v>
      </c>
      <c r="F44" s="863">
        <v>15924728000</v>
      </c>
      <c r="K44" s="867"/>
      <c r="L44" s="864">
        <v>1983155248</v>
      </c>
      <c r="M44" s="864">
        <v>33751935895</v>
      </c>
      <c r="N44" s="863">
        <v>31768780647</v>
      </c>
    </row>
    <row r="45" spans="1:14">
      <c r="A45" s="862" t="s">
        <v>631</v>
      </c>
      <c r="B45" s="862"/>
      <c r="C45" s="867"/>
      <c r="D45" s="864">
        <v>155404900</v>
      </c>
      <c r="E45" s="864">
        <v>20649435300</v>
      </c>
      <c r="F45" s="863">
        <v>20494030400</v>
      </c>
      <c r="K45" s="867"/>
      <c r="L45" s="864">
        <v>2563374810</v>
      </c>
      <c r="M45" s="864">
        <v>2563374810</v>
      </c>
      <c r="N45" s="867"/>
    </row>
    <row r="46" spans="1:14">
      <c r="A46" s="862" t="s">
        <v>633</v>
      </c>
      <c r="B46" s="862"/>
      <c r="C46" s="867"/>
      <c r="D46" s="866"/>
      <c r="E46" s="864">
        <v>8600000000</v>
      </c>
      <c r="F46" s="863">
        <v>8600000000</v>
      </c>
      <c r="K46" s="867"/>
      <c r="L46" s="864">
        <v>53833463300</v>
      </c>
      <c r="M46" s="864">
        <v>67015037300</v>
      </c>
      <c r="N46" s="863">
        <v>13181574000</v>
      </c>
    </row>
    <row r="47" spans="1:14">
      <c r="A47" s="879" t="s">
        <v>1735</v>
      </c>
      <c r="B47" s="859"/>
      <c r="J47" s="1644" t="s">
        <v>1735</v>
      </c>
    </row>
    <row r="48" spans="1:14">
      <c r="A48" s="868" t="s">
        <v>1736</v>
      </c>
      <c r="B48" s="1449"/>
      <c r="C48" s="1450"/>
      <c r="D48" s="1451"/>
      <c r="E48" s="1451"/>
      <c r="F48" s="1450"/>
      <c r="K48" s="1450"/>
      <c r="L48" s="1451"/>
      <c r="M48" s="1451"/>
      <c r="N48" s="1450"/>
    </row>
    <row r="49" spans="1:15">
      <c r="A49" s="859" t="s">
        <v>1732</v>
      </c>
      <c r="B49" s="1452"/>
      <c r="C49" s="1453"/>
      <c r="D49" s="1454"/>
      <c r="E49" s="1454"/>
      <c r="F49" s="1453"/>
      <c r="K49" s="1453"/>
      <c r="L49" s="1454"/>
      <c r="M49" s="1454"/>
      <c r="N49" s="1453"/>
    </row>
    <row r="50" spans="1:15">
      <c r="A50" s="865" t="s">
        <v>617</v>
      </c>
      <c r="B50" s="865"/>
      <c r="C50" s="863">
        <v>13134191795</v>
      </c>
      <c r="D50" s="864">
        <v>31334191795</v>
      </c>
      <c r="E50" s="864">
        <v>18200000000</v>
      </c>
      <c r="F50" s="867"/>
      <c r="K50" s="863">
        <v>13134191795</v>
      </c>
      <c r="L50" s="864">
        <v>31334191795</v>
      </c>
      <c r="M50" s="864">
        <v>18200000000</v>
      </c>
      <c r="N50" s="867"/>
    </row>
    <row r="51" spans="1:15">
      <c r="A51" s="865" t="s">
        <v>612</v>
      </c>
      <c r="B51" s="865"/>
      <c r="C51" s="867"/>
      <c r="D51" s="866"/>
      <c r="E51" s="866"/>
      <c r="F51" s="867"/>
      <c r="K51" s="867"/>
      <c r="L51" s="866"/>
      <c r="M51" s="866"/>
      <c r="N51" s="867"/>
    </row>
    <row r="52" spans="1:15">
      <c r="A52" s="865" t="s">
        <v>618</v>
      </c>
      <c r="B52" s="865"/>
      <c r="C52" s="863">
        <v>41444942607</v>
      </c>
      <c r="D52" s="864">
        <v>60486260682</v>
      </c>
      <c r="E52" s="864">
        <v>37124918618</v>
      </c>
      <c r="F52" s="863">
        <v>18083600543</v>
      </c>
      <c r="K52" s="863">
        <v>41444942607</v>
      </c>
      <c r="L52" s="864">
        <v>44532262944</v>
      </c>
      <c r="M52" s="864">
        <v>30594400884</v>
      </c>
      <c r="N52" s="863">
        <v>27507080547</v>
      </c>
    </row>
    <row r="53" spans="1:15">
      <c r="A53" s="865" t="s">
        <v>619</v>
      </c>
      <c r="B53" s="865"/>
      <c r="C53" s="863">
        <v>18000000000</v>
      </c>
      <c r="D53" s="864">
        <v>49350000000</v>
      </c>
      <c r="E53" s="864">
        <v>61150000000</v>
      </c>
      <c r="F53" s="863">
        <v>29800000000</v>
      </c>
      <c r="K53" s="863">
        <v>18000000000</v>
      </c>
      <c r="L53" s="864">
        <v>41250000000</v>
      </c>
      <c r="M53" s="864">
        <f>47700000000-500000000</f>
        <v>47200000000</v>
      </c>
      <c r="N53" s="863">
        <f>K53+M53-L53</f>
        <v>23950000000</v>
      </c>
    </row>
    <row r="54" spans="1:15">
      <c r="A54" s="859" t="s">
        <v>1734</v>
      </c>
      <c r="B54" s="1452"/>
      <c r="C54" s="1455"/>
      <c r="D54" s="1456"/>
      <c r="E54" s="1456"/>
      <c r="F54" s="1455"/>
      <c r="K54" s="1455"/>
      <c r="L54" s="1456"/>
      <c r="M54" s="1456"/>
      <c r="N54" s="1455"/>
    </row>
    <row r="55" spans="1:15">
      <c r="A55" s="1452" t="s">
        <v>1740</v>
      </c>
      <c r="B55" s="1452"/>
      <c r="C55" s="863"/>
      <c r="D55" s="864">
        <v>91999500</v>
      </c>
      <c r="E55" s="864">
        <v>10309415780</v>
      </c>
      <c r="F55" s="863">
        <v>10217416280</v>
      </c>
      <c r="K55" s="863"/>
      <c r="L55" s="2246"/>
      <c r="M55" s="2246"/>
      <c r="N55" s="863"/>
    </row>
    <row r="56" spans="1:15">
      <c r="A56" s="865" t="s">
        <v>613</v>
      </c>
      <c r="B56" s="865"/>
      <c r="C56" s="867"/>
      <c r="K56" s="867"/>
      <c r="L56" s="866"/>
      <c r="M56" s="866"/>
      <c r="N56" s="867"/>
    </row>
    <row r="57" spans="1:15">
      <c r="A57" s="865" t="s">
        <v>621</v>
      </c>
      <c r="B57" s="865"/>
      <c r="C57" s="863">
        <v>7882111937</v>
      </c>
      <c r="D57" s="864">
        <v>12902536659</v>
      </c>
      <c r="E57" s="864">
        <v>5020424722</v>
      </c>
      <c r="F57" s="867"/>
      <c r="K57" s="863">
        <v>7882111937</v>
      </c>
      <c r="L57" s="864">
        <v>10943596085</v>
      </c>
      <c r="M57" s="864">
        <v>5017980776</v>
      </c>
      <c r="N57" s="863">
        <v>1956496628</v>
      </c>
    </row>
    <row r="58" spans="1:15">
      <c r="A58" s="865" t="s">
        <v>1737</v>
      </c>
      <c r="B58" s="865"/>
      <c r="C58" s="867"/>
      <c r="D58" s="864">
        <v>19985064500</v>
      </c>
      <c r="E58" s="864">
        <v>21557496500</v>
      </c>
      <c r="F58" s="863">
        <v>1572432000</v>
      </c>
      <c r="K58" s="867"/>
      <c r="L58" s="864">
        <v>16735665500</v>
      </c>
      <c r="M58" s="864">
        <v>16735665500</v>
      </c>
      <c r="N58" s="867"/>
    </row>
    <row r="59" spans="1:15">
      <c r="A59" s="868" t="s">
        <v>1738</v>
      </c>
      <c r="B59" s="1449"/>
      <c r="C59" s="1457"/>
      <c r="D59" s="1458"/>
      <c r="E59" s="1459"/>
      <c r="F59" s="1457"/>
      <c r="K59" s="1457"/>
      <c r="L59" s="1458"/>
      <c r="M59" s="1459"/>
      <c r="N59" s="1457"/>
    </row>
    <row r="60" spans="1:15">
      <c r="A60" s="859" t="s">
        <v>1739</v>
      </c>
      <c r="B60" s="1452"/>
      <c r="C60" s="1453"/>
      <c r="D60" s="1454"/>
      <c r="E60" s="1460"/>
      <c r="F60" s="1453"/>
      <c r="K60" s="1453"/>
      <c r="L60" s="1454"/>
      <c r="M60" s="1460"/>
      <c r="N60" s="1453"/>
    </row>
    <row r="61" spans="1:15">
      <c r="A61" s="865" t="s">
        <v>623</v>
      </c>
      <c r="B61" s="865"/>
      <c r="C61" s="863">
        <v>7683894064</v>
      </c>
      <c r="D61" s="864">
        <v>3876000000</v>
      </c>
      <c r="E61" s="866"/>
      <c r="F61" s="863">
        <v>3807894064</v>
      </c>
      <c r="K61" s="863">
        <v>7683894064</v>
      </c>
      <c r="L61" s="864">
        <v>2907000000</v>
      </c>
      <c r="M61" s="866"/>
      <c r="N61" s="863">
        <v>4776894064</v>
      </c>
    </row>
    <row r="62" spans="1:15">
      <c r="C62" s="1050">
        <f>SUM(C31:C61)</f>
        <v>167269479141</v>
      </c>
      <c r="D62" s="1050">
        <f>SUM(D31:D61)</f>
        <v>488056387035</v>
      </c>
      <c r="E62" s="1050">
        <f>SUM(E31:E61)</f>
        <v>520036516647</v>
      </c>
      <c r="F62" s="1050">
        <f>SUM(F31:F61)</f>
        <v>199249608753</v>
      </c>
      <c r="K62" s="1050">
        <f>SUM(K31:K61)</f>
        <v>167269479141</v>
      </c>
      <c r="L62" s="1050">
        <f>SUM(L31:L61)</f>
        <v>308623224867</v>
      </c>
      <c r="M62" s="1050">
        <f>SUM(M31:M61)</f>
        <v>320718850062</v>
      </c>
      <c r="N62" s="1050">
        <f>SUM(N31:N61)</f>
        <v>179365104336</v>
      </c>
    </row>
    <row r="63" spans="1:15">
      <c r="F63" s="853">
        <f>'BS Konsol-Des 24'!Q55+'BS Konsol-Des 24'!Q64+'BS Konsol-Des 24'!Q73</f>
        <v>199249608753</v>
      </c>
      <c r="G63" t="s">
        <v>1747</v>
      </c>
      <c r="N63" s="853">
        <f>'BS Konsol-Des 24'!K55+'BS Konsol-Des 24'!K64+'BS Konsol-Des 24'!K73</f>
        <v>179365104336</v>
      </c>
      <c r="O63" t="s">
        <v>1747</v>
      </c>
    </row>
    <row r="64" spans="1:15">
      <c r="F64" s="853">
        <f>F62-F63</f>
        <v>0</v>
      </c>
      <c r="N64" s="853">
        <f>N62-N63</f>
        <v>0</v>
      </c>
    </row>
    <row r="66" spans="4:4">
      <c r="D66" s="121"/>
    </row>
    <row r="67" spans="4:4">
      <c r="D67" s="1939"/>
    </row>
    <row r="68" spans="4:4">
      <c r="D68" s="85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1A4C-FA12-42B1-A95E-16D6A1D4193C}">
  <dimension ref="A1:U41"/>
  <sheetViews>
    <sheetView showGridLines="0" topLeftCell="A5" zoomScale="89" zoomScaleNormal="100" workbookViewId="0">
      <pane xSplit="6" ySplit="9" topLeftCell="G29" activePane="bottomRight" state="frozen"/>
      <selection pane="bottomRight" activeCell="O46" sqref="O46"/>
      <selection pane="bottomLeft" activeCell="A14" sqref="A14"/>
      <selection pane="topRight" activeCell="G5" sqref="G5"/>
    </sheetView>
  </sheetViews>
  <sheetFormatPr defaultRowHeight="14.45"/>
  <cols>
    <col min="6" max="6" width="1.5703125" customWidth="1"/>
    <col min="7" max="7" width="12.42578125" bestFit="1" customWidth="1"/>
    <col min="8" max="8" width="3.5703125" customWidth="1"/>
    <col min="9" max="9" width="12.5703125" bestFit="1" customWidth="1"/>
    <col min="10" max="10" width="0.5703125" customWidth="1"/>
    <col min="11" max="11" width="16.42578125" customWidth="1"/>
    <col min="12" max="12" width="0.5703125" customWidth="1"/>
    <col min="13" max="13" width="13.5703125" customWidth="1"/>
    <col min="14" max="14" width="2.42578125" customWidth="1"/>
    <col min="15" max="15" width="18.5703125" customWidth="1"/>
    <col min="16" max="16" width="2.42578125" customWidth="1"/>
    <col min="17" max="17" width="18.5703125" customWidth="1"/>
    <col min="18" max="18" width="3.42578125" customWidth="1"/>
    <col min="19" max="19" width="14.5703125" customWidth="1"/>
    <col min="20" max="20" width="2.42578125" customWidth="1"/>
    <col min="21" max="21" width="26.42578125" bestFit="1" customWidth="1"/>
  </cols>
  <sheetData>
    <row r="1" spans="1:21">
      <c r="A1" s="351" t="s">
        <v>1216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402"/>
      <c r="N1" s="351"/>
      <c r="O1" s="351"/>
      <c r="P1" s="351"/>
      <c r="Q1" s="351"/>
      <c r="R1" s="351"/>
      <c r="S1" s="351"/>
      <c r="T1" s="354"/>
      <c r="U1" s="359"/>
    </row>
    <row r="2" spans="1:21">
      <c r="A2" s="403" t="s">
        <v>1174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4">
        <f>'[193]BS Konsol'!O119</f>
        <v>0</v>
      </c>
      <c r="P2" s="403"/>
      <c r="Q2" s="403"/>
      <c r="R2" s="403"/>
      <c r="S2" s="403"/>
      <c r="T2" s="354"/>
      <c r="U2" s="359"/>
    </row>
    <row r="3" spans="1:21">
      <c r="A3" s="403" t="s">
        <v>1217</v>
      </c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354"/>
      <c r="U3" s="359"/>
    </row>
    <row r="4" spans="1:21">
      <c r="A4" s="351" t="s">
        <v>1053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4"/>
      <c r="U4" s="359"/>
    </row>
    <row r="5" spans="1:21">
      <c r="A5" s="351"/>
      <c r="B5" s="351"/>
      <c r="C5" s="351"/>
      <c r="D5" s="352"/>
      <c r="E5" s="351"/>
      <c r="F5" s="351"/>
      <c r="G5" s="351"/>
      <c r="H5" s="351"/>
      <c r="I5" s="353"/>
      <c r="J5" s="351"/>
      <c r="K5" s="354"/>
      <c r="L5" s="351"/>
      <c r="M5" s="2405" t="s">
        <v>1218</v>
      </c>
      <c r="N5" s="2405"/>
      <c r="O5" s="2405"/>
      <c r="P5" s="2405"/>
      <c r="Q5" s="2405"/>
      <c r="R5" s="351"/>
      <c r="S5" s="355"/>
      <c r="T5" s="354"/>
      <c r="U5" s="356"/>
    </row>
    <row r="6" spans="1:21" ht="11.85" customHeight="1">
      <c r="A6" s="351"/>
      <c r="B6" s="351"/>
      <c r="C6" s="351"/>
      <c r="D6" s="352"/>
      <c r="E6" s="351"/>
      <c r="F6" s="351"/>
      <c r="G6" s="351"/>
      <c r="H6" s="351"/>
      <c r="I6" s="354"/>
      <c r="J6" s="351"/>
      <c r="K6" s="354"/>
      <c r="L6" s="351"/>
      <c r="M6" s="2406" t="s">
        <v>1219</v>
      </c>
      <c r="N6" s="2406"/>
      <c r="O6" s="2406"/>
      <c r="P6" s="2406"/>
      <c r="Q6" s="2406"/>
      <c r="R6" s="351"/>
      <c r="S6" s="357"/>
      <c r="T6" s="354"/>
      <c r="U6" s="356"/>
    </row>
    <row r="7" spans="1:21" ht="11.85" customHeight="1">
      <c r="A7" s="351"/>
      <c r="B7" s="351"/>
      <c r="C7" s="351"/>
      <c r="D7" s="351"/>
      <c r="E7" s="351"/>
      <c r="F7" s="351"/>
      <c r="G7" s="351"/>
      <c r="H7" s="351"/>
      <c r="I7" s="354"/>
      <c r="J7" s="351"/>
      <c r="K7" s="354"/>
      <c r="L7" s="351"/>
      <c r="M7" s="354"/>
      <c r="N7" s="358"/>
      <c r="O7" s="354"/>
      <c r="P7" s="358"/>
      <c r="Q7" s="358" t="s">
        <v>96</v>
      </c>
      <c r="R7" s="351"/>
      <c r="S7" s="353"/>
      <c r="T7" s="354"/>
      <c r="U7" s="359"/>
    </row>
    <row r="8" spans="1:21" ht="11.85" customHeight="1">
      <c r="A8" s="351"/>
      <c r="B8" s="351"/>
      <c r="C8" s="351"/>
      <c r="D8" s="351"/>
      <c r="E8" s="354"/>
      <c r="F8" s="354"/>
      <c r="G8" s="354"/>
      <c r="H8" s="354"/>
      <c r="I8" s="354"/>
      <c r="J8" s="354"/>
      <c r="K8" s="353"/>
      <c r="L8" s="354"/>
      <c r="M8" s="354"/>
      <c r="N8" s="358"/>
      <c r="O8" s="354"/>
      <c r="P8" s="358"/>
      <c r="Q8" s="358" t="s">
        <v>1220</v>
      </c>
      <c r="R8" s="351"/>
      <c r="S8" s="360"/>
      <c r="T8" s="354"/>
      <c r="U8" s="359"/>
    </row>
    <row r="9" spans="1:21" ht="11.85" customHeight="1">
      <c r="A9" s="351"/>
      <c r="B9" s="351"/>
      <c r="C9" s="351"/>
      <c r="D9" s="351"/>
      <c r="E9" s="354"/>
      <c r="F9" s="353"/>
      <c r="G9" s="354"/>
      <c r="H9" s="351"/>
      <c r="I9" s="354"/>
      <c r="J9" s="351"/>
      <c r="K9" s="353"/>
      <c r="L9" s="351"/>
      <c r="M9" s="354"/>
      <c r="N9" s="358"/>
      <c r="O9" s="358"/>
      <c r="P9" s="358"/>
      <c r="Q9" s="358" t="s">
        <v>1221</v>
      </c>
      <c r="R9" s="351"/>
      <c r="S9" s="361"/>
      <c r="T9" s="354"/>
      <c r="U9" s="359" t="s">
        <v>468</v>
      </c>
    </row>
    <row r="10" spans="1:21" ht="11.85" customHeight="1">
      <c r="A10" s="351"/>
      <c r="B10" s="351"/>
      <c r="C10" s="351"/>
      <c r="D10" s="351"/>
      <c r="E10" s="354"/>
      <c r="F10" s="353"/>
      <c r="G10" s="354"/>
      <c r="H10" s="362"/>
      <c r="I10" s="353" t="s">
        <v>1222</v>
      </c>
      <c r="J10" s="363"/>
      <c r="K10" s="353" t="s">
        <v>292</v>
      </c>
      <c r="L10" s="363"/>
      <c r="M10" s="354"/>
      <c r="N10" s="364"/>
      <c r="O10" s="354"/>
      <c r="P10" s="358"/>
      <c r="Q10" s="365" t="s">
        <v>1223</v>
      </c>
      <c r="R10" s="351"/>
      <c r="S10" s="366"/>
      <c r="T10" s="354"/>
      <c r="U10" s="359"/>
    </row>
    <row r="11" spans="1:21" ht="11.85" customHeight="1">
      <c r="A11" s="351"/>
      <c r="B11" s="351"/>
      <c r="C11" s="351"/>
      <c r="D11" s="351"/>
      <c r="E11" s="353"/>
      <c r="F11" s="353"/>
      <c r="G11" s="353"/>
      <c r="H11" s="351"/>
      <c r="I11" s="363" t="s">
        <v>1224</v>
      </c>
      <c r="J11" s="351"/>
      <c r="K11" s="353" t="s">
        <v>1225</v>
      </c>
      <c r="L11" s="351"/>
      <c r="M11" s="358" t="s">
        <v>1226</v>
      </c>
      <c r="N11" s="358"/>
      <c r="O11" s="358" t="s">
        <v>1227</v>
      </c>
      <c r="P11" s="358"/>
      <c r="Q11" s="367" t="s">
        <v>1228</v>
      </c>
      <c r="R11" s="351"/>
      <c r="S11" s="368"/>
      <c r="T11" s="354"/>
      <c r="U11" s="369"/>
    </row>
    <row r="12" spans="1:21" ht="11.85" customHeight="1">
      <c r="A12" s="351"/>
      <c r="B12" s="351"/>
      <c r="C12" s="351"/>
      <c r="D12" s="351"/>
      <c r="E12" s="353" t="s">
        <v>1054</v>
      </c>
      <c r="F12" s="353"/>
      <c r="G12" s="353" t="s">
        <v>1229</v>
      </c>
      <c r="H12" s="351"/>
      <c r="I12" s="413" t="s">
        <v>1230</v>
      </c>
      <c r="J12" s="351"/>
      <c r="K12" s="370" t="s">
        <v>1231</v>
      </c>
      <c r="L12" s="351"/>
      <c r="M12" s="414" t="s">
        <v>1232</v>
      </c>
      <c r="N12" s="414"/>
      <c r="O12" s="414" t="s">
        <v>1232</v>
      </c>
      <c r="P12" s="414"/>
      <c r="Q12" s="367" t="s">
        <v>1233</v>
      </c>
      <c r="R12" s="351"/>
      <c r="S12" s="362" t="s">
        <v>1234</v>
      </c>
      <c r="T12" s="354"/>
      <c r="U12" s="359"/>
    </row>
    <row r="13" spans="1:21" ht="11.85" customHeight="1">
      <c r="A13" s="351"/>
      <c r="B13" s="351"/>
      <c r="C13" s="351"/>
      <c r="D13" s="351"/>
      <c r="E13" s="371" t="s">
        <v>1055</v>
      </c>
      <c r="F13" s="370"/>
      <c r="G13" s="373" t="s">
        <v>1235</v>
      </c>
      <c r="H13" s="362"/>
      <c r="I13" s="373" t="s">
        <v>1236</v>
      </c>
      <c r="J13" s="362"/>
      <c r="K13" s="371" t="s">
        <v>1237</v>
      </c>
      <c r="L13" s="362"/>
      <c r="M13" s="415" t="s">
        <v>1161</v>
      </c>
      <c r="N13" s="416"/>
      <c r="O13" s="415" t="s">
        <v>1163</v>
      </c>
      <c r="P13" s="416"/>
      <c r="Q13" s="372" t="s">
        <v>1238</v>
      </c>
      <c r="R13" s="417"/>
      <c r="S13" s="373" t="s">
        <v>851</v>
      </c>
      <c r="T13" s="354"/>
      <c r="U13" s="359"/>
    </row>
    <row r="14" spans="1:21">
      <c r="A14" s="351"/>
      <c r="B14" s="351"/>
      <c r="C14" s="351"/>
      <c r="D14" s="351"/>
      <c r="E14" s="351"/>
      <c r="F14" s="351"/>
      <c r="G14" s="351"/>
      <c r="H14" s="351"/>
      <c r="I14" s="353"/>
      <c r="J14" s="353"/>
      <c r="K14" s="354"/>
      <c r="L14" s="353"/>
      <c r="M14" s="351"/>
      <c r="N14" s="351"/>
      <c r="O14" s="351"/>
      <c r="P14" s="351"/>
      <c r="Q14" s="351"/>
      <c r="R14" s="351"/>
      <c r="S14" s="353"/>
      <c r="T14" s="354"/>
      <c r="U14" s="359"/>
    </row>
    <row r="15" spans="1:21">
      <c r="A15" s="351"/>
      <c r="B15" s="351"/>
      <c r="C15" s="351"/>
      <c r="D15" s="351"/>
      <c r="E15" s="351"/>
      <c r="F15" s="351"/>
      <c r="G15" s="351"/>
      <c r="H15" s="351"/>
      <c r="I15" s="353"/>
      <c r="J15" s="353"/>
      <c r="K15" s="353"/>
      <c r="L15" s="353"/>
      <c r="M15" s="351"/>
      <c r="N15" s="351"/>
      <c r="O15" s="351"/>
      <c r="P15" s="351"/>
      <c r="Q15" s="351"/>
      <c r="R15" s="351"/>
      <c r="S15" s="353"/>
      <c r="T15" s="354"/>
      <c r="U15" s="359"/>
    </row>
    <row r="16" spans="1:21">
      <c r="A16" s="351" t="s">
        <v>1239</v>
      </c>
      <c r="B16" s="374"/>
      <c r="C16" s="374"/>
      <c r="D16" s="375"/>
      <c r="E16" s="375"/>
      <c r="F16" s="375"/>
      <c r="G16" s="418">
        <v>40000000000</v>
      </c>
      <c r="H16" s="419"/>
      <c r="I16" s="420">
        <v>25871690669</v>
      </c>
      <c r="J16" s="353"/>
      <c r="K16" s="377">
        <v>-627906429</v>
      </c>
      <c r="L16" s="353"/>
      <c r="M16" s="376">
        <v>0</v>
      </c>
      <c r="N16" s="378"/>
      <c r="O16" s="376">
        <v>10091081877.790174</v>
      </c>
      <c r="P16" s="378"/>
      <c r="Q16" s="376">
        <v>20045030056.982098</v>
      </c>
      <c r="R16" s="351"/>
      <c r="S16" s="379">
        <f>SUM(G16:Q16)</f>
        <v>95379896174.772278</v>
      </c>
      <c r="T16" s="354"/>
      <c r="U16" s="380" t="s">
        <v>1240</v>
      </c>
    </row>
    <row r="17" spans="1:21" ht="10.35" customHeight="1">
      <c r="A17" s="382" t="s">
        <v>1241</v>
      </c>
      <c r="B17" s="354"/>
      <c r="C17" s="354"/>
      <c r="D17" s="375"/>
      <c r="E17" s="375"/>
      <c r="F17" s="375"/>
      <c r="G17" s="383"/>
      <c r="H17" s="383"/>
      <c r="I17" s="381"/>
      <c r="J17" s="381"/>
      <c r="K17" s="381"/>
      <c r="L17" s="381"/>
      <c r="M17" s="385"/>
      <c r="N17" s="385"/>
      <c r="O17" s="385"/>
      <c r="P17" s="385"/>
      <c r="Q17" s="385"/>
      <c r="R17" s="351"/>
      <c r="S17" s="381"/>
      <c r="T17" s="354"/>
      <c r="U17" s="386" t="s">
        <v>1242</v>
      </c>
    </row>
    <row r="18" spans="1:21" ht="10.35" customHeight="1">
      <c r="A18" s="382" t="s">
        <v>1243</v>
      </c>
      <c r="B18" s="354"/>
      <c r="C18" s="354"/>
      <c r="D18" s="375"/>
      <c r="E18" s="393">
        <v>29</v>
      </c>
      <c r="F18" s="375"/>
      <c r="G18" s="383">
        <v>0</v>
      </c>
      <c r="H18" s="383"/>
      <c r="I18" s="381">
        <v>0</v>
      </c>
      <c r="J18" s="381"/>
      <c r="K18" s="381">
        <f>'PL Konsol'!S42+'PL Konsol'!S41</f>
        <v>16411152</v>
      </c>
      <c r="L18" s="381"/>
      <c r="M18" s="385">
        <v>0</v>
      </c>
      <c r="N18" s="385"/>
      <c r="O18" s="385">
        <v>0</v>
      </c>
      <c r="P18" s="385"/>
      <c r="Q18" s="385"/>
      <c r="R18" s="351"/>
      <c r="S18" s="381">
        <f>SUM(G18:R18)</f>
        <v>16411152</v>
      </c>
      <c r="T18" s="354"/>
      <c r="U18" s="386" t="s">
        <v>1244</v>
      </c>
    </row>
    <row r="19" spans="1:21" ht="10.35" customHeight="1">
      <c r="A19" s="382" t="s">
        <v>1245</v>
      </c>
      <c r="B19" s="354"/>
      <c r="C19" s="354"/>
      <c r="D19" s="375"/>
      <c r="E19" s="375"/>
      <c r="F19" s="375"/>
      <c r="G19" s="387">
        <v>0</v>
      </c>
      <c r="H19" s="383"/>
      <c r="I19" s="388">
        <v>0</v>
      </c>
      <c r="J19" s="381"/>
      <c r="K19" s="388">
        <v>0</v>
      </c>
      <c r="L19" s="381"/>
      <c r="M19" s="389"/>
      <c r="N19" s="385"/>
      <c r="O19" s="389">
        <f>'PL Konsol'!S35</f>
        <v>3335251971.6014543</v>
      </c>
      <c r="P19" s="385"/>
      <c r="Q19" s="388">
        <f>-'PL Konsol'!S33</f>
        <v>2344585403.3985457</v>
      </c>
      <c r="R19" s="351"/>
      <c r="S19" s="388">
        <f>SUM(G19:R19)</f>
        <v>5679837375</v>
      </c>
      <c r="T19" s="354"/>
      <c r="U19" s="386" t="s">
        <v>1246</v>
      </c>
    </row>
    <row r="20" spans="1:21" ht="3.6" customHeight="1">
      <c r="A20" s="374"/>
      <c r="B20" s="374"/>
      <c r="C20" s="374"/>
      <c r="D20" s="375"/>
      <c r="E20" s="375"/>
      <c r="F20" s="375"/>
      <c r="G20" s="384"/>
      <c r="H20" s="384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84"/>
      <c r="T20" s="354"/>
      <c r="U20" s="359"/>
    </row>
    <row r="21" spans="1:21" ht="15" thickBot="1">
      <c r="A21" s="351" t="s">
        <v>1247</v>
      </c>
      <c r="B21" s="374"/>
      <c r="C21" s="374"/>
      <c r="D21" s="375"/>
      <c r="E21" s="375"/>
      <c r="F21" s="375"/>
      <c r="G21" s="396">
        <f>SUM(G16:G19)</f>
        <v>40000000000</v>
      </c>
      <c r="H21" s="391"/>
      <c r="I21" s="396">
        <f>SUM(I16:I19)</f>
        <v>25871690669</v>
      </c>
      <c r="J21" s="379"/>
      <c r="K21" s="396">
        <f>SUM(K16:K19)</f>
        <v>-611495277</v>
      </c>
      <c r="L21" s="379"/>
      <c r="M21" s="396">
        <f>SUM(M16:M19)</f>
        <v>0</v>
      </c>
      <c r="N21" s="379"/>
      <c r="O21" s="396">
        <f>SUM(O16:O19)</f>
        <v>13426333849.391628</v>
      </c>
      <c r="P21" s="379"/>
      <c r="Q21" s="396">
        <f>SUM(Q16:Q19)</f>
        <v>22389615460.380642</v>
      </c>
      <c r="R21" s="392"/>
      <c r="S21" s="396">
        <f>SUM(S16:S19)</f>
        <v>101076144701.77228</v>
      </c>
      <c r="T21" s="354"/>
      <c r="U21" s="380" t="s">
        <v>1248</v>
      </c>
    </row>
    <row r="22" spans="1:21" ht="5.0999999999999996" customHeight="1" thickTop="1">
      <c r="A22" s="374"/>
      <c r="B22" s="374"/>
      <c r="C22" s="374"/>
      <c r="D22" s="375"/>
      <c r="E22" s="375"/>
      <c r="F22" s="375"/>
      <c r="G22" s="384"/>
      <c r="H22" s="384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84"/>
      <c r="T22" s="354"/>
      <c r="U22" s="359"/>
    </row>
    <row r="23" spans="1:21" ht="9.6" customHeight="1">
      <c r="A23" s="382" t="s">
        <v>1241</v>
      </c>
      <c r="B23" s="354"/>
      <c r="C23" s="354"/>
      <c r="D23" s="375"/>
      <c r="E23" s="375"/>
      <c r="F23" s="375"/>
      <c r="G23" s="383"/>
      <c r="H23" s="383"/>
      <c r="I23" s="381"/>
      <c r="J23" s="381"/>
      <c r="K23" s="381"/>
      <c r="L23" s="381"/>
      <c r="M23" s="385"/>
      <c r="N23" s="385"/>
      <c r="O23" s="385"/>
      <c r="P23" s="385"/>
      <c r="Q23" s="385"/>
      <c r="R23" s="351"/>
      <c r="S23" s="381"/>
      <c r="T23" s="354"/>
      <c r="U23" s="386" t="s">
        <v>1242</v>
      </c>
    </row>
    <row r="24" spans="1:21" ht="9.6" customHeight="1">
      <c r="A24" s="382" t="s">
        <v>1243</v>
      </c>
      <c r="B24" s="354"/>
      <c r="C24" s="354"/>
      <c r="D24" s="375"/>
      <c r="E24" s="393">
        <v>29</v>
      </c>
      <c r="F24" s="375"/>
      <c r="G24" s="383">
        <v>0</v>
      </c>
      <c r="H24" s="383"/>
      <c r="I24" s="381">
        <v>0</v>
      </c>
      <c r="J24" s="381"/>
      <c r="K24" s="381">
        <f>'PL Konsol'!Q41+'PL Konsol'!Q42</f>
        <v>242697837</v>
      </c>
      <c r="L24" s="381"/>
      <c r="M24" s="385">
        <v>0</v>
      </c>
      <c r="N24" s="385"/>
      <c r="O24" s="394">
        <v>0</v>
      </c>
      <c r="P24" s="385"/>
      <c r="Q24" s="381">
        <v>0</v>
      </c>
      <c r="R24" s="351"/>
      <c r="S24" s="381">
        <f>SUM(G24:Q24)</f>
        <v>242697837</v>
      </c>
      <c r="T24" s="354"/>
      <c r="U24" s="386" t="s">
        <v>1244</v>
      </c>
    </row>
    <row r="25" spans="1:21" ht="9.6" customHeight="1">
      <c r="A25" s="382" t="s">
        <v>1245</v>
      </c>
      <c r="B25" s="354"/>
      <c r="C25" s="354"/>
      <c r="D25" s="375"/>
      <c r="E25" s="393"/>
      <c r="F25" s="375"/>
      <c r="G25" s="383">
        <v>0</v>
      </c>
      <c r="H25" s="383"/>
      <c r="I25" s="381">
        <v>0</v>
      </c>
      <c r="J25" s="381"/>
      <c r="K25" s="381">
        <v>0</v>
      </c>
      <c r="L25" s="381"/>
      <c r="M25" s="390">
        <v>0</v>
      </c>
      <c r="N25" s="390"/>
      <c r="O25" s="390">
        <f>'PL Konsol'!Q35</f>
        <v>5211169029.5357742</v>
      </c>
      <c r="P25" s="390"/>
      <c r="Q25" s="390">
        <f>-'PL Konsol'!Q33</f>
        <v>1026886212.4642254</v>
      </c>
      <c r="R25" s="390"/>
      <c r="S25" s="381">
        <f>SUM(G25:Q25)</f>
        <v>6238055242</v>
      </c>
      <c r="T25" s="354"/>
      <c r="U25" s="386" t="s">
        <v>1246</v>
      </c>
    </row>
    <row r="26" spans="1:21" ht="9.6" customHeight="1">
      <c r="A26" s="375" t="s">
        <v>1249</v>
      </c>
      <c r="B26" s="374"/>
      <c r="C26" s="374"/>
      <c r="D26" s="375"/>
      <c r="E26" s="393" t="s">
        <v>1160</v>
      </c>
      <c r="F26" s="375"/>
      <c r="G26" s="456"/>
      <c r="H26" s="384"/>
      <c r="I26" s="395"/>
      <c r="J26" s="390"/>
      <c r="K26" s="395"/>
      <c r="L26" s="390"/>
      <c r="M26" s="395">
        <f>'BS Konsol'!N104</f>
        <v>410000000</v>
      </c>
      <c r="N26" s="390"/>
      <c r="O26" s="395">
        <f>-('BS Konsol'!N104-10000000)</f>
        <v>-400000000</v>
      </c>
      <c r="P26" s="390"/>
      <c r="Q26" s="395">
        <f>-10000000</f>
        <v>-10000000</v>
      </c>
      <c r="R26" s="390"/>
      <c r="S26" s="459">
        <v>0</v>
      </c>
      <c r="T26" s="354"/>
      <c r="U26" s="359"/>
    </row>
    <row r="27" spans="1:21" ht="15" thickBot="1">
      <c r="A27" s="351" t="s">
        <v>1752</v>
      </c>
      <c r="B27" s="351"/>
      <c r="C27" s="351"/>
      <c r="D27" s="375"/>
      <c r="E27" s="393"/>
      <c r="F27" s="375"/>
      <c r="G27" s="457">
        <f>SUM(G21:G26)</f>
        <v>40000000000</v>
      </c>
      <c r="H27" s="379"/>
      <c r="I27" s="457">
        <f>SUM(I21:I26)</f>
        <v>25871690669</v>
      </c>
      <c r="J27" s="379"/>
      <c r="K27" s="457">
        <f>SUM(K21:K26)</f>
        <v>-368797440</v>
      </c>
      <c r="L27" s="379"/>
      <c r="M27" s="457">
        <f>SUM(M21:M26)</f>
        <v>410000000</v>
      </c>
      <c r="N27" s="379"/>
      <c r="O27" s="457">
        <f>SUM(O21:O26)</f>
        <v>18237502878.927402</v>
      </c>
      <c r="P27" s="379"/>
      <c r="Q27" s="457">
        <f>SUM(Q21:Q26)</f>
        <v>23406501672.844868</v>
      </c>
      <c r="R27" s="390"/>
      <c r="S27" s="457">
        <f>SUM(S21:S26)</f>
        <v>107556897780.77228</v>
      </c>
      <c r="T27" s="354"/>
      <c r="U27" s="380" t="s">
        <v>1753</v>
      </c>
    </row>
    <row r="28" spans="1:21" ht="15" hidden="1" thickTop="1">
      <c r="A28" s="354"/>
      <c r="B28" s="354"/>
      <c r="C28" s="354"/>
      <c r="D28" s="375"/>
      <c r="E28" s="393"/>
      <c r="F28" s="375"/>
      <c r="G28" s="383"/>
      <c r="H28" s="383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81"/>
      <c r="T28" s="354"/>
      <c r="U28" s="356"/>
    </row>
    <row r="29" spans="1:21" ht="15" thickTop="1">
      <c r="A29" s="354"/>
      <c r="B29" s="354"/>
      <c r="C29" s="354"/>
      <c r="D29" s="375"/>
      <c r="E29" s="393"/>
      <c r="F29" s="375"/>
      <c r="G29" s="383"/>
      <c r="H29" s="383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81"/>
      <c r="T29" s="354"/>
      <c r="U29" s="356"/>
    </row>
    <row r="30" spans="1:21">
      <c r="A30" s="354"/>
      <c r="B30" s="354"/>
      <c r="C30" s="354"/>
      <c r="D30" s="375"/>
      <c r="E30" s="393"/>
      <c r="F30" s="375"/>
      <c r="G30" s="383"/>
      <c r="H30" s="383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81"/>
      <c r="T30" s="354"/>
      <c r="U30" s="356"/>
    </row>
    <row r="31" spans="1:21" ht="11.1" customHeight="1">
      <c r="A31" s="382" t="s">
        <v>1241</v>
      </c>
      <c r="B31" s="354"/>
      <c r="C31" s="354"/>
      <c r="D31" s="375"/>
      <c r="E31" s="393"/>
      <c r="F31" s="375"/>
      <c r="G31" s="383"/>
      <c r="H31" s="383"/>
      <c r="I31" s="381"/>
      <c r="J31" s="381"/>
      <c r="K31" s="381"/>
      <c r="L31" s="381"/>
      <c r="M31" s="379"/>
      <c r="N31" s="379"/>
      <c r="O31" s="379"/>
      <c r="P31" s="379"/>
      <c r="Q31" s="385"/>
      <c r="R31" s="351"/>
      <c r="S31" s="381"/>
      <c r="T31" s="354"/>
      <c r="U31" s="397" t="s">
        <v>1242</v>
      </c>
    </row>
    <row r="32" spans="1:21" ht="11.1" customHeight="1">
      <c r="A32" s="382" t="s">
        <v>1243</v>
      </c>
      <c r="B32" s="354"/>
      <c r="C32" s="354"/>
      <c r="D32" s="375"/>
      <c r="E32" s="393">
        <v>29</v>
      </c>
      <c r="F32" s="375"/>
      <c r="G32" s="383"/>
      <c r="H32" s="383"/>
      <c r="I32" s="381"/>
      <c r="J32" s="381"/>
      <c r="K32" s="381">
        <f>'PL Konsol'!O42+'PL Konsol'!O41</f>
        <v>-8275412</v>
      </c>
      <c r="L32" s="381"/>
      <c r="M32" s="381">
        <v>0</v>
      </c>
      <c r="N32" s="379"/>
      <c r="O32" s="379"/>
      <c r="P32" s="379"/>
      <c r="Q32" s="385"/>
      <c r="R32" s="351"/>
      <c r="S32" s="381">
        <f>SUM(G32:Q32)</f>
        <v>-8275412</v>
      </c>
      <c r="T32" s="354"/>
      <c r="U32" s="386" t="s">
        <v>1244</v>
      </c>
    </row>
    <row r="33" spans="1:21" ht="11.1" customHeight="1">
      <c r="A33" s="382" t="s">
        <v>1245</v>
      </c>
      <c r="B33" s="354"/>
      <c r="C33" s="354"/>
      <c r="D33" s="375"/>
      <c r="E33" s="393"/>
      <c r="F33" s="375"/>
      <c r="G33" s="383">
        <v>0</v>
      </c>
      <c r="H33" s="383"/>
      <c r="I33" s="390">
        <v>0</v>
      </c>
      <c r="J33" s="390"/>
      <c r="K33" s="390">
        <v>0</v>
      </c>
      <c r="L33" s="390"/>
      <c r="M33" s="390">
        <v>0</v>
      </c>
      <c r="N33" s="390"/>
      <c r="O33" s="390">
        <f>'PL Konsol'!O35</f>
        <v>1745451401</v>
      </c>
      <c r="P33" s="390"/>
      <c r="Q33" s="390">
        <v>0</v>
      </c>
      <c r="R33" s="390"/>
      <c r="S33" s="381">
        <f>SUM(G33:Q33)</f>
        <v>1745451401</v>
      </c>
      <c r="T33" s="354"/>
      <c r="U33" s="386" t="s">
        <v>1246</v>
      </c>
    </row>
    <row r="34" spans="1:21" ht="11.1" customHeight="1">
      <c r="A34" s="382" t="s">
        <v>1252</v>
      </c>
      <c r="B34" s="354"/>
      <c r="C34" s="354"/>
      <c r="D34" s="375"/>
      <c r="E34" s="393"/>
      <c r="F34" s="375"/>
      <c r="G34" s="383"/>
      <c r="H34" s="383"/>
      <c r="I34" s="390"/>
      <c r="J34" s="390"/>
      <c r="K34" s="390"/>
      <c r="L34" s="390"/>
      <c r="M34" s="390"/>
      <c r="N34" s="390"/>
      <c r="O34" s="390"/>
      <c r="P34" s="390"/>
      <c r="Q34" s="390" t="s">
        <v>468</v>
      </c>
      <c r="R34" s="390"/>
      <c r="S34" s="381"/>
      <c r="T34" s="354"/>
      <c r="U34" s="398" t="s">
        <v>1253</v>
      </c>
    </row>
    <row r="35" spans="1:21" ht="11.1" customHeight="1">
      <c r="A35" s="382" t="s">
        <v>1254</v>
      </c>
      <c r="B35" s="354"/>
      <c r="C35" s="354"/>
      <c r="D35" s="375"/>
      <c r="E35" s="393"/>
      <c r="F35" s="375"/>
      <c r="G35" s="383"/>
      <c r="H35" s="383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81"/>
      <c r="T35" s="354"/>
      <c r="U35" s="398" t="s">
        <v>1255</v>
      </c>
    </row>
    <row r="36" spans="1:21" ht="11.1" customHeight="1">
      <c r="A36" s="382" t="s">
        <v>1256</v>
      </c>
      <c r="B36" s="354"/>
      <c r="C36" s="354"/>
      <c r="D36" s="375"/>
      <c r="E36" s="393" t="s">
        <v>1257</v>
      </c>
      <c r="F36" s="354"/>
      <c r="G36" s="387">
        <v>0</v>
      </c>
      <c r="H36" s="354"/>
      <c r="I36" s="395">
        <v>23867726116</v>
      </c>
      <c r="J36" s="354"/>
      <c r="K36" s="395">
        <v>0</v>
      </c>
      <c r="L36" s="354"/>
      <c r="M36" s="395">
        <v>0</v>
      </c>
      <c r="N36" s="354"/>
      <c r="O36" s="395">
        <f>-806735547+345511104</f>
        <v>-461224443</v>
      </c>
      <c r="P36" s="354"/>
      <c r="Q36" s="388">
        <f>-22356501672.8449-1050000000</f>
        <v>-23406501672.844898</v>
      </c>
      <c r="R36" s="354"/>
      <c r="S36" s="388">
        <v>0</v>
      </c>
      <c r="T36" s="354"/>
      <c r="U36" s="399" t="s">
        <v>1258</v>
      </c>
    </row>
    <row r="37" spans="1:21" ht="15" hidden="1" thickTop="1">
      <c r="A37" s="374"/>
      <c r="B37" s="374"/>
      <c r="C37" s="374"/>
      <c r="D37" s="375"/>
      <c r="E37" s="393"/>
      <c r="F37" s="375"/>
      <c r="G37" s="384"/>
      <c r="H37" s="384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84"/>
      <c r="T37" s="354"/>
      <c r="U37" s="359"/>
    </row>
    <row r="38" spans="1:21" ht="15" thickBot="1">
      <c r="A38" s="351" t="s">
        <v>1267</v>
      </c>
      <c r="B38" s="351"/>
      <c r="C38" s="351"/>
      <c r="D38" s="375"/>
      <c r="E38" s="393"/>
      <c r="F38" s="375"/>
      <c r="G38" s="396">
        <f>SUM(G27:G36)</f>
        <v>40000000000</v>
      </c>
      <c r="H38" s="379"/>
      <c r="I38" s="396">
        <f>SUM(I27:I36)</f>
        <v>49739416785</v>
      </c>
      <c r="J38" s="379"/>
      <c r="K38" s="396">
        <f>SUM(K27:K36)</f>
        <v>-377072852</v>
      </c>
      <c r="L38" s="379"/>
      <c r="M38" s="396">
        <f>SUM(M27:M36)</f>
        <v>410000000</v>
      </c>
      <c r="N38" s="379"/>
      <c r="O38" s="396">
        <f>SUM(O27:O36)</f>
        <v>19521729836.927402</v>
      </c>
      <c r="P38" s="379"/>
      <c r="Q38" s="396">
        <f>SUM(Q27:Q36)</f>
        <v>-3.0517578125E-5</v>
      </c>
      <c r="R38" s="390"/>
      <c r="S38" s="396">
        <f>SUM(S27:S36)</f>
        <v>109294073769.77228</v>
      </c>
      <c r="T38" s="354"/>
      <c r="U38" s="380" t="s">
        <v>1754</v>
      </c>
    </row>
    <row r="39" spans="1:21" ht="15" thickTop="1">
      <c r="A39" s="374"/>
      <c r="B39" s="374"/>
      <c r="C39" s="374"/>
      <c r="D39" s="374">
        <v>2023</v>
      </c>
      <c r="E39" s="375"/>
      <c r="F39" s="375"/>
      <c r="G39" s="405">
        <f>G38-'BS Konsol'!L97</f>
        <v>0</v>
      </c>
      <c r="H39" s="406"/>
      <c r="I39" s="407">
        <f>I38-'BS Konsol'!L99</f>
        <v>0</v>
      </c>
      <c r="J39" s="407"/>
      <c r="K39" s="407">
        <f>K38-'BS Konsol'!L102</f>
        <v>0</v>
      </c>
      <c r="L39" s="407"/>
      <c r="M39" s="407">
        <f>M38-'BS Konsol'!L104</f>
        <v>0</v>
      </c>
      <c r="N39" s="407"/>
      <c r="O39" s="407">
        <f>O38-'BS Konsol'!L105</f>
        <v>-7.2597503662109375E-2</v>
      </c>
      <c r="P39" s="407"/>
      <c r="Q39" s="407">
        <f>Q38-'BS Konsol'!L100</f>
        <v>-3.0517578125E-5</v>
      </c>
      <c r="R39" s="407"/>
      <c r="S39" s="408">
        <f>S38-'BS Konsol'!L107</f>
        <v>-0.22772216796875</v>
      </c>
      <c r="T39" s="354"/>
      <c r="U39" s="409"/>
    </row>
    <row r="40" spans="1:21">
      <c r="A40" s="374"/>
      <c r="B40" s="374"/>
      <c r="C40" s="374"/>
      <c r="D40" s="374">
        <v>2022</v>
      </c>
      <c r="E40" s="375"/>
      <c r="F40" s="375"/>
      <c r="G40" s="405">
        <f>G27-'BS Konsol'!N97</f>
        <v>0</v>
      </c>
      <c r="H40" s="406"/>
      <c r="I40" s="407">
        <f>I27-'BS Konsol'!N99</f>
        <v>0</v>
      </c>
      <c r="J40" s="407"/>
      <c r="K40" s="407">
        <f>K27-'BS Konsol'!N102</f>
        <v>0</v>
      </c>
      <c r="L40" s="407"/>
      <c r="M40" s="407">
        <f>'LPE Konsol'!M27-'BS Konsol'!N104</f>
        <v>0</v>
      </c>
      <c r="N40" s="407"/>
      <c r="O40" s="407">
        <f>O27-'BS Konsol'!N105</f>
        <v>-7.2597503662109375E-2</v>
      </c>
      <c r="P40" s="407"/>
      <c r="Q40" s="407">
        <f>Q27-'BS Konsol'!N100</f>
        <v>-1.7902374267578125E-2</v>
      </c>
      <c r="R40" s="407"/>
      <c r="S40" s="408">
        <f>S27-'BS Konsol'!N107</f>
        <v>-9.0484619140625E-2</v>
      </c>
      <c r="T40" s="354"/>
      <c r="U40" s="410" t="s">
        <v>1293</v>
      </c>
    </row>
    <row r="41" spans="1:21">
      <c r="A41" s="374"/>
      <c r="B41" s="374"/>
      <c r="C41" s="374"/>
      <c r="D41" s="374">
        <v>2021</v>
      </c>
      <c r="E41" s="375"/>
      <c r="F41" s="375"/>
      <c r="G41" s="411">
        <f>G21-'BS Konsol'!P97</f>
        <v>0</v>
      </c>
      <c r="H41" s="400"/>
      <c r="I41" s="401">
        <f>I21-'BS Konsol'!P99</f>
        <v>0</v>
      </c>
      <c r="J41" s="401"/>
      <c r="K41" s="401">
        <f>K21-'BS Konsol'!P102</f>
        <v>0</v>
      </c>
      <c r="L41" s="401"/>
      <c r="M41" s="401">
        <f>M21-'BS Konsol'!P104</f>
        <v>0</v>
      </c>
      <c r="N41" s="401"/>
      <c r="O41" s="401">
        <f>O21-'BS Konsol'!P105</f>
        <v>0.39162826538085938</v>
      </c>
      <c r="P41" s="401"/>
      <c r="Q41" s="401">
        <f>Q21-'BS Konsol'!P100</f>
        <v>-1.7902374267578125E-2</v>
      </c>
      <c r="R41" s="401"/>
      <c r="S41" s="412">
        <f>S21-'BS Konsol'!P107</f>
        <v>0.3737335205078125</v>
      </c>
      <c r="T41" s="354"/>
      <c r="U41" s="359"/>
    </row>
  </sheetData>
  <mergeCells count="2">
    <mergeCell ref="M5:Q5"/>
    <mergeCell ref="M6:Q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E46E-927D-4A98-A9BF-E87B5CACA06C}">
  <dimension ref="A1:AH59"/>
  <sheetViews>
    <sheetView showGridLines="0" zoomScale="71" workbookViewId="0">
      <selection activeCell="AD25" sqref="AD25"/>
    </sheetView>
  </sheetViews>
  <sheetFormatPr defaultRowHeight="14.45"/>
  <cols>
    <col min="1" max="1" width="4.5703125" customWidth="1"/>
    <col min="2" max="2" width="8.5703125" bestFit="1" customWidth="1"/>
    <col min="3" max="3" width="9" bestFit="1" customWidth="1"/>
    <col min="4" max="4" width="15.5703125" bestFit="1" customWidth="1"/>
    <col min="5" max="5" width="1.42578125" customWidth="1"/>
    <col min="6" max="6" width="16.5703125" bestFit="1" customWidth="1"/>
    <col min="8" max="8" width="3.42578125" customWidth="1"/>
    <col min="11" max="11" width="15.5703125" bestFit="1" customWidth="1"/>
    <col min="12" max="12" width="3.42578125" customWidth="1"/>
    <col min="13" max="13" width="15.5703125" customWidth="1"/>
    <col min="14" max="14" width="5.5703125" customWidth="1"/>
    <col min="16" max="16" width="15.5703125" bestFit="1" customWidth="1"/>
    <col min="17" max="17" width="16.5703125" bestFit="1" customWidth="1"/>
    <col min="18" max="18" width="3" customWidth="1"/>
    <col min="19" max="19" width="16.5703125" bestFit="1" customWidth="1"/>
    <col min="22" max="22" width="15.5703125" bestFit="1" customWidth="1"/>
    <col min="23" max="23" width="16.5703125" bestFit="1" customWidth="1"/>
    <col min="24" max="24" width="3" customWidth="1"/>
    <col min="25" max="25" width="16.5703125" bestFit="1" customWidth="1"/>
    <col min="30" max="30" width="16.42578125" bestFit="1" customWidth="1"/>
    <col min="31" max="31" width="3.5703125" customWidth="1"/>
    <col min="32" max="32" width="16.42578125" bestFit="1" customWidth="1"/>
    <col min="33" max="33" width="21.5703125" bestFit="1" customWidth="1"/>
    <col min="34" max="34" width="12.42578125" bestFit="1" customWidth="1"/>
  </cols>
  <sheetData>
    <row r="1" spans="1:34">
      <c r="A1" s="919" t="s">
        <v>1755</v>
      </c>
      <c r="B1" s="920"/>
      <c r="C1" s="920"/>
      <c r="D1" s="920"/>
      <c r="H1" s="924" t="s">
        <v>1756</v>
      </c>
      <c r="I1" s="925"/>
      <c r="J1" s="925"/>
      <c r="K1" s="925"/>
      <c r="L1" s="121"/>
      <c r="M1" s="121"/>
      <c r="N1" s="121"/>
      <c r="O1" s="929" t="s">
        <v>1757</v>
      </c>
      <c r="P1" s="642"/>
      <c r="Q1" s="642"/>
      <c r="R1" s="642"/>
      <c r="S1" s="642"/>
      <c r="U1" s="1119" t="s">
        <v>1758</v>
      </c>
      <c r="V1" s="649"/>
      <c r="W1" s="649"/>
      <c r="X1" s="649"/>
      <c r="Y1" s="649"/>
      <c r="AB1" s="640" t="s">
        <v>1759</v>
      </c>
      <c r="AC1" s="641"/>
      <c r="AD1" s="641"/>
      <c r="AE1" s="641"/>
      <c r="AF1" s="641"/>
    </row>
    <row r="2" spans="1:34">
      <c r="H2" s="121"/>
      <c r="I2" s="121"/>
      <c r="J2" s="121"/>
      <c r="K2" s="121"/>
      <c r="L2" s="121"/>
      <c r="M2" s="121"/>
      <c r="N2" s="121"/>
    </row>
    <row r="3" spans="1:34">
      <c r="B3" s="342" t="s">
        <v>1760</v>
      </c>
      <c r="H3" s="121"/>
      <c r="I3" s="926" t="s">
        <v>1760</v>
      </c>
      <c r="J3" s="121"/>
      <c r="K3" s="121"/>
      <c r="L3" s="121"/>
      <c r="M3" s="121"/>
      <c r="N3" s="121"/>
      <c r="O3" s="926" t="s">
        <v>1760</v>
      </c>
      <c r="P3" s="121"/>
      <c r="Q3" s="121"/>
      <c r="R3" s="121"/>
      <c r="S3" s="121"/>
      <c r="U3" s="926" t="s">
        <v>1760</v>
      </c>
      <c r="V3" s="121"/>
      <c r="W3" s="121"/>
      <c r="X3" s="121"/>
      <c r="Y3" s="121"/>
      <c r="AB3" s="926" t="s">
        <v>1760</v>
      </c>
      <c r="AC3" s="121"/>
      <c r="AD3" s="121"/>
      <c r="AE3" s="121"/>
      <c r="AF3" s="121"/>
      <c r="AG3" s="121"/>
      <c r="AH3" s="121"/>
    </row>
    <row r="4" spans="1:34">
      <c r="C4" s="342"/>
      <c r="D4" s="2393" t="s">
        <v>1761</v>
      </c>
      <c r="E4" s="2393"/>
      <c r="F4" s="2393"/>
      <c r="H4" s="121"/>
      <c r="I4" s="121"/>
      <c r="J4" s="926"/>
      <c r="K4" s="2492" t="s">
        <v>1761</v>
      </c>
      <c r="L4" s="2492"/>
      <c r="M4" s="2492"/>
      <c r="N4" s="1084"/>
      <c r="O4" s="121"/>
      <c r="P4" s="926"/>
      <c r="Q4" s="2492" t="s">
        <v>1761</v>
      </c>
      <c r="R4" s="2492"/>
      <c r="S4" s="2492"/>
      <c r="U4" s="121"/>
      <c r="V4" s="926"/>
      <c r="W4" s="2492" t="s">
        <v>1761</v>
      </c>
      <c r="X4" s="2492"/>
      <c r="Y4" s="2492"/>
      <c r="AB4" s="121"/>
      <c r="AC4" s="926"/>
      <c r="AD4" s="2492" t="s">
        <v>1761</v>
      </c>
      <c r="AE4" s="2492"/>
      <c r="AF4" s="2492"/>
      <c r="AG4" s="121"/>
      <c r="AH4" s="121"/>
    </row>
    <row r="5" spans="1:34">
      <c r="C5" s="342" t="s">
        <v>1762</v>
      </c>
      <c r="D5" s="632">
        <v>2024</v>
      </c>
      <c r="F5" s="632">
        <v>2023</v>
      </c>
      <c r="H5" s="121"/>
      <c r="I5" s="121"/>
      <c r="J5" s="926" t="s">
        <v>1762</v>
      </c>
      <c r="K5" s="632">
        <v>2024</v>
      </c>
      <c r="M5" s="632">
        <v>2023</v>
      </c>
      <c r="N5" s="628"/>
      <c r="O5" s="121"/>
      <c r="P5" s="926" t="s">
        <v>1762</v>
      </c>
      <c r="Q5" s="632">
        <v>2024</v>
      </c>
      <c r="S5" s="632">
        <v>2023</v>
      </c>
      <c r="U5" s="121"/>
      <c r="V5" s="926" t="s">
        <v>1762</v>
      </c>
      <c r="W5" s="632">
        <v>2024</v>
      </c>
      <c r="Y5" s="632">
        <v>2023</v>
      </c>
      <c r="AB5" s="121"/>
      <c r="AC5" s="926" t="s">
        <v>1762</v>
      </c>
      <c r="AD5" s="1051">
        <v>2024</v>
      </c>
      <c r="AE5" s="121"/>
      <c r="AF5" s="1051">
        <v>2023</v>
      </c>
      <c r="AG5" s="121"/>
      <c r="AH5" s="121"/>
    </row>
    <row r="6" spans="1:34">
      <c r="C6" s="921" t="s">
        <v>1763</v>
      </c>
      <c r="D6" s="922">
        <v>6422357320</v>
      </c>
      <c r="F6" s="922">
        <v>7700326332</v>
      </c>
      <c r="H6" s="121"/>
      <c r="I6" s="121"/>
      <c r="J6" s="927" t="s">
        <v>1763</v>
      </c>
      <c r="K6" s="121">
        <v>14668145727</v>
      </c>
      <c r="L6" s="121"/>
      <c r="M6" s="121">
        <v>54565454488</v>
      </c>
      <c r="N6" s="121"/>
      <c r="O6" s="121"/>
      <c r="P6" s="927" t="s">
        <v>1763</v>
      </c>
      <c r="Q6" s="121">
        <f>D6+K6</f>
        <v>21090503047</v>
      </c>
      <c r="R6" s="121"/>
      <c r="S6" s="121">
        <f>F6+M6</f>
        <v>62265780820</v>
      </c>
      <c r="U6" s="121"/>
      <c r="V6" s="927" t="s">
        <v>1763</v>
      </c>
      <c r="W6" s="121">
        <f>ROUND(((D6+K6)-'ELIM &amp; CAJE Juni 24'!I21-'ELIM &amp; CAJE Juni 24'!I23-'ELIM &amp; CAJE Juni 24'!I27-'ELIM &amp; CAJE Juni 24'!I22),0)</f>
        <v>1298003314</v>
      </c>
      <c r="X6" s="121"/>
      <c r="Y6" s="121">
        <f>(F6+M6)-'ELIM Juni 23'!H16-'ELIM Juni 23'!H22-'ELIM Juni 23'!H18-'ELIM Juni 23'!H17</f>
        <v>1259308430</v>
      </c>
      <c r="AB6" s="121"/>
      <c r="AC6" s="927" t="s">
        <v>1763</v>
      </c>
      <c r="AD6" s="1123">
        <v>1259125612</v>
      </c>
      <c r="AE6" s="121"/>
      <c r="AF6" s="1124">
        <f>Y6-42419030</f>
        <v>1216889400</v>
      </c>
      <c r="AG6" s="121"/>
      <c r="AH6" s="121"/>
    </row>
    <row r="7" spans="1:34">
      <c r="C7" s="921" t="s">
        <v>1764</v>
      </c>
      <c r="D7" s="922">
        <v>753873000</v>
      </c>
      <c r="F7" s="922"/>
      <c r="H7" s="121"/>
      <c r="I7" s="121"/>
      <c r="J7" s="927" t="s">
        <v>1765</v>
      </c>
      <c r="K7" s="121"/>
      <c r="L7" s="121"/>
      <c r="M7" s="121"/>
      <c r="N7" s="121"/>
      <c r="O7" s="121"/>
      <c r="P7" s="927" t="s">
        <v>1764</v>
      </c>
      <c r="Q7" s="121">
        <f>D7</f>
        <v>753873000</v>
      </c>
      <c r="R7" s="121"/>
      <c r="S7" s="121">
        <v>0</v>
      </c>
      <c r="U7" s="121"/>
      <c r="V7" s="927" t="s">
        <v>1764</v>
      </c>
      <c r="W7" s="121">
        <f>D7+K7</f>
        <v>753873000</v>
      </c>
      <c r="X7" s="121"/>
      <c r="Y7" s="121">
        <v>0</v>
      </c>
      <c r="AB7" s="121"/>
      <c r="AC7" s="927" t="s">
        <v>1764</v>
      </c>
      <c r="AD7" s="1123">
        <v>753873000</v>
      </c>
      <c r="AE7" s="121"/>
      <c r="AF7" s="121">
        <v>0</v>
      </c>
      <c r="AG7" s="121"/>
      <c r="AH7" s="121"/>
    </row>
    <row r="8" spans="1:34">
      <c r="C8" s="921" t="s">
        <v>1766</v>
      </c>
      <c r="F8" s="922"/>
      <c r="H8" s="121"/>
      <c r="I8" s="121"/>
      <c r="J8" s="927" t="s">
        <v>1766</v>
      </c>
      <c r="K8" s="121"/>
      <c r="L8" s="121"/>
      <c r="M8" s="121"/>
      <c r="N8" s="121"/>
      <c r="O8" s="121"/>
      <c r="P8" s="927" t="s">
        <v>1766</v>
      </c>
      <c r="Q8" s="121"/>
      <c r="R8" s="121"/>
      <c r="S8" s="121"/>
      <c r="U8" s="121"/>
      <c r="V8" s="927" t="s">
        <v>1766</v>
      </c>
      <c r="W8" s="121"/>
      <c r="X8" s="121"/>
      <c r="Y8" s="121"/>
      <c r="AB8" s="121"/>
      <c r="AC8" s="927" t="s">
        <v>1766</v>
      </c>
      <c r="AD8" s="1123"/>
      <c r="AE8" s="121"/>
      <c r="AF8" s="121"/>
      <c r="AG8" s="121"/>
      <c r="AH8" s="121"/>
    </row>
    <row r="9" spans="1:34">
      <c r="C9" s="921" t="s">
        <v>1767</v>
      </c>
      <c r="F9" s="922"/>
      <c r="H9" s="121"/>
      <c r="I9" s="121"/>
      <c r="J9" s="927" t="s">
        <v>1767</v>
      </c>
      <c r="K9" s="121"/>
      <c r="L9" s="121"/>
      <c r="M9" s="121"/>
      <c r="N9" s="121"/>
      <c r="O9" s="121"/>
      <c r="P9" s="927" t="s">
        <v>1767</v>
      </c>
      <c r="Q9" s="121"/>
      <c r="R9" s="121"/>
      <c r="S9" s="121"/>
      <c r="U9" s="121"/>
      <c r="V9" s="927" t="s">
        <v>1767</v>
      </c>
      <c r="W9" s="121"/>
      <c r="X9" s="121"/>
      <c r="Y9" s="121"/>
      <c r="AB9" s="121"/>
      <c r="AC9" s="927" t="s">
        <v>1767</v>
      </c>
      <c r="AD9" s="1123"/>
      <c r="AE9" s="121"/>
      <c r="AF9" s="121"/>
      <c r="AG9" s="121"/>
      <c r="AH9" s="121"/>
    </row>
    <row r="10" spans="1:34">
      <c r="C10" s="921" t="s">
        <v>1768</v>
      </c>
      <c r="F10" s="922"/>
      <c r="H10" s="121"/>
      <c r="I10" s="121"/>
      <c r="J10" s="927" t="s">
        <v>1768</v>
      </c>
      <c r="K10" s="121"/>
      <c r="L10" s="121"/>
      <c r="M10" s="121"/>
      <c r="N10" s="121"/>
      <c r="O10" s="121"/>
      <c r="P10" s="927" t="s">
        <v>1768</v>
      </c>
      <c r="Q10" s="121"/>
      <c r="R10" s="121"/>
      <c r="S10" s="121"/>
      <c r="U10" s="121"/>
      <c r="V10" s="927" t="s">
        <v>1768</v>
      </c>
      <c r="W10" s="121"/>
      <c r="X10" s="121"/>
      <c r="Y10" s="121"/>
      <c r="AB10" s="121"/>
      <c r="AC10" s="927" t="s">
        <v>1768</v>
      </c>
      <c r="AD10" s="1123"/>
      <c r="AE10" s="121"/>
      <c r="AF10" s="121"/>
      <c r="AG10" s="121"/>
      <c r="AH10" s="121"/>
    </row>
    <row r="11" spans="1:34" ht="15" thickBot="1">
      <c r="C11" s="342" t="s">
        <v>1769</v>
      </c>
      <c r="D11" s="923">
        <f>SUM(D6:D8)</f>
        <v>7176230320</v>
      </c>
      <c r="F11" s="923">
        <f>SUM(F6:F8)</f>
        <v>7700326332</v>
      </c>
      <c r="H11" s="121"/>
      <c r="I11" s="121"/>
      <c r="J11" s="926" t="s">
        <v>1769</v>
      </c>
      <c r="K11" s="928">
        <f>SUM(K6:K8)</f>
        <v>14668145727</v>
      </c>
      <c r="L11" s="121"/>
      <c r="M11" s="928">
        <f>SUM(M6:M8)</f>
        <v>54565454488</v>
      </c>
      <c r="N11" s="932"/>
      <c r="O11" s="121"/>
      <c r="P11" s="926" t="s">
        <v>1769</v>
      </c>
      <c r="Q11" s="928">
        <f>SUM(Q6:Q10)</f>
        <v>21844376047</v>
      </c>
      <c r="R11" s="121"/>
      <c r="S11" s="928">
        <f>SUM(S6:S10)</f>
        <v>62265780820</v>
      </c>
      <c r="U11" s="121"/>
      <c r="V11" s="926" t="s">
        <v>1769</v>
      </c>
      <c r="W11" s="928">
        <f>SUM(W6:W10)</f>
        <v>2051876314</v>
      </c>
      <c r="X11" s="121"/>
      <c r="Y11" s="928">
        <f>SUM(Y6:Y10)</f>
        <v>1259308430</v>
      </c>
      <c r="AB11" s="121"/>
      <c r="AC11" s="926" t="s">
        <v>1769</v>
      </c>
      <c r="AD11" s="928">
        <f>SUM(AD6:AD10)</f>
        <v>2012998612</v>
      </c>
      <c r="AE11" s="121"/>
      <c r="AF11" s="928">
        <f>SUM(AF6:AF10)</f>
        <v>1216889400</v>
      </c>
      <c r="AG11" s="121"/>
      <c r="AH11" s="121"/>
    </row>
    <row r="12" spans="1:34" ht="15" thickTop="1"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U12" s="121"/>
      <c r="V12" s="121"/>
      <c r="W12" s="121"/>
      <c r="X12" s="121"/>
      <c r="Y12" s="121"/>
      <c r="AB12" s="121"/>
      <c r="AC12" s="121"/>
      <c r="AD12" s="121"/>
      <c r="AE12" s="121"/>
      <c r="AF12" s="121"/>
      <c r="AG12" s="121"/>
      <c r="AH12" s="121"/>
    </row>
    <row r="13" spans="1:34"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U13" s="121"/>
      <c r="V13" s="121"/>
      <c r="W13" s="121"/>
      <c r="X13" s="121"/>
      <c r="Y13" s="121"/>
      <c r="AB13" s="926" t="s">
        <v>1770</v>
      </c>
      <c r="AC13" s="121"/>
      <c r="AD13" s="121"/>
      <c r="AE13" s="121"/>
      <c r="AF13" s="121"/>
      <c r="AG13" s="121"/>
      <c r="AH13" s="121"/>
    </row>
    <row r="14" spans="1:34">
      <c r="B14" s="342" t="s">
        <v>1770</v>
      </c>
      <c r="H14" s="121"/>
      <c r="I14" s="926" t="s">
        <v>1770</v>
      </c>
      <c r="J14" s="121"/>
      <c r="K14" s="121"/>
      <c r="L14" s="121"/>
      <c r="M14" s="121"/>
      <c r="N14" s="121"/>
      <c r="O14" s="926" t="s">
        <v>1770</v>
      </c>
      <c r="P14" s="121"/>
      <c r="Q14" s="121"/>
      <c r="R14" s="121"/>
      <c r="S14" s="121"/>
      <c r="U14" s="926" t="s">
        <v>1770</v>
      </c>
      <c r="V14" s="121"/>
      <c r="W14" s="121"/>
      <c r="X14" s="121"/>
      <c r="Y14" s="121"/>
      <c r="AB14" s="121"/>
      <c r="AC14" s="926"/>
      <c r="AD14" s="1051" t="s">
        <v>1761</v>
      </c>
      <c r="AE14" s="1051"/>
      <c r="AF14" s="1051"/>
      <c r="AG14" s="121"/>
      <c r="AH14" s="121"/>
    </row>
    <row r="15" spans="1:34">
      <c r="C15" s="342"/>
      <c r="D15" s="2393" t="s">
        <v>1761</v>
      </c>
      <c r="E15" s="2393"/>
      <c r="F15" s="2393"/>
      <c r="H15" s="121"/>
      <c r="I15" s="121"/>
      <c r="J15" s="926"/>
      <c r="K15" s="2492" t="s">
        <v>1761</v>
      </c>
      <c r="L15" s="2492"/>
      <c r="M15" s="2492"/>
      <c r="N15" s="1084"/>
      <c r="O15" s="121"/>
      <c r="P15" s="926"/>
      <c r="Q15" s="2492" t="s">
        <v>1761</v>
      </c>
      <c r="R15" s="2492"/>
      <c r="S15" s="2492"/>
      <c r="U15" s="121"/>
      <c r="V15" s="926"/>
      <c r="W15" s="2492" t="s">
        <v>1761</v>
      </c>
      <c r="X15" s="2492"/>
      <c r="Y15" s="2492"/>
      <c r="AB15" s="121"/>
      <c r="AC15" s="926" t="s">
        <v>1762</v>
      </c>
      <c r="AD15" s="1051">
        <v>2024</v>
      </c>
      <c r="AE15" s="121"/>
      <c r="AF15" s="1051">
        <v>2023</v>
      </c>
      <c r="AG15" s="121"/>
      <c r="AH15" s="121"/>
    </row>
    <row r="16" spans="1:34">
      <c r="C16" s="342" t="s">
        <v>1762</v>
      </c>
      <c r="D16" s="632">
        <v>2024</v>
      </c>
      <c r="F16" s="632">
        <v>2023</v>
      </c>
      <c r="H16" s="121"/>
      <c r="I16" s="121"/>
      <c r="J16" s="926" t="s">
        <v>1762</v>
      </c>
      <c r="K16" s="632">
        <v>2024</v>
      </c>
      <c r="M16" s="632">
        <v>2023</v>
      </c>
      <c r="N16" s="628"/>
      <c r="O16" s="121"/>
      <c r="P16" s="926" t="s">
        <v>1762</v>
      </c>
      <c r="Q16" s="632">
        <v>2024</v>
      </c>
      <c r="S16" s="632">
        <v>2023</v>
      </c>
      <c r="U16" s="121"/>
      <c r="V16" s="926" t="s">
        <v>1762</v>
      </c>
      <c r="W16" s="632">
        <v>2024</v>
      </c>
      <c r="Y16" s="632">
        <v>2023</v>
      </c>
      <c r="AB16" s="121"/>
      <c r="AC16" s="927" t="s">
        <v>1771</v>
      </c>
      <c r="AD16" s="1123">
        <v>68841660861</v>
      </c>
      <c r="AE16" s="121"/>
      <c r="AF16" s="121">
        <v>92626407185.300003</v>
      </c>
      <c r="AG16" s="121"/>
      <c r="AH16" s="121"/>
    </row>
    <row r="17" spans="3:34">
      <c r="C17" s="921" t="s">
        <v>1771</v>
      </c>
      <c r="D17" s="922">
        <v>49402053416</v>
      </c>
      <c r="F17" s="922">
        <v>92284249185</v>
      </c>
      <c r="H17" s="121"/>
      <c r="I17" s="121"/>
      <c r="J17" s="927" t="s">
        <v>1771</v>
      </c>
      <c r="K17" s="121">
        <v>19439607445</v>
      </c>
      <c r="L17" s="121"/>
      <c r="M17" s="121">
        <v>702782000</v>
      </c>
      <c r="N17" s="121"/>
      <c r="O17" s="121"/>
      <c r="P17" s="927" t="s">
        <v>1771</v>
      </c>
      <c r="Q17" s="121">
        <f>D17+K17</f>
        <v>68841660861</v>
      </c>
      <c r="R17" s="121"/>
      <c r="S17" s="121">
        <f>F17+M17</f>
        <v>92987031185</v>
      </c>
      <c r="U17" s="121"/>
      <c r="V17" s="927" t="s">
        <v>1771</v>
      </c>
      <c r="W17" s="121">
        <f>D17+K17</f>
        <v>68841660861</v>
      </c>
      <c r="X17" s="121"/>
      <c r="Y17" s="121">
        <f>F17+M17</f>
        <v>92987031185</v>
      </c>
      <c r="AB17" s="121"/>
      <c r="AC17" s="927" t="s">
        <v>1772</v>
      </c>
      <c r="AD17" s="1123">
        <v>35842690325</v>
      </c>
      <c r="AE17" s="121"/>
      <c r="AF17" s="121">
        <v>26475176907</v>
      </c>
      <c r="AG17" s="121" t="s">
        <v>1773</v>
      </c>
      <c r="AH17" s="121">
        <v>360623999.70000005</v>
      </c>
    </row>
    <row r="18" spans="3:34">
      <c r="C18" s="921" t="s">
        <v>1772</v>
      </c>
      <c r="D18" s="922">
        <v>9733322952</v>
      </c>
      <c r="F18" s="922">
        <v>8399661757</v>
      </c>
      <c r="H18" s="121"/>
      <c r="I18" s="121"/>
      <c r="J18" s="927" t="s">
        <v>1772</v>
      </c>
      <c r="K18" s="121">
        <v>26109367373</v>
      </c>
      <c r="L18" s="121"/>
      <c r="M18" s="121">
        <v>16870277141</v>
      </c>
      <c r="N18" s="121"/>
      <c r="O18" s="121"/>
      <c r="P18" s="927" t="s">
        <v>1772</v>
      </c>
      <c r="Q18" s="121">
        <f>D18+K18</f>
        <v>35842690325</v>
      </c>
      <c r="R18" s="121"/>
      <c r="S18" s="121">
        <f>F18+M18</f>
        <v>25269938898</v>
      </c>
      <c r="U18" s="121"/>
      <c r="V18" s="927" t="s">
        <v>1772</v>
      </c>
      <c r="W18" s="121">
        <f>D18+K18</f>
        <v>35842690325</v>
      </c>
      <c r="X18" s="121"/>
      <c r="Y18" s="121">
        <f>F18+M18</f>
        <v>25269938898</v>
      </c>
      <c r="AB18" s="121"/>
      <c r="AC18" s="927" t="s">
        <v>1774</v>
      </c>
      <c r="AD18" s="1123"/>
      <c r="AE18" s="121"/>
      <c r="AF18" s="121"/>
      <c r="AG18" s="121" t="s">
        <v>1775</v>
      </c>
      <c r="AH18" s="121"/>
    </row>
    <row r="19" spans="3:34">
      <c r="C19" s="921" t="s">
        <v>1774</v>
      </c>
      <c r="F19" s="922"/>
      <c r="H19" s="121"/>
      <c r="I19" s="121"/>
      <c r="J19" s="927" t="s">
        <v>1774</v>
      </c>
      <c r="K19" s="121"/>
      <c r="L19" s="121"/>
      <c r="M19" s="121"/>
      <c r="N19" s="121"/>
      <c r="O19" s="121"/>
      <c r="P19" s="927" t="s">
        <v>1774</v>
      </c>
      <c r="Q19" s="121"/>
      <c r="R19" s="121"/>
      <c r="S19" s="121"/>
      <c r="U19" s="121"/>
      <c r="V19" s="927" t="s">
        <v>1774</v>
      </c>
      <c r="W19" s="121"/>
      <c r="X19" s="121"/>
      <c r="Y19" s="121"/>
      <c r="AB19" s="121"/>
      <c r="AC19" s="927" t="s">
        <v>1776</v>
      </c>
      <c r="AD19" s="1123"/>
      <c r="AE19" s="121"/>
      <c r="AF19" s="121"/>
      <c r="AG19" s="121"/>
      <c r="AH19" s="121"/>
    </row>
    <row r="20" spans="3:34">
      <c r="C20" s="921" t="s">
        <v>1776</v>
      </c>
      <c r="F20" s="922"/>
      <c r="H20" s="121"/>
      <c r="I20" s="121"/>
      <c r="J20" s="927" t="s">
        <v>1776</v>
      </c>
      <c r="K20" s="121"/>
      <c r="L20" s="121"/>
      <c r="M20" s="121"/>
      <c r="N20" s="121"/>
      <c r="O20" s="121"/>
      <c r="P20" s="927" t="s">
        <v>1776</v>
      </c>
      <c r="Q20" s="121"/>
      <c r="R20" s="121"/>
      <c r="S20" s="121"/>
      <c r="U20" s="121"/>
      <c r="V20" s="927" t="s">
        <v>1776</v>
      </c>
      <c r="W20" s="121"/>
      <c r="X20" s="121"/>
      <c r="Y20" s="121"/>
      <c r="AB20" s="121"/>
      <c r="AC20" s="927" t="s">
        <v>1777</v>
      </c>
      <c r="AD20" s="1123"/>
      <c r="AE20" s="121"/>
      <c r="AF20" s="121"/>
      <c r="AG20" s="121"/>
      <c r="AH20" s="121"/>
    </row>
    <row r="21" spans="3:34" ht="15" thickBot="1">
      <c r="C21" s="921" t="s">
        <v>1777</v>
      </c>
      <c r="F21" s="922"/>
      <c r="H21" s="121"/>
      <c r="I21" s="121"/>
      <c r="J21" s="927" t="s">
        <v>1777</v>
      </c>
      <c r="K21" s="121"/>
      <c r="L21" s="121"/>
      <c r="M21" s="121"/>
      <c r="N21" s="121"/>
      <c r="O21" s="121"/>
      <c r="P21" s="927" t="s">
        <v>1777</v>
      </c>
      <c r="Q21" s="121"/>
      <c r="R21" s="121"/>
      <c r="S21" s="121"/>
      <c r="U21" s="121"/>
      <c r="V21" s="927" t="s">
        <v>1777</v>
      </c>
      <c r="W21" s="121"/>
      <c r="X21" s="121"/>
      <c r="Y21" s="121"/>
      <c r="AB21" s="121"/>
      <c r="AC21" s="926" t="s">
        <v>1769</v>
      </c>
      <c r="AD21" s="928">
        <f>SUM(AD16:AD20)</f>
        <v>104684351186</v>
      </c>
      <c r="AE21" s="121"/>
      <c r="AF21" s="928">
        <f>SUM(AF16:AF20)</f>
        <v>119101584092.3</v>
      </c>
      <c r="AG21" s="121"/>
      <c r="AH21" s="121"/>
    </row>
    <row r="22" spans="3:34" ht="15.6" thickTop="1" thickBot="1">
      <c r="C22" s="342" t="s">
        <v>1769</v>
      </c>
      <c r="D22" s="923">
        <f>SUM(D17:D19)</f>
        <v>59135376368</v>
      </c>
      <c r="F22" s="923">
        <f>SUM(F17:F19)</f>
        <v>100683910942</v>
      </c>
      <c r="H22" s="121"/>
      <c r="I22" s="121"/>
      <c r="J22" s="926" t="s">
        <v>1769</v>
      </c>
      <c r="K22" s="928">
        <f>SUM(K17:K19)</f>
        <v>45548974818</v>
      </c>
      <c r="L22" s="121"/>
      <c r="M22" s="928">
        <f>SUM(M17:M19)</f>
        <v>17573059141</v>
      </c>
      <c r="N22" s="932"/>
      <c r="O22" s="121"/>
      <c r="P22" s="926" t="s">
        <v>1769</v>
      </c>
      <c r="Q22" s="928">
        <f>SUM(Q17:Q21)</f>
        <v>104684351186</v>
      </c>
      <c r="R22" s="121"/>
      <c r="S22" s="928">
        <f>SUM(S17:S21)</f>
        <v>118256970083</v>
      </c>
      <c r="U22" s="121"/>
      <c r="V22" s="926" t="s">
        <v>1769</v>
      </c>
      <c r="W22" s="928">
        <f>SUM(W17:W21)</f>
        <v>104684351186</v>
      </c>
      <c r="X22" s="121"/>
      <c r="Y22" s="928">
        <f>SUM(Y17:Y21)</f>
        <v>118256970083</v>
      </c>
      <c r="AB22" s="121"/>
      <c r="AC22" s="926"/>
      <c r="AD22" s="932"/>
      <c r="AE22" s="121"/>
      <c r="AF22" s="932"/>
      <c r="AG22" s="121"/>
      <c r="AH22" s="121"/>
    </row>
    <row r="23" spans="3:34" ht="15" thickTop="1">
      <c r="H23" s="121"/>
      <c r="I23" s="121"/>
      <c r="J23" s="121"/>
      <c r="K23" s="121"/>
      <c r="L23" s="121"/>
      <c r="M23" s="121"/>
      <c r="N23" s="121"/>
      <c r="P23" s="926"/>
      <c r="Q23" s="932"/>
      <c r="R23" s="121"/>
      <c r="S23" s="932"/>
      <c r="V23" s="926"/>
      <c r="W23" s="932"/>
      <c r="X23" s="121"/>
      <c r="Y23" s="932"/>
      <c r="AB23" s="121"/>
      <c r="AC23" s="933" t="s">
        <v>1778</v>
      </c>
      <c r="AD23" s="934">
        <f>AD11+AD21</f>
        <v>106697349798</v>
      </c>
      <c r="AE23" s="935"/>
      <c r="AF23" s="934">
        <f>AF11+AF21</f>
        <v>120318473492.3</v>
      </c>
      <c r="AG23" s="121"/>
      <c r="AH23" s="121"/>
    </row>
    <row r="24" spans="3:34">
      <c r="P24" s="933" t="s">
        <v>1778</v>
      </c>
      <c r="Q24" s="934">
        <f>Q11+Q22</f>
        <v>126528727233</v>
      </c>
      <c r="R24" s="935"/>
      <c r="S24" s="934">
        <f>S11+S22</f>
        <v>180522750903</v>
      </c>
      <c r="V24" s="933" t="s">
        <v>1778</v>
      </c>
      <c r="W24" s="934">
        <f>W11+W22</f>
        <v>106736227500</v>
      </c>
      <c r="X24" s="935"/>
      <c r="Y24" s="934">
        <f>Y11+Y22</f>
        <v>119516278513</v>
      </c>
      <c r="AB24" s="121"/>
      <c r="AC24" s="927" t="s">
        <v>1779</v>
      </c>
      <c r="AD24" s="121">
        <f>'PL Konsol'!J11</f>
        <v>106697349798</v>
      </c>
      <c r="AE24" s="121"/>
      <c r="AF24" s="121">
        <f>'PL Konsol'!L11</f>
        <v>120318473492</v>
      </c>
      <c r="AG24" s="121"/>
      <c r="AH24" s="121"/>
    </row>
    <row r="25" spans="3:34">
      <c r="P25" s="927" t="s">
        <v>1747</v>
      </c>
      <c r="Q25" s="121">
        <f>'WS Konsol'!AA554</f>
        <v>126295832741</v>
      </c>
      <c r="S25" s="121">
        <f>'WS Konsol'!AX554</f>
        <v>181013609902</v>
      </c>
      <c r="V25" s="927" t="s">
        <v>1779</v>
      </c>
      <c r="W25" s="121">
        <f>'PL Konsol'!J11</f>
        <v>106697349798</v>
      </c>
      <c r="Y25" s="121">
        <f>'PL Konsol'!L11</f>
        <v>120318473492</v>
      </c>
      <c r="AB25" s="121"/>
      <c r="AC25" s="930" t="s">
        <v>1780</v>
      </c>
      <c r="AD25" s="1121">
        <v>0</v>
      </c>
      <c r="AE25" s="1121"/>
      <c r="AF25" s="1121">
        <f>AF23-AF24</f>
        <v>0.3000030517578125</v>
      </c>
      <c r="AG25" s="121"/>
      <c r="AH25" s="121"/>
    </row>
    <row r="26" spans="3:34">
      <c r="P26" s="930" t="s">
        <v>1780</v>
      </c>
      <c r="Q26" s="936">
        <f>Q11+Q22-Q25</f>
        <v>232894492</v>
      </c>
      <c r="R26" s="931"/>
      <c r="S26" s="616">
        <f>S11+S22-S25</f>
        <v>-490858999</v>
      </c>
      <c r="V26" s="930" t="s">
        <v>1780</v>
      </c>
      <c r="W26" s="936">
        <f>W11+W22-W25</f>
        <v>38877702</v>
      </c>
      <c r="X26" s="931"/>
      <c r="Y26" s="616">
        <f>Y11+Y22-Y25</f>
        <v>-802194979</v>
      </c>
      <c r="AB26" s="121"/>
      <c r="AC26" s="121"/>
      <c r="AD26" s="121"/>
      <c r="AE26" s="121"/>
      <c r="AF26" s="121"/>
      <c r="AG26" s="121"/>
      <c r="AH26" s="121"/>
    </row>
    <row r="27" spans="3:34">
      <c r="AB27" s="121"/>
      <c r="AC27" s="121"/>
      <c r="AD27" s="121"/>
      <c r="AE27" s="121"/>
      <c r="AF27" s="121"/>
      <c r="AG27" s="121"/>
      <c r="AH27" s="121"/>
    </row>
    <row r="28" spans="3:34">
      <c r="AB28" s="121"/>
      <c r="AC28" s="121"/>
      <c r="AD28" s="121"/>
      <c r="AE28" s="121"/>
      <c r="AF28" s="121"/>
      <c r="AG28" s="121"/>
      <c r="AH28" s="121"/>
    </row>
    <row r="29" spans="3:34">
      <c r="AB29" s="121"/>
      <c r="AC29" s="121"/>
      <c r="AD29" s="121"/>
      <c r="AE29" s="121"/>
      <c r="AF29" s="121"/>
      <c r="AG29" s="121"/>
      <c r="AH29" s="121"/>
    </row>
    <row r="30" spans="3:34">
      <c r="AB30" s="121"/>
      <c r="AC30" s="121"/>
      <c r="AD30" s="121"/>
      <c r="AE30" s="121"/>
      <c r="AF30" s="121"/>
      <c r="AG30" s="121"/>
      <c r="AH30" s="121"/>
    </row>
    <row r="31" spans="3:34">
      <c r="AB31" s="121"/>
      <c r="AC31" s="121"/>
      <c r="AD31" s="121"/>
      <c r="AE31" s="121"/>
      <c r="AF31" s="121"/>
      <c r="AG31" s="121"/>
      <c r="AH31" s="121"/>
    </row>
    <row r="32" spans="3:34">
      <c r="AB32" s="121"/>
      <c r="AC32" s="121"/>
      <c r="AD32" s="121"/>
      <c r="AE32" s="121"/>
      <c r="AF32" s="121"/>
      <c r="AG32" s="121"/>
      <c r="AH32" s="121"/>
    </row>
    <row r="33" spans="28:34">
      <c r="AB33" s="121"/>
      <c r="AC33" s="121"/>
      <c r="AD33" s="121"/>
      <c r="AE33" s="121"/>
      <c r="AF33" s="121"/>
      <c r="AG33" s="121"/>
      <c r="AH33" s="121"/>
    </row>
    <row r="34" spans="28:34">
      <c r="AB34" s="121"/>
      <c r="AC34" s="121"/>
      <c r="AD34" s="121"/>
      <c r="AE34" s="121"/>
      <c r="AF34" s="121"/>
      <c r="AG34" s="121"/>
      <c r="AH34" s="121"/>
    </row>
    <row r="35" spans="28:34">
      <c r="AB35" s="1122"/>
      <c r="AC35" s="1122"/>
      <c r="AD35" s="121"/>
      <c r="AE35" s="121"/>
      <c r="AF35" s="121"/>
      <c r="AG35" s="121"/>
      <c r="AH35" s="121"/>
    </row>
    <row r="36" spans="28:34">
      <c r="AB36" s="1122"/>
      <c r="AC36" s="1122"/>
      <c r="AD36" s="121"/>
      <c r="AE36" s="121"/>
      <c r="AF36" s="121"/>
      <c r="AG36" s="121"/>
      <c r="AH36" s="121"/>
    </row>
    <row r="37" spans="28:34">
      <c r="AB37" s="1122"/>
      <c r="AC37" s="1122"/>
      <c r="AD37" s="121"/>
      <c r="AE37" s="121"/>
      <c r="AF37" s="121"/>
      <c r="AG37" s="121"/>
      <c r="AH37" s="121"/>
    </row>
    <row r="38" spans="28:34">
      <c r="AB38" s="1122"/>
      <c r="AC38" s="1122"/>
      <c r="AD38" s="121"/>
      <c r="AE38" s="121"/>
      <c r="AF38" s="121"/>
      <c r="AG38" s="121"/>
      <c r="AH38" s="121"/>
    </row>
    <row r="39" spans="28:34">
      <c r="AB39" s="1122"/>
      <c r="AC39" s="1122"/>
      <c r="AD39" s="121"/>
      <c r="AE39" s="121"/>
      <c r="AF39" s="121"/>
      <c r="AG39" s="121"/>
      <c r="AH39" s="121"/>
    </row>
    <row r="40" spans="28:34">
      <c r="AB40" s="1122"/>
      <c r="AC40" s="1122"/>
      <c r="AD40" s="121"/>
      <c r="AE40" s="121"/>
      <c r="AF40" s="121"/>
      <c r="AG40" s="121"/>
      <c r="AH40" s="121"/>
    </row>
    <row r="41" spans="28:34">
      <c r="AB41" s="1122"/>
      <c r="AC41" s="1122"/>
      <c r="AD41" s="121"/>
      <c r="AE41" s="121"/>
      <c r="AF41" s="121"/>
      <c r="AG41" s="121"/>
      <c r="AH41" s="121"/>
    </row>
    <row r="42" spans="28:34">
      <c r="AB42" s="1122"/>
      <c r="AC42" s="1122"/>
      <c r="AD42" s="121"/>
      <c r="AE42" s="121"/>
      <c r="AF42" s="121"/>
      <c r="AG42" s="121"/>
      <c r="AH42" s="121"/>
    </row>
    <row r="43" spans="28:34">
      <c r="AB43" s="1122"/>
      <c r="AC43" s="1122"/>
      <c r="AD43" s="121"/>
      <c r="AE43" s="121"/>
      <c r="AF43" s="121"/>
      <c r="AG43" s="121"/>
      <c r="AH43" s="121"/>
    </row>
    <row r="44" spans="28:34">
      <c r="AB44" s="1122"/>
      <c r="AC44" s="1122"/>
      <c r="AD44" s="121"/>
      <c r="AE44" s="121"/>
      <c r="AF44" s="121"/>
      <c r="AG44" s="121"/>
      <c r="AH44" s="121"/>
    </row>
    <row r="45" spans="28:34">
      <c r="AB45" s="1122"/>
      <c r="AC45" s="1122"/>
      <c r="AD45" s="121"/>
      <c r="AE45" s="121"/>
      <c r="AF45" s="121"/>
      <c r="AG45" s="121"/>
      <c r="AH45" s="121"/>
    </row>
    <row r="46" spans="28:34">
      <c r="AB46" s="1122"/>
      <c r="AC46" s="1122"/>
      <c r="AD46" s="121"/>
      <c r="AE46" s="121"/>
      <c r="AF46" s="121"/>
      <c r="AG46" s="121"/>
      <c r="AH46" s="121"/>
    </row>
    <row r="47" spans="28:34">
      <c r="AB47" s="1122"/>
      <c r="AC47" s="1122"/>
      <c r="AD47" s="121"/>
      <c r="AE47" s="121"/>
      <c r="AF47" s="121"/>
      <c r="AG47" s="121"/>
      <c r="AH47" s="121"/>
    </row>
    <row r="48" spans="28:34">
      <c r="AB48" s="1122"/>
      <c r="AC48" s="1122"/>
      <c r="AD48" s="121"/>
      <c r="AE48" s="121"/>
      <c r="AF48" s="121"/>
      <c r="AG48" s="121"/>
      <c r="AH48" s="121"/>
    </row>
    <row r="49" spans="28:34">
      <c r="AB49" s="1122"/>
      <c r="AC49" s="1122"/>
      <c r="AD49" s="121"/>
      <c r="AE49" s="121"/>
      <c r="AF49" s="121"/>
      <c r="AG49" s="121"/>
      <c r="AH49" s="121"/>
    </row>
    <row r="50" spans="28:34">
      <c r="AB50" s="121"/>
      <c r="AC50" s="121"/>
      <c r="AD50" s="121"/>
      <c r="AE50" s="121"/>
      <c r="AF50" s="121"/>
      <c r="AG50" s="121"/>
      <c r="AH50" s="121"/>
    </row>
    <row r="51" spans="28:34">
      <c r="AB51" s="121"/>
      <c r="AC51" s="121"/>
      <c r="AD51" s="121"/>
      <c r="AE51" s="121"/>
      <c r="AF51" s="121"/>
      <c r="AG51" s="121"/>
      <c r="AH51" s="121"/>
    </row>
    <row r="52" spans="28:34">
      <c r="AB52" s="121"/>
      <c r="AC52" s="121"/>
      <c r="AD52" s="121"/>
      <c r="AE52" s="121"/>
      <c r="AF52" s="121"/>
      <c r="AG52" s="121"/>
      <c r="AH52" s="121"/>
    </row>
    <row r="53" spans="28:34">
      <c r="AB53" s="121"/>
      <c r="AC53" s="121"/>
      <c r="AD53" s="121"/>
      <c r="AE53" s="121"/>
      <c r="AF53" s="121"/>
      <c r="AG53" s="121"/>
      <c r="AH53" s="121"/>
    </row>
    <row r="54" spans="28:34">
      <c r="AB54" s="121"/>
      <c r="AC54" s="121"/>
      <c r="AD54" s="121"/>
      <c r="AE54" s="121"/>
      <c r="AF54" s="121"/>
      <c r="AG54" s="121"/>
      <c r="AH54" s="121"/>
    </row>
    <row r="55" spans="28:34">
      <c r="AB55" s="121"/>
      <c r="AC55" s="121"/>
      <c r="AD55" s="121"/>
      <c r="AE55" s="121"/>
      <c r="AF55" s="121"/>
      <c r="AG55" s="121"/>
      <c r="AH55" s="121"/>
    </row>
    <row r="56" spans="28:34">
      <c r="AB56" s="121"/>
      <c r="AC56" s="121"/>
      <c r="AD56" s="121"/>
      <c r="AE56" s="121"/>
      <c r="AF56" s="121"/>
      <c r="AG56" s="121"/>
      <c r="AH56" s="121"/>
    </row>
    <row r="57" spans="28:34">
      <c r="AB57" s="121"/>
      <c r="AC57" s="121"/>
      <c r="AD57" s="121"/>
      <c r="AE57" s="121"/>
      <c r="AF57" s="121"/>
      <c r="AG57" s="121"/>
      <c r="AH57" s="121"/>
    </row>
    <row r="58" spans="28:34">
      <c r="AB58" s="121"/>
      <c r="AC58" s="121"/>
      <c r="AD58" s="121"/>
      <c r="AE58" s="121"/>
      <c r="AF58" s="121"/>
      <c r="AG58" s="121"/>
      <c r="AH58" s="121"/>
    </row>
    <row r="59" spans="28:34">
      <c r="AG59" s="121"/>
      <c r="AH59" s="121"/>
    </row>
  </sheetData>
  <mergeCells count="9">
    <mergeCell ref="AD4:AF4"/>
    <mergeCell ref="D4:F4"/>
    <mergeCell ref="D15:F15"/>
    <mergeCell ref="K4:M4"/>
    <mergeCell ref="K15:M15"/>
    <mergeCell ref="W4:Y4"/>
    <mergeCell ref="W15:Y15"/>
    <mergeCell ref="Q4:S4"/>
    <mergeCell ref="Q15:S1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2074-D426-4139-A4BB-B4CB84638617}">
  <dimension ref="B2:I28"/>
  <sheetViews>
    <sheetView showGridLines="0" topLeftCell="A18" workbookViewId="0">
      <selection activeCell="C13" sqref="C13"/>
    </sheetView>
  </sheetViews>
  <sheetFormatPr defaultRowHeight="12" customHeight="1"/>
  <cols>
    <col min="2" max="3" width="21.42578125" customWidth="1"/>
    <col min="4" max="4" width="4.5703125" hidden="1" customWidth="1"/>
    <col min="5" max="5" width="21.42578125" hidden="1" customWidth="1"/>
    <col min="6" max="6" width="2.42578125" hidden="1" customWidth="1"/>
    <col min="7" max="7" width="21.42578125" style="121" hidden="1" customWidth="1"/>
    <col min="8" max="8" width="3.42578125" customWidth="1"/>
    <col min="9" max="9" width="27.42578125" customWidth="1"/>
  </cols>
  <sheetData>
    <row r="2" spans="2:9" ht="12" customHeight="1">
      <c r="B2" s="880"/>
      <c r="C2" s="898" t="s">
        <v>1781</v>
      </c>
      <c r="D2" s="880"/>
      <c r="E2" s="898" t="s">
        <v>1781</v>
      </c>
      <c r="F2" s="880"/>
      <c r="G2" s="898" t="s">
        <v>1781</v>
      </c>
      <c r="H2" s="881"/>
      <c r="I2" s="883"/>
    </row>
    <row r="3" spans="2:9" ht="12" customHeight="1">
      <c r="B3" s="880"/>
      <c r="C3" s="898" t="s">
        <v>1782</v>
      </c>
      <c r="D3" s="880"/>
      <c r="E3" s="898" t="s">
        <v>1782</v>
      </c>
      <c r="F3" s="880"/>
      <c r="G3" s="898" t="s">
        <v>1782</v>
      </c>
      <c r="H3" s="881"/>
      <c r="I3" s="883"/>
    </row>
    <row r="4" spans="2:9" ht="12" customHeight="1" thickBot="1">
      <c r="B4" s="880"/>
      <c r="C4" s="899" t="s">
        <v>1783</v>
      </c>
      <c r="D4" s="880"/>
      <c r="E4" s="899" t="s">
        <v>1783</v>
      </c>
      <c r="F4" s="880"/>
      <c r="G4" s="899" t="s">
        <v>1783</v>
      </c>
      <c r="H4" s="881"/>
      <c r="I4" s="883"/>
    </row>
    <row r="5" spans="2:9" ht="12" customHeight="1">
      <c r="B5" s="2493"/>
      <c r="C5" s="900" t="s">
        <v>1784</v>
      </c>
      <c r="D5" s="884"/>
      <c r="E5" s="900" t="s">
        <v>1785</v>
      </c>
      <c r="F5" s="884"/>
      <c r="G5" s="900" t="s">
        <v>1786</v>
      </c>
      <c r="H5" s="2494"/>
      <c r="I5" s="2495"/>
    </row>
    <row r="6" spans="2:9" ht="12" customHeight="1">
      <c r="B6" s="2493"/>
      <c r="C6" s="901" t="s">
        <v>1529</v>
      </c>
      <c r="D6" s="884"/>
      <c r="E6" s="901" t="s">
        <v>1709</v>
      </c>
      <c r="F6" s="884"/>
      <c r="G6" s="901" t="s">
        <v>1710</v>
      </c>
      <c r="H6" s="2494"/>
      <c r="I6" s="2495"/>
    </row>
    <row r="7" spans="2:9" ht="12" customHeight="1">
      <c r="B7" s="888"/>
      <c r="C7" s="902"/>
      <c r="D7" s="888"/>
      <c r="E7" s="902"/>
      <c r="F7" s="888"/>
      <c r="G7" s="902"/>
      <c r="H7" s="889"/>
      <c r="I7" s="890"/>
    </row>
    <row r="8" spans="2:9" ht="12" customHeight="1">
      <c r="B8" s="884" t="s">
        <v>1787</v>
      </c>
      <c r="C8" s="903"/>
      <c r="D8" s="884"/>
      <c r="E8" s="903"/>
      <c r="F8" s="884"/>
      <c r="G8" s="903"/>
      <c r="H8" s="885"/>
      <c r="I8" s="887" t="s">
        <v>1788</v>
      </c>
    </row>
    <row r="9" spans="2:9" ht="12" customHeight="1">
      <c r="B9" s="795" t="s">
        <v>1789</v>
      </c>
      <c r="C9" s="892">
        <f>'BS Konsol-Des 24'!G11</f>
        <v>918209485</v>
      </c>
      <c r="D9" s="795"/>
      <c r="E9" s="892">
        <f>'BS Konsol-Des 24'!I11</f>
        <v>13187388399</v>
      </c>
      <c r="F9" s="795"/>
      <c r="G9" s="892">
        <f>'BS Konsol-Des 24'!M11</f>
        <v>565886797</v>
      </c>
      <c r="H9" s="882"/>
      <c r="I9" s="891" t="s">
        <v>1059</v>
      </c>
    </row>
    <row r="10" spans="2:9" ht="12" customHeight="1">
      <c r="B10" s="795" t="s">
        <v>1060</v>
      </c>
      <c r="C10" s="121"/>
      <c r="D10" s="795"/>
      <c r="E10" s="121"/>
      <c r="F10" s="795"/>
      <c r="H10" s="882"/>
      <c r="I10" s="891" t="s">
        <v>1790</v>
      </c>
    </row>
    <row r="11" spans="2:9" ht="12" customHeight="1">
      <c r="B11" s="795" t="s">
        <v>87</v>
      </c>
      <c r="C11" s="892">
        <f>'BS Konsol-Des 24'!G13</f>
        <v>393935430</v>
      </c>
      <c r="D11" s="795"/>
      <c r="E11" s="892">
        <f>'BS Konsol-Des 24'!I13</f>
        <v>339894481</v>
      </c>
      <c r="F11" s="795"/>
      <c r="G11" s="892">
        <f>'BS Konsol-Des 24'!M13</f>
        <v>422639675</v>
      </c>
      <c r="H11" s="882"/>
      <c r="I11" s="891" t="s">
        <v>1080</v>
      </c>
    </row>
    <row r="12" spans="2:9" ht="12" customHeight="1">
      <c r="B12" s="795" t="s">
        <v>1063</v>
      </c>
      <c r="C12" s="892">
        <f>'BS Konsol-Des 24'!G14</f>
        <v>94399254849</v>
      </c>
      <c r="D12" s="795"/>
      <c r="E12" s="892">
        <f>'BS Konsol-Des 24'!I14</f>
        <v>37856978018</v>
      </c>
      <c r="F12" s="795"/>
      <c r="G12" s="892">
        <f>'BS Konsol-Des 24'!M14</f>
        <v>26199584563</v>
      </c>
      <c r="H12" s="882"/>
      <c r="I12" s="891" t="s">
        <v>1064</v>
      </c>
    </row>
    <row r="13" spans="2:9" ht="12" customHeight="1">
      <c r="B13" s="795" t="s">
        <v>1791</v>
      </c>
      <c r="C13" s="892"/>
      <c r="D13" s="795"/>
      <c r="E13" s="892"/>
      <c r="F13" s="795"/>
      <c r="G13" s="892"/>
      <c r="H13" s="882"/>
      <c r="I13" s="891" t="s">
        <v>1792</v>
      </c>
    </row>
    <row r="14" spans="2:9" ht="12" customHeight="1" thickBot="1">
      <c r="B14" s="795" t="s">
        <v>1063</v>
      </c>
      <c r="C14" s="904">
        <f>'BS Konsol-Des 24'!G15</f>
        <v>697232257</v>
      </c>
      <c r="D14" s="795"/>
      <c r="E14" s="904">
        <f>'BS Konsol-Des 24'!I15</f>
        <v>510634104</v>
      </c>
      <c r="F14" s="795"/>
      <c r="G14" s="904">
        <f>'BS Konsol-Des 24'!M15</f>
        <v>510634104</v>
      </c>
      <c r="H14" s="882"/>
      <c r="I14" s="891" t="s">
        <v>1064</v>
      </c>
    </row>
    <row r="15" spans="2:9" ht="12" customHeight="1">
      <c r="B15" s="888"/>
      <c r="C15" s="902"/>
      <c r="D15" s="888"/>
      <c r="E15" s="902"/>
      <c r="F15" s="888"/>
      <c r="G15" s="902"/>
      <c r="H15" s="889"/>
      <c r="I15" s="890"/>
    </row>
    <row r="16" spans="2:9" ht="12" customHeight="1" thickBot="1">
      <c r="B16" s="884" t="s">
        <v>1625</v>
      </c>
      <c r="C16" s="905">
        <f>SUM(C9:C14)</f>
        <v>96408632021</v>
      </c>
      <c r="D16" s="884"/>
      <c r="E16" s="905">
        <f>SUM(E9:E14)</f>
        <v>51894895002</v>
      </c>
      <c r="F16" s="884"/>
      <c r="G16" s="905">
        <f>SUM(G9:G14)</f>
        <v>27698745139</v>
      </c>
      <c r="H16" s="885"/>
      <c r="I16" s="887" t="s">
        <v>252</v>
      </c>
    </row>
    <row r="17" spans="2:9" ht="12" customHeight="1">
      <c r="C17" s="121">
        <f>C16-SUM('BS Konsol-Des 24'!G11:G15)</f>
        <v>0</v>
      </c>
      <c r="E17" s="121">
        <f>E16-SUM('BS Konsol-Des 24'!I11:I15)</f>
        <v>0</v>
      </c>
      <c r="G17" s="121">
        <f>G16-SUM('BS Konsol-Des 24'!M11:M15)</f>
        <v>0</v>
      </c>
    </row>
    <row r="18" spans="2:9" ht="12" customHeight="1">
      <c r="C18" s="121"/>
      <c r="E18" s="121"/>
    </row>
    <row r="19" spans="2:9" ht="12" customHeight="1">
      <c r="B19" s="884" t="s">
        <v>1793</v>
      </c>
      <c r="C19" s="903"/>
      <c r="D19" s="884"/>
      <c r="E19" s="903"/>
      <c r="F19" s="884"/>
      <c r="G19" s="903"/>
      <c r="H19" s="885"/>
      <c r="I19" s="887" t="s">
        <v>1794</v>
      </c>
    </row>
    <row r="20" spans="2:9" ht="12" customHeight="1">
      <c r="B20" s="795" t="s">
        <v>744</v>
      </c>
      <c r="C20" s="121"/>
      <c r="D20" s="795"/>
      <c r="E20" s="121"/>
      <c r="F20" s="795"/>
      <c r="H20" s="882"/>
      <c r="I20" s="891" t="s">
        <v>1795</v>
      </c>
    </row>
    <row r="21" spans="2:9" ht="12" customHeight="1">
      <c r="B21" s="795" t="s">
        <v>1063</v>
      </c>
      <c r="C21" s="892">
        <f>'BS Konsol-Des 24'!G52</f>
        <v>10364486466</v>
      </c>
      <c r="D21" s="795"/>
      <c r="E21" s="892">
        <f>'BS Konsol-Des 24'!I52</f>
        <v>10645094570</v>
      </c>
      <c r="F21" s="795"/>
      <c r="G21" s="892">
        <f>'BS Konsol-Des 24'!M52</f>
        <v>14186291754</v>
      </c>
      <c r="H21" s="882"/>
      <c r="I21" s="891" t="s">
        <v>1064</v>
      </c>
    </row>
    <row r="22" spans="2:9" ht="12" customHeight="1">
      <c r="B22" s="795" t="s">
        <v>825</v>
      </c>
      <c r="C22" s="892"/>
      <c r="D22" s="795"/>
      <c r="E22" s="892"/>
      <c r="F22" s="795"/>
      <c r="G22" s="892"/>
      <c r="H22" s="882"/>
      <c r="I22" s="893" t="s">
        <v>824</v>
      </c>
    </row>
    <row r="23" spans="2:9" ht="12" customHeight="1">
      <c r="B23" s="795" t="s">
        <v>87</v>
      </c>
      <c r="C23" s="892">
        <v>0</v>
      </c>
      <c r="D23" s="795"/>
      <c r="E23" s="892">
        <v>0</v>
      </c>
      <c r="F23" s="795"/>
      <c r="G23" s="892">
        <v>0</v>
      </c>
      <c r="H23" s="882"/>
      <c r="I23" s="893" t="s">
        <v>1080</v>
      </c>
    </row>
    <row r="24" spans="2:9" ht="12" customHeight="1">
      <c r="B24" s="795" t="s">
        <v>77</v>
      </c>
      <c r="C24" s="892">
        <f>'BS Konsol-Des 24'!G56</f>
        <v>4970839301</v>
      </c>
      <c r="D24" s="795"/>
      <c r="E24" s="892">
        <f>'BS Konsol-Des 24'!I56</f>
        <v>4949487657</v>
      </c>
      <c r="F24" s="795"/>
      <c r="G24" s="892">
        <f>'BS Konsol-Des 24'!M56</f>
        <v>4322494743</v>
      </c>
      <c r="H24" s="882"/>
      <c r="I24" s="891" t="s">
        <v>790</v>
      </c>
    </row>
    <row r="25" spans="2:9" ht="12" customHeight="1" thickBot="1">
      <c r="B25" s="795" t="s">
        <v>76</v>
      </c>
      <c r="C25" s="892">
        <f>'BS Konsol-Des 24'!G55+'BS Konsol-Des 24'!G64</f>
        <v>231271837921</v>
      </c>
      <c r="D25" s="795"/>
      <c r="E25" s="892">
        <f>'BS Konsol-Des 24'!I55+'BS Konsol-Des 24'!I64</f>
        <v>197771078247</v>
      </c>
      <c r="F25" s="795"/>
      <c r="G25" s="892">
        <f>'BS Konsol-Des 24'!M55+'BS Konsol-Des 24'!M64</f>
        <v>209240909665</v>
      </c>
      <c r="H25" s="882"/>
      <c r="I25" s="893" t="s">
        <v>1098</v>
      </c>
    </row>
    <row r="26" spans="2:9" ht="5.0999999999999996" customHeight="1">
      <c r="B26" s="894"/>
      <c r="C26" s="906"/>
      <c r="D26" s="894"/>
      <c r="E26" s="906"/>
      <c r="F26" s="894"/>
      <c r="G26" s="906"/>
      <c r="H26" s="895"/>
      <c r="I26" s="896"/>
    </row>
    <row r="27" spans="2:9" ht="12" customHeight="1" thickBot="1">
      <c r="B27" s="884" t="s">
        <v>1796</v>
      </c>
      <c r="C27" s="907">
        <f>SUM(C20:C25)</f>
        <v>246607163688</v>
      </c>
      <c r="D27" s="884"/>
      <c r="E27" s="907">
        <f>SUM(E20:E25)</f>
        <v>213365660474</v>
      </c>
      <c r="F27" s="884"/>
      <c r="G27" s="907">
        <f>SUM(G20:G25)</f>
        <v>227749696162</v>
      </c>
      <c r="H27" s="885"/>
      <c r="I27" s="897" t="s">
        <v>252</v>
      </c>
    </row>
    <row r="28" spans="2:9" ht="12" customHeight="1" thickTop="1">
      <c r="C28" s="121">
        <f>C27-'BS Konsol-Des 24'!G52-'BS Konsol-Des 24'!G55-'BS Konsol-Des 24'!G56-'BS Konsol-Des 24'!G64</f>
        <v>0</v>
      </c>
      <c r="E28" s="121">
        <f>E27-'BS Konsol-Des 24'!I52-'BS Konsol-Des 24'!I55-'BS Konsol-Des 24'!I56-'BS Konsol-Des 24'!I64</f>
        <v>0</v>
      </c>
      <c r="G28" s="121">
        <f>G27-'BS Konsol-Des 24'!M52-'BS Konsol-Des 24'!M55-'BS Konsol-Des 24'!M56-'BS Konsol-Des 24'!M64</f>
        <v>0</v>
      </c>
    </row>
  </sheetData>
  <mergeCells count="3">
    <mergeCell ref="B5:B6"/>
    <mergeCell ref="H5:H6"/>
    <mergeCell ref="I5:I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76B6-91E8-420E-BFAA-0141C085D952}">
  <dimension ref="C4:Y31"/>
  <sheetViews>
    <sheetView showGridLines="0" topLeftCell="B16" zoomScale="85" workbookViewId="0">
      <selection activeCell="E30" sqref="E30"/>
    </sheetView>
  </sheetViews>
  <sheetFormatPr defaultRowHeight="14.45"/>
  <cols>
    <col min="1" max="1" width="4.42578125" customWidth="1"/>
    <col min="4" max="4" width="33.5703125" customWidth="1"/>
    <col min="5" max="5" width="14.5703125" bestFit="1" customWidth="1"/>
    <col min="6" max="6" width="2.5703125" customWidth="1"/>
    <col min="7" max="7" width="15.42578125" hidden="1" customWidth="1"/>
    <col min="8" max="8" width="2.5703125" hidden="1" customWidth="1"/>
    <col min="9" max="9" width="16.5703125" hidden="1" customWidth="1"/>
    <col min="10" max="10" width="4.5703125" hidden="1" customWidth="1"/>
    <col min="11" max="11" width="15.42578125" hidden="1" customWidth="1"/>
    <col min="12" max="12" width="2.5703125" hidden="1" customWidth="1"/>
    <col min="13" max="13" width="16.5703125" hidden="1" customWidth="1"/>
    <col min="14" max="14" width="2.5703125" customWidth="1"/>
    <col min="15" max="15" width="14.5703125" bestFit="1" customWidth="1"/>
    <col min="16" max="16" width="3.42578125" customWidth="1"/>
    <col min="17" max="17" width="14.5703125" bestFit="1" customWidth="1"/>
    <col min="18" max="18" width="1.42578125" customWidth="1"/>
    <col min="19" max="19" width="14.5703125" bestFit="1" customWidth="1"/>
    <col min="20" max="20" width="1.5703125" customWidth="1"/>
    <col min="21" max="21" width="14.5703125" bestFit="1" customWidth="1"/>
    <col min="23" max="23" width="24.42578125" bestFit="1" customWidth="1"/>
    <col min="24" max="24" width="16.5703125" style="627" customWidth="1"/>
    <col min="25" max="25" width="12" bestFit="1" customWidth="1"/>
  </cols>
  <sheetData>
    <row r="4" spans="3:25">
      <c r="C4" s="342" t="s">
        <v>1797</v>
      </c>
    </row>
    <row r="5" spans="3:25">
      <c r="O5" s="628">
        <v>2023</v>
      </c>
      <c r="P5" s="628"/>
      <c r="Q5" s="628">
        <v>2022</v>
      </c>
      <c r="R5" s="628"/>
      <c r="S5" s="628">
        <v>2021</v>
      </c>
      <c r="T5" s="628"/>
      <c r="U5" s="628">
        <v>2020</v>
      </c>
    </row>
    <row r="6" spans="3:25">
      <c r="O6" s="629"/>
      <c r="P6" s="628"/>
      <c r="Q6" s="629"/>
      <c r="S6" s="629"/>
      <c r="U6" s="629"/>
    </row>
    <row r="7" spans="3:25">
      <c r="C7" t="s">
        <v>1798</v>
      </c>
    </row>
    <row r="8" spans="3:25">
      <c r="C8" t="s">
        <v>1799</v>
      </c>
      <c r="O8" s="627">
        <v>1399940295.2620339</v>
      </c>
      <c r="P8" s="630"/>
      <c r="Q8" s="627">
        <f>'PL Konsol'!Q35</f>
        <v>5211169029.5357742</v>
      </c>
      <c r="R8" s="627"/>
      <c r="S8" s="627">
        <f>'PL Konsol'!S29</f>
        <v>5679837375</v>
      </c>
      <c r="T8" s="627"/>
      <c r="U8" s="627">
        <v>0</v>
      </c>
      <c r="W8" s="631">
        <f>X8*Q13</f>
        <v>5.6E+17</v>
      </c>
      <c r="X8" s="631">
        <v>700000000</v>
      </c>
    </row>
    <row r="9" spans="3:25">
      <c r="O9" s="629"/>
      <c r="P9" s="628"/>
      <c r="Q9" s="629"/>
      <c r="S9" s="629"/>
      <c r="U9" s="629"/>
    </row>
    <row r="10" spans="3:25">
      <c r="C10" t="s">
        <v>1800</v>
      </c>
      <c r="O10" s="632" t="s">
        <v>1801</v>
      </c>
      <c r="P10" s="628"/>
      <c r="Q10" s="632" t="s">
        <v>1801</v>
      </c>
      <c r="S10" s="632" t="s">
        <v>1801</v>
      </c>
      <c r="U10" s="632" t="s">
        <v>1801</v>
      </c>
      <c r="X10" s="627">
        <v>60000000</v>
      </c>
    </row>
    <row r="11" spans="3:25">
      <c r="C11" t="s">
        <v>1802</v>
      </c>
      <c r="X11" s="627">
        <v>40000000</v>
      </c>
    </row>
    <row r="12" spans="3:25">
      <c r="C12" s="633" t="s">
        <v>1803</v>
      </c>
    </row>
    <row r="13" spans="3:25">
      <c r="C13" s="633" t="s">
        <v>1804</v>
      </c>
      <c r="O13" s="634">
        <v>800000000</v>
      </c>
      <c r="P13" s="635"/>
      <c r="Q13" s="634">
        <v>800000000</v>
      </c>
      <c r="R13" s="634"/>
      <c r="S13" s="634">
        <v>800000000</v>
      </c>
      <c r="T13" s="634"/>
      <c r="U13" s="634">
        <v>800000000</v>
      </c>
    </row>
    <row r="14" spans="3:25">
      <c r="O14" s="629"/>
      <c r="P14" s="628"/>
      <c r="Q14" s="629"/>
      <c r="S14" s="629"/>
      <c r="U14" s="629"/>
    </row>
    <row r="15" spans="3:25" ht="15" thickBot="1">
      <c r="C15" t="s">
        <v>1805</v>
      </c>
      <c r="O15" s="636">
        <f>O8/O13</f>
        <v>1.7499253690775425</v>
      </c>
      <c r="P15" s="637"/>
      <c r="Q15" s="636">
        <f>Q8/Q13</f>
        <v>6.5139612869197174</v>
      </c>
      <c r="R15" s="638"/>
      <c r="S15" s="636">
        <f>S8/S13</f>
        <v>7.0997967187500004</v>
      </c>
      <c r="T15" s="638"/>
      <c r="U15" s="636">
        <f>U8/U13</f>
        <v>0</v>
      </c>
      <c r="X15" s="627">
        <f>SUM(X8:X11)</f>
        <v>800000000</v>
      </c>
    </row>
    <row r="16" spans="3:25" ht="15" thickTop="1">
      <c r="Y16" s="627"/>
    </row>
    <row r="20" spans="3:24">
      <c r="C20" s="342" t="s">
        <v>1806</v>
      </c>
      <c r="E20" s="639">
        <v>45627</v>
      </c>
      <c r="G20" s="639">
        <v>45536</v>
      </c>
      <c r="I20" s="943">
        <v>45170</v>
      </c>
      <c r="K20" s="639">
        <v>45444</v>
      </c>
      <c r="M20" s="943">
        <v>45078</v>
      </c>
      <c r="O20" s="628">
        <v>2023</v>
      </c>
      <c r="P20" s="628"/>
      <c r="Q20" s="628">
        <v>2022</v>
      </c>
      <c r="R20" s="628"/>
      <c r="S20" s="628">
        <v>2021</v>
      </c>
      <c r="T20" s="628"/>
      <c r="U20" s="628">
        <v>2020</v>
      </c>
    </row>
    <row r="21" spans="3:24">
      <c r="E21" s="629"/>
      <c r="G21" s="629"/>
      <c r="K21" s="629"/>
      <c r="O21" s="629"/>
      <c r="P21" s="628"/>
      <c r="Q21" s="629"/>
      <c r="S21" s="629"/>
      <c r="U21" s="629"/>
    </row>
    <row r="22" spans="3:24">
      <c r="C22" t="s">
        <v>1798</v>
      </c>
    </row>
    <row r="23" spans="3:24">
      <c r="C23" t="s">
        <v>1799</v>
      </c>
      <c r="E23" s="627">
        <f>'PL Konsol'!M35</f>
        <v>348736204</v>
      </c>
      <c r="G23" s="627" t="e">
        <f>'PL Konsol'!F50</f>
        <v>#REF!</v>
      </c>
      <c r="I23" s="627" t="e">
        <f>'PL Konsol'!H50</f>
        <v>#REF!</v>
      </c>
      <c r="K23" s="627">
        <f>'PL Konsol'!J35</f>
        <v>871919459</v>
      </c>
      <c r="M23" s="627">
        <f>'PL Konsol'!L35</f>
        <v>844874515</v>
      </c>
      <c r="O23" s="627">
        <f>'PL Konsol'!O35</f>
        <v>1745451401</v>
      </c>
      <c r="P23" s="630"/>
      <c r="Q23" s="627">
        <f>'PL Konsol'!Q35</f>
        <v>5211169029.5357742</v>
      </c>
      <c r="R23" s="627"/>
      <c r="S23" s="627">
        <f>'PL Konsol'!S35</f>
        <v>3335251971.6014543</v>
      </c>
      <c r="T23" s="627"/>
      <c r="U23" s="627">
        <v>2842052435</v>
      </c>
      <c r="W23" s="631">
        <f>X23*Q28</f>
        <v>5.6E+17</v>
      </c>
      <c r="X23" s="631">
        <v>700000000</v>
      </c>
    </row>
    <row r="24" spans="3:24">
      <c r="E24" s="629"/>
      <c r="G24" s="629"/>
      <c r="I24" s="629"/>
      <c r="K24" s="629"/>
      <c r="M24" s="629"/>
      <c r="O24" s="629"/>
      <c r="P24" s="628"/>
      <c r="Q24" s="629"/>
      <c r="S24" s="629"/>
      <c r="U24" s="629"/>
    </row>
    <row r="25" spans="3:24">
      <c r="C25" t="s">
        <v>1800</v>
      </c>
      <c r="E25" s="632" t="s">
        <v>1801</v>
      </c>
      <c r="G25" s="632" t="s">
        <v>1801</v>
      </c>
      <c r="I25" s="632" t="s">
        <v>1801</v>
      </c>
      <c r="K25" s="632" t="s">
        <v>1801</v>
      </c>
      <c r="M25" s="632" t="s">
        <v>1801</v>
      </c>
      <c r="O25" s="632" t="s">
        <v>1801</v>
      </c>
      <c r="P25" s="628"/>
      <c r="Q25" s="632" t="s">
        <v>1801</v>
      </c>
      <c r="S25" s="632" t="s">
        <v>1801</v>
      </c>
      <c r="U25" s="632" t="s">
        <v>1801</v>
      </c>
      <c r="X25" s="627">
        <v>60000000</v>
      </c>
    </row>
    <row r="26" spans="3:24">
      <c r="C26" t="s">
        <v>1802</v>
      </c>
      <c r="X26" s="627">
        <v>40000000</v>
      </c>
    </row>
    <row r="27" spans="3:24">
      <c r="C27" s="633" t="s">
        <v>1803</v>
      </c>
    </row>
    <row r="28" spans="3:24">
      <c r="C28" s="633" t="s">
        <v>1804</v>
      </c>
      <c r="E28" s="634">
        <v>1390000000</v>
      </c>
      <c r="G28" s="634">
        <v>1390000000</v>
      </c>
      <c r="I28" s="634">
        <v>800000000</v>
      </c>
      <c r="K28" s="634">
        <v>1100000000</v>
      </c>
      <c r="M28" s="634">
        <v>800000000</v>
      </c>
      <c r="O28" s="634">
        <v>800000000</v>
      </c>
      <c r="P28" s="635"/>
      <c r="Q28" s="634">
        <v>800000000</v>
      </c>
      <c r="R28" s="634"/>
      <c r="S28" s="634">
        <v>800000000</v>
      </c>
      <c r="T28" s="634"/>
      <c r="U28" s="634">
        <v>800000000</v>
      </c>
    </row>
    <row r="29" spans="3:24">
      <c r="E29" s="629"/>
      <c r="G29" s="629"/>
      <c r="I29" s="629"/>
      <c r="K29" s="629"/>
      <c r="M29" s="629"/>
      <c r="O29" s="629"/>
      <c r="P29" s="628"/>
      <c r="Q29" s="629"/>
      <c r="S29" s="629"/>
      <c r="U29" s="629"/>
    </row>
    <row r="30" spans="3:24" ht="15" thickBot="1">
      <c r="C30" t="s">
        <v>1805</v>
      </c>
      <c r="E30" s="636">
        <f>E23/E28</f>
        <v>0.25088935539568347</v>
      </c>
      <c r="G30" s="636" t="e">
        <f>G23/G28</f>
        <v>#REF!</v>
      </c>
      <c r="I30" s="636" t="e">
        <f>I23/I28</f>
        <v>#REF!</v>
      </c>
      <c r="K30" s="636">
        <f>K23/K28</f>
        <v>0.79265405363636365</v>
      </c>
      <c r="M30" s="636">
        <f>M23/M28</f>
        <v>1.0560931437500001</v>
      </c>
      <c r="O30" s="636">
        <f>O23/O28</f>
        <v>2.1818142512500001</v>
      </c>
      <c r="P30" s="637"/>
      <c r="Q30" s="636">
        <f>Q23/Q28</f>
        <v>6.5139612869197174</v>
      </c>
      <c r="R30" s="638"/>
      <c r="S30" s="636">
        <f>S23/S28</f>
        <v>4.1690649645018176</v>
      </c>
      <c r="T30" s="638"/>
      <c r="U30" s="636">
        <f>U23/U28</f>
        <v>3.5525655437500001</v>
      </c>
      <c r="X30" s="627">
        <f>SUM(X23:X26)</f>
        <v>800000000</v>
      </c>
    </row>
    <row r="31" spans="3:24" ht="15" thickTop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7CC2-8911-459C-8933-6971966EA49F}">
  <dimension ref="A2:N51"/>
  <sheetViews>
    <sheetView showGridLines="0" workbookViewId="0">
      <pane xSplit="4" ySplit="7" topLeftCell="E29" activePane="bottomRight" state="frozen"/>
      <selection pane="bottomRight" activeCell="L35" sqref="L35"/>
      <selection pane="bottomLeft" activeCell="A6" sqref="A6"/>
      <selection pane="topRight" activeCell="E1" sqref="E1"/>
    </sheetView>
  </sheetViews>
  <sheetFormatPr defaultRowHeight="14.45"/>
  <cols>
    <col min="3" max="3" width="23.42578125" customWidth="1"/>
    <col min="4" max="4" width="2.5703125" customWidth="1"/>
    <col min="5" max="5" width="18.42578125" style="121" bestFit="1" customWidth="1"/>
    <col min="6" max="6" width="2.42578125" style="121" customWidth="1"/>
    <col min="7" max="7" width="19.42578125" style="121" customWidth="1"/>
    <col min="8" max="8" width="2.42578125" customWidth="1"/>
    <col min="9" max="9" width="12.5703125" style="1241" bestFit="1" customWidth="1"/>
    <col min="12" max="12" width="13.5703125" bestFit="1" customWidth="1"/>
    <col min="13" max="13" width="2.5703125" customWidth="1"/>
    <col min="14" max="14" width="11.42578125" bestFit="1" customWidth="1"/>
  </cols>
  <sheetData>
    <row r="2" spans="1:9">
      <c r="A2" s="1248" t="s">
        <v>1807</v>
      </c>
      <c r="B2" s="1249"/>
      <c r="C2" s="1249"/>
      <c r="D2" s="1249"/>
      <c r="E2" s="1250"/>
      <c r="F2" s="918"/>
    </row>
    <row r="3" spans="1:9">
      <c r="A3" s="342"/>
      <c r="E3" s="918"/>
      <c r="F3" s="918"/>
      <c r="G3" s="918"/>
    </row>
    <row r="4" spans="1:9">
      <c r="A4" s="342"/>
      <c r="E4" s="918"/>
      <c r="F4" s="918"/>
      <c r="G4" s="918"/>
    </row>
    <row r="6" spans="1:9">
      <c r="E6" s="926" t="s">
        <v>1626</v>
      </c>
      <c r="G6" s="926" t="s">
        <v>1629</v>
      </c>
    </row>
    <row r="7" spans="1:9">
      <c r="E7" s="1242" t="s">
        <v>1630</v>
      </c>
      <c r="G7" s="1242" t="s">
        <v>1633</v>
      </c>
    </row>
    <row r="9" spans="1:9">
      <c r="C9" s="342" t="s">
        <v>1808</v>
      </c>
      <c r="E9" s="926">
        <f>'WS Konsol'!M18</f>
        <v>232280504</v>
      </c>
      <c r="F9" s="926"/>
      <c r="G9" s="926">
        <f>'WS Konsol'!AI18</f>
        <v>161861934</v>
      </c>
      <c r="I9" s="1240" t="s">
        <v>1809</v>
      </c>
    </row>
    <row r="10" spans="1:9" ht="7.35" customHeight="1">
      <c r="I10" s="1240"/>
    </row>
    <row r="11" spans="1:9">
      <c r="C11" s="342" t="s">
        <v>1810</v>
      </c>
      <c r="I11" s="1240" t="s">
        <v>1811</v>
      </c>
    </row>
    <row r="12" spans="1:9">
      <c r="C12" s="342" t="s">
        <v>1812</v>
      </c>
      <c r="I12" s="1240" t="s">
        <v>1812</v>
      </c>
    </row>
    <row r="13" spans="1:9">
      <c r="C13" t="s">
        <v>1813</v>
      </c>
      <c r="E13" s="121">
        <f>'WS Konsol'!M21+'WS Konsol'!M22+'WS Konsol'!M30</f>
        <v>6215306</v>
      </c>
      <c r="G13" s="121">
        <f>'WS Konsol'!AI21+'WS Konsol'!AI22+'WS Konsol'!AI30</f>
        <v>10507249</v>
      </c>
      <c r="I13" s="1241" t="s">
        <v>1813</v>
      </c>
    </row>
    <row r="14" spans="1:9">
      <c r="C14" t="s">
        <v>1814</v>
      </c>
      <c r="E14" s="121">
        <f>'WS Konsol'!M23+'WS Konsol'!M24</f>
        <v>16370106</v>
      </c>
      <c r="G14" s="121">
        <f>'WS Konsol'!AI23+'WS Konsol'!AI24</f>
        <v>1432417</v>
      </c>
      <c r="I14" s="1241" t="s">
        <v>1814</v>
      </c>
    </row>
    <row r="15" spans="1:9">
      <c r="C15" t="s">
        <v>1815</v>
      </c>
      <c r="E15" s="121">
        <f>'WS Konsol'!M25+'WS Konsol'!M26</f>
        <v>4640243</v>
      </c>
      <c r="G15" s="121">
        <f>'WS Konsol'!AI25+'WS Konsol'!AI26</f>
        <v>5823220</v>
      </c>
      <c r="I15" s="1241" t="s">
        <v>1815</v>
      </c>
    </row>
    <row r="16" spans="1:9">
      <c r="C16" t="s">
        <v>1816</v>
      </c>
      <c r="E16" s="121">
        <f>'WS Konsol'!M27</f>
        <v>896431</v>
      </c>
      <c r="G16" s="121">
        <f>'WS Konsol'!AI27</f>
        <v>2669146</v>
      </c>
      <c r="I16" s="1241" t="s">
        <v>1816</v>
      </c>
    </row>
    <row r="17" spans="3:14">
      <c r="C17" t="s">
        <v>1817</v>
      </c>
      <c r="E17" s="121">
        <f>'WS Konsol'!M28</f>
        <v>110761233</v>
      </c>
      <c r="G17" s="121">
        <f>'WS Konsol'!AI28</f>
        <v>42918157</v>
      </c>
      <c r="I17" s="1241" t="s">
        <v>1817</v>
      </c>
    </row>
    <row r="18" spans="3:14">
      <c r="C18" t="s">
        <v>1818</v>
      </c>
      <c r="E18" s="121">
        <f>'WS Konsol'!M33</f>
        <v>50621267</v>
      </c>
      <c r="G18" s="121">
        <f>'WS Konsol'!AI29</f>
        <v>794277</v>
      </c>
      <c r="I18" s="1241" t="s">
        <v>1818</v>
      </c>
    </row>
    <row r="19" spans="3:14">
      <c r="C19" t="s">
        <v>409</v>
      </c>
      <c r="E19" s="121">
        <f>'WS Konsol'!M31</f>
        <v>0</v>
      </c>
      <c r="G19" s="121">
        <f>'WS Konsol'!AI31</f>
        <v>0</v>
      </c>
      <c r="I19" s="1241" t="s">
        <v>409</v>
      </c>
    </row>
    <row r="20" spans="3:14">
      <c r="C20" t="s">
        <v>1819</v>
      </c>
      <c r="E20" s="1571">
        <f>'WS Konsol'!M32</f>
        <v>0</v>
      </c>
      <c r="F20" s="1571"/>
      <c r="G20" s="1571">
        <f>'WS Konsol'!AI32</f>
        <v>0</v>
      </c>
      <c r="I20" s="1241" t="s">
        <v>1819</v>
      </c>
    </row>
    <row r="21" spans="3:14">
      <c r="C21" t="s">
        <v>1820</v>
      </c>
      <c r="E21" s="1243"/>
      <c r="G21" s="1243">
        <v>0</v>
      </c>
      <c r="I21" s="1241" t="s">
        <v>1820</v>
      </c>
    </row>
    <row r="22" spans="3:14" ht="6" customHeight="1"/>
    <row r="23" spans="3:14" s="342" customFormat="1" ht="15" thickBot="1">
      <c r="C23" s="342" t="s">
        <v>1186</v>
      </c>
      <c r="E23" s="1245">
        <f>SUM(E13:E21)</f>
        <v>189504586</v>
      </c>
      <c r="F23" s="926"/>
      <c r="G23" s="1245">
        <f>SUM(G13:G20)</f>
        <v>64144466</v>
      </c>
      <c r="I23" s="1240" t="s">
        <v>1821</v>
      </c>
      <c r="L23" s="1575"/>
    </row>
    <row r="25" spans="3:14">
      <c r="C25" s="342" t="s">
        <v>1822</v>
      </c>
      <c r="I25" s="1240" t="s">
        <v>1823</v>
      </c>
    </row>
    <row r="26" spans="3:14">
      <c r="C26" s="26" t="s">
        <v>1813</v>
      </c>
      <c r="E26" s="121">
        <f>'WS Konsol'!M35+'WS Konsol'!M36+'WS Konsol'!M44</f>
        <v>25185244</v>
      </c>
      <c r="G26" s="121">
        <f>'WS Konsol'!AI35+'WS Konsol'!AI36+'WS Konsol'!AI44</f>
        <v>27940109</v>
      </c>
      <c r="I26" s="1241" t="s">
        <v>1813</v>
      </c>
    </row>
    <row r="27" spans="3:14">
      <c r="C27" s="26" t="s">
        <v>1814</v>
      </c>
      <c r="E27" s="121">
        <f>'WS Konsol'!M37</f>
        <v>20695118</v>
      </c>
      <c r="G27" s="121">
        <f>'WS Konsol'!AI37</f>
        <v>8054849</v>
      </c>
      <c r="I27" s="1241" t="s">
        <v>1814</v>
      </c>
    </row>
    <row r="28" spans="3:14">
      <c r="C28" s="26" t="s">
        <v>1824</v>
      </c>
      <c r="E28" s="121">
        <f>'WS Konsol'!M38</f>
        <v>8375633</v>
      </c>
      <c r="G28" s="121">
        <f>'WS Konsol'!AI38</f>
        <v>9044094</v>
      </c>
      <c r="I28" s="1241" t="s">
        <v>1824</v>
      </c>
    </row>
    <row r="29" spans="3:14">
      <c r="C29" s="26" t="s">
        <v>1816</v>
      </c>
      <c r="E29" s="121">
        <f>'WS Konsol'!M43</f>
        <v>3652612</v>
      </c>
      <c r="G29" s="121">
        <f>'WS Konsol'!AI43</f>
        <v>4778960</v>
      </c>
      <c r="I29" s="1241" t="s">
        <v>1816</v>
      </c>
      <c r="L29" s="853">
        <f>E29+E33</f>
        <v>10805428</v>
      </c>
      <c r="N29" s="853">
        <f>G29+G33</f>
        <v>18190880</v>
      </c>
    </row>
    <row r="30" spans="3:14">
      <c r="C30" s="26" t="s">
        <v>405</v>
      </c>
      <c r="E30" s="121">
        <f>'WS Konsol'!M40</f>
        <v>429902574</v>
      </c>
      <c r="G30" s="121">
        <f>'WS Konsol'!AI40</f>
        <v>2027642112</v>
      </c>
      <c r="I30" s="1241" t="s">
        <v>405</v>
      </c>
      <c r="L30" s="853">
        <f>SUM(E26:E33)</f>
        <v>496424395</v>
      </c>
    </row>
    <row r="31" spans="3:14">
      <c r="C31" s="26" t="s">
        <v>1818</v>
      </c>
      <c r="E31" s="121">
        <f>'WS Konsol'!M41</f>
        <v>1460398</v>
      </c>
      <c r="G31" s="121">
        <f>'WS Konsol'!AI41</f>
        <v>3242911</v>
      </c>
      <c r="I31" s="1241" t="s">
        <v>1818</v>
      </c>
      <c r="L31" s="2120">
        <v>16162</v>
      </c>
    </row>
    <row r="32" spans="3:14">
      <c r="C32" s="26" t="s">
        <v>1825</v>
      </c>
      <c r="E32" s="121">
        <f>'WS Konsol'!M42</f>
        <v>0</v>
      </c>
      <c r="G32" s="121">
        <f>'WS Konsol'!AI42</f>
        <v>0</v>
      </c>
      <c r="I32" s="1241" t="s">
        <v>1825</v>
      </c>
      <c r="L32">
        <f>L30/L31</f>
        <v>30715.529946788763</v>
      </c>
    </row>
    <row r="33" spans="3:12">
      <c r="C33" s="26" t="s">
        <v>404</v>
      </c>
      <c r="E33" s="1243">
        <f>'WS Konsol'!M39</f>
        <v>7152816</v>
      </c>
      <c r="G33" s="1243">
        <f>'WS Konsol'!AI39</f>
        <v>13411920</v>
      </c>
      <c r="I33" s="1241" t="s">
        <v>404</v>
      </c>
    </row>
    <row r="34" spans="3:12" ht="7.5" customHeight="1"/>
    <row r="35" spans="3:12" ht="15" thickBot="1">
      <c r="C35" s="342" t="s">
        <v>1186</v>
      </c>
      <c r="D35" s="342"/>
      <c r="E35" s="1245">
        <f>SUM(E26:E33)</f>
        <v>496424395</v>
      </c>
      <c r="F35" s="926"/>
      <c r="G35" s="1245">
        <f>SUM(G26:G33)</f>
        <v>2094114955</v>
      </c>
      <c r="H35" s="342"/>
      <c r="I35" s="1240" t="s">
        <v>1821</v>
      </c>
      <c r="L35" s="853">
        <f>G35/15416</f>
        <v>135840.35774519978</v>
      </c>
    </row>
    <row r="36" spans="3:12" ht="6" customHeight="1"/>
    <row r="37" spans="3:12">
      <c r="C37" s="342" t="s">
        <v>421</v>
      </c>
      <c r="I37" s="1240" t="s">
        <v>1826</v>
      </c>
    </row>
    <row r="38" spans="3:12">
      <c r="C38" t="s">
        <v>421</v>
      </c>
      <c r="E38" s="1243">
        <f>'WS Konsol'!M47</f>
        <v>0</v>
      </c>
      <c r="G38" s="1243">
        <f>'WS Konsol'!AI47</f>
        <v>250000000</v>
      </c>
      <c r="I38" s="1241" t="s">
        <v>1826</v>
      </c>
    </row>
    <row r="39" spans="3:12" ht="5.85" customHeight="1"/>
    <row r="40" spans="3:12" ht="15" thickBot="1">
      <c r="C40" s="342" t="s">
        <v>1186</v>
      </c>
      <c r="D40" s="342"/>
      <c r="E40" s="1245">
        <f>E38</f>
        <v>0</v>
      </c>
      <c r="F40" s="926"/>
      <c r="G40" s="1245">
        <f>G38</f>
        <v>250000000</v>
      </c>
      <c r="H40" s="342"/>
      <c r="I40" s="1240" t="s">
        <v>1821</v>
      </c>
    </row>
    <row r="41" spans="3:12" ht="6.6" customHeight="1"/>
    <row r="42" spans="3:12" s="342" customFormat="1" ht="15" thickBot="1">
      <c r="C42" s="342" t="s">
        <v>1625</v>
      </c>
      <c r="E42" s="1244">
        <f>E9+E23+E35+E40</f>
        <v>918209485</v>
      </c>
      <c r="F42" s="926"/>
      <c r="G42" s="1244">
        <f>G9+G23+G35+G40</f>
        <v>2570121355</v>
      </c>
      <c r="I42" s="1240" t="s">
        <v>252</v>
      </c>
    </row>
    <row r="43" spans="3:12" s="931" customFormat="1" ht="15" thickTop="1">
      <c r="C43" s="931" t="s">
        <v>1780</v>
      </c>
      <c r="E43" s="1277">
        <f>E42-'WS Konsol'!M52</f>
        <v>0</v>
      </c>
      <c r="F43" s="1121"/>
      <c r="G43" s="1277">
        <f>G42-'WS Konsol'!AI52</f>
        <v>0</v>
      </c>
      <c r="I43" s="1278"/>
    </row>
    <row r="46" spans="3:12">
      <c r="C46" t="s">
        <v>1827</v>
      </c>
      <c r="I46" s="1241" t="s">
        <v>1828</v>
      </c>
    </row>
    <row r="47" spans="3:12">
      <c r="C47" t="s">
        <v>1829</v>
      </c>
      <c r="E47" s="1247" t="s">
        <v>315</v>
      </c>
      <c r="G47" s="1246">
        <v>0.3</v>
      </c>
      <c r="I47" s="1241" t="s">
        <v>1830</v>
      </c>
    </row>
    <row r="48" spans="3:12">
      <c r="C48" t="s">
        <v>1831</v>
      </c>
      <c r="G48" s="1247"/>
      <c r="I48" s="1241" t="s">
        <v>1832</v>
      </c>
    </row>
    <row r="49" spans="3:9">
      <c r="C49" t="s">
        <v>1833</v>
      </c>
      <c r="E49" s="1247" t="s">
        <v>315</v>
      </c>
      <c r="G49" s="1247" t="s">
        <v>1834</v>
      </c>
      <c r="I49" s="1241" t="s">
        <v>1835</v>
      </c>
    </row>
    <row r="51" spans="3:9">
      <c r="E51" s="121">
        <f>E42-'BS Konsol-Des 24'!G11</f>
        <v>0</v>
      </c>
      <c r="G51" s="121">
        <f>G42-'BS Konsol-Des 24'!Q11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1819-6B00-4F65-AD75-A26834A3C543}">
  <sheetPr>
    <tabColor rgb="FF92D050"/>
  </sheetPr>
  <dimension ref="A2:M78"/>
  <sheetViews>
    <sheetView showGridLines="0" topLeftCell="A38" workbookViewId="0">
      <selection activeCell="E36" sqref="E36"/>
    </sheetView>
  </sheetViews>
  <sheetFormatPr defaultRowHeight="14.45"/>
  <cols>
    <col min="3" max="3" width="27.42578125" customWidth="1"/>
    <col min="4" max="4" width="1.5703125" customWidth="1"/>
    <col min="5" max="5" width="19.5703125" style="1256" bestFit="1" customWidth="1"/>
    <col min="6" max="6" width="3.42578125" style="1256" customWidth="1"/>
    <col min="7" max="7" width="19" style="1256" bestFit="1" customWidth="1"/>
    <col min="8" max="8" width="2.42578125" customWidth="1"/>
    <col min="9" max="9" width="29.5703125" customWidth="1"/>
    <col min="10" max="10" width="15.42578125" bestFit="1" customWidth="1"/>
    <col min="11" max="12" width="12.42578125" bestFit="1" customWidth="1"/>
    <col min="13" max="13" width="15.42578125" bestFit="1" customWidth="1"/>
  </cols>
  <sheetData>
    <row r="2" spans="1:9">
      <c r="A2" s="1248" t="s">
        <v>1836</v>
      </c>
      <c r="B2" s="1249"/>
      <c r="C2" s="1249"/>
      <c r="D2" s="1249"/>
      <c r="E2" s="1259"/>
      <c r="F2" s="1260"/>
      <c r="I2" s="1241"/>
    </row>
    <row r="5" spans="1:9">
      <c r="E5" s="1258" t="s">
        <v>1626</v>
      </c>
      <c r="G5" s="1258" t="s">
        <v>1629</v>
      </c>
    </row>
    <row r="6" spans="1:9">
      <c r="E6" s="1261" t="s">
        <v>1630</v>
      </c>
      <c r="G6" s="1261" t="s">
        <v>1633</v>
      </c>
    </row>
    <row r="8" spans="1:9">
      <c r="C8" s="342" t="s">
        <v>1837</v>
      </c>
      <c r="I8" s="1240" t="s">
        <v>1838</v>
      </c>
    </row>
    <row r="9" spans="1:9">
      <c r="C9" s="342" t="s">
        <v>1812</v>
      </c>
      <c r="I9" s="342" t="s">
        <v>1812</v>
      </c>
    </row>
    <row r="10" spans="1:9">
      <c r="C10" t="s">
        <v>431</v>
      </c>
      <c r="E10" s="1255">
        <f>'WS Konsol'!M56</f>
        <v>393935430</v>
      </c>
      <c r="G10" s="1255">
        <f>'WS Konsol'!AI56</f>
        <v>211054410</v>
      </c>
      <c r="I10" t="s">
        <v>431</v>
      </c>
    </row>
    <row r="11" spans="1:9" ht="7.35" customHeight="1"/>
    <row r="12" spans="1:9" s="342" customFormat="1" ht="15" thickBot="1">
      <c r="C12" s="342" t="s">
        <v>1839</v>
      </c>
      <c r="E12" s="1262">
        <f>SUM(E10)</f>
        <v>393935430</v>
      </c>
      <c r="F12" s="1258"/>
      <c r="G12" s="1262">
        <f>SUM(G10)</f>
        <v>211054410</v>
      </c>
      <c r="I12" s="342" t="s">
        <v>1187</v>
      </c>
    </row>
    <row r="14" spans="1:9">
      <c r="E14" s="1258" t="str">
        <f>E5</f>
        <v>31 Desember 2024 /</v>
      </c>
      <c r="G14" s="1258" t="s">
        <v>1629</v>
      </c>
    </row>
    <row r="15" spans="1:9">
      <c r="E15" s="1280" t="str">
        <f>E6</f>
        <v>December, 31 2024</v>
      </c>
      <c r="G15" s="1261" t="s">
        <v>1633</v>
      </c>
    </row>
    <row r="17" spans="3:9">
      <c r="C17" s="342" t="s">
        <v>490</v>
      </c>
      <c r="I17" s="1240" t="s">
        <v>1064</v>
      </c>
    </row>
    <row r="18" spans="3:9">
      <c r="C18" s="342" t="s">
        <v>1840</v>
      </c>
      <c r="I18" s="1240" t="s">
        <v>1812</v>
      </c>
    </row>
    <row r="19" spans="3:9">
      <c r="C19" t="s">
        <v>1841</v>
      </c>
      <c r="E19" s="1256">
        <f>'WS Konsol'!M60</f>
        <v>79850000</v>
      </c>
      <c r="G19" s="1256">
        <f>'WS Konsol'!AI60</f>
        <v>108320000</v>
      </c>
      <c r="I19" s="1241" t="s">
        <v>1841</v>
      </c>
    </row>
    <row r="20" spans="3:9">
      <c r="C20" t="s">
        <v>434</v>
      </c>
      <c r="E20" s="1256">
        <f>'WS Konsol'!M58</f>
        <v>15960000</v>
      </c>
      <c r="G20" s="1256">
        <f>'WS Konsol'!AI58</f>
        <v>48300000</v>
      </c>
      <c r="I20" s="1241" t="s">
        <v>434</v>
      </c>
    </row>
    <row r="21" spans="3:9">
      <c r="C21" t="s">
        <v>1842</v>
      </c>
      <c r="E21" s="1263">
        <f>'WS Konsol'!M72</f>
        <v>0</v>
      </c>
      <c r="G21" s="2140">
        <f>'WS Konsol'!AI72</f>
        <v>49140000</v>
      </c>
      <c r="I21" s="1241" t="s">
        <v>449</v>
      </c>
    </row>
    <row r="22" spans="3:9">
      <c r="C22" t="s">
        <v>1843</v>
      </c>
      <c r="I22" s="1241" t="s">
        <v>1844</v>
      </c>
    </row>
    <row r="23" spans="3:9">
      <c r="C23" t="s">
        <v>1845</v>
      </c>
      <c r="E23" s="1255">
        <f>'WS Konsol'!M73</f>
        <v>20530775</v>
      </c>
      <c r="G23" s="1255">
        <f>'WS Konsol'!AI69</f>
        <v>1480185</v>
      </c>
      <c r="I23" s="1241" t="s">
        <v>1845</v>
      </c>
    </row>
    <row r="24" spans="3:9" ht="6.6" customHeight="1"/>
    <row r="25" spans="3:9" ht="15" thickBot="1">
      <c r="C25" s="342" t="s">
        <v>1839</v>
      </c>
      <c r="D25" s="342"/>
      <c r="E25" s="1262">
        <f>SUM(E19:E23)</f>
        <v>116340775</v>
      </c>
      <c r="F25" s="1258"/>
      <c r="G25" s="1262">
        <f>SUM(G19:G23)</f>
        <v>207240185</v>
      </c>
      <c r="H25" s="342"/>
      <c r="I25" s="342" t="s">
        <v>1187</v>
      </c>
    </row>
    <row r="27" spans="3:9">
      <c r="C27" s="342" t="s">
        <v>1822</v>
      </c>
      <c r="I27" s="1240" t="s">
        <v>1823</v>
      </c>
    </row>
    <row r="28" spans="3:9">
      <c r="C28" t="s">
        <v>454</v>
      </c>
      <c r="E28" s="1648">
        <f>'WS Konsol'!M77</f>
        <v>29752092454</v>
      </c>
      <c r="G28" s="2114">
        <f>'WS Konsol'!AI77</f>
        <v>8062429256</v>
      </c>
      <c r="I28" s="1241" t="s">
        <v>454</v>
      </c>
    </row>
    <row r="29" spans="3:9">
      <c r="C29" t="s">
        <v>455</v>
      </c>
      <c r="E29" s="1648">
        <f>'WS Konsol'!M78</f>
        <v>6566701410</v>
      </c>
      <c r="G29" s="2114">
        <f>'WS Konsol'!AI78</f>
        <v>3270427320</v>
      </c>
      <c r="I29" s="1241" t="s">
        <v>455</v>
      </c>
    </row>
    <row r="30" spans="3:9">
      <c r="C30" t="s">
        <v>459</v>
      </c>
      <c r="E30" s="1256">
        <f>'WS Konsol'!M82</f>
        <v>0</v>
      </c>
      <c r="G30" s="2114">
        <f>'WS Konsol'!AI82</f>
        <v>1661844801</v>
      </c>
      <c r="I30" s="1241" t="s">
        <v>459</v>
      </c>
    </row>
    <row r="31" spans="3:9">
      <c r="C31" t="s">
        <v>457</v>
      </c>
      <c r="E31" s="1256">
        <f>'WS Konsol'!M80</f>
        <v>0</v>
      </c>
      <c r="G31" s="2114">
        <v>0</v>
      </c>
      <c r="I31" s="1241" t="s">
        <v>457</v>
      </c>
    </row>
    <row r="32" spans="3:9">
      <c r="C32" t="s">
        <v>467</v>
      </c>
      <c r="E32" s="1648">
        <f>'WS Konsol'!M90</f>
        <v>13036668402</v>
      </c>
      <c r="G32" s="2114">
        <v>0</v>
      </c>
      <c r="I32" s="1241" t="s">
        <v>467</v>
      </c>
    </row>
    <row r="33" spans="3:12">
      <c r="C33" t="s">
        <v>477</v>
      </c>
      <c r="E33" s="1648">
        <f>'WS Konsol'!M99</f>
        <v>2033454354</v>
      </c>
      <c r="G33" s="2114">
        <v>0</v>
      </c>
      <c r="I33" s="1241" t="s">
        <v>477</v>
      </c>
    </row>
    <row r="34" spans="3:12">
      <c r="C34" t="s">
        <v>465</v>
      </c>
      <c r="E34" s="1256">
        <f>'WS Konsol'!M100</f>
        <v>0</v>
      </c>
      <c r="G34" s="2114">
        <v>0</v>
      </c>
      <c r="I34" s="1241" t="s">
        <v>465</v>
      </c>
    </row>
    <row r="35" spans="3:12">
      <c r="C35" t="s">
        <v>463</v>
      </c>
      <c r="E35" s="1256">
        <f>'WS Konsol'!M86</f>
        <v>0</v>
      </c>
      <c r="G35" s="2114">
        <f>'WS Konsol'!AI86</f>
        <v>550050588</v>
      </c>
      <c r="I35" s="1241" t="s">
        <v>463</v>
      </c>
    </row>
    <row r="36" spans="3:12">
      <c r="C36" t="s">
        <v>466</v>
      </c>
      <c r="E36" s="1648">
        <f>'WS Konsol'!M89</f>
        <v>10062759228</v>
      </c>
      <c r="G36" s="2114">
        <f>'WS Konsol'!AI89</f>
        <v>4226586219</v>
      </c>
      <c r="I36" s="1241" t="s">
        <v>466</v>
      </c>
    </row>
    <row r="37" spans="3:12">
      <c r="C37" t="s">
        <v>476</v>
      </c>
      <c r="E37" s="1256">
        <f>'WS Konsol'!M98</f>
        <v>0</v>
      </c>
      <c r="G37" s="2114">
        <f>'WS Konsol'!AI98</f>
        <v>2028899760</v>
      </c>
      <c r="I37" s="1241" t="s">
        <v>476</v>
      </c>
    </row>
    <row r="38" spans="3:12">
      <c r="C38" t="s">
        <v>478</v>
      </c>
      <c r="E38" s="1648">
        <f>'WS Konsol'!M101</f>
        <v>752163318</v>
      </c>
      <c r="G38" s="2114">
        <f>'WS Konsol'!AI101</f>
        <v>624270920</v>
      </c>
      <c r="I38" s="1241" t="s">
        <v>478</v>
      </c>
    </row>
    <row r="39" spans="3:12">
      <c r="C39" t="s">
        <v>479</v>
      </c>
      <c r="E39" s="1256">
        <f>'WS Konsol'!M79</f>
        <v>0</v>
      </c>
      <c r="G39" s="2114">
        <f>'WS Konsol'!AI102</f>
        <v>890274000</v>
      </c>
      <c r="I39" s="1241" t="s">
        <v>479</v>
      </c>
    </row>
    <row r="40" spans="3:12">
      <c r="C40" t="s">
        <v>452</v>
      </c>
      <c r="E40" s="1256">
        <f>'WS Konsol'!M76</f>
        <v>3179031461</v>
      </c>
      <c r="G40" s="2114">
        <v>0</v>
      </c>
      <c r="I40" s="1241" t="s">
        <v>452</v>
      </c>
    </row>
    <row r="41" spans="3:12">
      <c r="C41" t="s">
        <v>458</v>
      </c>
      <c r="E41" s="1256">
        <f>'WS Konsol'!M81</f>
        <v>3791605200</v>
      </c>
      <c r="G41" s="2114">
        <v>0</v>
      </c>
      <c r="I41" s="1241" t="s">
        <v>458</v>
      </c>
    </row>
    <row r="42" spans="3:12">
      <c r="C42" t="s">
        <v>460</v>
      </c>
      <c r="E42" s="1648">
        <f>'WS Konsol'!M83</f>
        <v>1895802600</v>
      </c>
      <c r="G42" s="2114">
        <v>0</v>
      </c>
      <c r="I42" s="1241" t="s">
        <v>460</v>
      </c>
    </row>
    <row r="43" spans="3:12">
      <c r="C43" t="s">
        <v>479</v>
      </c>
      <c r="E43" s="1256">
        <f>'WS Konsol'!M102</f>
        <v>4160741077</v>
      </c>
      <c r="G43" s="2114">
        <v>0</v>
      </c>
      <c r="I43" s="1241" t="s">
        <v>479</v>
      </c>
    </row>
    <row r="44" spans="3:12">
      <c r="C44" t="s">
        <v>481</v>
      </c>
      <c r="E44" s="1256">
        <f>'WS Konsol'!M104</f>
        <v>10688735845</v>
      </c>
      <c r="G44" s="2114">
        <v>0</v>
      </c>
      <c r="I44" s="1241" t="s">
        <v>481</v>
      </c>
    </row>
    <row r="45" spans="3:12">
      <c r="C45" t="s">
        <v>1843</v>
      </c>
      <c r="E45" s="1263"/>
      <c r="G45" s="1263"/>
      <c r="I45" s="1241" t="s">
        <v>1844</v>
      </c>
    </row>
    <row r="46" spans="3:12">
      <c r="C46" t="s">
        <v>1846</v>
      </c>
      <c r="E46" s="1255">
        <v>0</v>
      </c>
      <c r="G46" s="1280">
        <f>'WS Konsol'!AI73</f>
        <v>21427997</v>
      </c>
      <c r="I46" s="1241" t="s">
        <v>1847</v>
      </c>
      <c r="J46" s="912">
        <v>96263112109</v>
      </c>
      <c r="K46" s="2120">
        <v>16162</v>
      </c>
      <c r="L46" s="593">
        <f>J46/K46</f>
        <v>5956138.6034525428</v>
      </c>
    </row>
    <row r="47" spans="3:12" ht="5.0999999999999996" customHeight="1"/>
    <row r="48" spans="3:12" s="342" customFormat="1" ht="15" thickBot="1">
      <c r="C48" s="342" t="s">
        <v>1839</v>
      </c>
      <c r="E48" s="1262">
        <f>SUM(E28:E46)</f>
        <v>85919755349</v>
      </c>
      <c r="F48" s="1258"/>
      <c r="G48" s="1262">
        <f>SUM(G28:G46)</f>
        <v>21336210861</v>
      </c>
      <c r="I48" s="1240" t="s">
        <v>1821</v>
      </c>
    </row>
    <row r="49" spans="1:13" ht="6.6" customHeight="1"/>
    <row r="50" spans="1:13" s="342" customFormat="1" ht="15" thickBot="1">
      <c r="C50" s="342" t="s">
        <v>1796</v>
      </c>
      <c r="E50" s="1262">
        <f>E48+E25+E12</f>
        <v>86430031554</v>
      </c>
      <c r="F50" s="1258"/>
      <c r="G50" s="1262">
        <f>G48+G25+G12</f>
        <v>21754505456</v>
      </c>
      <c r="I50" s="1240" t="s">
        <v>252</v>
      </c>
      <c r="J50" s="1279">
        <f>E50-'WS Konsol'!M105-'WS Konsol'!M56</f>
        <v>-10343356760</v>
      </c>
      <c r="K50" s="1279"/>
      <c r="L50" s="1279"/>
      <c r="M50" s="1279"/>
    </row>
    <row r="51" spans="1:13" ht="9" customHeight="1"/>
    <row r="52" spans="1:13">
      <c r="C52" t="s">
        <v>1848</v>
      </c>
      <c r="I52" s="1241" t="s">
        <v>1849</v>
      </c>
    </row>
    <row r="53" spans="1:13">
      <c r="C53" t="s">
        <v>1850</v>
      </c>
      <c r="E53" s="1255">
        <f>'WS Konsol'!M113</f>
        <v>-1980198035</v>
      </c>
      <c r="G53" s="1255">
        <f>'WS Konsol'!AI113</f>
        <v>-1562430934</v>
      </c>
      <c r="I53" s="1241" t="s">
        <v>1851</v>
      </c>
    </row>
    <row r="54" spans="1:13" s="342" customFormat="1" ht="21.6" customHeight="1" thickBot="1">
      <c r="C54" s="342" t="s">
        <v>1852</v>
      </c>
      <c r="E54" s="1257">
        <f>E50+E53</f>
        <v>84449833519</v>
      </c>
      <c r="F54" s="1258"/>
      <c r="G54" s="1257">
        <f>G50+G53</f>
        <v>20192074522</v>
      </c>
      <c r="I54" s="1240" t="s">
        <v>1853</v>
      </c>
    </row>
    <row r="55" spans="1:13" ht="15" thickTop="1"/>
    <row r="57" spans="1:13">
      <c r="A57" s="342" t="s">
        <v>1854</v>
      </c>
    </row>
    <row r="58" spans="1:13">
      <c r="E58" s="1258" t="s">
        <v>1626</v>
      </c>
      <c r="G58" s="1258" t="s">
        <v>1629</v>
      </c>
    </row>
    <row r="59" spans="1:13">
      <c r="E59" s="1261" t="s">
        <v>1630</v>
      </c>
      <c r="G59" s="1261" t="s">
        <v>1633</v>
      </c>
    </row>
    <row r="61" spans="1:13">
      <c r="C61" t="s">
        <v>1855</v>
      </c>
      <c r="E61" s="918">
        <v>92392364542.962006</v>
      </c>
      <c r="G61" s="1256">
        <v>7594953472</v>
      </c>
      <c r="I61" s="1241" t="s">
        <v>1856</v>
      </c>
    </row>
    <row r="62" spans="1:13">
      <c r="C62" t="s">
        <v>1857</v>
      </c>
      <c r="E62" s="1260"/>
      <c r="I62" s="1241" t="s">
        <v>1858</v>
      </c>
    </row>
    <row r="63" spans="1:13">
      <c r="C63" s="1252" t="s">
        <v>1859</v>
      </c>
      <c r="E63" s="918">
        <v>57064075</v>
      </c>
      <c r="G63" s="1256">
        <v>4820081542</v>
      </c>
      <c r="I63" s="1253" t="s">
        <v>1860</v>
      </c>
    </row>
    <row r="64" spans="1:13">
      <c r="C64" s="1252" t="s">
        <v>1861</v>
      </c>
      <c r="E64" s="1260"/>
      <c r="G64" s="1256">
        <v>9128416032</v>
      </c>
      <c r="I64" s="1253" t="s">
        <v>1862</v>
      </c>
    </row>
    <row r="65" spans="3:12">
      <c r="C65" s="1252" t="s">
        <v>1863</v>
      </c>
      <c r="E65" s="918">
        <v>37592200</v>
      </c>
      <c r="G65" s="1256">
        <v>211054410</v>
      </c>
      <c r="I65" s="1253" t="s">
        <v>1864</v>
      </c>
      <c r="K65" s="853"/>
    </row>
    <row r="66" spans="3:12">
      <c r="C66" s="1252" t="s">
        <v>1865</v>
      </c>
      <c r="E66" s="1243">
        <v>305037330</v>
      </c>
      <c r="G66" s="1255">
        <v>0</v>
      </c>
      <c r="I66" s="1253" t="s">
        <v>1866</v>
      </c>
    </row>
    <row r="67" spans="3:12" s="342" customFormat="1" ht="22.35" customHeight="1" thickBot="1">
      <c r="C67" s="1254" t="s">
        <v>1625</v>
      </c>
      <c r="E67" s="1264">
        <f>SUM(E61:E66)</f>
        <v>92792058147.962006</v>
      </c>
      <c r="F67" s="1258"/>
      <c r="G67" s="1264">
        <f>SUM(G61:G66)</f>
        <v>21754505456</v>
      </c>
      <c r="I67" s="1240" t="s">
        <v>252</v>
      </c>
      <c r="J67" s="1279">
        <f>E67-'WS Konsol'!M105-'WS Konsol'!M56</f>
        <v>-3981330166.0379944</v>
      </c>
      <c r="K67" s="931"/>
      <c r="L67" s="1279">
        <f>G67-'WS Konsol'!AI105-'WS Konsol'!AI56</f>
        <v>0</v>
      </c>
    </row>
    <row r="69" spans="3:12">
      <c r="C69" t="s">
        <v>1848</v>
      </c>
      <c r="I69" s="1241" t="s">
        <v>1849</v>
      </c>
    </row>
    <row r="70" spans="3:12">
      <c r="C70" t="s">
        <v>1850</v>
      </c>
      <c r="E70" s="1255">
        <f>'WS Konsol'!M113</f>
        <v>-1980198035</v>
      </c>
      <c r="G70" s="1255">
        <f>'WS Konsol'!AI113</f>
        <v>-1562430934</v>
      </c>
      <c r="I70" s="1241" t="s">
        <v>1851</v>
      </c>
    </row>
    <row r="71" spans="3:12" ht="15" thickBot="1">
      <c r="C71" s="342" t="s">
        <v>1852</v>
      </c>
      <c r="D71" s="342"/>
      <c r="E71" s="1257">
        <f>E67+E70</f>
        <v>90811860112.962006</v>
      </c>
      <c r="F71" s="1258"/>
      <c r="G71" s="1257">
        <f>G67+G70</f>
        <v>20192074522</v>
      </c>
      <c r="H71" s="342"/>
      <c r="I71" s="1240" t="s">
        <v>1853</v>
      </c>
    </row>
    <row r="72" spans="3:12" ht="15" thickTop="1"/>
    <row r="73" spans="3:12">
      <c r="C73" t="s">
        <v>1867</v>
      </c>
      <c r="I73" s="1241" t="s">
        <v>1868</v>
      </c>
    </row>
    <row r="74" spans="3:12">
      <c r="C74" t="s">
        <v>1869</v>
      </c>
      <c r="I74" s="1241" t="s">
        <v>1870</v>
      </c>
    </row>
    <row r="75" spans="3:12">
      <c r="C75" t="s">
        <v>1552</v>
      </c>
      <c r="E75" s="1256">
        <f>G77</f>
        <v>-1562430933</v>
      </c>
      <c r="G75" s="1256">
        <v>-1136008818</v>
      </c>
      <c r="I75" s="1241" t="s">
        <v>1553</v>
      </c>
    </row>
    <row r="76" spans="3:12">
      <c r="C76" t="s">
        <v>1871</v>
      </c>
      <c r="E76" s="1255">
        <f>-('WS Konsol'!M739)-'7. Piutang Lain-Lain'!E16-1</f>
        <v>-0.703818678855896</v>
      </c>
      <c r="G76" s="1255">
        <f>'WS Konsol'!AI727-'WS Konsol'!AI739-'7. Piutang Lain-Lain'!G16</f>
        <v>-426422115</v>
      </c>
      <c r="I76" s="1241" t="s">
        <v>1872</v>
      </c>
    </row>
    <row r="77" spans="3:12" s="342" customFormat="1" ht="25.5" customHeight="1" thickBot="1">
      <c r="C77" s="342" t="s">
        <v>1796</v>
      </c>
      <c r="E77" s="1257">
        <f>SUM(E75:E76)</f>
        <v>-1562430933.7038188</v>
      </c>
      <c r="F77" s="1258"/>
      <c r="G77" s="1257">
        <f>SUM(G75:G76)</f>
        <v>-1562430933</v>
      </c>
      <c r="I77" s="1240" t="s">
        <v>1769</v>
      </c>
    </row>
    <row r="78" spans="3:12" ht="15" thickTop="1"/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399E-F44A-4EDF-86F4-D2922C560456}">
  <sheetPr>
    <tabColor rgb="FF92D050"/>
  </sheetPr>
  <dimension ref="A2:I32"/>
  <sheetViews>
    <sheetView showGridLines="0" topLeftCell="A5" workbookViewId="0">
      <selection activeCell="E23" sqref="E23"/>
    </sheetView>
  </sheetViews>
  <sheetFormatPr defaultRowHeight="14.45"/>
  <cols>
    <col min="3" max="3" width="26.5703125" customWidth="1"/>
    <col min="4" max="4" width="3.5703125" customWidth="1"/>
    <col min="5" max="5" width="19.5703125" style="211" bestFit="1" customWidth="1"/>
    <col min="6" max="6" width="4.42578125" style="211" customWidth="1"/>
    <col min="7" max="7" width="19" style="211" bestFit="1" customWidth="1"/>
    <col min="8" max="8" width="2.42578125" customWidth="1"/>
    <col min="9" max="9" width="25.5703125" bestFit="1" customWidth="1"/>
  </cols>
  <sheetData>
    <row r="2" spans="1:9">
      <c r="A2" s="1248" t="s">
        <v>1873</v>
      </c>
      <c r="B2" s="1249"/>
      <c r="C2" s="1249"/>
      <c r="D2" s="1249"/>
      <c r="E2" s="1265"/>
      <c r="F2" s="299"/>
      <c r="I2" s="1241"/>
    </row>
    <row r="5" spans="1:9">
      <c r="E5" s="1266" t="s">
        <v>1626</v>
      </c>
      <c r="G5" s="1266" t="s">
        <v>1629</v>
      </c>
    </row>
    <row r="6" spans="1:9">
      <c r="E6" s="1267" t="s">
        <v>1630</v>
      </c>
      <c r="G6" s="1267" t="s">
        <v>1633</v>
      </c>
    </row>
    <row r="8" spans="1:9">
      <c r="C8" s="342" t="s">
        <v>1874</v>
      </c>
      <c r="I8" s="342" t="s">
        <v>1875</v>
      </c>
    </row>
    <row r="9" spans="1:9">
      <c r="C9" s="342" t="s">
        <v>1063</v>
      </c>
      <c r="I9" s="342" t="s">
        <v>1064</v>
      </c>
    </row>
    <row r="10" spans="1:9">
      <c r="C10" t="s">
        <v>1876</v>
      </c>
      <c r="E10" s="1251">
        <f>'WS Konsol'!M132</f>
        <v>549732399</v>
      </c>
      <c r="G10" s="1251">
        <f>'WS Konsol'!AI132</f>
        <v>549732399</v>
      </c>
      <c r="I10" s="1241" t="s">
        <v>1876</v>
      </c>
    </row>
    <row r="11" spans="1:9" s="342" customFormat="1" ht="25.5" customHeight="1" thickBot="1">
      <c r="C11" s="342" t="s">
        <v>1186</v>
      </c>
      <c r="E11" s="1268">
        <f>SUM(E10)</f>
        <v>549732399</v>
      </c>
      <c r="F11" s="1266"/>
      <c r="G11" s="1268">
        <f>SUM(G10)</f>
        <v>549732399</v>
      </c>
      <c r="I11" s="1240" t="s">
        <v>1821</v>
      </c>
    </row>
    <row r="12" spans="1:9" s="342" customFormat="1">
      <c r="E12" s="2239"/>
      <c r="F12" s="1266"/>
      <c r="G12" s="2239"/>
      <c r="I12" s="1240"/>
    </row>
    <row r="13" spans="1:9" s="342" customFormat="1">
      <c r="C13" s="2240" t="s">
        <v>1877</v>
      </c>
      <c r="E13" s="2239"/>
      <c r="F13" s="1266"/>
      <c r="G13" s="2239"/>
      <c r="I13" s="2241" t="s">
        <v>1878</v>
      </c>
    </row>
    <row r="14" spans="1:9" s="342" customFormat="1">
      <c r="C14" s="2240" t="s">
        <v>1869</v>
      </c>
      <c r="E14" s="2239"/>
      <c r="F14" s="1266"/>
      <c r="G14" s="2239"/>
      <c r="I14" s="2241" t="s">
        <v>1879</v>
      </c>
    </row>
    <row r="15" spans="1:9">
      <c r="C15" s="2240" t="s">
        <v>888</v>
      </c>
      <c r="E15" s="211">
        <f>G16</f>
        <v>-39098295</v>
      </c>
      <c r="G15" s="211">
        <v>0</v>
      </c>
      <c r="I15" s="2241" t="s">
        <v>1880</v>
      </c>
    </row>
    <row r="16" spans="1:9">
      <c r="C16" s="2240" t="s">
        <v>1871</v>
      </c>
      <c r="E16" s="1251">
        <v>-35626967.296181321</v>
      </c>
      <c r="G16" s="1251">
        <f>'WS Konsol'!AI137</f>
        <v>-39098295</v>
      </c>
      <c r="I16" s="2241" t="s">
        <v>1872</v>
      </c>
    </row>
    <row r="17" spans="3:9" ht="6.6" customHeight="1">
      <c r="C17" s="2240"/>
      <c r="E17" s="2242"/>
      <c r="G17" s="2242"/>
      <c r="I17" s="2241"/>
    </row>
    <row r="18" spans="3:9" s="342" customFormat="1" ht="15" thickBot="1">
      <c r="C18" s="799" t="s">
        <v>1625</v>
      </c>
      <c r="E18" s="2245">
        <f>SUM(E15:E16)</f>
        <v>-74725262.296181321</v>
      </c>
      <c r="F18" s="1266"/>
      <c r="G18" s="2245">
        <f>SUM(G15:G16)</f>
        <v>-39098295</v>
      </c>
      <c r="I18" s="2243" t="s">
        <v>252</v>
      </c>
    </row>
    <row r="19" spans="3:9" ht="8.1" customHeight="1">
      <c r="C19" s="2240"/>
      <c r="I19" s="2241"/>
    </row>
    <row r="20" spans="3:9" s="342" customFormat="1" ht="15" thickBot="1">
      <c r="C20" s="342" t="s">
        <v>1881</v>
      </c>
      <c r="E20" s="2244">
        <f>E11+E18</f>
        <v>475007136.70381868</v>
      </c>
      <c r="F20" s="1266"/>
      <c r="G20" s="2244">
        <f>G11+G18</f>
        <v>510634104</v>
      </c>
      <c r="I20" s="1240" t="s">
        <v>1882</v>
      </c>
    </row>
    <row r="21" spans="3:9" ht="15" thickTop="1"/>
    <row r="23" spans="3:9">
      <c r="E23" s="1266" t="s">
        <v>1626</v>
      </c>
      <c r="G23" s="1266" t="s">
        <v>1629</v>
      </c>
    </row>
    <row r="24" spans="3:9">
      <c r="E24" s="1267" t="s">
        <v>1630</v>
      </c>
      <c r="G24" s="1267" t="s">
        <v>1633</v>
      </c>
    </row>
    <row r="26" spans="3:9" s="1240" customFormat="1">
      <c r="C26" s="342" t="s">
        <v>1103</v>
      </c>
      <c r="E26" s="1269"/>
      <c r="F26" s="1269"/>
      <c r="G26" s="1269"/>
      <c r="I26" s="1240" t="s">
        <v>1883</v>
      </c>
    </row>
    <row r="27" spans="3:9" s="1240" customFormat="1">
      <c r="C27" s="342" t="s">
        <v>87</v>
      </c>
      <c r="E27" s="1269"/>
      <c r="F27" s="1269"/>
      <c r="G27" s="1269"/>
      <c r="I27" s="1240" t="s">
        <v>1080</v>
      </c>
    </row>
    <row r="28" spans="3:9">
      <c r="C28" t="s">
        <v>1884</v>
      </c>
      <c r="E28" s="211">
        <f>'WS Konsol'!M184</f>
        <v>0</v>
      </c>
      <c r="G28" s="211">
        <f>'WS Konsol'!AI184</f>
        <v>6000000000</v>
      </c>
      <c r="I28" s="1241" t="s">
        <v>1884</v>
      </c>
    </row>
    <row r="29" spans="3:9">
      <c r="C29" t="s">
        <v>431</v>
      </c>
      <c r="E29" s="211">
        <f>'WS Konsol'!M133</f>
        <v>0</v>
      </c>
      <c r="G29" s="211">
        <f>'WS Konsol'!AI133</f>
        <v>512207423</v>
      </c>
      <c r="I29" s="1241" t="s">
        <v>431</v>
      </c>
    </row>
    <row r="30" spans="3:9">
      <c r="C30" t="s">
        <v>543</v>
      </c>
      <c r="E30" s="211">
        <f>'WS Konsol'!M186</f>
        <v>0</v>
      </c>
      <c r="G30" s="211">
        <f>'WS Konsol'!AI186</f>
        <v>500000000</v>
      </c>
      <c r="I30" s="1241" t="s">
        <v>543</v>
      </c>
    </row>
    <row r="31" spans="3:9">
      <c r="C31" t="s">
        <v>542</v>
      </c>
      <c r="E31" s="1251">
        <f>'WS Konsol'!M185</f>
        <v>0</v>
      </c>
      <c r="G31" s="1251">
        <f>'WS Konsol'!AI185</f>
        <v>10500000</v>
      </c>
      <c r="I31" s="1241" t="s">
        <v>542</v>
      </c>
    </row>
    <row r="32" spans="3:9" s="342" customFormat="1" ht="25.5" customHeight="1" thickBot="1">
      <c r="C32" s="342" t="s">
        <v>1625</v>
      </c>
      <c r="E32" s="1268">
        <f>SUM(E28:E31)</f>
        <v>0</v>
      </c>
      <c r="F32" s="1266"/>
      <c r="G32" s="1268">
        <f>SUM(G28:G31)</f>
        <v>7022707423</v>
      </c>
      <c r="I32" s="1240" t="s">
        <v>1769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B5D0-45FD-4DCC-A040-1E77A503CD96}">
  <dimension ref="A2:I23"/>
  <sheetViews>
    <sheetView showGridLines="0" workbookViewId="0">
      <selection activeCell="E22" sqref="E22"/>
    </sheetView>
  </sheetViews>
  <sheetFormatPr defaultRowHeight="14.45"/>
  <cols>
    <col min="3" max="3" width="24.5703125" bestFit="1" customWidth="1"/>
    <col min="5" max="5" width="19.5703125" style="121" bestFit="1" customWidth="1"/>
    <col min="6" max="6" width="3.42578125" style="121" customWidth="1"/>
    <col min="7" max="7" width="19" style="121" bestFit="1" customWidth="1"/>
    <col min="8" max="8" width="3.42578125" customWidth="1"/>
    <col min="9" max="9" width="24" style="1241" bestFit="1" customWidth="1"/>
  </cols>
  <sheetData>
    <row r="2" spans="1:9">
      <c r="A2" s="1248" t="s">
        <v>1885</v>
      </c>
      <c r="B2" s="1249"/>
      <c r="C2" s="1249"/>
      <c r="D2" s="1249"/>
      <c r="E2" s="1250"/>
      <c r="F2" s="918"/>
    </row>
    <row r="4" spans="1:9">
      <c r="E4" s="926" t="s">
        <v>1626</v>
      </c>
      <c r="G4" s="926" t="s">
        <v>1629</v>
      </c>
    </row>
    <row r="5" spans="1:9">
      <c r="E5" s="1242" t="s">
        <v>1630</v>
      </c>
      <c r="G5" s="1242" t="s">
        <v>1633</v>
      </c>
    </row>
    <row r="7" spans="1:9">
      <c r="C7" s="342" t="s">
        <v>1886</v>
      </c>
      <c r="I7" s="1240" t="s">
        <v>1887</v>
      </c>
    </row>
    <row r="8" spans="1:9">
      <c r="C8" t="s">
        <v>1888</v>
      </c>
      <c r="I8" s="1241" t="s">
        <v>1889</v>
      </c>
    </row>
    <row r="9" spans="1:9">
      <c r="C9" t="s">
        <v>1890</v>
      </c>
      <c r="E9" s="121">
        <f>'WS Konsol'!M174</f>
        <v>0</v>
      </c>
      <c r="G9" s="121">
        <v>799973228</v>
      </c>
      <c r="I9" s="1241" t="s">
        <v>1891</v>
      </c>
    </row>
    <row r="10" spans="1:9">
      <c r="C10" t="s">
        <v>1892</v>
      </c>
      <c r="E10" s="1243"/>
      <c r="G10" s="121">
        <v>97500000</v>
      </c>
      <c r="I10" s="1241" t="s">
        <v>1893</v>
      </c>
    </row>
    <row r="11" spans="1:9" s="342" customFormat="1" ht="30.6" customHeight="1" thickBot="1">
      <c r="C11" s="342" t="s">
        <v>1839</v>
      </c>
      <c r="E11" s="928">
        <f>SUM(E8:E10)</f>
        <v>0</v>
      </c>
      <c r="F11" s="926"/>
      <c r="G11" s="928">
        <f>SUM(G8:G10)</f>
        <v>897473228</v>
      </c>
      <c r="I11" s="1240" t="s">
        <v>1821</v>
      </c>
    </row>
    <row r="12" spans="1:9" ht="15" thickTop="1"/>
    <row r="13" spans="1:9">
      <c r="C13" s="342" t="s">
        <v>199</v>
      </c>
      <c r="I13" s="1240" t="s">
        <v>1894</v>
      </c>
    </row>
    <row r="14" spans="1:9">
      <c r="C14" s="342" t="s">
        <v>1895</v>
      </c>
      <c r="I14" s="1240" t="s">
        <v>1896</v>
      </c>
    </row>
    <row r="15" spans="1:9">
      <c r="C15" t="s">
        <v>1897</v>
      </c>
      <c r="E15" s="121">
        <f>'WS Konsol'!M164</f>
        <v>0</v>
      </c>
      <c r="I15" s="1241" t="s">
        <v>1898</v>
      </c>
    </row>
    <row r="16" spans="1:9" s="342" customFormat="1" ht="30.6" customHeight="1" thickBot="1">
      <c r="C16" s="342" t="s">
        <v>1839</v>
      </c>
      <c r="E16" s="928">
        <f>SUM(E15)</f>
        <v>0</v>
      </c>
      <c r="F16" s="926"/>
      <c r="G16" s="928">
        <f>SUM(G15)</f>
        <v>0</v>
      </c>
      <c r="I16" s="1240" t="s">
        <v>1821</v>
      </c>
    </row>
    <row r="17" spans="3:9" ht="15" thickTop="1"/>
    <row r="18" spans="3:9" s="342" customFormat="1">
      <c r="C18" s="342" t="s">
        <v>1525</v>
      </c>
      <c r="E18" s="926"/>
      <c r="F18" s="926"/>
      <c r="G18" s="926"/>
      <c r="I18" s="1240" t="s">
        <v>1899</v>
      </c>
    </row>
    <row r="19" spans="3:9">
      <c r="C19" t="s">
        <v>1900</v>
      </c>
      <c r="E19" s="121">
        <f>'WS Konsol'!M159</f>
        <v>187925720</v>
      </c>
      <c r="G19" s="121">
        <v>206973825</v>
      </c>
      <c r="I19" s="1241" t="s">
        <v>1901</v>
      </c>
    </row>
    <row r="20" spans="3:9" s="342" customFormat="1" ht="30.6" customHeight="1" thickBot="1">
      <c r="C20" s="342" t="s">
        <v>1839</v>
      </c>
      <c r="E20" s="928">
        <f>SUM(E19)</f>
        <v>187925720</v>
      </c>
      <c r="F20" s="926"/>
      <c r="G20" s="928">
        <f>SUM(G19)</f>
        <v>206973825</v>
      </c>
      <c r="I20" s="1240" t="s">
        <v>1821</v>
      </c>
    </row>
    <row r="21" spans="3:9" ht="15" thickTop="1"/>
    <row r="22" spans="3:9" s="342" customFormat="1" ht="15" thickBot="1">
      <c r="C22" s="342" t="s">
        <v>1796</v>
      </c>
      <c r="E22" s="1244">
        <f>E20+E16+E11</f>
        <v>187925720</v>
      </c>
      <c r="F22" s="926"/>
      <c r="G22" s="1244">
        <f>G20+G16+G11</f>
        <v>1104447053</v>
      </c>
      <c r="I22" s="1240" t="s">
        <v>1769</v>
      </c>
    </row>
    <row r="23" spans="3:9" ht="15" thickTop="1"/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D9A6-0435-4897-AE99-E3E7C8EAF6E2}">
  <sheetPr>
    <tabColor rgb="FFFA7B6A"/>
  </sheetPr>
  <dimension ref="C4"/>
  <sheetViews>
    <sheetView showGridLines="0" workbookViewId="0"/>
  </sheetViews>
  <sheetFormatPr defaultRowHeight="14.45"/>
  <sheetData>
    <row r="4" spans="3:3">
      <c r="C4" s="214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03FA-DC4D-49BB-8938-362EDAD8D94D}">
  <dimension ref="A2:I22"/>
  <sheetViews>
    <sheetView showGridLines="0" topLeftCell="A12" workbookViewId="0">
      <selection activeCell="E8" sqref="E8"/>
    </sheetView>
  </sheetViews>
  <sheetFormatPr defaultRowHeight="14.45"/>
  <cols>
    <col min="3" max="3" width="27" bestFit="1" customWidth="1"/>
    <col min="4" max="4" width="4" customWidth="1"/>
    <col min="5" max="5" width="19.5703125" style="211" bestFit="1" customWidth="1"/>
    <col min="6" max="6" width="4.42578125" style="211" customWidth="1"/>
    <col min="7" max="7" width="19" style="211" bestFit="1" customWidth="1"/>
    <col min="8" max="8" width="2" customWidth="1"/>
    <col min="9" max="9" width="24" bestFit="1" customWidth="1"/>
  </cols>
  <sheetData>
    <row r="2" spans="1:9">
      <c r="A2" s="1248" t="s">
        <v>1902</v>
      </c>
      <c r="B2" s="1249"/>
      <c r="C2" s="1249"/>
      <c r="D2" s="1249"/>
      <c r="E2" s="1265"/>
      <c r="F2" s="299"/>
      <c r="I2" s="1241"/>
    </row>
    <row r="4" spans="1:9">
      <c r="E4" s="1266" t="s">
        <v>1626</v>
      </c>
      <c r="G4" s="1266" t="s">
        <v>1629</v>
      </c>
    </row>
    <row r="5" spans="1:9">
      <c r="E5" s="1267" t="s">
        <v>1630</v>
      </c>
      <c r="G5" s="1267" t="s">
        <v>1633</v>
      </c>
    </row>
    <row r="7" spans="1:9">
      <c r="C7" t="s">
        <v>1903</v>
      </c>
      <c r="E7" s="211">
        <f>'WS Konsol'!M232</f>
        <v>9445772618</v>
      </c>
      <c r="G7" s="211">
        <f>'WS Konsol'!AI232</f>
        <v>9445772618</v>
      </c>
      <c r="I7" s="1241" t="s">
        <v>1904</v>
      </c>
    </row>
    <row r="8" spans="1:9">
      <c r="C8" t="s">
        <v>1905</v>
      </c>
      <c r="E8" s="1251">
        <f>'WS Konsol'!M235</f>
        <v>-1889154524</v>
      </c>
      <c r="G8" s="1251">
        <f>'WS Konsol'!AI235</f>
        <v>-1574295436</v>
      </c>
      <c r="I8" s="1241" t="s">
        <v>1906</v>
      </c>
    </row>
    <row r="9" spans="1:9" s="342" customFormat="1" ht="30.6" customHeight="1" thickBot="1">
      <c r="C9" s="342" t="s">
        <v>1796</v>
      </c>
      <c r="E9" s="1270">
        <f>SUM(E7:E8)</f>
        <v>7556618094</v>
      </c>
      <c r="F9" s="1266"/>
      <c r="G9" s="1270">
        <f>SUM(G7:G8)</f>
        <v>7871477182</v>
      </c>
      <c r="I9" s="342" t="s">
        <v>1769</v>
      </c>
    </row>
    <row r="10" spans="1:9" s="1278" customFormat="1" ht="15" thickTop="1">
      <c r="C10" s="1278" t="s">
        <v>1215</v>
      </c>
      <c r="E10" s="1281">
        <f>E9-'WS Konsol'!M236</f>
        <v>0</v>
      </c>
      <c r="F10" s="1281"/>
      <c r="G10" s="1281">
        <f>G9-'WS Konsol'!AI236</f>
        <v>0</v>
      </c>
    </row>
    <row r="12" spans="1:9">
      <c r="A12" s="342" t="s">
        <v>1907</v>
      </c>
    </row>
    <row r="14" spans="1:9">
      <c r="E14" s="1266" t="s">
        <v>1626</v>
      </c>
      <c r="G14" s="1266" t="s">
        <v>1629</v>
      </c>
    </row>
    <row r="15" spans="1:9">
      <c r="E15" s="1267" t="s">
        <v>1630</v>
      </c>
      <c r="G15" s="1267" t="s">
        <v>1633</v>
      </c>
    </row>
    <row r="17" spans="3:9">
      <c r="C17" t="s">
        <v>1548</v>
      </c>
      <c r="I17" s="1241" t="s">
        <v>1549</v>
      </c>
    </row>
    <row r="18" spans="3:9">
      <c r="C18" t="s">
        <v>1908</v>
      </c>
      <c r="E18" s="211">
        <f>'WS Konsol'!M619</f>
        <v>283373179</v>
      </c>
      <c r="G18" s="211">
        <f>'WS Konsol'!AI619</f>
        <v>282792707</v>
      </c>
      <c r="I18" s="1241" t="s">
        <v>1909</v>
      </c>
    </row>
    <row r="19" spans="3:9">
      <c r="C19" t="s">
        <v>116</v>
      </c>
      <c r="I19" s="1241" t="s">
        <v>1910</v>
      </c>
    </row>
    <row r="20" spans="3:9">
      <c r="C20" t="s">
        <v>1911</v>
      </c>
      <c r="E20" s="1251">
        <f>'WS Konsol'!M715</f>
        <v>31485909</v>
      </c>
      <c r="G20" s="1251">
        <f>'WS Konsol'!AI715</f>
        <v>32066380</v>
      </c>
      <c r="I20" s="1241" t="s">
        <v>1912</v>
      </c>
    </row>
    <row r="21" spans="3:9" s="342" customFormat="1" ht="30.6" customHeight="1" thickBot="1">
      <c r="C21" s="342" t="s">
        <v>1796</v>
      </c>
      <c r="E21" s="1270">
        <f>SUM(E18:E20)</f>
        <v>314859088</v>
      </c>
      <c r="F21" s="1266"/>
      <c r="G21" s="1270">
        <f>SUM(G18:G20)</f>
        <v>314859087</v>
      </c>
      <c r="I21" s="342" t="s">
        <v>1769</v>
      </c>
    </row>
    <row r="22" spans="3:9" s="1278" customFormat="1" ht="15" thickTop="1">
      <c r="C22" s="1278" t="s">
        <v>1215</v>
      </c>
      <c r="E22" s="1281">
        <f>E21-'WS Konsol'!M619-'WS Konsol'!M715</f>
        <v>0</v>
      </c>
      <c r="F22" s="1281"/>
      <c r="G22" s="1281">
        <f>G21-'WS Konsol'!AI619-'WS Konsol'!AI715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24E6-BEBE-4CD7-B14E-E6A831973A23}">
  <dimension ref="A2:J143"/>
  <sheetViews>
    <sheetView showGridLines="0" topLeftCell="A5" workbookViewId="0">
      <selection activeCell="E7" sqref="E7"/>
    </sheetView>
  </sheetViews>
  <sheetFormatPr defaultRowHeight="14.45"/>
  <cols>
    <col min="3" max="3" width="46.5703125" customWidth="1"/>
    <col min="5" max="5" width="19.5703125" style="121" bestFit="1" customWidth="1"/>
    <col min="6" max="6" width="4.42578125" style="121" customWidth="1"/>
    <col min="7" max="7" width="19" style="121" bestFit="1" customWidth="1"/>
    <col min="8" max="8" width="3" customWidth="1"/>
    <col min="9" max="9" width="46.5703125" bestFit="1" customWidth="1"/>
    <col min="10" max="10" width="14.5703125" bestFit="1" customWidth="1"/>
  </cols>
  <sheetData>
    <row r="2" spans="1:9">
      <c r="A2" s="1248" t="s">
        <v>1913</v>
      </c>
      <c r="B2" s="1249"/>
      <c r="C2" s="1249"/>
      <c r="D2" s="1249"/>
      <c r="E2" s="1250"/>
      <c r="F2" s="918"/>
      <c r="I2" s="1241"/>
    </row>
    <row r="4" spans="1:9">
      <c r="E4" s="926" t="s">
        <v>1626</v>
      </c>
      <c r="G4" s="926" t="s">
        <v>1629</v>
      </c>
    </row>
    <row r="5" spans="1:9">
      <c r="E5" s="1242" t="s">
        <v>1630</v>
      </c>
      <c r="G5" s="1242" t="s">
        <v>1633</v>
      </c>
    </row>
    <row r="6" spans="1:9">
      <c r="C6" t="s">
        <v>1914</v>
      </c>
      <c r="E6" s="121" t="s">
        <v>1914</v>
      </c>
      <c r="G6" s="121" t="s">
        <v>1914</v>
      </c>
      <c r="I6" t="s">
        <v>1914</v>
      </c>
    </row>
    <row r="7" spans="1:9">
      <c r="C7" s="458" t="str">
        <f>'WS Konsol'!C291</f>
        <v>Bapak Cipto</v>
      </c>
      <c r="E7" s="2306">
        <f>'WS Konsol'!M291</f>
        <v>19544752</v>
      </c>
      <c r="G7" s="121">
        <f>'WS Konsol'!AI291</f>
        <v>21911630</v>
      </c>
      <c r="I7" s="1241" t="s">
        <v>637</v>
      </c>
    </row>
    <row r="8" spans="1:9" hidden="1">
      <c r="C8" t="str">
        <f>'WS Konsol'!C292</f>
        <v>Supplier Bahan Baku Udang &amp; Non Udang</v>
      </c>
      <c r="E8" s="121">
        <f>'WS Konsol'!M292</f>
        <v>0</v>
      </c>
      <c r="G8" s="121">
        <f>'WS Konsol'!AI292</f>
        <v>0</v>
      </c>
      <c r="I8" s="1241" t="s">
        <v>638</v>
      </c>
    </row>
    <row r="9" spans="1:9">
      <c r="C9" t="str">
        <f>'WS Konsol'!C293</f>
        <v>Bakti Angurah Kreasi,CV</v>
      </c>
      <c r="E9" s="121">
        <f>'WS Konsol'!M293</f>
        <v>0</v>
      </c>
      <c r="G9" s="121">
        <f>'WS Konsol'!AI293</f>
        <v>0</v>
      </c>
      <c r="I9" s="1241" t="s">
        <v>639</v>
      </c>
    </row>
    <row r="10" spans="1:9">
      <c r="C10" s="458" t="str">
        <f>'WS Konsol'!C294</f>
        <v>AGS Sejahtera, CV,</v>
      </c>
      <c r="E10" s="2306">
        <f>'WS Konsol'!M294</f>
        <v>40019800</v>
      </c>
      <c r="G10" s="121">
        <f>'WS Konsol'!AI294</f>
        <v>0</v>
      </c>
      <c r="I10" s="1241" t="s">
        <v>640</v>
      </c>
    </row>
    <row r="11" spans="1:9">
      <c r="C11" t="str">
        <f>'WS Konsol'!C295</f>
        <v>GEA Refrigeration Indonesia, PT</v>
      </c>
      <c r="E11" s="121">
        <f>'WS Konsol'!M295</f>
        <v>0</v>
      </c>
      <c r="G11" s="121">
        <f>'WS Konsol'!AI295</f>
        <v>0</v>
      </c>
      <c r="I11" s="1241" t="s">
        <v>641</v>
      </c>
    </row>
    <row r="12" spans="1:9">
      <c r="C12" s="458" t="str">
        <f>'WS Konsol'!C296</f>
        <v>Halim Sakti Pratama, PT</v>
      </c>
      <c r="E12" s="2306">
        <f>'WS Konsol'!M296</f>
        <v>13506480</v>
      </c>
      <c r="G12" s="121">
        <f>'WS Konsol'!AI296</f>
        <v>1720500</v>
      </c>
      <c r="I12" s="1241" t="s">
        <v>642</v>
      </c>
    </row>
    <row r="13" spans="1:9">
      <c r="C13" t="str">
        <f>'WS Konsol'!C297</f>
        <v>Harapan Abadi, CV</v>
      </c>
      <c r="E13" s="2306">
        <f>'WS Konsol'!M297</f>
        <v>0</v>
      </c>
      <c r="G13" s="121">
        <f>'WS Konsol'!AI297</f>
        <v>0</v>
      </c>
      <c r="I13" s="1241" t="s">
        <v>643</v>
      </c>
    </row>
    <row r="14" spans="1:9">
      <c r="C14" s="458" t="str">
        <f>'WS Konsol'!C298</f>
        <v>Intiragam Oliefindo, PT</v>
      </c>
      <c r="E14" s="2306">
        <f>'WS Konsol'!M298</f>
        <v>24975000</v>
      </c>
      <c r="G14" s="121">
        <f>'WS Konsol'!AI298</f>
        <v>49950000</v>
      </c>
      <c r="I14" s="1241" t="s">
        <v>644</v>
      </c>
    </row>
    <row r="15" spans="1:9" hidden="1">
      <c r="C15" t="str">
        <f>'WS Konsol'!C299</f>
        <v>KARYA EKATAMA, PT</v>
      </c>
      <c r="E15" s="121">
        <f>'WS Konsol'!M299</f>
        <v>0</v>
      </c>
      <c r="G15" s="121">
        <f>'WS Konsol'!AI299</f>
        <v>0</v>
      </c>
      <c r="I15" s="1241" t="s">
        <v>645</v>
      </c>
    </row>
    <row r="16" spans="1:9">
      <c r="C16" s="458" t="str">
        <f>'WS Konsol'!C301</f>
        <v>Samara Cipta Solution, CV</v>
      </c>
      <c r="E16" s="121">
        <f>'WS Konsol'!M301</f>
        <v>0</v>
      </c>
      <c r="G16" s="121">
        <f>'WS Konsol'!AI301</f>
        <v>122323133</v>
      </c>
      <c r="I16" s="1241" t="s">
        <v>647</v>
      </c>
    </row>
    <row r="17" spans="3:9">
      <c r="C17" s="458" t="str">
        <f>'WS Konsol'!C302</f>
        <v>Seven Mountain Internasional, PT</v>
      </c>
      <c r="E17" s="2306">
        <f>'WS Konsol'!M302</f>
        <v>29859000</v>
      </c>
      <c r="G17" s="121">
        <f>'WS Konsol'!AI302</f>
        <v>20684850</v>
      </c>
      <c r="I17" s="1241" t="s">
        <v>648</v>
      </c>
    </row>
    <row r="18" spans="3:9">
      <c r="C18" s="458" t="str">
        <f>'WS Konsol'!C303</f>
        <v>Sinar Panca Surya, PT</v>
      </c>
      <c r="E18" s="121">
        <f>'WS Konsol'!M303</f>
        <v>0</v>
      </c>
      <c r="G18" s="121">
        <f>'WS Konsol'!AI303</f>
        <v>34576502</v>
      </c>
      <c r="I18" s="1241" t="s">
        <v>649</v>
      </c>
    </row>
    <row r="19" spans="3:9">
      <c r="C19" s="458" t="str">
        <f>'WS Konsol'!C304</f>
        <v>Sinar Setia Mulia , PT</v>
      </c>
      <c r="E19" s="2306">
        <f>'WS Konsol'!M304</f>
        <v>55230003</v>
      </c>
      <c r="G19" s="121">
        <f>'WS Konsol'!AI304</f>
        <v>56950000</v>
      </c>
      <c r="I19" s="1241" t="s">
        <v>650</v>
      </c>
    </row>
    <row r="20" spans="3:9" hidden="1">
      <c r="C20" t="str">
        <f>'WS Konsol'!C305</f>
        <v>CV Windu Segara Hatchery</v>
      </c>
      <c r="E20" s="121">
        <f>'WS Konsol'!M305</f>
        <v>0</v>
      </c>
      <c r="G20" s="121">
        <f>'WS Konsol'!AI305</f>
        <v>0</v>
      </c>
      <c r="I20" s="1241" t="s">
        <v>651</v>
      </c>
    </row>
    <row r="21" spans="3:9" hidden="1">
      <c r="C21" t="str">
        <f>'WS Konsol'!C306</f>
        <v>Central Proteina Prima, PT</v>
      </c>
      <c r="E21" s="121">
        <f>'WS Konsol'!M306</f>
        <v>0</v>
      </c>
      <c r="G21" s="121">
        <f>'WS Konsol'!AI306</f>
        <v>0</v>
      </c>
      <c r="I21" s="1241" t="s">
        <v>652</v>
      </c>
    </row>
    <row r="22" spans="3:9" hidden="1">
      <c r="C22" t="str">
        <f>'WS Konsol'!C307</f>
        <v>Citra Boga Sentosa, PT</v>
      </c>
      <c r="E22" s="121">
        <f>'WS Konsol'!M307</f>
        <v>0</v>
      </c>
      <c r="G22" s="121">
        <f>'WS Konsol'!AI307</f>
        <v>0</v>
      </c>
      <c r="I22" s="1241" t="s">
        <v>653</v>
      </c>
    </row>
    <row r="23" spans="3:9" hidden="1">
      <c r="C23" t="str">
        <f>'WS Konsol'!C308</f>
        <v>Indo Surya Cemerlang, CV</v>
      </c>
      <c r="E23" s="121">
        <f>'WS Konsol'!M308</f>
        <v>0</v>
      </c>
      <c r="G23" s="121">
        <f>'WS Konsol'!AI308</f>
        <v>0</v>
      </c>
      <c r="I23" s="1241" t="s">
        <v>654</v>
      </c>
    </row>
    <row r="24" spans="3:9">
      <c r="C24" t="str">
        <f>'WS Konsol'!C309</f>
        <v>Nusantara, Toko</v>
      </c>
      <c r="E24" s="2306">
        <f>'WS Konsol'!M309</f>
        <v>0</v>
      </c>
      <c r="G24" s="121">
        <f>'WS Konsol'!AI309</f>
        <v>5025000</v>
      </c>
      <c r="I24" s="1241" t="s">
        <v>655</v>
      </c>
    </row>
    <row r="25" spans="3:9" hidden="1">
      <c r="C25" t="str">
        <f>'WS Konsol'!C310</f>
        <v>Newhope Aqua Feed Indonesia, PT</v>
      </c>
      <c r="E25" s="121">
        <f>'WS Konsol'!M310</f>
        <v>0</v>
      </c>
      <c r="G25" s="121">
        <f>'WS Konsol'!AI310</f>
        <v>0</v>
      </c>
      <c r="I25" s="1241" t="s">
        <v>656</v>
      </c>
    </row>
    <row r="26" spans="3:9" hidden="1">
      <c r="C26" t="str">
        <f>'WS Konsol'!C311</f>
        <v>Surya Serba Mulia, PT</v>
      </c>
      <c r="E26" s="121">
        <f>'WS Konsol'!M311</f>
        <v>0</v>
      </c>
      <c r="G26" s="121">
        <f>'WS Konsol'!AI311</f>
        <v>0</v>
      </c>
      <c r="I26" s="1241" t="s">
        <v>657</v>
      </c>
    </row>
    <row r="27" spans="3:9">
      <c r="C27" s="458" t="str">
        <f>'WS Konsol'!C312</f>
        <v>Sumatra Motor Teknindo, PT</v>
      </c>
      <c r="E27" s="2306">
        <f>'WS Konsol'!M312</f>
        <v>52438355</v>
      </c>
      <c r="G27" s="121">
        <f>'WS Konsol'!AI312</f>
        <v>156386992</v>
      </c>
      <c r="I27" s="1241" t="s">
        <v>658</v>
      </c>
    </row>
    <row r="28" spans="3:9" hidden="1">
      <c r="C28" t="str">
        <f>'WS Konsol'!C313</f>
        <v>Tri Jaya Sukses</v>
      </c>
      <c r="E28" s="121">
        <f>'WS Konsol'!M313</f>
        <v>0</v>
      </c>
      <c r="G28" s="121">
        <f>'WS Konsol'!AI313</f>
        <v>0</v>
      </c>
      <c r="I28" s="1241" t="s">
        <v>659</v>
      </c>
    </row>
    <row r="29" spans="3:9" hidden="1">
      <c r="C29" t="str">
        <f>'WS Konsol'!C314</f>
        <v>Perc, Salma</v>
      </c>
      <c r="E29" s="121">
        <f>'WS Konsol'!M314</f>
        <v>0</v>
      </c>
      <c r="G29" s="121">
        <f>'WS Konsol'!AI314</f>
        <v>0</v>
      </c>
      <c r="I29" s="1241" t="s">
        <v>660</v>
      </c>
    </row>
    <row r="30" spans="3:9">
      <c r="C30" s="458" t="str">
        <f>'WS Konsol'!C315</f>
        <v>AKR Corporindo Tbk, PT</v>
      </c>
      <c r="E30" s="121">
        <f>'WS Konsol'!M315</f>
        <v>0</v>
      </c>
      <c r="G30" s="121">
        <f>'WS Konsol'!AI315</f>
        <v>75000000</v>
      </c>
      <c r="I30" s="1241" t="s">
        <v>661</v>
      </c>
    </row>
    <row r="31" spans="3:9">
      <c r="C31" s="458" t="str">
        <f>'WS Konsol'!C316</f>
        <v>General Agromesin Lestari, PT</v>
      </c>
      <c r="E31" s="121">
        <f>'WS Konsol'!M316</f>
        <v>0</v>
      </c>
      <c r="G31" s="121">
        <f>'WS Konsol'!AI316</f>
        <v>116369995</v>
      </c>
      <c r="I31" s="1241" t="s">
        <v>662</v>
      </c>
    </row>
    <row r="32" spans="3:9">
      <c r="C32" s="458" t="str">
        <f>'WS Konsol'!C317</f>
        <v>Maju Tambak Sumur, PT</v>
      </c>
      <c r="E32" s="2306">
        <f>'WS Konsol'!M317</f>
        <v>0</v>
      </c>
      <c r="G32" s="121">
        <f>'WS Konsol'!AI317</f>
        <v>29249998</v>
      </c>
      <c r="I32" s="1241" t="s">
        <v>663</v>
      </c>
    </row>
    <row r="33" spans="3:9">
      <c r="C33" s="458" t="str">
        <f>'WS Konsol'!C318</f>
        <v>SUMBERDAYA SINAR BARU, PT</v>
      </c>
      <c r="E33" s="2306">
        <f>'WS Konsol'!M318</f>
        <v>55366010</v>
      </c>
      <c r="G33" s="121">
        <f>'WS Konsol'!AI318</f>
        <v>19068210</v>
      </c>
      <c r="I33" s="1241" t="s">
        <v>664</v>
      </c>
    </row>
    <row r="34" spans="3:9">
      <c r="C34" s="458" t="str">
        <f>'WS Konsol'!C319</f>
        <v xml:space="preserve">PT Anesta Agung </v>
      </c>
      <c r="E34" s="2306">
        <f>'WS Konsol'!M319</f>
        <v>892566862</v>
      </c>
      <c r="G34" s="121">
        <f>'WS Konsol'!AI319</f>
        <v>9</v>
      </c>
      <c r="I34" s="1241" t="s">
        <v>665</v>
      </c>
    </row>
    <row r="35" spans="3:9">
      <c r="C35" s="458" t="str">
        <f>'WS Konsol'!C320</f>
        <v>Choice Canning Company Inc,</v>
      </c>
      <c r="E35" s="121">
        <f>'WS Konsol'!M320</f>
        <v>0</v>
      </c>
      <c r="G35" s="121">
        <f>'WS Konsol'!AI320</f>
        <v>1356603529</v>
      </c>
      <c r="I35" s="1241" t="s">
        <v>666</v>
      </c>
    </row>
    <row r="36" spans="3:9" hidden="1">
      <c r="C36" t="str">
        <f>'WS Konsol'!C321</f>
        <v>Tn. Julius Juyanto</v>
      </c>
      <c r="E36" s="121">
        <f>'WS Konsol'!M321</f>
        <v>0</v>
      </c>
      <c r="G36" s="121">
        <f>'WS Konsol'!AI321</f>
        <v>0</v>
      </c>
      <c r="I36" s="1241" t="s">
        <v>667</v>
      </c>
    </row>
    <row r="37" spans="3:9" hidden="1">
      <c r="C37" t="str">
        <f>'WS Konsol'!C322</f>
        <v xml:space="preserve">Tn. Sudirman </v>
      </c>
      <c r="E37" s="121">
        <f>'WS Konsol'!M322</f>
        <v>0</v>
      </c>
      <c r="G37" s="121">
        <f>'WS Konsol'!AI322</f>
        <v>0</v>
      </c>
      <c r="I37" s="1241" t="s">
        <v>668</v>
      </c>
    </row>
    <row r="38" spans="3:9">
      <c r="C38" s="458" t="str">
        <f>'WS Konsol'!C323</f>
        <v>PT Anugerah Berkah Usaha</v>
      </c>
      <c r="E38" s="121">
        <f>'WS Konsol'!M323</f>
        <v>0</v>
      </c>
      <c r="G38" s="121">
        <f>'WS Konsol'!AI323</f>
        <v>117818222</v>
      </c>
      <c r="I38" s="1241" t="s">
        <v>669</v>
      </c>
    </row>
    <row r="39" spans="3:9">
      <c r="C39" s="458" t="str">
        <f>'WS Konsol'!C324</f>
        <v>PT Delos Rantai Maritim</v>
      </c>
      <c r="E39" s="2306">
        <f>'WS Konsol'!M324</f>
        <v>2102768</v>
      </c>
      <c r="G39" s="121">
        <f>'WS Konsol'!AI324</f>
        <v>0</v>
      </c>
      <c r="I39" s="1241" t="s">
        <v>670</v>
      </c>
    </row>
    <row r="40" spans="3:9">
      <c r="C40" s="458" t="str">
        <f>'WS Konsol'!C325</f>
        <v>PT International Packaging Manufacturing</v>
      </c>
      <c r="E40" s="2306">
        <f>'WS Konsol'!M325</f>
        <v>971250</v>
      </c>
      <c r="G40" s="121">
        <f>'WS Konsol'!AI325</f>
        <v>669801750</v>
      </c>
      <c r="I40" s="1241" t="s">
        <v>671</v>
      </c>
    </row>
    <row r="41" spans="3:9" hidden="1">
      <c r="C41" t="str">
        <f>'WS Konsol'!C326</f>
        <v xml:space="preserve">Tn. Agus Sujono </v>
      </c>
      <c r="E41" s="121">
        <f>'WS Konsol'!M326</f>
        <v>0</v>
      </c>
      <c r="G41" s="121">
        <f>'WS Konsol'!AI326</f>
        <v>0</v>
      </c>
      <c r="I41" s="1241" t="s">
        <v>672</v>
      </c>
    </row>
    <row r="42" spans="3:9" hidden="1">
      <c r="C42" t="str">
        <f>'WS Konsol'!C327</f>
        <v>Ahmad Ruba'i</v>
      </c>
      <c r="E42" s="121">
        <f>'WS Konsol'!M327</f>
        <v>0</v>
      </c>
      <c r="G42" s="121">
        <f>'WS Konsol'!AI327</f>
        <v>0</v>
      </c>
      <c r="I42" s="1241" t="s">
        <v>673</v>
      </c>
    </row>
    <row r="43" spans="3:9">
      <c r="C43" s="458" t="str">
        <f>'WS Konsol'!C328</f>
        <v>Ahmad Heriyadi</v>
      </c>
      <c r="E43" s="121">
        <f>'WS Konsol'!M328</f>
        <v>0</v>
      </c>
      <c r="G43" s="121">
        <f>'WS Konsol'!AI328</f>
        <v>112830473</v>
      </c>
      <c r="I43" s="1241" t="s">
        <v>674</v>
      </c>
    </row>
    <row r="44" spans="3:9">
      <c r="C44" t="str">
        <f>'WS Konsol'!C329</f>
        <v>Disanta, PT</v>
      </c>
      <c r="E44" s="121">
        <f>'WS Konsol'!M329</f>
        <v>0</v>
      </c>
      <c r="G44" s="2120">
        <f>'WS Konsol'!AI329</f>
        <v>-4</v>
      </c>
      <c r="I44" s="1241" t="s">
        <v>675</v>
      </c>
    </row>
    <row r="45" spans="3:9" hidden="1">
      <c r="C45" t="str">
        <f>'WS Konsol'!C330</f>
        <v>Jwartono</v>
      </c>
      <c r="E45" s="121">
        <f>'WS Konsol'!M330</f>
        <v>0</v>
      </c>
      <c r="G45" s="121">
        <f>'WS Konsol'!AI330</f>
        <v>0</v>
      </c>
      <c r="I45" s="1241" t="s">
        <v>676</v>
      </c>
    </row>
    <row r="46" spans="3:9">
      <c r="C46" s="458" t="str">
        <f>'WS Konsol'!C331</f>
        <v>PT Konverta Mitra Abadi</v>
      </c>
      <c r="E46" s="2306">
        <f>'WS Konsol'!M331</f>
        <v>502709194</v>
      </c>
      <c r="G46" s="121">
        <f>'WS Konsol'!AI331</f>
        <v>406242378</v>
      </c>
      <c r="I46" s="1241" t="s">
        <v>677</v>
      </c>
    </row>
    <row r="47" spans="3:9">
      <c r="C47" t="str">
        <f>'WS Konsol'!C332</f>
        <v>CV Mekar Karya Mulia</v>
      </c>
      <c r="E47" s="121">
        <f>'WS Konsol'!M332</f>
        <v>0</v>
      </c>
      <c r="G47" s="121">
        <f>'WS Konsol'!AI332</f>
        <v>0</v>
      </c>
      <c r="I47" s="1241" t="s">
        <v>678</v>
      </c>
    </row>
    <row r="48" spans="3:9">
      <c r="C48" t="str">
        <f>'WS Konsol'!C333</f>
        <v>Syarifuddin Arief, Hj,</v>
      </c>
      <c r="E48" s="121">
        <f>'WS Konsol'!M333</f>
        <v>0</v>
      </c>
      <c r="G48" s="121">
        <f>'WS Konsol'!AI333</f>
        <v>0</v>
      </c>
      <c r="I48" s="1241" t="s">
        <v>679</v>
      </c>
    </row>
    <row r="49" spans="3:9">
      <c r="C49" s="458" t="str">
        <f>'WS Konsol'!C334</f>
        <v>Multidaya Teknologi Nusantara PT</v>
      </c>
      <c r="E49" s="2306">
        <f>'WS Konsol'!M334</f>
        <v>210906705</v>
      </c>
      <c r="G49" s="121">
        <f>'WS Konsol'!AI334</f>
        <v>310906705</v>
      </c>
      <c r="I49" s="1241" t="s">
        <v>680</v>
      </c>
    </row>
    <row r="50" spans="3:9">
      <c r="C50" s="458" t="str">
        <f>'WS Konsol'!C335</f>
        <v>Prima Larvae, PT</v>
      </c>
      <c r="E50" s="2306">
        <f>'WS Konsol'!M335</f>
        <v>54504000</v>
      </c>
      <c r="G50" s="121">
        <f>'WS Konsol'!AI335</f>
        <v>0</v>
      </c>
      <c r="I50" s="1241" t="s">
        <v>681</v>
      </c>
    </row>
    <row r="51" spans="3:9" hidden="1">
      <c r="C51" t="str">
        <f>'WS Konsol'!C336</f>
        <v>Sinar Hidup Satwa, PT</v>
      </c>
      <c r="E51" s="121">
        <f>'WS Konsol'!M336</f>
        <v>0</v>
      </c>
      <c r="G51" s="121">
        <f>'WS Konsol'!AI336</f>
        <v>0</v>
      </c>
      <c r="I51" s="1241" t="s">
        <v>682</v>
      </c>
    </row>
    <row r="52" spans="3:9" hidden="1">
      <c r="C52" t="str">
        <f>'WS Konsol'!C337</f>
        <v>RBFood Manufaktur Indonesia, PT</v>
      </c>
      <c r="E52" s="121">
        <f>'WS Konsol'!M337</f>
        <v>306138000</v>
      </c>
      <c r="G52" s="121">
        <f>'WS Konsol'!AI337</f>
        <v>0</v>
      </c>
      <c r="I52" s="1241" t="s">
        <v>683</v>
      </c>
    </row>
    <row r="53" spans="3:9" hidden="1">
      <c r="C53" t="str">
        <f>'WS Konsol'!C338</f>
        <v xml:space="preserve">PT RBFood Supply Indonesia </v>
      </c>
      <c r="E53" s="121">
        <f>'WS Konsol'!M338</f>
        <v>384060000</v>
      </c>
      <c r="G53" s="121">
        <f>'WS Konsol'!AI338</f>
        <v>0</v>
      </c>
      <c r="I53" s="1241" t="s">
        <v>684</v>
      </c>
    </row>
    <row r="54" spans="3:9" hidden="1">
      <c r="C54" t="str">
        <f>'WS Konsol'!C339</f>
        <v>Mitra Lestari Mandiri</v>
      </c>
      <c r="E54" s="121">
        <f>'WS Konsol'!M339</f>
        <v>483155250</v>
      </c>
      <c r="G54" s="121">
        <f>'WS Konsol'!AI339</f>
        <v>0</v>
      </c>
      <c r="I54" s="1241" t="s">
        <v>685</v>
      </c>
    </row>
    <row r="55" spans="3:9">
      <c r="C55" s="458" t="str">
        <f>'WS Konsol'!C340</f>
        <v>PT CJ Cheiljedang Feed Lampung</v>
      </c>
      <c r="E55" s="2306">
        <f>'WS Konsol'!M340</f>
        <v>2043145000</v>
      </c>
      <c r="G55" s="121">
        <f>'WS Konsol'!AI340</f>
        <v>1115222500</v>
      </c>
      <c r="I55" s="1241" t="s">
        <v>686</v>
      </c>
    </row>
    <row r="56" spans="3:9">
      <c r="C56" s="458" t="str">
        <f>'WS Konsol'!C341</f>
        <v>Grahamakmur Ciptapratama</v>
      </c>
      <c r="E56" s="121">
        <f>'WS Konsol'!M341</f>
        <v>0</v>
      </c>
      <c r="G56" s="121">
        <f>'WS Konsol'!AI341</f>
        <v>1618149192</v>
      </c>
      <c r="I56" s="1241" t="s">
        <v>687</v>
      </c>
    </row>
    <row r="57" spans="3:9" hidden="1">
      <c r="C57" t="str">
        <f>'WS Konsol'!C342</f>
        <v xml:space="preserve">Tn. Ismanto </v>
      </c>
      <c r="E57" s="121">
        <f>'WS Konsol'!M342</f>
        <v>0</v>
      </c>
      <c r="G57" s="121">
        <f>'WS Konsol'!AI342</f>
        <v>0</v>
      </c>
      <c r="I57" s="1241" t="s">
        <v>688</v>
      </c>
    </row>
    <row r="58" spans="3:9" hidden="1">
      <c r="C58" t="str">
        <f>'WS Konsol'!C343</f>
        <v>Yeremia Sukamto</v>
      </c>
      <c r="E58" s="121">
        <f>'WS Konsol'!M343</f>
        <v>0</v>
      </c>
      <c r="G58" s="121">
        <f>'WS Konsol'!AI343</f>
        <v>0</v>
      </c>
      <c r="I58" s="1241" t="s">
        <v>689</v>
      </c>
    </row>
    <row r="59" spans="3:9" hidden="1">
      <c r="C59" t="str">
        <f>'WS Konsol'!C344</f>
        <v>Prayoga Maju Sejahtera,CV</v>
      </c>
      <c r="E59" s="121">
        <f>'WS Konsol'!M344</f>
        <v>0</v>
      </c>
      <c r="G59" s="121">
        <f>'WS Konsol'!AI344</f>
        <v>0</v>
      </c>
      <c r="I59" s="1241" t="s">
        <v>690</v>
      </c>
    </row>
    <row r="60" spans="3:9">
      <c r="C60" s="458" t="str">
        <f>'WS Konsol'!C345</f>
        <v xml:space="preserve">PT Sumber Energy </v>
      </c>
      <c r="E60" s="2306">
        <f>'WS Konsol'!M345</f>
        <v>63270000</v>
      </c>
      <c r="G60" s="121">
        <f>'WS Konsol'!AI345</f>
        <v>27000000</v>
      </c>
      <c r="I60" s="1241" t="s">
        <v>691</v>
      </c>
    </row>
    <row r="61" spans="3:9" hidden="1">
      <c r="C61" t="str">
        <f>'WS Konsol'!C346</f>
        <v>PT Indojaya Sukses Makmur</v>
      </c>
      <c r="E61" s="121">
        <f>'WS Konsol'!M346</f>
        <v>0</v>
      </c>
      <c r="G61" s="121">
        <f>'WS Konsol'!AI346</f>
        <v>0</v>
      </c>
      <c r="I61" s="1241" t="s">
        <v>692</v>
      </c>
    </row>
    <row r="62" spans="3:9">
      <c r="C62" s="458" t="str">
        <f>'WS Konsol'!C347</f>
        <v>PT Gemilang Primajaya Trimandiri</v>
      </c>
      <c r="E62" s="2306">
        <f>'WS Konsol'!M347</f>
        <v>179926294</v>
      </c>
      <c r="G62" s="121">
        <f>'WS Konsol'!AI347</f>
        <v>30862329</v>
      </c>
      <c r="I62" s="1241" t="s">
        <v>693</v>
      </c>
    </row>
    <row r="63" spans="3:9">
      <c r="C63" s="458" t="str">
        <f>'WS Konsol'!C348</f>
        <v>PT Indonesia Makan Udang</v>
      </c>
      <c r="E63" s="2306">
        <f>'WS Konsol'!M348</f>
        <v>2887775246</v>
      </c>
      <c r="G63" s="121">
        <f>'WS Konsol'!AI348</f>
        <v>4451894010</v>
      </c>
      <c r="I63" s="1241" t="s">
        <v>694</v>
      </c>
    </row>
    <row r="64" spans="3:9">
      <c r="C64" s="458" t="str">
        <f>'WS Konsol'!C349</f>
        <v>Putra Widjaja Marine, CV</v>
      </c>
      <c r="E64" s="121">
        <f>'WS Konsol'!M349</f>
        <v>0</v>
      </c>
      <c r="G64" s="121">
        <f>'WS Konsol'!AI349</f>
        <v>5240992985</v>
      </c>
      <c r="I64" s="1241" t="s">
        <v>695</v>
      </c>
    </row>
    <row r="65" spans="3:9" hidden="1">
      <c r="C65" t="str">
        <f>'WS Konsol'!C350</f>
        <v>PT SAEIKI TANGGUH COOLER</v>
      </c>
      <c r="E65" s="121">
        <f>'WS Konsol'!M350</f>
        <v>0</v>
      </c>
      <c r="G65" s="121">
        <f>'WS Konsol'!AI350</f>
        <v>0</v>
      </c>
      <c r="I65" s="1241" t="s">
        <v>696</v>
      </c>
    </row>
    <row r="66" spans="3:9">
      <c r="C66" s="458" t="str">
        <f>'WS Konsol'!C351</f>
        <v>Utomo Print</v>
      </c>
      <c r="E66" s="121">
        <f>'WS Konsol'!M351</f>
        <v>0</v>
      </c>
      <c r="G66" s="121">
        <f>'WS Konsol'!AI351</f>
        <v>75821880</v>
      </c>
      <c r="I66" s="1241" t="s">
        <v>697</v>
      </c>
    </row>
    <row r="67" spans="3:9" hidden="1">
      <c r="C67" t="str">
        <f>'WS Konsol'!C352</f>
        <v>Bio Tirta, CV</v>
      </c>
      <c r="E67" s="121">
        <f>'WS Konsol'!M352</f>
        <v>0</v>
      </c>
      <c r="G67" s="121">
        <f>'WS Konsol'!AI352</f>
        <v>0</v>
      </c>
      <c r="I67" s="1241" t="s">
        <v>698</v>
      </c>
    </row>
    <row r="68" spans="3:9" hidden="1">
      <c r="C68" t="str">
        <f>'WS Konsol'!C353</f>
        <v>Brandon Teknik</v>
      </c>
      <c r="E68" s="121">
        <f>'WS Konsol'!M353</f>
        <v>0</v>
      </c>
      <c r="G68" s="121">
        <f>'WS Konsol'!AI353</f>
        <v>0</v>
      </c>
      <c r="I68" s="1241" t="s">
        <v>699</v>
      </c>
    </row>
    <row r="69" spans="3:9" hidden="1">
      <c r="C69" t="str">
        <f>'WS Konsol'!C354</f>
        <v xml:space="preserve">Toko Sumber Matahari </v>
      </c>
      <c r="E69" s="121">
        <f>'WS Konsol'!M354</f>
        <v>0</v>
      </c>
      <c r="G69" s="121">
        <f>'WS Konsol'!AI354</f>
        <v>0</v>
      </c>
      <c r="I69" s="1241" t="s">
        <v>700</v>
      </c>
    </row>
    <row r="70" spans="3:9" hidden="1">
      <c r="C70" t="str">
        <f>'WS Konsol'!C355</f>
        <v>Suharto</v>
      </c>
      <c r="E70" s="121">
        <f>'WS Konsol'!M355</f>
        <v>0</v>
      </c>
      <c r="G70" s="121">
        <f>'WS Konsol'!AI355</f>
        <v>0</v>
      </c>
      <c r="I70" s="1241" t="s">
        <v>701</v>
      </c>
    </row>
    <row r="71" spans="3:9">
      <c r="C71" s="458" t="str">
        <f>'WS Konsol'!C356</f>
        <v>PT Sinergy Indopack Makmur</v>
      </c>
      <c r="E71" s="2306">
        <f>'WS Konsol'!M356</f>
        <v>59140800</v>
      </c>
      <c r="G71" s="121">
        <f>'WS Konsol'!AI356</f>
        <v>40182000</v>
      </c>
      <c r="I71" s="1241" t="s">
        <v>702</v>
      </c>
    </row>
    <row r="72" spans="3:9" hidden="1">
      <c r="C72" t="str">
        <f>'WS Konsol'!C357</f>
        <v>SJP, Toko</v>
      </c>
      <c r="E72" s="121">
        <f>'WS Konsol'!M357</f>
        <v>0</v>
      </c>
      <c r="G72" s="121">
        <f>'WS Konsol'!AI357</f>
        <v>0</v>
      </c>
      <c r="I72" s="1241" t="s">
        <v>703</v>
      </c>
    </row>
    <row r="73" spans="3:9" hidden="1">
      <c r="C73" t="str">
        <f>'WS Konsol'!C358</f>
        <v>UD, Slamet</v>
      </c>
      <c r="E73" s="121">
        <f>'WS Konsol'!M358</f>
        <v>0</v>
      </c>
      <c r="G73" s="121">
        <f>'WS Konsol'!AI358</f>
        <v>0</v>
      </c>
      <c r="I73" s="1241" t="s">
        <v>444</v>
      </c>
    </row>
    <row r="74" spans="3:9">
      <c r="C74" s="458" t="str">
        <f>'WS Konsol'!C359</f>
        <v>Prima Sari Indotama, PT</v>
      </c>
      <c r="E74" s="2306">
        <f>'WS Konsol'!M359</f>
        <v>32435303</v>
      </c>
      <c r="G74" s="121">
        <f>'WS Konsol'!AI359</f>
        <v>28510258</v>
      </c>
      <c r="I74" s="1241" t="s">
        <v>704</v>
      </c>
    </row>
    <row r="75" spans="3:9" hidden="1">
      <c r="C75" t="str">
        <f>'WS Konsol'!C360</f>
        <v>PSI</v>
      </c>
      <c r="E75" s="121">
        <f>'WS Konsol'!M360</f>
        <v>0</v>
      </c>
      <c r="G75" s="121">
        <f>'WS Konsol'!AI360</f>
        <v>0</v>
      </c>
      <c r="I75" s="1241" t="s">
        <v>705</v>
      </c>
    </row>
    <row r="76" spans="3:9">
      <c r="C76" s="458" t="str">
        <f>'WS Konsol'!C361</f>
        <v>Sumatraco Langgeng Abadi, PT</v>
      </c>
      <c r="E76" s="2306">
        <f>'WS Konsol'!M361</f>
        <v>20535000</v>
      </c>
      <c r="G76" s="121">
        <f>'WS Konsol'!AI361</f>
        <v>34965000</v>
      </c>
      <c r="I76" s="1241" t="s">
        <v>706</v>
      </c>
    </row>
    <row r="77" spans="3:9" hidden="1">
      <c r="C77" t="str">
        <f>'WS Konsol'!C362</f>
        <v>R &amp; R COLECTION</v>
      </c>
      <c r="E77" s="121">
        <f>'WS Konsol'!M362</f>
        <v>0</v>
      </c>
      <c r="G77" s="121">
        <f>'WS Konsol'!AI362</f>
        <v>0</v>
      </c>
      <c r="I77" s="1241" t="s">
        <v>707</v>
      </c>
    </row>
    <row r="78" spans="3:9" hidden="1">
      <c r="C78" t="str">
        <f>'WS Konsol'!C363</f>
        <v>PT Rahayu Perdana Trans</v>
      </c>
      <c r="E78" s="121">
        <f>'WS Konsol'!M363</f>
        <v>0</v>
      </c>
      <c r="G78" s="121">
        <f>'WS Konsol'!AI363</f>
        <v>0</v>
      </c>
      <c r="I78" s="1241" t="s">
        <v>708</v>
      </c>
    </row>
    <row r="79" spans="3:9" hidden="1">
      <c r="C79" t="str">
        <f>'WS Konsol'!C364</f>
        <v>Toko Percetakan A1 Printing</v>
      </c>
      <c r="E79" s="121">
        <f>'WS Konsol'!M364</f>
        <v>0</v>
      </c>
      <c r="G79" s="121">
        <f>'WS Konsol'!AI364</f>
        <v>0</v>
      </c>
      <c r="I79" s="1241" t="s">
        <v>709</v>
      </c>
    </row>
    <row r="80" spans="3:9" hidden="1">
      <c r="C80" t="str">
        <f>'WS Konsol'!C365</f>
        <v xml:space="preserve">Toko R &amp; R Collection </v>
      </c>
      <c r="E80" s="121">
        <f>'WS Konsol'!M365</f>
        <v>0</v>
      </c>
      <c r="G80" s="121">
        <f>'WS Konsol'!AI365</f>
        <v>0</v>
      </c>
      <c r="I80" s="1241" t="s">
        <v>710</v>
      </c>
    </row>
    <row r="81" spans="3:9" hidden="1">
      <c r="C81" t="str">
        <f>'WS Konsol'!C366</f>
        <v xml:space="preserve">CV Beltraco </v>
      </c>
      <c r="E81" s="121">
        <f>'WS Konsol'!M366</f>
        <v>0</v>
      </c>
      <c r="G81" s="121">
        <f>'WS Konsol'!AI366</f>
        <v>0</v>
      </c>
      <c r="I81" s="1241" t="s">
        <v>711</v>
      </c>
    </row>
    <row r="82" spans="3:9" hidden="1">
      <c r="C82" t="str">
        <f>'WS Konsol'!C367</f>
        <v>PT Sumatraco Langgeng Abadi</v>
      </c>
      <c r="E82" s="121">
        <f>'WS Konsol'!M367</f>
        <v>0</v>
      </c>
      <c r="G82" s="121">
        <f>'WS Konsol'!AI367</f>
        <v>0</v>
      </c>
      <c r="I82" s="1241" t="s">
        <v>712</v>
      </c>
    </row>
    <row r="83" spans="3:9" hidden="1">
      <c r="C83" t="str">
        <f>'WS Konsol'!C368</f>
        <v xml:space="preserve">PT Jodabo Sukses </v>
      </c>
      <c r="E83" s="121">
        <f>'WS Konsol'!M368</f>
        <v>0</v>
      </c>
      <c r="G83" s="121">
        <f>'WS Konsol'!AI368</f>
        <v>0</v>
      </c>
      <c r="I83" s="1241" t="s">
        <v>713</v>
      </c>
    </row>
    <row r="84" spans="3:9">
      <c r="C84" s="458" t="str">
        <f>'WS Konsol'!C369</f>
        <v>Lima Pendawa, CV</v>
      </c>
      <c r="E84" s="2306">
        <f>'WS Konsol'!M369</f>
        <v>22200000</v>
      </c>
      <c r="G84" s="121">
        <f>'WS Konsol'!AI369</f>
        <v>44400000</v>
      </c>
      <c r="I84" s="1241" t="s">
        <v>714</v>
      </c>
    </row>
    <row r="85" spans="3:9" hidden="1">
      <c r="C85" t="str">
        <f>'WS Konsol'!C370</f>
        <v>NURTANSA MANDIRI, TB</v>
      </c>
      <c r="E85" s="121">
        <f>'WS Konsol'!M370</f>
        <v>0</v>
      </c>
      <c r="G85" s="121">
        <f>'WS Konsol'!AI370</f>
        <v>0</v>
      </c>
      <c r="I85" s="1241" t="s">
        <v>715</v>
      </c>
    </row>
    <row r="86" spans="3:9" hidden="1">
      <c r="C86" t="str">
        <f>'WS Konsol'!C371</f>
        <v>Indonesia Nisshin Technomic, PT</v>
      </c>
      <c r="E86" s="121">
        <f>'WS Konsol'!M371</f>
        <v>0</v>
      </c>
      <c r="G86" s="121">
        <f>'WS Konsol'!AI371</f>
        <v>0</v>
      </c>
      <c r="I86" s="1241" t="s">
        <v>716</v>
      </c>
    </row>
    <row r="87" spans="3:9" hidden="1">
      <c r="C87" t="str">
        <f>'WS Konsol'!C372</f>
        <v>Lumina Packaging, PT</v>
      </c>
      <c r="E87" s="121">
        <f>'WS Konsol'!M372</f>
        <v>0</v>
      </c>
      <c r="G87" s="121">
        <f>'WS Konsol'!AI372</f>
        <v>0</v>
      </c>
      <c r="I87" s="1241" t="s">
        <v>717</v>
      </c>
    </row>
    <row r="88" spans="3:9">
      <c r="C88" s="458" t="str">
        <f>'WS Konsol'!C373</f>
        <v>Prima Akuakultur Lestari, PT</v>
      </c>
      <c r="E88" s="121">
        <f>'WS Konsol'!M373</f>
        <v>0</v>
      </c>
      <c r="G88" s="121">
        <f>'WS Konsol'!AI373</f>
        <v>24990000</v>
      </c>
      <c r="I88" s="1241" t="s">
        <v>718</v>
      </c>
    </row>
    <row r="89" spans="3:9" hidden="1">
      <c r="C89" t="str">
        <f>'WS Konsol'!C374</f>
        <v>Serbaguna Karya Mandiri, CV</v>
      </c>
      <c r="E89" s="121">
        <f>'WS Konsol'!M374</f>
        <v>0</v>
      </c>
      <c r="G89" s="121">
        <f>'WS Konsol'!AI374</f>
        <v>0</v>
      </c>
      <c r="I89" s="1241" t="s">
        <v>719</v>
      </c>
    </row>
    <row r="90" spans="3:9">
      <c r="C90" s="458" t="str">
        <f>'WS Konsol'!C375</f>
        <v>Nusa Jaya</v>
      </c>
      <c r="E90" s="2306">
        <f>'WS Konsol'!M375</f>
        <v>25502001</v>
      </c>
      <c r="G90" s="121">
        <f>'WS Konsol'!AI375</f>
        <v>47152462</v>
      </c>
      <c r="I90" s="1241" t="s">
        <v>720</v>
      </c>
    </row>
    <row r="91" spans="3:9" hidden="1">
      <c r="C91" t="str">
        <f>'WS Konsol'!C376</f>
        <v>Sarana Mitra Tambak, CV</v>
      </c>
      <c r="E91" s="121">
        <f>'WS Konsol'!M376</f>
        <v>0</v>
      </c>
      <c r="G91" s="121">
        <f>'WS Konsol'!AI376</f>
        <v>0</v>
      </c>
      <c r="I91" s="1241" t="s">
        <v>721</v>
      </c>
    </row>
    <row r="92" spans="3:9" hidden="1">
      <c r="C92" t="str">
        <f>'WS Konsol'!C377</f>
        <v>Sumber Tani Makmur Abadi, UD</v>
      </c>
      <c r="E92" s="121">
        <f>'WS Konsol'!M377</f>
        <v>0</v>
      </c>
      <c r="G92" s="121">
        <f>'WS Konsol'!AI377</f>
        <v>0</v>
      </c>
      <c r="I92" s="1241" t="s">
        <v>722</v>
      </c>
    </row>
    <row r="93" spans="3:9" hidden="1">
      <c r="C93" t="str">
        <f>'WS Konsol'!C378</f>
        <v>Sarana Boga Sentosa, CV</v>
      </c>
      <c r="E93" s="121">
        <f>'WS Konsol'!M378</f>
        <v>0</v>
      </c>
      <c r="G93" s="121">
        <f>'WS Konsol'!AI378</f>
        <v>0</v>
      </c>
      <c r="I93" s="1241" t="s">
        <v>723</v>
      </c>
    </row>
    <row r="94" spans="3:9">
      <c r="C94" t="str">
        <f>'WS Konsol'!C379</f>
        <v>Persahabatan Electric</v>
      </c>
      <c r="E94" s="121">
        <f>'WS Konsol'!M379</f>
        <v>0</v>
      </c>
      <c r="G94" s="121">
        <f>'WS Konsol'!AI379</f>
        <v>11070021</v>
      </c>
      <c r="I94" s="1241" t="s">
        <v>724</v>
      </c>
    </row>
    <row r="95" spans="3:9" hidden="1">
      <c r="C95" t="str">
        <f>'WS Konsol'!C380</f>
        <v>Multi Daya Teknologi Nusantara, PT</v>
      </c>
      <c r="E95" s="121">
        <f>'WS Konsol'!M380</f>
        <v>0</v>
      </c>
      <c r="G95" s="121">
        <f>'WS Konsol'!AI380</f>
        <v>0</v>
      </c>
      <c r="I95" s="1241" t="s">
        <v>725</v>
      </c>
    </row>
    <row r="96" spans="3:9">
      <c r="C96" s="458" t="str">
        <f>'WS Konsol'!C381</f>
        <v>Indoplast Jaya Sukses Makmur, PT</v>
      </c>
      <c r="E96" s="121">
        <f>'WS Konsol'!M381</f>
        <v>0</v>
      </c>
      <c r="G96" s="121">
        <f>'WS Konsol'!AI381</f>
        <v>121624520</v>
      </c>
      <c r="I96" s="1241" t="s">
        <v>726</v>
      </c>
    </row>
    <row r="97" spans="3:9" hidden="1">
      <c r="C97" t="str">
        <f>'WS Konsol'!C384</f>
        <v>Sakti Biru Indonesia, PT</v>
      </c>
      <c r="E97" s="121">
        <f>'WS Konsol'!M384</f>
        <v>0</v>
      </c>
      <c r="G97" s="121">
        <v>0</v>
      </c>
      <c r="I97" s="1241" t="s">
        <v>729</v>
      </c>
    </row>
    <row r="98" spans="3:9">
      <c r="C98" t="str">
        <f>'WS Konsol'!C385</f>
        <v>Indolabel Surya Pratama, PT</v>
      </c>
      <c r="E98" s="2306">
        <f>'WS Konsol'!M385</f>
        <v>0</v>
      </c>
      <c r="G98" s="121">
        <v>0</v>
      </c>
      <c r="I98" s="1241" t="s">
        <v>730</v>
      </c>
    </row>
    <row r="99" spans="3:9">
      <c r="C99" s="458" t="str">
        <f>'WS Konsol'!C382</f>
        <v>Masatu Putra, CV</v>
      </c>
      <c r="E99" s="121">
        <f>'WS Konsol'!M382</f>
        <v>0</v>
      </c>
      <c r="G99" s="121">
        <f>'WS Konsol'!AI382</f>
        <v>31635000</v>
      </c>
      <c r="I99" s="1241" t="s">
        <v>727</v>
      </c>
    </row>
    <row r="100" spans="3:9" hidden="1">
      <c r="C100" t="str">
        <f>'WS Konsol'!C386</f>
        <v>Optimis Group, CV</v>
      </c>
      <c r="E100" s="121">
        <f>'WS Konsol'!M386</f>
        <v>0</v>
      </c>
      <c r="I100" s="1241" t="s">
        <v>731</v>
      </c>
    </row>
    <row r="101" spans="3:9">
      <c r="C101" s="458" t="str">
        <f>'WS Konsol'!C387</f>
        <v>Voltric Jaya Mandiri, PT</v>
      </c>
      <c r="E101" s="2306">
        <f>'WS Konsol'!M387</f>
        <v>21978000</v>
      </c>
      <c r="G101" s="121">
        <f>'WS Konsol'!AI387</f>
        <v>0</v>
      </c>
      <c r="I101" s="1241" t="s">
        <v>732</v>
      </c>
    </row>
    <row r="102" spans="3:9">
      <c r="C102" s="458" t="str">
        <f>'WS Konsol'!C388</f>
        <v>Mandiri Jaya Perkasa (Sanbe), CV</v>
      </c>
      <c r="E102" s="121">
        <f>'WS Konsol'!M388</f>
        <v>0</v>
      </c>
      <c r="G102" s="121">
        <f>'WS Konsol'!AI388</f>
        <v>93410000</v>
      </c>
      <c r="I102" s="1241" t="s">
        <v>733</v>
      </c>
    </row>
    <row r="103" spans="3:9">
      <c r="C103" s="458" t="str">
        <f>'WS Konsol'!C389</f>
        <v>M. Iqbal</v>
      </c>
      <c r="E103" s="121">
        <f>'WS Konsol'!M389</f>
        <v>0</v>
      </c>
      <c r="G103" s="121">
        <f>'WS Konsol'!AI389</f>
        <v>43566800</v>
      </c>
      <c r="I103" s="1241" t="s">
        <v>734</v>
      </c>
    </row>
    <row r="104" spans="3:9">
      <c r="C104" s="458" t="str">
        <f>'WS Konsol'!C390</f>
        <v>Windu Segara Hatchery, CV</v>
      </c>
      <c r="E104" s="121">
        <f>'WS Konsol'!M390</f>
        <v>0</v>
      </c>
      <c r="G104" s="121">
        <f>'WS Konsol'!AI390</f>
        <v>190050000</v>
      </c>
      <c r="I104" s="1241" t="s">
        <v>735</v>
      </c>
    </row>
    <row r="105" spans="3:9">
      <c r="C105" s="458" t="str">
        <f>'WS Konsol'!C391</f>
        <v>Dinamika Lubsindo Utama, PT</v>
      </c>
      <c r="E105" s="2306">
        <f>'WS Konsol'!M391</f>
        <v>44379395</v>
      </c>
      <c r="G105" s="121">
        <f>'WS Konsol'!AI391</f>
        <v>50335347</v>
      </c>
      <c r="I105" s="1241" t="s">
        <v>736</v>
      </c>
    </row>
    <row r="106" spans="3:9">
      <c r="C106" s="458" t="str">
        <f>'WS Konsol'!C392</f>
        <v>Hendro Hariyanto</v>
      </c>
      <c r="E106" s="121">
        <f>'WS Konsol'!M392</f>
        <v>0</v>
      </c>
      <c r="G106" s="121">
        <f>'WS Konsol'!AI392</f>
        <v>323468632</v>
      </c>
      <c r="I106" s="1241" t="s">
        <v>737</v>
      </c>
    </row>
    <row r="107" spans="3:9">
      <c r="C107" s="458" t="str">
        <f>'WS Konsol'!C393</f>
        <v>Nerimo Ing Pandum CV</v>
      </c>
      <c r="E107" s="121">
        <f>'WS Konsol'!M393</f>
        <v>0</v>
      </c>
      <c r="G107" s="121">
        <f>'WS Konsol'!AI393</f>
        <v>187956458</v>
      </c>
      <c r="I107" s="1241" t="s">
        <v>738</v>
      </c>
    </row>
    <row r="108" spans="3:9">
      <c r="C108" s="458" t="str">
        <f>'WS Konsol'!C394</f>
        <v>Nutritek Pratama Indonesia, PT</v>
      </c>
      <c r="E108" s="2306">
        <f>'WS Konsol'!M394</f>
        <v>9000000</v>
      </c>
      <c r="G108" s="121">
        <f>'WS Konsol'!AI394</f>
        <v>9000000</v>
      </c>
      <c r="I108" s="1241" t="s">
        <v>739</v>
      </c>
    </row>
    <row r="109" spans="3:9" hidden="1">
      <c r="C109" t="str">
        <f>'WS Konsol'!C395</f>
        <v>Krakatau Haura Baraka ,CV</v>
      </c>
      <c r="E109" s="121">
        <f>'WS Konsol'!M395</f>
        <v>0</v>
      </c>
      <c r="G109" s="121">
        <v>0</v>
      </c>
      <c r="I109" s="1241" t="s">
        <v>740</v>
      </c>
    </row>
    <row r="110" spans="3:9" hidden="1">
      <c r="C110" t="str">
        <f>'WS Konsol'!C396</f>
        <v>Censea Inc</v>
      </c>
      <c r="E110" s="121">
        <f>'WS Konsol'!M396</f>
        <v>0</v>
      </c>
      <c r="G110" s="121">
        <v>0</v>
      </c>
      <c r="I110" s="1241" t="s">
        <v>454</v>
      </c>
    </row>
    <row r="111" spans="3:9" hidden="1">
      <c r="C111" t="str">
        <f>'WS Konsol'!C397</f>
        <v>PT Thai Union Kharisma Lestari</v>
      </c>
      <c r="E111" s="121">
        <f>'WS Konsol'!M397</f>
        <v>0</v>
      </c>
      <c r="G111" s="121">
        <v>0</v>
      </c>
      <c r="I111" s="1241" t="s">
        <v>1915</v>
      </c>
    </row>
    <row r="112" spans="3:9" hidden="1">
      <c r="C112" t="str">
        <f>'WS Konsol'!C398</f>
        <v>Andalan Trading Mina, CV</v>
      </c>
      <c r="E112" s="121">
        <f>'WS Konsol'!M398</f>
        <v>0</v>
      </c>
      <c r="G112" s="121">
        <v>0</v>
      </c>
      <c r="I112" s="1241" t="s">
        <v>742</v>
      </c>
    </row>
    <row r="113" spans="3:9" hidden="1">
      <c r="C113" t="str">
        <f>'WS Konsol'!C399</f>
        <v>Gatot Eko Andoyo</v>
      </c>
      <c r="E113" s="121">
        <f>'WS Konsol'!M399</f>
        <v>0</v>
      </c>
      <c r="G113" s="121">
        <v>0</v>
      </c>
      <c r="I113" s="1241" t="s">
        <v>743</v>
      </c>
    </row>
    <row r="114" spans="3:9">
      <c r="C114" t="s">
        <v>663</v>
      </c>
      <c r="E114" s="2306">
        <f>'WS Konsol'!M403</f>
        <v>199585239</v>
      </c>
      <c r="G114" s="121">
        <v>0</v>
      </c>
      <c r="I114" s="1241" t="s">
        <v>663</v>
      </c>
    </row>
    <row r="115" spans="3:9">
      <c r="C115" t="s">
        <v>754</v>
      </c>
      <c r="E115" s="2306">
        <f>'WS Konsol'!M410</f>
        <v>61090000</v>
      </c>
      <c r="G115" s="121">
        <v>0</v>
      </c>
      <c r="I115" s="1241" t="s">
        <v>754</v>
      </c>
    </row>
    <row r="116" spans="3:9">
      <c r="C116" t="s">
        <v>730</v>
      </c>
      <c r="E116" s="2306">
        <f>'WS Konsol'!M412</f>
        <v>71230920</v>
      </c>
      <c r="G116" s="121">
        <v>0</v>
      </c>
      <c r="I116" s="1241" t="s">
        <v>730</v>
      </c>
    </row>
    <row r="117" spans="3:9">
      <c r="C117" t="s">
        <v>757</v>
      </c>
      <c r="E117" s="2306">
        <f>'WS Konsol'!M414</f>
        <v>54835465</v>
      </c>
      <c r="G117" s="121">
        <v>0</v>
      </c>
      <c r="I117" s="1241" t="s">
        <v>757</v>
      </c>
    </row>
    <row r="118" spans="3:9">
      <c r="C118" t="s">
        <v>758</v>
      </c>
      <c r="E118" s="2306">
        <f>'WS Konsol'!M415</f>
        <v>648548775</v>
      </c>
      <c r="G118" s="121">
        <v>0</v>
      </c>
      <c r="I118" s="1241" t="s">
        <v>758</v>
      </c>
    </row>
    <row r="119" spans="3:9">
      <c r="C119" t="s">
        <v>759</v>
      </c>
      <c r="E119" s="2306">
        <f>'WS Konsol'!M416</f>
        <v>29399082</v>
      </c>
      <c r="G119" s="121">
        <v>0</v>
      </c>
      <c r="I119" s="1241" t="s">
        <v>759</v>
      </c>
    </row>
    <row r="120" spans="3:9">
      <c r="C120" s="210" t="s">
        <v>646</v>
      </c>
      <c r="E120" s="2306">
        <f>'WS Konsol'!M300</f>
        <v>355200000</v>
      </c>
      <c r="I120" s="1241"/>
    </row>
    <row r="121" spans="3:9">
      <c r="C121" s="458" t="str">
        <f>'WS Konsol'!C400</f>
        <v>Utang Usaha</v>
      </c>
      <c r="E121" s="121">
        <f>'WS Konsol'!M400</f>
        <v>0</v>
      </c>
      <c r="G121" s="121">
        <f>'WS Konsol'!AI400+451584604</f>
        <v>2451584604</v>
      </c>
      <c r="I121" s="1271" t="s">
        <v>1916</v>
      </c>
    </row>
    <row r="122" spans="3:9">
      <c r="C122" s="458" t="str">
        <f>'WS Konsol'!C401</f>
        <v>Lain-lain (masing-masing di bawah Rp 20.000.000)-IDR</v>
      </c>
      <c r="E122" s="2306">
        <f>'WS Konsol'!M401</f>
        <v>407256517</v>
      </c>
      <c r="G122" s="121">
        <f>'WS Konsol'!AI401-3</f>
        <v>430637267</v>
      </c>
      <c r="I122" s="1271" t="s">
        <v>745</v>
      </c>
    </row>
    <row r="123" spans="3:9">
      <c r="C123" t="str">
        <f>'WS Konsol'!C402</f>
        <v xml:space="preserve">Hutang Lain - Lain ( Penyesuaian Utang PPh Pasal 29) </v>
      </c>
      <c r="E123" s="121">
        <f>'WS Konsol'!M402</f>
        <v>0</v>
      </c>
      <c r="G123" s="121">
        <f>'WS Konsol'!AI402</f>
        <v>0</v>
      </c>
      <c r="I123" s="1271" t="s">
        <v>746</v>
      </c>
    </row>
    <row r="124" spans="3:9" hidden="1">
      <c r="C124" t="str">
        <f>'WS Konsol'!C404</f>
        <v>Global Babel Maritim, PT</v>
      </c>
      <c r="E124" s="121">
        <f>'WS Konsol'!M404</f>
        <v>0</v>
      </c>
      <c r="G124" s="121">
        <f>'WS Konsol'!AI404</f>
        <v>0</v>
      </c>
      <c r="I124" s="1241" t="s">
        <v>748</v>
      </c>
    </row>
    <row r="125" spans="3:9" hidden="1">
      <c r="C125" t="str">
        <f>'WS Konsol'!C405</f>
        <v>Sedulur Bertiga Jaya, PT</v>
      </c>
      <c r="E125" s="121">
        <f>'WS Konsol'!M405</f>
        <v>0</v>
      </c>
      <c r="G125" s="121">
        <f>'WS Konsol'!AI405</f>
        <v>0</v>
      </c>
      <c r="I125" s="1241" t="s">
        <v>749</v>
      </c>
    </row>
    <row r="126" spans="3:9" hidden="1">
      <c r="C126" t="str">
        <f>'WS Konsol'!C406</f>
        <v>Brataco Lampung, PT</v>
      </c>
      <c r="E126" s="121">
        <f>'WS Konsol'!M406</f>
        <v>0</v>
      </c>
      <c r="G126" s="121">
        <f>'WS Konsol'!AI406</f>
        <v>0</v>
      </c>
      <c r="I126" s="1241" t="s">
        <v>750</v>
      </c>
    </row>
    <row r="127" spans="3:9" hidden="1">
      <c r="C127" t="str">
        <f>'WS Konsol'!C407</f>
        <v>Himalaya Everest Jaya, PT</v>
      </c>
      <c r="E127" s="121">
        <f>'WS Konsol'!M407</f>
        <v>0</v>
      </c>
      <c r="G127" s="121">
        <f>'WS Konsol'!AI407</f>
        <v>0</v>
      </c>
      <c r="I127" s="1241" t="s">
        <v>751</v>
      </c>
    </row>
    <row r="128" spans="3:9" hidden="1">
      <c r="C128" t="str">
        <f>'WS Konsol'!C408</f>
        <v>Indokemika Jayatama, PT</v>
      </c>
      <c r="E128" s="121">
        <f>'WS Konsol'!M408</f>
        <v>0</v>
      </c>
      <c r="G128" s="121">
        <f>'WS Konsol'!AI408</f>
        <v>0</v>
      </c>
      <c r="I128" s="1241" t="s">
        <v>752</v>
      </c>
    </row>
    <row r="129" spans="1:10" hidden="1">
      <c r="C129" t="str">
        <f>'WS Konsol'!C409</f>
        <v>Jodabo Sukses, PT</v>
      </c>
      <c r="E129" s="121">
        <f>'WS Konsol'!M409</f>
        <v>0</v>
      </c>
      <c r="G129" s="1243">
        <f>'WS Konsol'!AI409</f>
        <v>0</v>
      </c>
      <c r="I129" s="1241" t="s">
        <v>753</v>
      </c>
    </row>
    <row r="130" spans="1:10" s="342" customFormat="1" ht="15" thickBot="1">
      <c r="C130" s="342" t="s">
        <v>1625</v>
      </c>
      <c r="E130" s="928">
        <f>SUM(E7:E129)</f>
        <v>10364486466</v>
      </c>
      <c r="F130" s="926"/>
      <c r="G130" s="928">
        <f>SUM(G7:G129)</f>
        <v>20407901137</v>
      </c>
      <c r="I130" s="342" t="s">
        <v>1769</v>
      </c>
      <c r="J130" s="1575"/>
    </row>
    <row r="131" spans="1:10" s="1278" customFormat="1" ht="15" thickTop="1">
      <c r="C131" s="1278" t="s">
        <v>1215</v>
      </c>
      <c r="E131" s="1282">
        <f>E130-'WS Konsol'!M417-'WS Konsol'!M425</f>
        <v>0</v>
      </c>
      <c r="F131" s="1282"/>
      <c r="G131" s="1282">
        <f>G130-'WS Konsol'!AI417-'WS Konsol'!AI425</f>
        <v>0</v>
      </c>
      <c r="I131" s="2119"/>
      <c r="J131" s="2118"/>
    </row>
    <row r="133" spans="1:10">
      <c r="A133" s="342" t="s">
        <v>1917</v>
      </c>
    </row>
    <row r="134" spans="1:10">
      <c r="E134" s="926" t="s">
        <v>1626</v>
      </c>
      <c r="G134" s="926" t="s">
        <v>1629</v>
      </c>
    </row>
    <row r="135" spans="1:10">
      <c r="E135" s="1242" t="s">
        <v>1630</v>
      </c>
      <c r="G135" s="1242" t="s">
        <v>1633</v>
      </c>
    </row>
    <row r="137" spans="1:10">
      <c r="C137" t="s">
        <v>1855</v>
      </c>
      <c r="E137" s="121">
        <v>2943699725.21</v>
      </c>
      <c r="F137" s="1256"/>
      <c r="G137" s="1256">
        <v>9413893368</v>
      </c>
      <c r="I137" s="1241" t="s">
        <v>1856</v>
      </c>
    </row>
    <row r="138" spans="1:10">
      <c r="C138" t="s">
        <v>1857</v>
      </c>
      <c r="E138" s="1256"/>
      <c r="F138" s="1256"/>
      <c r="G138" s="1256"/>
      <c r="I138" s="1241" t="s">
        <v>1858</v>
      </c>
    </row>
    <row r="139" spans="1:10">
      <c r="C139" s="1252" t="s">
        <v>1859</v>
      </c>
      <c r="E139" s="121">
        <v>2280717442.9000001</v>
      </c>
      <c r="F139" s="1256"/>
      <c r="G139" s="1256">
        <v>2293429031</v>
      </c>
      <c r="I139" s="1253" t="s">
        <v>1860</v>
      </c>
    </row>
    <row r="140" spans="1:10">
      <c r="C140" s="1252" t="s">
        <v>1861</v>
      </c>
      <c r="E140" s="121">
        <v>1073353781</v>
      </c>
      <c r="F140" s="1256"/>
      <c r="G140" s="1256">
        <v>820703899</v>
      </c>
      <c r="I140" s="1253" t="s">
        <v>1862</v>
      </c>
    </row>
    <row r="141" spans="1:10">
      <c r="C141" s="1252" t="s">
        <v>1863</v>
      </c>
      <c r="E141" s="121">
        <v>92483018</v>
      </c>
      <c r="F141" s="1256"/>
      <c r="G141" s="1256">
        <v>620617659</v>
      </c>
      <c r="I141" s="1253" t="s">
        <v>1864</v>
      </c>
    </row>
    <row r="142" spans="1:10">
      <c r="C142" s="1252" t="s">
        <v>1865</v>
      </c>
      <c r="E142" s="1243">
        <v>222607955</v>
      </c>
      <c r="F142" s="1256"/>
      <c r="G142" s="1255">
        <v>7259257180</v>
      </c>
      <c r="I142" s="1253" t="s">
        <v>1866</v>
      </c>
    </row>
    <row r="143" spans="1:10" ht="15" thickBot="1">
      <c r="C143" s="1254" t="s">
        <v>1625</v>
      </c>
      <c r="D143" s="342"/>
      <c r="E143" s="1264">
        <f>SUM(E137:E142)</f>
        <v>6612861922.1100006</v>
      </c>
      <c r="F143" s="1258"/>
      <c r="G143" s="1264">
        <f>SUM(G137:G142)</f>
        <v>20407901137</v>
      </c>
      <c r="H143" s="342"/>
      <c r="I143" s="1240" t="s">
        <v>252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3894-53D4-466D-A90D-67CBFE117618}">
  <dimension ref="A2:I13"/>
  <sheetViews>
    <sheetView showGridLines="0" workbookViewId="0">
      <selection activeCell="E14" sqref="E14"/>
    </sheetView>
  </sheetViews>
  <sheetFormatPr defaultRowHeight="14.45"/>
  <cols>
    <col min="3" max="3" width="21.5703125" bestFit="1" customWidth="1"/>
    <col min="5" max="5" width="19.5703125" bestFit="1" customWidth="1"/>
    <col min="6" max="6" width="5.5703125" customWidth="1"/>
    <col min="7" max="7" width="19" bestFit="1" customWidth="1"/>
    <col min="8" max="8" width="2.5703125" customWidth="1"/>
    <col min="9" max="9" width="8.5703125" style="1241"/>
  </cols>
  <sheetData>
    <row r="2" spans="1:9">
      <c r="A2" s="1248" t="s">
        <v>1918</v>
      </c>
      <c r="B2" s="1249"/>
      <c r="C2" s="1249"/>
      <c r="D2" s="1249"/>
      <c r="E2" s="1250"/>
      <c r="F2" s="918"/>
      <c r="G2" s="121"/>
    </row>
    <row r="4" spans="1:9">
      <c r="E4" s="926" t="s">
        <v>1626</v>
      </c>
      <c r="F4" s="121"/>
      <c r="G4" s="926" t="s">
        <v>1629</v>
      </c>
    </row>
    <row r="5" spans="1:9">
      <c r="E5" s="1242" t="s">
        <v>1630</v>
      </c>
      <c r="F5" s="121"/>
      <c r="G5" s="1242" t="s">
        <v>1633</v>
      </c>
    </row>
    <row r="6" spans="1:9">
      <c r="C6" s="342" t="s">
        <v>85</v>
      </c>
      <c r="I6" s="1240" t="s">
        <v>1919</v>
      </c>
    </row>
    <row r="7" spans="1:9">
      <c r="C7" s="342" t="s">
        <v>87</v>
      </c>
      <c r="I7" s="1240" t="s">
        <v>1062</v>
      </c>
    </row>
    <row r="8" spans="1:9">
      <c r="C8" t="s">
        <v>1920</v>
      </c>
      <c r="E8" s="121">
        <f>'WS Konsol'!M501</f>
        <v>0</v>
      </c>
      <c r="G8" s="121">
        <f>'WS Konsol'!AI501</f>
        <v>595676695</v>
      </c>
      <c r="I8" s="1241" t="s">
        <v>1920</v>
      </c>
    </row>
    <row r="9" spans="1:9">
      <c r="C9" s="342" t="s">
        <v>1063</v>
      </c>
      <c r="I9" s="1240" t="s">
        <v>1064</v>
      </c>
    </row>
    <row r="10" spans="1:9">
      <c r="C10" t="s">
        <v>701</v>
      </c>
      <c r="E10" s="1243">
        <f>'WS Konsol'!M424</f>
        <v>0</v>
      </c>
      <c r="G10" s="1243">
        <f>'WS Konsol'!AI424</f>
        <v>41000000</v>
      </c>
      <c r="I10" s="1241" t="s">
        <v>701</v>
      </c>
    </row>
    <row r="11" spans="1:9" s="342" customFormat="1" ht="15" thickBot="1">
      <c r="C11" s="342" t="s">
        <v>1186</v>
      </c>
      <c r="E11" s="1273">
        <f>SUM(E8:E10)</f>
        <v>0</v>
      </c>
      <c r="G11" s="1273">
        <f>SUM(G8:G10)</f>
        <v>636676695</v>
      </c>
      <c r="I11" s="1240" t="s">
        <v>1187</v>
      </c>
    </row>
    <row r="12" spans="1:9" s="342" customFormat="1" ht="25.5" customHeight="1" thickBot="1">
      <c r="C12" s="342" t="s">
        <v>1796</v>
      </c>
      <c r="E12" s="1272">
        <f>E11</f>
        <v>0</v>
      </c>
      <c r="G12" s="1272">
        <f>G11</f>
        <v>636676695</v>
      </c>
      <c r="I12" s="1240" t="s">
        <v>1769</v>
      </c>
    </row>
    <row r="13" spans="1:9" s="849" customFormat="1" ht="15" thickTop="1">
      <c r="C13" s="1278" t="s">
        <v>1215</v>
      </c>
      <c r="E13" s="854">
        <f>E12-'WS Konsol'!M424-'WS Konsol'!M501</f>
        <v>0</v>
      </c>
      <c r="G13" s="854">
        <f>G12-'WS Konsol'!AI424-'WS Konsol'!AI501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FCEC-9925-4642-8141-B57E5210B279}">
  <dimension ref="A2:I15"/>
  <sheetViews>
    <sheetView showGridLines="0" workbookViewId="0">
      <selection activeCell="E15" sqref="E15"/>
    </sheetView>
  </sheetViews>
  <sheetFormatPr defaultRowHeight="14.45"/>
  <cols>
    <col min="1" max="1" width="12.42578125" bestFit="1" customWidth="1"/>
    <col min="3" max="3" width="22.5703125" bestFit="1" customWidth="1"/>
    <col min="5" max="5" width="19.5703125" bestFit="1" customWidth="1"/>
    <col min="6" max="6" width="3.5703125" customWidth="1"/>
    <col min="7" max="7" width="19" bestFit="1" customWidth="1"/>
    <col min="8" max="8" width="3.42578125" customWidth="1"/>
    <col min="9" max="9" width="19.5703125" style="1241" bestFit="1" customWidth="1"/>
  </cols>
  <sheetData>
    <row r="2" spans="1:9">
      <c r="A2" s="1248" t="s">
        <v>1921</v>
      </c>
      <c r="B2" s="1249"/>
      <c r="C2" s="1249"/>
      <c r="D2" s="1249"/>
      <c r="E2" s="1250"/>
      <c r="F2" s="918"/>
      <c r="G2" s="121"/>
    </row>
    <row r="4" spans="1:9">
      <c r="E4" s="926" t="s">
        <v>1626</v>
      </c>
      <c r="F4" s="121"/>
      <c r="G4" s="926" t="s">
        <v>1629</v>
      </c>
    </row>
    <row r="5" spans="1:9">
      <c r="E5" s="1242" t="s">
        <v>1630</v>
      </c>
      <c r="F5" s="121"/>
      <c r="G5" s="1242" t="s">
        <v>1633</v>
      </c>
    </row>
    <row r="7" spans="1:9">
      <c r="C7" t="s">
        <v>791</v>
      </c>
      <c r="E7" s="2280">
        <f>'WS Konsol'!M455</f>
        <v>2425750415</v>
      </c>
      <c r="F7" s="121"/>
      <c r="G7" s="121">
        <f>'WS Konsol'!AI455</f>
        <v>401613594</v>
      </c>
      <c r="I7" s="1241" t="s">
        <v>1922</v>
      </c>
    </row>
    <row r="8" spans="1:9">
      <c r="C8" t="s">
        <v>1923</v>
      </c>
      <c r="E8" s="121">
        <f>'WS Konsol'!O462</f>
        <v>547179892</v>
      </c>
      <c r="F8" s="121"/>
      <c r="G8" s="121">
        <v>603502748</v>
      </c>
      <c r="I8" s="1241" t="s">
        <v>1924</v>
      </c>
    </row>
    <row r="9" spans="1:9">
      <c r="C9" t="s">
        <v>792</v>
      </c>
      <c r="E9" s="2280">
        <f>'WS Konsol'!M456</f>
        <v>1035034807</v>
      </c>
      <c r="F9" s="121"/>
      <c r="G9" s="121">
        <f>'WS Konsol'!AI456</f>
        <v>842999545</v>
      </c>
      <c r="I9" s="1241" t="s">
        <v>1925</v>
      </c>
    </row>
    <row r="10" spans="1:9">
      <c r="C10" t="s">
        <v>1926</v>
      </c>
      <c r="E10" s="121">
        <f>'WS Konsol'!M459</f>
        <v>895388220</v>
      </c>
      <c r="F10" s="121"/>
      <c r="G10" s="121">
        <v>786950000</v>
      </c>
      <c r="I10" s="1241" t="s">
        <v>1927</v>
      </c>
    </row>
    <row r="11" spans="1:9">
      <c r="C11" t="s">
        <v>1928</v>
      </c>
      <c r="E11" s="121">
        <f>'WS Konsol'!M458</f>
        <v>32911035</v>
      </c>
      <c r="F11" s="121"/>
      <c r="G11" s="121">
        <f>'WS Konsol'!AI458</f>
        <v>50467785</v>
      </c>
      <c r="I11" s="1241" t="s">
        <v>1929</v>
      </c>
    </row>
    <row r="12" spans="1:9">
      <c r="C12" t="s">
        <v>1930</v>
      </c>
      <c r="E12" s="121">
        <f>'WS Konsol'!M464</f>
        <v>5365000</v>
      </c>
      <c r="F12" s="121"/>
      <c r="G12" s="121">
        <f>'WS Konsol'!AI464</f>
        <v>3865000</v>
      </c>
      <c r="I12" s="1241" t="s">
        <v>1931</v>
      </c>
    </row>
    <row r="13" spans="1:9">
      <c r="C13" t="s">
        <v>801</v>
      </c>
      <c r="E13" s="1243">
        <f>'WS Konsol'!M465+'WS Konsol'!M463</f>
        <v>29209932</v>
      </c>
      <c r="F13" s="121"/>
      <c r="G13" s="1243">
        <v>181445316</v>
      </c>
      <c r="I13" s="1241" t="s">
        <v>925</v>
      </c>
    </row>
    <row r="14" spans="1:9" s="342" customFormat="1" ht="30" customHeight="1" thickBot="1">
      <c r="C14" s="342" t="s">
        <v>1796</v>
      </c>
      <c r="E14" s="1272">
        <f>SUM(E7:E13)</f>
        <v>4970839301</v>
      </c>
      <c r="G14" s="1272">
        <f>SUM(G7:G13)</f>
        <v>2870843988</v>
      </c>
      <c r="I14" s="1240" t="s">
        <v>1769</v>
      </c>
    </row>
    <row r="15" spans="1:9" ht="15" thickTop="1">
      <c r="E15" s="853">
        <f>E14-'WS Konsol'!M467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7640-24AC-4CD1-9799-3F2217D4A9FD}">
  <dimension ref="A2:I12"/>
  <sheetViews>
    <sheetView showGridLines="0" workbookViewId="0">
      <selection activeCell="E10" sqref="E10"/>
    </sheetView>
  </sheetViews>
  <sheetFormatPr defaultRowHeight="14.45"/>
  <cols>
    <col min="3" max="3" width="24" bestFit="1" customWidth="1"/>
    <col min="5" max="5" width="19.5703125" bestFit="1" customWidth="1"/>
    <col min="6" max="6" width="6.5703125" customWidth="1"/>
    <col min="7" max="7" width="19" bestFit="1" customWidth="1"/>
    <col min="8" max="8" width="2.42578125" customWidth="1"/>
    <col min="9" max="9" width="22" bestFit="1" customWidth="1"/>
  </cols>
  <sheetData>
    <row r="2" spans="1:9">
      <c r="A2" s="1248" t="s">
        <v>1932</v>
      </c>
      <c r="B2" s="1249"/>
      <c r="C2" s="1249"/>
      <c r="D2" s="1249"/>
      <c r="E2" s="1250"/>
      <c r="F2" s="918"/>
      <c r="G2" s="121"/>
      <c r="I2" s="1241"/>
    </row>
    <row r="5" spans="1:9" s="342" customFormat="1">
      <c r="E5" s="926" t="s">
        <v>1626</v>
      </c>
      <c r="F5" s="121"/>
      <c r="G5" s="926" t="s">
        <v>1629</v>
      </c>
    </row>
    <row r="6" spans="1:9">
      <c r="E6" s="1242" t="s">
        <v>1630</v>
      </c>
      <c r="F6" s="121"/>
      <c r="G6" s="1242" t="s">
        <v>1633</v>
      </c>
    </row>
    <row r="8" spans="1:9">
      <c r="C8" t="s">
        <v>1933</v>
      </c>
      <c r="I8" s="1241" t="s">
        <v>1934</v>
      </c>
    </row>
    <row r="9" spans="1:9">
      <c r="C9" t="s">
        <v>1935</v>
      </c>
      <c r="I9" s="1241" t="s">
        <v>1936</v>
      </c>
    </row>
    <row r="10" spans="1:9">
      <c r="C10" t="s">
        <v>1937</v>
      </c>
      <c r="E10" s="1243">
        <f>'WS Konsol'!M463</f>
        <v>0</v>
      </c>
      <c r="G10" s="1243">
        <f>'WS Konsol'!AI463</f>
        <v>76360023</v>
      </c>
      <c r="I10" s="1241" t="s">
        <v>1938</v>
      </c>
    </row>
    <row r="11" spans="1:9" s="342" customFormat="1" ht="27.6" customHeight="1" thickBot="1">
      <c r="C11" s="342" t="s">
        <v>1796</v>
      </c>
      <c r="E11" s="1272">
        <f>SUM(E10)</f>
        <v>0</v>
      </c>
      <c r="G11" s="1272">
        <f>SUM(G10)</f>
        <v>76360023</v>
      </c>
      <c r="I11" s="1240" t="s">
        <v>1769</v>
      </c>
    </row>
    <row r="12" spans="1:9" ht="15" thickTop="1"/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B0A5-F658-4042-8B67-310A2256624B}">
  <dimension ref="A2:I13"/>
  <sheetViews>
    <sheetView showGridLines="0" workbookViewId="0">
      <selection activeCell="E7" sqref="E7"/>
    </sheetView>
  </sheetViews>
  <sheetFormatPr defaultRowHeight="14.45"/>
  <cols>
    <col min="3" max="3" width="27.5703125" bestFit="1" customWidth="1"/>
    <col min="5" max="5" width="19.5703125" bestFit="1" customWidth="1"/>
    <col min="6" max="6" width="4.5703125" customWidth="1"/>
    <col min="7" max="7" width="19" bestFit="1" customWidth="1"/>
    <col min="8" max="8" width="2.5703125" customWidth="1"/>
    <col min="9" max="9" width="24.5703125" bestFit="1" customWidth="1"/>
  </cols>
  <sheetData>
    <row r="2" spans="1:9">
      <c r="A2" s="1248" t="s">
        <v>1939</v>
      </c>
      <c r="B2" s="1249"/>
      <c r="C2" s="1249"/>
      <c r="D2" s="1249"/>
      <c r="E2" s="1250"/>
      <c r="F2" s="918"/>
      <c r="G2" s="121"/>
      <c r="I2" s="1241"/>
    </row>
    <row r="4" spans="1:9">
      <c r="E4" s="926" t="s">
        <v>1626</v>
      </c>
      <c r="F4" s="121"/>
      <c r="G4" s="926" t="s">
        <v>1629</v>
      </c>
    </row>
    <row r="5" spans="1:9">
      <c r="E5" s="1242" t="s">
        <v>1630</v>
      </c>
      <c r="F5" s="121"/>
      <c r="G5" s="1242" t="s">
        <v>1633</v>
      </c>
    </row>
    <row r="7" spans="1:9">
      <c r="C7" t="s">
        <v>1940</v>
      </c>
      <c r="E7" s="1243">
        <f>'WS Konsol'!M470</f>
        <v>0</v>
      </c>
      <c r="F7" s="121"/>
      <c r="G7" s="1243">
        <f>'WS Konsol'!AI470</f>
        <v>624277457</v>
      </c>
      <c r="I7" s="1241" t="s">
        <v>1941</v>
      </c>
    </row>
    <row r="8" spans="1:9" s="342" customFormat="1" ht="21.6" customHeight="1">
      <c r="C8" s="342" t="s">
        <v>1796</v>
      </c>
      <c r="E8" s="1283">
        <f>SUM(E7)</f>
        <v>0</v>
      </c>
      <c r="F8" s="926"/>
      <c r="G8" s="1283">
        <f>SUM(G7)</f>
        <v>624277457</v>
      </c>
      <c r="I8" s="342" t="s">
        <v>1769</v>
      </c>
    </row>
    <row r="9" spans="1:9" ht="20.100000000000001" customHeight="1">
      <c r="C9" t="s">
        <v>1942</v>
      </c>
      <c r="E9" s="121"/>
      <c r="F9" s="121"/>
      <c r="G9" s="121"/>
      <c r="I9" t="s">
        <v>1943</v>
      </c>
    </row>
    <row r="10" spans="1:9">
      <c r="C10" t="s">
        <v>1944</v>
      </c>
      <c r="E10" s="121"/>
      <c r="F10" s="121"/>
      <c r="G10" s="121"/>
      <c r="I10" t="s">
        <v>1945</v>
      </c>
    </row>
    <row r="11" spans="1:9">
      <c r="C11" t="s">
        <v>1940</v>
      </c>
      <c r="E11" s="1251">
        <v>0</v>
      </c>
      <c r="F11" s="121"/>
      <c r="G11" s="1251">
        <v>-624277457</v>
      </c>
      <c r="I11" t="s">
        <v>1941</v>
      </c>
    </row>
    <row r="12" spans="1:9" s="342" customFormat="1" ht="23.85" customHeight="1" thickBot="1">
      <c r="C12" s="342" t="s">
        <v>1946</v>
      </c>
      <c r="E12" s="928">
        <f>SUM(E8:E11)</f>
        <v>0</v>
      </c>
      <c r="F12" s="926"/>
      <c r="G12" s="928">
        <f>SUM(G8:G11)</f>
        <v>0</v>
      </c>
      <c r="I12" s="342" t="s">
        <v>1947</v>
      </c>
    </row>
    <row r="13" spans="1:9" ht="15" thickTop="1"/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418F-BE9A-4507-A2C8-83957E8D43A2}">
  <dimension ref="A2:M51"/>
  <sheetViews>
    <sheetView showGridLines="0" workbookViewId="0">
      <selection activeCell="E19" sqref="E19"/>
    </sheetView>
  </sheetViews>
  <sheetFormatPr defaultRowHeight="14.45"/>
  <cols>
    <col min="3" max="3" width="17.42578125" bestFit="1" customWidth="1"/>
    <col min="4" max="4" width="6" customWidth="1"/>
    <col min="5" max="5" width="19.5703125" bestFit="1" customWidth="1"/>
    <col min="6" max="6" width="2.5703125" customWidth="1"/>
    <col min="7" max="7" width="19.5703125" bestFit="1" customWidth="1"/>
    <col min="8" max="8" width="2.5703125" customWidth="1"/>
    <col min="9" max="9" width="19" bestFit="1" customWidth="1"/>
    <col min="10" max="10" width="2.5703125" customWidth="1"/>
    <col min="11" max="11" width="17" style="1241" bestFit="1" customWidth="1"/>
    <col min="13" max="13" width="14.5703125" bestFit="1" customWidth="1"/>
  </cols>
  <sheetData>
    <row r="2" spans="1:11">
      <c r="A2" s="1248" t="s">
        <v>808</v>
      </c>
      <c r="B2" s="1249"/>
      <c r="C2" s="1249"/>
      <c r="D2" s="1249"/>
      <c r="E2" s="1250"/>
      <c r="F2" s="918"/>
      <c r="G2" s="1250"/>
      <c r="H2" s="918"/>
      <c r="I2" s="121"/>
    </row>
    <row r="4" spans="1:11">
      <c r="A4" s="342" t="s">
        <v>1948</v>
      </c>
    </row>
    <row r="6" spans="1:11">
      <c r="B6" s="1241" t="s">
        <v>1949</v>
      </c>
    </row>
    <row r="8" spans="1:11">
      <c r="E8" s="2233">
        <v>45657</v>
      </c>
      <c r="F8" s="121"/>
      <c r="G8" s="926" t="s">
        <v>1627</v>
      </c>
      <c r="H8" s="121"/>
      <c r="I8" s="926" t="s">
        <v>1629</v>
      </c>
    </row>
    <row r="9" spans="1:11">
      <c r="E9" s="1242"/>
      <c r="F9" s="121"/>
      <c r="G9" s="1242" t="s">
        <v>1631</v>
      </c>
      <c r="H9" s="121"/>
      <c r="I9" s="1242" t="s">
        <v>1633</v>
      </c>
    </row>
    <row r="12" spans="1:11">
      <c r="C12" t="s">
        <v>1950</v>
      </c>
      <c r="E12" s="853">
        <f>'WS Konsol'!M281</f>
        <v>44349698871</v>
      </c>
      <c r="G12" s="853">
        <f>'WS Konsol'!P281</f>
        <v>24548186154</v>
      </c>
      <c r="I12" s="912">
        <v>61459107466</v>
      </c>
      <c r="K12" s="1241" t="s">
        <v>1951</v>
      </c>
    </row>
    <row r="13" spans="1:11">
      <c r="C13" t="s">
        <v>1952</v>
      </c>
      <c r="E13" s="853">
        <f>'WS Konsol'!M282</f>
        <v>0</v>
      </c>
      <c r="G13" s="853">
        <f>'WS Konsol'!P282</f>
        <v>0</v>
      </c>
      <c r="K13" s="1241" t="s">
        <v>1953</v>
      </c>
    </row>
    <row r="14" spans="1:11">
      <c r="C14" t="s">
        <v>1954</v>
      </c>
      <c r="E14" s="853">
        <f>'WS Konsol'!M283</f>
        <v>0</v>
      </c>
      <c r="G14" s="853">
        <f>'WS Konsol'!P283</f>
        <v>0</v>
      </c>
      <c r="K14" s="1241" t="s">
        <v>1955</v>
      </c>
    </row>
    <row r="15" spans="1:11">
      <c r="C15" t="s">
        <v>1956</v>
      </c>
      <c r="E15" s="853">
        <f>'WS Konsol'!M284</f>
        <v>27588534000</v>
      </c>
      <c r="G15" s="853">
        <f>'WS Konsol'!P284</f>
        <v>30967888000</v>
      </c>
      <c r="I15" s="912">
        <v>8600000000</v>
      </c>
      <c r="K15" s="1241" t="s">
        <v>1957</v>
      </c>
    </row>
    <row r="16" spans="1:11">
      <c r="C16" t="s">
        <v>1950</v>
      </c>
      <c r="E16" s="853">
        <f>'WS Konsol'!M285</f>
        <v>64631838000</v>
      </c>
      <c r="G16" s="853">
        <f>'WS Konsol'!P285</f>
        <v>22648665000</v>
      </c>
      <c r="K16" s="1241" t="s">
        <v>1951</v>
      </c>
    </row>
    <row r="17" spans="2:13">
      <c r="C17" t="s">
        <v>1958</v>
      </c>
      <c r="E17" s="853">
        <f>'WS Konsol'!M286</f>
        <v>14852878000</v>
      </c>
      <c r="G17" s="853">
        <f>'WS Konsol'!P286</f>
        <v>0</v>
      </c>
      <c r="I17" s="912">
        <v>29290400000</v>
      </c>
      <c r="K17" s="1241" t="s">
        <v>1959</v>
      </c>
    </row>
    <row r="18" spans="2:13">
      <c r="C18" t="str">
        <f>'WS Konsol'!C284</f>
        <v>ARF BTPN USD</v>
      </c>
      <c r="E18" s="853">
        <f>'WS Konsol'!M284</f>
        <v>27588534000</v>
      </c>
      <c r="G18" s="853">
        <f>'WS Konsol'!P284</f>
        <v>30967888000</v>
      </c>
      <c r="I18" s="912">
        <v>15924728000</v>
      </c>
      <c r="K18" s="1241" t="s">
        <v>630</v>
      </c>
    </row>
    <row r="19" spans="2:13">
      <c r="C19" t="str">
        <f>'WS Konsol'!C285</f>
        <v>PSF USD BTPN</v>
      </c>
      <c r="E19" s="853">
        <f>'WS Konsol'!M285</f>
        <v>64631838000</v>
      </c>
      <c r="G19" s="853">
        <f>'WS Konsol'!P285</f>
        <v>22648665000</v>
      </c>
      <c r="I19" s="912">
        <v>20494030400</v>
      </c>
      <c r="K19" s="1241" t="s">
        <v>631</v>
      </c>
    </row>
    <row r="20" spans="2:13" s="342" customFormat="1" ht="20.85" customHeight="1" thickBot="1">
      <c r="C20" s="342" t="s">
        <v>1796</v>
      </c>
      <c r="E20" s="1272">
        <f>SUM(E12:E19)</f>
        <v>243643320871</v>
      </c>
      <c r="G20" s="1272">
        <f>SUM(G12:G19)</f>
        <v>131781292154</v>
      </c>
      <c r="I20" s="1286">
        <f>SUM(I12:I19)</f>
        <v>135768265866</v>
      </c>
      <c r="K20" s="1240" t="s">
        <v>1821</v>
      </c>
    </row>
    <row r="21" spans="2:13" s="1278" customFormat="1" ht="15" thickTop="1">
      <c r="C21" s="1278" t="s">
        <v>1780</v>
      </c>
      <c r="E21" s="1285">
        <f>E20-'BS Konsol-Des 24'!G55</f>
        <v>12371482950</v>
      </c>
      <c r="G21" s="1285">
        <f>G20-'WS Konsol'!P288</f>
        <v>31616553000</v>
      </c>
      <c r="I21" s="854"/>
      <c r="K21" s="1241"/>
    </row>
    <row r="22" spans="2:13" s="1278" customFormat="1">
      <c r="E22" s="1285"/>
      <c r="G22" s="1285"/>
      <c r="I22" s="854"/>
      <c r="K22" s="1240"/>
    </row>
    <row r="24" spans="2:13">
      <c r="B24" s="1241" t="s">
        <v>1960</v>
      </c>
    </row>
    <row r="25" spans="2:13">
      <c r="E25" s="926" t="s">
        <v>1627</v>
      </c>
      <c r="F25" s="121"/>
      <c r="G25" s="926" t="s">
        <v>1627</v>
      </c>
      <c r="H25" s="121"/>
      <c r="I25" s="926" t="s">
        <v>1629</v>
      </c>
    </row>
    <row r="26" spans="2:13">
      <c r="E26" s="1242" t="s">
        <v>1631</v>
      </c>
      <c r="F26" s="121"/>
      <c r="G26" s="1242" t="s">
        <v>1631</v>
      </c>
      <c r="H26" s="121"/>
      <c r="I26" s="1242" t="s">
        <v>1633</v>
      </c>
    </row>
    <row r="27" spans="2:13">
      <c r="C27" t="s">
        <v>1961</v>
      </c>
      <c r="E27" s="853">
        <f>'WS Konsol'!K274</f>
        <v>0</v>
      </c>
      <c r="G27" s="853">
        <f>'WS Konsol'!M274</f>
        <v>39848889050</v>
      </c>
      <c r="I27" s="912">
        <v>18083600543</v>
      </c>
      <c r="K27" s="1241" t="s">
        <v>1961</v>
      </c>
    </row>
    <row r="28" spans="2:13">
      <c r="C28" t="s">
        <v>1962</v>
      </c>
      <c r="K28" s="1241" t="s">
        <v>1963</v>
      </c>
    </row>
    <row r="29" spans="2:13">
      <c r="C29" t="s">
        <v>1956</v>
      </c>
      <c r="E29" s="853">
        <f>'WS Konsol'!K275</f>
        <v>0</v>
      </c>
      <c r="G29" s="853">
        <f>'WS Konsol'!M275</f>
        <v>17650000000</v>
      </c>
      <c r="I29" s="912">
        <v>29800000000</v>
      </c>
      <c r="K29" s="1241" t="s">
        <v>1957</v>
      </c>
    </row>
    <row r="30" spans="2:13">
      <c r="C30" t="s">
        <v>1737</v>
      </c>
      <c r="E30" s="853">
        <f>'WS Konsol'!K286</f>
        <v>0</v>
      </c>
      <c r="G30" s="853">
        <f>'WS Konsol'!M286</f>
        <v>14852878000</v>
      </c>
      <c r="I30" s="912">
        <v>1572432000</v>
      </c>
      <c r="K30" s="1241" t="s">
        <v>1737</v>
      </c>
      <c r="M30" s="853">
        <f>G30+G31</f>
        <v>79484716000</v>
      </c>
    </row>
    <row r="31" spans="2:13">
      <c r="C31" t="s">
        <v>1740</v>
      </c>
      <c r="E31" s="853">
        <f>'WS Konsol'!K285</f>
        <v>0</v>
      </c>
      <c r="G31" s="853">
        <f>'WS Konsol'!M285</f>
        <v>64631838000</v>
      </c>
      <c r="I31" s="912">
        <v>10217416280</v>
      </c>
      <c r="K31" s="1241" t="s">
        <v>1740</v>
      </c>
    </row>
    <row r="32" spans="2:13">
      <c r="C32" t="s">
        <v>623</v>
      </c>
      <c r="E32" s="853">
        <f>'WS Konsol'!K278</f>
        <v>0</v>
      </c>
      <c r="G32" s="853">
        <f>'WS Konsol'!M278</f>
        <v>0</v>
      </c>
      <c r="I32" s="912">
        <v>3807894064</v>
      </c>
      <c r="K32" s="1241" t="s">
        <v>623</v>
      </c>
    </row>
    <row r="33" spans="1:11" s="342" customFormat="1" ht="25.35" customHeight="1" thickBot="1">
      <c r="C33" s="342" t="s">
        <v>1186</v>
      </c>
      <c r="E33" s="1272">
        <f>SUM(E27:E32)</f>
        <v>0</v>
      </c>
      <c r="G33" s="1272">
        <f>SUM(G27:G32)</f>
        <v>136983605050</v>
      </c>
      <c r="I33" s="1272">
        <f>SUM(I27:I32)</f>
        <v>63481342887</v>
      </c>
      <c r="K33" s="1240" t="s">
        <v>1821</v>
      </c>
    </row>
    <row r="34" spans="1:11" ht="15" thickTop="1">
      <c r="C34" s="1278" t="s">
        <v>1780</v>
      </c>
      <c r="E34" s="853">
        <f>E33-'WS Konsol'!K288</f>
        <v>0</v>
      </c>
      <c r="G34" s="853">
        <f>G33-'WS Konsol'!M288</f>
        <v>-94288232871</v>
      </c>
    </row>
    <row r="35" spans="1:11" s="342" customFormat="1" ht="15" thickBot="1">
      <c r="C35" s="342" t="s">
        <v>1796</v>
      </c>
      <c r="E35" s="1287">
        <f>E33+E20</f>
        <v>243643320871</v>
      </c>
      <c r="G35" s="1287">
        <f>G33+G20</f>
        <v>268764897204</v>
      </c>
      <c r="I35" s="1287">
        <f>I33+I20</f>
        <v>199249608753</v>
      </c>
      <c r="K35" s="1240" t="s">
        <v>1769</v>
      </c>
    </row>
    <row r="36" spans="1:11" ht="15" thickTop="1">
      <c r="C36" s="1278" t="s">
        <v>1780</v>
      </c>
      <c r="E36" s="853">
        <f>E35-'WS Konsol'!K288</f>
        <v>243643320871</v>
      </c>
      <c r="G36" s="853">
        <f>G35-'WS Konsol'!M288</f>
        <v>37493059283</v>
      </c>
      <c r="I36" s="853">
        <f>I35-'WS Konsol'!AI288</f>
        <v>0</v>
      </c>
    </row>
    <row r="38" spans="1:11">
      <c r="E38" s="853"/>
      <c r="G38" s="853"/>
    </row>
    <row r="40" spans="1:11">
      <c r="A40" s="342" t="s">
        <v>1964</v>
      </c>
    </row>
    <row r="41" spans="1:11">
      <c r="A41" s="342"/>
    </row>
    <row r="42" spans="1:11">
      <c r="A42" s="342"/>
      <c r="B42" s="1241" t="s">
        <v>1960</v>
      </c>
    </row>
    <row r="43" spans="1:11">
      <c r="E43" s="926" t="s">
        <v>1626</v>
      </c>
      <c r="F43" s="121"/>
      <c r="G43" s="926" t="s">
        <v>1626</v>
      </c>
      <c r="H43" s="121"/>
      <c r="I43" s="926" t="s">
        <v>1629</v>
      </c>
    </row>
    <row r="44" spans="1:11">
      <c r="E44" s="1242" t="s">
        <v>1630</v>
      </c>
      <c r="F44" s="121"/>
      <c r="G44" s="1242" t="s">
        <v>1630</v>
      </c>
      <c r="H44" s="121"/>
      <c r="I44" s="1242" t="s">
        <v>1633</v>
      </c>
    </row>
    <row r="46" spans="1:11">
      <c r="C46" s="342" t="s">
        <v>1965</v>
      </c>
      <c r="E46" s="121">
        <v>0</v>
      </c>
      <c r="G46" s="121">
        <v>0</v>
      </c>
      <c r="I46" s="927">
        <v>380789406</v>
      </c>
      <c r="K46" s="1240" t="s">
        <v>1965</v>
      </c>
    </row>
    <row r="47" spans="1:11">
      <c r="C47" t="s">
        <v>1966</v>
      </c>
      <c r="E47" s="121"/>
      <c r="G47" s="121"/>
      <c r="I47" s="121"/>
      <c r="K47" s="1241" t="s">
        <v>1967</v>
      </c>
    </row>
    <row r="48" spans="1:11">
      <c r="C48" t="s">
        <v>1968</v>
      </c>
      <c r="E48" s="121"/>
      <c r="G48" s="121"/>
      <c r="I48" s="121"/>
      <c r="K48" s="1241" t="s">
        <v>1969</v>
      </c>
    </row>
    <row r="49" spans="3:11">
      <c r="C49" t="s">
        <v>1970</v>
      </c>
      <c r="E49" s="121">
        <v>0</v>
      </c>
      <c r="G49" s="121">
        <v>0</v>
      </c>
      <c r="I49" s="1251">
        <v>-380789406</v>
      </c>
      <c r="K49" s="1241" t="s">
        <v>1971</v>
      </c>
    </row>
    <row r="50" spans="3:11" s="342" customFormat="1">
      <c r="C50" s="342" t="s">
        <v>1839</v>
      </c>
      <c r="E50" s="1288">
        <f>SUM(E46:E49)</f>
        <v>0</v>
      </c>
      <c r="G50" s="1288">
        <f>SUM(G46:G49)</f>
        <v>0</v>
      </c>
      <c r="I50" s="1288">
        <f>SUM(I46:I49)</f>
        <v>0</v>
      </c>
      <c r="K50" s="1240" t="s">
        <v>1821</v>
      </c>
    </row>
    <row r="51" spans="3:11" s="342" customFormat="1">
      <c r="C51" s="342" t="s">
        <v>1796</v>
      </c>
      <c r="E51" s="1288">
        <f>E50</f>
        <v>0</v>
      </c>
      <c r="G51" s="1288">
        <f>G50</f>
        <v>0</v>
      </c>
      <c r="I51" s="1288">
        <f>I50</f>
        <v>0</v>
      </c>
      <c r="K51" s="1240" t="s">
        <v>1769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7C68-A2A4-4D93-AB02-B55F24F80802}">
  <dimension ref="A2:I34"/>
  <sheetViews>
    <sheetView showGridLines="0" workbookViewId="0">
      <selection activeCell="E53" sqref="E53"/>
    </sheetView>
  </sheetViews>
  <sheetFormatPr defaultRowHeight="14.45"/>
  <cols>
    <col min="1" max="1" width="9.5703125" customWidth="1"/>
    <col min="3" max="3" width="23.5703125" bestFit="1" customWidth="1"/>
    <col min="4" max="4" width="5.42578125" customWidth="1"/>
    <col min="5" max="5" width="19.5703125" bestFit="1" customWidth="1"/>
    <col min="6" max="6" width="5.5703125" customWidth="1"/>
    <col min="7" max="7" width="19" bestFit="1" customWidth="1"/>
    <col min="8" max="8" width="5.5703125" customWidth="1"/>
    <col min="9" max="9" width="16.42578125" style="1241" customWidth="1"/>
  </cols>
  <sheetData>
    <row r="2" spans="1:9">
      <c r="A2" s="1248" t="s">
        <v>1972</v>
      </c>
      <c r="B2" s="1249"/>
      <c r="C2" s="1249"/>
      <c r="D2" s="1249"/>
      <c r="E2" s="1250"/>
      <c r="F2" s="918"/>
      <c r="G2" s="121"/>
    </row>
    <row r="4" spans="1:9">
      <c r="A4" s="1241" t="s">
        <v>1973</v>
      </c>
    </row>
    <row r="5" spans="1:9">
      <c r="A5" t="s">
        <v>468</v>
      </c>
    </row>
    <row r="6" spans="1:9">
      <c r="E6" s="926" t="s">
        <v>1626</v>
      </c>
      <c r="F6" s="121"/>
      <c r="G6" s="926" t="s">
        <v>1629</v>
      </c>
    </row>
    <row r="7" spans="1:9">
      <c r="E7" s="1242" t="s">
        <v>1630</v>
      </c>
      <c r="F7" s="121"/>
      <c r="G7" s="1242" t="s">
        <v>1633</v>
      </c>
    </row>
    <row r="8" spans="1:9">
      <c r="C8" t="s">
        <v>323</v>
      </c>
      <c r="E8" s="121">
        <f>G16</f>
        <v>9301883257</v>
      </c>
      <c r="F8" s="121"/>
      <c r="G8" s="121">
        <v>8419134989</v>
      </c>
      <c r="I8" s="1241" t="s">
        <v>1974</v>
      </c>
    </row>
    <row r="9" spans="1:9">
      <c r="C9" t="s">
        <v>324</v>
      </c>
      <c r="E9" s="121"/>
      <c r="F9" s="121"/>
      <c r="G9" s="121"/>
      <c r="I9" s="1241" t="s">
        <v>1975</v>
      </c>
    </row>
    <row r="10" spans="1:9">
      <c r="C10" t="s">
        <v>325</v>
      </c>
      <c r="E10" s="121">
        <v>0</v>
      </c>
      <c r="F10" s="121"/>
      <c r="G10" s="121">
        <v>872138766</v>
      </c>
      <c r="I10" s="1241" t="s">
        <v>1976</v>
      </c>
    </row>
    <row r="11" spans="1:9">
      <c r="C11" t="s">
        <v>1977</v>
      </c>
      <c r="E11" s="121"/>
      <c r="F11" s="121"/>
      <c r="G11" s="121"/>
      <c r="I11" s="1241" t="s">
        <v>1242</v>
      </c>
    </row>
    <row r="12" spans="1:9">
      <c r="C12" t="s">
        <v>327</v>
      </c>
      <c r="E12" s="121"/>
      <c r="F12" s="121"/>
      <c r="G12" s="121"/>
      <c r="I12" s="1241" t="s">
        <v>1978</v>
      </c>
    </row>
    <row r="13" spans="1:9">
      <c r="C13" t="s">
        <v>328</v>
      </c>
      <c r="E13" s="121">
        <v>0</v>
      </c>
      <c r="F13" s="121"/>
      <c r="G13" s="121">
        <v>0</v>
      </c>
      <c r="I13" s="1241" t="s">
        <v>1979</v>
      </c>
    </row>
    <row r="14" spans="1:9">
      <c r="C14" t="s">
        <v>331</v>
      </c>
      <c r="E14" s="121"/>
      <c r="F14" s="121"/>
      <c r="G14" s="121"/>
      <c r="I14" s="1241" t="s">
        <v>1980</v>
      </c>
    </row>
    <row r="15" spans="1:9">
      <c r="C15" t="s">
        <v>334</v>
      </c>
      <c r="E15" s="1243">
        <v>0</v>
      </c>
      <c r="F15" s="121"/>
      <c r="G15" s="1243">
        <v>10609502</v>
      </c>
      <c r="I15" s="1241" t="s">
        <v>1981</v>
      </c>
    </row>
    <row r="16" spans="1:9" s="342" customFormat="1" ht="32.1" customHeight="1" thickBot="1">
      <c r="C16" s="342" t="s">
        <v>336</v>
      </c>
      <c r="E16" s="928">
        <f>SUM(E8:E15)</f>
        <v>9301883257</v>
      </c>
      <c r="F16" s="926"/>
      <c r="G16" s="928">
        <f>SUM(G8:G15)</f>
        <v>9301883257</v>
      </c>
      <c r="I16" s="1240" t="s">
        <v>1982</v>
      </c>
    </row>
    <row r="17" spans="1:9" ht="15" thickTop="1">
      <c r="E17" s="853">
        <f>E16-'WS Konsol'!M481</f>
        <v>-802658215</v>
      </c>
      <c r="G17" s="853">
        <f>G16-'WS Konsol'!AI481</f>
        <v>0</v>
      </c>
    </row>
    <row r="18" spans="1:9">
      <c r="E18" s="853"/>
      <c r="G18" s="853"/>
    </row>
    <row r="20" spans="1:9">
      <c r="A20" s="1241" t="s">
        <v>1983</v>
      </c>
    </row>
    <row r="22" spans="1:9">
      <c r="E22" s="926" t="s">
        <v>1626</v>
      </c>
      <c r="F22" s="121"/>
      <c r="G22" s="926" t="s">
        <v>1629</v>
      </c>
    </row>
    <row r="23" spans="1:9">
      <c r="E23" s="1242" t="s">
        <v>1630</v>
      </c>
      <c r="F23" s="121"/>
      <c r="G23" s="1242" t="s">
        <v>1633</v>
      </c>
    </row>
    <row r="25" spans="1:9">
      <c r="C25" t="s">
        <v>1984</v>
      </c>
      <c r="E25" s="121">
        <v>0</v>
      </c>
      <c r="F25" s="121"/>
      <c r="G25" s="121">
        <v>255179128</v>
      </c>
      <c r="H25" s="121"/>
      <c r="I25" s="1241" t="s">
        <v>1985</v>
      </c>
    </row>
    <row r="26" spans="1:9">
      <c r="C26" t="s">
        <v>335</v>
      </c>
      <c r="E26" s="121">
        <v>0</v>
      </c>
      <c r="F26" s="121"/>
      <c r="G26" s="121">
        <v>616959638</v>
      </c>
      <c r="H26" s="121"/>
      <c r="I26" s="1241" t="s">
        <v>1986</v>
      </c>
    </row>
    <row r="27" spans="1:9">
      <c r="C27" t="s">
        <v>344</v>
      </c>
      <c r="E27" s="121">
        <v>0</v>
      </c>
      <c r="F27" s="121"/>
      <c r="G27" s="121">
        <v>0</v>
      </c>
      <c r="H27" s="121"/>
      <c r="I27" s="1241" t="s">
        <v>1987</v>
      </c>
    </row>
    <row r="28" spans="1:9">
      <c r="C28" t="s">
        <v>345</v>
      </c>
      <c r="E28" s="121">
        <v>0</v>
      </c>
      <c r="F28" s="121"/>
      <c r="G28" s="121">
        <v>0</v>
      </c>
      <c r="H28" s="121"/>
      <c r="I28" s="1241" t="s">
        <v>1988</v>
      </c>
    </row>
    <row r="29" spans="1:9">
      <c r="C29" t="s">
        <v>1432</v>
      </c>
      <c r="E29" s="121"/>
      <c r="F29" s="121"/>
      <c r="G29" s="121"/>
      <c r="H29" s="121"/>
      <c r="I29" s="1241" t="s">
        <v>1989</v>
      </c>
    </row>
    <row r="30" spans="1:9">
      <c r="C30" t="s">
        <v>1990</v>
      </c>
      <c r="E30" s="121"/>
      <c r="F30" s="121"/>
      <c r="G30" s="121"/>
      <c r="H30" s="121"/>
      <c r="I30" s="1241" t="s">
        <v>1991</v>
      </c>
    </row>
    <row r="31" spans="1:9">
      <c r="C31" t="s">
        <v>1992</v>
      </c>
      <c r="E31" s="121"/>
      <c r="F31" s="121"/>
      <c r="G31" s="121"/>
      <c r="H31" s="121"/>
      <c r="I31" s="1241" t="s">
        <v>1993</v>
      </c>
    </row>
    <row r="32" spans="1:9">
      <c r="C32" t="s">
        <v>1994</v>
      </c>
      <c r="E32" s="1243">
        <v>0</v>
      </c>
      <c r="F32" s="121"/>
      <c r="G32" s="1243">
        <v>0</v>
      </c>
      <c r="H32" s="121"/>
      <c r="I32" s="1241" t="s">
        <v>1995</v>
      </c>
    </row>
    <row r="33" spans="3:9" s="342" customFormat="1" ht="36" customHeight="1" thickBot="1">
      <c r="C33" s="1289" t="s">
        <v>1996</v>
      </c>
      <c r="E33" s="928">
        <f>SUM(E25:E32)</f>
        <v>0</v>
      </c>
      <c r="F33" s="926"/>
      <c r="G33" s="928">
        <f>SUM(G25:G32)</f>
        <v>872138766</v>
      </c>
      <c r="H33" s="926"/>
      <c r="I33" s="1290" t="s">
        <v>1997</v>
      </c>
    </row>
    <row r="34" spans="3:9" ht="15" thickTop="1"/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6611-1985-4DFA-9C17-138F72BE817B}">
  <dimension ref="A2:K25"/>
  <sheetViews>
    <sheetView showGridLines="0" workbookViewId="0">
      <selection activeCell="E1" sqref="E1"/>
    </sheetView>
  </sheetViews>
  <sheetFormatPr defaultRowHeight="14.45"/>
  <cols>
    <col min="3" max="3" width="26.5703125" customWidth="1"/>
    <col min="5" max="5" width="19.5703125" bestFit="1" customWidth="1"/>
    <col min="6" max="6" width="4.42578125" customWidth="1"/>
    <col min="7" max="7" width="19.5703125" bestFit="1" customWidth="1"/>
    <col min="8" max="8" width="3.5703125" customWidth="1"/>
    <col min="9" max="9" width="19" bestFit="1" customWidth="1"/>
    <col min="10" max="10" width="6" customWidth="1"/>
  </cols>
  <sheetData>
    <row r="2" spans="1:11">
      <c r="A2" s="1248" t="s">
        <v>930</v>
      </c>
      <c r="B2" s="1249"/>
      <c r="C2" s="1249"/>
      <c r="D2" s="1249"/>
      <c r="E2" s="918"/>
      <c r="G2" s="918"/>
      <c r="H2" s="918"/>
      <c r="I2" s="121"/>
      <c r="K2" s="1241"/>
    </row>
    <row r="4" spans="1:11">
      <c r="E4" s="628" t="s">
        <v>1998</v>
      </c>
      <c r="G4" t="s">
        <v>111</v>
      </c>
      <c r="I4" t="s">
        <v>111</v>
      </c>
    </row>
    <row r="5" spans="1:11">
      <c r="E5" s="1291">
        <v>2024</v>
      </c>
      <c r="G5" s="1291">
        <v>2024</v>
      </c>
      <c r="H5" s="1292"/>
      <c r="I5" s="1291">
        <v>2023</v>
      </c>
    </row>
    <row r="6" spans="1:11">
      <c r="C6" t="str">
        <f>'WS Konsol'!C644</f>
        <v xml:space="preserve">Pengiriman </v>
      </c>
      <c r="E6" s="853">
        <f>'WS Konsol'!M644</f>
        <v>13810305358</v>
      </c>
      <c r="G6" s="853">
        <f>'WS Konsol'!W644</f>
        <v>10171210361</v>
      </c>
      <c r="I6" s="121">
        <f>'WS Konsol'!AT644</f>
        <v>13646650825</v>
      </c>
    </row>
    <row r="7" spans="1:11">
      <c r="C7" t="str">
        <f>'WS Konsol'!C645</f>
        <v xml:space="preserve">Klaim </v>
      </c>
      <c r="E7" s="853">
        <f>'WS Konsol'!M645</f>
        <v>143640769</v>
      </c>
      <c r="G7" s="853">
        <f>'WS Konsol'!W645</f>
        <v>89766069</v>
      </c>
      <c r="I7" s="121">
        <f>'WS Konsol'!AT645</f>
        <v>747156938</v>
      </c>
    </row>
    <row r="8" spans="1:11">
      <c r="C8" t="str">
        <f>'WS Konsol'!C646</f>
        <v xml:space="preserve">Administrasi </v>
      </c>
      <c r="E8" s="853">
        <f>'WS Konsol'!M646</f>
        <v>0</v>
      </c>
      <c r="G8" s="853">
        <f>'WS Konsol'!W646</f>
        <v>0</v>
      </c>
      <c r="I8" s="121">
        <f>'WS Konsol'!AT646</f>
        <v>0</v>
      </c>
    </row>
    <row r="9" spans="1:11">
      <c r="C9" t="str">
        <f>'WS Konsol'!C647</f>
        <v>Analisis dan tes</v>
      </c>
      <c r="E9" s="853">
        <f>'WS Konsol'!M647</f>
        <v>328634463</v>
      </c>
      <c r="G9" s="853">
        <f>'WS Konsol'!W647</f>
        <v>235016963</v>
      </c>
      <c r="I9" s="121">
        <f>'WS Konsol'!AT647</f>
        <v>293654638</v>
      </c>
    </row>
    <row r="10" spans="1:11">
      <c r="C10" t="str">
        <f>'WS Konsol'!C648</f>
        <v>Keanggotaan</v>
      </c>
      <c r="E10" s="853">
        <f>'WS Konsol'!M648</f>
        <v>325461602</v>
      </c>
      <c r="G10" s="853">
        <f>'WS Konsol'!W648</f>
        <v>275521602</v>
      </c>
      <c r="I10" s="121">
        <f>'WS Konsol'!AT648</f>
        <v>207767704</v>
      </c>
    </row>
    <row r="11" spans="1:11">
      <c r="C11" t="str">
        <f>'WS Konsol'!C649</f>
        <v>Beban Bongkar Muat Eskpor</v>
      </c>
      <c r="E11" s="853">
        <f>'WS Konsol'!M649</f>
        <v>35876240</v>
      </c>
      <c r="G11" s="853">
        <f>'WS Konsol'!W649</f>
        <v>23669890</v>
      </c>
      <c r="I11" s="121">
        <f>'WS Konsol'!AT649</f>
        <v>39509470</v>
      </c>
    </row>
    <row r="12" spans="1:11">
      <c r="C12" t="str">
        <f>'WS Konsol'!C650</f>
        <v>Ekspedisi Muatan Kapal Laut</v>
      </c>
      <c r="E12" s="853">
        <f>'WS Konsol'!M650</f>
        <v>0</v>
      </c>
      <c r="G12" s="853">
        <f>'WS Konsol'!W650</f>
        <v>0</v>
      </c>
      <c r="I12" s="121">
        <f>'WS Konsol'!AT650</f>
        <v>0</v>
      </c>
    </row>
    <row r="13" spans="1:11">
      <c r="C13" t="s">
        <v>1999</v>
      </c>
      <c r="E13" s="853">
        <f>'WS Konsol'!M651</f>
        <v>431769524</v>
      </c>
      <c r="G13" s="853">
        <f>'WS Konsol'!W651</f>
        <v>329647045</v>
      </c>
      <c r="I13" s="121">
        <f>'WS Konsol'!AT651</f>
        <v>295488702</v>
      </c>
    </row>
    <row r="14" spans="1:11">
      <c r="C14" t="str">
        <f>'WS Konsol'!C652</f>
        <v>Prov Courier Charge, Overdue Interest, BBLN, Biaya</v>
      </c>
      <c r="E14" s="853">
        <f>'WS Konsol'!M652</f>
        <v>215633484</v>
      </c>
      <c r="G14" s="853">
        <f>'WS Konsol'!W652</f>
        <v>36907034</v>
      </c>
      <c r="I14" s="121">
        <f>'WS Konsol'!AT652</f>
        <v>134407349</v>
      </c>
    </row>
    <row r="15" spans="1:11">
      <c r="C15" t="str">
        <f>'WS Konsol'!C653</f>
        <v>Beban Dokumen Ekspor</v>
      </c>
      <c r="E15" s="853">
        <f>'WS Konsol'!M653</f>
        <v>101971937</v>
      </c>
      <c r="G15" s="853">
        <f>'WS Konsol'!W653</f>
        <v>65388627</v>
      </c>
      <c r="I15" s="121">
        <f>'WS Konsol'!AT653</f>
        <v>136439333</v>
      </c>
    </row>
    <row r="16" spans="1:11">
      <c r="C16" t="str">
        <f>'WS Konsol'!C654</f>
        <v>Beban EMKL</v>
      </c>
      <c r="E16" s="853">
        <f>'WS Konsol'!M654</f>
        <v>616336251</v>
      </c>
      <c r="G16" s="853">
        <f>'WS Konsol'!W654</f>
        <v>481570956</v>
      </c>
      <c r="I16" s="121">
        <f>'WS Konsol'!AT654</f>
        <v>263629341</v>
      </c>
    </row>
    <row r="17" spans="3:11">
      <c r="C17" t="str">
        <f>'WS Konsol'!C655</f>
        <v>Beban Komisi</v>
      </c>
      <c r="E17" s="853">
        <f>'WS Konsol'!M655</f>
        <v>153801702</v>
      </c>
      <c r="G17" s="853">
        <f>'WS Konsol'!W655</f>
        <v>82458402</v>
      </c>
      <c r="I17" s="121">
        <f>'WS Konsol'!AT655</f>
        <v>57662760</v>
      </c>
    </row>
    <row r="18" spans="3:11">
      <c r="C18" t="str">
        <f>'WS Konsol'!C656</f>
        <v>Beban Sample</v>
      </c>
      <c r="E18" s="853">
        <f>'WS Konsol'!M656</f>
        <v>10105000</v>
      </c>
      <c r="G18" s="853">
        <f>'WS Konsol'!W656</f>
        <v>8340000</v>
      </c>
      <c r="I18" s="121">
        <f>'WS Konsol'!AT656</f>
        <v>2179753370</v>
      </c>
    </row>
    <row r="19" spans="3:11">
      <c r="C19" t="str">
        <f>'WS Konsol'!C657</f>
        <v>Surveyor</v>
      </c>
      <c r="E19" s="853">
        <f>'WS Konsol'!M657</f>
        <v>22350000</v>
      </c>
      <c r="G19" s="853">
        <f>'WS Konsol'!W657</f>
        <v>10500000</v>
      </c>
      <c r="I19" s="121">
        <f>'WS Konsol'!AT657</f>
        <v>10500000</v>
      </c>
    </row>
    <row r="20" spans="3:11">
      <c r="C20" t="str">
        <f>'WS Konsol'!C658</f>
        <v xml:space="preserve">Pameran </v>
      </c>
      <c r="E20" s="853">
        <f>'WS Konsol'!M658</f>
        <v>63110969</v>
      </c>
      <c r="G20" s="853">
        <f>'WS Konsol'!W658</f>
        <v>47749920</v>
      </c>
      <c r="I20" s="121">
        <f>'WS Konsol'!AT658</f>
        <v>53050186</v>
      </c>
    </row>
    <row r="21" spans="3:11">
      <c r="C21" t="str">
        <f>'WS Konsol'!C659</f>
        <v>Demurrage/ Sandar, Biaya</v>
      </c>
      <c r="E21" s="853">
        <f>'WS Konsol'!M659</f>
        <v>0</v>
      </c>
      <c r="G21" s="853">
        <f>'WS Konsol'!W659</f>
        <v>0</v>
      </c>
      <c r="I21" s="121">
        <f>'WS Konsol'!AT659</f>
        <v>42591530</v>
      </c>
    </row>
    <row r="22" spans="3:11">
      <c r="C22" t="str">
        <f>'WS Konsol'!C660</f>
        <v>Duty</v>
      </c>
      <c r="E22" s="853">
        <f>'WS Konsol'!M660</f>
        <v>0</v>
      </c>
      <c r="G22" s="853">
        <f>'WS Konsol'!W660</f>
        <v>1592468511</v>
      </c>
      <c r="I22" s="121">
        <f>'WS Konsol'!AT660</f>
        <v>0</v>
      </c>
    </row>
    <row r="23" spans="3:11">
      <c r="C23" t="str">
        <f>'WS Konsol'!C661</f>
        <v>Beban Lain-lain</v>
      </c>
      <c r="E23" s="853">
        <f>'WS Konsol'!M661</f>
        <v>0</v>
      </c>
      <c r="G23" s="1284">
        <f>'WS Konsol'!W661</f>
        <v>0</v>
      </c>
      <c r="I23" s="1243">
        <f>'WS Konsol'!AT661</f>
        <v>0</v>
      </c>
    </row>
    <row r="24" spans="3:11" s="342" customFormat="1" ht="15" thickBot="1">
      <c r="C24" s="342" t="s">
        <v>1796</v>
      </c>
      <c r="E24" s="1272">
        <f>SUM(E6:E23)</f>
        <v>16258997299</v>
      </c>
      <c r="G24" s="1272">
        <f>SUM(G6:G23)</f>
        <v>13450215380</v>
      </c>
      <c r="I24" s="1272">
        <f>SUM(I6:I23)</f>
        <v>18108262146</v>
      </c>
      <c r="K24" s="342" t="s">
        <v>1769</v>
      </c>
    </row>
    <row r="25" spans="3:11" s="1278" customFormat="1" ht="15" thickTop="1">
      <c r="C25" s="1278" t="s">
        <v>1215</v>
      </c>
      <c r="E25" s="1285">
        <f>E24-'WS Konsol'!M662</f>
        <v>0</v>
      </c>
      <c r="G25" s="1285">
        <f>G24-'WS Konsol'!W662</f>
        <v>0</v>
      </c>
      <c r="I25" s="1285">
        <f>I24-'WS Konsol'!AT662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39A4-4CE7-4FC0-BB02-433E21DCF3F4}">
  <dimension ref="A2:M40"/>
  <sheetViews>
    <sheetView showGridLines="0" workbookViewId="0">
      <selection activeCell="E16" sqref="E16"/>
    </sheetView>
  </sheetViews>
  <sheetFormatPr defaultRowHeight="14.45"/>
  <cols>
    <col min="3" max="3" width="25.5703125" bestFit="1" customWidth="1"/>
    <col min="5" max="5" width="17" customWidth="1"/>
    <col min="7" max="7" width="17" customWidth="1"/>
    <col min="8" max="8" width="0" hidden="1" customWidth="1"/>
    <col min="9" max="9" width="17" hidden="1" customWidth="1"/>
    <col min="10" max="10" width="8.5703125" hidden="1" customWidth="1"/>
    <col min="11" max="11" width="15.5703125" hidden="1" customWidth="1"/>
    <col min="12" max="12" width="0" hidden="1" customWidth="1"/>
  </cols>
  <sheetData>
    <row r="2" spans="1:13">
      <c r="A2" s="1248" t="s">
        <v>226</v>
      </c>
      <c r="B2" s="1249"/>
      <c r="C2" s="1249"/>
      <c r="D2" s="1249"/>
      <c r="E2" s="918"/>
      <c r="G2" s="918"/>
      <c r="H2" s="918"/>
      <c r="I2" s="918"/>
      <c r="J2" s="918"/>
      <c r="K2" s="121"/>
      <c r="M2" s="1241"/>
    </row>
    <row r="4" spans="1:13">
      <c r="E4" s="628" t="s">
        <v>1998</v>
      </c>
      <c r="G4" s="628" t="s">
        <v>1998</v>
      </c>
      <c r="I4" t="s">
        <v>111</v>
      </c>
      <c r="K4" t="s">
        <v>111</v>
      </c>
    </row>
    <row r="5" spans="1:13">
      <c r="E5" s="1291">
        <v>2024</v>
      </c>
      <c r="G5" s="1291">
        <v>2023</v>
      </c>
      <c r="H5" s="1292"/>
      <c r="I5" s="1291">
        <v>2024</v>
      </c>
      <c r="J5" s="1292"/>
      <c r="K5" s="1291">
        <v>2023</v>
      </c>
    </row>
    <row r="6" spans="1:13">
      <c r="C6" t="str">
        <f>'WS Konsol'!C664</f>
        <v>Gaji dan Tunjangan Karyawan</v>
      </c>
      <c r="E6" s="1575">
        <f>SUM('WS Konsol'!M664:M669)</f>
        <v>16788812161</v>
      </c>
      <c r="G6" s="1575">
        <f>SUM('WS Konsol'!AI664:AI669)</f>
        <v>16998220258</v>
      </c>
      <c r="H6" s="342"/>
      <c r="I6" s="1575">
        <f>SUM('WS Konsol'!W664:W669)</f>
        <v>12742443793</v>
      </c>
      <c r="J6" s="342"/>
      <c r="K6" s="1575">
        <f>SUM('WS Konsol'!AT664:AT669)</f>
        <v>13429830562</v>
      </c>
    </row>
    <row r="7" spans="1:13">
      <c r="C7" t="str">
        <f>'WS Konsol'!C672</f>
        <v>Administrasi &amp; Umum Lainnya</v>
      </c>
      <c r="E7" s="853">
        <f>'WS Konsol'!M672</f>
        <v>8526601</v>
      </c>
      <c r="G7" s="853">
        <f>'WS Konsol'!AI672</f>
        <v>1599194</v>
      </c>
      <c r="I7" s="853">
        <f>'WS Konsol'!W672</f>
        <v>8476601</v>
      </c>
      <c r="K7" s="853">
        <f>'WS Konsol'!AT672</f>
        <v>25000</v>
      </c>
    </row>
    <row r="8" spans="1:13">
      <c r="C8" t="str">
        <f>'WS Konsol'!C673</f>
        <v>Alat Tulis Kantor</v>
      </c>
      <c r="E8" s="853">
        <f>'WS Konsol'!M673</f>
        <v>25215440</v>
      </c>
      <c r="G8" s="853">
        <f>'WS Konsol'!AI673</f>
        <v>82750930</v>
      </c>
      <c r="I8" s="853">
        <f>'WS Konsol'!W673</f>
        <v>20586640</v>
      </c>
      <c r="K8" s="853">
        <f>'WS Konsol'!AT673</f>
        <v>66738430</v>
      </c>
    </row>
    <row r="9" spans="1:13">
      <c r="C9" t="str">
        <f>'WS Konsol'!C674</f>
        <v>Asuransi</v>
      </c>
      <c r="E9" s="853">
        <f>'WS Konsol'!M674</f>
        <v>400787909</v>
      </c>
      <c r="G9" s="853">
        <f>'WS Konsol'!AI674</f>
        <v>365704510</v>
      </c>
      <c r="I9" s="853">
        <f>'WS Konsol'!W674</f>
        <v>255839583</v>
      </c>
      <c r="K9" s="853">
        <f>'WS Konsol'!AT674</f>
        <v>297309569</v>
      </c>
    </row>
    <row r="10" spans="1:13">
      <c r="C10" t="str">
        <f>'WS Konsol'!C675</f>
        <v>BBM Kendaraan Kantor</v>
      </c>
      <c r="E10" s="853">
        <f>'WS Konsol'!M675</f>
        <v>278069647</v>
      </c>
      <c r="G10" s="853">
        <f>'WS Konsol'!AI675</f>
        <v>263144207</v>
      </c>
      <c r="I10" s="853">
        <f>'WS Konsol'!W675</f>
        <v>201429804</v>
      </c>
      <c r="K10" s="853">
        <f>'WS Konsol'!AT675</f>
        <v>187769571</v>
      </c>
    </row>
    <row r="11" spans="1:13">
      <c r="C11" t="str">
        <f>'WS Konsol'!C676</f>
        <v>Entertainment &amp; Sumbangan</v>
      </c>
      <c r="E11" s="853">
        <f>'WS Konsol'!M676</f>
        <v>5500000</v>
      </c>
      <c r="G11" s="853">
        <f>'WS Konsol'!AI676</f>
        <v>5610000</v>
      </c>
      <c r="I11" s="853">
        <f>'WS Konsol'!W676</f>
        <v>4000000</v>
      </c>
      <c r="K11" s="853">
        <f>'WS Konsol'!AT676</f>
        <v>4050000</v>
      </c>
    </row>
    <row r="12" spans="1:13">
      <c r="C12" t="str">
        <f>'WS Konsol'!C677</f>
        <v>Keamanan/Outsourcing</v>
      </c>
      <c r="E12" s="853">
        <f>'WS Konsol'!M677</f>
        <v>494527864</v>
      </c>
      <c r="G12" s="853">
        <f>'WS Konsol'!AI677</f>
        <v>487203054</v>
      </c>
      <c r="I12" s="853">
        <f>'WS Konsol'!W677</f>
        <v>370520898</v>
      </c>
      <c r="K12" s="853">
        <f>'WS Konsol'!AT677</f>
        <v>365402292</v>
      </c>
    </row>
    <row r="13" spans="1:13">
      <c r="C13" t="str">
        <f>'WS Konsol'!C678</f>
        <v>Materai, Koran &amp; Majalah</v>
      </c>
      <c r="E13" s="853">
        <f>'WS Konsol'!M678</f>
        <v>1985000</v>
      </c>
      <c r="G13" s="853">
        <f>'WS Konsol'!AI678</f>
        <v>10279200</v>
      </c>
      <c r="I13" s="853">
        <f>'WS Konsol'!W678</f>
        <v>2690000</v>
      </c>
      <c r="K13" s="853">
        <f>'WS Konsol'!AT678</f>
        <v>7381700</v>
      </c>
    </row>
    <row r="14" spans="1:13">
      <c r="C14" t="str">
        <f>'WS Konsol'!C679</f>
        <v>Meals Traveling</v>
      </c>
      <c r="E14" s="853">
        <f>'WS Konsol'!M679</f>
        <v>110370184</v>
      </c>
      <c r="G14" s="853">
        <f>'WS Konsol'!AI679</f>
        <v>104106223</v>
      </c>
      <c r="I14" s="853">
        <f>'WS Konsol'!W679</f>
        <v>73665247</v>
      </c>
      <c r="K14" s="853">
        <f>'WS Konsol'!AT679</f>
        <v>72210237</v>
      </c>
    </row>
    <row r="15" spans="1:13">
      <c r="C15" t="str">
        <f>'WS Konsol'!C680</f>
        <v>Ongkos Angkut</v>
      </c>
      <c r="E15" s="853">
        <f>'WS Konsol'!M680</f>
        <v>200205739</v>
      </c>
      <c r="G15" s="853">
        <f>'WS Konsol'!AI680</f>
        <v>192672174</v>
      </c>
      <c r="I15" s="853">
        <f>'WS Konsol'!W680</f>
        <v>110980573</v>
      </c>
      <c r="K15" s="853">
        <f>'WS Konsol'!AT680</f>
        <v>147357325</v>
      </c>
    </row>
    <row r="16" spans="1:13">
      <c r="C16" t="str">
        <f>'WS Konsol'!C681</f>
        <v>Pajak Lain-Lain</v>
      </c>
      <c r="E16" s="853">
        <f>'WS Konsol'!M681</f>
        <v>11370680259</v>
      </c>
      <c r="G16" s="1575">
        <f>'WS Konsol'!AI681</f>
        <v>1957630111</v>
      </c>
      <c r="H16" s="342"/>
      <c r="I16" s="1575">
        <f>'WS Konsol'!W681</f>
        <v>7114923507</v>
      </c>
      <c r="J16" s="342"/>
      <c r="K16" s="1575">
        <f>'WS Konsol'!AT681</f>
        <v>1708493773</v>
      </c>
    </row>
    <row r="17" spans="3:11">
      <c r="C17" t="str">
        <f>'WS Konsol'!C682</f>
        <v>Parkir Tol Fee Dll</v>
      </c>
      <c r="E17" s="853">
        <f>'WS Konsol'!M682</f>
        <v>60331000</v>
      </c>
      <c r="G17" s="853">
        <f>'WS Konsol'!AI682</f>
        <v>39993160</v>
      </c>
      <c r="I17" s="853">
        <f>'WS Konsol'!W682</f>
        <v>44660500</v>
      </c>
      <c r="K17" s="853">
        <f>'WS Konsol'!AT682</f>
        <v>26774410</v>
      </c>
    </row>
    <row r="18" spans="3:11">
      <c r="C18" t="str">
        <f>'WS Konsol'!C683</f>
        <v>Pendidikan &amp; Pelatihan</v>
      </c>
      <c r="E18" s="853">
        <f>'WS Konsol'!M683</f>
        <v>9481632</v>
      </c>
      <c r="G18" s="853">
        <f>'WS Konsol'!AI683</f>
        <v>12725792</v>
      </c>
      <c r="I18" s="853">
        <f>'WS Konsol'!W683</f>
        <v>400000</v>
      </c>
      <c r="K18" s="853">
        <f>'WS Konsol'!AT683</f>
        <v>8344345</v>
      </c>
    </row>
    <row r="19" spans="3:11">
      <c r="C19" t="str">
        <f>'WS Konsol'!C684</f>
        <v>Pengobatan</v>
      </c>
      <c r="E19" s="853">
        <f>'WS Konsol'!M684</f>
        <v>113039448</v>
      </c>
      <c r="G19" s="853">
        <f>'WS Konsol'!AI684</f>
        <v>112201144</v>
      </c>
      <c r="I19" s="853">
        <f>'WS Konsol'!W684</f>
        <v>84698350</v>
      </c>
      <c r="K19" s="853">
        <f>'WS Konsol'!AT684</f>
        <v>84899108</v>
      </c>
    </row>
    <row r="20" spans="3:11">
      <c r="C20" t="str">
        <f>'WS Konsol'!C685</f>
        <v>Peralatan &amp; Perlengkapan Kantor</v>
      </c>
      <c r="E20" s="853">
        <f>'WS Konsol'!M685</f>
        <v>125971105</v>
      </c>
      <c r="G20" s="853">
        <f>'WS Konsol'!AI685</f>
        <v>58019190</v>
      </c>
      <c r="I20" s="853">
        <f>'WS Konsol'!W685</f>
        <v>71702325</v>
      </c>
      <c r="K20" s="853">
        <f>'WS Konsol'!AT685</f>
        <v>52225890</v>
      </c>
    </row>
    <row r="21" spans="3:11">
      <c r="C21" t="str">
        <f>'WS Konsol'!C686</f>
        <v>Peralatan &amp; Perlengkapan Produksi</v>
      </c>
      <c r="E21" s="853">
        <f>'WS Konsol'!M686</f>
        <v>11199100</v>
      </c>
      <c r="G21" s="853">
        <f>'WS Konsol'!AI686</f>
        <v>61999059</v>
      </c>
      <c r="I21" s="853">
        <f>'WS Konsol'!W686</f>
        <v>4480600</v>
      </c>
      <c r="K21" s="853">
        <f>'WS Konsol'!AT686</f>
        <v>54499059</v>
      </c>
    </row>
    <row r="22" spans="3:11">
      <c r="C22" t="str">
        <f>'WS Konsol'!C687</f>
        <v>Perdin, Hotel, Tiket, Akomodasi</v>
      </c>
      <c r="E22" s="853">
        <f>'WS Konsol'!M687</f>
        <v>1965000</v>
      </c>
      <c r="G22" s="853">
        <f>'WS Konsol'!AI687</f>
        <v>225000</v>
      </c>
      <c r="I22" s="853">
        <f>'WS Konsol'!W687</f>
        <v>1965000</v>
      </c>
      <c r="K22" s="853">
        <f>'WS Konsol'!AT687</f>
        <v>200000</v>
      </c>
    </row>
    <row r="23" spans="3:11">
      <c r="C23" t="str">
        <f>'WS Konsol'!C688</f>
        <v>Rumah Tangga Kantor</v>
      </c>
      <c r="E23" s="853">
        <f>'WS Konsol'!M688</f>
        <v>1526528798</v>
      </c>
      <c r="G23" s="1575">
        <f>'WS Konsol'!AI688</f>
        <v>988291910</v>
      </c>
      <c r="H23" s="342"/>
      <c r="I23" s="1575">
        <f>'WS Konsol'!W688</f>
        <v>1099742642</v>
      </c>
      <c r="J23" s="342"/>
      <c r="K23" s="1575">
        <f>'WS Konsol'!AT688</f>
        <v>750741777</v>
      </c>
    </row>
    <row r="24" spans="3:11">
      <c r="C24" t="str">
        <f>'WS Konsol'!C689</f>
        <v>Surat-Surat Kendaraan Kantor</v>
      </c>
      <c r="E24" s="853">
        <f>'WS Konsol'!M689</f>
        <v>67977050</v>
      </c>
      <c r="G24" s="853">
        <f>'WS Konsol'!AI689</f>
        <v>79640650</v>
      </c>
      <c r="I24" s="853">
        <f>'WS Konsol'!W689</f>
        <v>57934525</v>
      </c>
      <c r="K24" s="853">
        <f>'WS Konsol'!AT689</f>
        <v>69777900</v>
      </c>
    </row>
    <row r="25" spans="3:11">
      <c r="C25" t="str">
        <f>'WS Konsol'!C690</f>
        <v>Surat-Surat Perizinan</v>
      </c>
      <c r="E25" s="853">
        <f>'WS Konsol'!M690</f>
        <v>1240711866</v>
      </c>
      <c r="G25" s="1575">
        <f>'WS Konsol'!AI690</f>
        <v>960749200</v>
      </c>
      <c r="H25" s="342"/>
      <c r="I25" s="1575">
        <f>'WS Konsol'!W690</f>
        <v>1086724516</v>
      </c>
      <c r="J25" s="342"/>
      <c r="K25" s="1575">
        <f>'WS Konsol'!AT690</f>
        <v>882432990</v>
      </c>
    </row>
    <row r="26" spans="3:11">
      <c r="C26" t="str">
        <f>'WS Konsol'!C691</f>
        <v>Telephone</v>
      </c>
      <c r="E26" s="853">
        <f>'WS Konsol'!M691</f>
        <v>64668670</v>
      </c>
      <c r="G26" s="853">
        <f>'WS Konsol'!AI691</f>
        <v>66161688</v>
      </c>
      <c r="I26" s="853">
        <f>'WS Konsol'!W691</f>
        <v>47404203</v>
      </c>
      <c r="K26" s="853">
        <f>'WS Konsol'!AT691</f>
        <v>49058740</v>
      </c>
    </row>
    <row r="27" spans="3:11">
      <c r="C27" t="str">
        <f>'WS Konsol'!C692</f>
        <v>Tenaga Ahli / Konsultan</v>
      </c>
      <c r="E27" s="853">
        <f>'WS Konsol'!M692</f>
        <v>1180623379</v>
      </c>
      <c r="G27" s="1575">
        <f>'WS Konsol'!AI692</f>
        <v>1422785302</v>
      </c>
      <c r="H27" s="342"/>
      <c r="I27" s="1575">
        <f>'WS Konsol'!W692</f>
        <v>1058712812</v>
      </c>
      <c r="J27" s="342"/>
      <c r="K27" s="1575">
        <f>'WS Konsol'!AT692</f>
        <v>803119571</v>
      </c>
    </row>
    <row r="28" spans="3:11">
      <c r="C28" t="str">
        <f>'WS Konsol'!C693</f>
        <v>Imbalan Pasca Kerja</v>
      </c>
      <c r="E28" s="853">
        <f>'WS Konsol'!M693</f>
        <v>883796658</v>
      </c>
      <c r="G28" s="853">
        <f>'WS Konsol'!AI693</f>
        <v>872138766</v>
      </c>
      <c r="I28" s="853">
        <f>'WS Konsol'!W693</f>
        <v>654104075</v>
      </c>
      <c r="K28" s="853">
        <f>'WS Konsol'!AT693</f>
        <v>287525426</v>
      </c>
    </row>
    <row r="29" spans="3:11">
      <c r="C29" t="str">
        <f>'WS Konsol'!C694</f>
        <v>Transportasi, Akomodasi</v>
      </c>
      <c r="E29" s="853">
        <f>'WS Konsol'!M694</f>
        <v>21201460</v>
      </c>
      <c r="G29" s="853">
        <f>'WS Konsol'!AI694</f>
        <v>16448010</v>
      </c>
      <c r="I29" s="853">
        <f>'WS Konsol'!W694</f>
        <v>14881194</v>
      </c>
      <c r="K29" s="853">
        <f>'WS Konsol'!AT694</f>
        <v>12823010</v>
      </c>
    </row>
    <row r="30" spans="3:11">
      <c r="C30" t="str">
        <f>'WS Konsol'!C695</f>
        <v xml:space="preserve">Penghapusan Piutang </v>
      </c>
      <c r="E30" s="853">
        <f>'WS Konsol'!M695</f>
        <v>0</v>
      </c>
      <c r="G30" s="853">
        <f>'WS Konsol'!AI695</f>
        <v>0</v>
      </c>
      <c r="I30" s="853">
        <f>'WS Konsol'!W695</f>
        <v>0</v>
      </c>
      <c r="K30" s="853">
        <f>'WS Konsol'!AT695</f>
        <v>0</v>
      </c>
    </row>
    <row r="31" spans="3:11">
      <c r="C31" t="str">
        <f>'WS Konsol'!C696</f>
        <v>Biaya Lain-lain</v>
      </c>
      <c r="E31" s="853">
        <f>'WS Konsol'!M696</f>
        <v>0</v>
      </c>
      <c r="G31" s="853">
        <f>'WS Konsol'!AI696</f>
        <v>0</v>
      </c>
      <c r="I31" s="853">
        <f>'WS Konsol'!W696</f>
        <v>0</v>
      </c>
      <c r="K31" s="853">
        <f>'WS Konsol'!AT696</f>
        <v>0</v>
      </c>
    </row>
    <row r="32" spans="3:11">
      <c r="C32" t="str">
        <f>'WS Konsol'!C698</f>
        <v>Beban Perbaikan Dan Pemeliharaan</v>
      </c>
      <c r="E32" s="853">
        <f>SUM('WS Konsol'!M699:M705)</f>
        <v>793068831</v>
      </c>
      <c r="G32" s="853">
        <f>SUM('WS Konsol'!AI699:AI705)</f>
        <v>1091879717</v>
      </c>
      <c r="I32" s="853">
        <f>SUM('WS Konsol'!W699:W705)</f>
        <v>571494367</v>
      </c>
      <c r="K32" s="853">
        <f>SUM('WS Konsol'!AT699:AT705)</f>
        <v>780730332</v>
      </c>
    </row>
    <row r="33" spans="3:13">
      <c r="C33" t="str">
        <f>'WS Konsol'!C706</f>
        <v>Beban Depresiasi Dan Amortisasi</v>
      </c>
      <c r="E33" s="853">
        <f>SUM('WS Konsol'!M707:M714)+SUM('WS Konsol'!M716:M718)</f>
        <v>415220585</v>
      </c>
      <c r="G33" s="853">
        <f>SUM('WS Konsol'!AI707:AI714)+SUM('WS Konsol'!AI716:AI718)</f>
        <v>1449500862</v>
      </c>
      <c r="I33" s="853">
        <f>SUM('WS Konsol'!W707:W714)+SUM('WS Konsol'!W716:W718)</f>
        <v>439652448</v>
      </c>
      <c r="K33" s="853">
        <f>SUM('WS Konsol'!AT707:AT714)+SUM('WS Konsol'!AT716:AT718)</f>
        <v>645829191</v>
      </c>
    </row>
    <row r="34" spans="3:13">
      <c r="C34" t="str">
        <f>'WS Konsol'!C697</f>
        <v>Keamanan/Outsourcing, Biaya</v>
      </c>
      <c r="E34" s="2149">
        <f>'WS Konsol'!M697</f>
        <v>14735875</v>
      </c>
      <c r="G34" s="853"/>
      <c r="I34" s="853"/>
      <c r="K34" s="853">
        <v>0</v>
      </c>
    </row>
    <row r="35" spans="3:13">
      <c r="C35" t="str">
        <f>'WS Konsol'!C715</f>
        <v>Depresiasi AHG  (PSAK 73)</v>
      </c>
      <c r="E35" s="2148">
        <f>'WS Konsol'!M715</f>
        <v>31485909</v>
      </c>
      <c r="G35" s="1284">
        <f>'WS Konsol'!AI715</f>
        <v>32066380</v>
      </c>
      <c r="I35" s="1284">
        <f>'WS Konsol'!W715</f>
        <v>23614432</v>
      </c>
      <c r="K35" s="1284">
        <f>'WS Konsol'!AT715</f>
        <v>23614432</v>
      </c>
    </row>
    <row r="36" spans="3:13" s="1240" customFormat="1" ht="15" thickBot="1">
      <c r="C36" s="1240" t="s">
        <v>1796</v>
      </c>
      <c r="E36" s="1293">
        <f>SUM(E6:E35)</f>
        <v>36246687170</v>
      </c>
      <c r="G36" s="1293">
        <f>SUM(G6:G35)</f>
        <v>27733745691</v>
      </c>
      <c r="I36" s="1293">
        <f>SUM(I6:I35)</f>
        <v>26167728635</v>
      </c>
      <c r="K36" s="1293">
        <f>SUM(K6:K35)</f>
        <v>20819164640</v>
      </c>
      <c r="M36" s="1240" t="s">
        <v>1769</v>
      </c>
    </row>
    <row r="37" spans="3:13" s="1278" customFormat="1" ht="15" thickTop="1">
      <c r="C37" s="1278" t="s">
        <v>1215</v>
      </c>
      <c r="E37" s="1285">
        <f>E36-'WS Konsol'!M719</f>
        <v>0</v>
      </c>
      <c r="G37" s="1285">
        <f>G36-'WS Konsol'!AI719</f>
        <v>0</v>
      </c>
      <c r="I37" s="1285">
        <f>I36-'WS Konsol'!W719</f>
        <v>0</v>
      </c>
      <c r="K37" s="1285">
        <f>K36-'WS Konsol'!AT719</f>
        <v>0</v>
      </c>
    </row>
    <row r="39" spans="3:13">
      <c r="E39" s="912"/>
    </row>
    <row r="40" spans="3:13">
      <c r="E40" s="853"/>
    </row>
  </sheetData>
  <autoFilter ref="C5:K35" xr:uid="{353A39A4-4CE7-4FC0-BB02-433E21DCF3F4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EA9E-7668-4FBF-B459-BDB9CC13C90B}">
  <dimension ref="A2:M21"/>
  <sheetViews>
    <sheetView showGridLines="0" workbookViewId="0">
      <selection activeCell="G8" sqref="G8"/>
    </sheetView>
  </sheetViews>
  <sheetFormatPr defaultRowHeight="14.45"/>
  <cols>
    <col min="3" max="3" width="25.5703125" bestFit="1" customWidth="1"/>
    <col min="5" max="5" width="14.42578125" bestFit="1" customWidth="1"/>
    <col min="7" max="7" width="14.42578125" bestFit="1" customWidth="1"/>
    <col min="8" max="8" width="0" hidden="1" customWidth="1"/>
    <col min="9" max="9" width="13.5703125" hidden="1" customWidth="1"/>
    <col min="10" max="10" width="0" hidden="1" customWidth="1"/>
    <col min="11" max="11" width="14.42578125" hidden="1" customWidth="1"/>
    <col min="12" max="13" width="0" hidden="1" customWidth="1"/>
  </cols>
  <sheetData>
    <row r="2" spans="1:13">
      <c r="A2" s="1248" t="s">
        <v>2000</v>
      </c>
      <c r="B2" s="1249"/>
      <c r="C2" s="1249"/>
      <c r="D2" s="1249"/>
      <c r="E2" s="918"/>
      <c r="G2" s="918"/>
      <c r="H2" s="918"/>
      <c r="I2" s="918"/>
      <c r="J2" s="918"/>
      <c r="K2" s="121"/>
      <c r="M2" s="1241"/>
    </row>
    <row r="4" spans="1:13">
      <c r="E4" s="628" t="s">
        <v>1998</v>
      </c>
      <c r="G4" s="628" t="s">
        <v>1998</v>
      </c>
      <c r="I4" t="s">
        <v>111</v>
      </c>
      <c r="K4" t="s">
        <v>111</v>
      </c>
    </row>
    <row r="5" spans="1:13">
      <c r="E5" s="1291">
        <v>2024</v>
      </c>
      <c r="G5" s="1291">
        <v>2023</v>
      </c>
      <c r="H5" s="1292"/>
      <c r="I5" s="1291">
        <v>2024</v>
      </c>
      <c r="J5" s="1292"/>
      <c r="K5" s="1291">
        <v>2023</v>
      </c>
    </row>
    <row r="7" spans="1:13">
      <c r="C7" t="str">
        <f>'WS Konsol'!C724</f>
        <v>Pendapatan Bunga</v>
      </c>
      <c r="E7" s="1093">
        <f>'WS Konsol'!M724</f>
        <v>70634245</v>
      </c>
      <c r="G7" s="1093">
        <f>'WS Konsol'!AI724</f>
        <v>65659825</v>
      </c>
      <c r="H7" s="1093"/>
      <c r="I7" s="1093">
        <f>'WS Konsol'!W724</f>
        <v>75683369</v>
      </c>
      <c r="J7" s="1093"/>
      <c r="K7" s="1093">
        <f>'WS Konsol'!AT724</f>
        <v>47280776</v>
      </c>
      <c r="L7" s="1093"/>
    </row>
    <row r="8" spans="1:13">
      <c r="C8" t="str">
        <f>'WS Konsol'!C725</f>
        <v>Pendapatan Jasa Giro</v>
      </c>
      <c r="E8" s="1093">
        <f>'WS Konsol'!M725-'WS Konsol'!M733</f>
        <v>-9800253</v>
      </c>
      <c r="G8" s="1093">
        <f>'WS Konsol'!AI725-'WS Konsol'!AI733</f>
        <v>-5327718</v>
      </c>
      <c r="H8" s="1093"/>
      <c r="I8" s="1093">
        <f>'WS Konsol'!W725</f>
        <v>0</v>
      </c>
      <c r="J8" s="1093"/>
      <c r="K8" s="1093">
        <f>'WS Konsol'!AT725</f>
        <v>-748979515</v>
      </c>
      <c r="L8" s="1093"/>
    </row>
    <row r="9" spans="1:13">
      <c r="C9" t="str">
        <f>'WS Konsol'!C726</f>
        <v>Laba (Rugi) Selisih Kurs - Neto</v>
      </c>
      <c r="E9" s="1093">
        <f>'WS Konsol'!M726</f>
        <v>-3040256084</v>
      </c>
      <c r="G9" s="1093">
        <f>'WS Konsol'!AI726</f>
        <v>-782537414</v>
      </c>
      <c r="H9" s="1093"/>
      <c r="I9" s="1093">
        <f>'WS Konsol'!W726</f>
        <v>2170695455</v>
      </c>
      <c r="J9" s="1093"/>
      <c r="K9" s="1093">
        <f>'WS Konsol'!AT726</f>
        <v>-335481225</v>
      </c>
      <c r="L9" s="1093"/>
    </row>
    <row r="10" spans="1:13">
      <c r="C10" t="s">
        <v>1014</v>
      </c>
      <c r="E10" s="1093">
        <f>'WS Konsol'!M727-'WS Konsol'!M739</f>
        <v>-453394068</v>
      </c>
      <c r="G10" s="1093"/>
      <c r="H10" s="1093"/>
      <c r="I10" s="1093"/>
      <c r="J10" s="1093"/>
      <c r="K10" s="1093"/>
      <c r="L10" s="1093"/>
    </row>
    <row r="11" spans="1:13">
      <c r="C11" t="s">
        <v>1017</v>
      </c>
      <c r="E11" s="1093">
        <f>'WS Konsol'!M729</f>
        <v>1080666000</v>
      </c>
      <c r="G11" s="1093"/>
      <c r="H11" s="1093"/>
      <c r="I11" s="1093"/>
      <c r="J11" s="1093"/>
      <c r="K11" s="1093"/>
      <c r="L11" s="1093"/>
    </row>
    <row r="12" spans="1:13">
      <c r="C12" t="s">
        <v>948</v>
      </c>
      <c r="E12" s="1093">
        <f>-'WS Konsol'!M743</f>
        <v>-318194931</v>
      </c>
      <c r="G12" s="1093"/>
      <c r="H12" s="1093"/>
      <c r="I12" s="1093"/>
      <c r="J12" s="1093"/>
      <c r="K12" s="1093"/>
      <c r="L12" s="1093"/>
    </row>
    <row r="13" spans="1:13">
      <c r="C13" t="str">
        <f>'WS Konsol'!C728</f>
        <v>Pendapatan Lain-Lain</v>
      </c>
      <c r="E13" s="1576">
        <f>'WS Konsol'!M728</f>
        <v>59350437</v>
      </c>
      <c r="G13" s="1576">
        <f>'WS Konsol'!AI728</f>
        <v>103191582</v>
      </c>
      <c r="H13" s="1093"/>
      <c r="I13" s="1576">
        <f>'WS Konsol'!W728</f>
        <v>40952702</v>
      </c>
      <c r="J13" s="1093"/>
      <c r="K13" s="1576">
        <f>'WS Konsol'!AT728</f>
        <v>140541103</v>
      </c>
      <c r="L13" s="1093"/>
    </row>
    <row r="14" spans="1:13" s="342" customFormat="1" ht="15" thickBot="1">
      <c r="C14" s="342" t="s">
        <v>1796</v>
      </c>
      <c r="E14" s="1577">
        <f>SUM(E7:E13)</f>
        <v>-2610994654</v>
      </c>
      <c r="G14" s="1577">
        <f>SUM(G7:G13)</f>
        <v>-619013725</v>
      </c>
      <c r="H14" s="1578"/>
      <c r="I14" s="1577">
        <f>SUM(I7:I13)</f>
        <v>2287331526</v>
      </c>
      <c r="J14" s="1578"/>
      <c r="K14" s="1577">
        <f>SUM(K7:K13)</f>
        <v>-896638861</v>
      </c>
      <c r="L14" s="1578"/>
      <c r="M14" s="342" t="s">
        <v>1769</v>
      </c>
    </row>
    <row r="15" spans="1:13" s="342" customFormat="1" ht="15" thickTop="1">
      <c r="E15" s="1578"/>
      <c r="G15" s="1578"/>
      <c r="H15" s="1578"/>
      <c r="I15" s="1578"/>
      <c r="J15" s="1578"/>
      <c r="K15" s="1578"/>
      <c r="L15" s="1578"/>
    </row>
    <row r="16" spans="1:13">
      <c r="E16" s="1093">
        <f>'PL Konsol'!M18</f>
        <v>-2610994654</v>
      </c>
      <c r="G16" s="1093">
        <f>'PL Konsol'!O18</f>
        <v>-1084534135</v>
      </c>
    </row>
    <row r="17" spans="5:9">
      <c r="E17" s="912">
        <f>E16-E14</f>
        <v>0</v>
      </c>
      <c r="G17" s="912"/>
      <c r="I17" s="912"/>
    </row>
    <row r="19" spans="5:9">
      <c r="E19" s="912"/>
      <c r="G19" s="912"/>
      <c r="I19" s="912"/>
    </row>
    <row r="20" spans="5:9">
      <c r="E20" s="912"/>
      <c r="G20" s="912"/>
      <c r="I20" s="912"/>
    </row>
    <row r="21" spans="5:9">
      <c r="E21" s="912"/>
      <c r="G21" s="912"/>
      <c r="I21" s="91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4BD7-715D-4FC6-9317-BEA63AFDB009}">
  <dimension ref="A2:M23"/>
  <sheetViews>
    <sheetView showGridLines="0" topLeftCell="A5" workbookViewId="0">
      <selection activeCell="E15" sqref="E15"/>
    </sheetView>
  </sheetViews>
  <sheetFormatPr defaultRowHeight="14.45"/>
  <cols>
    <col min="3" max="3" width="36.5703125" bestFit="1" customWidth="1"/>
    <col min="4" max="4" width="4.5703125" customWidth="1"/>
    <col min="5" max="5" width="17.42578125" bestFit="1" customWidth="1"/>
    <col min="6" max="6" width="4.5703125" customWidth="1"/>
    <col min="7" max="7" width="17.42578125" bestFit="1" customWidth="1"/>
    <col min="8" max="8" width="4.5703125" hidden="1" customWidth="1"/>
    <col min="9" max="9" width="14.5703125" hidden="1" customWidth="1"/>
    <col min="10" max="10" width="0" hidden="1" customWidth="1"/>
    <col min="11" max="11" width="14.5703125" hidden="1" customWidth="1"/>
    <col min="12" max="12" width="4.5703125" hidden="1" customWidth="1"/>
  </cols>
  <sheetData>
    <row r="2" spans="1:13">
      <c r="A2" s="1248" t="s">
        <v>2001</v>
      </c>
      <c r="B2" s="1249"/>
      <c r="C2" s="1249"/>
      <c r="D2" s="1249"/>
      <c r="E2" s="918"/>
      <c r="G2" s="918"/>
      <c r="I2" s="918"/>
      <c r="J2" s="918"/>
      <c r="K2" s="121"/>
      <c r="M2" s="1241"/>
    </row>
    <row r="4" spans="1:13">
      <c r="E4" s="628" t="s">
        <v>1998</v>
      </c>
      <c r="G4" s="628" t="s">
        <v>1998</v>
      </c>
      <c r="I4" t="s">
        <v>111</v>
      </c>
      <c r="K4" t="s">
        <v>111</v>
      </c>
    </row>
    <row r="5" spans="1:13">
      <c r="E5" s="1291">
        <v>2024</v>
      </c>
      <c r="G5" s="1291">
        <v>2023</v>
      </c>
      <c r="I5" s="1291">
        <v>2024</v>
      </c>
      <c r="J5" s="1292"/>
      <c r="K5" s="1291">
        <v>2023</v>
      </c>
    </row>
    <row r="7" spans="1:13">
      <c r="C7" t="str">
        <f>'WS Konsol'!C727</f>
        <v>Pendapatan Cadangan kerugian Penurunan Nilai</v>
      </c>
      <c r="E7" s="2125">
        <f>'WS Konsol'!M727*0</f>
        <v>0</v>
      </c>
      <c r="F7" s="2125"/>
      <c r="G7" s="2125">
        <f>'WS Konsol'!AI727</f>
        <v>-119304064</v>
      </c>
      <c r="I7" s="853">
        <f>'WS Konsol'!W727</f>
        <v>0</v>
      </c>
      <c r="K7" s="853">
        <f>'WS Konsol'!AT727</f>
        <v>0</v>
      </c>
    </row>
    <row r="8" spans="1:13">
      <c r="C8" t="str">
        <f>'WS Konsol'!C732</f>
        <v>Beban Administrasi Bank</v>
      </c>
      <c r="E8" s="2299">
        <f>'WS Konsol'!M732</f>
        <v>275052108</v>
      </c>
      <c r="F8" s="2125"/>
      <c r="G8" s="2125">
        <f>'WS Konsol'!AI732</f>
        <v>270862029</v>
      </c>
      <c r="I8" s="853">
        <f>'WS Konsol'!W732</f>
        <v>165111265</v>
      </c>
      <c r="K8" s="853">
        <f>'WS Konsol'!AT732</f>
        <v>175458854</v>
      </c>
    </row>
    <row r="9" spans="1:13">
      <c r="C9" t="str">
        <f>'WS Konsol'!C733</f>
        <v xml:space="preserve">Beban Pajak Jasa Giro </v>
      </c>
      <c r="E9" s="2299">
        <f>'WS Konsol'!M733</f>
        <v>14845413</v>
      </c>
      <c r="F9" s="2125"/>
      <c r="G9" s="2125">
        <f>'WS Konsol'!AI733</f>
        <v>14045527</v>
      </c>
      <c r="I9" s="1575">
        <f>'WS Konsol'!W733</f>
        <v>14238871</v>
      </c>
      <c r="J9" s="342"/>
      <c r="K9" s="1575">
        <f>'WS Konsol'!AT733</f>
        <v>10094246</v>
      </c>
    </row>
    <row r="10" spans="1:13">
      <c r="C10" t="str">
        <f>'WS Konsol'!C734</f>
        <v xml:space="preserve">Beban Provisi Bank </v>
      </c>
      <c r="E10" s="2299">
        <f>'WS Konsol'!M734</f>
        <v>169527600</v>
      </c>
      <c r="F10" s="2125"/>
      <c r="G10" s="2125">
        <f>'WS Konsol'!AI734</f>
        <v>0</v>
      </c>
      <c r="I10" s="853">
        <f>'WS Konsol'!W734</f>
        <v>312600</v>
      </c>
      <c r="K10" s="853">
        <f>'WS Konsol'!AT734</f>
        <v>0</v>
      </c>
    </row>
    <row r="11" spans="1:13">
      <c r="C11" t="str">
        <f>'WS Konsol'!C735</f>
        <v>Denda</v>
      </c>
      <c r="E11" s="2125">
        <f>'WS Konsol'!M735</f>
        <v>0</v>
      </c>
      <c r="F11" s="2125"/>
      <c r="G11" s="2125">
        <f>'WS Konsol'!AI735</f>
        <v>0</v>
      </c>
      <c r="I11" s="853">
        <f>'WS Konsol'!W735</f>
        <v>0</v>
      </c>
      <c r="K11" s="853">
        <f>'WS Konsol'!AT735</f>
        <v>0</v>
      </c>
    </row>
    <row r="12" spans="1:13">
      <c r="C12" t="str">
        <f>'WS Konsol'!C736</f>
        <v>Denda Pajak</v>
      </c>
      <c r="E12" s="2125">
        <f>'WS Konsol'!M736</f>
        <v>0</v>
      </c>
      <c r="F12" s="2125"/>
      <c r="G12" s="2125">
        <f>'WS Konsol'!AI736</f>
        <v>0</v>
      </c>
      <c r="I12" s="853">
        <f>'WS Konsol'!W736</f>
        <v>0</v>
      </c>
      <c r="K12" s="853">
        <f>'WS Konsol'!AT736</f>
        <v>0</v>
      </c>
    </row>
    <row r="13" spans="1:13">
      <c r="C13" t="str">
        <f>'WS Konsol'!C737</f>
        <v xml:space="preserve">Beban Bunga/Keuangan </v>
      </c>
      <c r="E13" s="2299">
        <f>'WS Konsol'!M737</f>
        <v>17734752564</v>
      </c>
      <c r="F13" s="2125"/>
      <c r="G13" s="2125">
        <f>'WS Konsol'!AI737</f>
        <v>15354347694</v>
      </c>
      <c r="I13" s="853">
        <f>'WS Konsol'!W737</f>
        <v>12317390272</v>
      </c>
      <c r="K13" s="853">
        <f>'WS Konsol'!AT737</f>
        <v>11279956833</v>
      </c>
    </row>
    <row r="14" spans="1:13">
      <c r="C14" t="str">
        <f>'WS Konsol'!C738</f>
        <v xml:space="preserve">Beban Bunga Leasing </v>
      </c>
      <c r="E14" s="2299">
        <f>'WS Konsol'!M738</f>
        <v>5239977</v>
      </c>
      <c r="F14" s="2125"/>
      <c r="G14" s="2125">
        <f>'WS Konsol'!AI738</f>
        <v>14124706</v>
      </c>
      <c r="I14" s="853">
        <f>'WS Konsol'!W738</f>
        <v>4288654</v>
      </c>
      <c r="K14" s="853">
        <f>'WS Konsol'!AT738</f>
        <v>11383894</v>
      </c>
    </row>
    <row r="15" spans="1:13">
      <c r="C15" t="str">
        <f>'WS Konsol'!C739</f>
        <v>Beban Cadangan kerugian Penurunan Nilai</v>
      </c>
      <c r="E15" s="2125">
        <f>'WS Konsol'!M739*0</f>
        <v>0</v>
      </c>
      <c r="F15" s="2125"/>
      <c r="G15" s="2125">
        <f>'WS Konsol'!AI739</f>
        <v>346216346</v>
      </c>
      <c r="I15" s="853">
        <f>'WS Konsol'!W739</f>
        <v>0</v>
      </c>
      <c r="K15" s="853">
        <f>'WS Konsol'!AT739</f>
        <v>0</v>
      </c>
    </row>
    <row r="16" spans="1:13">
      <c r="C16" t="str">
        <f>'WS Konsol'!C740</f>
        <v>Rugi selisih kurs</v>
      </c>
      <c r="E16" s="2125">
        <f>'WS Konsol'!M740</f>
        <v>0</v>
      </c>
      <c r="F16" s="2125"/>
      <c r="G16" s="2125">
        <f>'WS Konsol'!AI740</f>
        <v>0</v>
      </c>
      <c r="I16" s="853">
        <f>'WS Konsol'!W740</f>
        <v>0</v>
      </c>
      <c r="K16" s="853">
        <f>'WS Konsol'!AT740</f>
        <v>0</v>
      </c>
    </row>
    <row r="17" spans="3:13">
      <c r="C17" t="str">
        <f>'WS Konsol'!C741</f>
        <v>Beban Bunga aset Hak-guna</v>
      </c>
      <c r="E17" s="2299">
        <f>'WS Konsol'!M741</f>
        <v>0</v>
      </c>
      <c r="F17" s="2125"/>
      <c r="G17" s="2125">
        <f>'WS Konsol'!AI741</f>
        <v>38165359</v>
      </c>
      <c r="I17" s="853">
        <f>'WS Konsol'!W741</f>
        <v>0</v>
      </c>
      <c r="K17" s="853">
        <f>'WS Konsol'!AT741</f>
        <v>0</v>
      </c>
    </row>
    <row r="18" spans="3:13">
      <c r="C18" t="str">
        <f>'WS Konsol'!C742</f>
        <v>Lain-Lain - Neto</v>
      </c>
      <c r="E18" s="2126">
        <f>'WS Konsol'!M742</f>
        <v>0</v>
      </c>
      <c r="F18" s="2125"/>
      <c r="G18" s="2126">
        <f>'WS Konsol'!AI742</f>
        <v>0</v>
      </c>
      <c r="I18" s="1284">
        <f>'WS Konsol'!W742</f>
        <v>0</v>
      </c>
      <c r="K18" s="1284">
        <f>'WS Konsol'!AT742</f>
        <v>0</v>
      </c>
    </row>
    <row r="19" spans="3:13" s="342" customFormat="1" ht="15" thickBot="1">
      <c r="C19" s="342" t="s">
        <v>1796</v>
      </c>
      <c r="E19" s="1272">
        <f>SUM(E7:E18)</f>
        <v>18199417662</v>
      </c>
      <c r="G19" s="1272">
        <f>SUM(G7:G18)</f>
        <v>15918457597</v>
      </c>
      <c r="I19" s="1272">
        <f>SUM(I7:I18)</f>
        <v>12501341662</v>
      </c>
      <c r="K19" s="1272">
        <f>SUM(K7:K18)</f>
        <v>11476893827</v>
      </c>
      <c r="M19" s="1240" t="s">
        <v>1769</v>
      </c>
    </row>
    <row r="20" spans="3:13" ht="15" thickTop="1"/>
    <row r="22" spans="3:13">
      <c r="E22" s="2120">
        <f>'PL Konsol'!M19</f>
        <v>-18184572249</v>
      </c>
      <c r="G22" s="2120">
        <f>'PL Konsol'!O19</f>
        <v>-15677499788</v>
      </c>
      <c r="I22" s="2120"/>
    </row>
    <row r="23" spans="3:13">
      <c r="E23" s="593">
        <f>E22+E19</f>
        <v>14845413</v>
      </c>
      <c r="G23" s="593">
        <f>G22+G19</f>
        <v>240957809</v>
      </c>
      <c r="I23" s="5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SQS Consulting</dc:creator>
  <cp:keywords/>
  <dc:description/>
  <cp:lastModifiedBy>Angel Kristin Stevani</cp:lastModifiedBy>
  <cp:revision/>
  <dcterms:created xsi:type="dcterms:W3CDTF">2024-07-03T07:17:28Z</dcterms:created>
  <dcterms:modified xsi:type="dcterms:W3CDTF">2025-10-14T05:20:47Z</dcterms:modified>
  <cp:category/>
  <cp:contentStatus/>
</cp:coreProperties>
</file>